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38.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tables/table3.xml" ContentType="application/vnd.openxmlformats-officedocument.spreadsheetml.tab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xml" ContentType="application/vnd.openxmlformats-officedocument.themeOverrid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3.xml" ContentType="application/vnd.openxmlformats-officedocument.themeOverrid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4.xml" ContentType="application/vnd.openxmlformats-officedocument.themeOverride+xml"/>
  <Override PartName="/xl/pivotTables/pivotTable39.xml" ContentType="application/vnd.openxmlformats-officedocument.spreadsheetml.pivotTable+xml"/>
  <Override PartName="/xl/drawings/drawing9.xml" ContentType="application/vnd.openxmlformats-officedocument.drawing+xml"/>
  <Override PartName="/xl/slicers/slicer3.xml" ContentType="application/vnd.ms-excel.slicer+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pivotTables/pivotTable40.xml" ContentType="application/vnd.openxmlformats-officedocument.spreadsheetml.pivotTable+xml"/>
  <Override PartName="/xl/drawings/drawing10.xml" ContentType="application/vnd.openxmlformats-officedocument.drawing+xml"/>
  <Override PartName="/xl/slicers/slicer4.xml" ContentType="application/vnd.ms-excel.slicer+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xml" ContentType="application/vnd.openxmlformats-officedocument.drawing+xml"/>
  <Override PartName="/xl/tables/table6.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updateLinks="never" codeName="ThisWorkbook"/>
  <mc:AlternateContent xmlns:mc="http://schemas.openxmlformats.org/markup-compatibility/2006">
    <mc:Choice Requires="x15">
      <x15ac:absPath xmlns:x15ac="http://schemas.microsoft.com/office/spreadsheetml/2010/11/ac" url="C:\Users\mthaw\Mee Mee\2. Information Management\B_ 4 W\002. 4Ws matrix\004.Yangon\Working\2019\Q2_2019\"/>
    </mc:Choice>
  </mc:AlternateContent>
  <xr:revisionPtr revIDLastSave="0" documentId="10_ncr:100000_{E8EBED73-BEF6-41FD-8C2B-245C3B2995EA}" xr6:coauthVersionLast="31" xr6:coauthVersionMax="31" xr10:uidLastSave="{00000000-0000-0000-0000-000000000000}"/>
  <bookViews>
    <workbookView xWindow="0" yWindow="0" windowWidth="28800" windowHeight="12225" tabRatio="831" activeTab="3" xr2:uid="{00000000-000D-0000-FFFF-FFFF00000000}"/>
  </bookViews>
  <sheets>
    <sheet name="Guide" sheetId="81" r:id="rId1"/>
    <sheet name="DATABASE" sheetId="25" r:id="rId2"/>
    <sheet name="Site_DB" sheetId="91" r:id="rId3"/>
    <sheet name="Indicator Summary  Eng" sheetId="119" r:id="rId4"/>
    <sheet name="Indicator Summary  MM" sheetId="120" r:id="rId5"/>
    <sheet name="HRP Calculations" sheetId="116" r:id="rId6"/>
    <sheet name="HRP" sheetId="89" r:id="rId7"/>
    <sheet name="Sheet1" sheetId="113" r:id="rId8"/>
    <sheet name="Analysis" sheetId="92" r:id="rId9"/>
    <sheet name="Quarterly Dashboard" sheetId="100" r:id="rId10"/>
    <sheet name="Kachin" sheetId="111" r:id="rId11"/>
    <sheet name="Shan(n)" sheetId="110" r:id="rId12"/>
    <sheet name="AAP-community Feedback" sheetId="121" r:id="rId13"/>
    <sheet name="By Camps" sheetId="102" r:id="rId14"/>
    <sheet name="Tracking Dashboard" sheetId="114" r:id="rId15"/>
    <sheet name="Lookup" sheetId="32" r:id="rId16"/>
  </sheets>
  <externalReferences>
    <externalReference r:id="rId17"/>
    <externalReference r:id="rId18"/>
    <externalReference r:id="rId19"/>
    <externalReference r:id="rId20"/>
    <externalReference r:id="rId21"/>
    <externalReference r:id="rId22"/>
  </externalReferences>
  <definedNames>
    <definedName name="_Fill" localSheetId="13" hidden="1">#REF!</definedName>
    <definedName name="_Fill" localSheetId="5" hidden="1">#REF!</definedName>
    <definedName name="_Fill" localSheetId="3" hidden="1">#REF!</definedName>
    <definedName name="_Fill" localSheetId="10" hidden="1">#REF!</definedName>
    <definedName name="_Fill" localSheetId="11" hidden="1">#REF!</definedName>
    <definedName name="_Fill" hidden="1">#REF!</definedName>
    <definedName name="_xlnm._FilterDatabase" localSheetId="1" hidden="1">DATABASE!#REF!</definedName>
    <definedName name="_xlnm._FilterDatabase" localSheetId="3" hidden="1">'Indicator Summary  Eng'!$A$2:$H$70</definedName>
    <definedName name="_xlnm._FilterDatabase" localSheetId="15" hidden="1">Lookup!$A$3:$AA$457</definedName>
    <definedName name="_Key1" localSheetId="12" hidden="1">[1]Data!#REF!</definedName>
    <definedName name="_Key1" localSheetId="13" hidden="1">[1]Data!#REF!</definedName>
    <definedName name="_Key1" localSheetId="5" hidden="1">[1]Data!#REF!</definedName>
    <definedName name="_Key1" localSheetId="3" hidden="1">[1]Data!#REF!</definedName>
    <definedName name="_Key1" localSheetId="10" hidden="1">[1]Data!#REF!</definedName>
    <definedName name="_Key1" localSheetId="11" hidden="1">[1]Data!#REF!</definedName>
    <definedName name="_Key1" hidden="1">[1]Data!#REF!</definedName>
    <definedName name="_Order1" hidden="1">255</definedName>
    <definedName name="a" localSheetId="12" hidden="1">#REF!</definedName>
    <definedName name="a" hidden="1">#REF!</definedName>
    <definedName name="b">[2]!SiteDB6[[#Headers],[Township]]</definedName>
    <definedName name="_xlnm.Print_Area" localSheetId="5">'HRP Calculations'!$A$1:$F$11</definedName>
    <definedName name="_xlnm.Print_Area" localSheetId="3">'Indicator Summary  Eng'!$A$1:$F$70</definedName>
    <definedName name="_xlnm.Print_Area" localSheetId="4">'Indicator Summary  MM'!$A$2:$F$70</definedName>
    <definedName name="_xlnm.Print_Area" localSheetId="10">Kachin!$B$1:$S$108</definedName>
    <definedName name="_xlnm.Print_Area" localSheetId="11">'Shan(n)'!$A$1:$S$106</definedName>
    <definedName name="_xlnm.Print_Titles" localSheetId="3">'Indicator Summary  Eng'!$1:$2</definedName>
    <definedName name="_xlnm.Print_Titles" localSheetId="4">'Indicator Summary  MM'!$1:$2</definedName>
    <definedName name="Sasha" localSheetId="12" hidden="1">{#N/A,#N/A,FALSE,"Truck Rent"}</definedName>
    <definedName name="Sasha" localSheetId="5" hidden="1">{#N/A,#N/A,FALSE,"Truck Rent"}</definedName>
    <definedName name="Sasha" localSheetId="3"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12">[3]Lookup!$AB$4:$AB$83</definedName>
    <definedName name="State_list">Lookup!$AB$4:$AB$83</definedName>
    <definedName name="Statestart_1" localSheetId="12">[3]Lookup!$AB$3</definedName>
    <definedName name="Statestart_1">Lookup!$AB$3</definedName>
    <definedName name="Township_list" localSheetId="12">[3]!SiteDB6[Township]</definedName>
    <definedName name="Township_list" localSheetId="10">SiteDB6[Township]</definedName>
    <definedName name="Township_list" localSheetId="11">SiteDB6[Township]</definedName>
    <definedName name="Township_list">SiteDB6[Township]</definedName>
    <definedName name="Township_start" localSheetId="12">[3]!SiteDB6[[#Headers],[Township]]</definedName>
    <definedName name="Township_start" localSheetId="10">SiteDB6[[#Headers],[Township]]</definedName>
    <definedName name="Township_start" localSheetId="11">SiteDB6[[#Headers],[Township]]</definedName>
    <definedName name="Township_start">SiteDB6[[#Headers],[Township]]</definedName>
    <definedName name="TSps">Lookup!$AC$3:$AC$83</definedName>
    <definedName name="wrn.MUSA._.TRUCKS." localSheetId="12" hidden="1">{#N/A,#N/A,FALSE,"Truck Rent"}</definedName>
    <definedName name="wrn.MUSA._.TRUCKS." localSheetId="5" hidden="1">{#N/A,#N/A,FALSE,"Truck Rent"}</definedName>
    <definedName name="wrn.MUSA._.TRUCKS." localSheetId="3" hidden="1">{#N/A,#N/A,FALSE,"Truck Rent"}</definedName>
    <definedName name="wrn.MUSA._.TRUCKS." hidden="1">{#N/A,#N/A,FALSE,"Truck Rent"}</definedName>
  </definedNames>
  <calcPr calcId="179017"/>
  <pivotCaches>
    <pivotCache cacheId="2" r:id="rId23"/>
  </pivotCaches>
  <extLs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4" i="113" l="1"/>
  <c r="L21" i="113"/>
  <c r="L17" i="113"/>
  <c r="L15" i="113"/>
  <c r="L13" i="113"/>
  <c r="L12" i="113"/>
  <c r="L9" i="113"/>
  <c r="L8" i="113"/>
  <c r="L6" i="113"/>
  <c r="H6" i="113"/>
  <c r="E397" i="92"/>
  <c r="E396" i="92"/>
  <c r="D397" i="92"/>
  <c r="D396" i="92"/>
  <c r="H35" i="113" l="1"/>
  <c r="H34" i="113"/>
  <c r="H32" i="113"/>
  <c r="H31" i="113"/>
  <c r="H28" i="113"/>
  <c r="H23" i="113"/>
  <c r="H21" i="113"/>
  <c r="H19" i="113"/>
  <c r="H15" i="113"/>
  <c r="H12" i="113"/>
  <c r="H9" i="113"/>
  <c r="AP732" i="25" l="1"/>
  <c r="E101" i="89"/>
  <c r="S103" i="89"/>
  <c r="S102" i="89"/>
  <c r="S101" i="89"/>
  <c r="E102" i="89"/>
  <c r="E103" i="89"/>
  <c r="AF103" i="89" l="1"/>
  <c r="AF102" i="89"/>
  <c r="AF101" i="89"/>
  <c r="AF661" i="25" l="1"/>
  <c r="G45" i="89"/>
  <c r="G37" i="89"/>
  <c r="G34" i="89"/>
  <c r="G38" i="89"/>
  <c r="BK739" i="25" l="1"/>
  <c r="BK714" i="25"/>
  <c r="BK747" i="25"/>
  <c r="BK742" i="25"/>
  <c r="BK737" i="25"/>
  <c r="BK736" i="25"/>
  <c r="BK728" i="25"/>
  <c r="BK712" i="25"/>
  <c r="BK711" i="25"/>
  <c r="BK710" i="25"/>
  <c r="G42" i="89"/>
  <c r="G41" i="89"/>
  <c r="BL746" i="25" l="1"/>
  <c r="BK746" i="25"/>
  <c r="DI8" i="25" l="1"/>
  <c r="DI9" i="25"/>
  <c r="DI10" i="25"/>
  <c r="DI11" i="25"/>
  <c r="DI12" i="25"/>
  <c r="DI13" i="25"/>
  <c r="DI14" i="25"/>
  <c r="DI15" i="25"/>
  <c r="DI16" i="25"/>
  <c r="DI17" i="25"/>
  <c r="DI18" i="25"/>
  <c r="DI19" i="25"/>
  <c r="DI20" i="25"/>
  <c r="DI21" i="25"/>
  <c r="DI22" i="25"/>
  <c r="DI23" i="25"/>
  <c r="DI24" i="25"/>
  <c r="DI25" i="25"/>
  <c r="DI26" i="25"/>
  <c r="DI27" i="25"/>
  <c r="DI28" i="25"/>
  <c r="DI29" i="25"/>
  <c r="DI30" i="25"/>
  <c r="DI31" i="25"/>
  <c r="DI32" i="25"/>
  <c r="DI33" i="25"/>
  <c r="DI34" i="25"/>
  <c r="DI35" i="25"/>
  <c r="DI36" i="25"/>
  <c r="DI37" i="25"/>
  <c r="DI38" i="25"/>
  <c r="DI39" i="25"/>
  <c r="DI40" i="25"/>
  <c r="DI41" i="25"/>
  <c r="DI42" i="25"/>
  <c r="DI43" i="25"/>
  <c r="DI44" i="25"/>
  <c r="DI45" i="25"/>
  <c r="DI46" i="25"/>
  <c r="DI47" i="25"/>
  <c r="DI48" i="25"/>
  <c r="DI49" i="25"/>
  <c r="DI50" i="25"/>
  <c r="DI51" i="25"/>
  <c r="DI52" i="25"/>
  <c r="DI53" i="25"/>
  <c r="DI54" i="25"/>
  <c r="DI55" i="25"/>
  <c r="DI56" i="25"/>
  <c r="DI57" i="25"/>
  <c r="DI58" i="25"/>
  <c r="DI59" i="25"/>
  <c r="DI60" i="25"/>
  <c r="DI61" i="25"/>
  <c r="DI62" i="25"/>
  <c r="DI63" i="25"/>
  <c r="DI64" i="25"/>
  <c r="DI65" i="25"/>
  <c r="DI66" i="25"/>
  <c r="DI67" i="25"/>
  <c r="DI68" i="25"/>
  <c r="DI69" i="25"/>
  <c r="DI70" i="25"/>
  <c r="DI71" i="25"/>
  <c r="DI72" i="25"/>
  <c r="DI73" i="25"/>
  <c r="DI74" i="25"/>
  <c r="DI75" i="25"/>
  <c r="DI76" i="25"/>
  <c r="DI77" i="25"/>
  <c r="DI78" i="25"/>
  <c r="DI79" i="25"/>
  <c r="DI80" i="25"/>
  <c r="DI81" i="25"/>
  <c r="DI82" i="25"/>
  <c r="DI83" i="25"/>
  <c r="DI84" i="25"/>
  <c r="DI85" i="25"/>
  <c r="DI86" i="25"/>
  <c r="DI87" i="25"/>
  <c r="DI88" i="25"/>
  <c r="DI89" i="25"/>
  <c r="DI90" i="25"/>
  <c r="DI91" i="25"/>
  <c r="DI92" i="25"/>
  <c r="DI93" i="25"/>
  <c r="DI94" i="25"/>
  <c r="DI95" i="25"/>
  <c r="DI96" i="25"/>
  <c r="DI97" i="25"/>
  <c r="DI98" i="25"/>
  <c r="DI99" i="25"/>
  <c r="DI100" i="25"/>
  <c r="DI101" i="25"/>
  <c r="DI102" i="25"/>
  <c r="DI103" i="25"/>
  <c r="DI104" i="25"/>
  <c r="DI105" i="25"/>
  <c r="DI106" i="25"/>
  <c r="DI107" i="25"/>
  <c r="DI108" i="25"/>
  <c r="DI109" i="25"/>
  <c r="DI110" i="25"/>
  <c r="DI111" i="25"/>
  <c r="DI112" i="25"/>
  <c r="DI113" i="25"/>
  <c r="DI114" i="25"/>
  <c r="DI115" i="25"/>
  <c r="DI116" i="25"/>
  <c r="DI117" i="25"/>
  <c r="DI118" i="25"/>
  <c r="DI119" i="25"/>
  <c r="DI120" i="25"/>
  <c r="DI121" i="25"/>
  <c r="DI122" i="25"/>
  <c r="DI123" i="25"/>
  <c r="DI124" i="25"/>
  <c r="DI125" i="25"/>
  <c r="DI126" i="25"/>
  <c r="DI127" i="25"/>
  <c r="DI128" i="25"/>
  <c r="DI129" i="25"/>
  <c r="DI130" i="25"/>
  <c r="DI131" i="25"/>
  <c r="DI132" i="25"/>
  <c r="DI133" i="25"/>
  <c r="DI134" i="25"/>
  <c r="DI135" i="25"/>
  <c r="DI136" i="25"/>
  <c r="DI137" i="25"/>
  <c r="DI138" i="25"/>
  <c r="DI139" i="25"/>
  <c r="DI140" i="25"/>
  <c r="DI141" i="25"/>
  <c r="DI142" i="25"/>
  <c r="DI143" i="25"/>
  <c r="DI144" i="25"/>
  <c r="DI145" i="25"/>
  <c r="DI146" i="25"/>
  <c r="DI147" i="25"/>
  <c r="DI148" i="25"/>
  <c r="DI149" i="25"/>
  <c r="DI150" i="25"/>
  <c r="DI151" i="25"/>
  <c r="DI152" i="25"/>
  <c r="DI153" i="25"/>
  <c r="DI154" i="25"/>
  <c r="DI155" i="25"/>
  <c r="DI156" i="25"/>
  <c r="DI157" i="25"/>
  <c r="DI158" i="25"/>
  <c r="DI159" i="25"/>
  <c r="DI160" i="25"/>
  <c r="DI161" i="25"/>
  <c r="DI162" i="25"/>
  <c r="DI163" i="25"/>
  <c r="DI164" i="25"/>
  <c r="DI165" i="25"/>
  <c r="DI166" i="25"/>
  <c r="DI167" i="25"/>
  <c r="DI168" i="25"/>
  <c r="DI169" i="25"/>
  <c r="DI170" i="25"/>
  <c r="DI171" i="25"/>
  <c r="DI172" i="25"/>
  <c r="DI173" i="25"/>
  <c r="DI174" i="25"/>
  <c r="DI175" i="25"/>
  <c r="DI176" i="25"/>
  <c r="DI177" i="25"/>
  <c r="DI178" i="25"/>
  <c r="DI179" i="25"/>
  <c r="DI180" i="25"/>
  <c r="DI181" i="25"/>
  <c r="DI182" i="25"/>
  <c r="DI183" i="25"/>
  <c r="DI184" i="25"/>
  <c r="DI185" i="25"/>
  <c r="DI186" i="25"/>
  <c r="DI187" i="25"/>
  <c r="DI188" i="25"/>
  <c r="DI189" i="25"/>
  <c r="DI190" i="25"/>
  <c r="DI191" i="25"/>
  <c r="DI192" i="25"/>
  <c r="DI193" i="25"/>
  <c r="DI194" i="25"/>
  <c r="DI195" i="25"/>
  <c r="DI196" i="25"/>
  <c r="DI197" i="25"/>
  <c r="DI198" i="25"/>
  <c r="DI199" i="25"/>
  <c r="DI200" i="25"/>
  <c r="DI201" i="25"/>
  <c r="DI202" i="25"/>
  <c r="DI203" i="25"/>
  <c r="DI204" i="25"/>
  <c r="DI205" i="25"/>
  <c r="DI206" i="25"/>
  <c r="DI207" i="25"/>
  <c r="DI208" i="25"/>
  <c r="DI209" i="25"/>
  <c r="DI210" i="25"/>
  <c r="DI211" i="25"/>
  <c r="DI212" i="25"/>
  <c r="DI213" i="25"/>
  <c r="DI214" i="25"/>
  <c r="DI215" i="25"/>
  <c r="DI216" i="25"/>
  <c r="DI217" i="25"/>
  <c r="DI218" i="25"/>
  <c r="DI219" i="25"/>
  <c r="DI220" i="25"/>
  <c r="DI221" i="25"/>
  <c r="DI222" i="25"/>
  <c r="DI223" i="25"/>
  <c r="DI224" i="25"/>
  <c r="DI225" i="25"/>
  <c r="DI226" i="25"/>
  <c r="DI227" i="25"/>
  <c r="DI228" i="25"/>
  <c r="DI229" i="25"/>
  <c r="DI230" i="25"/>
  <c r="DI231" i="25"/>
  <c r="DI232" i="25"/>
  <c r="DI233" i="25"/>
  <c r="DI234" i="25"/>
  <c r="DI235" i="25"/>
  <c r="DI236" i="25"/>
  <c r="DI237" i="25"/>
  <c r="DI238" i="25"/>
  <c r="DI239" i="25"/>
  <c r="DI240" i="25"/>
  <c r="DI241" i="25"/>
  <c r="DI242" i="25"/>
  <c r="DI243" i="25"/>
  <c r="DI244" i="25"/>
  <c r="DI245" i="25"/>
  <c r="DI246" i="25"/>
  <c r="DI247" i="25"/>
  <c r="DI248" i="25"/>
  <c r="DI249" i="25"/>
  <c r="DI250" i="25"/>
  <c r="DI251" i="25"/>
  <c r="DI252" i="25"/>
  <c r="DI253" i="25"/>
  <c r="DI254" i="25"/>
  <c r="DI255" i="25"/>
  <c r="DI256" i="25"/>
  <c r="DI257" i="25"/>
  <c r="DI258" i="25"/>
  <c r="DI259" i="25"/>
  <c r="DI260" i="25"/>
  <c r="DI261" i="25"/>
  <c r="DI262" i="25"/>
  <c r="DI263" i="25"/>
  <c r="DI264" i="25"/>
  <c r="DI265" i="25"/>
  <c r="DI266" i="25"/>
  <c r="DI267" i="25"/>
  <c r="DI268" i="25"/>
  <c r="DI269" i="25"/>
  <c r="DI270" i="25"/>
  <c r="DI271" i="25"/>
  <c r="DI272" i="25"/>
  <c r="DI273" i="25"/>
  <c r="DI274" i="25"/>
  <c r="DI275" i="25"/>
  <c r="DI276" i="25"/>
  <c r="DI277" i="25"/>
  <c r="DI278" i="25"/>
  <c r="DI279" i="25"/>
  <c r="DI280" i="25"/>
  <c r="DI281" i="25"/>
  <c r="DI282" i="25"/>
  <c r="DI283" i="25"/>
  <c r="DI284" i="25"/>
  <c r="DI285" i="25"/>
  <c r="DI286" i="25"/>
  <c r="DI287" i="25"/>
  <c r="DI288" i="25"/>
  <c r="DI289" i="25"/>
  <c r="DI290" i="25"/>
  <c r="DI291" i="25"/>
  <c r="DI292" i="25"/>
  <c r="DI293" i="25"/>
  <c r="DI294" i="25"/>
  <c r="DI295" i="25"/>
  <c r="DI296" i="25"/>
  <c r="DI297" i="25"/>
  <c r="DI298" i="25"/>
  <c r="DI299" i="25"/>
  <c r="DI300" i="25"/>
  <c r="DI301" i="25"/>
  <c r="DI302" i="25"/>
  <c r="DI303" i="25"/>
  <c r="DI304" i="25"/>
  <c r="DI305" i="25"/>
  <c r="DI306" i="25"/>
  <c r="DI307" i="25"/>
  <c r="DI308" i="25"/>
  <c r="DI309" i="25"/>
  <c r="DI310" i="25"/>
  <c r="DI311" i="25"/>
  <c r="DI312" i="25"/>
  <c r="DI313" i="25"/>
  <c r="DI314" i="25"/>
  <c r="DI315" i="25"/>
  <c r="DI316" i="25"/>
  <c r="DI317" i="25"/>
  <c r="DI318" i="25"/>
  <c r="DI319" i="25"/>
  <c r="DI320" i="25"/>
  <c r="DI321" i="25"/>
  <c r="DI322" i="25"/>
  <c r="DI323" i="25"/>
  <c r="DI324" i="25"/>
  <c r="DI325" i="25"/>
  <c r="DI326" i="25"/>
  <c r="DI327" i="25"/>
  <c r="DI328" i="25"/>
  <c r="DI329" i="25"/>
  <c r="DI330" i="25"/>
  <c r="DI331" i="25"/>
  <c r="DI332" i="25"/>
  <c r="DI333" i="25"/>
  <c r="DI334" i="25"/>
  <c r="DI335" i="25"/>
  <c r="DI336" i="25"/>
  <c r="DI337" i="25"/>
  <c r="DI338" i="25"/>
  <c r="DI339" i="25"/>
  <c r="DI340" i="25"/>
  <c r="DI341" i="25"/>
  <c r="DI342" i="25"/>
  <c r="DI343" i="25"/>
  <c r="DI344" i="25"/>
  <c r="DI345" i="25"/>
  <c r="DI346" i="25"/>
  <c r="DI347" i="25"/>
  <c r="DI348" i="25"/>
  <c r="DI349" i="25"/>
  <c r="DI350" i="25"/>
  <c r="DI351" i="25"/>
  <c r="DI352" i="25"/>
  <c r="DI353" i="25"/>
  <c r="DI354" i="25"/>
  <c r="DI355" i="25"/>
  <c r="DI356" i="25"/>
  <c r="DI357" i="25"/>
  <c r="DI358" i="25"/>
  <c r="DI359" i="25"/>
  <c r="DI360" i="25"/>
  <c r="DI361" i="25"/>
  <c r="DI362" i="25"/>
  <c r="DI363" i="25"/>
  <c r="DI364" i="25"/>
  <c r="DI365" i="25"/>
  <c r="DI366" i="25"/>
  <c r="DI367" i="25"/>
  <c r="DI368" i="25"/>
  <c r="DI369" i="25"/>
  <c r="DI370" i="25"/>
  <c r="DI371" i="25"/>
  <c r="DI372" i="25"/>
  <c r="DI373" i="25"/>
  <c r="DI374" i="25"/>
  <c r="DI375" i="25"/>
  <c r="DI376" i="25"/>
  <c r="DI377" i="25"/>
  <c r="DI378" i="25"/>
  <c r="DI379" i="25"/>
  <c r="DI380" i="25"/>
  <c r="DI381" i="25"/>
  <c r="DI382" i="25"/>
  <c r="DI383" i="25"/>
  <c r="DI384" i="25"/>
  <c r="DI385" i="25"/>
  <c r="DI386" i="25"/>
  <c r="DI387" i="25"/>
  <c r="DI388" i="25"/>
  <c r="DI389" i="25"/>
  <c r="DI390" i="25"/>
  <c r="DI391" i="25"/>
  <c r="DI392" i="25"/>
  <c r="DI393" i="25"/>
  <c r="DI394" i="25"/>
  <c r="DI395" i="25"/>
  <c r="DI396" i="25"/>
  <c r="DI397" i="25"/>
  <c r="DI398" i="25"/>
  <c r="DI399" i="25"/>
  <c r="DI400" i="25"/>
  <c r="DI401" i="25"/>
  <c r="DI402" i="25"/>
  <c r="DI403" i="25"/>
  <c r="DI404" i="25"/>
  <c r="DI405" i="25"/>
  <c r="DI406" i="25"/>
  <c r="DI407" i="25"/>
  <c r="DI408" i="25"/>
  <c r="DI409" i="25"/>
  <c r="DI410" i="25"/>
  <c r="DI411" i="25"/>
  <c r="DI412" i="25"/>
  <c r="DI413" i="25"/>
  <c r="DI414" i="25"/>
  <c r="DI415" i="25"/>
  <c r="DI416" i="25"/>
  <c r="DI417" i="25"/>
  <c r="DI418" i="25"/>
  <c r="DI419" i="25"/>
  <c r="DI420" i="25"/>
  <c r="DI421" i="25"/>
  <c r="DI422" i="25"/>
  <c r="DI423" i="25"/>
  <c r="DI424" i="25"/>
  <c r="DI425" i="25"/>
  <c r="DI426" i="25"/>
  <c r="DI427" i="25"/>
  <c r="DI428" i="25"/>
  <c r="DI429" i="25"/>
  <c r="DI430" i="25"/>
  <c r="DI431" i="25"/>
  <c r="DI432" i="25"/>
  <c r="DI433" i="25"/>
  <c r="DI434" i="25"/>
  <c r="DI435" i="25"/>
  <c r="DI436" i="25"/>
  <c r="DI437" i="25"/>
  <c r="DI438" i="25"/>
  <c r="DI439" i="25"/>
  <c r="DI440" i="25"/>
  <c r="DI441" i="25"/>
  <c r="DI442" i="25"/>
  <c r="DI443" i="25"/>
  <c r="DI444" i="25"/>
  <c r="DI445" i="25"/>
  <c r="DI446" i="25"/>
  <c r="DI447" i="25"/>
  <c r="DI448" i="25"/>
  <c r="DI449" i="25"/>
  <c r="DI450" i="25"/>
  <c r="DI451" i="25"/>
  <c r="DI452" i="25"/>
  <c r="DI453" i="25"/>
  <c r="DI454" i="25"/>
  <c r="DI455" i="25"/>
  <c r="DI456" i="25"/>
  <c r="DI457" i="25"/>
  <c r="DI458" i="25"/>
  <c r="DI459" i="25"/>
  <c r="DI460" i="25"/>
  <c r="DI461" i="25"/>
  <c r="DI462" i="25"/>
  <c r="DI463" i="25"/>
  <c r="DI464" i="25"/>
  <c r="DI465" i="25"/>
  <c r="DI466" i="25"/>
  <c r="DI467" i="25"/>
  <c r="DI468" i="25"/>
  <c r="DI469" i="25"/>
  <c r="DI470" i="25"/>
  <c r="DI471" i="25"/>
  <c r="DI472" i="25"/>
  <c r="DI473" i="25"/>
  <c r="DI474" i="25"/>
  <c r="DI475" i="25"/>
  <c r="DI476" i="25"/>
  <c r="DI477" i="25"/>
  <c r="DI478" i="25"/>
  <c r="DI479" i="25"/>
  <c r="DI480" i="25"/>
  <c r="DI481" i="25"/>
  <c r="DI482" i="25"/>
  <c r="DI483" i="25"/>
  <c r="DI484" i="25"/>
  <c r="DI485" i="25"/>
  <c r="DI486" i="25"/>
  <c r="DI487" i="25"/>
  <c r="DI488" i="25"/>
  <c r="DI489" i="25"/>
  <c r="DI490" i="25"/>
  <c r="DI491" i="25"/>
  <c r="DI492" i="25"/>
  <c r="DI493" i="25"/>
  <c r="DI494" i="25"/>
  <c r="DI495" i="25"/>
  <c r="DI496" i="25"/>
  <c r="DI497" i="25"/>
  <c r="DI498" i="25"/>
  <c r="DI499" i="25"/>
  <c r="DI500" i="25"/>
  <c r="DI501" i="25"/>
  <c r="DI502" i="25"/>
  <c r="DI503" i="25"/>
  <c r="DI504" i="25"/>
  <c r="DI505" i="25"/>
  <c r="DI506" i="25"/>
  <c r="DI507" i="25"/>
  <c r="DI508" i="25"/>
  <c r="DI509" i="25"/>
  <c r="DI510" i="25"/>
  <c r="DI511" i="25"/>
  <c r="DI512" i="25"/>
  <c r="DI513" i="25"/>
  <c r="DI514" i="25"/>
  <c r="DI515" i="25"/>
  <c r="DI516" i="25"/>
  <c r="DI517" i="25"/>
  <c r="DI518" i="25"/>
  <c r="DI519" i="25"/>
  <c r="DI520" i="25"/>
  <c r="DI521" i="25"/>
  <c r="DI522" i="25"/>
  <c r="DI523" i="25"/>
  <c r="DI524" i="25"/>
  <c r="DI525" i="25"/>
  <c r="DI526" i="25"/>
  <c r="DI527" i="25"/>
  <c r="DI528" i="25"/>
  <c r="DI529" i="25"/>
  <c r="DI530" i="25"/>
  <c r="DI531" i="25"/>
  <c r="DI532" i="25"/>
  <c r="DI533" i="25"/>
  <c r="DI534" i="25"/>
  <c r="DI535" i="25"/>
  <c r="DI536" i="25"/>
  <c r="DI537" i="25"/>
  <c r="DI538" i="25"/>
  <c r="DI539" i="25"/>
  <c r="DI540" i="25"/>
  <c r="DI541" i="25"/>
  <c r="DI542" i="25"/>
  <c r="DI543" i="25"/>
  <c r="DI544" i="25"/>
  <c r="DI545" i="25"/>
  <c r="DI546" i="25"/>
  <c r="DI547" i="25"/>
  <c r="DI548" i="25"/>
  <c r="DI549" i="25"/>
  <c r="DI550" i="25"/>
  <c r="DI551" i="25"/>
  <c r="DI552" i="25"/>
  <c r="DI553" i="25"/>
  <c r="DI554" i="25"/>
  <c r="DI555" i="25"/>
  <c r="DI556" i="25"/>
  <c r="DI557" i="25"/>
  <c r="DI558" i="25"/>
  <c r="DI559" i="25"/>
  <c r="DI560" i="25"/>
  <c r="DI561" i="25"/>
  <c r="DI562" i="25"/>
  <c r="DI563" i="25"/>
  <c r="DI564" i="25"/>
  <c r="DI565" i="25"/>
  <c r="DI566" i="25"/>
  <c r="DI567" i="25"/>
  <c r="DI568" i="25"/>
  <c r="DI569" i="25"/>
  <c r="DI570" i="25"/>
  <c r="DI579" i="25"/>
  <c r="DI572" i="25"/>
  <c r="DI573" i="25"/>
  <c r="DI574" i="25"/>
  <c r="DI575" i="25"/>
  <c r="DI576" i="25"/>
  <c r="DI577" i="25"/>
  <c r="DI578" i="25"/>
  <c r="DI582" i="25"/>
  <c r="DI580" i="25"/>
  <c r="DI581" i="25"/>
  <c r="DI588" i="25"/>
  <c r="DI583" i="25"/>
  <c r="DI584" i="25"/>
  <c r="DI585" i="25"/>
  <c r="DI586" i="25"/>
  <c r="DI587" i="25"/>
  <c r="DI596" i="25"/>
  <c r="DI589" i="25"/>
  <c r="DI590" i="25"/>
  <c r="DI591" i="25"/>
  <c r="DI592" i="25"/>
  <c r="DI593" i="25"/>
  <c r="DI594" i="25"/>
  <c r="DI595" i="25"/>
  <c r="DI598" i="25"/>
  <c r="DI597" i="25"/>
  <c r="DI571" i="25"/>
  <c r="DI599" i="25"/>
  <c r="DI600" i="25"/>
  <c r="DI601" i="25"/>
  <c r="DI602" i="25"/>
  <c r="DI603" i="25"/>
  <c r="DI604" i="25"/>
  <c r="DI605" i="25"/>
  <c r="DI606" i="25"/>
  <c r="DI607" i="25"/>
  <c r="DI608" i="25"/>
  <c r="DI609" i="25"/>
  <c r="DI610" i="25"/>
  <c r="DI611" i="25"/>
  <c r="DI612" i="25"/>
  <c r="DI613" i="25"/>
  <c r="DI614" i="25"/>
  <c r="DI615" i="25"/>
  <c r="DI616" i="25"/>
  <c r="DI617" i="25"/>
  <c r="DI618" i="25"/>
  <c r="DI619" i="25"/>
  <c r="DI620" i="25"/>
  <c r="DI621" i="25"/>
  <c r="DI622" i="25"/>
  <c r="DI623" i="25"/>
  <c r="DI624" i="25"/>
  <c r="DI625" i="25"/>
  <c r="DI626" i="25"/>
  <c r="DI627" i="25"/>
  <c r="DI628" i="25"/>
  <c r="DI629" i="25"/>
  <c r="DI630" i="25"/>
  <c r="DI631" i="25"/>
  <c r="DI632" i="25"/>
  <c r="DI633" i="25"/>
  <c r="DI634" i="25"/>
  <c r="DI635" i="25"/>
  <c r="DI636" i="25"/>
  <c r="DI637" i="25"/>
  <c r="DI638" i="25"/>
  <c r="DI639" i="25"/>
  <c r="DI640" i="25"/>
  <c r="DI641" i="25"/>
  <c r="DI642" i="25"/>
  <c r="DI643" i="25"/>
  <c r="DI644" i="25"/>
  <c r="DI645" i="25"/>
  <c r="DI646" i="25"/>
  <c r="DI647" i="25"/>
  <c r="DI648" i="25"/>
  <c r="DI649" i="25"/>
  <c r="DI650" i="25"/>
  <c r="DI651" i="25"/>
  <c r="DI652" i="25"/>
  <c r="DI653" i="25"/>
  <c r="DI654" i="25"/>
  <c r="DI655" i="25"/>
  <c r="DI656" i="25"/>
  <c r="DI657" i="25"/>
  <c r="DI658" i="25"/>
  <c r="DI659" i="25"/>
  <c r="DI660" i="25"/>
  <c r="DI661" i="25"/>
  <c r="DI662" i="25"/>
  <c r="DI663" i="25"/>
  <c r="DI664" i="25"/>
  <c r="DI665" i="25"/>
  <c r="DI666" i="25"/>
  <c r="DI667" i="25"/>
  <c r="DI668" i="25"/>
  <c r="DI669" i="25"/>
  <c r="DI670" i="25"/>
  <c r="DI671" i="25"/>
  <c r="DI672" i="25"/>
  <c r="DI673" i="25"/>
  <c r="DI674" i="25"/>
  <c r="DI675" i="25"/>
  <c r="DI676" i="25"/>
  <c r="DI677" i="25"/>
  <c r="DI678" i="25"/>
  <c r="DI679" i="25"/>
  <c r="DI680" i="25"/>
  <c r="DI681" i="25"/>
  <c r="DI682" i="25"/>
  <c r="DI683" i="25"/>
  <c r="DI684" i="25"/>
  <c r="DI685" i="25"/>
  <c r="DI686" i="25"/>
  <c r="DI687" i="25"/>
  <c r="DI688" i="25"/>
  <c r="DI689" i="25"/>
  <c r="DI690" i="25"/>
  <c r="DI691" i="25"/>
  <c r="DI692" i="25"/>
  <c r="DI693" i="25"/>
  <c r="DI694" i="25"/>
  <c r="DI695" i="25"/>
  <c r="DI696" i="25"/>
  <c r="DI697" i="25"/>
  <c r="DI698" i="25"/>
  <c r="DI699" i="25"/>
  <c r="DI700" i="25"/>
  <c r="DI701" i="25"/>
  <c r="DI705" i="25"/>
  <c r="DI702" i="25"/>
  <c r="DI707" i="25"/>
  <c r="DI708" i="25"/>
  <c r="DI704" i="25"/>
  <c r="DI706" i="25"/>
  <c r="DI709" i="25"/>
  <c r="DI710" i="25"/>
  <c r="DI717" i="25"/>
  <c r="DI711" i="25"/>
  <c r="DI712" i="25"/>
  <c r="DI713" i="25"/>
  <c r="DI714" i="25"/>
  <c r="DI718" i="25"/>
  <c r="DI719" i="25"/>
  <c r="DI721" i="25"/>
  <c r="DI720" i="25"/>
  <c r="DI722" i="25"/>
  <c r="DI723" i="25"/>
  <c r="DI724" i="25"/>
  <c r="DI725" i="25"/>
  <c r="DI726" i="25"/>
  <c r="DI728" i="25"/>
  <c r="DI729" i="25"/>
  <c r="DI730" i="25"/>
  <c r="DI727" i="25"/>
  <c r="DI731" i="25"/>
  <c r="DI732" i="25"/>
  <c r="DI733" i="25"/>
  <c r="DI734" i="25"/>
  <c r="DI735" i="25"/>
  <c r="DI736" i="25"/>
  <c r="DI737" i="25"/>
  <c r="DI738" i="25"/>
  <c r="DI739" i="25"/>
  <c r="DI740" i="25"/>
  <c r="DI745" i="25"/>
  <c r="DI742" i="25"/>
  <c r="DI743" i="25"/>
  <c r="DI744" i="25"/>
  <c r="DI746" i="25"/>
  <c r="DI747" i="25"/>
  <c r="DI715" i="25"/>
  <c r="DI716" i="25"/>
  <c r="DI703" i="25"/>
  <c r="DI741" i="25"/>
  <c r="G741" i="25" l="1"/>
  <c r="BQ741" i="25"/>
  <c r="BR741" i="25"/>
  <c r="BT741" i="25"/>
  <c r="BU741" i="25"/>
  <c r="BV741" i="25"/>
  <c r="BW741" i="25"/>
  <c r="BX741" i="25"/>
  <c r="CC741" i="25"/>
  <c r="CD741" i="25" s="1"/>
  <c r="CK741" i="25"/>
  <c r="CL741" i="25"/>
  <c r="CT741" i="25"/>
  <c r="CU741" i="25"/>
  <c r="CV741" i="25"/>
  <c r="CW741" i="25"/>
  <c r="DC741" i="25"/>
  <c r="DD741" i="25"/>
  <c r="DE741" i="25"/>
  <c r="DG741" i="25"/>
  <c r="DJ741" i="25"/>
  <c r="DK741" i="25"/>
  <c r="DL741" i="25"/>
  <c r="CO741" i="25" s="1"/>
  <c r="DM741" i="25"/>
  <c r="DN741" i="25"/>
  <c r="DO741" i="25"/>
  <c r="DP741" i="25"/>
  <c r="DQ741" i="25"/>
  <c r="DR741" i="25"/>
  <c r="G715" i="25"/>
  <c r="G716" i="25"/>
  <c r="G703" i="25"/>
  <c r="BQ715" i="25"/>
  <c r="BQ716" i="25"/>
  <c r="BQ703" i="25"/>
  <c r="BR715" i="25"/>
  <c r="BR716" i="25"/>
  <c r="BR703" i="25"/>
  <c r="BT715" i="25"/>
  <c r="BT716" i="25"/>
  <c r="BT703" i="25"/>
  <c r="BU715" i="25"/>
  <c r="BU716" i="25"/>
  <c r="BU703" i="25"/>
  <c r="BV715" i="25"/>
  <c r="BV716" i="25"/>
  <c r="BV703" i="25"/>
  <c r="BW715" i="25"/>
  <c r="BW716" i="25"/>
  <c r="BW703" i="25"/>
  <c r="BX715" i="25"/>
  <c r="BX716" i="25"/>
  <c r="BX703" i="25"/>
  <c r="CC715" i="25"/>
  <c r="CD715" i="25" s="1"/>
  <c r="CC716" i="25"/>
  <c r="CD716" i="25" s="1"/>
  <c r="CC703" i="25"/>
  <c r="CD703" i="25" s="1"/>
  <c r="CK715" i="25"/>
  <c r="CK716" i="25"/>
  <c r="CK703" i="25"/>
  <c r="CL715" i="25"/>
  <c r="CL716" i="25"/>
  <c r="CL703" i="25"/>
  <c r="CT715" i="25"/>
  <c r="CT716" i="25"/>
  <c r="CT703" i="25"/>
  <c r="CU715" i="25"/>
  <c r="DB715" i="25" s="1"/>
  <c r="CU716" i="25"/>
  <c r="DB716" i="25" s="1"/>
  <c r="CU703" i="25"/>
  <c r="CV715" i="25"/>
  <c r="CV716" i="25"/>
  <c r="CV703" i="25"/>
  <c r="CW715" i="25"/>
  <c r="CW716" i="25"/>
  <c r="CW703" i="25"/>
  <c r="DC715" i="25"/>
  <c r="DC716" i="25"/>
  <c r="DC703" i="25"/>
  <c r="DD715" i="25"/>
  <c r="DD716" i="25"/>
  <c r="DD703" i="25"/>
  <c r="DE715" i="25"/>
  <c r="DE716" i="25"/>
  <c r="DF716" i="25" s="1"/>
  <c r="DE703" i="25"/>
  <c r="DG715" i="25"/>
  <c r="DG716" i="25"/>
  <c r="DG703" i="25"/>
  <c r="DJ715" i="25"/>
  <c r="DJ716" i="25"/>
  <c r="DJ703" i="25"/>
  <c r="DK715" i="25"/>
  <c r="DK716" i="25"/>
  <c r="DK703" i="25"/>
  <c r="DL715" i="25"/>
  <c r="DL716" i="25"/>
  <c r="DL703" i="25"/>
  <c r="CP703" i="25" s="1"/>
  <c r="DM715" i="25"/>
  <c r="DM716" i="25"/>
  <c r="DM703" i="25"/>
  <c r="DN715" i="25"/>
  <c r="DN716" i="25"/>
  <c r="DN703" i="25"/>
  <c r="DO715" i="25"/>
  <c r="DO716" i="25"/>
  <c r="DO703" i="25"/>
  <c r="DP715" i="25"/>
  <c r="DP716" i="25"/>
  <c r="DP703" i="25"/>
  <c r="DQ715" i="25"/>
  <c r="DQ716" i="25"/>
  <c r="DQ703" i="25"/>
  <c r="DR715" i="25"/>
  <c r="DR716" i="25"/>
  <c r="DR703" i="25"/>
  <c r="X59" i="92"/>
  <c r="I60" i="92"/>
  <c r="AA59" i="92"/>
  <c r="M60" i="92"/>
  <c r="J59" i="92"/>
  <c r="L59" i="92"/>
  <c r="I59" i="92"/>
  <c r="Z60" i="92"/>
  <c r="J60" i="92"/>
  <c r="L60" i="92"/>
  <c r="W59" i="92"/>
  <c r="Z59" i="92"/>
  <c r="M59" i="92"/>
  <c r="AA60" i="92"/>
  <c r="X60" i="92"/>
  <c r="W60" i="92"/>
  <c r="DH716" i="25" l="1"/>
  <c r="CX716" i="25"/>
  <c r="CY716" i="25" s="1"/>
  <c r="CZ716" i="25" s="1"/>
  <c r="DA716" i="25" s="1"/>
  <c r="DH703" i="25"/>
  <c r="DF703" i="25"/>
  <c r="DH741" i="25"/>
  <c r="DF741" i="25"/>
  <c r="DH715" i="25"/>
  <c r="DF715" i="25"/>
  <c r="BS715" i="25"/>
  <c r="I62" i="92"/>
  <c r="J62" i="92"/>
  <c r="L62" i="92"/>
  <c r="M62" i="92"/>
  <c r="BS741" i="25"/>
  <c r="BY741" i="25"/>
  <c r="CA741" i="25" s="1"/>
  <c r="BS703" i="25"/>
  <c r="BZ741" i="25"/>
  <c r="BY716" i="25"/>
  <c r="CA716" i="25" s="1"/>
  <c r="BY703" i="25"/>
  <c r="BS716" i="25"/>
  <c r="CX741" i="25"/>
  <c r="CY741" i="25" s="1"/>
  <c r="CZ741" i="25" s="1"/>
  <c r="DA741" i="25" s="1"/>
  <c r="BZ716" i="25"/>
  <c r="BY715" i="25"/>
  <c r="BZ703" i="25"/>
  <c r="BZ715" i="25"/>
  <c r="CM741" i="25"/>
  <c r="CS741" i="25" s="1"/>
  <c r="CN715" i="25"/>
  <c r="CM715" i="25"/>
  <c r="CS715" i="25" s="1"/>
  <c r="CN703" i="25"/>
  <c r="CN716" i="25"/>
  <c r="CN741" i="25"/>
  <c r="CM703" i="25"/>
  <c r="CS703" i="25" s="1"/>
  <c r="CM716" i="25"/>
  <c r="CS716" i="25" s="1"/>
  <c r="CX703" i="25"/>
  <c r="CY703" i="25" s="1"/>
  <c r="CZ703" i="25" s="1"/>
  <c r="DA703" i="25" s="1"/>
  <c r="DB741" i="25"/>
  <c r="CX715" i="25"/>
  <c r="CY715" i="25" s="1"/>
  <c r="CZ715" i="25" s="1"/>
  <c r="DA715" i="25" s="1"/>
  <c r="CQ741" i="25"/>
  <c r="CR741" i="25" s="1"/>
  <c r="CP741" i="25"/>
  <c r="CP715" i="25"/>
  <c r="CP716" i="25"/>
  <c r="CO703" i="25"/>
  <c r="DB703" i="25"/>
  <c r="CO716" i="25"/>
  <c r="CQ703" i="25"/>
  <c r="CR703" i="25" s="1"/>
  <c r="CO715" i="25"/>
  <c r="CQ716" i="25"/>
  <c r="CR716" i="25" s="1"/>
  <c r="CQ715" i="25"/>
  <c r="CR715" i="25" s="1"/>
  <c r="CA715" i="25" l="1"/>
  <c r="CB715" i="25" s="1"/>
  <c r="CF715" i="25" s="1"/>
  <c r="CG715" i="25" s="1"/>
  <c r="CJ715" i="25" s="1"/>
  <c r="CA703" i="25"/>
  <c r="CB716" i="25"/>
  <c r="CF716" i="25" s="1"/>
  <c r="CG716" i="25" s="1"/>
  <c r="CJ716" i="25" s="1"/>
  <c r="CE716" i="25"/>
  <c r="CH716" i="25" s="1"/>
  <c r="CI716" i="25" s="1"/>
  <c r="CE741" i="25"/>
  <c r="CH741" i="25" s="1"/>
  <c r="CI741" i="25" s="1"/>
  <c r="CB741" i="25"/>
  <c r="CF741" i="25" s="1"/>
  <c r="CG741" i="25" s="1"/>
  <c r="CJ741" i="25" s="1"/>
  <c r="CE703" i="25"/>
  <c r="CH703" i="25" s="1"/>
  <c r="CI703" i="25" s="1"/>
  <c r="CB703" i="25"/>
  <c r="CF703" i="25" s="1"/>
  <c r="CG703" i="25" s="1"/>
  <c r="CJ703" i="25" s="1"/>
  <c r="G614" i="25"/>
  <c r="CE715" i="25" l="1"/>
  <c r="CH715" i="25" s="1"/>
  <c r="CI715" i="25" s="1"/>
  <c r="BQ614" i="25"/>
  <c r="BR614" i="25"/>
  <c r="BT614" i="25"/>
  <c r="BU614" i="25"/>
  <c r="BV614" i="25"/>
  <c r="BW614" i="25"/>
  <c r="BX614" i="25"/>
  <c r="CC614" i="25"/>
  <c r="CD614" i="25" s="1"/>
  <c r="CK614" i="25"/>
  <c r="CL614" i="25"/>
  <c r="CT614" i="25"/>
  <c r="CU614" i="25"/>
  <c r="DB614" i="25" s="1"/>
  <c r="CV614" i="25"/>
  <c r="CW614" i="25"/>
  <c r="DC614" i="25"/>
  <c r="DD614" i="25"/>
  <c r="DE614" i="25"/>
  <c r="DF614" i="25" s="1"/>
  <c r="DG614" i="25"/>
  <c r="DJ614" i="25"/>
  <c r="DK614" i="25"/>
  <c r="DL614" i="25"/>
  <c r="CO614" i="25" s="1"/>
  <c r="DM614" i="25"/>
  <c r="DN614" i="25"/>
  <c r="DO614" i="25"/>
  <c r="DP614" i="25"/>
  <c r="DQ614" i="25"/>
  <c r="DR614" i="25"/>
  <c r="DH614" i="25" l="1"/>
  <c r="BZ614" i="25"/>
  <c r="BY614" i="25"/>
  <c r="CA614" i="25" s="1"/>
  <c r="CB614" i="25" s="1"/>
  <c r="CF614" i="25" s="1"/>
  <c r="CG614" i="25" s="1"/>
  <c r="CJ614" i="25" s="1"/>
  <c r="CN614" i="25"/>
  <c r="CM614" i="25"/>
  <c r="CS614" i="25" s="1"/>
  <c r="CX614" i="25"/>
  <c r="CY614" i="25" s="1"/>
  <c r="CZ614" i="25" s="1"/>
  <c r="DA614" i="25" s="1"/>
  <c r="BS614" i="25"/>
  <c r="CQ614" i="25"/>
  <c r="CR614" i="25" s="1"/>
  <c r="CP614" i="25"/>
  <c r="CE614" i="25" l="1"/>
  <c r="CH614" i="25" s="1"/>
  <c r="CI614" i="25" s="1"/>
  <c r="G545" i="25" l="1"/>
  <c r="G546" i="25"/>
  <c r="G547" i="25"/>
  <c r="G548" i="25"/>
  <c r="G549" i="25"/>
  <c r="G550" i="25"/>
  <c r="G552" i="25"/>
  <c r="G555" i="25"/>
  <c r="G553" i="25"/>
  <c r="G554" i="25"/>
  <c r="G560" i="25"/>
  <c r="G564" i="25"/>
  <c r="G557" i="25"/>
  <c r="G573" i="25"/>
  <c r="G559" i="25"/>
  <c r="G551" i="25"/>
  <c r="G561" i="25"/>
  <c r="G556" i="25"/>
  <c r="G558" i="25"/>
  <c r="G562" i="25"/>
  <c r="G563" i="25"/>
  <c r="G565" i="25"/>
  <c r="G567" i="25"/>
  <c r="G568" i="25"/>
  <c r="G569" i="25"/>
  <c r="G570" i="25"/>
  <c r="G579" i="25"/>
  <c r="G572" i="25"/>
  <c r="G574" i="25"/>
  <c r="G578" i="25"/>
  <c r="G575" i="25"/>
  <c r="G576" i="25"/>
  <c r="G577" i="25"/>
  <c r="G647" i="25"/>
  <c r="G582" i="25"/>
  <c r="G658" i="25"/>
  <c r="G581" i="25"/>
  <c r="G588" i="25"/>
  <c r="G697" i="25"/>
  <c r="G698" i="25"/>
  <c r="G585" i="25"/>
  <c r="G586" i="25"/>
  <c r="G587" i="25"/>
  <c r="G596" i="25"/>
  <c r="G592" i="25"/>
  <c r="G593" i="25"/>
  <c r="G594" i="25"/>
  <c r="G611" i="25"/>
  <c r="G613" i="25"/>
  <c r="G589" i="25"/>
  <c r="G595" i="25"/>
  <c r="G598" i="25"/>
  <c r="G597" i="25"/>
  <c r="G571" i="25"/>
  <c r="G599" i="25"/>
  <c r="G600" i="25"/>
  <c r="G601" i="25"/>
  <c r="G602" i="25"/>
  <c r="G603" i="25"/>
  <c r="G604" i="25"/>
  <c r="G605" i="25"/>
  <c r="G606" i="25"/>
  <c r="G607" i="25"/>
  <c r="G608" i="25"/>
  <c r="G609" i="25"/>
  <c r="G610" i="25"/>
  <c r="G590" i="25"/>
  <c r="G612" i="25"/>
  <c r="G591" i="25"/>
  <c r="G615" i="25"/>
  <c r="G616" i="25"/>
  <c r="G617" i="25"/>
  <c r="G618" i="25"/>
  <c r="G619" i="25"/>
  <c r="G620" i="25"/>
  <c r="G621" i="25"/>
  <c r="G622" i="25"/>
  <c r="G623" i="25"/>
  <c r="G624" i="25"/>
  <c r="G625" i="25"/>
  <c r="G626" i="25"/>
  <c r="G627" i="25"/>
  <c r="G628" i="25"/>
  <c r="G629" i="25"/>
  <c r="G630" i="25"/>
  <c r="G631" i="25"/>
  <c r="G632" i="25"/>
  <c r="G633" i="25"/>
  <c r="G634" i="25"/>
  <c r="G635" i="25"/>
  <c r="G636" i="25"/>
  <c r="G637" i="25"/>
  <c r="G638" i="25"/>
  <c r="G639" i="25"/>
  <c r="G640" i="25"/>
  <c r="G641" i="25"/>
  <c r="G642" i="25"/>
  <c r="G643" i="25"/>
  <c r="G644" i="25"/>
  <c r="G645" i="25"/>
  <c r="G646" i="25"/>
  <c r="G583" i="25"/>
  <c r="G584" i="25"/>
  <c r="G649" i="25"/>
  <c r="G650" i="25"/>
  <c r="G651" i="25"/>
  <c r="G652" i="25"/>
  <c r="G653" i="25"/>
  <c r="G680" i="25"/>
  <c r="G655" i="25"/>
  <c r="G656" i="25"/>
  <c r="G684" i="25"/>
  <c r="G688" i="25"/>
  <c r="G659" i="25"/>
  <c r="G660" i="25"/>
  <c r="G661" i="25"/>
  <c r="G662" i="25"/>
  <c r="G663" i="25"/>
  <c r="G664" i="25"/>
  <c r="G665" i="25"/>
  <c r="G666" i="25"/>
  <c r="G667" i="25"/>
  <c r="G668" i="25"/>
  <c r="G669" i="25"/>
  <c r="G670" i="25"/>
  <c r="G671" i="25"/>
  <c r="G672" i="25"/>
  <c r="G673" i="25"/>
  <c r="G674" i="25"/>
  <c r="G675" i="25"/>
  <c r="G676" i="25"/>
  <c r="G677" i="25"/>
  <c r="G678" i="25"/>
  <c r="G679" i="25"/>
  <c r="G566" i="25"/>
  <c r="G681" i="25"/>
  <c r="G682" i="25"/>
  <c r="G683" i="25"/>
  <c r="G580" i="25"/>
  <c r="G685" i="25"/>
  <c r="G686" i="25"/>
  <c r="G687" i="25"/>
  <c r="G648" i="25"/>
  <c r="G689" i="25"/>
  <c r="G690" i="25"/>
  <c r="G654" i="25"/>
  <c r="G692" i="25"/>
  <c r="G657" i="25"/>
  <c r="G694" i="25"/>
  <c r="G695" i="25"/>
  <c r="G696" i="25"/>
  <c r="G691" i="25"/>
  <c r="G693" i="25"/>
  <c r="G699" i="25"/>
  <c r="G700" i="25"/>
  <c r="G701" i="25"/>
  <c r="G705" i="25"/>
  <c r="G706" i="25"/>
  <c r="G707" i="25"/>
  <c r="G708" i="25"/>
  <c r="G709" i="25"/>
  <c r="G710" i="25"/>
  <c r="G711" i="25"/>
  <c r="G712" i="25"/>
  <c r="G714" i="25"/>
  <c r="G717" i="25"/>
  <c r="G718" i="25"/>
  <c r="G719" i="25"/>
  <c r="G713" i="25"/>
  <c r="G721" i="25"/>
  <c r="G722" i="25"/>
  <c r="G723" i="25"/>
  <c r="G725" i="25"/>
  <c r="G726" i="25"/>
  <c r="G728" i="25"/>
  <c r="G729" i="25"/>
  <c r="G730" i="25"/>
  <c r="G727" i="25"/>
  <c r="G731" i="25"/>
  <c r="G732" i="25"/>
  <c r="G733" i="25"/>
  <c r="G734" i="25"/>
  <c r="G735" i="25"/>
  <c r="G736" i="25"/>
  <c r="G737" i="25"/>
  <c r="G738" i="25"/>
  <c r="G739" i="25"/>
  <c r="G740" i="25"/>
  <c r="G742" i="25"/>
  <c r="G743" i="25"/>
  <c r="G744" i="25"/>
  <c r="G746" i="25"/>
  <c r="G747" i="25"/>
  <c r="G745" i="25"/>
  <c r="G702" i="25"/>
  <c r="G720" i="25"/>
  <c r="G704" i="25"/>
  <c r="G724" i="25"/>
  <c r="BQ545" i="25"/>
  <c r="BQ546" i="25"/>
  <c r="BQ547" i="25"/>
  <c r="BQ548" i="25"/>
  <c r="BQ549" i="25"/>
  <c r="BQ550" i="25"/>
  <c r="BQ552" i="25"/>
  <c r="BQ555" i="25"/>
  <c r="BQ553" i="25"/>
  <c r="BQ554" i="25"/>
  <c r="BQ560" i="25"/>
  <c r="BQ564" i="25"/>
  <c r="BQ557" i="25"/>
  <c r="BQ573" i="25"/>
  <c r="BQ559" i="25"/>
  <c r="BQ551" i="25"/>
  <c r="BQ561" i="25"/>
  <c r="BQ556" i="25"/>
  <c r="BQ558" i="25"/>
  <c r="BQ562" i="25"/>
  <c r="BQ563" i="25"/>
  <c r="BQ565" i="25"/>
  <c r="BQ567" i="25"/>
  <c r="BQ568" i="25"/>
  <c r="BQ569" i="25"/>
  <c r="BQ570" i="25"/>
  <c r="BQ579" i="25"/>
  <c r="BQ572" i="25"/>
  <c r="BQ574" i="25"/>
  <c r="BQ578" i="25"/>
  <c r="BQ575" i="25"/>
  <c r="BQ576" i="25"/>
  <c r="BQ577" i="25"/>
  <c r="BQ647" i="25"/>
  <c r="BQ582" i="25"/>
  <c r="BQ658" i="25"/>
  <c r="BQ581" i="25"/>
  <c r="BQ588" i="25"/>
  <c r="BQ697" i="25"/>
  <c r="BQ698" i="25"/>
  <c r="BQ585" i="25"/>
  <c r="BQ586" i="25"/>
  <c r="BQ587" i="25"/>
  <c r="BQ596" i="25"/>
  <c r="BQ592" i="25"/>
  <c r="BQ593" i="25"/>
  <c r="BQ594" i="25"/>
  <c r="BQ611" i="25"/>
  <c r="BQ613" i="25"/>
  <c r="BQ589" i="25"/>
  <c r="BQ595" i="25"/>
  <c r="BQ598" i="25"/>
  <c r="BQ597" i="25"/>
  <c r="BQ571" i="25"/>
  <c r="BQ599" i="25"/>
  <c r="BQ600" i="25"/>
  <c r="BQ601" i="25"/>
  <c r="BQ602" i="25"/>
  <c r="BQ603" i="25"/>
  <c r="BQ604" i="25"/>
  <c r="BQ605" i="25"/>
  <c r="BQ606" i="25"/>
  <c r="BQ607" i="25"/>
  <c r="BQ608" i="25"/>
  <c r="BQ609" i="25"/>
  <c r="BQ610" i="25"/>
  <c r="BQ590" i="25"/>
  <c r="BQ612" i="25"/>
  <c r="BQ591" i="25"/>
  <c r="BQ615" i="25"/>
  <c r="BQ616" i="25"/>
  <c r="BQ617" i="25"/>
  <c r="BQ618" i="25"/>
  <c r="BQ619" i="25"/>
  <c r="BQ620" i="25"/>
  <c r="BQ621" i="25"/>
  <c r="BQ622" i="25"/>
  <c r="BQ623" i="25"/>
  <c r="BQ624" i="25"/>
  <c r="BQ625" i="25"/>
  <c r="BQ626" i="25"/>
  <c r="BQ627" i="25"/>
  <c r="BQ628" i="25"/>
  <c r="BQ629" i="25"/>
  <c r="BQ630" i="25"/>
  <c r="BQ631" i="25"/>
  <c r="BQ632" i="25"/>
  <c r="BQ633" i="25"/>
  <c r="BQ634" i="25"/>
  <c r="BQ635" i="25"/>
  <c r="BQ636" i="25"/>
  <c r="BQ637" i="25"/>
  <c r="BQ638" i="25"/>
  <c r="BQ639" i="25"/>
  <c r="BQ640" i="25"/>
  <c r="BQ641" i="25"/>
  <c r="BQ642" i="25"/>
  <c r="BQ643" i="25"/>
  <c r="BQ644" i="25"/>
  <c r="BQ645" i="25"/>
  <c r="BQ646" i="25"/>
  <c r="BQ583" i="25"/>
  <c r="BQ584" i="25"/>
  <c r="BQ649" i="25"/>
  <c r="BQ650" i="25"/>
  <c r="BQ651" i="25"/>
  <c r="BQ652" i="25"/>
  <c r="BQ653" i="25"/>
  <c r="BQ680" i="25"/>
  <c r="BQ655" i="25"/>
  <c r="BQ656" i="25"/>
  <c r="BQ684" i="25"/>
  <c r="BQ688" i="25"/>
  <c r="BQ659" i="25"/>
  <c r="BQ660" i="25"/>
  <c r="BQ661" i="25"/>
  <c r="BQ662" i="25"/>
  <c r="BQ663" i="25"/>
  <c r="BQ664" i="25"/>
  <c r="BQ665" i="25"/>
  <c r="BQ666" i="25"/>
  <c r="BQ667" i="25"/>
  <c r="BQ668" i="25"/>
  <c r="BQ669" i="25"/>
  <c r="BQ670" i="25"/>
  <c r="BQ671" i="25"/>
  <c r="BQ672" i="25"/>
  <c r="BQ673" i="25"/>
  <c r="BQ674" i="25"/>
  <c r="BQ675" i="25"/>
  <c r="BQ676" i="25"/>
  <c r="BQ677" i="25"/>
  <c r="BQ678" i="25"/>
  <c r="BQ679" i="25"/>
  <c r="BQ566" i="25"/>
  <c r="BQ681" i="25"/>
  <c r="BQ682" i="25"/>
  <c r="BQ683" i="25"/>
  <c r="BQ580" i="25"/>
  <c r="BQ685" i="25"/>
  <c r="BQ686" i="25"/>
  <c r="BQ687" i="25"/>
  <c r="BQ648" i="25"/>
  <c r="BQ689" i="25"/>
  <c r="BQ690" i="25"/>
  <c r="BQ654" i="25"/>
  <c r="BQ692" i="25"/>
  <c r="BQ657" i="25"/>
  <c r="BQ694" i="25"/>
  <c r="BQ695" i="25"/>
  <c r="BQ696" i="25"/>
  <c r="BQ691" i="25"/>
  <c r="BQ693" i="25"/>
  <c r="BQ699" i="25"/>
  <c r="BQ700" i="25"/>
  <c r="BQ701" i="25"/>
  <c r="BQ705" i="25"/>
  <c r="BQ706" i="25"/>
  <c r="BQ707" i="25"/>
  <c r="BQ708" i="25"/>
  <c r="BQ709" i="25"/>
  <c r="BQ710" i="25"/>
  <c r="BQ711" i="25"/>
  <c r="BQ712" i="25"/>
  <c r="BQ714" i="25"/>
  <c r="BQ717" i="25"/>
  <c r="BQ718" i="25"/>
  <c r="BQ719" i="25"/>
  <c r="BQ713" i="25"/>
  <c r="BQ721" i="25"/>
  <c r="BQ722" i="25"/>
  <c r="BQ723" i="25"/>
  <c r="BQ725" i="25"/>
  <c r="BQ726" i="25"/>
  <c r="BQ728" i="25"/>
  <c r="BQ729" i="25"/>
  <c r="BQ730" i="25"/>
  <c r="BQ727" i="25"/>
  <c r="BQ731" i="25"/>
  <c r="BQ732" i="25"/>
  <c r="BQ733" i="25"/>
  <c r="BQ734" i="25"/>
  <c r="BQ735" i="25"/>
  <c r="BQ736" i="25"/>
  <c r="BQ737" i="25"/>
  <c r="BQ738" i="25"/>
  <c r="BQ739" i="25"/>
  <c r="BQ740" i="25"/>
  <c r="BQ742" i="25"/>
  <c r="BQ743" i="25"/>
  <c r="BQ744" i="25"/>
  <c r="BQ746" i="25"/>
  <c r="BQ747" i="25"/>
  <c r="BQ745" i="25"/>
  <c r="BQ702" i="25"/>
  <c r="BQ720" i="25"/>
  <c r="BQ704" i="25"/>
  <c r="BQ724" i="25"/>
  <c r="BR545" i="25"/>
  <c r="BR546" i="25"/>
  <c r="BR547" i="25"/>
  <c r="BR548" i="25"/>
  <c r="BR549" i="25"/>
  <c r="BR550" i="25"/>
  <c r="BR552" i="25"/>
  <c r="BR555" i="25"/>
  <c r="BR553" i="25"/>
  <c r="BR554" i="25"/>
  <c r="BR560" i="25"/>
  <c r="BR564" i="25"/>
  <c r="BR557" i="25"/>
  <c r="BR573" i="25"/>
  <c r="BR559" i="25"/>
  <c r="BR551" i="25"/>
  <c r="BR561" i="25"/>
  <c r="BR556" i="25"/>
  <c r="BR558" i="25"/>
  <c r="BR562" i="25"/>
  <c r="BR563" i="25"/>
  <c r="BR565" i="25"/>
  <c r="BR567" i="25"/>
  <c r="BR568" i="25"/>
  <c r="BR569" i="25"/>
  <c r="BR570" i="25"/>
  <c r="BR579" i="25"/>
  <c r="BR572" i="25"/>
  <c r="BR574" i="25"/>
  <c r="BR578" i="25"/>
  <c r="BR575" i="25"/>
  <c r="BR576" i="25"/>
  <c r="BR577" i="25"/>
  <c r="BR647" i="25"/>
  <c r="BR582" i="25"/>
  <c r="BR658" i="25"/>
  <c r="BR581" i="25"/>
  <c r="BR588" i="25"/>
  <c r="BR697" i="25"/>
  <c r="BR698" i="25"/>
  <c r="BR585" i="25"/>
  <c r="BR586" i="25"/>
  <c r="BR587" i="25"/>
  <c r="BR596" i="25"/>
  <c r="BR592" i="25"/>
  <c r="BR593" i="25"/>
  <c r="BR594" i="25"/>
  <c r="BR611" i="25"/>
  <c r="BR613" i="25"/>
  <c r="BR589" i="25"/>
  <c r="BR595" i="25"/>
  <c r="BR598" i="25"/>
  <c r="BR597" i="25"/>
  <c r="BR571" i="25"/>
  <c r="BR599" i="25"/>
  <c r="BR600" i="25"/>
  <c r="BR601" i="25"/>
  <c r="BR602" i="25"/>
  <c r="BR603" i="25"/>
  <c r="BR604" i="25"/>
  <c r="BR605" i="25"/>
  <c r="BR606" i="25"/>
  <c r="BR607" i="25"/>
  <c r="BR608" i="25"/>
  <c r="BR609" i="25"/>
  <c r="BR610" i="25"/>
  <c r="BR590" i="25"/>
  <c r="BR612" i="25"/>
  <c r="BR591" i="25"/>
  <c r="BR615" i="25"/>
  <c r="BR616" i="25"/>
  <c r="BR617" i="25"/>
  <c r="BR618" i="25"/>
  <c r="BR619" i="25"/>
  <c r="BR620" i="25"/>
  <c r="BR621" i="25"/>
  <c r="BR622" i="25"/>
  <c r="BR623" i="25"/>
  <c r="BR624" i="25"/>
  <c r="BR625" i="25"/>
  <c r="BR626" i="25"/>
  <c r="BR627" i="25"/>
  <c r="BR628" i="25"/>
  <c r="BR629" i="25"/>
  <c r="BR630" i="25"/>
  <c r="BR631" i="25"/>
  <c r="BR632" i="25"/>
  <c r="BR633" i="25"/>
  <c r="BR634" i="25"/>
  <c r="BR635" i="25"/>
  <c r="BR636" i="25"/>
  <c r="BR637" i="25"/>
  <c r="BR638" i="25"/>
  <c r="BR639" i="25"/>
  <c r="BR640" i="25"/>
  <c r="BR641" i="25"/>
  <c r="BR642" i="25"/>
  <c r="BR643" i="25"/>
  <c r="BR644" i="25"/>
  <c r="BR645" i="25"/>
  <c r="BR646" i="25"/>
  <c r="BR583" i="25"/>
  <c r="BR584" i="25"/>
  <c r="BR649" i="25"/>
  <c r="BR650" i="25"/>
  <c r="BR651" i="25"/>
  <c r="BR652" i="25"/>
  <c r="BR653" i="25"/>
  <c r="BR680" i="25"/>
  <c r="BR655" i="25"/>
  <c r="BR656" i="25"/>
  <c r="BR684" i="25"/>
  <c r="BR688" i="25"/>
  <c r="BR659" i="25"/>
  <c r="BR660" i="25"/>
  <c r="BR661" i="25"/>
  <c r="BR662" i="25"/>
  <c r="BR663" i="25"/>
  <c r="BR664" i="25"/>
  <c r="BR665" i="25"/>
  <c r="BR666" i="25"/>
  <c r="BR667" i="25"/>
  <c r="BR668" i="25"/>
  <c r="BR669" i="25"/>
  <c r="BR670" i="25"/>
  <c r="BR671" i="25"/>
  <c r="BR672" i="25"/>
  <c r="BR673" i="25"/>
  <c r="BR674" i="25"/>
  <c r="BR675" i="25"/>
  <c r="BR676" i="25"/>
  <c r="BR677" i="25"/>
  <c r="BR678" i="25"/>
  <c r="BR679" i="25"/>
  <c r="BR566" i="25"/>
  <c r="BR681" i="25"/>
  <c r="BR682" i="25"/>
  <c r="BR683" i="25"/>
  <c r="BR580" i="25"/>
  <c r="BR685" i="25"/>
  <c r="BR686" i="25"/>
  <c r="BR687" i="25"/>
  <c r="BR648" i="25"/>
  <c r="BR689" i="25"/>
  <c r="BR690" i="25"/>
  <c r="BR654" i="25"/>
  <c r="BR692" i="25"/>
  <c r="BR657" i="25"/>
  <c r="BR694" i="25"/>
  <c r="BR695" i="25"/>
  <c r="BR696" i="25"/>
  <c r="BR691" i="25"/>
  <c r="BR693" i="25"/>
  <c r="BR699" i="25"/>
  <c r="BR700" i="25"/>
  <c r="BR701" i="25"/>
  <c r="BR705" i="25"/>
  <c r="BR706" i="25"/>
  <c r="BR707" i="25"/>
  <c r="BR708" i="25"/>
  <c r="BR709" i="25"/>
  <c r="BR710" i="25"/>
  <c r="BR711" i="25"/>
  <c r="BR712" i="25"/>
  <c r="BR714" i="25"/>
  <c r="BR717" i="25"/>
  <c r="BR718" i="25"/>
  <c r="BR719" i="25"/>
  <c r="BR713" i="25"/>
  <c r="BR721" i="25"/>
  <c r="BR722" i="25"/>
  <c r="BR723" i="25"/>
  <c r="BR725" i="25"/>
  <c r="BR726" i="25"/>
  <c r="BR728" i="25"/>
  <c r="BR729" i="25"/>
  <c r="BR730" i="25"/>
  <c r="BR727" i="25"/>
  <c r="BR731" i="25"/>
  <c r="BR732" i="25"/>
  <c r="BR733" i="25"/>
  <c r="BR734" i="25"/>
  <c r="BR735" i="25"/>
  <c r="BR736" i="25"/>
  <c r="BR737" i="25"/>
  <c r="BR738" i="25"/>
  <c r="BR739" i="25"/>
  <c r="BR740" i="25"/>
  <c r="BR742" i="25"/>
  <c r="BR743" i="25"/>
  <c r="BR744" i="25"/>
  <c r="BR746" i="25"/>
  <c r="BR747" i="25"/>
  <c r="BR745" i="25"/>
  <c r="BR702" i="25"/>
  <c r="BR720" i="25"/>
  <c r="BR704" i="25"/>
  <c r="BR724" i="25"/>
  <c r="BT545" i="25"/>
  <c r="BT546" i="25"/>
  <c r="BT547" i="25"/>
  <c r="BT548" i="25"/>
  <c r="BT549" i="25"/>
  <c r="BT550" i="25"/>
  <c r="BT552" i="25"/>
  <c r="BT555" i="25"/>
  <c r="BT553" i="25"/>
  <c r="BT554" i="25"/>
  <c r="BT560" i="25"/>
  <c r="BT564" i="25"/>
  <c r="BT557" i="25"/>
  <c r="BT573" i="25"/>
  <c r="BT559" i="25"/>
  <c r="BT551" i="25"/>
  <c r="BT561" i="25"/>
  <c r="BT556" i="25"/>
  <c r="BT558" i="25"/>
  <c r="BT562" i="25"/>
  <c r="BT563" i="25"/>
  <c r="BT565" i="25"/>
  <c r="BT567" i="25"/>
  <c r="BT568" i="25"/>
  <c r="BT569" i="25"/>
  <c r="BT570" i="25"/>
  <c r="BT579" i="25"/>
  <c r="BT572" i="25"/>
  <c r="BT574" i="25"/>
  <c r="BT578" i="25"/>
  <c r="BT575" i="25"/>
  <c r="BT576" i="25"/>
  <c r="BT577" i="25"/>
  <c r="BT647" i="25"/>
  <c r="BT582" i="25"/>
  <c r="BT658" i="25"/>
  <c r="BT581" i="25"/>
  <c r="BT588" i="25"/>
  <c r="BT697" i="25"/>
  <c r="BT698" i="25"/>
  <c r="BT585" i="25"/>
  <c r="BT586" i="25"/>
  <c r="BT587" i="25"/>
  <c r="BT596" i="25"/>
  <c r="BT592" i="25"/>
  <c r="BT593" i="25"/>
  <c r="BT594" i="25"/>
  <c r="BT611" i="25"/>
  <c r="BT613" i="25"/>
  <c r="BT589" i="25"/>
  <c r="BT595" i="25"/>
  <c r="BT598" i="25"/>
  <c r="BT597" i="25"/>
  <c r="BT571" i="25"/>
  <c r="BT599" i="25"/>
  <c r="BT600" i="25"/>
  <c r="BT601" i="25"/>
  <c r="BT602" i="25"/>
  <c r="BT603" i="25"/>
  <c r="BT604" i="25"/>
  <c r="BT605" i="25"/>
  <c r="BT606" i="25"/>
  <c r="BT607" i="25"/>
  <c r="BT608" i="25"/>
  <c r="BT609" i="25"/>
  <c r="BT610" i="25"/>
  <c r="BT590" i="25"/>
  <c r="BT612" i="25"/>
  <c r="BT591" i="25"/>
  <c r="BT615" i="25"/>
  <c r="BT616" i="25"/>
  <c r="BT617" i="25"/>
  <c r="BT618" i="25"/>
  <c r="BT619" i="25"/>
  <c r="BT620" i="25"/>
  <c r="BT621" i="25"/>
  <c r="BT622" i="25"/>
  <c r="BT623" i="25"/>
  <c r="BT624" i="25"/>
  <c r="BT625" i="25"/>
  <c r="BT626" i="25"/>
  <c r="BT627" i="25"/>
  <c r="BT628" i="25"/>
  <c r="BT629" i="25"/>
  <c r="BT630" i="25"/>
  <c r="BT631" i="25"/>
  <c r="BT632" i="25"/>
  <c r="BT633" i="25"/>
  <c r="BT634" i="25"/>
  <c r="BT635" i="25"/>
  <c r="BT636" i="25"/>
  <c r="BT637" i="25"/>
  <c r="BT638" i="25"/>
  <c r="BT639" i="25"/>
  <c r="BT640" i="25"/>
  <c r="BT641" i="25"/>
  <c r="BT642" i="25"/>
  <c r="BT643" i="25"/>
  <c r="BT644" i="25"/>
  <c r="BT645" i="25"/>
  <c r="BT646" i="25"/>
  <c r="BT583" i="25"/>
  <c r="BT584" i="25"/>
  <c r="BT649" i="25"/>
  <c r="BT650" i="25"/>
  <c r="BT651" i="25"/>
  <c r="BT652" i="25"/>
  <c r="BT653" i="25"/>
  <c r="BT680" i="25"/>
  <c r="BT655" i="25"/>
  <c r="BT656" i="25"/>
  <c r="BT684" i="25"/>
  <c r="BT688" i="25"/>
  <c r="BT659" i="25"/>
  <c r="BT660" i="25"/>
  <c r="BT661" i="25"/>
  <c r="BT662" i="25"/>
  <c r="BT663" i="25"/>
  <c r="BT664" i="25"/>
  <c r="BT665" i="25"/>
  <c r="BT666" i="25"/>
  <c r="BT667" i="25"/>
  <c r="BT668" i="25"/>
  <c r="BT669" i="25"/>
  <c r="BT670" i="25"/>
  <c r="BT671" i="25"/>
  <c r="BT672" i="25"/>
  <c r="BT673" i="25"/>
  <c r="BT674" i="25"/>
  <c r="BT675" i="25"/>
  <c r="BT676" i="25"/>
  <c r="BT677" i="25"/>
  <c r="BT678" i="25"/>
  <c r="BT679" i="25"/>
  <c r="BT566" i="25"/>
  <c r="BT681" i="25"/>
  <c r="BT682" i="25"/>
  <c r="BT683" i="25"/>
  <c r="BT580" i="25"/>
  <c r="BT685" i="25"/>
  <c r="BT686" i="25"/>
  <c r="BT687" i="25"/>
  <c r="BT648" i="25"/>
  <c r="BT689" i="25"/>
  <c r="BT690" i="25"/>
  <c r="BT654" i="25"/>
  <c r="BT692" i="25"/>
  <c r="BT657" i="25"/>
  <c r="BT694" i="25"/>
  <c r="BT695" i="25"/>
  <c r="BT696" i="25"/>
  <c r="BT691" i="25"/>
  <c r="BT693" i="25"/>
  <c r="BT699" i="25"/>
  <c r="BT700" i="25"/>
  <c r="BT701" i="25"/>
  <c r="BT705" i="25"/>
  <c r="BT706" i="25"/>
  <c r="BT707" i="25"/>
  <c r="BT708" i="25"/>
  <c r="BT709" i="25"/>
  <c r="BT710" i="25"/>
  <c r="BT711" i="25"/>
  <c r="BT712" i="25"/>
  <c r="BT714" i="25"/>
  <c r="BT717" i="25"/>
  <c r="BT718" i="25"/>
  <c r="BT719" i="25"/>
  <c r="BT713" i="25"/>
  <c r="BT721" i="25"/>
  <c r="BT722" i="25"/>
  <c r="BT723" i="25"/>
  <c r="BT725" i="25"/>
  <c r="BT726" i="25"/>
  <c r="BT728" i="25"/>
  <c r="BT729" i="25"/>
  <c r="BT730" i="25"/>
  <c r="BT727" i="25"/>
  <c r="BT731" i="25"/>
  <c r="BT732" i="25"/>
  <c r="BT733" i="25"/>
  <c r="BT734" i="25"/>
  <c r="BT735" i="25"/>
  <c r="BT736" i="25"/>
  <c r="BT737" i="25"/>
  <c r="BT738" i="25"/>
  <c r="BT739" i="25"/>
  <c r="BT740" i="25"/>
  <c r="BT742" i="25"/>
  <c r="BT743" i="25"/>
  <c r="BT744" i="25"/>
  <c r="BT746" i="25"/>
  <c r="BT747" i="25"/>
  <c r="BT745" i="25"/>
  <c r="BT702" i="25"/>
  <c r="BT720" i="25"/>
  <c r="BT704" i="25"/>
  <c r="BT724" i="25"/>
  <c r="BU545" i="25"/>
  <c r="BU546" i="25"/>
  <c r="BU547" i="25"/>
  <c r="BU548" i="25"/>
  <c r="BU549" i="25"/>
  <c r="BU550" i="25"/>
  <c r="BU552" i="25"/>
  <c r="BU555" i="25"/>
  <c r="BU553" i="25"/>
  <c r="BU554" i="25"/>
  <c r="BU560" i="25"/>
  <c r="BU564" i="25"/>
  <c r="BU557" i="25"/>
  <c r="BU573" i="25"/>
  <c r="BU559" i="25"/>
  <c r="BU551" i="25"/>
  <c r="BU561" i="25"/>
  <c r="BU556" i="25"/>
  <c r="BU558" i="25"/>
  <c r="BU562" i="25"/>
  <c r="BU563" i="25"/>
  <c r="BU565" i="25"/>
  <c r="BU567" i="25"/>
  <c r="BU568" i="25"/>
  <c r="BU569" i="25"/>
  <c r="BU570" i="25"/>
  <c r="BU579" i="25"/>
  <c r="BU572" i="25"/>
  <c r="BU574" i="25"/>
  <c r="BU578" i="25"/>
  <c r="BU575" i="25"/>
  <c r="BU576" i="25"/>
  <c r="BU577" i="25"/>
  <c r="BU647" i="25"/>
  <c r="BU582" i="25"/>
  <c r="BU658" i="25"/>
  <c r="BU581" i="25"/>
  <c r="BU588" i="25"/>
  <c r="BU697" i="25"/>
  <c r="BU698" i="25"/>
  <c r="BU585" i="25"/>
  <c r="BU586" i="25"/>
  <c r="BU587" i="25"/>
  <c r="BU596" i="25"/>
  <c r="BU592" i="25"/>
  <c r="BU593" i="25"/>
  <c r="BU594" i="25"/>
  <c r="BU611" i="25"/>
  <c r="BU613" i="25"/>
  <c r="BU589" i="25"/>
  <c r="BU595" i="25"/>
  <c r="BU598" i="25"/>
  <c r="BU597" i="25"/>
  <c r="BU571" i="25"/>
  <c r="BU599" i="25"/>
  <c r="BU600" i="25"/>
  <c r="BU601" i="25"/>
  <c r="BU602" i="25"/>
  <c r="BU603" i="25"/>
  <c r="BU604" i="25"/>
  <c r="BU605" i="25"/>
  <c r="BU606" i="25"/>
  <c r="BU607" i="25"/>
  <c r="BU608" i="25"/>
  <c r="BU609" i="25"/>
  <c r="BU610" i="25"/>
  <c r="BU590" i="25"/>
  <c r="BU612" i="25"/>
  <c r="BU591" i="25"/>
  <c r="BU615" i="25"/>
  <c r="BU616" i="25"/>
  <c r="BU617" i="25"/>
  <c r="BU618" i="25"/>
  <c r="BU619" i="25"/>
  <c r="BU620" i="25"/>
  <c r="BU621" i="25"/>
  <c r="BU622" i="25"/>
  <c r="BU623" i="25"/>
  <c r="BU624" i="25"/>
  <c r="BU625" i="25"/>
  <c r="BU626" i="25"/>
  <c r="BU627" i="25"/>
  <c r="BU628" i="25"/>
  <c r="BU629" i="25"/>
  <c r="BU630" i="25"/>
  <c r="BU631" i="25"/>
  <c r="BU632" i="25"/>
  <c r="BU633" i="25"/>
  <c r="BU634" i="25"/>
  <c r="BU635" i="25"/>
  <c r="BU636" i="25"/>
  <c r="BU637" i="25"/>
  <c r="BU638" i="25"/>
  <c r="BU639" i="25"/>
  <c r="BU640" i="25"/>
  <c r="BU641" i="25"/>
  <c r="BU642" i="25"/>
  <c r="BU643" i="25"/>
  <c r="BU644" i="25"/>
  <c r="BU645" i="25"/>
  <c r="BU646" i="25"/>
  <c r="BU583" i="25"/>
  <c r="BU584" i="25"/>
  <c r="BU649" i="25"/>
  <c r="BU650" i="25"/>
  <c r="BU651" i="25"/>
  <c r="BU652" i="25"/>
  <c r="BU653" i="25"/>
  <c r="BU680" i="25"/>
  <c r="BU655" i="25"/>
  <c r="BU656" i="25"/>
  <c r="BU684" i="25"/>
  <c r="BU688" i="25"/>
  <c r="BU659" i="25"/>
  <c r="BU660" i="25"/>
  <c r="BU661" i="25"/>
  <c r="BU662" i="25"/>
  <c r="BU663" i="25"/>
  <c r="BU664" i="25"/>
  <c r="BU665" i="25"/>
  <c r="BU666" i="25"/>
  <c r="BU667" i="25"/>
  <c r="BU668" i="25"/>
  <c r="BU669" i="25"/>
  <c r="BU670" i="25"/>
  <c r="BU671" i="25"/>
  <c r="BU672" i="25"/>
  <c r="BU673" i="25"/>
  <c r="BU674" i="25"/>
  <c r="BU675" i="25"/>
  <c r="BU676" i="25"/>
  <c r="BU677" i="25"/>
  <c r="BU678" i="25"/>
  <c r="BU679" i="25"/>
  <c r="BU566" i="25"/>
  <c r="BU681" i="25"/>
  <c r="BU682" i="25"/>
  <c r="BU683" i="25"/>
  <c r="BU580" i="25"/>
  <c r="BU685" i="25"/>
  <c r="BU686" i="25"/>
  <c r="BU687" i="25"/>
  <c r="BU648" i="25"/>
  <c r="BU689" i="25"/>
  <c r="BU690" i="25"/>
  <c r="BU654" i="25"/>
  <c r="BU692" i="25"/>
  <c r="BU657" i="25"/>
  <c r="BU694" i="25"/>
  <c r="BU695" i="25"/>
  <c r="BU696" i="25"/>
  <c r="BU691" i="25"/>
  <c r="BU693" i="25"/>
  <c r="BU699" i="25"/>
  <c r="BU700" i="25"/>
  <c r="BU701" i="25"/>
  <c r="BU705" i="25"/>
  <c r="BU706" i="25"/>
  <c r="BU707" i="25"/>
  <c r="BU708" i="25"/>
  <c r="BU709" i="25"/>
  <c r="BU710" i="25"/>
  <c r="BU711" i="25"/>
  <c r="BU712" i="25"/>
  <c r="BU714" i="25"/>
  <c r="BU717" i="25"/>
  <c r="BU718" i="25"/>
  <c r="BU719" i="25"/>
  <c r="BU713" i="25"/>
  <c r="BU721" i="25"/>
  <c r="BU722" i="25"/>
  <c r="BU723" i="25"/>
  <c r="BU725" i="25"/>
  <c r="BU726" i="25"/>
  <c r="BU728" i="25"/>
  <c r="BU729" i="25"/>
  <c r="BU730" i="25"/>
  <c r="BU727" i="25"/>
  <c r="BU731" i="25"/>
  <c r="BU732" i="25"/>
  <c r="BU733" i="25"/>
  <c r="BU734" i="25"/>
  <c r="BU735" i="25"/>
  <c r="BU736" i="25"/>
  <c r="BU737" i="25"/>
  <c r="BU738" i="25"/>
  <c r="BU739" i="25"/>
  <c r="BU740" i="25"/>
  <c r="BU742" i="25"/>
  <c r="BU743" i="25"/>
  <c r="BU744" i="25"/>
  <c r="BU746" i="25"/>
  <c r="BU747" i="25"/>
  <c r="BU745" i="25"/>
  <c r="BU702" i="25"/>
  <c r="BU720" i="25"/>
  <c r="BU704" i="25"/>
  <c r="BU724" i="25"/>
  <c r="BV545" i="25"/>
  <c r="BV546" i="25"/>
  <c r="BV547" i="25"/>
  <c r="BV548" i="25"/>
  <c r="BV549" i="25"/>
  <c r="BV550" i="25"/>
  <c r="BV552" i="25"/>
  <c r="BV555" i="25"/>
  <c r="BV553" i="25"/>
  <c r="BV554" i="25"/>
  <c r="BV560" i="25"/>
  <c r="BV564" i="25"/>
  <c r="BV557" i="25"/>
  <c r="BV573" i="25"/>
  <c r="BV559" i="25"/>
  <c r="BV551" i="25"/>
  <c r="BV561" i="25"/>
  <c r="BV556" i="25"/>
  <c r="BV558" i="25"/>
  <c r="BV562" i="25"/>
  <c r="BV563" i="25"/>
  <c r="BV565" i="25"/>
  <c r="BV567" i="25"/>
  <c r="BV568" i="25"/>
  <c r="BV569" i="25"/>
  <c r="BV570" i="25"/>
  <c r="BV579" i="25"/>
  <c r="BV572" i="25"/>
  <c r="BV574" i="25"/>
  <c r="BV578" i="25"/>
  <c r="BV575" i="25"/>
  <c r="BV576" i="25"/>
  <c r="BV577" i="25"/>
  <c r="BV647" i="25"/>
  <c r="BV582" i="25"/>
  <c r="BV658" i="25"/>
  <c r="BV581" i="25"/>
  <c r="BV588" i="25"/>
  <c r="BV697" i="25"/>
  <c r="BV698" i="25"/>
  <c r="BV585" i="25"/>
  <c r="BV586" i="25"/>
  <c r="BV587" i="25"/>
  <c r="BV596" i="25"/>
  <c r="BV592" i="25"/>
  <c r="BV593" i="25"/>
  <c r="BV594" i="25"/>
  <c r="BV611" i="25"/>
  <c r="BV613" i="25"/>
  <c r="BV589" i="25"/>
  <c r="BV595" i="25"/>
  <c r="BV598" i="25"/>
  <c r="BV597" i="25"/>
  <c r="BV571" i="25"/>
  <c r="BV599" i="25"/>
  <c r="BV600" i="25"/>
  <c r="BV601" i="25"/>
  <c r="BV602" i="25"/>
  <c r="BV603" i="25"/>
  <c r="BV604" i="25"/>
  <c r="BV605" i="25"/>
  <c r="BV606" i="25"/>
  <c r="BV607" i="25"/>
  <c r="BV608" i="25"/>
  <c r="BV609" i="25"/>
  <c r="BV610" i="25"/>
  <c r="BV590" i="25"/>
  <c r="BV612" i="25"/>
  <c r="BV591" i="25"/>
  <c r="BV615" i="25"/>
  <c r="BV616" i="25"/>
  <c r="BV617" i="25"/>
  <c r="BV618" i="25"/>
  <c r="BV619" i="25"/>
  <c r="BV620" i="25"/>
  <c r="BV621" i="25"/>
  <c r="BV622" i="25"/>
  <c r="BV623" i="25"/>
  <c r="BV624" i="25"/>
  <c r="BV625" i="25"/>
  <c r="BV626" i="25"/>
  <c r="BV627" i="25"/>
  <c r="BV628" i="25"/>
  <c r="BV629" i="25"/>
  <c r="BV630" i="25"/>
  <c r="BV631" i="25"/>
  <c r="BV632" i="25"/>
  <c r="BV633" i="25"/>
  <c r="BV634" i="25"/>
  <c r="BV635" i="25"/>
  <c r="BV636" i="25"/>
  <c r="BV637" i="25"/>
  <c r="BV638" i="25"/>
  <c r="BV639" i="25"/>
  <c r="BV640" i="25"/>
  <c r="BV641" i="25"/>
  <c r="BV642" i="25"/>
  <c r="BV643" i="25"/>
  <c r="BV644" i="25"/>
  <c r="BV645" i="25"/>
  <c r="BV646" i="25"/>
  <c r="BV583" i="25"/>
  <c r="BV584" i="25"/>
  <c r="BV649" i="25"/>
  <c r="BV650" i="25"/>
  <c r="BV651" i="25"/>
  <c r="BV652" i="25"/>
  <c r="BV653" i="25"/>
  <c r="BV680" i="25"/>
  <c r="BV655" i="25"/>
  <c r="BV656" i="25"/>
  <c r="BV684" i="25"/>
  <c r="BV688" i="25"/>
  <c r="BV659" i="25"/>
  <c r="BV660" i="25"/>
  <c r="BV661" i="25"/>
  <c r="BV662" i="25"/>
  <c r="BV663" i="25"/>
  <c r="BV664" i="25"/>
  <c r="BV665" i="25"/>
  <c r="BV666" i="25"/>
  <c r="BV667" i="25"/>
  <c r="BV668" i="25"/>
  <c r="BV669" i="25"/>
  <c r="BV670" i="25"/>
  <c r="BV671" i="25"/>
  <c r="BV672" i="25"/>
  <c r="BV673" i="25"/>
  <c r="BV674" i="25"/>
  <c r="BV675" i="25"/>
  <c r="BV676" i="25"/>
  <c r="BV677" i="25"/>
  <c r="BV678" i="25"/>
  <c r="BV679" i="25"/>
  <c r="BV566" i="25"/>
  <c r="BV681" i="25"/>
  <c r="BV682" i="25"/>
  <c r="BV683" i="25"/>
  <c r="BV580" i="25"/>
  <c r="BV685" i="25"/>
  <c r="BV686" i="25"/>
  <c r="BV687" i="25"/>
  <c r="BV648" i="25"/>
  <c r="BV689" i="25"/>
  <c r="BV690" i="25"/>
  <c r="BV654" i="25"/>
  <c r="BV692" i="25"/>
  <c r="BV657" i="25"/>
  <c r="BV694" i="25"/>
  <c r="BV695" i="25"/>
  <c r="BV696" i="25"/>
  <c r="BV691" i="25"/>
  <c r="BV693" i="25"/>
  <c r="BV699" i="25"/>
  <c r="BV700" i="25"/>
  <c r="BV701" i="25"/>
  <c r="BV705" i="25"/>
  <c r="BV706" i="25"/>
  <c r="BV707" i="25"/>
  <c r="BV708" i="25"/>
  <c r="BV709" i="25"/>
  <c r="BV710" i="25"/>
  <c r="BV711" i="25"/>
  <c r="BV712" i="25"/>
  <c r="BV714" i="25"/>
  <c r="BV717" i="25"/>
  <c r="BV718" i="25"/>
  <c r="BV719" i="25"/>
  <c r="BV713" i="25"/>
  <c r="BV721" i="25"/>
  <c r="BV722" i="25"/>
  <c r="BV723" i="25"/>
  <c r="BV725" i="25"/>
  <c r="BV726" i="25"/>
  <c r="BV728" i="25"/>
  <c r="BV729" i="25"/>
  <c r="BV730" i="25"/>
  <c r="BV727" i="25"/>
  <c r="BV731" i="25"/>
  <c r="BV732" i="25"/>
  <c r="BV733" i="25"/>
  <c r="BV734" i="25"/>
  <c r="BV735" i="25"/>
  <c r="BV736" i="25"/>
  <c r="BV737" i="25"/>
  <c r="BV738" i="25"/>
  <c r="BV739" i="25"/>
  <c r="BV740" i="25"/>
  <c r="BV742" i="25"/>
  <c r="BV743" i="25"/>
  <c r="BV744" i="25"/>
  <c r="BV746" i="25"/>
  <c r="BV747" i="25"/>
  <c r="BV745" i="25"/>
  <c r="BV702" i="25"/>
  <c r="BV720" i="25"/>
  <c r="BV704" i="25"/>
  <c r="BV724" i="25"/>
  <c r="BW545" i="25"/>
  <c r="BW546" i="25"/>
  <c r="BW547" i="25"/>
  <c r="BW548" i="25"/>
  <c r="BW549" i="25"/>
  <c r="BW550" i="25"/>
  <c r="BW552" i="25"/>
  <c r="BW555" i="25"/>
  <c r="BW553" i="25"/>
  <c r="BW554" i="25"/>
  <c r="BW560" i="25"/>
  <c r="BW564" i="25"/>
  <c r="BW557" i="25"/>
  <c r="BW573" i="25"/>
  <c r="BW559" i="25"/>
  <c r="BW551" i="25"/>
  <c r="BW561" i="25"/>
  <c r="BW556" i="25"/>
  <c r="BW558" i="25"/>
  <c r="BW562" i="25"/>
  <c r="BW563" i="25"/>
  <c r="BW565" i="25"/>
  <c r="BW567" i="25"/>
  <c r="BW568" i="25"/>
  <c r="BW569" i="25"/>
  <c r="BW570" i="25"/>
  <c r="BW579" i="25"/>
  <c r="BW572" i="25"/>
  <c r="BW574" i="25"/>
  <c r="BW578" i="25"/>
  <c r="BW575" i="25"/>
  <c r="BW576" i="25"/>
  <c r="BW577" i="25"/>
  <c r="BW647" i="25"/>
  <c r="BW582" i="25"/>
  <c r="BW658" i="25"/>
  <c r="BW581" i="25"/>
  <c r="BW588" i="25"/>
  <c r="BW697" i="25"/>
  <c r="BW698" i="25"/>
  <c r="BW585" i="25"/>
  <c r="BW586" i="25"/>
  <c r="BW587" i="25"/>
  <c r="BW596" i="25"/>
  <c r="BW592" i="25"/>
  <c r="BW593" i="25"/>
  <c r="BW594" i="25"/>
  <c r="BW611" i="25"/>
  <c r="BW613" i="25"/>
  <c r="BW589" i="25"/>
  <c r="BW595" i="25"/>
  <c r="BW598" i="25"/>
  <c r="BW597" i="25"/>
  <c r="BW571" i="25"/>
  <c r="BW599" i="25"/>
  <c r="BW600" i="25"/>
  <c r="BW601" i="25"/>
  <c r="BW602" i="25"/>
  <c r="BW603" i="25"/>
  <c r="BW604" i="25"/>
  <c r="BW605" i="25"/>
  <c r="BW606" i="25"/>
  <c r="BW607" i="25"/>
  <c r="BW608" i="25"/>
  <c r="BW609" i="25"/>
  <c r="BW610" i="25"/>
  <c r="BW590" i="25"/>
  <c r="BW612" i="25"/>
  <c r="BW591" i="25"/>
  <c r="BW615" i="25"/>
  <c r="BW616" i="25"/>
  <c r="BW617" i="25"/>
  <c r="BW618" i="25"/>
  <c r="BW619" i="25"/>
  <c r="BW620" i="25"/>
  <c r="BW621" i="25"/>
  <c r="BW622" i="25"/>
  <c r="BW623" i="25"/>
  <c r="BW624" i="25"/>
  <c r="BW625" i="25"/>
  <c r="BW626" i="25"/>
  <c r="BW627" i="25"/>
  <c r="BW628" i="25"/>
  <c r="BW629" i="25"/>
  <c r="BW630" i="25"/>
  <c r="BW631" i="25"/>
  <c r="BW632" i="25"/>
  <c r="BW633" i="25"/>
  <c r="BW634" i="25"/>
  <c r="BW635" i="25"/>
  <c r="BW636" i="25"/>
  <c r="BW637" i="25"/>
  <c r="BW638" i="25"/>
  <c r="BW639" i="25"/>
  <c r="BW640" i="25"/>
  <c r="BW641" i="25"/>
  <c r="BW642" i="25"/>
  <c r="BW643" i="25"/>
  <c r="BW644" i="25"/>
  <c r="BW645" i="25"/>
  <c r="BW646" i="25"/>
  <c r="BW583" i="25"/>
  <c r="BW584" i="25"/>
  <c r="BW649" i="25"/>
  <c r="BW650" i="25"/>
  <c r="BW651" i="25"/>
  <c r="BW652" i="25"/>
  <c r="BW653" i="25"/>
  <c r="BW680" i="25"/>
  <c r="BW655" i="25"/>
  <c r="BW656" i="25"/>
  <c r="BW684" i="25"/>
  <c r="BW688" i="25"/>
  <c r="BW659" i="25"/>
  <c r="BW660" i="25"/>
  <c r="BW661" i="25"/>
  <c r="BW662" i="25"/>
  <c r="BW663" i="25"/>
  <c r="BW664" i="25"/>
  <c r="BW665" i="25"/>
  <c r="BW666" i="25"/>
  <c r="BW667" i="25"/>
  <c r="BW668" i="25"/>
  <c r="BW669" i="25"/>
  <c r="BW670" i="25"/>
  <c r="BW671" i="25"/>
  <c r="BW672" i="25"/>
  <c r="BW673" i="25"/>
  <c r="BW674" i="25"/>
  <c r="BW675" i="25"/>
  <c r="BW676" i="25"/>
  <c r="BW677" i="25"/>
  <c r="BW678" i="25"/>
  <c r="BW679" i="25"/>
  <c r="BW566" i="25"/>
  <c r="BW681" i="25"/>
  <c r="BW682" i="25"/>
  <c r="BW683" i="25"/>
  <c r="BW580" i="25"/>
  <c r="BW685" i="25"/>
  <c r="BW686" i="25"/>
  <c r="BW687" i="25"/>
  <c r="BW648" i="25"/>
  <c r="BW689" i="25"/>
  <c r="BW690" i="25"/>
  <c r="BW654" i="25"/>
  <c r="BW692" i="25"/>
  <c r="BW657" i="25"/>
  <c r="BW694" i="25"/>
  <c r="BW695" i="25"/>
  <c r="BW696" i="25"/>
  <c r="BW691" i="25"/>
  <c r="BW693" i="25"/>
  <c r="BW699" i="25"/>
  <c r="BW700" i="25"/>
  <c r="BW701" i="25"/>
  <c r="BW705" i="25"/>
  <c r="BW706" i="25"/>
  <c r="BW707" i="25"/>
  <c r="BW708" i="25"/>
  <c r="BW709" i="25"/>
  <c r="BW710" i="25"/>
  <c r="BW711" i="25"/>
  <c r="BW712" i="25"/>
  <c r="BW714" i="25"/>
  <c r="BW717" i="25"/>
  <c r="BW718" i="25"/>
  <c r="BW719" i="25"/>
  <c r="BW713" i="25"/>
  <c r="BW721" i="25"/>
  <c r="BW722" i="25"/>
  <c r="BW723" i="25"/>
  <c r="BW725" i="25"/>
  <c r="BW726" i="25"/>
  <c r="BW728" i="25"/>
  <c r="BW729" i="25"/>
  <c r="BW730" i="25"/>
  <c r="BW727" i="25"/>
  <c r="BW731" i="25"/>
  <c r="BW732" i="25"/>
  <c r="BW733" i="25"/>
  <c r="BW734" i="25"/>
  <c r="BW735" i="25"/>
  <c r="BW736" i="25"/>
  <c r="BW737" i="25"/>
  <c r="BW738" i="25"/>
  <c r="BW739" i="25"/>
  <c r="BW740" i="25"/>
  <c r="BW742" i="25"/>
  <c r="BW743" i="25"/>
  <c r="BW744" i="25"/>
  <c r="BW746" i="25"/>
  <c r="BW747" i="25"/>
  <c r="BW745" i="25"/>
  <c r="BW702" i="25"/>
  <c r="BW720" i="25"/>
  <c r="BW704" i="25"/>
  <c r="BW724" i="25"/>
  <c r="BX545" i="25"/>
  <c r="BX546" i="25"/>
  <c r="BX547" i="25"/>
  <c r="BX548" i="25"/>
  <c r="BX549" i="25"/>
  <c r="BX550" i="25"/>
  <c r="BX552" i="25"/>
  <c r="BX555" i="25"/>
  <c r="BX553" i="25"/>
  <c r="BX554" i="25"/>
  <c r="BX560" i="25"/>
  <c r="BX564" i="25"/>
  <c r="BX557" i="25"/>
  <c r="BX573" i="25"/>
  <c r="BX559" i="25"/>
  <c r="BX551" i="25"/>
  <c r="BX561" i="25"/>
  <c r="BX556" i="25"/>
  <c r="BX558" i="25"/>
  <c r="BX562" i="25"/>
  <c r="BX563" i="25"/>
  <c r="BX565" i="25"/>
  <c r="BX567" i="25"/>
  <c r="BX568" i="25"/>
  <c r="BX569" i="25"/>
  <c r="BX570" i="25"/>
  <c r="BX579" i="25"/>
  <c r="BX572" i="25"/>
  <c r="BX574" i="25"/>
  <c r="BX578" i="25"/>
  <c r="BX575" i="25"/>
  <c r="BX576" i="25"/>
  <c r="BX577" i="25"/>
  <c r="BX647" i="25"/>
  <c r="BX582" i="25"/>
  <c r="BX658" i="25"/>
  <c r="BX581" i="25"/>
  <c r="BX588" i="25"/>
  <c r="BX697" i="25"/>
  <c r="BX698" i="25"/>
  <c r="BX585" i="25"/>
  <c r="BX586" i="25"/>
  <c r="BX587" i="25"/>
  <c r="BX596" i="25"/>
  <c r="BX592" i="25"/>
  <c r="BX593" i="25"/>
  <c r="BX594" i="25"/>
  <c r="BX611" i="25"/>
  <c r="BX613" i="25"/>
  <c r="BX589" i="25"/>
  <c r="BX595" i="25"/>
  <c r="BX598" i="25"/>
  <c r="BX597" i="25"/>
  <c r="BX571" i="25"/>
  <c r="BX599" i="25"/>
  <c r="BX600" i="25"/>
  <c r="BX601" i="25"/>
  <c r="BX602" i="25"/>
  <c r="BX603" i="25"/>
  <c r="BX604" i="25"/>
  <c r="BX605" i="25"/>
  <c r="BX606" i="25"/>
  <c r="BX607" i="25"/>
  <c r="BX608" i="25"/>
  <c r="BX609" i="25"/>
  <c r="BX610" i="25"/>
  <c r="BX590" i="25"/>
  <c r="BX612" i="25"/>
  <c r="BX591" i="25"/>
  <c r="BX615" i="25"/>
  <c r="BX616" i="25"/>
  <c r="BX617" i="25"/>
  <c r="BX618" i="25"/>
  <c r="BX619" i="25"/>
  <c r="BX620" i="25"/>
  <c r="BX621" i="25"/>
  <c r="BX622" i="25"/>
  <c r="BX623" i="25"/>
  <c r="BX624" i="25"/>
  <c r="BX625" i="25"/>
  <c r="BX626" i="25"/>
  <c r="BX627" i="25"/>
  <c r="BX628" i="25"/>
  <c r="BX629" i="25"/>
  <c r="BX630" i="25"/>
  <c r="BX631" i="25"/>
  <c r="BX632" i="25"/>
  <c r="BX633" i="25"/>
  <c r="BX634" i="25"/>
  <c r="BX635" i="25"/>
  <c r="BX636" i="25"/>
  <c r="BX637" i="25"/>
  <c r="BX638" i="25"/>
  <c r="BX639" i="25"/>
  <c r="BX640" i="25"/>
  <c r="BX641" i="25"/>
  <c r="BX642" i="25"/>
  <c r="BX643" i="25"/>
  <c r="BX644" i="25"/>
  <c r="BX645" i="25"/>
  <c r="BX646" i="25"/>
  <c r="BX583" i="25"/>
  <c r="BX584" i="25"/>
  <c r="BX649" i="25"/>
  <c r="BX650" i="25"/>
  <c r="BX651" i="25"/>
  <c r="BX652" i="25"/>
  <c r="BX653" i="25"/>
  <c r="BX680" i="25"/>
  <c r="BX655" i="25"/>
  <c r="BX656" i="25"/>
  <c r="BX684" i="25"/>
  <c r="BX688" i="25"/>
  <c r="BX659" i="25"/>
  <c r="BX660" i="25"/>
  <c r="BX661" i="25"/>
  <c r="BX662" i="25"/>
  <c r="BX663" i="25"/>
  <c r="BX664" i="25"/>
  <c r="BX665" i="25"/>
  <c r="BX666" i="25"/>
  <c r="BX667" i="25"/>
  <c r="BX668" i="25"/>
  <c r="BX669" i="25"/>
  <c r="BX670" i="25"/>
  <c r="BX671" i="25"/>
  <c r="BX672" i="25"/>
  <c r="BX673" i="25"/>
  <c r="BX674" i="25"/>
  <c r="BX675" i="25"/>
  <c r="BX676" i="25"/>
  <c r="BX677" i="25"/>
  <c r="BX678" i="25"/>
  <c r="BX679" i="25"/>
  <c r="BX566" i="25"/>
  <c r="BX681" i="25"/>
  <c r="BX682" i="25"/>
  <c r="BX683" i="25"/>
  <c r="BX580" i="25"/>
  <c r="BX685" i="25"/>
  <c r="BX686" i="25"/>
  <c r="BX687" i="25"/>
  <c r="BX648" i="25"/>
  <c r="BX689" i="25"/>
  <c r="BX690" i="25"/>
  <c r="BX654" i="25"/>
  <c r="BX692" i="25"/>
  <c r="BX657" i="25"/>
  <c r="BX694" i="25"/>
  <c r="BX695" i="25"/>
  <c r="BX696" i="25"/>
  <c r="BX691" i="25"/>
  <c r="BX693" i="25"/>
  <c r="BX699" i="25"/>
  <c r="BX700" i="25"/>
  <c r="BX701" i="25"/>
  <c r="BX705" i="25"/>
  <c r="BX706" i="25"/>
  <c r="BX707" i="25"/>
  <c r="BX708" i="25"/>
  <c r="BX709" i="25"/>
  <c r="BX710" i="25"/>
  <c r="BX711" i="25"/>
  <c r="BX712" i="25"/>
  <c r="BX714" i="25"/>
  <c r="BX717" i="25"/>
  <c r="BX718" i="25"/>
  <c r="BX719" i="25"/>
  <c r="BX713" i="25"/>
  <c r="BX721" i="25"/>
  <c r="BX722" i="25"/>
  <c r="BX723" i="25"/>
  <c r="BX725" i="25"/>
  <c r="BX726" i="25"/>
  <c r="BX728" i="25"/>
  <c r="BX729" i="25"/>
  <c r="BX730" i="25"/>
  <c r="BX727" i="25"/>
  <c r="BX731" i="25"/>
  <c r="BX732" i="25"/>
  <c r="BX733" i="25"/>
  <c r="BX734" i="25"/>
  <c r="BX735" i="25"/>
  <c r="BX736" i="25"/>
  <c r="BX737" i="25"/>
  <c r="BX738" i="25"/>
  <c r="BX739" i="25"/>
  <c r="BX740" i="25"/>
  <c r="BX742" i="25"/>
  <c r="BX743" i="25"/>
  <c r="BX744" i="25"/>
  <c r="BX746" i="25"/>
  <c r="BX747" i="25"/>
  <c r="BX745" i="25"/>
  <c r="BX702" i="25"/>
  <c r="BX720" i="25"/>
  <c r="BX704" i="25"/>
  <c r="BX724" i="25"/>
  <c r="CC545" i="25"/>
  <c r="CD545" i="25" s="1"/>
  <c r="CC546" i="25"/>
  <c r="CD546" i="25" s="1"/>
  <c r="CC547" i="25"/>
  <c r="CD547" i="25" s="1"/>
  <c r="CC548" i="25"/>
  <c r="CD548" i="25" s="1"/>
  <c r="CC549" i="25"/>
  <c r="CD549" i="25" s="1"/>
  <c r="CC550" i="25"/>
  <c r="CD550" i="25" s="1"/>
  <c r="CC552" i="25"/>
  <c r="CD552" i="25" s="1"/>
  <c r="CC555" i="25"/>
  <c r="CD555" i="25" s="1"/>
  <c r="CC553" i="25"/>
  <c r="CD553" i="25" s="1"/>
  <c r="CC554" i="25"/>
  <c r="CD554" i="25" s="1"/>
  <c r="CC560" i="25"/>
  <c r="CD560" i="25" s="1"/>
  <c r="CC564" i="25"/>
  <c r="CD564" i="25" s="1"/>
  <c r="CC557" i="25"/>
  <c r="CD557" i="25" s="1"/>
  <c r="CC573" i="25"/>
  <c r="CD573" i="25" s="1"/>
  <c r="CC559" i="25"/>
  <c r="CD559" i="25" s="1"/>
  <c r="CC551" i="25"/>
  <c r="CD551" i="25" s="1"/>
  <c r="CC561" i="25"/>
  <c r="CD561" i="25" s="1"/>
  <c r="CC556" i="25"/>
  <c r="CD556" i="25" s="1"/>
  <c r="CC558" i="25"/>
  <c r="CD558" i="25" s="1"/>
  <c r="CC562" i="25"/>
  <c r="CD562" i="25" s="1"/>
  <c r="CC563" i="25"/>
  <c r="CD563" i="25" s="1"/>
  <c r="CC565" i="25"/>
  <c r="CD565" i="25" s="1"/>
  <c r="CC567" i="25"/>
  <c r="CD567" i="25" s="1"/>
  <c r="CC568" i="25"/>
  <c r="CD568" i="25" s="1"/>
  <c r="CC569" i="25"/>
  <c r="CD569" i="25" s="1"/>
  <c r="CC570" i="25"/>
  <c r="CD570" i="25" s="1"/>
  <c r="CC579" i="25"/>
  <c r="CD579" i="25" s="1"/>
  <c r="CC572" i="25"/>
  <c r="CD572" i="25" s="1"/>
  <c r="CC574" i="25"/>
  <c r="CD574" i="25" s="1"/>
  <c r="CC578" i="25"/>
  <c r="CD578" i="25" s="1"/>
  <c r="CC575" i="25"/>
  <c r="CD575" i="25" s="1"/>
  <c r="CC576" i="25"/>
  <c r="CD576" i="25" s="1"/>
  <c r="CC577" i="25"/>
  <c r="CD577" i="25" s="1"/>
  <c r="CC647" i="25"/>
  <c r="CD647" i="25" s="1"/>
  <c r="CC582" i="25"/>
  <c r="CD582" i="25" s="1"/>
  <c r="CC658" i="25"/>
  <c r="CD658" i="25" s="1"/>
  <c r="CC581" i="25"/>
  <c r="CD581" i="25" s="1"/>
  <c r="CC588" i="25"/>
  <c r="CD588" i="25" s="1"/>
  <c r="CC697" i="25"/>
  <c r="CD697" i="25" s="1"/>
  <c r="CC698" i="25"/>
  <c r="CD698" i="25" s="1"/>
  <c r="CC585" i="25"/>
  <c r="CD585" i="25" s="1"/>
  <c r="CC586" i="25"/>
  <c r="CD586" i="25" s="1"/>
  <c r="CC587" i="25"/>
  <c r="CD587" i="25" s="1"/>
  <c r="CC596" i="25"/>
  <c r="CD596" i="25" s="1"/>
  <c r="CC592" i="25"/>
  <c r="CD592" i="25" s="1"/>
  <c r="CC593" i="25"/>
  <c r="CD593" i="25" s="1"/>
  <c r="CC594" i="25"/>
  <c r="CD594" i="25" s="1"/>
  <c r="CC611" i="25"/>
  <c r="CD611" i="25" s="1"/>
  <c r="CC613" i="25"/>
  <c r="CD613" i="25" s="1"/>
  <c r="CC589" i="25"/>
  <c r="CD589" i="25" s="1"/>
  <c r="CC595" i="25"/>
  <c r="CD595" i="25" s="1"/>
  <c r="CC598" i="25"/>
  <c r="CD598" i="25" s="1"/>
  <c r="CC597" i="25"/>
  <c r="CD597" i="25" s="1"/>
  <c r="CC571" i="25"/>
  <c r="CD571" i="25" s="1"/>
  <c r="CC599" i="25"/>
  <c r="CD599" i="25" s="1"/>
  <c r="CC600" i="25"/>
  <c r="CD600" i="25" s="1"/>
  <c r="CC601" i="25"/>
  <c r="CD601" i="25" s="1"/>
  <c r="CC602" i="25"/>
  <c r="CD602" i="25" s="1"/>
  <c r="CC603" i="25"/>
  <c r="CD603" i="25" s="1"/>
  <c r="CC604" i="25"/>
  <c r="CD604" i="25" s="1"/>
  <c r="CC605" i="25"/>
  <c r="CD605" i="25" s="1"/>
  <c r="CC606" i="25"/>
  <c r="CD606" i="25" s="1"/>
  <c r="CC607" i="25"/>
  <c r="CD607" i="25" s="1"/>
  <c r="CC608" i="25"/>
  <c r="CD608" i="25" s="1"/>
  <c r="CC609" i="25"/>
  <c r="CD609" i="25" s="1"/>
  <c r="CC610" i="25"/>
  <c r="CD610" i="25" s="1"/>
  <c r="CC590" i="25"/>
  <c r="CD590" i="25" s="1"/>
  <c r="CC612" i="25"/>
  <c r="CD612" i="25" s="1"/>
  <c r="CC591" i="25"/>
  <c r="CD591" i="25" s="1"/>
  <c r="CC615" i="25"/>
  <c r="CD615" i="25" s="1"/>
  <c r="CC616" i="25"/>
  <c r="CD616" i="25" s="1"/>
  <c r="CC617" i="25"/>
  <c r="CD617" i="25" s="1"/>
  <c r="CC618" i="25"/>
  <c r="CD618" i="25" s="1"/>
  <c r="CC619" i="25"/>
  <c r="CD619" i="25" s="1"/>
  <c r="CC620" i="25"/>
  <c r="CD620" i="25" s="1"/>
  <c r="CC621" i="25"/>
  <c r="CD621" i="25" s="1"/>
  <c r="CC622" i="25"/>
  <c r="CD622" i="25" s="1"/>
  <c r="CC623" i="25"/>
  <c r="CD623" i="25" s="1"/>
  <c r="CC624" i="25"/>
  <c r="CD624" i="25" s="1"/>
  <c r="CC625" i="25"/>
  <c r="CD625" i="25" s="1"/>
  <c r="CC626" i="25"/>
  <c r="CD626" i="25" s="1"/>
  <c r="CC627" i="25"/>
  <c r="CD627" i="25" s="1"/>
  <c r="CC628" i="25"/>
  <c r="CD628" i="25" s="1"/>
  <c r="CC629" i="25"/>
  <c r="CD629" i="25" s="1"/>
  <c r="CC630" i="25"/>
  <c r="CD630" i="25" s="1"/>
  <c r="CC631" i="25"/>
  <c r="CD631" i="25" s="1"/>
  <c r="CC632" i="25"/>
  <c r="CD632" i="25" s="1"/>
  <c r="CC633" i="25"/>
  <c r="CD633" i="25" s="1"/>
  <c r="CC634" i="25"/>
  <c r="CD634" i="25" s="1"/>
  <c r="CC635" i="25"/>
  <c r="CD635" i="25" s="1"/>
  <c r="CC636" i="25"/>
  <c r="CD636" i="25" s="1"/>
  <c r="CC637" i="25"/>
  <c r="CD637" i="25" s="1"/>
  <c r="CC638" i="25"/>
  <c r="CD638" i="25" s="1"/>
  <c r="CC639" i="25"/>
  <c r="CD639" i="25" s="1"/>
  <c r="CC640" i="25"/>
  <c r="CD640" i="25" s="1"/>
  <c r="CC641" i="25"/>
  <c r="CD641" i="25" s="1"/>
  <c r="CC642" i="25"/>
  <c r="CD642" i="25" s="1"/>
  <c r="CC643" i="25"/>
  <c r="CD643" i="25" s="1"/>
  <c r="CC644" i="25"/>
  <c r="CD644" i="25" s="1"/>
  <c r="CC645" i="25"/>
  <c r="CD645" i="25" s="1"/>
  <c r="CC646" i="25"/>
  <c r="CD646" i="25" s="1"/>
  <c r="CC583" i="25"/>
  <c r="CD583" i="25" s="1"/>
  <c r="CC584" i="25"/>
  <c r="CD584" i="25" s="1"/>
  <c r="CC649" i="25"/>
  <c r="CD649" i="25" s="1"/>
  <c r="CC650" i="25"/>
  <c r="CD650" i="25" s="1"/>
  <c r="CC651" i="25"/>
  <c r="CD651" i="25" s="1"/>
  <c r="CC652" i="25"/>
  <c r="CD652" i="25" s="1"/>
  <c r="CC653" i="25"/>
  <c r="CD653" i="25" s="1"/>
  <c r="CC680" i="25"/>
  <c r="CD680" i="25" s="1"/>
  <c r="CC655" i="25"/>
  <c r="CD655" i="25" s="1"/>
  <c r="CC656" i="25"/>
  <c r="CD656" i="25" s="1"/>
  <c r="CC684" i="25"/>
  <c r="CD684" i="25" s="1"/>
  <c r="CC688" i="25"/>
  <c r="CD688" i="25" s="1"/>
  <c r="CC659" i="25"/>
  <c r="CD659" i="25" s="1"/>
  <c r="CC660" i="25"/>
  <c r="CD660" i="25" s="1"/>
  <c r="CC661" i="25"/>
  <c r="CD661" i="25" s="1"/>
  <c r="CC662" i="25"/>
  <c r="CD662" i="25" s="1"/>
  <c r="CC663" i="25"/>
  <c r="CD663" i="25" s="1"/>
  <c r="CC664" i="25"/>
  <c r="CD664" i="25" s="1"/>
  <c r="CC665" i="25"/>
  <c r="CD665" i="25" s="1"/>
  <c r="CC666" i="25"/>
  <c r="CD666" i="25" s="1"/>
  <c r="CC667" i="25"/>
  <c r="CD667" i="25" s="1"/>
  <c r="CC668" i="25"/>
  <c r="CD668" i="25" s="1"/>
  <c r="CC669" i="25"/>
  <c r="CD669" i="25" s="1"/>
  <c r="CC670" i="25"/>
  <c r="CD670" i="25" s="1"/>
  <c r="CC671" i="25"/>
  <c r="CD671" i="25" s="1"/>
  <c r="CC672" i="25"/>
  <c r="CD672" i="25" s="1"/>
  <c r="CC673" i="25"/>
  <c r="CD673" i="25" s="1"/>
  <c r="CC674" i="25"/>
  <c r="CD674" i="25" s="1"/>
  <c r="CC675" i="25"/>
  <c r="CD675" i="25" s="1"/>
  <c r="CC676" i="25"/>
  <c r="CD676" i="25" s="1"/>
  <c r="CC677" i="25"/>
  <c r="CD677" i="25" s="1"/>
  <c r="CC678" i="25"/>
  <c r="CD678" i="25" s="1"/>
  <c r="CC679" i="25"/>
  <c r="CD679" i="25" s="1"/>
  <c r="CC566" i="25"/>
  <c r="CD566" i="25" s="1"/>
  <c r="CC681" i="25"/>
  <c r="CD681" i="25" s="1"/>
  <c r="CC682" i="25"/>
  <c r="CD682" i="25" s="1"/>
  <c r="CC683" i="25"/>
  <c r="CD683" i="25" s="1"/>
  <c r="CC580" i="25"/>
  <c r="CD580" i="25" s="1"/>
  <c r="CC685" i="25"/>
  <c r="CD685" i="25" s="1"/>
  <c r="CC686" i="25"/>
  <c r="CD686" i="25" s="1"/>
  <c r="CC687" i="25"/>
  <c r="CD687" i="25" s="1"/>
  <c r="CC648" i="25"/>
  <c r="CD648" i="25" s="1"/>
  <c r="CC689" i="25"/>
  <c r="CD689" i="25" s="1"/>
  <c r="CC690" i="25"/>
  <c r="CD690" i="25" s="1"/>
  <c r="CC654" i="25"/>
  <c r="CD654" i="25" s="1"/>
  <c r="CC692" i="25"/>
  <c r="CD692" i="25" s="1"/>
  <c r="CC657" i="25"/>
  <c r="CD657" i="25" s="1"/>
  <c r="CC694" i="25"/>
  <c r="CD694" i="25" s="1"/>
  <c r="CC695" i="25"/>
  <c r="CD695" i="25" s="1"/>
  <c r="CC696" i="25"/>
  <c r="CD696" i="25" s="1"/>
  <c r="CC691" i="25"/>
  <c r="CD691" i="25" s="1"/>
  <c r="CC693" i="25"/>
  <c r="CD693" i="25" s="1"/>
  <c r="CC699" i="25"/>
  <c r="CD699" i="25" s="1"/>
  <c r="CC700" i="25"/>
  <c r="CD700" i="25" s="1"/>
  <c r="CC701" i="25"/>
  <c r="CD701" i="25" s="1"/>
  <c r="CC705" i="25"/>
  <c r="CD705" i="25" s="1"/>
  <c r="CC706" i="25"/>
  <c r="CD706" i="25" s="1"/>
  <c r="CC707" i="25"/>
  <c r="CD707" i="25" s="1"/>
  <c r="CC708" i="25"/>
  <c r="CD708" i="25" s="1"/>
  <c r="CC709" i="25"/>
  <c r="CD709" i="25" s="1"/>
  <c r="CC710" i="25"/>
  <c r="CD710" i="25" s="1"/>
  <c r="CC711" i="25"/>
  <c r="CD711" i="25" s="1"/>
  <c r="CC712" i="25"/>
  <c r="CD712" i="25" s="1"/>
  <c r="CC714" i="25"/>
  <c r="CD714" i="25" s="1"/>
  <c r="CC717" i="25"/>
  <c r="CD717" i="25" s="1"/>
  <c r="CC718" i="25"/>
  <c r="CD718" i="25" s="1"/>
  <c r="CC719" i="25"/>
  <c r="CD719" i="25" s="1"/>
  <c r="CC713" i="25"/>
  <c r="CD713" i="25" s="1"/>
  <c r="CC721" i="25"/>
  <c r="CD721" i="25" s="1"/>
  <c r="CC722" i="25"/>
  <c r="CD722" i="25" s="1"/>
  <c r="CC723" i="25"/>
  <c r="CD723" i="25" s="1"/>
  <c r="CC725" i="25"/>
  <c r="CD725" i="25" s="1"/>
  <c r="CC726" i="25"/>
  <c r="CD726" i="25" s="1"/>
  <c r="CC728" i="25"/>
  <c r="CD728" i="25" s="1"/>
  <c r="CC729" i="25"/>
  <c r="CD729" i="25" s="1"/>
  <c r="CC730" i="25"/>
  <c r="CD730" i="25" s="1"/>
  <c r="CC727" i="25"/>
  <c r="CD727" i="25" s="1"/>
  <c r="CC731" i="25"/>
  <c r="CD731" i="25" s="1"/>
  <c r="CC732" i="25"/>
  <c r="CD732" i="25" s="1"/>
  <c r="CC733" i="25"/>
  <c r="CD733" i="25" s="1"/>
  <c r="CC734" i="25"/>
  <c r="CD734" i="25" s="1"/>
  <c r="CC735" i="25"/>
  <c r="CD735" i="25" s="1"/>
  <c r="CC736" i="25"/>
  <c r="CD736" i="25" s="1"/>
  <c r="CC737" i="25"/>
  <c r="CD737" i="25" s="1"/>
  <c r="CC738" i="25"/>
  <c r="CD738" i="25" s="1"/>
  <c r="CC739" i="25"/>
  <c r="CD739" i="25" s="1"/>
  <c r="CC740" i="25"/>
  <c r="CD740" i="25" s="1"/>
  <c r="CC742" i="25"/>
  <c r="CD742" i="25" s="1"/>
  <c r="CC743" i="25"/>
  <c r="CD743" i="25" s="1"/>
  <c r="CC744" i="25"/>
  <c r="CD744" i="25" s="1"/>
  <c r="CC746" i="25"/>
  <c r="CD746" i="25" s="1"/>
  <c r="CC747" i="25"/>
  <c r="CD747" i="25" s="1"/>
  <c r="CC745" i="25"/>
  <c r="CD745" i="25" s="1"/>
  <c r="CC702" i="25"/>
  <c r="CD702" i="25" s="1"/>
  <c r="CC720" i="25"/>
  <c r="CD720" i="25" s="1"/>
  <c r="CC704" i="25"/>
  <c r="CD704" i="25" s="1"/>
  <c r="CC724" i="25"/>
  <c r="CD724" i="25" s="1"/>
  <c r="CK545" i="25"/>
  <c r="CK546" i="25"/>
  <c r="CK547" i="25"/>
  <c r="CK548" i="25"/>
  <c r="CK549" i="25"/>
  <c r="CK550" i="25"/>
  <c r="CK552" i="25"/>
  <c r="CK555" i="25"/>
  <c r="CK553" i="25"/>
  <c r="CK554" i="25"/>
  <c r="CK560" i="25"/>
  <c r="CK564" i="25"/>
  <c r="CK557" i="25"/>
  <c r="CK573" i="25"/>
  <c r="CK559" i="25"/>
  <c r="CK551" i="25"/>
  <c r="CK561" i="25"/>
  <c r="CK556" i="25"/>
  <c r="CK558" i="25"/>
  <c r="CK562" i="25"/>
  <c r="CK563" i="25"/>
  <c r="CK565" i="25"/>
  <c r="CK567" i="25"/>
  <c r="CK568" i="25"/>
  <c r="CK569" i="25"/>
  <c r="CK570" i="25"/>
  <c r="CK579" i="25"/>
  <c r="CK572" i="25"/>
  <c r="CK574" i="25"/>
  <c r="CK578" i="25"/>
  <c r="CK575" i="25"/>
  <c r="CK576" i="25"/>
  <c r="CK577" i="25"/>
  <c r="CK647" i="25"/>
  <c r="CK582" i="25"/>
  <c r="CK658" i="25"/>
  <c r="CK581" i="25"/>
  <c r="CK588" i="25"/>
  <c r="CK697" i="25"/>
  <c r="CK698" i="25"/>
  <c r="CK585" i="25"/>
  <c r="CK586" i="25"/>
  <c r="CK587" i="25"/>
  <c r="CK596" i="25"/>
  <c r="CK592" i="25"/>
  <c r="CK593" i="25"/>
  <c r="CK594" i="25"/>
  <c r="CK611" i="25"/>
  <c r="CK613" i="25"/>
  <c r="CK589" i="25"/>
  <c r="CK595" i="25"/>
  <c r="CK598" i="25"/>
  <c r="CK597" i="25"/>
  <c r="CK571" i="25"/>
  <c r="CK599" i="25"/>
  <c r="CK600" i="25"/>
  <c r="CK601" i="25"/>
  <c r="CK602" i="25"/>
  <c r="CK603" i="25"/>
  <c r="CK604" i="25"/>
  <c r="CK605" i="25"/>
  <c r="CK606" i="25"/>
  <c r="CK607" i="25"/>
  <c r="CK608" i="25"/>
  <c r="CK609" i="25"/>
  <c r="CK610" i="25"/>
  <c r="CK590" i="25"/>
  <c r="CK612" i="25"/>
  <c r="CK591" i="25"/>
  <c r="CK615" i="25"/>
  <c r="CK616" i="25"/>
  <c r="CK617" i="25"/>
  <c r="CK618" i="25"/>
  <c r="CK619" i="25"/>
  <c r="CK620" i="25"/>
  <c r="CK621" i="25"/>
  <c r="CK622" i="25"/>
  <c r="CK623" i="25"/>
  <c r="CK624" i="25"/>
  <c r="CK625" i="25"/>
  <c r="CK626" i="25"/>
  <c r="CK627" i="25"/>
  <c r="CK628" i="25"/>
  <c r="CK629" i="25"/>
  <c r="CK630" i="25"/>
  <c r="CK631" i="25"/>
  <c r="CK632" i="25"/>
  <c r="CK633" i="25"/>
  <c r="CK634" i="25"/>
  <c r="CK635" i="25"/>
  <c r="CK636" i="25"/>
  <c r="CK637" i="25"/>
  <c r="CK638" i="25"/>
  <c r="CK639" i="25"/>
  <c r="CK640" i="25"/>
  <c r="CK641" i="25"/>
  <c r="CK642" i="25"/>
  <c r="CK643" i="25"/>
  <c r="CK644" i="25"/>
  <c r="CK645" i="25"/>
  <c r="CK646" i="25"/>
  <c r="CK583" i="25"/>
  <c r="CK584" i="25"/>
  <c r="CK649" i="25"/>
  <c r="CK650" i="25"/>
  <c r="CK651" i="25"/>
  <c r="CK652" i="25"/>
  <c r="CK653" i="25"/>
  <c r="CK680" i="25"/>
  <c r="CK655" i="25"/>
  <c r="CK656" i="25"/>
  <c r="CK684" i="25"/>
  <c r="CK688" i="25"/>
  <c r="CK659" i="25"/>
  <c r="CK660" i="25"/>
  <c r="CK661" i="25"/>
  <c r="CK662" i="25"/>
  <c r="CK663" i="25"/>
  <c r="CK664" i="25"/>
  <c r="CK665" i="25"/>
  <c r="CK666" i="25"/>
  <c r="CK667" i="25"/>
  <c r="CK668" i="25"/>
  <c r="CK669" i="25"/>
  <c r="CK670" i="25"/>
  <c r="CK671" i="25"/>
  <c r="CK672" i="25"/>
  <c r="CK673" i="25"/>
  <c r="CK674" i="25"/>
  <c r="CK675" i="25"/>
  <c r="CK676" i="25"/>
  <c r="CK677" i="25"/>
  <c r="CK678" i="25"/>
  <c r="CK679" i="25"/>
  <c r="CK566" i="25"/>
  <c r="CK681" i="25"/>
  <c r="CK682" i="25"/>
  <c r="CK683" i="25"/>
  <c r="CK580" i="25"/>
  <c r="CK685" i="25"/>
  <c r="CK686" i="25"/>
  <c r="CK687" i="25"/>
  <c r="CK648" i="25"/>
  <c r="CK689" i="25"/>
  <c r="CK690" i="25"/>
  <c r="CK654" i="25"/>
  <c r="CK692" i="25"/>
  <c r="CK657" i="25"/>
  <c r="CK694" i="25"/>
  <c r="CK695" i="25"/>
  <c r="CK696" i="25"/>
  <c r="CK691" i="25"/>
  <c r="CK693" i="25"/>
  <c r="CK699" i="25"/>
  <c r="CK700" i="25"/>
  <c r="CK701" i="25"/>
  <c r="CK705" i="25"/>
  <c r="CK706" i="25"/>
  <c r="CK707" i="25"/>
  <c r="CK708" i="25"/>
  <c r="CK709" i="25"/>
  <c r="CK710" i="25"/>
  <c r="CK711" i="25"/>
  <c r="CK712" i="25"/>
  <c r="CK714" i="25"/>
  <c r="CK717" i="25"/>
  <c r="CK718" i="25"/>
  <c r="CK719" i="25"/>
  <c r="CK713" i="25"/>
  <c r="CK721" i="25"/>
  <c r="CK722" i="25"/>
  <c r="CK723" i="25"/>
  <c r="CK725" i="25"/>
  <c r="CK726" i="25"/>
  <c r="CK728" i="25"/>
  <c r="CK729" i="25"/>
  <c r="CK730" i="25"/>
  <c r="CK727" i="25"/>
  <c r="CK731" i="25"/>
  <c r="CK732" i="25"/>
  <c r="CK733" i="25"/>
  <c r="CK734" i="25"/>
  <c r="CK735" i="25"/>
  <c r="CK736" i="25"/>
  <c r="CK737" i="25"/>
  <c r="CK738" i="25"/>
  <c r="CK739" i="25"/>
  <c r="CK740" i="25"/>
  <c r="CK742" i="25"/>
  <c r="CK743" i="25"/>
  <c r="CK744" i="25"/>
  <c r="CK746" i="25"/>
  <c r="CK747" i="25"/>
  <c r="CK745" i="25"/>
  <c r="CK702" i="25"/>
  <c r="CK720" i="25"/>
  <c r="CK704" i="25"/>
  <c r="CK724" i="25"/>
  <c r="CL545" i="25"/>
  <c r="CL546" i="25"/>
  <c r="CL547" i="25"/>
  <c r="CL548" i="25"/>
  <c r="CL549" i="25"/>
  <c r="CL550" i="25"/>
  <c r="CL552" i="25"/>
  <c r="CL555" i="25"/>
  <c r="CL553" i="25"/>
  <c r="CL554" i="25"/>
  <c r="CL560" i="25"/>
  <c r="CL564" i="25"/>
  <c r="CL557" i="25"/>
  <c r="CL573" i="25"/>
  <c r="CL559" i="25"/>
  <c r="CL551" i="25"/>
  <c r="CL561" i="25"/>
  <c r="CL556" i="25"/>
  <c r="CL558" i="25"/>
  <c r="CL562" i="25"/>
  <c r="CL563" i="25"/>
  <c r="CL565" i="25"/>
  <c r="CL567" i="25"/>
  <c r="CL568" i="25"/>
  <c r="CL569" i="25"/>
  <c r="CL570" i="25"/>
  <c r="CL579" i="25"/>
  <c r="CL572" i="25"/>
  <c r="CL574" i="25"/>
  <c r="CL578" i="25"/>
  <c r="CL575" i="25"/>
  <c r="CL576" i="25"/>
  <c r="CL577" i="25"/>
  <c r="CL647" i="25"/>
  <c r="CL582" i="25"/>
  <c r="CL658" i="25"/>
  <c r="CL581" i="25"/>
  <c r="CL588" i="25"/>
  <c r="CL697" i="25"/>
  <c r="CL698" i="25"/>
  <c r="CL585" i="25"/>
  <c r="CL586" i="25"/>
  <c r="CL587" i="25"/>
  <c r="CL596" i="25"/>
  <c r="CL592" i="25"/>
  <c r="CL593" i="25"/>
  <c r="CL594" i="25"/>
  <c r="CL611" i="25"/>
  <c r="CL613" i="25"/>
  <c r="CL589" i="25"/>
  <c r="CL595" i="25"/>
  <c r="CL598" i="25"/>
  <c r="CL597" i="25"/>
  <c r="CL571" i="25"/>
  <c r="CL599" i="25"/>
  <c r="CL600" i="25"/>
  <c r="CL601" i="25"/>
  <c r="CL602" i="25"/>
  <c r="CL603" i="25"/>
  <c r="CL604" i="25"/>
  <c r="CL605" i="25"/>
  <c r="CL606" i="25"/>
  <c r="CL607" i="25"/>
  <c r="CL608" i="25"/>
  <c r="CL609" i="25"/>
  <c r="CL610" i="25"/>
  <c r="CL590" i="25"/>
  <c r="CL612" i="25"/>
  <c r="CL591" i="25"/>
  <c r="CL615" i="25"/>
  <c r="CL616" i="25"/>
  <c r="CL617" i="25"/>
  <c r="CL618" i="25"/>
  <c r="CL619" i="25"/>
  <c r="CL620" i="25"/>
  <c r="CL621" i="25"/>
  <c r="CL622" i="25"/>
  <c r="CL623" i="25"/>
  <c r="CL624" i="25"/>
  <c r="CL625" i="25"/>
  <c r="CL626" i="25"/>
  <c r="CL627" i="25"/>
  <c r="CL628" i="25"/>
  <c r="CL629" i="25"/>
  <c r="CL630" i="25"/>
  <c r="CL631" i="25"/>
  <c r="CL632" i="25"/>
  <c r="CL633" i="25"/>
  <c r="CL634" i="25"/>
  <c r="CL635" i="25"/>
  <c r="CL636" i="25"/>
  <c r="CL637" i="25"/>
  <c r="CL638" i="25"/>
  <c r="CL639" i="25"/>
  <c r="CL640" i="25"/>
  <c r="CL641" i="25"/>
  <c r="CL642" i="25"/>
  <c r="CL643" i="25"/>
  <c r="CL644" i="25"/>
  <c r="CL645" i="25"/>
  <c r="CL646" i="25"/>
  <c r="CL583" i="25"/>
  <c r="CL584" i="25"/>
  <c r="CL649" i="25"/>
  <c r="CL650" i="25"/>
  <c r="CL651" i="25"/>
  <c r="CL652" i="25"/>
  <c r="CL653" i="25"/>
  <c r="CL680" i="25"/>
  <c r="CL655" i="25"/>
  <c r="CL656" i="25"/>
  <c r="CL684" i="25"/>
  <c r="CL688" i="25"/>
  <c r="CL659" i="25"/>
  <c r="CL660" i="25"/>
  <c r="CL661" i="25"/>
  <c r="CL662" i="25"/>
  <c r="CL663" i="25"/>
  <c r="CL664" i="25"/>
  <c r="CL665" i="25"/>
  <c r="CL666" i="25"/>
  <c r="CL667" i="25"/>
  <c r="CL668" i="25"/>
  <c r="CL669" i="25"/>
  <c r="CL670" i="25"/>
  <c r="CL671" i="25"/>
  <c r="CL672" i="25"/>
  <c r="CL673" i="25"/>
  <c r="CL674" i="25"/>
  <c r="CL675" i="25"/>
  <c r="CL676" i="25"/>
  <c r="CL677" i="25"/>
  <c r="CL678" i="25"/>
  <c r="CL679" i="25"/>
  <c r="CL566" i="25"/>
  <c r="CL681" i="25"/>
  <c r="CL682" i="25"/>
  <c r="CL683" i="25"/>
  <c r="CL580" i="25"/>
  <c r="CL685" i="25"/>
  <c r="CL686" i="25"/>
  <c r="CL687" i="25"/>
  <c r="CL648" i="25"/>
  <c r="CL689" i="25"/>
  <c r="CL690" i="25"/>
  <c r="CL654" i="25"/>
  <c r="CL692" i="25"/>
  <c r="CL657" i="25"/>
  <c r="CL694" i="25"/>
  <c r="CL695" i="25"/>
  <c r="CL696" i="25"/>
  <c r="CL691" i="25"/>
  <c r="CL693" i="25"/>
  <c r="CL699" i="25"/>
  <c r="CL700" i="25"/>
  <c r="CL701" i="25"/>
  <c r="CL705" i="25"/>
  <c r="CL706" i="25"/>
  <c r="CL707" i="25"/>
  <c r="CL708" i="25"/>
  <c r="CL709" i="25"/>
  <c r="CL710" i="25"/>
  <c r="CL711" i="25"/>
  <c r="CL712" i="25"/>
  <c r="CL714" i="25"/>
  <c r="CL717" i="25"/>
  <c r="CL718" i="25"/>
  <c r="CL719" i="25"/>
  <c r="CL713" i="25"/>
  <c r="CL721" i="25"/>
  <c r="CL722" i="25"/>
  <c r="CL723" i="25"/>
  <c r="CL725" i="25"/>
  <c r="CL726" i="25"/>
  <c r="CL728" i="25"/>
  <c r="CL729" i="25"/>
  <c r="CL730" i="25"/>
  <c r="CL727" i="25"/>
  <c r="CL731" i="25"/>
  <c r="CL732" i="25"/>
  <c r="CL733" i="25"/>
  <c r="CL734" i="25"/>
  <c r="CL735" i="25"/>
  <c r="CL736" i="25"/>
  <c r="CL737" i="25"/>
  <c r="CL738" i="25"/>
  <c r="CL739" i="25"/>
  <c r="CL740" i="25"/>
  <c r="CL742" i="25"/>
  <c r="CL743" i="25"/>
  <c r="CL744" i="25"/>
  <c r="CL746" i="25"/>
  <c r="CL747" i="25"/>
  <c r="CL745" i="25"/>
  <c r="CL702" i="25"/>
  <c r="CL720" i="25"/>
  <c r="CL704" i="25"/>
  <c r="CL724" i="25"/>
  <c r="CT545" i="25"/>
  <c r="CT546" i="25"/>
  <c r="CT547" i="25"/>
  <c r="CT548" i="25"/>
  <c r="CT549" i="25"/>
  <c r="CT550" i="25"/>
  <c r="CT552" i="25"/>
  <c r="CT555" i="25"/>
  <c r="CT553" i="25"/>
  <c r="CT554" i="25"/>
  <c r="CT560" i="25"/>
  <c r="CT564" i="25"/>
  <c r="CT557" i="25"/>
  <c r="CT573" i="25"/>
  <c r="CT559" i="25"/>
  <c r="CT551" i="25"/>
  <c r="CT561" i="25"/>
  <c r="CT556" i="25"/>
  <c r="CT558" i="25"/>
  <c r="CT562" i="25"/>
  <c r="CT563" i="25"/>
  <c r="CT565" i="25"/>
  <c r="CT567" i="25"/>
  <c r="CT568" i="25"/>
  <c r="CT569" i="25"/>
  <c r="CT570" i="25"/>
  <c r="CT579" i="25"/>
  <c r="CT572" i="25"/>
  <c r="CT574" i="25"/>
  <c r="CT578" i="25"/>
  <c r="CT575" i="25"/>
  <c r="CT576" i="25"/>
  <c r="CT577" i="25"/>
  <c r="CT647" i="25"/>
  <c r="CT582" i="25"/>
  <c r="CT658" i="25"/>
  <c r="CT581" i="25"/>
  <c r="CT588" i="25"/>
  <c r="CT697" i="25"/>
  <c r="CT698" i="25"/>
  <c r="CT585" i="25"/>
  <c r="CT586" i="25"/>
  <c r="CT587" i="25"/>
  <c r="CT596" i="25"/>
  <c r="CT592" i="25"/>
  <c r="CT593" i="25"/>
  <c r="CT594" i="25"/>
  <c r="CT611" i="25"/>
  <c r="CT613" i="25"/>
  <c r="CT589" i="25"/>
  <c r="CT595" i="25"/>
  <c r="CT598" i="25"/>
  <c r="CT597" i="25"/>
  <c r="CT571" i="25"/>
  <c r="CT599" i="25"/>
  <c r="CT600" i="25"/>
  <c r="CT601" i="25"/>
  <c r="CT602" i="25"/>
  <c r="CT603" i="25"/>
  <c r="CT604" i="25"/>
  <c r="CT605" i="25"/>
  <c r="CT606" i="25"/>
  <c r="CT607" i="25"/>
  <c r="CT608" i="25"/>
  <c r="CT609" i="25"/>
  <c r="CT610" i="25"/>
  <c r="CT590" i="25"/>
  <c r="CT612" i="25"/>
  <c r="CT591" i="25"/>
  <c r="CT615" i="25"/>
  <c r="CT616" i="25"/>
  <c r="CT617" i="25"/>
  <c r="CT618" i="25"/>
  <c r="CT619" i="25"/>
  <c r="CT620" i="25"/>
  <c r="CT621" i="25"/>
  <c r="CT622" i="25"/>
  <c r="CT623" i="25"/>
  <c r="CT624" i="25"/>
  <c r="CT625" i="25"/>
  <c r="CT626" i="25"/>
  <c r="CT627" i="25"/>
  <c r="CT628" i="25"/>
  <c r="CT629" i="25"/>
  <c r="CT630" i="25"/>
  <c r="CT631" i="25"/>
  <c r="CT632" i="25"/>
  <c r="CT633" i="25"/>
  <c r="CT634" i="25"/>
  <c r="CT635" i="25"/>
  <c r="CT636" i="25"/>
  <c r="CT637" i="25"/>
  <c r="CT638" i="25"/>
  <c r="CT639" i="25"/>
  <c r="CT640" i="25"/>
  <c r="CT641" i="25"/>
  <c r="CT642" i="25"/>
  <c r="CT643" i="25"/>
  <c r="CT644" i="25"/>
  <c r="CT645" i="25"/>
  <c r="CT646" i="25"/>
  <c r="CT583" i="25"/>
  <c r="CT584" i="25"/>
  <c r="CT649" i="25"/>
  <c r="CT650" i="25"/>
  <c r="CT651" i="25"/>
  <c r="CT652" i="25"/>
  <c r="CT653" i="25"/>
  <c r="CT680" i="25"/>
  <c r="CT655" i="25"/>
  <c r="CT656" i="25"/>
  <c r="CT684" i="25"/>
  <c r="CT688" i="25"/>
  <c r="CT659" i="25"/>
  <c r="CT660" i="25"/>
  <c r="CT661" i="25"/>
  <c r="CT662" i="25"/>
  <c r="CT663" i="25"/>
  <c r="CT664" i="25"/>
  <c r="CT665" i="25"/>
  <c r="CT666" i="25"/>
  <c r="CT667" i="25"/>
  <c r="CT668" i="25"/>
  <c r="CT669" i="25"/>
  <c r="CT670" i="25"/>
  <c r="CT671" i="25"/>
  <c r="CT672" i="25"/>
  <c r="CT673" i="25"/>
  <c r="CT674" i="25"/>
  <c r="CT675" i="25"/>
  <c r="CT676" i="25"/>
  <c r="CT677" i="25"/>
  <c r="CT678" i="25"/>
  <c r="CT679" i="25"/>
  <c r="CT566" i="25"/>
  <c r="CT681" i="25"/>
  <c r="CT682" i="25"/>
  <c r="CT683" i="25"/>
  <c r="CT580" i="25"/>
  <c r="CT685" i="25"/>
  <c r="CT686" i="25"/>
  <c r="CT687" i="25"/>
  <c r="CT648" i="25"/>
  <c r="CT689" i="25"/>
  <c r="CT690" i="25"/>
  <c r="CT654" i="25"/>
  <c r="CT692" i="25"/>
  <c r="CT657" i="25"/>
  <c r="CT694" i="25"/>
  <c r="CT695" i="25"/>
  <c r="CT696" i="25"/>
  <c r="CT691" i="25"/>
  <c r="CT693" i="25"/>
  <c r="CT699" i="25"/>
  <c r="CT700" i="25"/>
  <c r="CT701" i="25"/>
  <c r="CT705" i="25"/>
  <c r="CT706" i="25"/>
  <c r="CT707" i="25"/>
  <c r="CT708" i="25"/>
  <c r="CT709" i="25"/>
  <c r="CT710" i="25"/>
  <c r="CT711" i="25"/>
  <c r="CT712" i="25"/>
  <c r="CT714" i="25"/>
  <c r="CT717" i="25"/>
  <c r="CT718" i="25"/>
  <c r="CT719" i="25"/>
  <c r="CT713" i="25"/>
  <c r="CT721" i="25"/>
  <c r="CT722" i="25"/>
  <c r="CT723" i="25"/>
  <c r="CT725" i="25"/>
  <c r="CT726" i="25"/>
  <c r="CT728" i="25"/>
  <c r="CT729" i="25"/>
  <c r="CT730" i="25"/>
  <c r="CT727" i="25"/>
  <c r="CT731" i="25"/>
  <c r="CT732" i="25"/>
  <c r="CT733" i="25"/>
  <c r="CT734" i="25"/>
  <c r="CT735" i="25"/>
  <c r="CT736" i="25"/>
  <c r="CT737" i="25"/>
  <c r="CT738" i="25"/>
  <c r="CT739" i="25"/>
  <c r="CT740" i="25"/>
  <c r="CT742" i="25"/>
  <c r="CT743" i="25"/>
  <c r="CT744" i="25"/>
  <c r="CT746" i="25"/>
  <c r="CT747" i="25"/>
  <c r="CT745" i="25"/>
  <c r="CT702" i="25"/>
  <c r="CT720" i="25"/>
  <c r="CT704" i="25"/>
  <c r="CT724" i="25"/>
  <c r="CU545" i="25"/>
  <c r="DB545" i="25" s="1"/>
  <c r="CU546" i="25"/>
  <c r="DB546" i="25" s="1"/>
  <c r="CU547" i="25"/>
  <c r="DB547" i="25" s="1"/>
  <c r="CU548" i="25"/>
  <c r="DB548" i="25" s="1"/>
  <c r="CU549" i="25"/>
  <c r="DB549" i="25" s="1"/>
  <c r="CU550" i="25"/>
  <c r="DB550" i="25" s="1"/>
  <c r="CU552" i="25"/>
  <c r="DB552" i="25" s="1"/>
  <c r="CU555" i="25"/>
  <c r="DB555" i="25" s="1"/>
  <c r="CU553" i="25"/>
  <c r="DB553" i="25" s="1"/>
  <c r="CU554" i="25"/>
  <c r="DB554" i="25" s="1"/>
  <c r="CU560" i="25"/>
  <c r="DB560" i="25" s="1"/>
  <c r="CU564" i="25"/>
  <c r="DB564" i="25" s="1"/>
  <c r="CU557" i="25"/>
  <c r="DB557" i="25" s="1"/>
  <c r="CU573" i="25"/>
  <c r="DB573" i="25" s="1"/>
  <c r="CU559" i="25"/>
  <c r="DB559" i="25" s="1"/>
  <c r="CU551" i="25"/>
  <c r="DB551" i="25" s="1"/>
  <c r="CU561" i="25"/>
  <c r="DB561" i="25" s="1"/>
  <c r="CU556" i="25"/>
  <c r="DB556" i="25" s="1"/>
  <c r="CU558" i="25"/>
  <c r="DB558" i="25" s="1"/>
  <c r="CU562" i="25"/>
  <c r="DB562" i="25" s="1"/>
  <c r="CU563" i="25"/>
  <c r="DB563" i="25" s="1"/>
  <c r="CU565" i="25"/>
  <c r="DB565" i="25" s="1"/>
  <c r="CU567" i="25"/>
  <c r="DB567" i="25" s="1"/>
  <c r="CU568" i="25"/>
  <c r="CU569" i="25"/>
  <c r="DB569" i="25" s="1"/>
  <c r="CU570" i="25"/>
  <c r="DB570" i="25" s="1"/>
  <c r="CU579" i="25"/>
  <c r="DB579" i="25" s="1"/>
  <c r="CU572" i="25"/>
  <c r="DB572" i="25" s="1"/>
  <c r="CU574" i="25"/>
  <c r="DB574" i="25" s="1"/>
  <c r="CU578" i="25"/>
  <c r="DB578" i="25" s="1"/>
  <c r="CU575" i="25"/>
  <c r="DB575" i="25" s="1"/>
  <c r="CU576" i="25"/>
  <c r="DB576" i="25" s="1"/>
  <c r="CU577" i="25"/>
  <c r="DB577" i="25" s="1"/>
  <c r="CU647" i="25"/>
  <c r="DB647" i="25" s="1"/>
  <c r="CU582" i="25"/>
  <c r="DB582" i="25" s="1"/>
  <c r="CU658" i="25"/>
  <c r="DB658" i="25" s="1"/>
  <c r="CU581" i="25"/>
  <c r="DB581" i="25" s="1"/>
  <c r="CU588" i="25"/>
  <c r="DB588" i="25" s="1"/>
  <c r="CU697" i="25"/>
  <c r="DB697" i="25" s="1"/>
  <c r="CU698" i="25"/>
  <c r="DB698" i="25" s="1"/>
  <c r="CU585" i="25"/>
  <c r="DB585" i="25" s="1"/>
  <c r="CU586" i="25"/>
  <c r="DB586" i="25" s="1"/>
  <c r="CU587" i="25"/>
  <c r="DB587" i="25" s="1"/>
  <c r="CU596" i="25"/>
  <c r="DB596" i="25" s="1"/>
  <c r="CU592" i="25"/>
  <c r="CU593" i="25"/>
  <c r="DB593" i="25" s="1"/>
  <c r="CU594" i="25"/>
  <c r="CU611" i="25"/>
  <c r="DB611" i="25" s="1"/>
  <c r="CU613" i="25"/>
  <c r="DB613" i="25" s="1"/>
  <c r="CU589" i="25"/>
  <c r="DB589" i="25" s="1"/>
  <c r="CU595" i="25"/>
  <c r="DB595" i="25" s="1"/>
  <c r="CU598" i="25"/>
  <c r="DB598" i="25" s="1"/>
  <c r="CU597" i="25"/>
  <c r="DB597" i="25" s="1"/>
  <c r="CU571" i="25"/>
  <c r="CU599" i="25"/>
  <c r="DB599" i="25" s="1"/>
  <c r="CU600" i="25"/>
  <c r="DB600" i="25" s="1"/>
  <c r="CU601" i="25"/>
  <c r="DB601" i="25" s="1"/>
  <c r="CU602" i="25"/>
  <c r="DB602" i="25" s="1"/>
  <c r="CU603" i="25"/>
  <c r="DB603" i="25" s="1"/>
  <c r="CU604" i="25"/>
  <c r="DB604" i="25" s="1"/>
  <c r="CU605" i="25"/>
  <c r="DB605" i="25" s="1"/>
  <c r="CU606" i="25"/>
  <c r="DB606" i="25" s="1"/>
  <c r="CU607" i="25"/>
  <c r="CU608" i="25"/>
  <c r="DB608" i="25" s="1"/>
  <c r="CU609" i="25"/>
  <c r="DB609" i="25" s="1"/>
  <c r="CU610" i="25"/>
  <c r="DB610" i="25" s="1"/>
  <c r="CU590" i="25"/>
  <c r="DB590" i="25" s="1"/>
  <c r="CU612" i="25"/>
  <c r="DB612" i="25" s="1"/>
  <c r="CU591" i="25"/>
  <c r="DB591" i="25" s="1"/>
  <c r="CU615" i="25"/>
  <c r="DB615" i="25" s="1"/>
  <c r="CU616" i="25"/>
  <c r="DB616" i="25" s="1"/>
  <c r="CU617" i="25"/>
  <c r="DB617" i="25" s="1"/>
  <c r="CU618" i="25"/>
  <c r="DB618" i="25" s="1"/>
  <c r="CU619" i="25"/>
  <c r="DB619" i="25" s="1"/>
  <c r="CU620" i="25"/>
  <c r="DB620" i="25" s="1"/>
  <c r="CU621" i="25"/>
  <c r="DB621" i="25" s="1"/>
  <c r="CU622" i="25"/>
  <c r="DB622" i="25" s="1"/>
  <c r="CU623" i="25"/>
  <c r="DB623" i="25" s="1"/>
  <c r="CU624" i="25"/>
  <c r="CU625" i="25"/>
  <c r="DB625" i="25" s="1"/>
  <c r="CU626" i="25"/>
  <c r="DB626" i="25" s="1"/>
  <c r="CU627" i="25"/>
  <c r="DB627" i="25" s="1"/>
  <c r="CU628" i="25"/>
  <c r="DB628" i="25" s="1"/>
  <c r="CU629" i="25"/>
  <c r="DB629" i="25" s="1"/>
  <c r="CU630" i="25"/>
  <c r="DB630" i="25" s="1"/>
  <c r="CU631" i="25"/>
  <c r="DB631" i="25" s="1"/>
  <c r="CU632" i="25"/>
  <c r="CU633" i="25"/>
  <c r="DB633" i="25" s="1"/>
  <c r="CU634" i="25"/>
  <c r="DB634" i="25" s="1"/>
  <c r="CU635" i="25"/>
  <c r="DB635" i="25" s="1"/>
  <c r="CU636" i="25"/>
  <c r="DB636" i="25" s="1"/>
  <c r="CU637" i="25"/>
  <c r="DB637" i="25" s="1"/>
  <c r="CU638" i="25"/>
  <c r="DB638" i="25" s="1"/>
  <c r="CU639" i="25"/>
  <c r="DB639" i="25" s="1"/>
  <c r="CU640" i="25"/>
  <c r="DB640" i="25" s="1"/>
  <c r="CU641" i="25"/>
  <c r="DB641" i="25" s="1"/>
  <c r="CU642" i="25"/>
  <c r="DB642" i="25" s="1"/>
  <c r="CU643" i="25"/>
  <c r="DB643" i="25" s="1"/>
  <c r="CU644" i="25"/>
  <c r="DB644" i="25" s="1"/>
  <c r="CU645" i="25"/>
  <c r="DB645" i="25" s="1"/>
  <c r="CU646" i="25"/>
  <c r="DB646" i="25" s="1"/>
  <c r="CU583" i="25"/>
  <c r="DB583" i="25" s="1"/>
  <c r="CU584" i="25"/>
  <c r="CU649" i="25"/>
  <c r="DB649" i="25" s="1"/>
  <c r="CU650" i="25"/>
  <c r="DB650" i="25" s="1"/>
  <c r="CU651" i="25"/>
  <c r="DB651" i="25" s="1"/>
  <c r="CU652" i="25"/>
  <c r="DB652" i="25" s="1"/>
  <c r="CU653" i="25"/>
  <c r="DB653" i="25" s="1"/>
  <c r="CU680" i="25"/>
  <c r="DB680" i="25" s="1"/>
  <c r="CU655" i="25"/>
  <c r="DB655" i="25" s="1"/>
  <c r="CU656" i="25"/>
  <c r="CU684" i="25"/>
  <c r="DB684" i="25" s="1"/>
  <c r="CU688" i="25"/>
  <c r="DB688" i="25" s="1"/>
  <c r="CU659" i="25"/>
  <c r="DB659" i="25" s="1"/>
  <c r="CU660" i="25"/>
  <c r="DB660" i="25" s="1"/>
  <c r="CU661" i="25"/>
  <c r="DB661" i="25" s="1"/>
  <c r="CU662" i="25"/>
  <c r="DB662" i="25" s="1"/>
  <c r="CU663" i="25"/>
  <c r="DB663" i="25" s="1"/>
  <c r="CU664" i="25"/>
  <c r="DB664" i="25" s="1"/>
  <c r="CU665" i="25"/>
  <c r="DB665" i="25" s="1"/>
  <c r="CU666" i="25"/>
  <c r="DB666" i="25" s="1"/>
  <c r="CU667" i="25"/>
  <c r="DB667" i="25" s="1"/>
  <c r="CU668" i="25"/>
  <c r="DB668" i="25" s="1"/>
  <c r="CU669" i="25"/>
  <c r="DB669" i="25" s="1"/>
  <c r="CU670" i="25"/>
  <c r="DB670" i="25" s="1"/>
  <c r="CU671" i="25"/>
  <c r="DB671" i="25" s="1"/>
  <c r="CU672" i="25"/>
  <c r="CU673" i="25"/>
  <c r="DB673" i="25" s="1"/>
  <c r="CU674" i="25"/>
  <c r="DB674" i="25" s="1"/>
  <c r="CU675" i="25"/>
  <c r="DB675" i="25" s="1"/>
  <c r="CU676" i="25"/>
  <c r="DB676" i="25" s="1"/>
  <c r="CU677" i="25"/>
  <c r="DB677" i="25" s="1"/>
  <c r="CU678" i="25"/>
  <c r="DB678" i="25" s="1"/>
  <c r="CU679" i="25"/>
  <c r="DB679" i="25" s="1"/>
  <c r="CU566" i="25"/>
  <c r="DB566" i="25" s="1"/>
  <c r="CU681" i="25"/>
  <c r="DB681" i="25" s="1"/>
  <c r="CU682" i="25"/>
  <c r="DB682" i="25" s="1"/>
  <c r="CU683" i="25"/>
  <c r="DB683" i="25" s="1"/>
  <c r="CU580" i="25"/>
  <c r="DB580" i="25" s="1"/>
  <c r="CU685" i="25"/>
  <c r="DB685" i="25" s="1"/>
  <c r="CU686" i="25"/>
  <c r="DB686" i="25" s="1"/>
  <c r="CU687" i="25"/>
  <c r="CU648" i="25"/>
  <c r="DB648" i="25" s="1"/>
  <c r="CU689" i="25"/>
  <c r="DB689" i="25" s="1"/>
  <c r="CU690" i="25"/>
  <c r="DB690" i="25" s="1"/>
  <c r="CU654" i="25"/>
  <c r="DB654" i="25" s="1"/>
  <c r="CU692" i="25"/>
  <c r="DB692" i="25" s="1"/>
  <c r="CU657" i="25"/>
  <c r="DB657" i="25" s="1"/>
  <c r="CU694" i="25"/>
  <c r="DB694" i="25" s="1"/>
  <c r="CU695" i="25"/>
  <c r="CU696" i="25"/>
  <c r="DB696" i="25" s="1"/>
  <c r="CU691" i="25"/>
  <c r="DB691" i="25" s="1"/>
  <c r="CU693" i="25"/>
  <c r="DB693" i="25" s="1"/>
  <c r="CU699" i="25"/>
  <c r="DB699" i="25" s="1"/>
  <c r="CU700" i="25"/>
  <c r="DB700" i="25" s="1"/>
  <c r="CU701" i="25"/>
  <c r="DB701" i="25" s="1"/>
  <c r="CU705" i="25"/>
  <c r="DB705" i="25" s="1"/>
  <c r="CU706" i="25"/>
  <c r="DB706" i="25" s="1"/>
  <c r="CU707" i="25"/>
  <c r="DB707" i="25" s="1"/>
  <c r="CU708" i="25"/>
  <c r="DB708" i="25" s="1"/>
  <c r="CU709" i="25"/>
  <c r="DB709" i="25" s="1"/>
  <c r="CU710" i="25"/>
  <c r="DB710" i="25" s="1"/>
  <c r="CU711" i="25"/>
  <c r="DB711" i="25" s="1"/>
  <c r="CU712" i="25"/>
  <c r="DB712" i="25" s="1"/>
  <c r="CU714" i="25"/>
  <c r="CU717" i="25"/>
  <c r="DB717" i="25" s="1"/>
  <c r="CU718" i="25"/>
  <c r="DB718" i="25" s="1"/>
  <c r="CU719" i="25"/>
  <c r="DB719" i="25" s="1"/>
  <c r="CU713" i="25"/>
  <c r="DB713" i="25" s="1"/>
  <c r="CU721" i="25"/>
  <c r="DB721" i="25" s="1"/>
  <c r="CU722" i="25"/>
  <c r="DB722" i="25" s="1"/>
  <c r="CU723" i="25"/>
  <c r="DB723" i="25" s="1"/>
  <c r="CU725" i="25"/>
  <c r="DB725" i="25" s="1"/>
  <c r="CU726" i="25"/>
  <c r="DB726" i="25" s="1"/>
  <c r="CU728" i="25"/>
  <c r="DB728" i="25" s="1"/>
  <c r="CU729" i="25"/>
  <c r="DB729" i="25" s="1"/>
  <c r="CU730" i="25"/>
  <c r="DB730" i="25" s="1"/>
  <c r="CU727" i="25"/>
  <c r="DB727" i="25" s="1"/>
  <c r="CU731" i="25"/>
  <c r="DB731" i="25" s="1"/>
  <c r="CU732" i="25"/>
  <c r="DB732" i="25" s="1"/>
  <c r="CU733" i="25"/>
  <c r="CU734" i="25"/>
  <c r="DB734" i="25" s="1"/>
  <c r="CU735" i="25"/>
  <c r="DB735" i="25" s="1"/>
  <c r="CU736" i="25"/>
  <c r="DB736" i="25" s="1"/>
  <c r="CU737" i="25"/>
  <c r="DB737" i="25" s="1"/>
  <c r="CU738" i="25"/>
  <c r="DB738" i="25" s="1"/>
  <c r="CU739" i="25"/>
  <c r="DB739" i="25" s="1"/>
  <c r="CU740" i="25"/>
  <c r="DB740" i="25" s="1"/>
  <c r="CU742" i="25"/>
  <c r="CU743" i="25"/>
  <c r="DB743" i="25" s="1"/>
  <c r="CU744" i="25"/>
  <c r="DB744" i="25" s="1"/>
  <c r="CU746" i="25"/>
  <c r="DB746" i="25" s="1"/>
  <c r="CU747" i="25"/>
  <c r="DB747" i="25" s="1"/>
  <c r="CU745" i="25"/>
  <c r="DB745" i="25" s="1"/>
  <c r="CU702" i="25"/>
  <c r="DB702" i="25" s="1"/>
  <c r="CU720" i="25"/>
  <c r="DB720" i="25" s="1"/>
  <c r="CU704" i="25"/>
  <c r="DB704" i="25" s="1"/>
  <c r="CU724" i="25"/>
  <c r="DB724" i="25" s="1"/>
  <c r="CV545" i="25"/>
  <c r="CV546" i="25"/>
  <c r="CV547" i="25"/>
  <c r="CV548" i="25"/>
  <c r="CV549" i="25"/>
  <c r="CV550" i="25"/>
  <c r="CV552" i="25"/>
  <c r="CV555" i="25"/>
  <c r="CV553" i="25"/>
  <c r="CV554" i="25"/>
  <c r="CV560" i="25"/>
  <c r="CV564" i="25"/>
  <c r="CV557" i="25"/>
  <c r="CV573" i="25"/>
  <c r="CV559" i="25"/>
  <c r="CV551" i="25"/>
  <c r="CV561" i="25"/>
  <c r="CV556" i="25"/>
  <c r="CV558" i="25"/>
  <c r="CV562" i="25"/>
  <c r="CV563" i="25"/>
  <c r="CV565" i="25"/>
  <c r="CV567" i="25"/>
  <c r="CV568" i="25"/>
  <c r="CV569" i="25"/>
  <c r="CV570" i="25"/>
  <c r="CV579" i="25"/>
  <c r="CV572" i="25"/>
  <c r="CV574" i="25"/>
  <c r="CV578" i="25"/>
  <c r="CV575" i="25"/>
  <c r="CV576" i="25"/>
  <c r="CV577" i="25"/>
  <c r="CV647" i="25"/>
  <c r="CV582" i="25"/>
  <c r="CV658" i="25"/>
  <c r="CV581" i="25"/>
  <c r="CV588" i="25"/>
  <c r="CV697" i="25"/>
  <c r="CV698" i="25"/>
  <c r="CV585" i="25"/>
  <c r="CV586" i="25"/>
  <c r="CV587" i="25"/>
  <c r="CV596" i="25"/>
  <c r="CV592" i="25"/>
  <c r="CV593" i="25"/>
  <c r="CV594" i="25"/>
  <c r="CV611" i="25"/>
  <c r="CV613" i="25"/>
  <c r="CV589" i="25"/>
  <c r="CV595" i="25"/>
  <c r="CV598" i="25"/>
  <c r="CV597" i="25"/>
  <c r="CV571" i="25"/>
  <c r="CV599" i="25"/>
  <c r="CV600" i="25"/>
  <c r="CV601" i="25"/>
  <c r="CV602" i="25"/>
  <c r="CV603" i="25"/>
  <c r="CV604" i="25"/>
  <c r="CV605" i="25"/>
  <c r="CV606" i="25"/>
  <c r="CV607" i="25"/>
  <c r="CV608" i="25"/>
  <c r="CV609" i="25"/>
  <c r="CV610" i="25"/>
  <c r="CV590" i="25"/>
  <c r="CV612" i="25"/>
  <c r="CV591" i="25"/>
  <c r="CV615" i="25"/>
  <c r="CV616" i="25"/>
  <c r="CV617" i="25"/>
  <c r="CV618" i="25"/>
  <c r="CV619" i="25"/>
  <c r="CV620" i="25"/>
  <c r="CV621" i="25"/>
  <c r="CV622" i="25"/>
  <c r="CV623" i="25"/>
  <c r="CV624" i="25"/>
  <c r="CV625" i="25"/>
  <c r="CV626" i="25"/>
  <c r="CV627" i="25"/>
  <c r="CV628" i="25"/>
  <c r="CV629" i="25"/>
  <c r="CV630" i="25"/>
  <c r="CV631" i="25"/>
  <c r="CV632" i="25"/>
  <c r="CV633" i="25"/>
  <c r="CV634" i="25"/>
  <c r="CV635" i="25"/>
  <c r="CV636" i="25"/>
  <c r="CV637" i="25"/>
  <c r="CV638" i="25"/>
  <c r="CV639" i="25"/>
  <c r="CV640" i="25"/>
  <c r="CV641" i="25"/>
  <c r="CV642" i="25"/>
  <c r="CV643" i="25"/>
  <c r="CV644" i="25"/>
  <c r="CV645" i="25"/>
  <c r="CV646" i="25"/>
  <c r="CV583" i="25"/>
  <c r="CV584" i="25"/>
  <c r="CV649" i="25"/>
  <c r="CV650" i="25"/>
  <c r="CV651" i="25"/>
  <c r="CV652" i="25"/>
  <c r="CV653" i="25"/>
  <c r="CV680" i="25"/>
  <c r="CV655" i="25"/>
  <c r="CV656" i="25"/>
  <c r="CV684" i="25"/>
  <c r="CV688" i="25"/>
  <c r="CV659" i="25"/>
  <c r="CV660" i="25"/>
  <c r="CV661" i="25"/>
  <c r="CV662" i="25"/>
  <c r="CV663" i="25"/>
  <c r="CV664" i="25"/>
  <c r="CV665" i="25"/>
  <c r="CV666" i="25"/>
  <c r="CV667" i="25"/>
  <c r="CV668" i="25"/>
  <c r="CV669" i="25"/>
  <c r="CV670" i="25"/>
  <c r="CV671" i="25"/>
  <c r="CV672" i="25"/>
  <c r="CV673" i="25"/>
  <c r="CV674" i="25"/>
  <c r="CV675" i="25"/>
  <c r="CV676" i="25"/>
  <c r="CV677" i="25"/>
  <c r="CV678" i="25"/>
  <c r="CV679" i="25"/>
  <c r="CV566" i="25"/>
  <c r="CV681" i="25"/>
  <c r="CV682" i="25"/>
  <c r="CV683" i="25"/>
  <c r="CV580" i="25"/>
  <c r="CV685" i="25"/>
  <c r="CV686" i="25"/>
  <c r="CV687" i="25"/>
  <c r="CV648" i="25"/>
  <c r="CV689" i="25"/>
  <c r="CV690" i="25"/>
  <c r="CV654" i="25"/>
  <c r="CV692" i="25"/>
  <c r="CV657" i="25"/>
  <c r="CV694" i="25"/>
  <c r="CV695" i="25"/>
  <c r="CV696" i="25"/>
  <c r="CV691" i="25"/>
  <c r="CV693" i="25"/>
  <c r="CV699" i="25"/>
  <c r="CV700" i="25"/>
  <c r="CV701" i="25"/>
  <c r="CV705" i="25"/>
  <c r="CV706" i="25"/>
  <c r="CV707" i="25"/>
  <c r="CV708" i="25"/>
  <c r="CV709" i="25"/>
  <c r="CV710" i="25"/>
  <c r="CV711" i="25"/>
  <c r="CV712" i="25"/>
  <c r="CV714" i="25"/>
  <c r="CV717" i="25"/>
  <c r="CV718" i="25"/>
  <c r="CV719" i="25"/>
  <c r="CV713" i="25"/>
  <c r="CV721" i="25"/>
  <c r="CV722" i="25"/>
  <c r="CV723" i="25"/>
  <c r="CV725" i="25"/>
  <c r="CV726" i="25"/>
  <c r="CV728" i="25"/>
  <c r="CV729" i="25"/>
  <c r="CV730" i="25"/>
  <c r="CV727" i="25"/>
  <c r="CV731" i="25"/>
  <c r="CV732" i="25"/>
  <c r="CV733" i="25"/>
  <c r="CV734" i="25"/>
  <c r="CV735" i="25"/>
  <c r="CV736" i="25"/>
  <c r="CV737" i="25"/>
  <c r="CV738" i="25"/>
  <c r="CV739" i="25"/>
  <c r="CV740" i="25"/>
  <c r="CV742" i="25"/>
  <c r="CV743" i="25"/>
  <c r="CV744" i="25"/>
  <c r="CV746" i="25"/>
  <c r="CV747" i="25"/>
  <c r="CV745" i="25"/>
  <c r="CV702" i="25"/>
  <c r="CV720" i="25"/>
  <c r="CV704" i="25"/>
  <c r="CV724" i="25"/>
  <c r="CW545" i="25"/>
  <c r="CW546" i="25"/>
  <c r="CW547" i="25"/>
  <c r="CW548" i="25"/>
  <c r="CW549" i="25"/>
  <c r="CW550" i="25"/>
  <c r="CW552" i="25"/>
  <c r="CW555" i="25"/>
  <c r="CW553" i="25"/>
  <c r="CW554" i="25"/>
  <c r="CW560" i="25"/>
  <c r="CW564" i="25"/>
  <c r="CW557" i="25"/>
  <c r="CW573" i="25"/>
  <c r="CW559" i="25"/>
  <c r="CW551" i="25"/>
  <c r="CW561" i="25"/>
  <c r="CW556" i="25"/>
  <c r="CW558" i="25"/>
  <c r="CW562" i="25"/>
  <c r="CW563" i="25"/>
  <c r="CW565" i="25"/>
  <c r="CW567" i="25"/>
  <c r="CW568" i="25"/>
  <c r="CW569" i="25"/>
  <c r="CW570" i="25"/>
  <c r="CW579" i="25"/>
  <c r="CW572" i="25"/>
  <c r="CW574" i="25"/>
  <c r="CW578" i="25"/>
  <c r="CW575" i="25"/>
  <c r="CW576" i="25"/>
  <c r="CW577" i="25"/>
  <c r="CW647" i="25"/>
  <c r="CW582" i="25"/>
  <c r="CW658" i="25"/>
  <c r="CW581" i="25"/>
  <c r="CW588" i="25"/>
  <c r="CW697" i="25"/>
  <c r="CW698" i="25"/>
  <c r="CW585" i="25"/>
  <c r="CW586" i="25"/>
  <c r="CW587" i="25"/>
  <c r="CW596" i="25"/>
  <c r="CW592" i="25"/>
  <c r="CW593" i="25"/>
  <c r="CW594" i="25"/>
  <c r="CW611" i="25"/>
  <c r="CW613" i="25"/>
  <c r="CW589" i="25"/>
  <c r="CW595" i="25"/>
  <c r="CW598" i="25"/>
  <c r="CW597" i="25"/>
  <c r="CW571" i="25"/>
  <c r="CW599" i="25"/>
  <c r="CW600" i="25"/>
  <c r="CW601" i="25"/>
  <c r="CW602" i="25"/>
  <c r="CW603" i="25"/>
  <c r="CW604" i="25"/>
  <c r="CW605" i="25"/>
  <c r="CW606" i="25"/>
  <c r="CW607" i="25"/>
  <c r="CW608" i="25"/>
  <c r="CW609" i="25"/>
  <c r="CW610" i="25"/>
  <c r="CW590" i="25"/>
  <c r="CW612" i="25"/>
  <c r="CW591" i="25"/>
  <c r="CW615" i="25"/>
  <c r="CW616" i="25"/>
  <c r="CW617" i="25"/>
  <c r="CW618" i="25"/>
  <c r="CW619" i="25"/>
  <c r="CW620" i="25"/>
  <c r="CW621" i="25"/>
  <c r="CW622" i="25"/>
  <c r="CW623" i="25"/>
  <c r="CW624" i="25"/>
  <c r="CW625" i="25"/>
  <c r="CW626" i="25"/>
  <c r="CW627" i="25"/>
  <c r="CW628" i="25"/>
  <c r="CW629" i="25"/>
  <c r="CW630" i="25"/>
  <c r="CW631" i="25"/>
  <c r="CW632" i="25"/>
  <c r="CW633" i="25"/>
  <c r="CW634" i="25"/>
  <c r="CW635" i="25"/>
  <c r="CW636" i="25"/>
  <c r="CW637" i="25"/>
  <c r="CW638" i="25"/>
  <c r="CW639" i="25"/>
  <c r="CW640" i="25"/>
  <c r="CW641" i="25"/>
  <c r="CW642" i="25"/>
  <c r="CW643" i="25"/>
  <c r="CW644" i="25"/>
  <c r="CW645" i="25"/>
  <c r="CW646" i="25"/>
  <c r="CW583" i="25"/>
  <c r="CW584" i="25"/>
  <c r="CW649" i="25"/>
  <c r="CW650" i="25"/>
  <c r="CW651" i="25"/>
  <c r="CW652" i="25"/>
  <c r="CW653" i="25"/>
  <c r="CW680" i="25"/>
  <c r="CW655" i="25"/>
  <c r="CW656" i="25"/>
  <c r="CW684" i="25"/>
  <c r="CW688" i="25"/>
  <c r="CW659" i="25"/>
  <c r="CW660" i="25"/>
  <c r="CW661" i="25"/>
  <c r="CW662" i="25"/>
  <c r="CW663" i="25"/>
  <c r="CW664" i="25"/>
  <c r="CW665" i="25"/>
  <c r="CW666" i="25"/>
  <c r="CW667" i="25"/>
  <c r="CW668" i="25"/>
  <c r="CW669" i="25"/>
  <c r="CW670" i="25"/>
  <c r="CW671" i="25"/>
  <c r="CW672" i="25"/>
  <c r="CW673" i="25"/>
  <c r="CW674" i="25"/>
  <c r="CW675" i="25"/>
  <c r="CW676" i="25"/>
  <c r="CW677" i="25"/>
  <c r="CW678" i="25"/>
  <c r="CW679" i="25"/>
  <c r="CW566" i="25"/>
  <c r="CW681" i="25"/>
  <c r="CW682" i="25"/>
  <c r="CW683" i="25"/>
  <c r="CW580" i="25"/>
  <c r="CW685" i="25"/>
  <c r="CW686" i="25"/>
  <c r="CW687" i="25"/>
  <c r="CW648" i="25"/>
  <c r="CW689" i="25"/>
  <c r="CW690" i="25"/>
  <c r="CW654" i="25"/>
  <c r="CW692" i="25"/>
  <c r="CW657" i="25"/>
  <c r="CW694" i="25"/>
  <c r="CW695" i="25"/>
  <c r="CW696" i="25"/>
  <c r="CW691" i="25"/>
  <c r="CW693" i="25"/>
  <c r="CW699" i="25"/>
  <c r="CW700" i="25"/>
  <c r="CW701" i="25"/>
  <c r="CW705" i="25"/>
  <c r="CW706" i="25"/>
  <c r="CW707" i="25"/>
  <c r="CW708" i="25"/>
  <c r="CW709" i="25"/>
  <c r="CW710" i="25"/>
  <c r="CW711" i="25"/>
  <c r="CW712" i="25"/>
  <c r="CW714" i="25"/>
  <c r="CW717" i="25"/>
  <c r="CW718" i="25"/>
  <c r="CW719" i="25"/>
  <c r="CW713" i="25"/>
  <c r="CW721" i="25"/>
  <c r="CW722" i="25"/>
  <c r="CW723" i="25"/>
  <c r="CW725" i="25"/>
  <c r="CW726" i="25"/>
  <c r="CW728" i="25"/>
  <c r="CW729" i="25"/>
  <c r="CW730" i="25"/>
  <c r="CW727" i="25"/>
  <c r="CW731" i="25"/>
  <c r="CW732" i="25"/>
  <c r="CW733" i="25"/>
  <c r="CW734" i="25"/>
  <c r="CW735" i="25"/>
  <c r="CW736" i="25"/>
  <c r="CW737" i="25"/>
  <c r="CW738" i="25"/>
  <c r="CW739" i="25"/>
  <c r="CW740" i="25"/>
  <c r="CW742" i="25"/>
  <c r="CW743" i="25"/>
  <c r="CW744" i="25"/>
  <c r="CW746" i="25"/>
  <c r="CW747" i="25"/>
  <c r="CW745" i="25"/>
  <c r="CW702" i="25"/>
  <c r="CW720" i="25"/>
  <c r="CW704" i="25"/>
  <c r="CW724" i="25"/>
  <c r="DC545" i="25"/>
  <c r="DC546" i="25"/>
  <c r="DC547" i="25"/>
  <c r="DC548" i="25"/>
  <c r="DC549" i="25"/>
  <c r="DC550" i="25"/>
  <c r="DC552" i="25"/>
  <c r="DC555" i="25"/>
  <c r="DC553" i="25"/>
  <c r="DC554" i="25"/>
  <c r="DC560" i="25"/>
  <c r="DC564" i="25"/>
  <c r="DC557" i="25"/>
  <c r="DC573" i="25"/>
  <c r="DC559" i="25"/>
  <c r="DC551" i="25"/>
  <c r="DC561" i="25"/>
  <c r="DC556" i="25"/>
  <c r="DC558" i="25"/>
  <c r="DC562" i="25"/>
  <c r="DC563" i="25"/>
  <c r="DC565" i="25"/>
  <c r="DC567" i="25"/>
  <c r="DC568" i="25"/>
  <c r="DC569" i="25"/>
  <c r="DC570" i="25"/>
  <c r="DC579" i="25"/>
  <c r="DC572" i="25"/>
  <c r="DC574" i="25"/>
  <c r="DC578" i="25"/>
  <c r="DC575" i="25"/>
  <c r="DC576" i="25"/>
  <c r="DC577" i="25"/>
  <c r="DC647" i="25"/>
  <c r="DC582" i="25"/>
  <c r="DC658" i="25"/>
  <c r="DC581" i="25"/>
  <c r="DC588" i="25"/>
  <c r="DC697" i="25"/>
  <c r="DC698" i="25"/>
  <c r="DC585" i="25"/>
  <c r="DC586" i="25"/>
  <c r="DC587" i="25"/>
  <c r="DC596" i="25"/>
  <c r="DC592" i="25"/>
  <c r="DC593" i="25"/>
  <c r="DC594" i="25"/>
  <c r="DC611" i="25"/>
  <c r="DC613" i="25"/>
  <c r="DC589" i="25"/>
  <c r="DC595" i="25"/>
  <c r="DC598" i="25"/>
  <c r="DC597" i="25"/>
  <c r="DC571" i="25"/>
  <c r="DC599" i="25"/>
  <c r="DC600" i="25"/>
  <c r="DC601" i="25"/>
  <c r="DC602" i="25"/>
  <c r="DC603" i="25"/>
  <c r="DC604" i="25"/>
  <c r="DC605" i="25"/>
  <c r="DC606" i="25"/>
  <c r="DC607" i="25"/>
  <c r="DC608" i="25"/>
  <c r="DC609" i="25"/>
  <c r="DC610" i="25"/>
  <c r="DC590" i="25"/>
  <c r="DC612" i="25"/>
  <c r="DC591" i="25"/>
  <c r="DC615" i="25"/>
  <c r="DC616" i="25"/>
  <c r="DC617" i="25"/>
  <c r="DC618" i="25"/>
  <c r="DC619" i="25"/>
  <c r="DC620" i="25"/>
  <c r="DC621" i="25"/>
  <c r="DC622" i="25"/>
  <c r="DC623" i="25"/>
  <c r="DC624" i="25"/>
  <c r="DC625" i="25"/>
  <c r="DC626" i="25"/>
  <c r="DC627" i="25"/>
  <c r="DC628" i="25"/>
  <c r="DC629" i="25"/>
  <c r="DC630" i="25"/>
  <c r="DC631" i="25"/>
  <c r="DC632" i="25"/>
  <c r="DC633" i="25"/>
  <c r="DC634" i="25"/>
  <c r="DC635" i="25"/>
  <c r="DC636" i="25"/>
  <c r="DC637" i="25"/>
  <c r="DC638" i="25"/>
  <c r="DC639" i="25"/>
  <c r="DC640" i="25"/>
  <c r="DC641" i="25"/>
  <c r="DC642" i="25"/>
  <c r="DC643" i="25"/>
  <c r="DC644" i="25"/>
  <c r="DC645" i="25"/>
  <c r="DC646" i="25"/>
  <c r="DC583" i="25"/>
  <c r="DC584" i="25"/>
  <c r="DC649" i="25"/>
  <c r="DC650" i="25"/>
  <c r="DC651" i="25"/>
  <c r="DC652" i="25"/>
  <c r="DC653" i="25"/>
  <c r="DC680" i="25"/>
  <c r="DC655" i="25"/>
  <c r="DC656" i="25"/>
  <c r="DC684" i="25"/>
  <c r="DC688" i="25"/>
  <c r="DC659" i="25"/>
  <c r="DC660" i="25"/>
  <c r="DC661" i="25"/>
  <c r="DC662" i="25"/>
  <c r="DC663" i="25"/>
  <c r="DC664" i="25"/>
  <c r="DC665" i="25"/>
  <c r="DC666" i="25"/>
  <c r="DC667" i="25"/>
  <c r="DC668" i="25"/>
  <c r="DC669" i="25"/>
  <c r="DC670" i="25"/>
  <c r="DC671" i="25"/>
  <c r="DC672" i="25"/>
  <c r="DC673" i="25"/>
  <c r="DC674" i="25"/>
  <c r="DC675" i="25"/>
  <c r="DC676" i="25"/>
  <c r="DC677" i="25"/>
  <c r="DC678" i="25"/>
  <c r="DC679" i="25"/>
  <c r="DC566" i="25"/>
  <c r="DC681" i="25"/>
  <c r="DC682" i="25"/>
  <c r="DC683" i="25"/>
  <c r="DC580" i="25"/>
  <c r="DC685" i="25"/>
  <c r="DC686" i="25"/>
  <c r="DC687" i="25"/>
  <c r="DC648" i="25"/>
  <c r="DC689" i="25"/>
  <c r="DC690" i="25"/>
  <c r="DC654" i="25"/>
  <c r="DC692" i="25"/>
  <c r="DC657" i="25"/>
  <c r="DC694" i="25"/>
  <c r="DC695" i="25"/>
  <c r="DC696" i="25"/>
  <c r="DC691" i="25"/>
  <c r="DC693" i="25"/>
  <c r="DC699" i="25"/>
  <c r="DC700" i="25"/>
  <c r="DC701" i="25"/>
  <c r="DC705" i="25"/>
  <c r="DC706" i="25"/>
  <c r="DC707" i="25"/>
  <c r="DC708" i="25"/>
  <c r="DC709" i="25"/>
  <c r="DC710" i="25"/>
  <c r="DC711" i="25"/>
  <c r="DC712" i="25"/>
  <c r="DC714" i="25"/>
  <c r="DC717" i="25"/>
  <c r="DC718" i="25"/>
  <c r="DC719" i="25"/>
  <c r="DC713" i="25"/>
  <c r="DC721" i="25"/>
  <c r="DC722" i="25"/>
  <c r="DC723" i="25"/>
  <c r="DC725" i="25"/>
  <c r="DC726" i="25"/>
  <c r="DC728" i="25"/>
  <c r="DC729" i="25"/>
  <c r="DC730" i="25"/>
  <c r="DC727" i="25"/>
  <c r="DC731" i="25"/>
  <c r="DC732" i="25"/>
  <c r="DC733" i="25"/>
  <c r="DC734" i="25"/>
  <c r="DC735" i="25"/>
  <c r="DC736" i="25"/>
  <c r="DC737" i="25"/>
  <c r="DC738" i="25"/>
  <c r="DC739" i="25"/>
  <c r="DC740" i="25"/>
  <c r="DC742" i="25"/>
  <c r="DC743" i="25"/>
  <c r="DC744" i="25"/>
  <c r="DC746" i="25"/>
  <c r="DC747" i="25"/>
  <c r="DC745" i="25"/>
  <c r="DC702" i="25"/>
  <c r="DC720" i="25"/>
  <c r="DC704" i="25"/>
  <c r="DC724" i="25"/>
  <c r="DD545" i="25"/>
  <c r="DD546" i="25"/>
  <c r="DD547" i="25"/>
  <c r="DD548" i="25"/>
  <c r="DD549" i="25"/>
  <c r="DD550" i="25"/>
  <c r="DD552" i="25"/>
  <c r="DD555" i="25"/>
  <c r="DD553" i="25"/>
  <c r="DD554" i="25"/>
  <c r="DD560" i="25"/>
  <c r="DD564" i="25"/>
  <c r="DD557" i="25"/>
  <c r="DD573" i="25"/>
  <c r="DD559" i="25"/>
  <c r="DD551" i="25"/>
  <c r="DD561" i="25"/>
  <c r="DD556" i="25"/>
  <c r="DD558" i="25"/>
  <c r="DD562" i="25"/>
  <c r="DD563" i="25"/>
  <c r="DD565" i="25"/>
  <c r="DD567" i="25"/>
  <c r="DD568" i="25"/>
  <c r="DD569" i="25"/>
  <c r="DD570" i="25"/>
  <c r="DD579" i="25"/>
  <c r="DD572" i="25"/>
  <c r="DD574" i="25"/>
  <c r="DD578" i="25"/>
  <c r="DD575" i="25"/>
  <c r="DD576" i="25"/>
  <c r="DD577" i="25"/>
  <c r="DD647" i="25"/>
  <c r="DD582" i="25"/>
  <c r="DD658" i="25"/>
  <c r="DD581" i="25"/>
  <c r="DD588" i="25"/>
  <c r="DD697" i="25"/>
  <c r="DD698" i="25"/>
  <c r="DD585" i="25"/>
  <c r="DD586" i="25"/>
  <c r="DD587" i="25"/>
  <c r="DD596" i="25"/>
  <c r="DD592" i="25"/>
  <c r="DD593" i="25"/>
  <c r="DD594" i="25"/>
  <c r="DD611" i="25"/>
  <c r="DD613" i="25"/>
  <c r="DD589" i="25"/>
  <c r="DD595" i="25"/>
  <c r="DD598" i="25"/>
  <c r="DD597" i="25"/>
  <c r="DD571" i="25"/>
  <c r="DD599" i="25"/>
  <c r="DD600" i="25"/>
  <c r="DD601" i="25"/>
  <c r="DD602" i="25"/>
  <c r="DD603" i="25"/>
  <c r="DD604" i="25"/>
  <c r="DD605" i="25"/>
  <c r="DD606" i="25"/>
  <c r="DD607" i="25"/>
  <c r="DD608" i="25"/>
  <c r="DD609" i="25"/>
  <c r="DD610" i="25"/>
  <c r="DD590" i="25"/>
  <c r="DD612" i="25"/>
  <c r="DD591" i="25"/>
  <c r="DD615" i="25"/>
  <c r="DD616" i="25"/>
  <c r="DD617" i="25"/>
  <c r="DD618" i="25"/>
  <c r="DD619" i="25"/>
  <c r="DD620" i="25"/>
  <c r="DD621" i="25"/>
  <c r="DD622" i="25"/>
  <c r="DD623" i="25"/>
  <c r="DD624" i="25"/>
  <c r="DD625" i="25"/>
  <c r="DD626" i="25"/>
  <c r="DD627" i="25"/>
  <c r="DD628" i="25"/>
  <c r="DD629" i="25"/>
  <c r="DD630" i="25"/>
  <c r="DD631" i="25"/>
  <c r="DD632" i="25"/>
  <c r="DD633" i="25"/>
  <c r="DD634" i="25"/>
  <c r="DD635" i="25"/>
  <c r="DD636" i="25"/>
  <c r="DD637" i="25"/>
  <c r="DD638" i="25"/>
  <c r="DD639" i="25"/>
  <c r="DD640" i="25"/>
  <c r="DD641" i="25"/>
  <c r="DD642" i="25"/>
  <c r="DD643" i="25"/>
  <c r="DD644" i="25"/>
  <c r="DD645" i="25"/>
  <c r="DD646" i="25"/>
  <c r="DD583" i="25"/>
  <c r="DD584" i="25"/>
  <c r="DD649" i="25"/>
  <c r="DD650" i="25"/>
  <c r="DD651" i="25"/>
  <c r="DD652" i="25"/>
  <c r="DD653" i="25"/>
  <c r="DD680" i="25"/>
  <c r="DD655" i="25"/>
  <c r="DD656" i="25"/>
  <c r="DD684" i="25"/>
  <c r="DD688" i="25"/>
  <c r="DD659" i="25"/>
  <c r="DD660" i="25"/>
  <c r="DD661" i="25"/>
  <c r="DD662" i="25"/>
  <c r="DD663" i="25"/>
  <c r="DD664" i="25"/>
  <c r="DD665" i="25"/>
  <c r="DD666" i="25"/>
  <c r="DD667" i="25"/>
  <c r="DD668" i="25"/>
  <c r="DD669" i="25"/>
  <c r="DD670" i="25"/>
  <c r="DD671" i="25"/>
  <c r="DD672" i="25"/>
  <c r="DD673" i="25"/>
  <c r="DD674" i="25"/>
  <c r="DD675" i="25"/>
  <c r="DD676" i="25"/>
  <c r="DD677" i="25"/>
  <c r="DD678" i="25"/>
  <c r="DD679" i="25"/>
  <c r="DD566" i="25"/>
  <c r="DD681" i="25"/>
  <c r="DD682" i="25"/>
  <c r="DD683" i="25"/>
  <c r="DD580" i="25"/>
  <c r="DD685" i="25"/>
  <c r="DD686" i="25"/>
  <c r="DD687" i="25"/>
  <c r="DD648" i="25"/>
  <c r="DD689" i="25"/>
  <c r="DD690" i="25"/>
  <c r="DD654" i="25"/>
  <c r="DD692" i="25"/>
  <c r="DD657" i="25"/>
  <c r="DD694" i="25"/>
  <c r="DD695" i="25"/>
  <c r="DD696" i="25"/>
  <c r="DD691" i="25"/>
  <c r="DD693" i="25"/>
  <c r="DD699" i="25"/>
  <c r="DD700" i="25"/>
  <c r="DD701" i="25"/>
  <c r="DD705" i="25"/>
  <c r="DD706" i="25"/>
  <c r="DD707" i="25"/>
  <c r="DD708" i="25"/>
  <c r="DD709" i="25"/>
  <c r="DD710" i="25"/>
  <c r="DD711" i="25"/>
  <c r="DD712" i="25"/>
  <c r="DD714" i="25"/>
  <c r="DD717" i="25"/>
  <c r="DD718" i="25"/>
  <c r="DD719" i="25"/>
  <c r="DD713" i="25"/>
  <c r="DD721" i="25"/>
  <c r="DD722" i="25"/>
  <c r="DD723" i="25"/>
  <c r="DD725" i="25"/>
  <c r="DD726" i="25"/>
  <c r="DD728" i="25"/>
  <c r="DD729" i="25"/>
  <c r="DD730" i="25"/>
  <c r="DD727" i="25"/>
  <c r="DD731" i="25"/>
  <c r="DD732" i="25"/>
  <c r="DD733" i="25"/>
  <c r="DD734" i="25"/>
  <c r="DD735" i="25"/>
  <c r="DD736" i="25"/>
  <c r="DD737" i="25"/>
  <c r="DD738" i="25"/>
  <c r="DD739" i="25"/>
  <c r="DD740" i="25"/>
  <c r="DD742" i="25"/>
  <c r="DD743" i="25"/>
  <c r="DD744" i="25"/>
  <c r="DD746" i="25"/>
  <c r="DD747" i="25"/>
  <c r="DD745" i="25"/>
  <c r="DD702" i="25"/>
  <c r="DD720" i="25"/>
  <c r="DD704" i="25"/>
  <c r="DD724" i="25"/>
  <c r="DE545" i="25"/>
  <c r="DF545" i="25" s="1"/>
  <c r="DE546" i="25"/>
  <c r="DF546" i="25" s="1"/>
  <c r="DE547" i="25"/>
  <c r="DF547" i="25" s="1"/>
  <c r="DE548" i="25"/>
  <c r="DF548" i="25" s="1"/>
  <c r="DE549" i="25"/>
  <c r="DF549" i="25" s="1"/>
  <c r="DE550" i="25"/>
  <c r="DF550" i="25" s="1"/>
  <c r="DE552" i="25"/>
  <c r="DF552" i="25" s="1"/>
  <c r="DE555" i="25"/>
  <c r="DF555" i="25" s="1"/>
  <c r="DE553" i="25"/>
  <c r="DF553" i="25" s="1"/>
  <c r="DE554" i="25"/>
  <c r="DE560" i="25"/>
  <c r="DF560" i="25" s="1"/>
  <c r="DE564" i="25"/>
  <c r="DF564" i="25" s="1"/>
  <c r="DE557" i="25"/>
  <c r="DF557" i="25" s="1"/>
  <c r="DE573" i="25"/>
  <c r="DF573" i="25" s="1"/>
  <c r="DE559" i="25"/>
  <c r="DF559" i="25" s="1"/>
  <c r="DE551" i="25"/>
  <c r="DF551" i="25" s="1"/>
  <c r="DE561" i="25"/>
  <c r="DF561" i="25" s="1"/>
  <c r="DE556" i="25"/>
  <c r="DF556" i="25" s="1"/>
  <c r="DE558" i="25"/>
  <c r="DF558" i="25" s="1"/>
  <c r="DE562" i="25"/>
  <c r="DF562" i="25" s="1"/>
  <c r="DE563" i="25"/>
  <c r="DF563" i="25" s="1"/>
  <c r="DE565" i="25"/>
  <c r="DF565" i="25" s="1"/>
  <c r="DE567" i="25"/>
  <c r="DF567" i="25" s="1"/>
  <c r="DE568" i="25"/>
  <c r="DF568" i="25" s="1"/>
  <c r="DE569" i="25"/>
  <c r="DF569" i="25" s="1"/>
  <c r="DE570" i="25"/>
  <c r="DF570" i="25" s="1"/>
  <c r="DE579" i="25"/>
  <c r="DF579" i="25" s="1"/>
  <c r="DE572" i="25"/>
  <c r="DF572" i="25" s="1"/>
  <c r="DE574" i="25"/>
  <c r="DF574" i="25" s="1"/>
  <c r="DE578" i="25"/>
  <c r="DF578" i="25" s="1"/>
  <c r="DE575" i="25"/>
  <c r="DF575" i="25" s="1"/>
  <c r="DE576" i="25"/>
  <c r="DF576" i="25" s="1"/>
  <c r="DE577" i="25"/>
  <c r="DF577" i="25" s="1"/>
  <c r="DE647" i="25"/>
  <c r="DF647" i="25" s="1"/>
  <c r="DE582" i="25"/>
  <c r="DF582" i="25" s="1"/>
  <c r="DE658" i="25"/>
  <c r="DF658" i="25" s="1"/>
  <c r="DE581" i="25"/>
  <c r="DF581" i="25" s="1"/>
  <c r="DE588" i="25"/>
  <c r="DF588" i="25" s="1"/>
  <c r="DE697" i="25"/>
  <c r="DF697" i="25" s="1"/>
  <c r="DE698" i="25"/>
  <c r="DF698" i="25" s="1"/>
  <c r="DE585" i="25"/>
  <c r="DF585" i="25" s="1"/>
  <c r="DE586" i="25"/>
  <c r="DF586" i="25" s="1"/>
  <c r="DE587" i="25"/>
  <c r="DF587" i="25" s="1"/>
  <c r="DE596" i="25"/>
  <c r="DF596" i="25" s="1"/>
  <c r="DE592" i="25"/>
  <c r="DF592" i="25" s="1"/>
  <c r="DE593" i="25"/>
  <c r="DF593" i="25" s="1"/>
  <c r="DE594" i="25"/>
  <c r="DF594" i="25" s="1"/>
  <c r="DE611" i="25"/>
  <c r="DF611" i="25" s="1"/>
  <c r="DE613" i="25"/>
  <c r="DF613" i="25" s="1"/>
  <c r="DE589" i="25"/>
  <c r="DF589" i="25" s="1"/>
  <c r="DE595" i="25"/>
  <c r="DF595" i="25" s="1"/>
  <c r="DE598" i="25"/>
  <c r="DF598" i="25" s="1"/>
  <c r="DE597" i="25"/>
  <c r="DF597" i="25" s="1"/>
  <c r="DE571" i="25"/>
  <c r="DF571" i="25" s="1"/>
  <c r="DE599" i="25"/>
  <c r="DF599" i="25" s="1"/>
  <c r="DE600" i="25"/>
  <c r="DF600" i="25" s="1"/>
  <c r="DE601" i="25"/>
  <c r="DF601" i="25" s="1"/>
  <c r="DE602" i="25"/>
  <c r="DF602" i="25" s="1"/>
  <c r="DE603" i="25"/>
  <c r="DF603" i="25" s="1"/>
  <c r="DE604" i="25"/>
  <c r="DF604" i="25" s="1"/>
  <c r="DE605" i="25"/>
  <c r="DF605" i="25" s="1"/>
  <c r="DE606" i="25"/>
  <c r="DF606" i="25" s="1"/>
  <c r="DE607" i="25"/>
  <c r="DF607" i="25" s="1"/>
  <c r="DE608" i="25"/>
  <c r="DF608" i="25" s="1"/>
  <c r="DE609" i="25"/>
  <c r="DF609" i="25" s="1"/>
  <c r="DE610" i="25"/>
  <c r="DF610" i="25" s="1"/>
  <c r="DE590" i="25"/>
  <c r="DF590" i="25" s="1"/>
  <c r="DE612" i="25"/>
  <c r="DF612" i="25" s="1"/>
  <c r="DE591" i="25"/>
  <c r="DF591" i="25" s="1"/>
  <c r="DE615" i="25"/>
  <c r="DF615" i="25" s="1"/>
  <c r="DE616" i="25"/>
  <c r="DF616" i="25" s="1"/>
  <c r="DE617" i="25"/>
  <c r="DF617" i="25" s="1"/>
  <c r="DE618" i="25"/>
  <c r="DF618" i="25" s="1"/>
  <c r="DE619" i="25"/>
  <c r="DF619" i="25" s="1"/>
  <c r="DE620" i="25"/>
  <c r="DF620" i="25" s="1"/>
  <c r="DE621" i="25"/>
  <c r="DF621" i="25" s="1"/>
  <c r="DE622" i="25"/>
  <c r="DF622" i="25" s="1"/>
  <c r="DE623" i="25"/>
  <c r="DF623" i="25" s="1"/>
  <c r="DE624" i="25"/>
  <c r="DF624" i="25" s="1"/>
  <c r="DE625" i="25"/>
  <c r="DF625" i="25" s="1"/>
  <c r="DE626" i="25"/>
  <c r="DF626" i="25" s="1"/>
  <c r="DE627" i="25"/>
  <c r="DF627" i="25" s="1"/>
  <c r="DE628" i="25"/>
  <c r="DF628" i="25" s="1"/>
  <c r="DE629" i="25"/>
  <c r="DF629" i="25" s="1"/>
  <c r="DE630" i="25"/>
  <c r="DF630" i="25" s="1"/>
  <c r="DE631" i="25"/>
  <c r="DF631" i="25" s="1"/>
  <c r="DE632" i="25"/>
  <c r="DF632" i="25" s="1"/>
  <c r="DE633" i="25"/>
  <c r="DF633" i="25" s="1"/>
  <c r="DE634" i="25"/>
  <c r="DF634" i="25" s="1"/>
  <c r="DE635" i="25"/>
  <c r="DF635" i="25" s="1"/>
  <c r="DE636" i="25"/>
  <c r="DF636" i="25" s="1"/>
  <c r="DE637" i="25"/>
  <c r="DF637" i="25" s="1"/>
  <c r="DE638" i="25"/>
  <c r="DF638" i="25" s="1"/>
  <c r="DE639" i="25"/>
  <c r="DF639" i="25" s="1"/>
  <c r="DE640" i="25"/>
  <c r="DF640" i="25" s="1"/>
  <c r="DE641" i="25"/>
  <c r="DF641" i="25" s="1"/>
  <c r="DE642" i="25"/>
  <c r="DF642" i="25" s="1"/>
  <c r="DE643" i="25"/>
  <c r="DF643" i="25" s="1"/>
  <c r="DE644" i="25"/>
  <c r="DF644" i="25" s="1"/>
  <c r="DE645" i="25"/>
  <c r="DF645" i="25" s="1"/>
  <c r="DE646" i="25"/>
  <c r="DF646" i="25" s="1"/>
  <c r="DE583" i="25"/>
  <c r="DF583" i="25" s="1"/>
  <c r="DE584" i="25"/>
  <c r="DF584" i="25" s="1"/>
  <c r="DE649" i="25"/>
  <c r="DF649" i="25" s="1"/>
  <c r="DE650" i="25"/>
  <c r="DF650" i="25" s="1"/>
  <c r="DE651" i="25"/>
  <c r="DF651" i="25" s="1"/>
  <c r="DE652" i="25"/>
  <c r="DF652" i="25" s="1"/>
  <c r="DE653" i="25"/>
  <c r="DF653" i="25" s="1"/>
  <c r="DE680" i="25"/>
  <c r="DF680" i="25" s="1"/>
  <c r="DE655" i="25"/>
  <c r="DF655" i="25" s="1"/>
  <c r="DE656" i="25"/>
  <c r="DF656" i="25" s="1"/>
  <c r="DE684" i="25"/>
  <c r="DF684" i="25" s="1"/>
  <c r="DE688" i="25"/>
  <c r="DF688" i="25" s="1"/>
  <c r="DE659" i="25"/>
  <c r="DF659" i="25" s="1"/>
  <c r="DE660" i="25"/>
  <c r="DF660" i="25" s="1"/>
  <c r="DE661" i="25"/>
  <c r="DF661" i="25" s="1"/>
  <c r="DE662" i="25"/>
  <c r="DF662" i="25" s="1"/>
  <c r="DE663" i="25"/>
  <c r="DF663" i="25" s="1"/>
  <c r="DE664" i="25"/>
  <c r="DF664" i="25" s="1"/>
  <c r="DE665" i="25"/>
  <c r="DF665" i="25" s="1"/>
  <c r="DE666" i="25"/>
  <c r="DF666" i="25" s="1"/>
  <c r="DE667" i="25"/>
  <c r="DF667" i="25" s="1"/>
  <c r="DE668" i="25"/>
  <c r="DF668" i="25" s="1"/>
  <c r="DE669" i="25"/>
  <c r="DF669" i="25" s="1"/>
  <c r="DE670" i="25"/>
  <c r="DF670" i="25" s="1"/>
  <c r="DE671" i="25"/>
  <c r="DF671" i="25" s="1"/>
  <c r="DE672" i="25"/>
  <c r="DF672" i="25" s="1"/>
  <c r="DE673" i="25"/>
  <c r="DF673" i="25" s="1"/>
  <c r="DE674" i="25"/>
  <c r="DF674" i="25" s="1"/>
  <c r="DE675" i="25"/>
  <c r="DF675" i="25" s="1"/>
  <c r="DE676" i="25"/>
  <c r="DF676" i="25" s="1"/>
  <c r="DE677" i="25"/>
  <c r="DF677" i="25" s="1"/>
  <c r="DE678" i="25"/>
  <c r="DF678" i="25" s="1"/>
  <c r="DE679" i="25"/>
  <c r="DF679" i="25" s="1"/>
  <c r="DE566" i="25"/>
  <c r="DF566" i="25" s="1"/>
  <c r="DE681" i="25"/>
  <c r="DF681" i="25" s="1"/>
  <c r="DE682" i="25"/>
  <c r="DF682" i="25" s="1"/>
  <c r="DE683" i="25"/>
  <c r="DF683" i="25" s="1"/>
  <c r="DE580" i="25"/>
  <c r="DF580" i="25" s="1"/>
  <c r="DE685" i="25"/>
  <c r="DF685" i="25" s="1"/>
  <c r="DE686" i="25"/>
  <c r="DF686" i="25" s="1"/>
  <c r="DE687" i="25"/>
  <c r="DF687" i="25" s="1"/>
  <c r="DE648" i="25"/>
  <c r="DF648" i="25" s="1"/>
  <c r="DE689" i="25"/>
  <c r="DF689" i="25" s="1"/>
  <c r="DE690" i="25"/>
  <c r="DF690" i="25" s="1"/>
  <c r="DE654" i="25"/>
  <c r="DF654" i="25" s="1"/>
  <c r="DE692" i="25"/>
  <c r="DF692" i="25" s="1"/>
  <c r="DE657" i="25"/>
  <c r="DF657" i="25" s="1"/>
  <c r="DE694" i="25"/>
  <c r="DF694" i="25" s="1"/>
  <c r="DE695" i="25"/>
  <c r="DF695" i="25" s="1"/>
  <c r="DE696" i="25"/>
  <c r="DF696" i="25" s="1"/>
  <c r="DE691" i="25"/>
  <c r="DF691" i="25" s="1"/>
  <c r="DE693" i="25"/>
  <c r="DF693" i="25" s="1"/>
  <c r="DE699" i="25"/>
  <c r="DF699" i="25" s="1"/>
  <c r="DE700" i="25"/>
  <c r="DF700" i="25" s="1"/>
  <c r="DE701" i="25"/>
  <c r="DF701" i="25" s="1"/>
  <c r="DE705" i="25"/>
  <c r="DE706" i="25"/>
  <c r="DE707" i="25"/>
  <c r="DE708" i="25"/>
  <c r="DE709" i="25"/>
  <c r="DE710" i="25"/>
  <c r="DE711" i="25"/>
  <c r="DE712" i="25"/>
  <c r="DE714" i="25"/>
  <c r="DE717" i="25"/>
  <c r="DE718" i="25"/>
  <c r="DE719" i="25"/>
  <c r="DE713" i="25"/>
  <c r="DE721" i="25"/>
  <c r="DE722" i="25"/>
  <c r="DE723" i="25"/>
  <c r="DE725" i="25"/>
  <c r="DE726" i="25"/>
  <c r="DE728" i="25"/>
  <c r="DE729" i="25"/>
  <c r="DE730" i="25"/>
  <c r="DE727" i="25"/>
  <c r="DE731" i="25"/>
  <c r="DE732" i="25"/>
  <c r="DE733" i="25"/>
  <c r="DE734" i="25"/>
  <c r="DE735" i="25"/>
  <c r="DE736" i="25"/>
  <c r="DE737" i="25"/>
  <c r="DE738" i="25"/>
  <c r="DE739" i="25"/>
  <c r="DE740" i="25"/>
  <c r="DE742" i="25"/>
  <c r="DE743" i="25"/>
  <c r="DE744" i="25"/>
  <c r="DE746" i="25"/>
  <c r="DE747" i="25"/>
  <c r="DE745" i="25"/>
  <c r="DE702" i="25"/>
  <c r="DE720" i="25"/>
  <c r="DE704" i="25"/>
  <c r="DE724" i="25"/>
  <c r="DG545" i="25"/>
  <c r="DG546" i="25"/>
  <c r="DG547" i="25"/>
  <c r="DG548" i="25"/>
  <c r="DG549" i="25"/>
  <c r="DG550" i="25"/>
  <c r="DG552" i="25"/>
  <c r="DG555" i="25"/>
  <c r="DG553" i="25"/>
  <c r="DG554" i="25"/>
  <c r="DG560" i="25"/>
  <c r="DG564" i="25"/>
  <c r="DG557" i="25"/>
  <c r="DG573" i="25"/>
  <c r="DG559" i="25"/>
  <c r="DG551" i="25"/>
  <c r="DG561" i="25"/>
  <c r="DG556" i="25"/>
  <c r="DG558" i="25"/>
  <c r="DG562" i="25"/>
  <c r="DG563" i="25"/>
  <c r="DG565" i="25"/>
  <c r="DG567" i="25"/>
  <c r="DG568" i="25"/>
  <c r="DG569" i="25"/>
  <c r="DG570" i="25"/>
  <c r="DG579" i="25"/>
  <c r="DG572" i="25"/>
  <c r="DG574" i="25"/>
  <c r="DG578" i="25"/>
  <c r="DG575" i="25"/>
  <c r="DG576" i="25"/>
  <c r="DG577" i="25"/>
  <c r="DG647" i="25"/>
  <c r="DG582" i="25"/>
  <c r="DG658" i="25"/>
  <c r="DG581" i="25"/>
  <c r="DG588" i="25"/>
  <c r="DG697" i="25"/>
  <c r="DG698" i="25"/>
  <c r="DG585" i="25"/>
  <c r="DG586" i="25"/>
  <c r="DG587" i="25"/>
  <c r="DG596" i="25"/>
  <c r="DG592" i="25"/>
  <c r="DG593" i="25"/>
  <c r="DG594" i="25"/>
  <c r="DG611" i="25"/>
  <c r="DG613" i="25"/>
  <c r="DG589" i="25"/>
  <c r="DG595" i="25"/>
  <c r="DG598" i="25"/>
  <c r="DG597" i="25"/>
  <c r="DG571" i="25"/>
  <c r="DG599" i="25"/>
  <c r="DG600" i="25"/>
  <c r="DG601" i="25"/>
  <c r="DG602" i="25"/>
  <c r="DG603" i="25"/>
  <c r="DG604" i="25"/>
  <c r="DG605" i="25"/>
  <c r="DG606" i="25"/>
  <c r="DG607" i="25"/>
  <c r="DG608" i="25"/>
  <c r="DG609" i="25"/>
  <c r="DG610" i="25"/>
  <c r="DG590" i="25"/>
  <c r="DG612" i="25"/>
  <c r="DG591" i="25"/>
  <c r="DG615" i="25"/>
  <c r="DG616" i="25"/>
  <c r="DG617" i="25"/>
  <c r="DG618" i="25"/>
  <c r="DG619" i="25"/>
  <c r="DG620" i="25"/>
  <c r="DG621" i="25"/>
  <c r="DG622" i="25"/>
  <c r="DG623" i="25"/>
  <c r="DG624" i="25"/>
  <c r="DG625" i="25"/>
  <c r="DG626" i="25"/>
  <c r="DG627" i="25"/>
  <c r="DG628" i="25"/>
  <c r="DG629" i="25"/>
  <c r="DG630" i="25"/>
  <c r="DG631" i="25"/>
  <c r="DG632" i="25"/>
  <c r="DG633" i="25"/>
  <c r="DG634" i="25"/>
  <c r="DG635" i="25"/>
  <c r="DG636" i="25"/>
  <c r="DG637" i="25"/>
  <c r="DG638" i="25"/>
  <c r="DG639" i="25"/>
  <c r="DG640" i="25"/>
  <c r="DG641" i="25"/>
  <c r="DG642" i="25"/>
  <c r="DG643" i="25"/>
  <c r="DG644" i="25"/>
  <c r="DG645" i="25"/>
  <c r="DG646" i="25"/>
  <c r="DG583" i="25"/>
  <c r="DG584" i="25"/>
  <c r="DG649" i="25"/>
  <c r="DG650" i="25"/>
  <c r="DG651" i="25"/>
  <c r="DG652" i="25"/>
  <c r="DG653" i="25"/>
  <c r="DG680" i="25"/>
  <c r="DG655" i="25"/>
  <c r="DG656" i="25"/>
  <c r="DG684" i="25"/>
  <c r="DG688" i="25"/>
  <c r="DG659" i="25"/>
  <c r="DG660" i="25"/>
  <c r="DG661" i="25"/>
  <c r="DG662" i="25"/>
  <c r="DG663" i="25"/>
  <c r="DG664" i="25"/>
  <c r="DG665" i="25"/>
  <c r="DG666" i="25"/>
  <c r="DG667" i="25"/>
  <c r="DG668" i="25"/>
  <c r="DG669" i="25"/>
  <c r="DG670" i="25"/>
  <c r="DG671" i="25"/>
  <c r="DG672" i="25"/>
  <c r="DG673" i="25"/>
  <c r="DG674" i="25"/>
  <c r="DG675" i="25"/>
  <c r="DG676" i="25"/>
  <c r="DG677" i="25"/>
  <c r="DG678" i="25"/>
  <c r="DG679" i="25"/>
  <c r="DG566" i="25"/>
  <c r="DG681" i="25"/>
  <c r="DG682" i="25"/>
  <c r="DG683" i="25"/>
  <c r="DG580" i="25"/>
  <c r="DG685" i="25"/>
  <c r="DG686" i="25"/>
  <c r="DG687" i="25"/>
  <c r="DG648" i="25"/>
  <c r="DG689" i="25"/>
  <c r="DG690" i="25"/>
  <c r="DG654" i="25"/>
  <c r="DG692" i="25"/>
  <c r="DG657" i="25"/>
  <c r="DG694" i="25"/>
  <c r="DG695" i="25"/>
  <c r="DG696" i="25"/>
  <c r="DG691" i="25"/>
  <c r="DG693" i="25"/>
  <c r="DG699" i="25"/>
  <c r="DG700" i="25"/>
  <c r="DG701" i="25"/>
  <c r="DG705" i="25"/>
  <c r="DG706" i="25"/>
  <c r="DG707" i="25"/>
  <c r="DG708" i="25"/>
  <c r="DG709" i="25"/>
  <c r="DG710" i="25"/>
  <c r="DG711" i="25"/>
  <c r="DG712" i="25"/>
  <c r="DG714" i="25"/>
  <c r="DG717" i="25"/>
  <c r="DG718" i="25"/>
  <c r="DG719" i="25"/>
  <c r="DG713" i="25"/>
  <c r="DG721" i="25"/>
  <c r="DG722" i="25"/>
  <c r="DG723" i="25"/>
  <c r="DG725" i="25"/>
  <c r="DG726" i="25"/>
  <c r="DG728" i="25"/>
  <c r="DG729" i="25"/>
  <c r="DG730" i="25"/>
  <c r="DG727" i="25"/>
  <c r="DG731" i="25"/>
  <c r="DG732" i="25"/>
  <c r="DG733" i="25"/>
  <c r="DG734" i="25"/>
  <c r="DG735" i="25"/>
  <c r="DG736" i="25"/>
  <c r="DG737" i="25"/>
  <c r="DG738" i="25"/>
  <c r="DG739" i="25"/>
  <c r="DG740" i="25"/>
  <c r="DG742" i="25"/>
  <c r="DG743" i="25"/>
  <c r="DG744" i="25"/>
  <c r="DG746" i="25"/>
  <c r="DG747" i="25"/>
  <c r="DG745" i="25"/>
  <c r="DG702" i="25"/>
  <c r="DG720" i="25"/>
  <c r="DG704" i="25"/>
  <c r="DG724" i="25"/>
  <c r="DJ545" i="25"/>
  <c r="DJ546" i="25"/>
  <c r="DJ547" i="25"/>
  <c r="DJ548" i="25"/>
  <c r="DJ549" i="25"/>
  <c r="DJ550" i="25"/>
  <c r="DJ552" i="25"/>
  <c r="DJ555" i="25"/>
  <c r="DJ553" i="25"/>
  <c r="DJ554" i="25"/>
  <c r="DJ560" i="25"/>
  <c r="DJ564" i="25"/>
  <c r="DJ557" i="25"/>
  <c r="DJ573" i="25"/>
  <c r="DJ559" i="25"/>
  <c r="DJ551" i="25"/>
  <c r="DJ561" i="25"/>
  <c r="DJ556" i="25"/>
  <c r="DJ558" i="25"/>
  <c r="DJ562" i="25"/>
  <c r="DJ563" i="25"/>
  <c r="DJ565" i="25"/>
  <c r="DJ567" i="25"/>
  <c r="DJ568" i="25"/>
  <c r="DJ569" i="25"/>
  <c r="DJ570" i="25"/>
  <c r="DJ579" i="25"/>
  <c r="DJ572" i="25"/>
  <c r="DJ574" i="25"/>
  <c r="DJ578" i="25"/>
  <c r="DJ575" i="25"/>
  <c r="DJ576" i="25"/>
  <c r="DJ577" i="25"/>
  <c r="DJ647" i="25"/>
  <c r="DJ582" i="25"/>
  <c r="DJ658" i="25"/>
  <c r="DJ581" i="25"/>
  <c r="DJ588" i="25"/>
  <c r="DJ697" i="25"/>
  <c r="DJ698" i="25"/>
  <c r="DJ585" i="25"/>
  <c r="DJ586" i="25"/>
  <c r="DJ587" i="25"/>
  <c r="DJ596" i="25"/>
  <c r="DJ592" i="25"/>
  <c r="DJ593" i="25"/>
  <c r="DJ594" i="25"/>
  <c r="DJ611" i="25"/>
  <c r="DJ613" i="25"/>
  <c r="DJ589" i="25"/>
  <c r="DJ595" i="25"/>
  <c r="DJ598" i="25"/>
  <c r="DJ597" i="25"/>
  <c r="DJ571" i="25"/>
  <c r="DJ599" i="25"/>
  <c r="DJ600" i="25"/>
  <c r="DJ601" i="25"/>
  <c r="DJ602" i="25"/>
  <c r="DJ603" i="25"/>
  <c r="DJ604" i="25"/>
  <c r="DJ605" i="25"/>
  <c r="DJ606" i="25"/>
  <c r="DJ607" i="25"/>
  <c r="DJ608" i="25"/>
  <c r="DJ609" i="25"/>
  <c r="DJ610" i="25"/>
  <c r="DJ590" i="25"/>
  <c r="DJ612" i="25"/>
  <c r="DJ591" i="25"/>
  <c r="DJ615" i="25"/>
  <c r="DJ616" i="25"/>
  <c r="DJ617" i="25"/>
  <c r="DJ618" i="25"/>
  <c r="DJ619" i="25"/>
  <c r="DJ620" i="25"/>
  <c r="DJ621" i="25"/>
  <c r="DJ622" i="25"/>
  <c r="DJ623" i="25"/>
  <c r="DJ624" i="25"/>
  <c r="DJ625" i="25"/>
  <c r="DJ626" i="25"/>
  <c r="DJ627" i="25"/>
  <c r="DJ628" i="25"/>
  <c r="DJ629" i="25"/>
  <c r="DJ630" i="25"/>
  <c r="DJ631" i="25"/>
  <c r="DJ632" i="25"/>
  <c r="DJ633" i="25"/>
  <c r="DJ634" i="25"/>
  <c r="DJ635" i="25"/>
  <c r="DJ636" i="25"/>
  <c r="DJ637" i="25"/>
  <c r="DJ638" i="25"/>
  <c r="DJ639" i="25"/>
  <c r="DJ640" i="25"/>
  <c r="DJ641" i="25"/>
  <c r="DJ642" i="25"/>
  <c r="DJ643" i="25"/>
  <c r="DJ644" i="25"/>
  <c r="DJ645" i="25"/>
  <c r="DJ646" i="25"/>
  <c r="DJ583" i="25"/>
  <c r="DJ584" i="25"/>
  <c r="DJ649" i="25"/>
  <c r="DJ650" i="25"/>
  <c r="DJ651" i="25"/>
  <c r="DJ652" i="25"/>
  <c r="DJ653" i="25"/>
  <c r="DJ680" i="25"/>
  <c r="DJ655" i="25"/>
  <c r="DJ656" i="25"/>
  <c r="DJ684" i="25"/>
  <c r="DJ688" i="25"/>
  <c r="DJ659" i="25"/>
  <c r="DJ660" i="25"/>
  <c r="DJ661" i="25"/>
  <c r="DJ662" i="25"/>
  <c r="DJ663" i="25"/>
  <c r="DJ664" i="25"/>
  <c r="DJ665" i="25"/>
  <c r="DJ666" i="25"/>
  <c r="DJ667" i="25"/>
  <c r="DJ668" i="25"/>
  <c r="DJ669" i="25"/>
  <c r="DJ670" i="25"/>
  <c r="DJ671" i="25"/>
  <c r="DJ672" i="25"/>
  <c r="DJ673" i="25"/>
  <c r="DJ674" i="25"/>
  <c r="DJ675" i="25"/>
  <c r="DJ676" i="25"/>
  <c r="DJ677" i="25"/>
  <c r="DJ678" i="25"/>
  <c r="DJ679" i="25"/>
  <c r="DJ566" i="25"/>
  <c r="DJ681" i="25"/>
  <c r="DJ682" i="25"/>
  <c r="DJ683" i="25"/>
  <c r="DJ580" i="25"/>
  <c r="DJ685" i="25"/>
  <c r="DJ686" i="25"/>
  <c r="DJ687" i="25"/>
  <c r="DJ648" i="25"/>
  <c r="DJ689" i="25"/>
  <c r="DJ690" i="25"/>
  <c r="DJ654" i="25"/>
  <c r="DJ692" i="25"/>
  <c r="DJ657" i="25"/>
  <c r="DJ694" i="25"/>
  <c r="DJ695" i="25"/>
  <c r="DJ696" i="25"/>
  <c r="DJ691" i="25"/>
  <c r="DJ693" i="25"/>
  <c r="DJ699" i="25"/>
  <c r="DJ700" i="25"/>
  <c r="DJ701" i="25"/>
  <c r="DJ705" i="25"/>
  <c r="DJ706" i="25"/>
  <c r="DJ707" i="25"/>
  <c r="DJ708" i="25"/>
  <c r="DJ709" i="25"/>
  <c r="DJ710" i="25"/>
  <c r="DJ711" i="25"/>
  <c r="DJ712" i="25"/>
  <c r="DJ714" i="25"/>
  <c r="DJ717" i="25"/>
  <c r="DJ718" i="25"/>
  <c r="DJ719" i="25"/>
  <c r="DJ713" i="25"/>
  <c r="DJ721" i="25"/>
  <c r="DJ722" i="25"/>
  <c r="DJ723" i="25"/>
  <c r="DJ725" i="25"/>
  <c r="DJ726" i="25"/>
  <c r="DJ728" i="25"/>
  <c r="DJ729" i="25"/>
  <c r="DJ730" i="25"/>
  <c r="DJ727" i="25"/>
  <c r="DJ731" i="25"/>
  <c r="DJ732" i="25"/>
  <c r="DJ733" i="25"/>
  <c r="DJ734" i="25"/>
  <c r="DJ735" i="25"/>
  <c r="DJ736" i="25"/>
  <c r="DJ737" i="25"/>
  <c r="DJ738" i="25"/>
  <c r="DJ739" i="25"/>
  <c r="DJ740" i="25"/>
  <c r="DJ742" i="25"/>
  <c r="DJ743" i="25"/>
  <c r="DJ744" i="25"/>
  <c r="DJ746" i="25"/>
  <c r="DJ747" i="25"/>
  <c r="DJ745" i="25"/>
  <c r="DJ702" i="25"/>
  <c r="DJ720" i="25"/>
  <c r="DJ704" i="25"/>
  <c r="DJ724" i="25"/>
  <c r="DK545" i="25"/>
  <c r="DK546" i="25"/>
  <c r="DK547" i="25"/>
  <c r="DK548" i="25"/>
  <c r="DK549" i="25"/>
  <c r="DK550" i="25"/>
  <c r="DK552" i="25"/>
  <c r="DK555" i="25"/>
  <c r="DK553" i="25"/>
  <c r="DK554" i="25"/>
  <c r="DK560" i="25"/>
  <c r="DK564" i="25"/>
  <c r="DK557" i="25"/>
  <c r="DK573" i="25"/>
  <c r="DK559" i="25"/>
  <c r="DK551" i="25"/>
  <c r="DK561" i="25"/>
  <c r="DK556" i="25"/>
  <c r="DK558" i="25"/>
  <c r="DK562" i="25"/>
  <c r="DK563" i="25"/>
  <c r="DK565" i="25"/>
  <c r="DK567" i="25"/>
  <c r="DK568" i="25"/>
  <c r="DK569" i="25"/>
  <c r="DK570" i="25"/>
  <c r="DK579" i="25"/>
  <c r="DK572" i="25"/>
  <c r="DK574" i="25"/>
  <c r="DK578" i="25"/>
  <c r="DK575" i="25"/>
  <c r="DK576" i="25"/>
  <c r="DK577" i="25"/>
  <c r="DK647" i="25"/>
  <c r="DK582" i="25"/>
  <c r="DK658" i="25"/>
  <c r="DK581" i="25"/>
  <c r="DK588" i="25"/>
  <c r="DK697" i="25"/>
  <c r="DK698" i="25"/>
  <c r="DK585" i="25"/>
  <c r="DK586" i="25"/>
  <c r="DK587" i="25"/>
  <c r="DK596" i="25"/>
  <c r="DK592" i="25"/>
  <c r="DK593" i="25"/>
  <c r="DK594" i="25"/>
  <c r="DK611" i="25"/>
  <c r="DK613" i="25"/>
  <c r="DK589" i="25"/>
  <c r="DK595" i="25"/>
  <c r="DK598" i="25"/>
  <c r="DK597" i="25"/>
  <c r="DK571" i="25"/>
  <c r="DK599" i="25"/>
  <c r="DK600" i="25"/>
  <c r="DK601" i="25"/>
  <c r="DK602" i="25"/>
  <c r="DK603" i="25"/>
  <c r="DK604" i="25"/>
  <c r="DK605" i="25"/>
  <c r="DK606" i="25"/>
  <c r="DK607" i="25"/>
  <c r="DK608" i="25"/>
  <c r="DK609" i="25"/>
  <c r="DK610" i="25"/>
  <c r="DK590" i="25"/>
  <c r="DK612" i="25"/>
  <c r="DK591" i="25"/>
  <c r="DK615" i="25"/>
  <c r="DK616" i="25"/>
  <c r="DK617" i="25"/>
  <c r="DK618" i="25"/>
  <c r="DK619" i="25"/>
  <c r="DK620" i="25"/>
  <c r="DK621" i="25"/>
  <c r="DK622" i="25"/>
  <c r="DK623" i="25"/>
  <c r="DK624" i="25"/>
  <c r="DK625" i="25"/>
  <c r="DK626" i="25"/>
  <c r="DK627" i="25"/>
  <c r="DK628" i="25"/>
  <c r="DK629" i="25"/>
  <c r="DK630" i="25"/>
  <c r="DK631" i="25"/>
  <c r="DK632" i="25"/>
  <c r="DK633" i="25"/>
  <c r="DK634" i="25"/>
  <c r="DK635" i="25"/>
  <c r="DK636" i="25"/>
  <c r="DK637" i="25"/>
  <c r="DK638" i="25"/>
  <c r="DK639" i="25"/>
  <c r="DK640" i="25"/>
  <c r="DK641" i="25"/>
  <c r="DK642" i="25"/>
  <c r="DK643" i="25"/>
  <c r="DK644" i="25"/>
  <c r="DK645" i="25"/>
  <c r="DK646" i="25"/>
  <c r="DK583" i="25"/>
  <c r="DK584" i="25"/>
  <c r="DK649" i="25"/>
  <c r="DK650" i="25"/>
  <c r="DK651" i="25"/>
  <c r="DK652" i="25"/>
  <c r="DK653" i="25"/>
  <c r="DK680" i="25"/>
  <c r="DK655" i="25"/>
  <c r="DK656" i="25"/>
  <c r="DK684" i="25"/>
  <c r="DK688" i="25"/>
  <c r="DK659" i="25"/>
  <c r="DK660" i="25"/>
  <c r="DK661" i="25"/>
  <c r="DK662" i="25"/>
  <c r="DK663" i="25"/>
  <c r="DK664" i="25"/>
  <c r="DK665" i="25"/>
  <c r="DK666" i="25"/>
  <c r="DK667" i="25"/>
  <c r="DK668" i="25"/>
  <c r="DK669" i="25"/>
  <c r="DK670" i="25"/>
  <c r="DK671" i="25"/>
  <c r="DK672" i="25"/>
  <c r="DK673" i="25"/>
  <c r="DK674" i="25"/>
  <c r="DK675" i="25"/>
  <c r="DK676" i="25"/>
  <c r="DK677" i="25"/>
  <c r="DK678" i="25"/>
  <c r="DK679" i="25"/>
  <c r="DK566" i="25"/>
  <c r="DK681" i="25"/>
  <c r="DK682" i="25"/>
  <c r="DK683" i="25"/>
  <c r="DK580" i="25"/>
  <c r="DK685" i="25"/>
  <c r="DK686" i="25"/>
  <c r="DK687" i="25"/>
  <c r="DK648" i="25"/>
  <c r="DK689" i="25"/>
  <c r="DK690" i="25"/>
  <c r="DK654" i="25"/>
  <c r="DK692" i="25"/>
  <c r="DK657" i="25"/>
  <c r="DK694" i="25"/>
  <c r="DK695" i="25"/>
  <c r="DK696" i="25"/>
  <c r="DK691" i="25"/>
  <c r="DK693" i="25"/>
  <c r="DK699" i="25"/>
  <c r="DK700" i="25"/>
  <c r="DK701" i="25"/>
  <c r="DK705" i="25"/>
  <c r="DK706" i="25"/>
  <c r="DK707" i="25"/>
  <c r="DK708" i="25"/>
  <c r="DK709" i="25"/>
  <c r="DK710" i="25"/>
  <c r="DK711" i="25"/>
  <c r="DK712" i="25"/>
  <c r="DK714" i="25"/>
  <c r="DK717" i="25"/>
  <c r="DK718" i="25"/>
  <c r="DK719" i="25"/>
  <c r="DK713" i="25"/>
  <c r="DK721" i="25"/>
  <c r="DK722" i="25"/>
  <c r="DK723" i="25"/>
  <c r="DK725" i="25"/>
  <c r="DK726" i="25"/>
  <c r="DK728" i="25"/>
  <c r="DK729" i="25"/>
  <c r="DK730" i="25"/>
  <c r="DK727" i="25"/>
  <c r="DK731" i="25"/>
  <c r="DK732" i="25"/>
  <c r="DK733" i="25"/>
  <c r="DK734" i="25"/>
  <c r="DK735" i="25"/>
  <c r="DK736" i="25"/>
  <c r="DK737" i="25"/>
  <c r="DK738" i="25"/>
  <c r="DK739" i="25"/>
  <c r="DK740" i="25"/>
  <c r="DK742" i="25"/>
  <c r="DK743" i="25"/>
  <c r="DK744" i="25"/>
  <c r="DK746" i="25"/>
  <c r="DK747" i="25"/>
  <c r="DK745" i="25"/>
  <c r="DK702" i="25"/>
  <c r="DK720" i="25"/>
  <c r="DK704" i="25"/>
  <c r="DK724" i="25"/>
  <c r="DL545" i="25"/>
  <c r="DL546" i="25"/>
  <c r="DL547" i="25"/>
  <c r="DL548" i="25"/>
  <c r="DL549" i="25"/>
  <c r="DL550" i="25"/>
  <c r="DL552" i="25"/>
  <c r="DL555" i="25"/>
  <c r="DL553" i="25"/>
  <c r="DL554" i="25"/>
  <c r="DL560" i="25"/>
  <c r="DL564" i="25"/>
  <c r="DL557" i="25"/>
  <c r="DL573" i="25"/>
  <c r="DL559" i="25"/>
  <c r="DL551" i="25"/>
  <c r="DL561" i="25"/>
  <c r="DL556" i="25"/>
  <c r="DL558" i="25"/>
  <c r="DL562" i="25"/>
  <c r="DL563" i="25"/>
  <c r="DL565" i="25"/>
  <c r="DL567" i="25"/>
  <c r="DL568" i="25"/>
  <c r="DL569" i="25"/>
  <c r="DL570" i="25"/>
  <c r="DL579" i="25"/>
  <c r="DL572" i="25"/>
  <c r="DL574" i="25"/>
  <c r="DL578" i="25"/>
  <c r="DL575" i="25"/>
  <c r="DL576" i="25"/>
  <c r="DL577" i="25"/>
  <c r="DL647" i="25"/>
  <c r="DL582" i="25"/>
  <c r="DL658" i="25"/>
  <c r="DL581" i="25"/>
  <c r="DL588" i="25"/>
  <c r="DL697" i="25"/>
  <c r="DL698" i="25"/>
  <c r="DL585" i="25"/>
  <c r="DL586" i="25"/>
  <c r="DL587" i="25"/>
  <c r="DL596" i="25"/>
  <c r="DL592" i="25"/>
  <c r="DL593" i="25"/>
  <c r="DL594" i="25"/>
  <c r="DL611" i="25"/>
  <c r="DL613" i="25"/>
  <c r="DL589" i="25"/>
  <c r="DL595" i="25"/>
  <c r="DL598" i="25"/>
  <c r="DL597" i="25"/>
  <c r="DL571" i="25"/>
  <c r="DL599" i="25"/>
  <c r="DL600" i="25"/>
  <c r="DL601" i="25"/>
  <c r="DL602" i="25"/>
  <c r="DL603" i="25"/>
  <c r="DL604" i="25"/>
  <c r="DL605" i="25"/>
  <c r="DL606" i="25"/>
  <c r="DL607" i="25"/>
  <c r="DL608" i="25"/>
  <c r="DL609" i="25"/>
  <c r="DL610" i="25"/>
  <c r="DL590" i="25"/>
  <c r="DL612" i="25"/>
  <c r="DL591" i="25"/>
  <c r="DL615" i="25"/>
  <c r="DL616" i="25"/>
  <c r="DL617" i="25"/>
  <c r="DL618" i="25"/>
  <c r="DL619" i="25"/>
  <c r="DL620" i="25"/>
  <c r="DL621" i="25"/>
  <c r="DL622" i="25"/>
  <c r="DL623" i="25"/>
  <c r="DL624" i="25"/>
  <c r="DL625" i="25"/>
  <c r="DL626" i="25"/>
  <c r="DL627" i="25"/>
  <c r="DL628" i="25"/>
  <c r="DL629" i="25"/>
  <c r="DL630" i="25"/>
  <c r="DL631" i="25"/>
  <c r="DL632" i="25"/>
  <c r="DL633" i="25"/>
  <c r="DL634" i="25"/>
  <c r="DL635" i="25"/>
  <c r="DL636" i="25"/>
  <c r="DL637" i="25"/>
  <c r="DL638" i="25"/>
  <c r="DL639" i="25"/>
  <c r="DL640" i="25"/>
  <c r="DL641" i="25"/>
  <c r="DL642" i="25"/>
  <c r="DL643" i="25"/>
  <c r="DL644" i="25"/>
  <c r="DL645" i="25"/>
  <c r="DL646" i="25"/>
  <c r="DL583" i="25"/>
  <c r="DL584" i="25"/>
  <c r="DL649" i="25"/>
  <c r="DL650" i="25"/>
  <c r="DL651" i="25"/>
  <c r="DL652" i="25"/>
  <c r="DL653" i="25"/>
  <c r="DL680" i="25"/>
  <c r="DL655" i="25"/>
  <c r="DL656" i="25"/>
  <c r="DL684" i="25"/>
  <c r="DL688" i="25"/>
  <c r="DL659" i="25"/>
  <c r="DL660" i="25"/>
  <c r="DL661" i="25"/>
  <c r="DL662" i="25"/>
  <c r="DL663" i="25"/>
  <c r="DL664" i="25"/>
  <c r="DL665" i="25"/>
  <c r="DL666" i="25"/>
  <c r="DL667" i="25"/>
  <c r="DL668" i="25"/>
  <c r="DL669" i="25"/>
  <c r="DL670" i="25"/>
  <c r="DL671" i="25"/>
  <c r="DL672" i="25"/>
  <c r="DL673" i="25"/>
  <c r="DL674" i="25"/>
  <c r="DL675" i="25"/>
  <c r="DL676" i="25"/>
  <c r="DL677" i="25"/>
  <c r="DL678" i="25"/>
  <c r="DL679" i="25"/>
  <c r="DL566" i="25"/>
  <c r="DL681" i="25"/>
  <c r="DL682" i="25"/>
  <c r="DL683" i="25"/>
  <c r="DL580" i="25"/>
  <c r="DL685" i="25"/>
  <c r="DL686" i="25"/>
  <c r="DL687" i="25"/>
  <c r="DL648" i="25"/>
  <c r="DL689" i="25"/>
  <c r="DL690" i="25"/>
  <c r="DL654" i="25"/>
  <c r="DL692" i="25"/>
  <c r="DL657" i="25"/>
  <c r="DL694" i="25"/>
  <c r="DL695" i="25"/>
  <c r="DL696" i="25"/>
  <c r="DL691" i="25"/>
  <c r="DL693" i="25"/>
  <c r="DL699" i="25"/>
  <c r="DL700" i="25"/>
  <c r="DL701" i="25"/>
  <c r="DL705" i="25"/>
  <c r="DL706" i="25"/>
  <c r="DL707" i="25"/>
  <c r="DL708" i="25"/>
  <c r="DL709" i="25"/>
  <c r="DL710" i="25"/>
  <c r="DL711" i="25"/>
  <c r="DL712" i="25"/>
  <c r="DL714" i="25"/>
  <c r="DL717" i="25"/>
  <c r="DL718" i="25"/>
  <c r="DL719" i="25"/>
  <c r="DL713" i="25"/>
  <c r="DL721" i="25"/>
  <c r="DL722" i="25"/>
  <c r="DL723" i="25"/>
  <c r="DL725" i="25"/>
  <c r="DL726" i="25"/>
  <c r="DL728" i="25"/>
  <c r="DL729" i="25"/>
  <c r="DL730" i="25"/>
  <c r="DL727" i="25"/>
  <c r="DL731" i="25"/>
  <c r="DL732" i="25"/>
  <c r="DL733" i="25"/>
  <c r="DL734" i="25"/>
  <c r="DL735" i="25"/>
  <c r="DL736" i="25"/>
  <c r="DL737" i="25"/>
  <c r="DL738" i="25"/>
  <c r="DL739" i="25"/>
  <c r="DL740" i="25"/>
  <c r="DL742" i="25"/>
  <c r="DL743" i="25"/>
  <c r="DL744" i="25"/>
  <c r="DL746" i="25"/>
  <c r="DL747" i="25"/>
  <c r="DL745" i="25"/>
  <c r="DL702" i="25"/>
  <c r="DL720" i="25"/>
  <c r="DL704" i="25"/>
  <c r="DL724" i="25"/>
  <c r="DM545" i="25"/>
  <c r="DM546" i="25"/>
  <c r="DM547" i="25"/>
  <c r="DM548" i="25"/>
  <c r="DM549" i="25"/>
  <c r="DM550" i="25"/>
  <c r="DM552" i="25"/>
  <c r="DM555" i="25"/>
  <c r="DM553" i="25"/>
  <c r="DM554" i="25"/>
  <c r="DM560" i="25"/>
  <c r="DM564" i="25"/>
  <c r="DM557" i="25"/>
  <c r="DM573" i="25"/>
  <c r="DM559" i="25"/>
  <c r="DM551" i="25"/>
  <c r="DM561" i="25"/>
  <c r="DM556" i="25"/>
  <c r="DM558" i="25"/>
  <c r="DM562" i="25"/>
  <c r="DM563" i="25"/>
  <c r="DM565" i="25"/>
  <c r="DM567" i="25"/>
  <c r="DM568" i="25"/>
  <c r="DM569" i="25"/>
  <c r="DM570" i="25"/>
  <c r="DM579" i="25"/>
  <c r="DM572" i="25"/>
  <c r="DM574" i="25"/>
  <c r="DM578" i="25"/>
  <c r="DM575" i="25"/>
  <c r="DM576" i="25"/>
  <c r="DM577" i="25"/>
  <c r="DM647" i="25"/>
  <c r="DM582" i="25"/>
  <c r="DM658" i="25"/>
  <c r="DM581" i="25"/>
  <c r="DM588" i="25"/>
  <c r="DM697" i="25"/>
  <c r="DM698" i="25"/>
  <c r="DM585" i="25"/>
  <c r="DM586" i="25"/>
  <c r="DM587" i="25"/>
  <c r="DM596" i="25"/>
  <c r="DM592" i="25"/>
  <c r="DM593" i="25"/>
  <c r="DM594" i="25"/>
  <c r="DM611" i="25"/>
  <c r="DM613" i="25"/>
  <c r="DM589" i="25"/>
  <c r="DM595" i="25"/>
  <c r="DM598" i="25"/>
  <c r="DM597" i="25"/>
  <c r="DM571" i="25"/>
  <c r="DM599" i="25"/>
  <c r="DM600" i="25"/>
  <c r="DM601" i="25"/>
  <c r="DM602" i="25"/>
  <c r="DM603" i="25"/>
  <c r="DM604" i="25"/>
  <c r="DM605" i="25"/>
  <c r="DM606" i="25"/>
  <c r="DM607" i="25"/>
  <c r="DM608" i="25"/>
  <c r="DM609" i="25"/>
  <c r="DM610" i="25"/>
  <c r="DM590" i="25"/>
  <c r="DM612" i="25"/>
  <c r="DM591" i="25"/>
  <c r="DM615" i="25"/>
  <c r="DM616" i="25"/>
  <c r="DM617" i="25"/>
  <c r="DM618" i="25"/>
  <c r="DM619" i="25"/>
  <c r="DM620" i="25"/>
  <c r="DM621" i="25"/>
  <c r="DM622" i="25"/>
  <c r="DM623" i="25"/>
  <c r="DM624" i="25"/>
  <c r="DM625" i="25"/>
  <c r="DM626" i="25"/>
  <c r="DM627" i="25"/>
  <c r="DM628" i="25"/>
  <c r="DM629" i="25"/>
  <c r="DM630" i="25"/>
  <c r="DM631" i="25"/>
  <c r="DM632" i="25"/>
  <c r="DM633" i="25"/>
  <c r="DM634" i="25"/>
  <c r="DM635" i="25"/>
  <c r="DM636" i="25"/>
  <c r="DM637" i="25"/>
  <c r="DM638" i="25"/>
  <c r="DM639" i="25"/>
  <c r="DM640" i="25"/>
  <c r="DM641" i="25"/>
  <c r="DM642" i="25"/>
  <c r="DM643" i="25"/>
  <c r="DM644" i="25"/>
  <c r="DM645" i="25"/>
  <c r="DM646" i="25"/>
  <c r="DM583" i="25"/>
  <c r="DM584" i="25"/>
  <c r="DM649" i="25"/>
  <c r="DM650" i="25"/>
  <c r="DM651" i="25"/>
  <c r="DM652" i="25"/>
  <c r="DM653" i="25"/>
  <c r="DM680" i="25"/>
  <c r="DM655" i="25"/>
  <c r="DM656" i="25"/>
  <c r="DM684" i="25"/>
  <c r="DM688" i="25"/>
  <c r="DM659" i="25"/>
  <c r="DM660" i="25"/>
  <c r="DM661" i="25"/>
  <c r="DM662" i="25"/>
  <c r="DM663" i="25"/>
  <c r="DM664" i="25"/>
  <c r="DM665" i="25"/>
  <c r="DM666" i="25"/>
  <c r="DM667" i="25"/>
  <c r="DM668" i="25"/>
  <c r="DM669" i="25"/>
  <c r="DM670" i="25"/>
  <c r="DM671" i="25"/>
  <c r="DM672" i="25"/>
  <c r="DM673" i="25"/>
  <c r="DM674" i="25"/>
  <c r="DM675" i="25"/>
  <c r="DM676" i="25"/>
  <c r="DM677" i="25"/>
  <c r="DM678" i="25"/>
  <c r="DM679" i="25"/>
  <c r="DM566" i="25"/>
  <c r="DM681" i="25"/>
  <c r="DM682" i="25"/>
  <c r="DM683" i="25"/>
  <c r="DM580" i="25"/>
  <c r="DM685" i="25"/>
  <c r="DM686" i="25"/>
  <c r="DM687" i="25"/>
  <c r="DM648" i="25"/>
  <c r="DM689" i="25"/>
  <c r="DM690" i="25"/>
  <c r="DM654" i="25"/>
  <c r="DM692" i="25"/>
  <c r="DM657" i="25"/>
  <c r="DM694" i="25"/>
  <c r="DM695" i="25"/>
  <c r="DM696" i="25"/>
  <c r="DM691" i="25"/>
  <c r="DM693" i="25"/>
  <c r="DM699" i="25"/>
  <c r="DM700" i="25"/>
  <c r="DM701" i="25"/>
  <c r="DM705" i="25"/>
  <c r="DM706" i="25"/>
  <c r="DM707" i="25"/>
  <c r="DM708" i="25"/>
  <c r="DM709" i="25"/>
  <c r="DM710" i="25"/>
  <c r="DM711" i="25"/>
  <c r="DM712" i="25"/>
  <c r="DM714" i="25"/>
  <c r="DM717" i="25"/>
  <c r="DM718" i="25"/>
  <c r="DM719" i="25"/>
  <c r="DM713" i="25"/>
  <c r="DM721" i="25"/>
  <c r="DM722" i="25"/>
  <c r="DM723" i="25"/>
  <c r="DM725" i="25"/>
  <c r="DM726" i="25"/>
  <c r="DM728" i="25"/>
  <c r="DM729" i="25"/>
  <c r="DM730" i="25"/>
  <c r="DM727" i="25"/>
  <c r="DM731" i="25"/>
  <c r="DM732" i="25"/>
  <c r="DM733" i="25"/>
  <c r="DM734" i="25"/>
  <c r="DM735" i="25"/>
  <c r="DM736" i="25"/>
  <c r="DM737" i="25"/>
  <c r="DM738" i="25"/>
  <c r="DM739" i="25"/>
  <c r="DM740" i="25"/>
  <c r="DM742" i="25"/>
  <c r="DM743" i="25"/>
  <c r="DM744" i="25"/>
  <c r="DM746" i="25"/>
  <c r="DM747" i="25"/>
  <c r="DM745" i="25"/>
  <c r="DM702" i="25"/>
  <c r="DM720" i="25"/>
  <c r="DM704" i="25"/>
  <c r="DM724" i="25"/>
  <c r="DN545" i="25"/>
  <c r="DN546" i="25"/>
  <c r="DN547" i="25"/>
  <c r="DN548" i="25"/>
  <c r="DN549" i="25"/>
  <c r="DN550" i="25"/>
  <c r="DN552" i="25"/>
  <c r="DN555" i="25"/>
  <c r="DN553" i="25"/>
  <c r="DN554" i="25"/>
  <c r="DN560" i="25"/>
  <c r="DN564" i="25"/>
  <c r="DN557" i="25"/>
  <c r="DN573" i="25"/>
  <c r="DN559" i="25"/>
  <c r="DN551" i="25"/>
  <c r="DN561" i="25"/>
  <c r="DN556" i="25"/>
  <c r="DN558" i="25"/>
  <c r="DN562" i="25"/>
  <c r="DN563" i="25"/>
  <c r="DN565" i="25"/>
  <c r="DN567" i="25"/>
  <c r="DN568" i="25"/>
  <c r="DN569" i="25"/>
  <c r="DN570" i="25"/>
  <c r="DN579" i="25"/>
  <c r="DN572" i="25"/>
  <c r="DN574" i="25"/>
  <c r="DN578" i="25"/>
  <c r="DN575" i="25"/>
  <c r="DN576" i="25"/>
  <c r="DN577" i="25"/>
  <c r="DN647" i="25"/>
  <c r="DN582" i="25"/>
  <c r="DN658" i="25"/>
  <c r="DN581" i="25"/>
  <c r="DN588" i="25"/>
  <c r="DN697" i="25"/>
  <c r="DN698" i="25"/>
  <c r="DN585" i="25"/>
  <c r="DN586" i="25"/>
  <c r="DN587" i="25"/>
  <c r="DN596" i="25"/>
  <c r="DN592" i="25"/>
  <c r="DN593" i="25"/>
  <c r="DN594" i="25"/>
  <c r="DN611" i="25"/>
  <c r="DN613" i="25"/>
  <c r="DN589" i="25"/>
  <c r="DN595" i="25"/>
  <c r="DN598" i="25"/>
  <c r="DN597" i="25"/>
  <c r="DN571" i="25"/>
  <c r="DN599" i="25"/>
  <c r="DN600" i="25"/>
  <c r="DN601" i="25"/>
  <c r="DN602" i="25"/>
  <c r="DN603" i="25"/>
  <c r="DN604" i="25"/>
  <c r="DN605" i="25"/>
  <c r="DN606" i="25"/>
  <c r="DN607" i="25"/>
  <c r="DN608" i="25"/>
  <c r="DN609" i="25"/>
  <c r="DN610" i="25"/>
  <c r="DN590" i="25"/>
  <c r="DN612" i="25"/>
  <c r="DN591" i="25"/>
  <c r="DN615" i="25"/>
  <c r="DN616" i="25"/>
  <c r="DN617" i="25"/>
  <c r="DN618" i="25"/>
  <c r="DN619" i="25"/>
  <c r="DN620" i="25"/>
  <c r="DN621" i="25"/>
  <c r="DN622" i="25"/>
  <c r="DN623" i="25"/>
  <c r="DN624" i="25"/>
  <c r="DN625" i="25"/>
  <c r="DN626" i="25"/>
  <c r="DN627" i="25"/>
  <c r="DN628" i="25"/>
  <c r="DN629" i="25"/>
  <c r="DN630" i="25"/>
  <c r="DN631" i="25"/>
  <c r="DN632" i="25"/>
  <c r="DN633" i="25"/>
  <c r="DN634" i="25"/>
  <c r="DN635" i="25"/>
  <c r="DN636" i="25"/>
  <c r="DN637" i="25"/>
  <c r="DN638" i="25"/>
  <c r="DN639" i="25"/>
  <c r="DN640" i="25"/>
  <c r="DN641" i="25"/>
  <c r="DN642" i="25"/>
  <c r="DN643" i="25"/>
  <c r="DN644" i="25"/>
  <c r="DN645" i="25"/>
  <c r="DN646" i="25"/>
  <c r="DN583" i="25"/>
  <c r="DN584" i="25"/>
  <c r="DN649" i="25"/>
  <c r="DN650" i="25"/>
  <c r="DN651" i="25"/>
  <c r="DN652" i="25"/>
  <c r="DN653" i="25"/>
  <c r="DN680" i="25"/>
  <c r="DN655" i="25"/>
  <c r="DN656" i="25"/>
  <c r="DN684" i="25"/>
  <c r="DN688" i="25"/>
  <c r="DN659" i="25"/>
  <c r="DN660" i="25"/>
  <c r="DN661" i="25"/>
  <c r="DN662" i="25"/>
  <c r="DN663" i="25"/>
  <c r="DN664" i="25"/>
  <c r="DN665" i="25"/>
  <c r="DN666" i="25"/>
  <c r="DN667" i="25"/>
  <c r="DN668" i="25"/>
  <c r="DN669" i="25"/>
  <c r="DN670" i="25"/>
  <c r="DN671" i="25"/>
  <c r="DN672" i="25"/>
  <c r="DN673" i="25"/>
  <c r="DN674" i="25"/>
  <c r="DN675" i="25"/>
  <c r="DN676" i="25"/>
  <c r="DN677" i="25"/>
  <c r="DN678" i="25"/>
  <c r="DN679" i="25"/>
  <c r="DN566" i="25"/>
  <c r="DN681" i="25"/>
  <c r="DN682" i="25"/>
  <c r="DN683" i="25"/>
  <c r="DN580" i="25"/>
  <c r="DN685" i="25"/>
  <c r="DN686" i="25"/>
  <c r="DN687" i="25"/>
  <c r="DN648" i="25"/>
  <c r="DN689" i="25"/>
  <c r="DN690" i="25"/>
  <c r="DN654" i="25"/>
  <c r="DN692" i="25"/>
  <c r="DN657" i="25"/>
  <c r="DN694" i="25"/>
  <c r="DN695" i="25"/>
  <c r="DN696" i="25"/>
  <c r="DN691" i="25"/>
  <c r="DN693" i="25"/>
  <c r="DN699" i="25"/>
  <c r="DN700" i="25"/>
  <c r="DN701" i="25"/>
  <c r="DN705" i="25"/>
  <c r="DN706" i="25"/>
  <c r="DN707" i="25"/>
  <c r="DN708" i="25"/>
  <c r="DN709" i="25"/>
  <c r="DN710" i="25"/>
  <c r="DN711" i="25"/>
  <c r="DN712" i="25"/>
  <c r="DN714" i="25"/>
  <c r="DN717" i="25"/>
  <c r="DN718" i="25"/>
  <c r="DN719" i="25"/>
  <c r="DN713" i="25"/>
  <c r="DN721" i="25"/>
  <c r="DN722" i="25"/>
  <c r="DN723" i="25"/>
  <c r="DN725" i="25"/>
  <c r="DN726" i="25"/>
  <c r="DN728" i="25"/>
  <c r="DN729" i="25"/>
  <c r="DN730" i="25"/>
  <c r="DN727" i="25"/>
  <c r="DN731" i="25"/>
  <c r="DN732" i="25"/>
  <c r="DN733" i="25"/>
  <c r="DN734" i="25"/>
  <c r="DN735" i="25"/>
  <c r="DN736" i="25"/>
  <c r="DN737" i="25"/>
  <c r="DN738" i="25"/>
  <c r="DN739" i="25"/>
  <c r="DN740" i="25"/>
  <c r="DN742" i="25"/>
  <c r="DN743" i="25"/>
  <c r="DN744" i="25"/>
  <c r="DN746" i="25"/>
  <c r="DN747" i="25"/>
  <c r="DN745" i="25"/>
  <c r="DN702" i="25"/>
  <c r="DN720" i="25"/>
  <c r="DN704" i="25"/>
  <c r="DN724" i="25"/>
  <c r="DO545" i="25"/>
  <c r="DO546" i="25"/>
  <c r="DO547" i="25"/>
  <c r="DO548" i="25"/>
  <c r="DO549" i="25"/>
  <c r="DO550" i="25"/>
  <c r="DO552" i="25"/>
  <c r="DO555" i="25"/>
  <c r="DO553" i="25"/>
  <c r="DO554" i="25"/>
  <c r="DO560" i="25"/>
  <c r="DO564" i="25"/>
  <c r="DO557" i="25"/>
  <c r="DO573" i="25"/>
  <c r="DO559" i="25"/>
  <c r="DO551" i="25"/>
  <c r="DO561" i="25"/>
  <c r="DO556" i="25"/>
  <c r="DO558" i="25"/>
  <c r="DO562" i="25"/>
  <c r="DO563" i="25"/>
  <c r="DO565" i="25"/>
  <c r="DO567" i="25"/>
  <c r="DO568" i="25"/>
  <c r="DO569" i="25"/>
  <c r="DO570" i="25"/>
  <c r="DO579" i="25"/>
  <c r="DO572" i="25"/>
  <c r="DO574" i="25"/>
  <c r="DO578" i="25"/>
  <c r="DO575" i="25"/>
  <c r="DO576" i="25"/>
  <c r="DO577" i="25"/>
  <c r="DO647" i="25"/>
  <c r="DO582" i="25"/>
  <c r="DO658" i="25"/>
  <c r="DO581" i="25"/>
  <c r="DO588" i="25"/>
  <c r="DO697" i="25"/>
  <c r="DO698" i="25"/>
  <c r="DO585" i="25"/>
  <c r="DO586" i="25"/>
  <c r="DO587" i="25"/>
  <c r="DO596" i="25"/>
  <c r="DO592" i="25"/>
  <c r="DO593" i="25"/>
  <c r="DO594" i="25"/>
  <c r="DO611" i="25"/>
  <c r="DO613" i="25"/>
  <c r="DO589" i="25"/>
  <c r="DO595" i="25"/>
  <c r="DO598" i="25"/>
  <c r="DO597" i="25"/>
  <c r="DO571" i="25"/>
  <c r="DO599" i="25"/>
  <c r="DO600" i="25"/>
  <c r="DO601" i="25"/>
  <c r="DO602" i="25"/>
  <c r="DO603" i="25"/>
  <c r="DO604" i="25"/>
  <c r="DO605" i="25"/>
  <c r="DO606" i="25"/>
  <c r="DO607" i="25"/>
  <c r="DO608" i="25"/>
  <c r="DO609" i="25"/>
  <c r="DO610" i="25"/>
  <c r="DO590" i="25"/>
  <c r="DO612" i="25"/>
  <c r="DO591" i="25"/>
  <c r="DO615" i="25"/>
  <c r="DO616" i="25"/>
  <c r="DO617" i="25"/>
  <c r="DO618" i="25"/>
  <c r="DO619" i="25"/>
  <c r="DO620" i="25"/>
  <c r="DO621" i="25"/>
  <c r="DO622" i="25"/>
  <c r="DO623" i="25"/>
  <c r="DO624" i="25"/>
  <c r="DO625" i="25"/>
  <c r="DO626" i="25"/>
  <c r="DO627" i="25"/>
  <c r="DO628" i="25"/>
  <c r="DO629" i="25"/>
  <c r="DO630" i="25"/>
  <c r="DO631" i="25"/>
  <c r="DO632" i="25"/>
  <c r="DO633" i="25"/>
  <c r="DO634" i="25"/>
  <c r="DO635" i="25"/>
  <c r="DO636" i="25"/>
  <c r="DO637" i="25"/>
  <c r="DO638" i="25"/>
  <c r="DO639" i="25"/>
  <c r="DO640" i="25"/>
  <c r="DO641" i="25"/>
  <c r="DO642" i="25"/>
  <c r="DO643" i="25"/>
  <c r="DO644" i="25"/>
  <c r="DO645" i="25"/>
  <c r="DO646" i="25"/>
  <c r="DO583" i="25"/>
  <c r="DO584" i="25"/>
  <c r="DO649" i="25"/>
  <c r="DO650" i="25"/>
  <c r="DO651" i="25"/>
  <c r="DO652" i="25"/>
  <c r="DO653" i="25"/>
  <c r="DO680" i="25"/>
  <c r="DO655" i="25"/>
  <c r="DO656" i="25"/>
  <c r="DO684" i="25"/>
  <c r="DO688" i="25"/>
  <c r="DO659" i="25"/>
  <c r="DO660" i="25"/>
  <c r="DO661" i="25"/>
  <c r="DO662" i="25"/>
  <c r="DO663" i="25"/>
  <c r="DO664" i="25"/>
  <c r="DO665" i="25"/>
  <c r="DO666" i="25"/>
  <c r="DO667" i="25"/>
  <c r="DO668" i="25"/>
  <c r="DO669" i="25"/>
  <c r="DO670" i="25"/>
  <c r="DO671" i="25"/>
  <c r="DO672" i="25"/>
  <c r="DO673" i="25"/>
  <c r="DO674" i="25"/>
  <c r="DO675" i="25"/>
  <c r="DO676" i="25"/>
  <c r="DO677" i="25"/>
  <c r="DO678" i="25"/>
  <c r="DO679" i="25"/>
  <c r="DO566" i="25"/>
  <c r="DO681" i="25"/>
  <c r="DO682" i="25"/>
  <c r="DO683" i="25"/>
  <c r="DO580" i="25"/>
  <c r="DO685" i="25"/>
  <c r="DO686" i="25"/>
  <c r="DO687" i="25"/>
  <c r="DO648" i="25"/>
  <c r="DO689" i="25"/>
  <c r="DO690" i="25"/>
  <c r="DO654" i="25"/>
  <c r="DO692" i="25"/>
  <c r="DO657" i="25"/>
  <c r="DO694" i="25"/>
  <c r="DO695" i="25"/>
  <c r="DO696" i="25"/>
  <c r="DO691" i="25"/>
  <c r="DO693" i="25"/>
  <c r="DO699" i="25"/>
  <c r="DO700" i="25"/>
  <c r="DO701" i="25"/>
  <c r="DO705" i="25"/>
  <c r="DO706" i="25"/>
  <c r="DO707" i="25"/>
  <c r="DO708" i="25"/>
  <c r="DO709" i="25"/>
  <c r="DO710" i="25"/>
  <c r="DO711" i="25"/>
  <c r="DO712" i="25"/>
  <c r="DO714" i="25"/>
  <c r="DO717" i="25"/>
  <c r="DO718" i="25"/>
  <c r="DO719" i="25"/>
  <c r="DO713" i="25"/>
  <c r="DO721" i="25"/>
  <c r="DO722" i="25"/>
  <c r="DO723" i="25"/>
  <c r="DO725" i="25"/>
  <c r="DO726" i="25"/>
  <c r="DO728" i="25"/>
  <c r="DO729" i="25"/>
  <c r="DO730" i="25"/>
  <c r="DO727" i="25"/>
  <c r="DO731" i="25"/>
  <c r="DO732" i="25"/>
  <c r="DO733" i="25"/>
  <c r="DO734" i="25"/>
  <c r="DO735" i="25"/>
  <c r="DO736" i="25"/>
  <c r="DO737" i="25"/>
  <c r="DO738" i="25"/>
  <c r="DO739" i="25"/>
  <c r="DO740" i="25"/>
  <c r="DO742" i="25"/>
  <c r="DO743" i="25"/>
  <c r="DO744" i="25"/>
  <c r="DO746" i="25"/>
  <c r="DO747" i="25"/>
  <c r="DO745" i="25"/>
  <c r="DO702" i="25"/>
  <c r="DO720" i="25"/>
  <c r="DO704" i="25"/>
  <c r="DO724" i="25"/>
  <c r="DP545" i="25"/>
  <c r="DP546" i="25"/>
  <c r="DP547" i="25"/>
  <c r="DP548" i="25"/>
  <c r="DP549" i="25"/>
  <c r="DP550" i="25"/>
  <c r="DP552" i="25"/>
  <c r="DP555" i="25"/>
  <c r="DP553" i="25"/>
  <c r="DP554" i="25"/>
  <c r="DP560" i="25"/>
  <c r="DP564" i="25"/>
  <c r="DP557" i="25"/>
  <c r="DP573" i="25"/>
  <c r="DP559" i="25"/>
  <c r="DP551" i="25"/>
  <c r="DP561" i="25"/>
  <c r="DP556" i="25"/>
  <c r="DP558" i="25"/>
  <c r="DP562" i="25"/>
  <c r="DP563" i="25"/>
  <c r="DP565" i="25"/>
  <c r="DP567" i="25"/>
  <c r="DP568" i="25"/>
  <c r="DP569" i="25"/>
  <c r="DP570" i="25"/>
  <c r="DP579" i="25"/>
  <c r="DP572" i="25"/>
  <c r="DP574" i="25"/>
  <c r="DP578" i="25"/>
  <c r="DP575" i="25"/>
  <c r="DP576" i="25"/>
  <c r="DP577" i="25"/>
  <c r="DP647" i="25"/>
  <c r="DP582" i="25"/>
  <c r="DP658" i="25"/>
  <c r="DP581" i="25"/>
  <c r="DP588" i="25"/>
  <c r="DP697" i="25"/>
  <c r="DP698" i="25"/>
  <c r="DP585" i="25"/>
  <c r="DP586" i="25"/>
  <c r="DP587" i="25"/>
  <c r="DP596" i="25"/>
  <c r="DP592" i="25"/>
  <c r="DP593" i="25"/>
  <c r="DP594" i="25"/>
  <c r="DP611" i="25"/>
  <c r="DP613" i="25"/>
  <c r="DP589" i="25"/>
  <c r="DP595" i="25"/>
  <c r="DP598" i="25"/>
  <c r="DP597" i="25"/>
  <c r="DP571" i="25"/>
  <c r="DP599" i="25"/>
  <c r="DP600" i="25"/>
  <c r="DP601" i="25"/>
  <c r="DP602" i="25"/>
  <c r="DP603" i="25"/>
  <c r="DP604" i="25"/>
  <c r="DP605" i="25"/>
  <c r="DP606" i="25"/>
  <c r="DP607" i="25"/>
  <c r="DP608" i="25"/>
  <c r="DP609" i="25"/>
  <c r="DP610" i="25"/>
  <c r="DP590" i="25"/>
  <c r="DP612" i="25"/>
  <c r="DP591" i="25"/>
  <c r="DP615" i="25"/>
  <c r="DP616" i="25"/>
  <c r="DP617" i="25"/>
  <c r="DP618" i="25"/>
  <c r="DP619" i="25"/>
  <c r="DP620" i="25"/>
  <c r="DP621" i="25"/>
  <c r="DP622" i="25"/>
  <c r="DP623" i="25"/>
  <c r="DP624" i="25"/>
  <c r="DP625" i="25"/>
  <c r="DP626" i="25"/>
  <c r="DP627" i="25"/>
  <c r="DP628" i="25"/>
  <c r="DP629" i="25"/>
  <c r="DP630" i="25"/>
  <c r="DP631" i="25"/>
  <c r="DP632" i="25"/>
  <c r="DP633" i="25"/>
  <c r="DP634" i="25"/>
  <c r="DP635" i="25"/>
  <c r="DP636" i="25"/>
  <c r="DP637" i="25"/>
  <c r="DP638" i="25"/>
  <c r="DP639" i="25"/>
  <c r="DP640" i="25"/>
  <c r="DP641" i="25"/>
  <c r="DP642" i="25"/>
  <c r="DP643" i="25"/>
  <c r="DP644" i="25"/>
  <c r="DP645" i="25"/>
  <c r="DP646" i="25"/>
  <c r="DP583" i="25"/>
  <c r="DP584" i="25"/>
  <c r="DP649" i="25"/>
  <c r="DP650" i="25"/>
  <c r="DP651" i="25"/>
  <c r="DP652" i="25"/>
  <c r="DP653" i="25"/>
  <c r="DP680" i="25"/>
  <c r="DP655" i="25"/>
  <c r="DP656" i="25"/>
  <c r="DP684" i="25"/>
  <c r="DP688" i="25"/>
  <c r="DP659" i="25"/>
  <c r="DP660" i="25"/>
  <c r="DP661" i="25"/>
  <c r="DP662" i="25"/>
  <c r="DP663" i="25"/>
  <c r="DP664" i="25"/>
  <c r="DP665" i="25"/>
  <c r="DP666" i="25"/>
  <c r="DP667" i="25"/>
  <c r="DP668" i="25"/>
  <c r="DP669" i="25"/>
  <c r="DP670" i="25"/>
  <c r="DP671" i="25"/>
  <c r="DP672" i="25"/>
  <c r="DP673" i="25"/>
  <c r="DP674" i="25"/>
  <c r="DP675" i="25"/>
  <c r="DP676" i="25"/>
  <c r="DP677" i="25"/>
  <c r="DP678" i="25"/>
  <c r="DP679" i="25"/>
  <c r="DP566" i="25"/>
  <c r="DP681" i="25"/>
  <c r="DP682" i="25"/>
  <c r="DP683" i="25"/>
  <c r="DP580" i="25"/>
  <c r="DP685" i="25"/>
  <c r="DP686" i="25"/>
  <c r="DP687" i="25"/>
  <c r="DP648" i="25"/>
  <c r="DP689" i="25"/>
  <c r="DP690" i="25"/>
  <c r="DP654" i="25"/>
  <c r="DP692" i="25"/>
  <c r="DP657" i="25"/>
  <c r="DP694" i="25"/>
  <c r="DP695" i="25"/>
  <c r="DP696" i="25"/>
  <c r="DP691" i="25"/>
  <c r="DP693" i="25"/>
  <c r="DP699" i="25"/>
  <c r="DP700" i="25"/>
  <c r="DP701" i="25"/>
  <c r="DP705" i="25"/>
  <c r="DP706" i="25"/>
  <c r="DP707" i="25"/>
  <c r="DP708" i="25"/>
  <c r="DP709" i="25"/>
  <c r="DP710" i="25"/>
  <c r="DP711" i="25"/>
  <c r="DP712" i="25"/>
  <c r="DP714" i="25"/>
  <c r="DP717" i="25"/>
  <c r="DP718" i="25"/>
  <c r="DP719" i="25"/>
  <c r="DP713" i="25"/>
  <c r="DP721" i="25"/>
  <c r="DP722" i="25"/>
  <c r="DP723" i="25"/>
  <c r="DP725" i="25"/>
  <c r="DP726" i="25"/>
  <c r="DP728" i="25"/>
  <c r="DP729" i="25"/>
  <c r="DP730" i="25"/>
  <c r="DP727" i="25"/>
  <c r="DP731" i="25"/>
  <c r="DP732" i="25"/>
  <c r="DP733" i="25"/>
  <c r="DP734" i="25"/>
  <c r="DP735" i="25"/>
  <c r="DP736" i="25"/>
  <c r="DP737" i="25"/>
  <c r="DP738" i="25"/>
  <c r="DP739" i="25"/>
  <c r="DP740" i="25"/>
  <c r="DP742" i="25"/>
  <c r="DP743" i="25"/>
  <c r="DP744" i="25"/>
  <c r="DP746" i="25"/>
  <c r="DP747" i="25"/>
  <c r="DP745" i="25"/>
  <c r="DP702" i="25"/>
  <c r="DP720" i="25"/>
  <c r="DP704" i="25"/>
  <c r="DP724" i="25"/>
  <c r="DQ545" i="25"/>
  <c r="DQ546" i="25"/>
  <c r="DQ547" i="25"/>
  <c r="DQ548" i="25"/>
  <c r="DQ549" i="25"/>
  <c r="DQ550" i="25"/>
  <c r="DQ552" i="25"/>
  <c r="DQ555" i="25"/>
  <c r="DQ553" i="25"/>
  <c r="DQ554" i="25"/>
  <c r="DQ560" i="25"/>
  <c r="DQ564" i="25"/>
  <c r="DQ557" i="25"/>
  <c r="DQ573" i="25"/>
  <c r="DQ559" i="25"/>
  <c r="DQ551" i="25"/>
  <c r="DQ561" i="25"/>
  <c r="DQ556" i="25"/>
  <c r="DQ558" i="25"/>
  <c r="DQ562" i="25"/>
  <c r="DQ563" i="25"/>
  <c r="DQ565" i="25"/>
  <c r="DQ567" i="25"/>
  <c r="DQ568" i="25"/>
  <c r="DQ569" i="25"/>
  <c r="DQ570" i="25"/>
  <c r="DQ579" i="25"/>
  <c r="DQ572" i="25"/>
  <c r="DQ574" i="25"/>
  <c r="DQ578" i="25"/>
  <c r="DQ575" i="25"/>
  <c r="DQ576" i="25"/>
  <c r="DQ577" i="25"/>
  <c r="DQ647" i="25"/>
  <c r="DQ582" i="25"/>
  <c r="DQ658" i="25"/>
  <c r="DQ581" i="25"/>
  <c r="DQ588" i="25"/>
  <c r="DQ697" i="25"/>
  <c r="DQ698" i="25"/>
  <c r="DQ585" i="25"/>
  <c r="DQ586" i="25"/>
  <c r="DQ587" i="25"/>
  <c r="DQ596" i="25"/>
  <c r="DQ592" i="25"/>
  <c r="DQ593" i="25"/>
  <c r="DQ594" i="25"/>
  <c r="DQ611" i="25"/>
  <c r="DQ613" i="25"/>
  <c r="DQ589" i="25"/>
  <c r="DQ595" i="25"/>
  <c r="DQ598" i="25"/>
  <c r="DQ597" i="25"/>
  <c r="DQ571" i="25"/>
  <c r="DQ599" i="25"/>
  <c r="DQ600" i="25"/>
  <c r="DQ601" i="25"/>
  <c r="DQ602" i="25"/>
  <c r="DQ603" i="25"/>
  <c r="DQ604" i="25"/>
  <c r="DQ605" i="25"/>
  <c r="DQ606" i="25"/>
  <c r="DQ607" i="25"/>
  <c r="DQ608" i="25"/>
  <c r="DQ609" i="25"/>
  <c r="DQ610" i="25"/>
  <c r="DQ590" i="25"/>
  <c r="DQ612" i="25"/>
  <c r="DQ591" i="25"/>
  <c r="DQ615" i="25"/>
  <c r="DQ616" i="25"/>
  <c r="DQ617" i="25"/>
  <c r="DQ618" i="25"/>
  <c r="DQ619" i="25"/>
  <c r="DQ620" i="25"/>
  <c r="DQ621" i="25"/>
  <c r="DQ622" i="25"/>
  <c r="DQ623" i="25"/>
  <c r="DQ624" i="25"/>
  <c r="DQ625" i="25"/>
  <c r="DQ626" i="25"/>
  <c r="DQ627" i="25"/>
  <c r="DQ628" i="25"/>
  <c r="DQ629" i="25"/>
  <c r="DQ630" i="25"/>
  <c r="DQ631" i="25"/>
  <c r="DQ632" i="25"/>
  <c r="DQ633" i="25"/>
  <c r="DQ634" i="25"/>
  <c r="DQ635" i="25"/>
  <c r="DQ636" i="25"/>
  <c r="DQ637" i="25"/>
  <c r="DQ638" i="25"/>
  <c r="DQ639" i="25"/>
  <c r="DQ640" i="25"/>
  <c r="DQ641" i="25"/>
  <c r="DQ642" i="25"/>
  <c r="DQ643" i="25"/>
  <c r="DQ644" i="25"/>
  <c r="DQ645" i="25"/>
  <c r="DQ646" i="25"/>
  <c r="DQ583" i="25"/>
  <c r="DQ584" i="25"/>
  <c r="DQ649" i="25"/>
  <c r="DQ650" i="25"/>
  <c r="DQ651" i="25"/>
  <c r="DQ652" i="25"/>
  <c r="DQ653" i="25"/>
  <c r="DQ680" i="25"/>
  <c r="DQ655" i="25"/>
  <c r="DQ656" i="25"/>
  <c r="DQ684" i="25"/>
  <c r="DQ688" i="25"/>
  <c r="DQ659" i="25"/>
  <c r="DQ660" i="25"/>
  <c r="DQ661" i="25"/>
  <c r="DQ662" i="25"/>
  <c r="DQ663" i="25"/>
  <c r="DQ664" i="25"/>
  <c r="DQ665" i="25"/>
  <c r="DQ666" i="25"/>
  <c r="DQ667" i="25"/>
  <c r="DQ668" i="25"/>
  <c r="DQ669" i="25"/>
  <c r="DQ670" i="25"/>
  <c r="DQ671" i="25"/>
  <c r="DQ672" i="25"/>
  <c r="DQ673" i="25"/>
  <c r="DQ674" i="25"/>
  <c r="DQ675" i="25"/>
  <c r="DQ676" i="25"/>
  <c r="DQ677" i="25"/>
  <c r="DQ678" i="25"/>
  <c r="DQ679" i="25"/>
  <c r="DQ566" i="25"/>
  <c r="DQ681" i="25"/>
  <c r="DQ682" i="25"/>
  <c r="DQ683" i="25"/>
  <c r="DQ580" i="25"/>
  <c r="DQ685" i="25"/>
  <c r="DQ686" i="25"/>
  <c r="DQ687" i="25"/>
  <c r="DQ648" i="25"/>
  <c r="DQ689" i="25"/>
  <c r="DQ690" i="25"/>
  <c r="DQ654" i="25"/>
  <c r="DQ692" i="25"/>
  <c r="DQ657" i="25"/>
  <c r="DQ694" i="25"/>
  <c r="DQ695" i="25"/>
  <c r="DQ696" i="25"/>
  <c r="DQ691" i="25"/>
  <c r="DQ693" i="25"/>
  <c r="DQ699" i="25"/>
  <c r="DQ700" i="25"/>
  <c r="DQ701" i="25"/>
  <c r="DQ705" i="25"/>
  <c r="DQ706" i="25"/>
  <c r="DQ707" i="25"/>
  <c r="DQ708" i="25"/>
  <c r="DQ709" i="25"/>
  <c r="DQ710" i="25"/>
  <c r="DQ711" i="25"/>
  <c r="DQ712" i="25"/>
  <c r="DQ714" i="25"/>
  <c r="DQ717" i="25"/>
  <c r="DQ718" i="25"/>
  <c r="DQ719" i="25"/>
  <c r="DQ713" i="25"/>
  <c r="DQ721" i="25"/>
  <c r="DQ722" i="25"/>
  <c r="DQ723" i="25"/>
  <c r="DQ725" i="25"/>
  <c r="DQ726" i="25"/>
  <c r="DQ728" i="25"/>
  <c r="DQ729" i="25"/>
  <c r="DQ730" i="25"/>
  <c r="DQ727" i="25"/>
  <c r="DQ731" i="25"/>
  <c r="DQ732" i="25"/>
  <c r="DQ733" i="25"/>
  <c r="DQ734" i="25"/>
  <c r="DQ735" i="25"/>
  <c r="DQ736" i="25"/>
  <c r="DQ737" i="25"/>
  <c r="DQ738" i="25"/>
  <c r="DQ739" i="25"/>
  <c r="DQ740" i="25"/>
  <c r="DQ742" i="25"/>
  <c r="DQ743" i="25"/>
  <c r="DQ744" i="25"/>
  <c r="DQ746" i="25"/>
  <c r="DQ747" i="25"/>
  <c r="DQ745" i="25"/>
  <c r="DQ702" i="25"/>
  <c r="DQ720" i="25"/>
  <c r="DQ704" i="25"/>
  <c r="DQ724" i="25"/>
  <c r="DR545" i="25"/>
  <c r="DR546" i="25"/>
  <c r="DR547" i="25"/>
  <c r="DR548" i="25"/>
  <c r="DR549" i="25"/>
  <c r="DR550" i="25"/>
  <c r="DR552" i="25"/>
  <c r="DR555" i="25"/>
  <c r="DR553" i="25"/>
  <c r="DR554" i="25"/>
  <c r="DR560" i="25"/>
  <c r="DR564" i="25"/>
  <c r="DR557" i="25"/>
  <c r="DR573" i="25"/>
  <c r="DR559" i="25"/>
  <c r="DR551" i="25"/>
  <c r="DR561" i="25"/>
  <c r="DR556" i="25"/>
  <c r="DR558" i="25"/>
  <c r="DR562" i="25"/>
  <c r="DR563" i="25"/>
  <c r="DR565" i="25"/>
  <c r="DR567" i="25"/>
  <c r="DR568" i="25"/>
  <c r="DR569" i="25"/>
  <c r="DR570" i="25"/>
  <c r="DR579" i="25"/>
  <c r="DR572" i="25"/>
  <c r="DR574" i="25"/>
  <c r="DR578" i="25"/>
  <c r="DR575" i="25"/>
  <c r="DR576" i="25"/>
  <c r="DR577" i="25"/>
  <c r="DR647" i="25"/>
  <c r="DR582" i="25"/>
  <c r="DR658" i="25"/>
  <c r="DR581" i="25"/>
  <c r="DR588" i="25"/>
  <c r="DR697" i="25"/>
  <c r="DR698" i="25"/>
  <c r="DR585" i="25"/>
  <c r="DR586" i="25"/>
  <c r="DR587" i="25"/>
  <c r="DR596" i="25"/>
  <c r="DR592" i="25"/>
  <c r="DR593" i="25"/>
  <c r="DR594" i="25"/>
  <c r="DR611" i="25"/>
  <c r="DR613" i="25"/>
  <c r="DR589" i="25"/>
  <c r="DR595" i="25"/>
  <c r="DR598" i="25"/>
  <c r="DR597" i="25"/>
  <c r="DR571" i="25"/>
  <c r="DR599" i="25"/>
  <c r="DR600" i="25"/>
  <c r="DR601" i="25"/>
  <c r="DR602" i="25"/>
  <c r="DR603" i="25"/>
  <c r="DR604" i="25"/>
  <c r="DR605" i="25"/>
  <c r="DR606" i="25"/>
  <c r="DR607" i="25"/>
  <c r="DR608" i="25"/>
  <c r="DR609" i="25"/>
  <c r="DR610" i="25"/>
  <c r="DR590" i="25"/>
  <c r="DR612" i="25"/>
  <c r="DR591" i="25"/>
  <c r="DR615" i="25"/>
  <c r="DR616" i="25"/>
  <c r="DR617" i="25"/>
  <c r="DR618" i="25"/>
  <c r="DR619" i="25"/>
  <c r="DR620" i="25"/>
  <c r="DR621" i="25"/>
  <c r="DR622" i="25"/>
  <c r="DR623" i="25"/>
  <c r="DR624" i="25"/>
  <c r="DR625" i="25"/>
  <c r="DR626" i="25"/>
  <c r="DR627" i="25"/>
  <c r="DR628" i="25"/>
  <c r="DR629" i="25"/>
  <c r="DR630" i="25"/>
  <c r="DR631" i="25"/>
  <c r="DR632" i="25"/>
  <c r="DR633" i="25"/>
  <c r="DR634" i="25"/>
  <c r="DR635" i="25"/>
  <c r="DR636" i="25"/>
  <c r="DR637" i="25"/>
  <c r="DR638" i="25"/>
  <c r="DR639" i="25"/>
  <c r="DR640" i="25"/>
  <c r="DR641" i="25"/>
  <c r="DR642" i="25"/>
  <c r="DR643" i="25"/>
  <c r="DR644" i="25"/>
  <c r="DR645" i="25"/>
  <c r="DR646" i="25"/>
  <c r="DR583" i="25"/>
  <c r="DR584" i="25"/>
  <c r="DR649" i="25"/>
  <c r="DR650" i="25"/>
  <c r="DR651" i="25"/>
  <c r="DR652" i="25"/>
  <c r="DR653" i="25"/>
  <c r="DR680" i="25"/>
  <c r="DR655" i="25"/>
  <c r="DR656" i="25"/>
  <c r="DR684" i="25"/>
  <c r="DR688" i="25"/>
  <c r="DR659" i="25"/>
  <c r="DR660" i="25"/>
  <c r="DR661" i="25"/>
  <c r="DR662" i="25"/>
  <c r="DR663" i="25"/>
  <c r="DR664" i="25"/>
  <c r="DR665" i="25"/>
  <c r="DR666" i="25"/>
  <c r="DR667" i="25"/>
  <c r="DR668" i="25"/>
  <c r="DR669" i="25"/>
  <c r="DR670" i="25"/>
  <c r="DR671" i="25"/>
  <c r="DR672" i="25"/>
  <c r="DR673" i="25"/>
  <c r="DR674" i="25"/>
  <c r="DR675" i="25"/>
  <c r="DR676" i="25"/>
  <c r="DR677" i="25"/>
  <c r="DR678" i="25"/>
  <c r="DR679" i="25"/>
  <c r="DR566" i="25"/>
  <c r="DR681" i="25"/>
  <c r="DR682" i="25"/>
  <c r="DR683" i="25"/>
  <c r="DR580" i="25"/>
  <c r="DR685" i="25"/>
  <c r="DR686" i="25"/>
  <c r="DR687" i="25"/>
  <c r="DR648" i="25"/>
  <c r="DR689" i="25"/>
  <c r="DR690" i="25"/>
  <c r="DR654" i="25"/>
  <c r="DR692" i="25"/>
  <c r="DR657" i="25"/>
  <c r="DR694" i="25"/>
  <c r="DR695" i="25"/>
  <c r="DR696" i="25"/>
  <c r="DR691" i="25"/>
  <c r="DR693" i="25"/>
  <c r="DR699" i="25"/>
  <c r="DR700" i="25"/>
  <c r="DR701" i="25"/>
  <c r="DR705" i="25"/>
  <c r="DR706" i="25"/>
  <c r="DR707" i="25"/>
  <c r="DR708" i="25"/>
  <c r="DR709" i="25"/>
  <c r="DR710" i="25"/>
  <c r="DR711" i="25"/>
  <c r="DR712" i="25"/>
  <c r="DR714" i="25"/>
  <c r="DR717" i="25"/>
  <c r="DR718" i="25"/>
  <c r="DR719" i="25"/>
  <c r="DR713" i="25"/>
  <c r="DR721" i="25"/>
  <c r="DR722" i="25"/>
  <c r="DR723" i="25"/>
  <c r="DR725" i="25"/>
  <c r="DR726" i="25"/>
  <c r="DR728" i="25"/>
  <c r="DR729" i="25"/>
  <c r="DR730" i="25"/>
  <c r="DR727" i="25"/>
  <c r="DR731" i="25"/>
  <c r="DR732" i="25"/>
  <c r="DR733" i="25"/>
  <c r="DR734" i="25"/>
  <c r="DR735" i="25"/>
  <c r="DR736" i="25"/>
  <c r="DR737" i="25"/>
  <c r="DR738" i="25"/>
  <c r="DR739" i="25"/>
  <c r="DR740" i="25"/>
  <c r="DR742" i="25"/>
  <c r="DR743" i="25"/>
  <c r="DR744" i="25"/>
  <c r="DR746" i="25"/>
  <c r="DR747" i="25"/>
  <c r="DR745" i="25"/>
  <c r="DR702" i="25"/>
  <c r="DR720" i="25"/>
  <c r="DR704" i="25"/>
  <c r="DR724" i="25"/>
  <c r="DH724" i="25" l="1"/>
  <c r="DF724" i="25"/>
  <c r="DH744" i="25"/>
  <c r="DF744" i="25"/>
  <c r="DH735" i="25"/>
  <c r="DF735" i="25"/>
  <c r="DH728" i="25"/>
  <c r="DF728" i="25"/>
  <c r="DH718" i="25"/>
  <c r="DF718" i="25"/>
  <c r="DH707" i="25"/>
  <c r="DF707" i="25"/>
  <c r="DH554" i="25"/>
  <c r="DF554" i="25"/>
  <c r="DH743" i="25"/>
  <c r="DF743" i="25"/>
  <c r="DH734" i="25"/>
  <c r="DF734" i="25"/>
  <c r="DH726" i="25"/>
  <c r="DF726" i="25"/>
  <c r="DH717" i="25"/>
  <c r="DF717" i="25"/>
  <c r="DH706" i="25"/>
  <c r="DF706" i="25"/>
  <c r="DH704" i="25"/>
  <c r="DF704" i="25"/>
  <c r="DH742" i="25"/>
  <c r="DF742" i="25"/>
  <c r="DH733" i="25"/>
  <c r="DF733" i="25"/>
  <c r="DH725" i="25"/>
  <c r="DF725" i="25"/>
  <c r="DH714" i="25"/>
  <c r="DF714" i="25"/>
  <c r="DH705" i="25"/>
  <c r="DF705" i="25"/>
  <c r="DH720" i="25"/>
  <c r="DF720" i="25"/>
  <c r="DH740" i="25"/>
  <c r="DF740" i="25"/>
  <c r="DH732" i="25"/>
  <c r="DF732" i="25"/>
  <c r="DH723" i="25"/>
  <c r="DF723" i="25"/>
  <c r="DH712" i="25"/>
  <c r="DF712" i="25"/>
  <c r="DH702" i="25"/>
  <c r="DF702" i="25"/>
  <c r="DH739" i="25"/>
  <c r="DF739" i="25"/>
  <c r="DH731" i="25"/>
  <c r="DF731" i="25"/>
  <c r="DH722" i="25"/>
  <c r="DF722" i="25"/>
  <c r="DH711" i="25"/>
  <c r="DF711" i="25"/>
  <c r="DH745" i="25"/>
  <c r="DF745" i="25"/>
  <c r="DH738" i="25"/>
  <c r="DF738" i="25"/>
  <c r="DH727" i="25"/>
  <c r="DF727" i="25"/>
  <c r="DH721" i="25"/>
  <c r="DF721" i="25"/>
  <c r="DH710" i="25"/>
  <c r="DF710" i="25"/>
  <c r="DH747" i="25"/>
  <c r="DF747" i="25"/>
  <c r="DH737" i="25"/>
  <c r="DF737" i="25"/>
  <c r="DH730" i="25"/>
  <c r="DF730" i="25"/>
  <c r="DH713" i="25"/>
  <c r="DF713" i="25"/>
  <c r="DH709" i="25"/>
  <c r="DF709" i="25"/>
  <c r="DH746" i="25"/>
  <c r="DF746" i="25"/>
  <c r="DH736" i="25"/>
  <c r="DF736" i="25"/>
  <c r="DH729" i="25"/>
  <c r="DF729" i="25"/>
  <c r="DH719" i="25"/>
  <c r="DF719" i="25"/>
  <c r="DH708" i="25"/>
  <c r="DF708" i="25"/>
  <c r="DH691" i="25"/>
  <c r="DH689" i="25"/>
  <c r="DH682" i="25"/>
  <c r="DH674" i="25"/>
  <c r="DH666" i="25"/>
  <c r="DH688" i="25"/>
  <c r="DH650" i="25"/>
  <c r="DH642" i="25"/>
  <c r="DH634" i="25"/>
  <c r="DH626" i="25"/>
  <c r="DH618" i="25"/>
  <c r="DH609" i="25"/>
  <c r="DH601" i="25"/>
  <c r="DH613" i="25"/>
  <c r="DH585" i="25"/>
  <c r="DH647" i="25"/>
  <c r="DH570" i="25"/>
  <c r="DH556" i="25"/>
  <c r="DH548" i="25"/>
  <c r="DH696" i="25"/>
  <c r="DH648" i="25"/>
  <c r="DH681" i="25"/>
  <c r="DH673" i="25"/>
  <c r="DH665" i="25"/>
  <c r="DH684" i="25"/>
  <c r="DH649" i="25"/>
  <c r="DH641" i="25"/>
  <c r="DH633" i="25"/>
  <c r="DH625" i="25"/>
  <c r="DH617" i="25"/>
  <c r="DH608" i="25"/>
  <c r="DH600" i="25"/>
  <c r="DH611" i="25"/>
  <c r="DH698" i="25"/>
  <c r="DH577" i="25"/>
  <c r="DH569" i="25"/>
  <c r="DH561" i="25"/>
  <c r="DH547" i="25"/>
  <c r="DH695" i="25"/>
  <c r="DH687" i="25"/>
  <c r="DH566" i="25"/>
  <c r="DH672" i="25"/>
  <c r="DH664" i="25"/>
  <c r="DH656" i="25"/>
  <c r="DH584" i="25"/>
  <c r="DH640" i="25"/>
  <c r="DH632" i="25"/>
  <c r="DH624" i="25"/>
  <c r="DH616" i="25"/>
  <c r="DH607" i="25"/>
  <c r="DH599" i="25"/>
  <c r="DH594" i="25"/>
  <c r="DH697" i="25"/>
  <c r="DH576" i="25"/>
  <c r="DH568" i="25"/>
  <c r="DH551" i="25"/>
  <c r="DH553" i="25"/>
  <c r="DH546" i="25"/>
  <c r="DH701" i="25"/>
  <c r="DH694" i="25"/>
  <c r="DH686" i="25"/>
  <c r="DH679" i="25"/>
  <c r="DH671" i="25"/>
  <c r="DH663" i="25"/>
  <c r="DH655" i="25"/>
  <c r="DH583" i="25"/>
  <c r="DH639" i="25"/>
  <c r="DH631" i="25"/>
  <c r="DH623" i="25"/>
  <c r="DH615" i="25"/>
  <c r="DH606" i="25"/>
  <c r="DH571" i="25"/>
  <c r="DH593" i="25"/>
  <c r="DH588" i="25"/>
  <c r="DH575" i="25"/>
  <c r="DH567" i="25"/>
  <c r="DH559" i="25"/>
  <c r="DH555" i="25"/>
  <c r="DH545" i="25"/>
  <c r="DH700" i="25"/>
  <c r="DH657" i="25"/>
  <c r="DH685" i="25"/>
  <c r="DH678" i="25"/>
  <c r="DH670" i="25"/>
  <c r="DH662" i="25"/>
  <c r="DH680" i="25"/>
  <c r="DH646" i="25"/>
  <c r="DH638" i="25"/>
  <c r="DH630" i="25"/>
  <c r="DH622" i="25"/>
  <c r="DH591" i="25"/>
  <c r="DH605" i="25"/>
  <c r="DH597" i="25"/>
  <c r="DH592" i="25"/>
  <c r="DH578" i="25"/>
  <c r="DH565" i="25"/>
  <c r="DH573" i="25"/>
  <c r="DH552" i="25"/>
  <c r="DH699" i="25"/>
  <c r="DH692" i="25"/>
  <c r="DH580" i="25"/>
  <c r="DH677" i="25"/>
  <c r="DH669" i="25"/>
  <c r="DH661" i="25"/>
  <c r="DH653" i="25"/>
  <c r="DH645" i="25"/>
  <c r="DH637" i="25"/>
  <c r="DH629" i="25"/>
  <c r="DH621" i="25"/>
  <c r="DH612" i="25"/>
  <c r="DH604" i="25"/>
  <c r="DH598" i="25"/>
  <c r="DH596" i="25"/>
  <c r="DH581" i="25"/>
  <c r="DH574" i="25"/>
  <c r="DH563" i="25"/>
  <c r="DH557" i="25"/>
  <c r="DH693" i="25"/>
  <c r="DH654" i="25"/>
  <c r="DH683" i="25"/>
  <c r="DH676" i="25"/>
  <c r="DH668" i="25"/>
  <c r="DH660" i="25"/>
  <c r="DH652" i="25"/>
  <c r="DH644" i="25"/>
  <c r="DH636" i="25"/>
  <c r="DH628" i="25"/>
  <c r="DH620" i="25"/>
  <c r="DH590" i="25"/>
  <c r="DH603" i="25"/>
  <c r="DH595" i="25"/>
  <c r="DH587" i="25"/>
  <c r="DH658" i="25"/>
  <c r="DH572" i="25"/>
  <c r="DH562" i="25"/>
  <c r="DH564" i="25"/>
  <c r="DH550" i="25"/>
  <c r="DH690" i="25"/>
  <c r="DH675" i="25"/>
  <c r="DH667" i="25"/>
  <c r="DH659" i="25"/>
  <c r="DH651" i="25"/>
  <c r="DH643" i="25"/>
  <c r="DH635" i="25"/>
  <c r="DH627" i="25"/>
  <c r="DH619" i="25"/>
  <c r="DH610" i="25"/>
  <c r="DH602" i="25"/>
  <c r="DH589" i="25"/>
  <c r="DH586" i="25"/>
  <c r="DH582" i="25"/>
  <c r="DH579" i="25"/>
  <c r="DH558" i="25"/>
  <c r="DH560" i="25"/>
  <c r="DH549" i="25"/>
  <c r="CX578" i="25"/>
  <c r="CY578" i="25" s="1"/>
  <c r="CZ578" i="25" s="1"/>
  <c r="DA578" i="25" s="1"/>
  <c r="CX745" i="25"/>
  <c r="CY745" i="25" s="1"/>
  <c r="CZ745" i="25" s="1"/>
  <c r="DA745" i="25" s="1"/>
  <c r="CX727" i="25"/>
  <c r="CY727" i="25" s="1"/>
  <c r="CZ727" i="25" s="1"/>
  <c r="DA727" i="25" s="1"/>
  <c r="CX710" i="25"/>
  <c r="CY710" i="25" s="1"/>
  <c r="CZ710" i="25" s="1"/>
  <c r="DA710" i="25" s="1"/>
  <c r="CX653" i="25"/>
  <c r="CY653" i="25" s="1"/>
  <c r="CZ653" i="25" s="1"/>
  <c r="DA653" i="25" s="1"/>
  <c r="CX645" i="25"/>
  <c r="CY645" i="25" s="1"/>
  <c r="CZ645" i="25" s="1"/>
  <c r="DA645" i="25" s="1"/>
  <c r="CX612" i="25"/>
  <c r="CY612" i="25" s="1"/>
  <c r="CZ612" i="25" s="1"/>
  <c r="DA612" i="25" s="1"/>
  <c r="CX574" i="25"/>
  <c r="CY574" i="25" s="1"/>
  <c r="CZ574" i="25" s="1"/>
  <c r="DA574" i="25" s="1"/>
  <c r="BS719" i="25"/>
  <c r="BS708" i="25"/>
  <c r="BS659" i="25"/>
  <c r="BS602" i="25"/>
  <c r="BS549" i="25"/>
  <c r="BZ629" i="25"/>
  <c r="BZ743" i="25"/>
  <c r="BY616" i="25"/>
  <c r="CA616" i="25" s="1"/>
  <c r="BZ554" i="25"/>
  <c r="BZ664" i="25"/>
  <c r="BZ593" i="25"/>
  <c r="CX632" i="25"/>
  <c r="CY632" i="25" s="1"/>
  <c r="CZ632" i="25" s="1"/>
  <c r="DA632" i="25" s="1"/>
  <c r="CX722" i="25"/>
  <c r="CY722" i="25" s="1"/>
  <c r="CZ722" i="25" s="1"/>
  <c r="DA722" i="25" s="1"/>
  <c r="CX646" i="25"/>
  <c r="CY646" i="25" s="1"/>
  <c r="CZ646" i="25" s="1"/>
  <c r="DA646" i="25" s="1"/>
  <c r="CX592" i="25"/>
  <c r="CY592" i="25" s="1"/>
  <c r="CZ592" i="25" s="1"/>
  <c r="DA592" i="25" s="1"/>
  <c r="BZ723" i="25"/>
  <c r="BZ727" i="25"/>
  <c r="BZ599" i="25"/>
  <c r="BZ623" i="25"/>
  <c r="BZ555" i="25"/>
  <c r="CX667" i="25"/>
  <c r="CY667" i="25" s="1"/>
  <c r="CZ667" i="25" s="1"/>
  <c r="DA667" i="25" s="1"/>
  <c r="BY724" i="25"/>
  <c r="CA724" i="25" s="1"/>
  <c r="BY691" i="25"/>
  <c r="CA691" i="25" s="1"/>
  <c r="BY689" i="25"/>
  <c r="CA689" i="25" s="1"/>
  <c r="BY688" i="25"/>
  <c r="CA688" i="25" s="1"/>
  <c r="BZ585" i="25"/>
  <c r="BY570" i="25"/>
  <c r="CA570" i="25" s="1"/>
  <c r="BY722" i="25"/>
  <c r="CA722" i="25" s="1"/>
  <c r="BZ711" i="25"/>
  <c r="BZ678" i="25"/>
  <c r="BZ670" i="25"/>
  <c r="BY662" i="25"/>
  <c r="CA662" i="25" s="1"/>
  <c r="BZ646" i="25"/>
  <c r="BZ591" i="25"/>
  <c r="BZ578" i="25"/>
  <c r="BY565" i="25"/>
  <c r="CA565" i="25" s="1"/>
  <c r="BS711" i="25"/>
  <c r="BY613" i="25"/>
  <c r="CA613" i="25" s="1"/>
  <c r="BZ688" i="25"/>
  <c r="BY626" i="25"/>
  <c r="CA626" i="25" s="1"/>
  <c r="BZ613" i="25"/>
  <c r="BZ739" i="25"/>
  <c r="BY657" i="25"/>
  <c r="CA657" i="25" s="1"/>
  <c r="BZ685" i="25"/>
  <c r="BY605" i="25"/>
  <c r="CA605" i="25" s="1"/>
  <c r="BZ573" i="25"/>
  <c r="BZ738" i="25"/>
  <c r="BY721" i="25"/>
  <c r="CA721" i="25" s="1"/>
  <c r="BZ710" i="25"/>
  <c r="BY692" i="25"/>
  <c r="CA692" i="25" s="1"/>
  <c r="BY677" i="25"/>
  <c r="CA677" i="25" s="1"/>
  <c r="BY661" i="25"/>
  <c r="CA661" i="25" s="1"/>
  <c r="BY604" i="25"/>
  <c r="CA604" i="25" s="1"/>
  <c r="BZ581" i="25"/>
  <c r="BS600" i="25"/>
  <c r="CX719" i="25"/>
  <c r="CY719" i="25" s="1"/>
  <c r="CZ719" i="25" s="1"/>
  <c r="DA719" i="25" s="1"/>
  <c r="BY737" i="25"/>
  <c r="CA737" i="25" s="1"/>
  <c r="BY668" i="25"/>
  <c r="CA668" i="25" s="1"/>
  <c r="BY652" i="25"/>
  <c r="CA652" i="25" s="1"/>
  <c r="BY636" i="25"/>
  <c r="CA636" i="25" s="1"/>
  <c r="BY590" i="25"/>
  <c r="CA590" i="25" s="1"/>
  <c r="BZ695" i="25"/>
  <c r="BY566" i="25"/>
  <c r="CA566" i="25" s="1"/>
  <c r="BY640" i="25"/>
  <c r="CA640" i="25" s="1"/>
  <c r="BY632" i="25"/>
  <c r="CA632" i="25" s="1"/>
  <c r="BZ594" i="25"/>
  <c r="BZ713" i="25"/>
  <c r="BZ654" i="25"/>
  <c r="CX702" i="25"/>
  <c r="CY702" i="25" s="1"/>
  <c r="CZ702" i="25" s="1"/>
  <c r="DA702" i="25" s="1"/>
  <c r="CX739" i="25"/>
  <c r="CY739" i="25" s="1"/>
  <c r="CZ739" i="25" s="1"/>
  <c r="DA739" i="25" s="1"/>
  <c r="CX700" i="25"/>
  <c r="CY700" i="25" s="1"/>
  <c r="CZ700" i="25" s="1"/>
  <c r="DA700" i="25" s="1"/>
  <c r="CX685" i="25"/>
  <c r="CY685" i="25" s="1"/>
  <c r="CZ685" i="25" s="1"/>
  <c r="DA685" i="25" s="1"/>
  <c r="CX678" i="25"/>
  <c r="CY678" i="25" s="1"/>
  <c r="CZ678" i="25" s="1"/>
  <c r="DA678" i="25" s="1"/>
  <c r="CX670" i="25"/>
  <c r="CY670" i="25" s="1"/>
  <c r="CZ670" i="25" s="1"/>
  <c r="DA670" i="25" s="1"/>
  <c r="CX662" i="25"/>
  <c r="CY662" i="25" s="1"/>
  <c r="CZ662" i="25" s="1"/>
  <c r="DA662" i="25" s="1"/>
  <c r="CX680" i="25"/>
  <c r="CY680" i="25" s="1"/>
  <c r="CZ680" i="25" s="1"/>
  <c r="DA680" i="25" s="1"/>
  <c r="CX638" i="25"/>
  <c r="CY638" i="25" s="1"/>
  <c r="CZ638" i="25" s="1"/>
  <c r="DA638" i="25" s="1"/>
  <c r="CX605" i="25"/>
  <c r="CY605" i="25" s="1"/>
  <c r="CZ605" i="25" s="1"/>
  <c r="DA605" i="25" s="1"/>
  <c r="CX565" i="25"/>
  <c r="CY565" i="25" s="1"/>
  <c r="CZ565" i="25" s="1"/>
  <c r="DA565" i="25" s="1"/>
  <c r="CX552" i="25"/>
  <c r="CY552" i="25" s="1"/>
  <c r="CZ552" i="25" s="1"/>
  <c r="DA552" i="25" s="1"/>
  <c r="BZ605" i="25"/>
  <c r="BY659" i="25"/>
  <c r="CA659" i="25" s="1"/>
  <c r="BZ674" i="25"/>
  <c r="BZ642" i="25"/>
  <c r="BY556" i="25"/>
  <c r="CA556" i="25" s="1"/>
  <c r="BS744" i="25"/>
  <c r="BS735" i="25"/>
  <c r="BS718" i="25"/>
  <c r="BS707" i="25"/>
  <c r="BS691" i="25"/>
  <c r="BS674" i="25"/>
  <c r="BS666" i="25"/>
  <c r="BS650" i="25"/>
  <c r="BS642" i="25"/>
  <c r="BS634" i="25"/>
  <c r="BS609" i="25"/>
  <c r="BS601" i="25"/>
  <c r="BS585" i="25"/>
  <c r="BS647" i="25"/>
  <c r="BS570" i="25"/>
  <c r="BS548" i="25"/>
  <c r="BS702" i="25"/>
  <c r="BS739" i="25"/>
  <c r="BS731" i="25"/>
  <c r="BS722" i="25"/>
  <c r="BS700" i="25"/>
  <c r="BS657" i="25"/>
  <c r="BS685" i="25"/>
  <c r="BS678" i="25"/>
  <c r="BS670" i="25"/>
  <c r="BS662" i="25"/>
  <c r="BS680" i="25"/>
  <c r="BS646" i="25"/>
  <c r="BS638" i="25"/>
  <c r="BS630" i="25"/>
  <c r="BS622" i="25"/>
  <c r="BS591" i="25"/>
  <c r="BS605" i="25"/>
  <c r="BS597" i="25"/>
  <c r="BS592" i="25"/>
  <c r="BS578" i="25"/>
  <c r="BS565" i="25"/>
  <c r="BS573" i="25"/>
  <c r="BS552" i="25"/>
  <c r="BZ617" i="25"/>
  <c r="BZ569" i="25"/>
  <c r="BY727" i="25"/>
  <c r="CA727" i="25" s="1"/>
  <c r="BY653" i="25"/>
  <c r="CA653" i="25" s="1"/>
  <c r="BZ645" i="25"/>
  <c r="BY612" i="25"/>
  <c r="CA612" i="25" s="1"/>
  <c r="BY596" i="25"/>
  <c r="CA596" i="25" s="1"/>
  <c r="BZ557" i="25"/>
  <c r="BZ681" i="25"/>
  <c r="BY681" i="25"/>
  <c r="CA681" i="25" s="1"/>
  <c r="BZ737" i="25"/>
  <c r="BZ564" i="25"/>
  <c r="BZ640" i="25"/>
  <c r="BY676" i="25"/>
  <c r="CA676" i="25" s="1"/>
  <c r="BY587" i="25"/>
  <c r="CA587" i="25" s="1"/>
  <c r="BY550" i="25"/>
  <c r="CA550" i="25" s="1"/>
  <c r="CX711" i="25"/>
  <c r="CY711" i="25" s="1"/>
  <c r="CZ711" i="25" s="1"/>
  <c r="DA711" i="25" s="1"/>
  <c r="CX630" i="25"/>
  <c r="CY630" i="25" s="1"/>
  <c r="CZ630" i="25" s="1"/>
  <c r="DA630" i="25" s="1"/>
  <c r="CX591" i="25"/>
  <c r="CY591" i="25" s="1"/>
  <c r="CZ591" i="25" s="1"/>
  <c r="DA591" i="25" s="1"/>
  <c r="BZ692" i="25"/>
  <c r="BZ604" i="25"/>
  <c r="BY743" i="25"/>
  <c r="CA743" i="25" s="1"/>
  <c r="BZ726" i="25"/>
  <c r="BY717" i="25"/>
  <c r="CA717" i="25" s="1"/>
  <c r="BZ696" i="25"/>
  <c r="BY673" i="25"/>
  <c r="CA673" i="25" s="1"/>
  <c r="BZ673" i="25"/>
  <c r="BY649" i="25"/>
  <c r="CA649" i="25" s="1"/>
  <c r="BZ649" i="25"/>
  <c r="BY641" i="25"/>
  <c r="CA641" i="25" s="1"/>
  <c r="BZ641" i="25"/>
  <c r="BY633" i="25"/>
  <c r="CA633" i="25" s="1"/>
  <c r="BY617" i="25"/>
  <c r="CA617" i="25" s="1"/>
  <c r="BZ608" i="25"/>
  <c r="BZ611" i="25"/>
  <c r="BY698" i="25"/>
  <c r="CA698" i="25" s="1"/>
  <c r="BZ577" i="25"/>
  <c r="BY561" i="25"/>
  <c r="CA561" i="25" s="1"/>
  <c r="BZ547" i="25"/>
  <c r="BS661" i="25"/>
  <c r="CX720" i="25"/>
  <c r="CY720" i="25" s="1"/>
  <c r="CZ720" i="25" s="1"/>
  <c r="DA720" i="25" s="1"/>
  <c r="CX740" i="25"/>
  <c r="CY740" i="25" s="1"/>
  <c r="CZ740" i="25" s="1"/>
  <c r="DA740" i="25" s="1"/>
  <c r="CX732" i="25"/>
  <c r="CY732" i="25" s="1"/>
  <c r="CZ732" i="25" s="1"/>
  <c r="DA732" i="25" s="1"/>
  <c r="CX723" i="25"/>
  <c r="CY723" i="25" s="1"/>
  <c r="CZ723" i="25" s="1"/>
  <c r="DA723" i="25" s="1"/>
  <c r="CX712" i="25"/>
  <c r="CY712" i="25" s="1"/>
  <c r="CZ712" i="25" s="1"/>
  <c r="DA712" i="25" s="1"/>
  <c r="CX701" i="25"/>
  <c r="CY701" i="25" s="1"/>
  <c r="CZ701" i="25" s="1"/>
  <c r="DA701" i="25" s="1"/>
  <c r="CX694" i="25"/>
  <c r="CY694" i="25" s="1"/>
  <c r="CZ694" i="25" s="1"/>
  <c r="DA694" i="25" s="1"/>
  <c r="CX686" i="25"/>
  <c r="CY686" i="25" s="1"/>
  <c r="CZ686" i="25" s="1"/>
  <c r="DA686" i="25" s="1"/>
  <c r="CX679" i="25"/>
  <c r="CY679" i="25" s="1"/>
  <c r="CZ679" i="25" s="1"/>
  <c r="DA679" i="25" s="1"/>
  <c r="CX671" i="25"/>
  <c r="CY671" i="25" s="1"/>
  <c r="CZ671" i="25" s="1"/>
  <c r="DA671" i="25" s="1"/>
  <c r="CX663" i="25"/>
  <c r="CY663" i="25" s="1"/>
  <c r="CZ663" i="25" s="1"/>
  <c r="DA663" i="25" s="1"/>
  <c r="CX655" i="25"/>
  <c r="CY655" i="25" s="1"/>
  <c r="CZ655" i="25" s="1"/>
  <c r="DA655" i="25" s="1"/>
  <c r="CX583" i="25"/>
  <c r="CY583" i="25" s="1"/>
  <c r="CZ583" i="25" s="1"/>
  <c r="DA583" i="25" s="1"/>
  <c r="CX639" i="25"/>
  <c r="CY639" i="25" s="1"/>
  <c r="CZ639" i="25" s="1"/>
  <c r="DA639" i="25" s="1"/>
  <c r="CX631" i="25"/>
  <c r="CY631" i="25" s="1"/>
  <c r="CZ631" i="25" s="1"/>
  <c r="DA631" i="25" s="1"/>
  <c r="CX623" i="25"/>
  <c r="CY623" i="25" s="1"/>
  <c r="CZ623" i="25" s="1"/>
  <c r="DA623" i="25" s="1"/>
  <c r="CX615" i="25"/>
  <c r="CY615" i="25" s="1"/>
  <c r="CZ615" i="25" s="1"/>
  <c r="DA615" i="25" s="1"/>
  <c r="CX606" i="25"/>
  <c r="CY606" i="25" s="1"/>
  <c r="CZ606" i="25" s="1"/>
  <c r="DA606" i="25" s="1"/>
  <c r="CX571" i="25"/>
  <c r="CY571" i="25" s="1"/>
  <c r="CZ571" i="25" s="1"/>
  <c r="DA571" i="25" s="1"/>
  <c r="CX593" i="25"/>
  <c r="CY593" i="25" s="1"/>
  <c r="CZ593" i="25" s="1"/>
  <c r="DA593" i="25" s="1"/>
  <c r="CX588" i="25"/>
  <c r="CY588" i="25" s="1"/>
  <c r="CZ588" i="25" s="1"/>
  <c r="DA588" i="25" s="1"/>
  <c r="CX575" i="25"/>
  <c r="CY575" i="25" s="1"/>
  <c r="CZ575" i="25" s="1"/>
  <c r="DA575" i="25" s="1"/>
  <c r="CX567" i="25"/>
  <c r="CY567" i="25" s="1"/>
  <c r="CZ567" i="25" s="1"/>
  <c r="DA567" i="25" s="1"/>
  <c r="CX559" i="25"/>
  <c r="CY559" i="25" s="1"/>
  <c r="CZ559" i="25" s="1"/>
  <c r="DA559" i="25" s="1"/>
  <c r="CX555" i="25"/>
  <c r="CY555" i="25" s="1"/>
  <c r="CZ555" i="25" s="1"/>
  <c r="DA555" i="25" s="1"/>
  <c r="CX545" i="25"/>
  <c r="CY545" i="25" s="1"/>
  <c r="CZ545" i="25" s="1"/>
  <c r="DA545" i="25" s="1"/>
  <c r="CX651" i="25"/>
  <c r="CY651" i="25" s="1"/>
  <c r="CZ651" i="25" s="1"/>
  <c r="DA651" i="25" s="1"/>
  <c r="CX602" i="25"/>
  <c r="CY602" i="25" s="1"/>
  <c r="CZ602" i="25" s="1"/>
  <c r="DA602" i="25" s="1"/>
  <c r="CX586" i="25"/>
  <c r="CY586" i="25" s="1"/>
  <c r="CZ586" i="25" s="1"/>
  <c r="DA586" i="25" s="1"/>
  <c r="DB571" i="25"/>
  <c r="BY696" i="25"/>
  <c r="CA696" i="25" s="1"/>
  <c r="BY742" i="25"/>
  <c r="CA742" i="25" s="1"/>
  <c r="BZ687" i="25"/>
  <c r="BZ624" i="25"/>
  <c r="BZ568" i="25"/>
  <c r="CX744" i="25"/>
  <c r="CY744" i="25" s="1"/>
  <c r="CZ744" i="25" s="1"/>
  <c r="DA744" i="25" s="1"/>
  <c r="CX735" i="25"/>
  <c r="CY735" i="25" s="1"/>
  <c r="CZ735" i="25" s="1"/>
  <c r="DA735" i="25" s="1"/>
  <c r="DB592" i="25"/>
  <c r="CX704" i="25"/>
  <c r="CY704" i="25" s="1"/>
  <c r="CZ704" i="25" s="1"/>
  <c r="DA704" i="25" s="1"/>
  <c r="CX742" i="25"/>
  <c r="CY742" i="25" s="1"/>
  <c r="CZ742" i="25" s="1"/>
  <c r="DA742" i="25" s="1"/>
  <c r="CX733" i="25"/>
  <c r="CY733" i="25" s="1"/>
  <c r="CZ733" i="25" s="1"/>
  <c r="DA733" i="25" s="1"/>
  <c r="CX725" i="25"/>
  <c r="CY725" i="25" s="1"/>
  <c r="CZ725" i="25" s="1"/>
  <c r="DA725" i="25" s="1"/>
  <c r="CX714" i="25"/>
  <c r="CY714" i="25" s="1"/>
  <c r="CZ714" i="25" s="1"/>
  <c r="DA714" i="25" s="1"/>
  <c r="CX705" i="25"/>
  <c r="CY705" i="25" s="1"/>
  <c r="CZ705" i="25" s="1"/>
  <c r="DA705" i="25" s="1"/>
  <c r="CX695" i="25"/>
  <c r="CY695" i="25" s="1"/>
  <c r="CZ695" i="25" s="1"/>
  <c r="DA695" i="25" s="1"/>
  <c r="CX687" i="25"/>
  <c r="CY687" i="25" s="1"/>
  <c r="CZ687" i="25" s="1"/>
  <c r="DA687" i="25" s="1"/>
  <c r="CX566" i="25"/>
  <c r="CY566" i="25" s="1"/>
  <c r="CZ566" i="25" s="1"/>
  <c r="DA566" i="25" s="1"/>
  <c r="CX672" i="25"/>
  <c r="CY672" i="25" s="1"/>
  <c r="CZ672" i="25" s="1"/>
  <c r="DA672" i="25" s="1"/>
  <c r="CX664" i="25"/>
  <c r="CY664" i="25" s="1"/>
  <c r="CZ664" i="25" s="1"/>
  <c r="DA664" i="25" s="1"/>
  <c r="CX656" i="25"/>
  <c r="CY656" i="25" s="1"/>
  <c r="CZ656" i="25" s="1"/>
  <c r="DA656" i="25" s="1"/>
  <c r="CX584" i="25"/>
  <c r="CY584" i="25" s="1"/>
  <c r="CZ584" i="25" s="1"/>
  <c r="DA584" i="25" s="1"/>
  <c r="CX640" i="25"/>
  <c r="CY640" i="25" s="1"/>
  <c r="CZ640" i="25" s="1"/>
  <c r="DA640" i="25" s="1"/>
  <c r="CX624" i="25"/>
  <c r="CY624" i="25" s="1"/>
  <c r="CZ624" i="25" s="1"/>
  <c r="DA624" i="25" s="1"/>
  <c r="CX616" i="25"/>
  <c r="CY616" i="25" s="1"/>
  <c r="CZ616" i="25" s="1"/>
  <c r="DA616" i="25" s="1"/>
  <c r="CX607" i="25"/>
  <c r="CY607" i="25" s="1"/>
  <c r="CZ607" i="25" s="1"/>
  <c r="DA607" i="25" s="1"/>
  <c r="CX599" i="25"/>
  <c r="CY599" i="25" s="1"/>
  <c r="CZ599" i="25" s="1"/>
  <c r="DA599" i="25" s="1"/>
  <c r="CX594" i="25"/>
  <c r="CY594" i="25" s="1"/>
  <c r="CZ594" i="25" s="1"/>
  <c r="DA594" i="25" s="1"/>
  <c r="CX697" i="25"/>
  <c r="CY697" i="25" s="1"/>
  <c r="CZ697" i="25" s="1"/>
  <c r="DA697" i="25" s="1"/>
  <c r="CX576" i="25"/>
  <c r="CY576" i="25" s="1"/>
  <c r="CZ576" i="25" s="1"/>
  <c r="DA576" i="25" s="1"/>
  <c r="CX568" i="25"/>
  <c r="CY568" i="25" s="1"/>
  <c r="CZ568" i="25" s="1"/>
  <c r="DA568" i="25" s="1"/>
  <c r="CX551" i="25"/>
  <c r="CY551" i="25" s="1"/>
  <c r="CZ551" i="25" s="1"/>
  <c r="DA551" i="25" s="1"/>
  <c r="CX553" i="25"/>
  <c r="CY553" i="25" s="1"/>
  <c r="CZ553" i="25" s="1"/>
  <c r="DA553" i="25" s="1"/>
  <c r="CX546" i="25"/>
  <c r="CY546" i="25" s="1"/>
  <c r="CZ546" i="25" s="1"/>
  <c r="DA546" i="25" s="1"/>
  <c r="CX747" i="25"/>
  <c r="CY747" i="25" s="1"/>
  <c r="CZ747" i="25" s="1"/>
  <c r="DA747" i="25" s="1"/>
  <c r="CX737" i="25"/>
  <c r="CY737" i="25" s="1"/>
  <c r="CZ737" i="25" s="1"/>
  <c r="DA737" i="25" s="1"/>
  <c r="CX730" i="25"/>
  <c r="CY730" i="25" s="1"/>
  <c r="CZ730" i="25" s="1"/>
  <c r="DA730" i="25" s="1"/>
  <c r="CX713" i="25"/>
  <c r="CY713" i="25" s="1"/>
  <c r="CZ713" i="25" s="1"/>
  <c r="DA713" i="25" s="1"/>
  <c r="CX709" i="25"/>
  <c r="CY709" i="25" s="1"/>
  <c r="CZ709" i="25" s="1"/>
  <c r="DA709" i="25" s="1"/>
  <c r="CX693" i="25"/>
  <c r="CY693" i="25" s="1"/>
  <c r="CZ693" i="25" s="1"/>
  <c r="DA693" i="25" s="1"/>
  <c r="CX654" i="25"/>
  <c r="CY654" i="25" s="1"/>
  <c r="CZ654" i="25" s="1"/>
  <c r="DA654" i="25" s="1"/>
  <c r="CX683" i="25"/>
  <c r="CY683" i="25" s="1"/>
  <c r="CZ683" i="25" s="1"/>
  <c r="DA683" i="25" s="1"/>
  <c r="CX676" i="25"/>
  <c r="CY676" i="25" s="1"/>
  <c r="CZ676" i="25" s="1"/>
  <c r="DA676" i="25" s="1"/>
  <c r="CX668" i="25"/>
  <c r="CY668" i="25" s="1"/>
  <c r="CZ668" i="25" s="1"/>
  <c r="DA668" i="25" s="1"/>
  <c r="CX660" i="25"/>
  <c r="CY660" i="25" s="1"/>
  <c r="CZ660" i="25" s="1"/>
  <c r="DA660" i="25" s="1"/>
  <c r="CX652" i="25"/>
  <c r="CY652" i="25" s="1"/>
  <c r="CZ652" i="25" s="1"/>
  <c r="DA652" i="25" s="1"/>
  <c r="CX644" i="25"/>
  <c r="CY644" i="25" s="1"/>
  <c r="CZ644" i="25" s="1"/>
  <c r="DA644" i="25" s="1"/>
  <c r="CX636" i="25"/>
  <c r="CY636" i="25" s="1"/>
  <c r="CZ636" i="25" s="1"/>
  <c r="DA636" i="25" s="1"/>
  <c r="CX628" i="25"/>
  <c r="CY628" i="25" s="1"/>
  <c r="CZ628" i="25" s="1"/>
  <c r="DA628" i="25" s="1"/>
  <c r="CX620" i="25"/>
  <c r="CY620" i="25" s="1"/>
  <c r="CZ620" i="25" s="1"/>
  <c r="DA620" i="25" s="1"/>
  <c r="CX590" i="25"/>
  <c r="CY590" i="25" s="1"/>
  <c r="CZ590" i="25" s="1"/>
  <c r="DA590" i="25" s="1"/>
  <c r="CX603" i="25"/>
  <c r="CY603" i="25" s="1"/>
  <c r="CZ603" i="25" s="1"/>
  <c r="DA603" i="25" s="1"/>
  <c r="CX595" i="25"/>
  <c r="CY595" i="25" s="1"/>
  <c r="CZ595" i="25" s="1"/>
  <c r="DA595" i="25" s="1"/>
  <c r="CX587" i="25"/>
  <c r="CY587" i="25" s="1"/>
  <c r="CZ587" i="25" s="1"/>
  <c r="DA587" i="25" s="1"/>
  <c r="CX658" i="25"/>
  <c r="CY658" i="25" s="1"/>
  <c r="CZ658" i="25" s="1"/>
  <c r="DA658" i="25" s="1"/>
  <c r="CX572" i="25"/>
  <c r="CY572" i="25" s="1"/>
  <c r="CZ572" i="25" s="1"/>
  <c r="DA572" i="25" s="1"/>
  <c r="CX562" i="25"/>
  <c r="CY562" i="25" s="1"/>
  <c r="CZ562" i="25" s="1"/>
  <c r="DA562" i="25" s="1"/>
  <c r="CX564" i="25"/>
  <c r="CY564" i="25" s="1"/>
  <c r="CZ564" i="25" s="1"/>
  <c r="DA564" i="25" s="1"/>
  <c r="CX550" i="25"/>
  <c r="CY550" i="25" s="1"/>
  <c r="CZ550" i="25" s="1"/>
  <c r="DA550" i="25" s="1"/>
  <c r="BY650" i="25"/>
  <c r="CA650" i="25" s="1"/>
  <c r="BY634" i="25"/>
  <c r="CA634" i="25" s="1"/>
  <c r="BZ647" i="25"/>
  <c r="BY630" i="25"/>
  <c r="CA630" i="25" s="1"/>
  <c r="BY622" i="25"/>
  <c r="CA622" i="25" s="1"/>
  <c r="BZ552" i="25"/>
  <c r="CX738" i="25"/>
  <c r="CY738" i="25" s="1"/>
  <c r="CZ738" i="25" s="1"/>
  <c r="DA738" i="25" s="1"/>
  <c r="CX677" i="25"/>
  <c r="CY677" i="25" s="1"/>
  <c r="CZ677" i="25" s="1"/>
  <c r="DA677" i="25" s="1"/>
  <c r="CX661" i="25"/>
  <c r="CY661" i="25" s="1"/>
  <c r="CZ661" i="25" s="1"/>
  <c r="DA661" i="25" s="1"/>
  <c r="CX637" i="25"/>
  <c r="CY637" i="25" s="1"/>
  <c r="CZ637" i="25" s="1"/>
  <c r="DA637" i="25" s="1"/>
  <c r="CX621" i="25"/>
  <c r="CY621" i="25" s="1"/>
  <c r="CZ621" i="25" s="1"/>
  <c r="DA621" i="25" s="1"/>
  <c r="CX604" i="25"/>
  <c r="CY604" i="25" s="1"/>
  <c r="CZ604" i="25" s="1"/>
  <c r="DA604" i="25" s="1"/>
  <c r="CX596" i="25"/>
  <c r="CY596" i="25" s="1"/>
  <c r="CZ596" i="25" s="1"/>
  <c r="DA596" i="25" s="1"/>
  <c r="BZ712" i="25"/>
  <c r="BS746" i="25"/>
  <c r="BS736" i="25"/>
  <c r="BS729" i="25"/>
  <c r="BS690" i="25"/>
  <c r="BS675" i="25"/>
  <c r="BS667" i="25"/>
  <c r="BS651" i="25"/>
  <c r="BS643" i="25"/>
  <c r="BS635" i="25"/>
  <c r="BS627" i="25"/>
  <c r="BS619" i="25"/>
  <c r="BS610" i="25"/>
  <c r="BS589" i="25"/>
  <c r="BS586" i="25"/>
  <c r="BS582" i="25"/>
  <c r="BS579" i="25"/>
  <c r="BS558" i="25"/>
  <c r="BS560" i="25"/>
  <c r="BY745" i="25"/>
  <c r="CA745" i="25" s="1"/>
  <c r="BZ661" i="25"/>
  <c r="BZ621" i="25"/>
  <c r="BZ598" i="25"/>
  <c r="BZ574" i="25"/>
  <c r="BZ734" i="25"/>
  <c r="BY726" i="25"/>
  <c r="CA726" i="25" s="1"/>
  <c r="BZ717" i="25"/>
  <c r="BZ684" i="25"/>
  <c r="BZ633" i="25"/>
  <c r="BY608" i="25"/>
  <c r="CA608" i="25" s="1"/>
  <c r="BY569" i="25"/>
  <c r="CA569" i="25" s="1"/>
  <c r="BY547" i="25"/>
  <c r="CA547" i="25" s="1"/>
  <c r="BZ699" i="25"/>
  <c r="BY580" i="25"/>
  <c r="CA580" i="25" s="1"/>
  <c r="BZ677" i="25"/>
  <c r="BZ612" i="25"/>
  <c r="BY598" i="25"/>
  <c r="CA598" i="25" s="1"/>
  <c r="BY581" i="25"/>
  <c r="CA581" i="25" s="1"/>
  <c r="BS665" i="25"/>
  <c r="BS745" i="25"/>
  <c r="BS738" i="25"/>
  <c r="BS727" i="25"/>
  <c r="BS699" i="25"/>
  <c r="BS677" i="25"/>
  <c r="BS669" i="25"/>
  <c r="BS637" i="25"/>
  <c r="BS612" i="25"/>
  <c r="BS604" i="25"/>
  <c r="BS598" i="25"/>
  <c r="BS574" i="25"/>
  <c r="BY672" i="25"/>
  <c r="CA672" i="25" s="1"/>
  <c r="BZ656" i="25"/>
  <c r="BZ632" i="25"/>
  <c r="BY553" i="25"/>
  <c r="CA553" i="25" s="1"/>
  <c r="BY713" i="25"/>
  <c r="CA713" i="25" s="1"/>
  <c r="BY693" i="25"/>
  <c r="CA693" i="25" s="1"/>
  <c r="BZ660" i="25"/>
  <c r="BY572" i="25"/>
  <c r="CA572" i="25" s="1"/>
  <c r="BS668" i="25"/>
  <c r="BZ683" i="25"/>
  <c r="BY658" i="25"/>
  <c r="CA658" i="25" s="1"/>
  <c r="BY704" i="25"/>
  <c r="CA704" i="25" s="1"/>
  <c r="BZ733" i="25"/>
  <c r="BY733" i="25"/>
  <c r="CA733" i="25" s="1"/>
  <c r="BZ725" i="25"/>
  <c r="BY705" i="25"/>
  <c r="CA705" i="25" s="1"/>
  <c r="BZ705" i="25"/>
  <c r="BY695" i="25"/>
  <c r="CA695" i="25" s="1"/>
  <c r="BY664" i="25"/>
  <c r="CA664" i="25" s="1"/>
  <c r="BY607" i="25"/>
  <c r="CA607" i="25" s="1"/>
  <c r="BY599" i="25"/>
  <c r="CA599" i="25" s="1"/>
  <c r="BZ576" i="25"/>
  <c r="BY576" i="25"/>
  <c r="CA576" i="25" s="1"/>
  <c r="BY568" i="25"/>
  <c r="CA568" i="25" s="1"/>
  <c r="BZ551" i="25"/>
  <c r="BY546" i="25"/>
  <c r="CA546" i="25" s="1"/>
  <c r="BZ730" i="25"/>
  <c r="BZ668" i="25"/>
  <c r="BZ652" i="25"/>
  <c r="BY644" i="25"/>
  <c r="CA644" i="25" s="1"/>
  <c r="BZ620" i="25"/>
  <c r="BY603" i="25"/>
  <c r="CA603" i="25" s="1"/>
  <c r="BZ603" i="25"/>
  <c r="BZ587" i="25"/>
  <c r="BZ562" i="25"/>
  <c r="BS734" i="25"/>
  <c r="BZ724" i="25"/>
  <c r="BY718" i="25"/>
  <c r="CA718" i="25" s="1"/>
  <c r="BZ707" i="25"/>
  <c r="BY618" i="25"/>
  <c r="CA618" i="25" s="1"/>
  <c r="BZ609" i="25"/>
  <c r="BZ702" i="25"/>
  <c r="BY739" i="25"/>
  <c r="CA739" i="25" s="1"/>
  <c r="BZ700" i="25"/>
  <c r="BY680" i="25"/>
  <c r="CA680" i="25" s="1"/>
  <c r="BZ622" i="25"/>
  <c r="BY573" i="25"/>
  <c r="CA573" i="25" s="1"/>
  <c r="BZ744" i="25"/>
  <c r="BZ728" i="25"/>
  <c r="BZ682" i="25"/>
  <c r="BZ650" i="25"/>
  <c r="BZ618" i="25"/>
  <c r="BY554" i="25"/>
  <c r="CA554" i="25" s="1"/>
  <c r="BZ548" i="25"/>
  <c r="CX724" i="25"/>
  <c r="CY724" i="25" s="1"/>
  <c r="CZ724" i="25" s="1"/>
  <c r="DA724" i="25" s="1"/>
  <c r="CX728" i="25"/>
  <c r="CY728" i="25" s="1"/>
  <c r="CZ728" i="25" s="1"/>
  <c r="DA728" i="25" s="1"/>
  <c r="CX718" i="25"/>
  <c r="CY718" i="25" s="1"/>
  <c r="CZ718" i="25" s="1"/>
  <c r="DA718" i="25" s="1"/>
  <c r="CX707" i="25"/>
  <c r="CY707" i="25" s="1"/>
  <c r="CZ707" i="25" s="1"/>
  <c r="DA707" i="25" s="1"/>
  <c r="CX691" i="25"/>
  <c r="CY691" i="25" s="1"/>
  <c r="CZ691" i="25" s="1"/>
  <c r="DA691" i="25" s="1"/>
  <c r="CX689" i="25"/>
  <c r="CY689" i="25" s="1"/>
  <c r="CZ689" i="25" s="1"/>
  <c r="DA689" i="25" s="1"/>
  <c r="CX682" i="25"/>
  <c r="CY682" i="25" s="1"/>
  <c r="CZ682" i="25" s="1"/>
  <c r="DA682" i="25" s="1"/>
  <c r="CX674" i="25"/>
  <c r="CY674" i="25" s="1"/>
  <c r="CZ674" i="25" s="1"/>
  <c r="DA674" i="25" s="1"/>
  <c r="CX666" i="25"/>
  <c r="CY666" i="25" s="1"/>
  <c r="CZ666" i="25" s="1"/>
  <c r="DA666" i="25" s="1"/>
  <c r="CX688" i="25"/>
  <c r="CY688" i="25" s="1"/>
  <c r="CZ688" i="25" s="1"/>
  <c r="DA688" i="25" s="1"/>
  <c r="CX731" i="25"/>
  <c r="CY731" i="25" s="1"/>
  <c r="CZ731" i="25" s="1"/>
  <c r="DA731" i="25" s="1"/>
  <c r="CX657" i="25"/>
  <c r="CY657" i="25" s="1"/>
  <c r="CZ657" i="25" s="1"/>
  <c r="DA657" i="25" s="1"/>
  <c r="CX622" i="25"/>
  <c r="CY622" i="25" s="1"/>
  <c r="CZ622" i="25" s="1"/>
  <c r="DA622" i="25" s="1"/>
  <c r="CX597" i="25"/>
  <c r="CY597" i="25" s="1"/>
  <c r="CZ597" i="25" s="1"/>
  <c r="DA597" i="25" s="1"/>
  <c r="CX573" i="25"/>
  <c r="CY573" i="25" s="1"/>
  <c r="CZ573" i="25" s="1"/>
  <c r="DA573" i="25" s="1"/>
  <c r="BY685" i="25"/>
  <c r="CA685" i="25" s="1"/>
  <c r="BY670" i="25"/>
  <c r="CA670" i="25" s="1"/>
  <c r="BZ638" i="25"/>
  <c r="BY597" i="25"/>
  <c r="CA597" i="25" s="1"/>
  <c r="CX743" i="25"/>
  <c r="CY743" i="25" s="1"/>
  <c r="CZ743" i="25" s="1"/>
  <c r="DA743" i="25" s="1"/>
  <c r="CX734" i="25"/>
  <c r="CY734" i="25" s="1"/>
  <c r="CZ734" i="25" s="1"/>
  <c r="DA734" i="25" s="1"/>
  <c r="CX726" i="25"/>
  <c r="CY726" i="25" s="1"/>
  <c r="CZ726" i="25" s="1"/>
  <c r="DA726" i="25" s="1"/>
  <c r="CX717" i="25"/>
  <c r="CY717" i="25" s="1"/>
  <c r="CZ717" i="25" s="1"/>
  <c r="DA717" i="25" s="1"/>
  <c r="CX706" i="25"/>
  <c r="CY706" i="25" s="1"/>
  <c r="CZ706" i="25" s="1"/>
  <c r="DA706" i="25" s="1"/>
  <c r="CX696" i="25"/>
  <c r="CY696" i="25" s="1"/>
  <c r="CZ696" i="25" s="1"/>
  <c r="DA696" i="25" s="1"/>
  <c r="CX648" i="25"/>
  <c r="CY648" i="25" s="1"/>
  <c r="CZ648" i="25" s="1"/>
  <c r="DA648" i="25" s="1"/>
  <c r="CX681" i="25"/>
  <c r="CY681" i="25" s="1"/>
  <c r="CZ681" i="25" s="1"/>
  <c r="DA681" i="25" s="1"/>
  <c r="CX673" i="25"/>
  <c r="CY673" i="25" s="1"/>
  <c r="CZ673" i="25" s="1"/>
  <c r="DA673" i="25" s="1"/>
  <c r="CX665" i="25"/>
  <c r="CY665" i="25" s="1"/>
  <c r="CZ665" i="25" s="1"/>
  <c r="DA665" i="25" s="1"/>
  <c r="CX684" i="25"/>
  <c r="CY684" i="25" s="1"/>
  <c r="CZ684" i="25" s="1"/>
  <c r="DA684" i="25" s="1"/>
  <c r="CX649" i="25"/>
  <c r="CY649" i="25" s="1"/>
  <c r="CZ649" i="25" s="1"/>
  <c r="DA649" i="25" s="1"/>
  <c r="CX641" i="25"/>
  <c r="CY641" i="25" s="1"/>
  <c r="CZ641" i="25" s="1"/>
  <c r="DA641" i="25" s="1"/>
  <c r="CX633" i="25"/>
  <c r="CY633" i="25" s="1"/>
  <c r="CZ633" i="25" s="1"/>
  <c r="DA633" i="25" s="1"/>
  <c r="CX625" i="25"/>
  <c r="CY625" i="25" s="1"/>
  <c r="CZ625" i="25" s="1"/>
  <c r="DA625" i="25" s="1"/>
  <c r="CX617" i="25"/>
  <c r="CY617" i="25" s="1"/>
  <c r="CZ617" i="25" s="1"/>
  <c r="DA617" i="25" s="1"/>
  <c r="CX608" i="25"/>
  <c r="CY608" i="25" s="1"/>
  <c r="CZ608" i="25" s="1"/>
  <c r="DA608" i="25" s="1"/>
  <c r="CX600" i="25"/>
  <c r="CY600" i="25" s="1"/>
  <c r="CZ600" i="25" s="1"/>
  <c r="DA600" i="25" s="1"/>
  <c r="CX611" i="25"/>
  <c r="CY611" i="25" s="1"/>
  <c r="CZ611" i="25" s="1"/>
  <c r="DA611" i="25" s="1"/>
  <c r="CX698" i="25"/>
  <c r="CY698" i="25" s="1"/>
  <c r="CZ698" i="25" s="1"/>
  <c r="DA698" i="25" s="1"/>
  <c r="CX577" i="25"/>
  <c r="CY577" i="25" s="1"/>
  <c r="CZ577" i="25" s="1"/>
  <c r="DA577" i="25" s="1"/>
  <c r="CX569" i="25"/>
  <c r="CY569" i="25" s="1"/>
  <c r="CZ569" i="25" s="1"/>
  <c r="DA569" i="25" s="1"/>
  <c r="CX561" i="25"/>
  <c r="CY561" i="25" s="1"/>
  <c r="CZ561" i="25" s="1"/>
  <c r="DA561" i="25" s="1"/>
  <c r="CX547" i="25"/>
  <c r="CY547" i="25" s="1"/>
  <c r="CZ547" i="25" s="1"/>
  <c r="DA547" i="25" s="1"/>
  <c r="CX721" i="25"/>
  <c r="CY721" i="25" s="1"/>
  <c r="CZ721" i="25" s="1"/>
  <c r="DA721" i="25" s="1"/>
  <c r="CX699" i="25"/>
  <c r="CY699" i="25" s="1"/>
  <c r="CZ699" i="25" s="1"/>
  <c r="DA699" i="25" s="1"/>
  <c r="CX692" i="25"/>
  <c r="CY692" i="25" s="1"/>
  <c r="CZ692" i="25" s="1"/>
  <c r="DA692" i="25" s="1"/>
  <c r="CX580" i="25"/>
  <c r="CY580" i="25" s="1"/>
  <c r="CZ580" i="25" s="1"/>
  <c r="DA580" i="25" s="1"/>
  <c r="CX669" i="25"/>
  <c r="CY669" i="25" s="1"/>
  <c r="CZ669" i="25" s="1"/>
  <c r="DA669" i="25" s="1"/>
  <c r="CX629" i="25"/>
  <c r="CY629" i="25" s="1"/>
  <c r="CZ629" i="25" s="1"/>
  <c r="DA629" i="25" s="1"/>
  <c r="CX598" i="25"/>
  <c r="CY598" i="25" s="1"/>
  <c r="CZ598" i="25" s="1"/>
  <c r="DA598" i="25" s="1"/>
  <c r="CX581" i="25"/>
  <c r="CY581" i="25" s="1"/>
  <c r="CZ581" i="25" s="1"/>
  <c r="DA581" i="25" s="1"/>
  <c r="CX563" i="25"/>
  <c r="CY563" i="25" s="1"/>
  <c r="CZ563" i="25" s="1"/>
  <c r="DA563" i="25" s="1"/>
  <c r="CX557" i="25"/>
  <c r="CY557" i="25" s="1"/>
  <c r="CZ557" i="25" s="1"/>
  <c r="DA557" i="25" s="1"/>
  <c r="BZ706" i="25"/>
  <c r="BY706" i="25"/>
  <c r="CA706" i="25" s="1"/>
  <c r="BY648" i="25"/>
  <c r="CA648" i="25" s="1"/>
  <c r="BZ665" i="25"/>
  <c r="BY625" i="25"/>
  <c r="CA625" i="25" s="1"/>
  <c r="BZ600" i="25"/>
  <c r="BZ698" i="25"/>
  <c r="BY577" i="25"/>
  <c r="CA577" i="25" s="1"/>
  <c r="BZ745" i="25"/>
  <c r="BY738" i="25"/>
  <c r="CA738" i="25" s="1"/>
  <c r="BY710" i="25"/>
  <c r="CA710" i="25" s="1"/>
  <c r="BZ580" i="25"/>
  <c r="BZ669" i="25"/>
  <c r="BY669" i="25"/>
  <c r="CA669" i="25" s="1"/>
  <c r="BY645" i="25"/>
  <c r="CA645" i="25" s="1"/>
  <c r="BZ637" i="25"/>
  <c r="BY621" i="25"/>
  <c r="CA621" i="25" s="1"/>
  <c r="BZ563" i="25"/>
  <c r="BY557" i="25"/>
  <c r="CA557" i="25" s="1"/>
  <c r="BS724" i="25"/>
  <c r="BS728" i="25"/>
  <c r="BS689" i="25"/>
  <c r="BS682" i="25"/>
  <c r="BS688" i="25"/>
  <c r="BS626" i="25"/>
  <c r="BS618" i="25"/>
  <c r="BS613" i="25"/>
  <c r="BS556" i="25"/>
  <c r="BS554" i="25"/>
  <c r="BY582" i="25"/>
  <c r="CA582" i="25" s="1"/>
  <c r="BZ694" i="25"/>
  <c r="BZ679" i="25"/>
  <c r="BZ559" i="25"/>
  <c r="BY729" i="25"/>
  <c r="CA729" i="25" s="1"/>
  <c r="BY643" i="25"/>
  <c r="CA643" i="25" s="1"/>
  <c r="BZ720" i="25"/>
  <c r="BS706" i="25"/>
  <c r="BS696" i="25"/>
  <c r="BS648" i="25"/>
  <c r="BS641" i="25"/>
  <c r="BS633" i="25"/>
  <c r="BS625" i="25"/>
  <c r="BS577" i="25"/>
  <c r="BS569" i="25"/>
  <c r="BS561" i="25"/>
  <c r="BY728" i="25"/>
  <c r="CA728" i="25" s="1"/>
  <c r="BY682" i="25"/>
  <c r="CA682" i="25" s="1"/>
  <c r="BY585" i="25"/>
  <c r="CA585" i="25" s="1"/>
  <c r="BS704" i="25"/>
  <c r="BS733" i="25"/>
  <c r="BS725" i="25"/>
  <c r="BS714" i="25"/>
  <c r="BS705" i="25"/>
  <c r="BS695" i="25"/>
  <c r="BS687" i="25"/>
  <c r="BS566" i="25"/>
  <c r="BS664" i="25"/>
  <c r="BS656" i="25"/>
  <c r="BS584" i="25"/>
  <c r="BS640" i="25"/>
  <c r="BS632" i="25"/>
  <c r="BS624" i="25"/>
  <c r="BS616" i="25"/>
  <c r="BS599" i="25"/>
  <c r="BS594" i="25"/>
  <c r="BS697" i="25"/>
  <c r="BS576" i="25"/>
  <c r="BS568" i="25"/>
  <c r="BS551" i="25"/>
  <c r="BS553" i="25"/>
  <c r="BS747" i="25"/>
  <c r="BS737" i="25"/>
  <c r="BS730" i="25"/>
  <c r="BS713" i="25"/>
  <c r="BS709" i="25"/>
  <c r="BS693" i="25"/>
  <c r="BS654" i="25"/>
  <c r="BS683" i="25"/>
  <c r="BS676" i="25"/>
  <c r="BS660" i="25"/>
  <c r="BS652" i="25"/>
  <c r="BS644" i="25"/>
  <c r="BS636" i="25"/>
  <c r="BS628" i="25"/>
  <c r="BS620" i="25"/>
  <c r="BS590" i="25"/>
  <c r="BS603" i="25"/>
  <c r="BS595" i="25"/>
  <c r="BS587" i="25"/>
  <c r="BS658" i="25"/>
  <c r="BS572" i="25"/>
  <c r="BS562" i="25"/>
  <c r="BS564" i="25"/>
  <c r="BS550" i="25"/>
  <c r="BY684" i="25"/>
  <c r="CA684" i="25" s="1"/>
  <c r="BY611" i="25"/>
  <c r="CA611" i="25" s="1"/>
  <c r="BY629" i="25"/>
  <c r="CA629" i="25" s="1"/>
  <c r="BY563" i="25"/>
  <c r="CA563" i="25" s="1"/>
  <c r="BZ721" i="25"/>
  <c r="BY699" i="25"/>
  <c r="CA699" i="25" s="1"/>
  <c r="BZ653" i="25"/>
  <c r="BY637" i="25"/>
  <c r="CA637" i="25" s="1"/>
  <c r="BZ596" i="25"/>
  <c r="BY574" i="25"/>
  <c r="CA574" i="25" s="1"/>
  <c r="BY734" i="25"/>
  <c r="CA734" i="25" s="1"/>
  <c r="BZ648" i="25"/>
  <c r="BY665" i="25"/>
  <c r="CA665" i="25" s="1"/>
  <c r="BZ625" i="25"/>
  <c r="BY600" i="25"/>
  <c r="CA600" i="25" s="1"/>
  <c r="BZ561" i="25"/>
  <c r="BS720" i="25"/>
  <c r="BS740" i="25"/>
  <c r="BS732" i="25"/>
  <c r="BS723" i="25"/>
  <c r="BS712" i="25"/>
  <c r="BS701" i="25"/>
  <c r="BS694" i="25"/>
  <c r="BS686" i="25"/>
  <c r="BS679" i="25"/>
  <c r="BS671" i="25"/>
  <c r="BS663" i="25"/>
  <c r="BS655" i="25"/>
  <c r="BS583" i="25"/>
  <c r="BS639" i="25"/>
  <c r="BS631" i="25"/>
  <c r="BS623" i="25"/>
  <c r="BS615" i="25"/>
  <c r="BS606" i="25"/>
  <c r="BS571" i="25"/>
  <c r="BS593" i="25"/>
  <c r="BS588" i="25"/>
  <c r="BS575" i="25"/>
  <c r="BS567" i="25"/>
  <c r="BS559" i="25"/>
  <c r="BS555" i="25"/>
  <c r="BS545" i="25"/>
  <c r="CM702" i="25"/>
  <c r="CS702" i="25" s="1"/>
  <c r="CN702" i="25"/>
  <c r="CM739" i="25"/>
  <c r="CS739" i="25" s="1"/>
  <c r="CN739" i="25"/>
  <c r="CM731" i="25"/>
  <c r="CS731" i="25" s="1"/>
  <c r="CN731" i="25"/>
  <c r="CM722" i="25"/>
  <c r="CS722" i="25" s="1"/>
  <c r="CN722" i="25"/>
  <c r="CN711" i="25"/>
  <c r="CM711" i="25"/>
  <c r="CS711" i="25" s="1"/>
  <c r="CN700" i="25"/>
  <c r="CM700" i="25"/>
  <c r="CS700" i="25" s="1"/>
  <c r="CN657" i="25"/>
  <c r="CM657" i="25"/>
  <c r="CS657" i="25" s="1"/>
  <c r="CO685" i="25"/>
  <c r="CN685" i="25"/>
  <c r="CM685" i="25"/>
  <c r="CS685" i="25" s="1"/>
  <c r="CM678" i="25"/>
  <c r="CS678" i="25" s="1"/>
  <c r="CN678" i="25"/>
  <c r="CM670" i="25"/>
  <c r="CS670" i="25" s="1"/>
  <c r="CN670" i="25"/>
  <c r="CN662" i="25"/>
  <c r="CM662" i="25"/>
  <c r="CS662" i="25" s="1"/>
  <c r="CM680" i="25"/>
  <c r="CS680" i="25" s="1"/>
  <c r="CN680" i="25"/>
  <c r="CM646" i="25"/>
  <c r="CS646" i="25" s="1"/>
  <c r="CN646" i="25"/>
  <c r="CN638" i="25"/>
  <c r="CM638" i="25"/>
  <c r="CS638" i="25" s="1"/>
  <c r="CM630" i="25"/>
  <c r="CS630" i="25" s="1"/>
  <c r="CN630" i="25"/>
  <c r="CN622" i="25"/>
  <c r="CM622" i="25"/>
  <c r="CS622" i="25" s="1"/>
  <c r="CM591" i="25"/>
  <c r="CS591" i="25" s="1"/>
  <c r="CN591" i="25"/>
  <c r="CN605" i="25"/>
  <c r="CM605" i="25"/>
  <c r="CS605" i="25" s="1"/>
  <c r="CN597" i="25"/>
  <c r="CM597" i="25"/>
  <c r="CS597" i="25" s="1"/>
  <c r="CM592" i="25"/>
  <c r="CS592" i="25" s="1"/>
  <c r="CN592" i="25"/>
  <c r="CN578" i="25"/>
  <c r="CM578" i="25"/>
  <c r="CS578" i="25" s="1"/>
  <c r="CM565" i="25"/>
  <c r="CS565" i="25" s="1"/>
  <c r="CN565" i="25"/>
  <c r="CM573" i="25"/>
  <c r="CS573" i="25" s="1"/>
  <c r="CN573" i="25"/>
  <c r="CM552" i="25"/>
  <c r="CS552" i="25" s="1"/>
  <c r="CN552" i="25"/>
  <c r="CM745" i="25"/>
  <c r="CS745" i="25" s="1"/>
  <c r="CN745" i="25"/>
  <c r="CM738" i="25"/>
  <c r="CS738" i="25" s="1"/>
  <c r="CN738" i="25"/>
  <c r="CN727" i="25"/>
  <c r="CM727" i="25"/>
  <c r="CS727" i="25" s="1"/>
  <c r="CM721" i="25"/>
  <c r="CS721" i="25" s="1"/>
  <c r="CN721" i="25"/>
  <c r="CN710" i="25"/>
  <c r="CM710" i="25"/>
  <c r="CS710" i="25" s="1"/>
  <c r="CM699" i="25"/>
  <c r="CS699" i="25" s="1"/>
  <c r="CN699" i="25"/>
  <c r="CN692" i="25"/>
  <c r="CM692" i="25"/>
  <c r="CS692" i="25" s="1"/>
  <c r="CN580" i="25"/>
  <c r="CM580" i="25"/>
  <c r="CS580" i="25" s="1"/>
  <c r="CM677" i="25"/>
  <c r="CS677" i="25" s="1"/>
  <c r="CN677" i="25"/>
  <c r="CM669" i="25"/>
  <c r="CS669" i="25" s="1"/>
  <c r="CN669" i="25"/>
  <c r="CM661" i="25"/>
  <c r="CS661" i="25" s="1"/>
  <c r="CN661" i="25"/>
  <c r="CM653" i="25"/>
  <c r="CS653" i="25" s="1"/>
  <c r="CN653" i="25"/>
  <c r="CM645" i="25"/>
  <c r="CS645" i="25" s="1"/>
  <c r="CN645" i="25"/>
  <c r="CN637" i="25"/>
  <c r="CM637" i="25"/>
  <c r="CS637" i="25" s="1"/>
  <c r="CN629" i="25"/>
  <c r="CM629" i="25"/>
  <c r="CS629" i="25" s="1"/>
  <c r="CN621" i="25"/>
  <c r="CM621" i="25"/>
  <c r="CS621" i="25" s="1"/>
  <c r="CN612" i="25"/>
  <c r="CM612" i="25"/>
  <c r="CS612" i="25" s="1"/>
  <c r="CM604" i="25"/>
  <c r="CS604" i="25" s="1"/>
  <c r="CN604" i="25"/>
  <c r="CM598" i="25"/>
  <c r="CS598" i="25" s="1"/>
  <c r="CN598" i="25"/>
  <c r="CM596" i="25"/>
  <c r="CS596" i="25" s="1"/>
  <c r="CN596" i="25"/>
  <c r="CM581" i="25"/>
  <c r="CS581" i="25" s="1"/>
  <c r="CN581" i="25"/>
  <c r="CM574" i="25"/>
  <c r="CS574" i="25" s="1"/>
  <c r="CN574" i="25"/>
  <c r="CM563" i="25"/>
  <c r="CS563" i="25" s="1"/>
  <c r="CN563" i="25"/>
  <c r="CM557" i="25"/>
  <c r="CS557" i="25" s="1"/>
  <c r="CN557" i="25"/>
  <c r="CM747" i="25"/>
  <c r="CS747" i="25" s="1"/>
  <c r="CN747" i="25"/>
  <c r="CM737" i="25"/>
  <c r="CS737" i="25" s="1"/>
  <c r="CN737" i="25"/>
  <c r="CM730" i="25"/>
  <c r="CS730" i="25" s="1"/>
  <c r="CN730" i="25"/>
  <c r="CM713" i="25"/>
  <c r="CS713" i="25" s="1"/>
  <c r="CN713" i="25"/>
  <c r="CM709" i="25"/>
  <c r="CS709" i="25" s="1"/>
  <c r="CN709" i="25"/>
  <c r="CQ693" i="25"/>
  <c r="CR693" i="25" s="1"/>
  <c r="CM693" i="25"/>
  <c r="CS693" i="25" s="1"/>
  <c r="CN693" i="25"/>
  <c r="CM654" i="25"/>
  <c r="CS654" i="25" s="1"/>
  <c r="CN654" i="25"/>
  <c r="CM683" i="25"/>
  <c r="CS683" i="25" s="1"/>
  <c r="CN683" i="25"/>
  <c r="CM676" i="25"/>
  <c r="CS676" i="25" s="1"/>
  <c r="CN676" i="25"/>
  <c r="CM668" i="25"/>
  <c r="CS668" i="25" s="1"/>
  <c r="CN668" i="25"/>
  <c r="CM660" i="25"/>
  <c r="CS660" i="25" s="1"/>
  <c r="CN660" i="25"/>
  <c r="CM652" i="25"/>
  <c r="CS652" i="25" s="1"/>
  <c r="CN652" i="25"/>
  <c r="CM644" i="25"/>
  <c r="CS644" i="25" s="1"/>
  <c r="CN644" i="25"/>
  <c r="CQ636" i="25"/>
  <c r="CR636" i="25" s="1"/>
  <c r="CM636" i="25"/>
  <c r="CS636" i="25" s="1"/>
  <c r="CN636" i="25"/>
  <c r="CM628" i="25"/>
  <c r="CS628" i="25" s="1"/>
  <c r="CN628" i="25"/>
  <c r="CM620" i="25"/>
  <c r="CS620" i="25" s="1"/>
  <c r="CN620" i="25"/>
  <c r="CM590" i="25"/>
  <c r="CS590" i="25" s="1"/>
  <c r="CN590" i="25"/>
  <c r="CM603" i="25"/>
  <c r="CS603" i="25" s="1"/>
  <c r="CN603" i="25"/>
  <c r="CM595" i="25"/>
  <c r="CS595" i="25" s="1"/>
  <c r="CN595" i="25"/>
  <c r="CM587" i="25"/>
  <c r="CS587" i="25" s="1"/>
  <c r="CN587" i="25"/>
  <c r="CM658" i="25"/>
  <c r="CS658" i="25" s="1"/>
  <c r="CN658" i="25"/>
  <c r="CQ572" i="25"/>
  <c r="CR572" i="25" s="1"/>
  <c r="CM572" i="25"/>
  <c r="CS572" i="25" s="1"/>
  <c r="CN572" i="25"/>
  <c r="CM562" i="25"/>
  <c r="CS562" i="25" s="1"/>
  <c r="CN562" i="25"/>
  <c r="CM564" i="25"/>
  <c r="CS564" i="25" s="1"/>
  <c r="CN564" i="25"/>
  <c r="CM550" i="25"/>
  <c r="CS550" i="25" s="1"/>
  <c r="CN550" i="25"/>
  <c r="CX746" i="25"/>
  <c r="CY746" i="25" s="1"/>
  <c r="CZ746" i="25" s="1"/>
  <c r="DA746" i="25" s="1"/>
  <c r="CX736" i="25"/>
  <c r="CY736" i="25" s="1"/>
  <c r="CZ736" i="25" s="1"/>
  <c r="DA736" i="25" s="1"/>
  <c r="CX729" i="25"/>
  <c r="CY729" i="25" s="1"/>
  <c r="CZ729" i="25" s="1"/>
  <c r="DA729" i="25" s="1"/>
  <c r="CX708" i="25"/>
  <c r="CY708" i="25" s="1"/>
  <c r="CZ708" i="25" s="1"/>
  <c r="DA708" i="25" s="1"/>
  <c r="CX690" i="25"/>
  <c r="CY690" i="25" s="1"/>
  <c r="CZ690" i="25" s="1"/>
  <c r="DA690" i="25" s="1"/>
  <c r="CX675" i="25"/>
  <c r="CY675" i="25" s="1"/>
  <c r="CZ675" i="25" s="1"/>
  <c r="DA675" i="25" s="1"/>
  <c r="CX659" i="25"/>
  <c r="CY659" i="25" s="1"/>
  <c r="CZ659" i="25" s="1"/>
  <c r="DA659" i="25" s="1"/>
  <c r="CX643" i="25"/>
  <c r="CY643" i="25" s="1"/>
  <c r="CZ643" i="25" s="1"/>
  <c r="DA643" i="25" s="1"/>
  <c r="CX635" i="25"/>
  <c r="CY635" i="25" s="1"/>
  <c r="CZ635" i="25" s="1"/>
  <c r="DA635" i="25" s="1"/>
  <c r="CX627" i="25"/>
  <c r="CY627" i="25" s="1"/>
  <c r="CZ627" i="25" s="1"/>
  <c r="DA627" i="25" s="1"/>
  <c r="CX619" i="25"/>
  <c r="CY619" i="25" s="1"/>
  <c r="CZ619" i="25" s="1"/>
  <c r="DA619" i="25" s="1"/>
  <c r="CX610" i="25"/>
  <c r="CY610" i="25" s="1"/>
  <c r="CZ610" i="25" s="1"/>
  <c r="DA610" i="25" s="1"/>
  <c r="CX589" i="25"/>
  <c r="CY589" i="25" s="1"/>
  <c r="CZ589" i="25" s="1"/>
  <c r="DA589" i="25" s="1"/>
  <c r="CN746" i="25"/>
  <c r="CM746" i="25"/>
  <c r="CS746" i="25" s="1"/>
  <c r="CM736" i="25"/>
  <c r="CS736" i="25" s="1"/>
  <c r="CN736" i="25"/>
  <c r="CM729" i="25"/>
  <c r="CS729" i="25" s="1"/>
  <c r="CN729" i="25"/>
  <c r="CN719" i="25"/>
  <c r="CM719" i="25"/>
  <c r="CS719" i="25" s="1"/>
  <c r="CN708" i="25"/>
  <c r="CM708" i="25"/>
  <c r="CS708" i="25" s="1"/>
  <c r="CM690" i="25"/>
  <c r="CS690" i="25" s="1"/>
  <c r="CN690" i="25"/>
  <c r="CN675" i="25"/>
  <c r="CM675" i="25"/>
  <c r="CS675" i="25" s="1"/>
  <c r="CM667" i="25"/>
  <c r="CS667" i="25" s="1"/>
  <c r="CN667" i="25"/>
  <c r="CM659" i="25"/>
  <c r="CS659" i="25" s="1"/>
  <c r="CN659" i="25"/>
  <c r="CM651" i="25"/>
  <c r="CS651" i="25" s="1"/>
  <c r="CN651" i="25"/>
  <c r="CN643" i="25"/>
  <c r="CM643" i="25"/>
  <c r="CS643" i="25" s="1"/>
  <c r="CN635" i="25"/>
  <c r="CM635" i="25"/>
  <c r="CS635" i="25" s="1"/>
  <c r="CM627" i="25"/>
  <c r="CS627" i="25" s="1"/>
  <c r="CN627" i="25"/>
  <c r="CM619" i="25"/>
  <c r="CS619" i="25" s="1"/>
  <c r="CN619" i="25"/>
  <c r="CN610" i="25"/>
  <c r="CM610" i="25"/>
  <c r="CS610" i="25" s="1"/>
  <c r="CM602" i="25"/>
  <c r="CS602" i="25" s="1"/>
  <c r="CN602" i="25"/>
  <c r="CN589" i="25"/>
  <c r="CM589" i="25"/>
  <c r="CS589" i="25" s="1"/>
  <c r="CM586" i="25"/>
  <c r="CS586" i="25" s="1"/>
  <c r="CN586" i="25"/>
  <c r="CM582" i="25"/>
  <c r="CS582" i="25" s="1"/>
  <c r="CN582" i="25"/>
  <c r="CM579" i="25"/>
  <c r="CS579" i="25" s="1"/>
  <c r="CN579" i="25"/>
  <c r="CM558" i="25"/>
  <c r="CS558" i="25" s="1"/>
  <c r="CN558" i="25"/>
  <c r="CM560" i="25"/>
  <c r="CS560" i="25" s="1"/>
  <c r="CN560" i="25"/>
  <c r="CN549" i="25"/>
  <c r="CM549" i="25"/>
  <c r="CS549" i="25" s="1"/>
  <c r="DB742" i="25"/>
  <c r="DB733" i="25"/>
  <c r="DB714" i="25"/>
  <c r="DB695" i="25"/>
  <c r="DB687" i="25"/>
  <c r="DB672" i="25"/>
  <c r="DB656" i="25"/>
  <c r="DB584" i="25"/>
  <c r="DB632" i="25"/>
  <c r="DB624" i="25"/>
  <c r="DB607" i="25"/>
  <c r="DB594" i="25"/>
  <c r="DB568" i="25"/>
  <c r="CN724" i="25"/>
  <c r="CM724" i="25"/>
  <c r="CS724" i="25" s="1"/>
  <c r="CM744" i="25"/>
  <c r="CS744" i="25" s="1"/>
  <c r="CN744" i="25"/>
  <c r="CN735" i="25"/>
  <c r="CM735" i="25"/>
  <c r="CS735" i="25" s="1"/>
  <c r="CQ728" i="25"/>
  <c r="CR728" i="25" s="1"/>
  <c r="CN728" i="25"/>
  <c r="CM728" i="25"/>
  <c r="CS728" i="25" s="1"/>
  <c r="CM718" i="25"/>
  <c r="CS718" i="25" s="1"/>
  <c r="CN718" i="25"/>
  <c r="CN707" i="25"/>
  <c r="CM707" i="25"/>
  <c r="CS707" i="25" s="1"/>
  <c r="CN691" i="25"/>
  <c r="CM691" i="25"/>
  <c r="CS691" i="25" s="1"/>
  <c r="CM689" i="25"/>
  <c r="CS689" i="25" s="1"/>
  <c r="CN689" i="25"/>
  <c r="CM682" i="25"/>
  <c r="CS682" i="25" s="1"/>
  <c r="CN682" i="25"/>
  <c r="CM674" i="25"/>
  <c r="CS674" i="25" s="1"/>
  <c r="CN674" i="25"/>
  <c r="CN666" i="25"/>
  <c r="CM666" i="25"/>
  <c r="CS666" i="25" s="1"/>
  <c r="CM688" i="25"/>
  <c r="CS688" i="25" s="1"/>
  <c r="CN688" i="25"/>
  <c r="CM650" i="25"/>
  <c r="CS650" i="25" s="1"/>
  <c r="CN650" i="25"/>
  <c r="CN642" i="25"/>
  <c r="CM642" i="25"/>
  <c r="CS642" i="25" s="1"/>
  <c r="CN634" i="25"/>
  <c r="CM634" i="25"/>
  <c r="CS634" i="25" s="1"/>
  <c r="CN626" i="25"/>
  <c r="CM626" i="25"/>
  <c r="CS626" i="25" s="1"/>
  <c r="CM618" i="25"/>
  <c r="CS618" i="25" s="1"/>
  <c r="CN618" i="25"/>
  <c r="CM609" i="25"/>
  <c r="CS609" i="25" s="1"/>
  <c r="CN609" i="25"/>
  <c r="CN601" i="25"/>
  <c r="CM601" i="25"/>
  <c r="CS601" i="25" s="1"/>
  <c r="CM613" i="25"/>
  <c r="CS613" i="25" s="1"/>
  <c r="CN613" i="25"/>
  <c r="CN585" i="25"/>
  <c r="CM585" i="25"/>
  <c r="CS585" i="25" s="1"/>
  <c r="CM647" i="25"/>
  <c r="CS647" i="25" s="1"/>
  <c r="CN647" i="25"/>
  <c r="CN570" i="25"/>
  <c r="CM570" i="25"/>
  <c r="CS570" i="25" s="1"/>
  <c r="CN556" i="25"/>
  <c r="CM556" i="25"/>
  <c r="CS556" i="25" s="1"/>
  <c r="CM554" i="25"/>
  <c r="CS554" i="25" s="1"/>
  <c r="CN554" i="25"/>
  <c r="CM548" i="25"/>
  <c r="CS548" i="25" s="1"/>
  <c r="CN548" i="25"/>
  <c r="CM743" i="25"/>
  <c r="CS743" i="25" s="1"/>
  <c r="CN743" i="25"/>
  <c r="CM734" i="25"/>
  <c r="CS734" i="25" s="1"/>
  <c r="CN734" i="25"/>
  <c r="CN726" i="25"/>
  <c r="CM726" i="25"/>
  <c r="CS726" i="25" s="1"/>
  <c r="CM717" i="25"/>
  <c r="CS717" i="25" s="1"/>
  <c r="CN717" i="25"/>
  <c r="CM706" i="25"/>
  <c r="CS706" i="25" s="1"/>
  <c r="CN706" i="25"/>
  <c r="CN696" i="25"/>
  <c r="CM696" i="25"/>
  <c r="CS696" i="25" s="1"/>
  <c r="CM648" i="25"/>
  <c r="CS648" i="25" s="1"/>
  <c r="CN648" i="25"/>
  <c r="CM681" i="25"/>
  <c r="CS681" i="25" s="1"/>
  <c r="CN681" i="25"/>
  <c r="CN673" i="25"/>
  <c r="CM673" i="25"/>
  <c r="CS673" i="25" s="1"/>
  <c r="CM665" i="25"/>
  <c r="CS665" i="25" s="1"/>
  <c r="CN665" i="25"/>
  <c r="CN684" i="25"/>
  <c r="CM684" i="25"/>
  <c r="CS684" i="25" s="1"/>
  <c r="CN649" i="25"/>
  <c r="CM649" i="25"/>
  <c r="CS649" i="25" s="1"/>
  <c r="CM641" i="25"/>
  <c r="CS641" i="25" s="1"/>
  <c r="CN641" i="25"/>
  <c r="CN633" i="25"/>
  <c r="CM633" i="25"/>
  <c r="CS633" i="25" s="1"/>
  <c r="CN625" i="25"/>
  <c r="CM625" i="25"/>
  <c r="CS625" i="25" s="1"/>
  <c r="CQ617" i="25"/>
  <c r="CR617" i="25" s="1"/>
  <c r="CN617" i="25"/>
  <c r="CM617" i="25"/>
  <c r="CS617" i="25" s="1"/>
  <c r="CN608" i="25"/>
  <c r="CM608" i="25"/>
  <c r="CS608" i="25" s="1"/>
  <c r="CN600" i="25"/>
  <c r="CM600" i="25"/>
  <c r="CS600" i="25" s="1"/>
  <c r="CM611" i="25"/>
  <c r="CS611" i="25" s="1"/>
  <c r="CN611" i="25"/>
  <c r="CN698" i="25"/>
  <c r="CM698" i="25"/>
  <c r="CS698" i="25" s="1"/>
  <c r="CM577" i="25"/>
  <c r="CS577" i="25" s="1"/>
  <c r="CN577" i="25"/>
  <c r="CP569" i="25"/>
  <c r="CM569" i="25"/>
  <c r="CS569" i="25" s="1"/>
  <c r="CN569" i="25"/>
  <c r="CM561" i="25"/>
  <c r="CS561" i="25" s="1"/>
  <c r="CN561" i="25"/>
  <c r="CM547" i="25"/>
  <c r="CS547" i="25" s="1"/>
  <c r="CN547" i="25"/>
  <c r="CN704" i="25"/>
  <c r="CM704" i="25"/>
  <c r="CS704" i="25" s="1"/>
  <c r="CN742" i="25"/>
  <c r="CM742" i="25"/>
  <c r="CS742" i="25" s="1"/>
  <c r="CN733" i="25"/>
  <c r="CM733" i="25"/>
  <c r="CS733" i="25" s="1"/>
  <c r="CN725" i="25"/>
  <c r="CM725" i="25"/>
  <c r="CS725" i="25" s="1"/>
  <c r="CN714" i="25"/>
  <c r="CM714" i="25"/>
  <c r="CS714" i="25" s="1"/>
  <c r="CN705" i="25"/>
  <c r="CM705" i="25"/>
  <c r="CS705" i="25" s="1"/>
  <c r="CN695" i="25"/>
  <c r="CM695" i="25"/>
  <c r="CS695" i="25" s="1"/>
  <c r="CN687" i="25"/>
  <c r="CM687" i="25"/>
  <c r="CS687" i="25" s="1"/>
  <c r="CN566" i="25"/>
  <c r="CM566" i="25"/>
  <c r="CS566" i="25" s="1"/>
  <c r="CN672" i="25"/>
  <c r="CM672" i="25"/>
  <c r="CS672" i="25" s="1"/>
  <c r="CN664" i="25"/>
  <c r="CM664" i="25"/>
  <c r="CS664" i="25" s="1"/>
  <c r="CN656" i="25"/>
  <c r="CM656" i="25"/>
  <c r="CS656" i="25" s="1"/>
  <c r="CN584" i="25"/>
  <c r="CM584" i="25"/>
  <c r="CS584" i="25" s="1"/>
  <c r="CN640" i="25"/>
  <c r="CM640" i="25"/>
  <c r="CS640" i="25" s="1"/>
  <c r="CN632" i="25"/>
  <c r="CM632" i="25"/>
  <c r="CS632" i="25" s="1"/>
  <c r="CN624" i="25"/>
  <c r="CM624" i="25"/>
  <c r="CS624" i="25" s="1"/>
  <c r="CN616" i="25"/>
  <c r="CM616" i="25"/>
  <c r="CS616" i="25" s="1"/>
  <c r="CN607" i="25"/>
  <c r="CM607" i="25"/>
  <c r="CS607" i="25" s="1"/>
  <c r="CN599" i="25"/>
  <c r="CM599" i="25"/>
  <c r="CS599" i="25" s="1"/>
  <c r="CN594" i="25"/>
  <c r="CM594" i="25"/>
  <c r="CS594" i="25" s="1"/>
  <c r="CN697" i="25"/>
  <c r="CM697" i="25"/>
  <c r="CS697" i="25" s="1"/>
  <c r="CN576" i="25"/>
  <c r="CM576" i="25"/>
  <c r="CS576" i="25" s="1"/>
  <c r="CN568" i="25"/>
  <c r="CM568" i="25"/>
  <c r="CS568" i="25" s="1"/>
  <c r="CN551" i="25"/>
  <c r="CM551" i="25"/>
  <c r="CS551" i="25" s="1"/>
  <c r="CN553" i="25"/>
  <c r="CM553" i="25"/>
  <c r="CS553" i="25" s="1"/>
  <c r="CN546" i="25"/>
  <c r="CM546" i="25"/>
  <c r="CS546" i="25" s="1"/>
  <c r="CM720" i="25"/>
  <c r="CS720" i="25" s="1"/>
  <c r="CN720" i="25"/>
  <c r="CN740" i="25"/>
  <c r="CM740" i="25"/>
  <c r="CS740" i="25" s="1"/>
  <c r="CM732" i="25"/>
  <c r="CS732" i="25" s="1"/>
  <c r="CN732" i="25"/>
  <c r="CM723" i="25"/>
  <c r="CS723" i="25" s="1"/>
  <c r="CN723" i="25"/>
  <c r="CN712" i="25"/>
  <c r="CM712" i="25"/>
  <c r="CS712" i="25" s="1"/>
  <c r="CM701" i="25"/>
  <c r="CS701" i="25" s="1"/>
  <c r="CN701" i="25"/>
  <c r="CN694" i="25"/>
  <c r="CM694" i="25"/>
  <c r="CS694" i="25" s="1"/>
  <c r="CM686" i="25"/>
  <c r="CS686" i="25" s="1"/>
  <c r="CN686" i="25"/>
  <c r="CM679" i="25"/>
  <c r="CS679" i="25" s="1"/>
  <c r="CN679" i="25"/>
  <c r="CM671" i="25"/>
  <c r="CS671" i="25" s="1"/>
  <c r="CN671" i="25"/>
  <c r="CN663" i="25"/>
  <c r="CM663" i="25"/>
  <c r="CS663" i="25" s="1"/>
  <c r="CM655" i="25"/>
  <c r="CS655" i="25" s="1"/>
  <c r="CN655" i="25"/>
  <c r="CN583" i="25"/>
  <c r="CM583" i="25"/>
  <c r="CS583" i="25" s="1"/>
  <c r="CN639" i="25"/>
  <c r="CM639" i="25"/>
  <c r="CS639" i="25" s="1"/>
  <c r="CN631" i="25"/>
  <c r="CM631" i="25"/>
  <c r="CS631" i="25" s="1"/>
  <c r="CM623" i="25"/>
  <c r="CS623" i="25" s="1"/>
  <c r="CN623" i="25"/>
  <c r="CN615" i="25"/>
  <c r="CM615" i="25"/>
  <c r="CS615" i="25" s="1"/>
  <c r="CN606" i="25"/>
  <c r="CM606" i="25"/>
  <c r="CS606" i="25" s="1"/>
  <c r="CN571" i="25"/>
  <c r="CM571" i="25"/>
  <c r="CS571" i="25" s="1"/>
  <c r="CM593" i="25"/>
  <c r="CS593" i="25" s="1"/>
  <c r="CN593" i="25"/>
  <c r="CM588" i="25"/>
  <c r="CS588" i="25" s="1"/>
  <c r="CN588" i="25"/>
  <c r="CM575" i="25"/>
  <c r="CS575" i="25" s="1"/>
  <c r="CN575" i="25"/>
  <c r="CM567" i="25"/>
  <c r="CS567" i="25" s="1"/>
  <c r="CN567" i="25"/>
  <c r="CN559" i="25"/>
  <c r="CM559" i="25"/>
  <c r="CS559" i="25" s="1"/>
  <c r="CM555" i="25"/>
  <c r="CS555" i="25" s="1"/>
  <c r="CN555" i="25"/>
  <c r="CN545" i="25"/>
  <c r="CM545" i="25"/>
  <c r="CS545" i="25" s="1"/>
  <c r="CX650" i="25"/>
  <c r="CY650" i="25" s="1"/>
  <c r="CZ650" i="25" s="1"/>
  <c r="DA650" i="25" s="1"/>
  <c r="CX642" i="25"/>
  <c r="CY642" i="25" s="1"/>
  <c r="CZ642" i="25" s="1"/>
  <c r="DA642" i="25" s="1"/>
  <c r="CX634" i="25"/>
  <c r="CY634" i="25" s="1"/>
  <c r="CZ634" i="25" s="1"/>
  <c r="DA634" i="25" s="1"/>
  <c r="CX626" i="25"/>
  <c r="CY626" i="25" s="1"/>
  <c r="CZ626" i="25" s="1"/>
  <c r="DA626" i="25" s="1"/>
  <c r="CX618" i="25"/>
  <c r="CY618" i="25" s="1"/>
  <c r="CZ618" i="25" s="1"/>
  <c r="DA618" i="25" s="1"/>
  <c r="CX609" i="25"/>
  <c r="CY609" i="25" s="1"/>
  <c r="CZ609" i="25" s="1"/>
  <c r="DA609" i="25" s="1"/>
  <c r="CX601" i="25"/>
  <c r="CY601" i="25" s="1"/>
  <c r="CZ601" i="25" s="1"/>
  <c r="DA601" i="25" s="1"/>
  <c r="CX613" i="25"/>
  <c r="CY613" i="25" s="1"/>
  <c r="CZ613" i="25" s="1"/>
  <c r="DA613" i="25" s="1"/>
  <c r="CX585" i="25"/>
  <c r="CY585" i="25" s="1"/>
  <c r="CZ585" i="25" s="1"/>
  <c r="DA585" i="25" s="1"/>
  <c r="CX647" i="25"/>
  <c r="CY647" i="25" s="1"/>
  <c r="CZ647" i="25" s="1"/>
  <c r="DA647" i="25" s="1"/>
  <c r="CX582" i="25"/>
  <c r="CY582" i="25" s="1"/>
  <c r="CZ582" i="25" s="1"/>
  <c r="DA582" i="25" s="1"/>
  <c r="CX579" i="25"/>
  <c r="CY579" i="25" s="1"/>
  <c r="CZ579" i="25" s="1"/>
  <c r="DA579" i="25" s="1"/>
  <c r="CX558" i="25"/>
  <c r="CY558" i="25" s="1"/>
  <c r="CZ558" i="25" s="1"/>
  <c r="DA558" i="25" s="1"/>
  <c r="CX560" i="25"/>
  <c r="CY560" i="25" s="1"/>
  <c r="CZ560" i="25" s="1"/>
  <c r="DA560" i="25" s="1"/>
  <c r="CX549" i="25"/>
  <c r="CY549" i="25" s="1"/>
  <c r="CZ549" i="25" s="1"/>
  <c r="DA549" i="25" s="1"/>
  <c r="BZ746" i="25"/>
  <c r="BY746" i="25"/>
  <c r="CA746" i="25" s="1"/>
  <c r="BZ736" i="25"/>
  <c r="BY736" i="25"/>
  <c r="CA736" i="25" s="1"/>
  <c r="BZ729" i="25"/>
  <c r="BZ719" i="25"/>
  <c r="BY719" i="25"/>
  <c r="CA719" i="25" s="1"/>
  <c r="BZ708" i="25"/>
  <c r="BY708" i="25"/>
  <c r="CA708" i="25" s="1"/>
  <c r="BZ690" i="25"/>
  <c r="BY690" i="25"/>
  <c r="CA690" i="25" s="1"/>
  <c r="BZ675" i="25"/>
  <c r="BY675" i="25"/>
  <c r="CA675" i="25" s="1"/>
  <c r="BZ667" i="25"/>
  <c r="BY667" i="25"/>
  <c r="CA667" i="25" s="1"/>
  <c r="BZ659" i="25"/>
  <c r="BZ651" i="25"/>
  <c r="BY651" i="25"/>
  <c r="CA651" i="25" s="1"/>
  <c r="BZ643" i="25"/>
  <c r="BZ635" i="25"/>
  <c r="BY635" i="25"/>
  <c r="CA635" i="25" s="1"/>
  <c r="BZ627" i="25"/>
  <c r="BY627" i="25"/>
  <c r="CA627" i="25" s="1"/>
  <c r="BZ619" i="25"/>
  <c r="BY619" i="25"/>
  <c r="CA619" i="25" s="1"/>
  <c r="BZ610" i="25"/>
  <c r="BY610" i="25"/>
  <c r="CA610" i="25" s="1"/>
  <c r="BZ602" i="25"/>
  <c r="BY602" i="25"/>
  <c r="CA602" i="25" s="1"/>
  <c r="BZ589" i="25"/>
  <c r="BY589" i="25"/>
  <c r="CA589" i="25" s="1"/>
  <c r="BZ586" i="25"/>
  <c r="BY586" i="25"/>
  <c r="CA586" i="25" s="1"/>
  <c r="BZ582" i="25"/>
  <c r="BZ579" i="25"/>
  <c r="BY579" i="25"/>
  <c r="CA579" i="25" s="1"/>
  <c r="BZ558" i="25"/>
  <c r="BY558" i="25"/>
  <c r="CA558" i="25" s="1"/>
  <c r="BZ560" i="25"/>
  <c r="BY560" i="25"/>
  <c r="CA560" i="25" s="1"/>
  <c r="BZ549" i="25"/>
  <c r="BY549" i="25"/>
  <c r="CA549" i="25" s="1"/>
  <c r="BY720" i="25"/>
  <c r="CA720" i="25" s="1"/>
  <c r="BY740" i="25"/>
  <c r="CA740" i="25" s="1"/>
  <c r="BZ740" i="25"/>
  <c r="BY732" i="25"/>
  <c r="CA732" i="25" s="1"/>
  <c r="BZ732" i="25"/>
  <c r="BY723" i="25"/>
  <c r="CA723" i="25" s="1"/>
  <c r="BY712" i="25"/>
  <c r="CA712" i="25" s="1"/>
  <c r="BY701" i="25"/>
  <c r="CA701" i="25" s="1"/>
  <c r="BZ701" i="25"/>
  <c r="BY694" i="25"/>
  <c r="CA694" i="25" s="1"/>
  <c r="BY686" i="25"/>
  <c r="CA686" i="25" s="1"/>
  <c r="BZ686" i="25"/>
  <c r="BY679" i="25"/>
  <c r="CA679" i="25" s="1"/>
  <c r="BY671" i="25"/>
  <c r="CA671" i="25" s="1"/>
  <c r="BZ671" i="25"/>
  <c r="BY663" i="25"/>
  <c r="CA663" i="25" s="1"/>
  <c r="BZ663" i="25"/>
  <c r="BY655" i="25"/>
  <c r="CA655" i="25" s="1"/>
  <c r="BZ655" i="25"/>
  <c r="BY583" i="25"/>
  <c r="CA583" i="25" s="1"/>
  <c r="BZ583" i="25"/>
  <c r="BY639" i="25"/>
  <c r="CA639" i="25" s="1"/>
  <c r="BZ639" i="25"/>
  <c r="BY631" i="25"/>
  <c r="CA631" i="25" s="1"/>
  <c r="BZ631" i="25"/>
  <c r="BY623" i="25"/>
  <c r="CA623" i="25" s="1"/>
  <c r="BY615" i="25"/>
  <c r="CA615" i="25" s="1"/>
  <c r="BZ615" i="25"/>
  <c r="BY606" i="25"/>
  <c r="CA606" i="25" s="1"/>
  <c r="BZ606" i="25"/>
  <c r="BY571" i="25"/>
  <c r="CA571" i="25" s="1"/>
  <c r="BZ571" i="25"/>
  <c r="BY593" i="25"/>
  <c r="CA593" i="25" s="1"/>
  <c r="BY588" i="25"/>
  <c r="CA588" i="25" s="1"/>
  <c r="BZ588" i="25"/>
  <c r="BY575" i="25"/>
  <c r="CA575" i="25" s="1"/>
  <c r="BZ575" i="25"/>
  <c r="BY567" i="25"/>
  <c r="CA567" i="25" s="1"/>
  <c r="BZ567" i="25"/>
  <c r="BY559" i="25"/>
  <c r="CA559" i="25" s="1"/>
  <c r="BY555" i="25"/>
  <c r="CA555" i="25" s="1"/>
  <c r="BY545" i="25"/>
  <c r="CA545" i="25" s="1"/>
  <c r="BZ545" i="25"/>
  <c r="CX570" i="25"/>
  <c r="CY570" i="25" s="1"/>
  <c r="CZ570" i="25" s="1"/>
  <c r="DA570" i="25" s="1"/>
  <c r="CX556" i="25"/>
  <c r="CY556" i="25" s="1"/>
  <c r="CZ556" i="25" s="1"/>
  <c r="DA556" i="25" s="1"/>
  <c r="CX554" i="25"/>
  <c r="CY554" i="25" s="1"/>
  <c r="CZ554" i="25" s="1"/>
  <c r="DA554" i="25" s="1"/>
  <c r="CX548" i="25"/>
  <c r="CY548" i="25" s="1"/>
  <c r="CZ548" i="25" s="1"/>
  <c r="DA548" i="25" s="1"/>
  <c r="BZ747" i="25"/>
  <c r="BY730" i="25"/>
  <c r="CA730" i="25" s="1"/>
  <c r="BZ709" i="25"/>
  <c r="BZ693" i="25"/>
  <c r="BY654" i="25"/>
  <c r="CA654" i="25" s="1"/>
  <c r="BY683" i="25"/>
  <c r="CA683" i="25" s="1"/>
  <c r="BZ676" i="25"/>
  <c r="BY660" i="25"/>
  <c r="CA660" i="25" s="1"/>
  <c r="BZ644" i="25"/>
  <c r="BZ636" i="25"/>
  <c r="BY628" i="25"/>
  <c r="CA628" i="25" s="1"/>
  <c r="BY620" i="25"/>
  <c r="CA620" i="25" s="1"/>
  <c r="BZ590" i="25"/>
  <c r="BY595" i="25"/>
  <c r="CA595" i="25" s="1"/>
  <c r="BZ658" i="25"/>
  <c r="BZ572" i="25"/>
  <c r="BY562" i="25"/>
  <c r="CA562" i="25" s="1"/>
  <c r="BY564" i="25"/>
  <c r="CA564" i="25" s="1"/>
  <c r="BZ550" i="25"/>
  <c r="BS743" i="25"/>
  <c r="BS726" i="25"/>
  <c r="BS717" i="25"/>
  <c r="BS681" i="25"/>
  <c r="BS673" i="25"/>
  <c r="BS684" i="25"/>
  <c r="BS649" i="25"/>
  <c r="BS617" i="25"/>
  <c r="BS608" i="25"/>
  <c r="BS611" i="25"/>
  <c r="BS698" i="25"/>
  <c r="BS547" i="25"/>
  <c r="BZ718" i="25"/>
  <c r="BZ595" i="25"/>
  <c r="BY709" i="25"/>
  <c r="CA709" i="25" s="1"/>
  <c r="BS742" i="25"/>
  <c r="BS672" i="25"/>
  <c r="BS607" i="25"/>
  <c r="BS546" i="25"/>
  <c r="BY702" i="25"/>
  <c r="CA702" i="25" s="1"/>
  <c r="BZ731" i="25"/>
  <c r="BZ722" i="25"/>
  <c r="BY700" i="25"/>
  <c r="CA700" i="25" s="1"/>
  <c r="BZ657" i="25"/>
  <c r="BY678" i="25"/>
  <c r="CA678" i="25" s="1"/>
  <c r="BZ662" i="25"/>
  <c r="BZ680" i="25"/>
  <c r="BY638" i="25"/>
  <c r="CA638" i="25" s="1"/>
  <c r="BZ630" i="25"/>
  <c r="BY591" i="25"/>
  <c r="CA591" i="25" s="1"/>
  <c r="BZ597" i="25"/>
  <c r="BZ592" i="25"/>
  <c r="BY578" i="25"/>
  <c r="CA578" i="25" s="1"/>
  <c r="BZ565" i="25"/>
  <c r="BY552" i="25"/>
  <c r="CA552" i="25" s="1"/>
  <c r="BY744" i="25"/>
  <c r="CA744" i="25" s="1"/>
  <c r="BZ735" i="25"/>
  <c r="BY735" i="25"/>
  <c r="CA735" i="25" s="1"/>
  <c r="BY707" i="25"/>
  <c r="CA707" i="25" s="1"/>
  <c r="BZ691" i="25"/>
  <c r="BZ689" i="25"/>
  <c r="BY674" i="25"/>
  <c r="CA674" i="25" s="1"/>
  <c r="BZ666" i="25"/>
  <c r="BY666" i="25"/>
  <c r="CA666" i="25" s="1"/>
  <c r="BY642" i="25"/>
  <c r="CA642" i="25" s="1"/>
  <c r="BZ634" i="25"/>
  <c r="BZ626" i="25"/>
  <c r="BY609" i="25"/>
  <c r="CA609" i="25" s="1"/>
  <c r="BZ601" i="25"/>
  <c r="BY601" i="25"/>
  <c r="CA601" i="25" s="1"/>
  <c r="BY647" i="25"/>
  <c r="CA647" i="25" s="1"/>
  <c r="BZ570" i="25"/>
  <c r="BZ556" i="25"/>
  <c r="BY548" i="25"/>
  <c r="CA548" i="25" s="1"/>
  <c r="BZ704" i="25"/>
  <c r="BZ742" i="25"/>
  <c r="BY725" i="25"/>
  <c r="CA725" i="25" s="1"/>
  <c r="BZ714" i="25"/>
  <c r="BY687" i="25"/>
  <c r="CA687" i="25" s="1"/>
  <c r="BZ566" i="25"/>
  <c r="BZ672" i="25"/>
  <c r="BY656" i="25"/>
  <c r="CA656" i="25" s="1"/>
  <c r="BZ584" i="25"/>
  <c r="BY624" i="25"/>
  <c r="CA624" i="25" s="1"/>
  <c r="BZ616" i="25"/>
  <c r="BZ607" i="25"/>
  <c r="BY594" i="25"/>
  <c r="CA594" i="25" s="1"/>
  <c r="BZ697" i="25"/>
  <c r="BY551" i="25"/>
  <c r="CA551" i="25" s="1"/>
  <c r="BZ553" i="25"/>
  <c r="BZ546" i="25"/>
  <c r="BS721" i="25"/>
  <c r="BS710" i="25"/>
  <c r="BS692" i="25"/>
  <c r="BS580" i="25"/>
  <c r="BS653" i="25"/>
  <c r="BS645" i="25"/>
  <c r="BS629" i="25"/>
  <c r="BS621" i="25"/>
  <c r="BS596" i="25"/>
  <c r="BS581" i="25"/>
  <c r="BS563" i="25"/>
  <c r="BS557" i="25"/>
  <c r="BZ628" i="25"/>
  <c r="BY747" i="25"/>
  <c r="CA747" i="25" s="1"/>
  <c r="BY731" i="25"/>
  <c r="CA731" i="25" s="1"/>
  <c r="BY592" i="25"/>
  <c r="CA592" i="25" s="1"/>
  <c r="BY711" i="25"/>
  <c r="CA711" i="25" s="1"/>
  <c r="BY646" i="25"/>
  <c r="CA646" i="25" s="1"/>
  <c r="BY714" i="25"/>
  <c r="CA714" i="25" s="1"/>
  <c r="BY584" i="25"/>
  <c r="CA584" i="25" s="1"/>
  <c r="BY697" i="25"/>
  <c r="CA697" i="25" s="1"/>
  <c r="CO707" i="25"/>
  <c r="CQ707" i="25"/>
  <c r="CR707" i="25" s="1"/>
  <c r="CP707" i="25"/>
  <c r="CO650" i="25"/>
  <c r="CP650" i="25"/>
  <c r="CQ650" i="25"/>
  <c r="CR650" i="25" s="1"/>
  <c r="CO613" i="25"/>
  <c r="CP613" i="25"/>
  <c r="CO746" i="25"/>
  <c r="CP746" i="25"/>
  <c r="CQ746" i="25"/>
  <c r="CR746" i="25" s="1"/>
  <c r="CP736" i="25"/>
  <c r="CQ736" i="25"/>
  <c r="CR736" i="25" s="1"/>
  <c r="CO736" i="25"/>
  <c r="CO729" i="25"/>
  <c r="CP729" i="25"/>
  <c r="CQ729" i="25"/>
  <c r="CR729" i="25" s="1"/>
  <c r="CO719" i="25"/>
  <c r="CQ719" i="25"/>
  <c r="CR719" i="25" s="1"/>
  <c r="CP719" i="25"/>
  <c r="CQ708" i="25"/>
  <c r="CR708" i="25" s="1"/>
  <c r="CP708" i="25"/>
  <c r="CO708" i="25"/>
  <c r="CP690" i="25"/>
  <c r="CO690" i="25"/>
  <c r="CQ690" i="25"/>
  <c r="CR690" i="25" s="1"/>
  <c r="CO675" i="25"/>
  <c r="CP675" i="25"/>
  <c r="CQ675" i="25"/>
  <c r="CR675" i="25" s="1"/>
  <c r="CP667" i="25"/>
  <c r="CQ667" i="25"/>
  <c r="CR667" i="25" s="1"/>
  <c r="CO667" i="25"/>
  <c r="CP659" i="25"/>
  <c r="CO659" i="25"/>
  <c r="CQ659" i="25"/>
  <c r="CR659" i="25" s="1"/>
  <c r="CP651" i="25"/>
  <c r="CO651" i="25"/>
  <c r="CQ651" i="25"/>
  <c r="CR651" i="25" s="1"/>
  <c r="CP643" i="25"/>
  <c r="CQ643" i="25"/>
  <c r="CR643" i="25" s="1"/>
  <c r="CO643" i="25"/>
  <c r="CP635" i="25"/>
  <c r="CO635" i="25"/>
  <c r="CQ635" i="25"/>
  <c r="CR635" i="25" s="1"/>
  <c r="CP627" i="25"/>
  <c r="CO627" i="25"/>
  <c r="CQ627" i="25"/>
  <c r="CR627" i="25" s="1"/>
  <c r="CP619" i="25"/>
  <c r="CO619" i="25"/>
  <c r="CQ619" i="25"/>
  <c r="CR619" i="25" s="1"/>
  <c r="CP610" i="25"/>
  <c r="CO610" i="25"/>
  <c r="CQ610" i="25"/>
  <c r="CR610" i="25" s="1"/>
  <c r="CP602" i="25"/>
  <c r="CQ602" i="25"/>
  <c r="CR602" i="25" s="1"/>
  <c r="CP589" i="25"/>
  <c r="CO589" i="25"/>
  <c r="CQ589" i="25"/>
  <c r="CR589" i="25" s="1"/>
  <c r="CP586" i="25"/>
  <c r="CO586" i="25"/>
  <c r="CQ586" i="25"/>
  <c r="CR586" i="25" s="1"/>
  <c r="CP582" i="25"/>
  <c r="CQ582" i="25"/>
  <c r="CR582" i="25" s="1"/>
  <c r="CO582" i="25"/>
  <c r="CP579" i="25"/>
  <c r="CO579" i="25"/>
  <c r="CQ579" i="25"/>
  <c r="CR579" i="25" s="1"/>
  <c r="CP558" i="25"/>
  <c r="CO558" i="25"/>
  <c r="CQ558" i="25"/>
  <c r="CR558" i="25" s="1"/>
  <c r="CP560" i="25"/>
  <c r="CO560" i="25"/>
  <c r="CQ560" i="25"/>
  <c r="CR560" i="25" s="1"/>
  <c r="CP549" i="25"/>
  <c r="CO549" i="25"/>
  <c r="CQ549" i="25"/>
  <c r="CR549" i="25" s="1"/>
  <c r="CO744" i="25"/>
  <c r="CP744" i="25"/>
  <c r="CQ744" i="25"/>
  <c r="CR744" i="25" s="1"/>
  <c r="CO674" i="25"/>
  <c r="CP674" i="25"/>
  <c r="CQ674" i="25"/>
  <c r="CR674" i="25" s="1"/>
  <c r="CO618" i="25"/>
  <c r="CP618" i="25"/>
  <c r="CQ618" i="25"/>
  <c r="CR618" i="25" s="1"/>
  <c r="CO570" i="25"/>
  <c r="CP570" i="25"/>
  <c r="CQ570" i="25"/>
  <c r="CR570" i="25" s="1"/>
  <c r="CO743" i="25"/>
  <c r="CP743" i="25"/>
  <c r="CQ743" i="25"/>
  <c r="CR743" i="25" s="1"/>
  <c r="CO734" i="25"/>
  <c r="CP734" i="25"/>
  <c r="CQ734" i="25"/>
  <c r="CR734" i="25" s="1"/>
  <c r="CO726" i="25"/>
  <c r="CP726" i="25"/>
  <c r="CQ726" i="25"/>
  <c r="CR726" i="25" s="1"/>
  <c r="CO717" i="25"/>
  <c r="CP717" i="25"/>
  <c r="CQ717" i="25"/>
  <c r="CR717" i="25" s="1"/>
  <c r="CO706" i="25"/>
  <c r="CP706" i="25"/>
  <c r="CQ706" i="25"/>
  <c r="CR706" i="25" s="1"/>
  <c r="CO696" i="25"/>
  <c r="CQ696" i="25"/>
  <c r="CR696" i="25" s="1"/>
  <c r="CP696" i="25"/>
  <c r="CO648" i="25"/>
  <c r="CQ648" i="25"/>
  <c r="CR648" i="25" s="1"/>
  <c r="CO681" i="25"/>
  <c r="CP681" i="25"/>
  <c r="CO673" i="25"/>
  <c r="CP673" i="25"/>
  <c r="CQ673" i="25"/>
  <c r="CR673" i="25" s="1"/>
  <c r="CO665" i="25"/>
  <c r="CP665" i="25"/>
  <c r="CQ665" i="25"/>
  <c r="CR665" i="25" s="1"/>
  <c r="CO684" i="25"/>
  <c r="CQ684" i="25"/>
  <c r="CR684" i="25" s="1"/>
  <c r="CP684" i="25"/>
  <c r="CO649" i="25"/>
  <c r="CP649" i="25"/>
  <c r="CQ649" i="25"/>
  <c r="CR649" i="25" s="1"/>
  <c r="CO641" i="25"/>
  <c r="CP641" i="25"/>
  <c r="CQ641" i="25"/>
  <c r="CR641" i="25" s="1"/>
  <c r="CO633" i="25"/>
  <c r="CP633" i="25"/>
  <c r="CQ633" i="25"/>
  <c r="CR633" i="25" s="1"/>
  <c r="CO625" i="25"/>
  <c r="CQ625" i="25"/>
  <c r="CR625" i="25" s="1"/>
  <c r="CP625" i="25"/>
  <c r="CO617" i="25"/>
  <c r="CP617" i="25"/>
  <c r="CO608" i="25"/>
  <c r="CP608" i="25"/>
  <c r="CQ608" i="25"/>
  <c r="CR608" i="25" s="1"/>
  <c r="CO600" i="25"/>
  <c r="CP600" i="25"/>
  <c r="CQ600" i="25"/>
  <c r="CR600" i="25" s="1"/>
  <c r="CO611" i="25"/>
  <c r="CP611" i="25"/>
  <c r="CQ611" i="25"/>
  <c r="CR611" i="25" s="1"/>
  <c r="CO698" i="25"/>
  <c r="CP698" i="25"/>
  <c r="CQ698" i="25"/>
  <c r="CR698" i="25" s="1"/>
  <c r="CO577" i="25"/>
  <c r="CP577" i="25"/>
  <c r="CQ577" i="25"/>
  <c r="CR577" i="25" s="1"/>
  <c r="CO569" i="25"/>
  <c r="CQ569" i="25"/>
  <c r="CR569" i="25" s="1"/>
  <c r="CO561" i="25"/>
  <c r="CP561" i="25"/>
  <c r="CQ561" i="25"/>
  <c r="CR561" i="25" s="1"/>
  <c r="CO547" i="25"/>
  <c r="CP547" i="25"/>
  <c r="CQ547" i="25"/>
  <c r="CR547" i="25" s="1"/>
  <c r="CQ613" i="25"/>
  <c r="CR613" i="25" s="1"/>
  <c r="CO602" i="25"/>
  <c r="CO735" i="25"/>
  <c r="CP735" i="25"/>
  <c r="CQ735" i="25"/>
  <c r="CR735" i="25" s="1"/>
  <c r="CO682" i="25"/>
  <c r="CP682" i="25"/>
  <c r="CQ682" i="25"/>
  <c r="CR682" i="25" s="1"/>
  <c r="CO626" i="25"/>
  <c r="CQ626" i="25"/>
  <c r="CR626" i="25" s="1"/>
  <c r="CP626" i="25"/>
  <c r="CO556" i="25"/>
  <c r="CP556" i="25"/>
  <c r="CQ556" i="25"/>
  <c r="CR556" i="25" s="1"/>
  <c r="CO704" i="25"/>
  <c r="CP704" i="25"/>
  <c r="CQ704" i="25"/>
  <c r="CR704" i="25" s="1"/>
  <c r="CO742" i="25"/>
  <c r="CP742" i="25"/>
  <c r="CQ742" i="25"/>
  <c r="CR742" i="25" s="1"/>
  <c r="CO733" i="25"/>
  <c r="CP733" i="25"/>
  <c r="CQ733" i="25"/>
  <c r="CR733" i="25" s="1"/>
  <c r="CO725" i="25"/>
  <c r="CP725" i="25"/>
  <c r="CQ725" i="25"/>
  <c r="CR725" i="25" s="1"/>
  <c r="CO714" i="25"/>
  <c r="CP714" i="25"/>
  <c r="CQ714" i="25"/>
  <c r="CR714" i="25" s="1"/>
  <c r="CO705" i="25"/>
  <c r="CP705" i="25"/>
  <c r="CQ705" i="25"/>
  <c r="CR705" i="25" s="1"/>
  <c r="CO695" i="25"/>
  <c r="CP695" i="25"/>
  <c r="CQ695" i="25"/>
  <c r="CR695" i="25" s="1"/>
  <c r="CO687" i="25"/>
  <c r="CQ687" i="25"/>
  <c r="CR687" i="25" s="1"/>
  <c r="CP687" i="25"/>
  <c r="CO566" i="25"/>
  <c r="CQ566" i="25"/>
  <c r="CR566" i="25" s="1"/>
  <c r="CP566" i="25"/>
  <c r="CO672" i="25"/>
  <c r="CQ672" i="25"/>
  <c r="CR672" i="25" s="1"/>
  <c r="CP672" i="25"/>
  <c r="CO664" i="25"/>
  <c r="CP664" i="25"/>
  <c r="CQ664" i="25"/>
  <c r="CR664" i="25" s="1"/>
  <c r="CO656" i="25"/>
  <c r="CP656" i="25"/>
  <c r="CQ656" i="25"/>
  <c r="CR656" i="25" s="1"/>
  <c r="CO584" i="25"/>
  <c r="CP584" i="25"/>
  <c r="CQ584" i="25"/>
  <c r="CR584" i="25" s="1"/>
  <c r="CO640" i="25"/>
  <c r="CP640" i="25"/>
  <c r="CQ640" i="25"/>
  <c r="CR640" i="25" s="1"/>
  <c r="CO632" i="25"/>
  <c r="CP632" i="25"/>
  <c r="CQ632" i="25"/>
  <c r="CR632" i="25" s="1"/>
  <c r="CO624" i="25"/>
  <c r="CP624" i="25"/>
  <c r="CQ624" i="25"/>
  <c r="CR624" i="25" s="1"/>
  <c r="CO616" i="25"/>
  <c r="CP616" i="25"/>
  <c r="CQ616" i="25"/>
  <c r="CR616" i="25" s="1"/>
  <c r="CO607" i="25"/>
  <c r="CP607" i="25"/>
  <c r="CQ607" i="25"/>
  <c r="CR607" i="25" s="1"/>
  <c r="CO599" i="25"/>
  <c r="CP599" i="25"/>
  <c r="CQ599" i="25"/>
  <c r="CR599" i="25" s="1"/>
  <c r="CO594" i="25"/>
  <c r="CP594" i="25"/>
  <c r="CQ594" i="25"/>
  <c r="CR594" i="25" s="1"/>
  <c r="CO697" i="25"/>
  <c r="CP697" i="25"/>
  <c r="CQ697" i="25"/>
  <c r="CR697" i="25" s="1"/>
  <c r="CO576" i="25"/>
  <c r="CP576" i="25"/>
  <c r="CQ576" i="25"/>
  <c r="CR576" i="25" s="1"/>
  <c r="CO568" i="25"/>
  <c r="CP568" i="25"/>
  <c r="CQ568" i="25"/>
  <c r="CR568" i="25" s="1"/>
  <c r="CO551" i="25"/>
  <c r="CP551" i="25"/>
  <c r="CQ551" i="25"/>
  <c r="CR551" i="25" s="1"/>
  <c r="CO553" i="25"/>
  <c r="CP553" i="25"/>
  <c r="CQ553" i="25"/>
  <c r="CR553" i="25" s="1"/>
  <c r="CO546" i="25"/>
  <c r="CP546" i="25"/>
  <c r="CQ546" i="25"/>
  <c r="CR546" i="25" s="1"/>
  <c r="CO691" i="25"/>
  <c r="CP691" i="25"/>
  <c r="CQ691" i="25"/>
  <c r="CR691" i="25" s="1"/>
  <c r="CO642" i="25"/>
  <c r="CQ642" i="25"/>
  <c r="CR642" i="25" s="1"/>
  <c r="CO585" i="25"/>
  <c r="CQ585" i="25"/>
  <c r="CR585" i="25" s="1"/>
  <c r="CP585" i="25"/>
  <c r="CO720" i="25"/>
  <c r="CQ720" i="25"/>
  <c r="CR720" i="25" s="1"/>
  <c r="CP720" i="25"/>
  <c r="CO740" i="25"/>
  <c r="CQ740" i="25"/>
  <c r="CR740" i="25" s="1"/>
  <c r="CP740" i="25"/>
  <c r="CO732" i="25"/>
  <c r="CQ732" i="25"/>
  <c r="CR732" i="25" s="1"/>
  <c r="CP732" i="25"/>
  <c r="CO723" i="25"/>
  <c r="CP723" i="25"/>
  <c r="CQ723" i="25"/>
  <c r="CR723" i="25" s="1"/>
  <c r="CO712" i="25"/>
  <c r="CP712" i="25"/>
  <c r="CQ712" i="25"/>
  <c r="CR712" i="25" s="1"/>
  <c r="CO701" i="25"/>
  <c r="CP701" i="25"/>
  <c r="CQ701" i="25"/>
  <c r="CR701" i="25" s="1"/>
  <c r="CO694" i="25"/>
  <c r="CP694" i="25"/>
  <c r="CQ694" i="25"/>
  <c r="CR694" i="25" s="1"/>
  <c r="CO686" i="25"/>
  <c r="CQ686" i="25"/>
  <c r="CR686" i="25" s="1"/>
  <c r="CP686" i="25"/>
  <c r="CO679" i="25"/>
  <c r="CQ679" i="25"/>
  <c r="CR679" i="25" s="1"/>
  <c r="CP679" i="25"/>
  <c r="CO671" i="25"/>
  <c r="CQ671" i="25"/>
  <c r="CR671" i="25" s="1"/>
  <c r="CP671" i="25"/>
  <c r="CO663" i="25"/>
  <c r="CP663" i="25"/>
  <c r="CQ663" i="25"/>
  <c r="CR663" i="25" s="1"/>
  <c r="CO655" i="25"/>
  <c r="CQ655" i="25"/>
  <c r="CR655" i="25" s="1"/>
  <c r="CP655" i="25"/>
  <c r="CO583" i="25"/>
  <c r="CP583" i="25"/>
  <c r="CQ583" i="25"/>
  <c r="CR583" i="25" s="1"/>
  <c r="CO639" i="25"/>
  <c r="CQ639" i="25"/>
  <c r="CR639" i="25" s="1"/>
  <c r="CP639" i="25"/>
  <c r="CO631" i="25"/>
  <c r="CP631" i="25"/>
  <c r="CQ631" i="25"/>
  <c r="CR631" i="25" s="1"/>
  <c r="CO623" i="25"/>
  <c r="CQ623" i="25"/>
  <c r="CR623" i="25" s="1"/>
  <c r="CP623" i="25"/>
  <c r="CO615" i="25"/>
  <c r="CP615" i="25"/>
  <c r="CQ615" i="25"/>
  <c r="CR615" i="25" s="1"/>
  <c r="CO606" i="25"/>
  <c r="CQ606" i="25"/>
  <c r="CR606" i="25" s="1"/>
  <c r="CP606" i="25"/>
  <c r="CO571" i="25"/>
  <c r="CP571" i="25"/>
  <c r="CQ571" i="25"/>
  <c r="CR571" i="25" s="1"/>
  <c r="CO593" i="25"/>
  <c r="CQ593" i="25"/>
  <c r="CR593" i="25" s="1"/>
  <c r="CP593" i="25"/>
  <c r="CO588" i="25"/>
  <c r="CP588" i="25"/>
  <c r="CQ588" i="25"/>
  <c r="CR588" i="25" s="1"/>
  <c r="CO575" i="25"/>
  <c r="CP575" i="25"/>
  <c r="CQ575" i="25"/>
  <c r="CR575" i="25" s="1"/>
  <c r="CO567" i="25"/>
  <c r="CQ567" i="25"/>
  <c r="CR567" i="25" s="1"/>
  <c r="CP567" i="25"/>
  <c r="CO559" i="25"/>
  <c r="CP559" i="25"/>
  <c r="CQ559" i="25"/>
  <c r="CR559" i="25" s="1"/>
  <c r="CO555" i="25"/>
  <c r="CQ555" i="25"/>
  <c r="CR555" i="25" s="1"/>
  <c r="CP555" i="25"/>
  <c r="CO545" i="25"/>
  <c r="CQ545" i="25"/>
  <c r="CR545" i="25" s="1"/>
  <c r="CP545" i="25"/>
  <c r="CO728" i="25"/>
  <c r="CP728" i="25"/>
  <c r="CO666" i="25"/>
  <c r="CP666" i="25"/>
  <c r="CQ666" i="25"/>
  <c r="CR666" i="25" s="1"/>
  <c r="CO609" i="25"/>
  <c r="CP609" i="25"/>
  <c r="CQ609" i="25"/>
  <c r="CR609" i="25" s="1"/>
  <c r="CO554" i="25"/>
  <c r="CP554" i="25"/>
  <c r="CQ554" i="25"/>
  <c r="CR554" i="25" s="1"/>
  <c r="CQ702" i="25"/>
  <c r="CR702" i="25" s="1"/>
  <c r="CO702" i="25"/>
  <c r="CP702" i="25"/>
  <c r="CO739" i="25"/>
  <c r="CQ739" i="25"/>
  <c r="CR739" i="25" s="1"/>
  <c r="CP739" i="25"/>
  <c r="CQ731" i="25"/>
  <c r="CR731" i="25" s="1"/>
  <c r="CO731" i="25"/>
  <c r="CO722" i="25"/>
  <c r="CQ722" i="25"/>
  <c r="CR722" i="25" s="1"/>
  <c r="CP722" i="25"/>
  <c r="CP711" i="25"/>
  <c r="CQ711" i="25"/>
  <c r="CR711" i="25" s="1"/>
  <c r="CO711" i="25"/>
  <c r="CP700" i="25"/>
  <c r="CQ700" i="25"/>
  <c r="CR700" i="25" s="1"/>
  <c r="CO700" i="25"/>
  <c r="CO657" i="25"/>
  <c r="CP657" i="25"/>
  <c r="CQ657" i="25"/>
  <c r="CR657" i="25" s="1"/>
  <c r="CQ685" i="25"/>
  <c r="CR685" i="25" s="1"/>
  <c r="CP685" i="25"/>
  <c r="CQ678" i="25"/>
  <c r="CR678" i="25" s="1"/>
  <c r="CO678" i="25"/>
  <c r="CP678" i="25"/>
  <c r="CO670" i="25"/>
  <c r="CQ670" i="25"/>
  <c r="CR670" i="25" s="1"/>
  <c r="CP670" i="25"/>
  <c r="CP662" i="25"/>
  <c r="CQ662" i="25"/>
  <c r="CR662" i="25" s="1"/>
  <c r="CO662" i="25"/>
  <c r="CP680" i="25"/>
  <c r="CO680" i="25"/>
  <c r="CQ680" i="25"/>
  <c r="CR680" i="25" s="1"/>
  <c r="CP646" i="25"/>
  <c r="CQ646" i="25"/>
  <c r="CR646" i="25" s="1"/>
  <c r="CO646" i="25"/>
  <c r="CP638" i="25"/>
  <c r="CQ638" i="25"/>
  <c r="CR638" i="25" s="1"/>
  <c r="CO638" i="25"/>
  <c r="CP630" i="25"/>
  <c r="CO630" i="25"/>
  <c r="CQ630" i="25"/>
  <c r="CR630" i="25" s="1"/>
  <c r="CP622" i="25"/>
  <c r="CQ622" i="25"/>
  <c r="CR622" i="25" s="1"/>
  <c r="CO622" i="25"/>
  <c r="CP591" i="25"/>
  <c r="CQ591" i="25"/>
  <c r="CR591" i="25" s="1"/>
  <c r="CO591" i="25"/>
  <c r="CP605" i="25"/>
  <c r="CO605" i="25"/>
  <c r="CQ605" i="25"/>
  <c r="CR605" i="25" s="1"/>
  <c r="CP597" i="25"/>
  <c r="CQ597" i="25"/>
  <c r="CR597" i="25" s="1"/>
  <c r="CO597" i="25"/>
  <c r="CP592" i="25"/>
  <c r="CO592" i="25"/>
  <c r="CQ592" i="25"/>
  <c r="CR592" i="25" s="1"/>
  <c r="CP578" i="25"/>
  <c r="CQ578" i="25"/>
  <c r="CR578" i="25" s="1"/>
  <c r="CO578" i="25"/>
  <c r="CP565" i="25"/>
  <c r="CO565" i="25"/>
  <c r="CQ565" i="25"/>
  <c r="CR565" i="25" s="1"/>
  <c r="CP573" i="25"/>
  <c r="CQ573" i="25"/>
  <c r="CR573" i="25" s="1"/>
  <c r="CO573" i="25"/>
  <c r="CP552" i="25"/>
  <c r="CQ552" i="25"/>
  <c r="CR552" i="25" s="1"/>
  <c r="CO552" i="25"/>
  <c r="CP731" i="25"/>
  <c r="CO724" i="25"/>
  <c r="CP724" i="25"/>
  <c r="CQ724" i="25"/>
  <c r="CR724" i="25" s="1"/>
  <c r="CO689" i="25"/>
  <c r="CP689" i="25"/>
  <c r="CQ689" i="25"/>
  <c r="CR689" i="25" s="1"/>
  <c r="CO634" i="25"/>
  <c r="CP634" i="25"/>
  <c r="CQ634" i="25"/>
  <c r="CR634" i="25" s="1"/>
  <c r="CO647" i="25"/>
  <c r="CP647" i="25"/>
  <c r="CQ647" i="25"/>
  <c r="CR647" i="25" s="1"/>
  <c r="CQ745" i="25"/>
  <c r="CR745" i="25" s="1"/>
  <c r="CO745" i="25"/>
  <c r="CP745" i="25"/>
  <c r="CQ738" i="25"/>
  <c r="CR738" i="25" s="1"/>
  <c r="CO738" i="25"/>
  <c r="CP738" i="25"/>
  <c r="CQ727" i="25"/>
  <c r="CR727" i="25" s="1"/>
  <c r="CO727" i="25"/>
  <c r="CP727" i="25"/>
  <c r="CO721" i="25"/>
  <c r="CQ721" i="25"/>
  <c r="CR721" i="25" s="1"/>
  <c r="CP721" i="25"/>
  <c r="CQ710" i="25"/>
  <c r="CR710" i="25" s="1"/>
  <c r="CP710" i="25"/>
  <c r="CO710" i="25"/>
  <c r="CP699" i="25"/>
  <c r="CQ699" i="25"/>
  <c r="CR699" i="25" s="1"/>
  <c r="CO699" i="25"/>
  <c r="CO692" i="25"/>
  <c r="CP692" i="25"/>
  <c r="CQ692" i="25"/>
  <c r="CR692" i="25" s="1"/>
  <c r="CQ580" i="25"/>
  <c r="CR580" i="25" s="1"/>
  <c r="CP580" i="25"/>
  <c r="CO580" i="25"/>
  <c r="CQ677" i="25"/>
  <c r="CR677" i="25" s="1"/>
  <c r="CO677" i="25"/>
  <c r="CP677" i="25"/>
  <c r="CQ669" i="25"/>
  <c r="CR669" i="25" s="1"/>
  <c r="CP669" i="25"/>
  <c r="CO669" i="25"/>
  <c r="CQ661" i="25"/>
  <c r="CR661" i="25" s="1"/>
  <c r="CO661" i="25"/>
  <c r="CP661" i="25"/>
  <c r="CO653" i="25"/>
  <c r="CQ653" i="25"/>
  <c r="CR653" i="25" s="1"/>
  <c r="CP653" i="25"/>
  <c r="CQ645" i="25"/>
  <c r="CR645" i="25" s="1"/>
  <c r="CP645" i="25"/>
  <c r="CO645" i="25"/>
  <c r="CQ637" i="25"/>
  <c r="CR637" i="25" s="1"/>
  <c r="CO637" i="25"/>
  <c r="CP637" i="25"/>
  <c r="CO629" i="25"/>
  <c r="CQ629" i="25"/>
  <c r="CR629" i="25" s="1"/>
  <c r="CP629" i="25"/>
  <c r="CQ621" i="25"/>
  <c r="CR621" i="25" s="1"/>
  <c r="CP621" i="25"/>
  <c r="CO621" i="25"/>
  <c r="CQ612" i="25"/>
  <c r="CR612" i="25" s="1"/>
  <c r="CO612" i="25"/>
  <c r="CP612" i="25"/>
  <c r="CP604" i="25"/>
  <c r="CQ604" i="25"/>
  <c r="CR604" i="25" s="1"/>
  <c r="CO604" i="25"/>
  <c r="CP598" i="25"/>
  <c r="CQ598" i="25"/>
  <c r="CR598" i="25" s="1"/>
  <c r="CO598" i="25"/>
  <c r="CP596" i="25"/>
  <c r="CO596" i="25"/>
  <c r="CQ596" i="25"/>
  <c r="CR596" i="25" s="1"/>
  <c r="CP581" i="25"/>
  <c r="CQ581" i="25"/>
  <c r="CR581" i="25" s="1"/>
  <c r="CO581" i="25"/>
  <c r="CP574" i="25"/>
  <c r="CQ574" i="25"/>
  <c r="CR574" i="25" s="1"/>
  <c r="CO574" i="25"/>
  <c r="CP563" i="25"/>
  <c r="CO563" i="25"/>
  <c r="CQ563" i="25"/>
  <c r="CR563" i="25" s="1"/>
  <c r="CP557" i="25"/>
  <c r="CQ557" i="25"/>
  <c r="CR557" i="25" s="1"/>
  <c r="CO557" i="25"/>
  <c r="CQ681" i="25"/>
  <c r="CR681" i="25" s="1"/>
  <c r="CP648" i="25"/>
  <c r="CO718" i="25"/>
  <c r="CP718" i="25"/>
  <c r="CQ718" i="25"/>
  <c r="CR718" i="25" s="1"/>
  <c r="CO688" i="25"/>
  <c r="CP688" i="25"/>
  <c r="CO601" i="25"/>
  <c r="CP601" i="25"/>
  <c r="CQ601" i="25"/>
  <c r="CR601" i="25" s="1"/>
  <c r="CO548" i="25"/>
  <c r="CP548" i="25"/>
  <c r="CQ548" i="25"/>
  <c r="CR548" i="25" s="1"/>
  <c r="CO747" i="25"/>
  <c r="CP747" i="25"/>
  <c r="CQ747" i="25"/>
  <c r="CR747" i="25" s="1"/>
  <c r="CO737" i="25"/>
  <c r="CP737" i="25"/>
  <c r="CQ737" i="25"/>
  <c r="CR737" i="25" s="1"/>
  <c r="CP730" i="25"/>
  <c r="CO730" i="25"/>
  <c r="CQ730" i="25"/>
  <c r="CR730" i="25" s="1"/>
  <c r="CP713" i="25"/>
  <c r="CO713" i="25"/>
  <c r="CQ713" i="25"/>
  <c r="CR713" i="25" s="1"/>
  <c r="CP709" i="25"/>
  <c r="CO709" i="25"/>
  <c r="CQ709" i="25"/>
  <c r="CR709" i="25" s="1"/>
  <c r="CP693" i="25"/>
  <c r="CO693" i="25"/>
  <c r="CP654" i="25"/>
  <c r="CO654" i="25"/>
  <c r="CQ654" i="25"/>
  <c r="CR654" i="25" s="1"/>
  <c r="CP683" i="25"/>
  <c r="CO683" i="25"/>
  <c r="CQ683" i="25"/>
  <c r="CR683" i="25" s="1"/>
  <c r="CP676" i="25"/>
  <c r="CO676" i="25"/>
  <c r="CQ676" i="25"/>
  <c r="CR676" i="25" s="1"/>
  <c r="CP668" i="25"/>
  <c r="CO668" i="25"/>
  <c r="CQ668" i="25"/>
  <c r="CR668" i="25" s="1"/>
  <c r="CP660" i="25"/>
  <c r="CO660" i="25"/>
  <c r="CQ660" i="25"/>
  <c r="CR660" i="25" s="1"/>
  <c r="CP652" i="25"/>
  <c r="CO652" i="25"/>
  <c r="CQ652" i="25"/>
  <c r="CR652" i="25" s="1"/>
  <c r="CP644" i="25"/>
  <c r="CO644" i="25"/>
  <c r="CQ644" i="25"/>
  <c r="CR644" i="25" s="1"/>
  <c r="CP636" i="25"/>
  <c r="CO636" i="25"/>
  <c r="CP628" i="25"/>
  <c r="CO628" i="25"/>
  <c r="CQ628" i="25"/>
  <c r="CR628" i="25" s="1"/>
  <c r="CP620" i="25"/>
  <c r="CO620" i="25"/>
  <c r="CQ620" i="25"/>
  <c r="CR620" i="25" s="1"/>
  <c r="CP590" i="25"/>
  <c r="CO590" i="25"/>
  <c r="CQ590" i="25"/>
  <c r="CR590" i="25" s="1"/>
  <c r="CP603" i="25"/>
  <c r="CO603" i="25"/>
  <c r="CQ603" i="25"/>
  <c r="CR603" i="25" s="1"/>
  <c r="CP595" i="25"/>
  <c r="CO595" i="25"/>
  <c r="CQ595" i="25"/>
  <c r="CR595" i="25" s="1"/>
  <c r="CP587" i="25"/>
  <c r="CO587" i="25"/>
  <c r="CQ587" i="25"/>
  <c r="CR587" i="25" s="1"/>
  <c r="CP658" i="25"/>
  <c r="CO658" i="25"/>
  <c r="CQ658" i="25"/>
  <c r="CR658" i="25" s="1"/>
  <c r="CP572" i="25"/>
  <c r="CO572" i="25"/>
  <c r="CP562" i="25"/>
  <c r="CO562" i="25"/>
  <c r="CQ562" i="25"/>
  <c r="CR562" i="25" s="1"/>
  <c r="CP564" i="25"/>
  <c r="CO564" i="25"/>
  <c r="CQ564" i="25"/>
  <c r="CR564" i="25" s="1"/>
  <c r="CP550" i="25"/>
  <c r="CO550" i="25"/>
  <c r="CQ550" i="25"/>
  <c r="CR550" i="25" s="1"/>
  <c r="CQ688" i="25"/>
  <c r="CR688" i="25" s="1"/>
  <c r="CP642" i="25"/>
  <c r="CB718" i="25" l="1"/>
  <c r="CF718" i="25" s="1"/>
  <c r="CG718" i="25" s="1"/>
  <c r="CJ718" i="25" s="1"/>
  <c r="CE718" i="25"/>
  <c r="CH718" i="25" s="1"/>
  <c r="CI718" i="25" s="1"/>
  <c r="CB567" i="25"/>
  <c r="CF567" i="25" s="1"/>
  <c r="CG567" i="25" s="1"/>
  <c r="CJ567" i="25" s="1"/>
  <c r="CE567" i="25"/>
  <c r="CH567" i="25" s="1"/>
  <c r="CI567" i="25" s="1"/>
  <c r="CB663" i="25"/>
  <c r="CF663" i="25" s="1"/>
  <c r="CG663" i="25" s="1"/>
  <c r="CJ663" i="25" s="1"/>
  <c r="CE663" i="25"/>
  <c r="CH663" i="25" s="1"/>
  <c r="CI663" i="25" s="1"/>
  <c r="CB546" i="25"/>
  <c r="CF546" i="25" s="1"/>
  <c r="CG546" i="25" s="1"/>
  <c r="CJ546" i="25" s="1"/>
  <c r="CE546" i="25"/>
  <c r="CH546" i="25" s="1"/>
  <c r="CI546" i="25" s="1"/>
  <c r="CB640" i="25"/>
  <c r="CF640" i="25" s="1"/>
  <c r="CG640" i="25" s="1"/>
  <c r="CJ640" i="25" s="1"/>
  <c r="CE640" i="25"/>
  <c r="CH640" i="25" s="1"/>
  <c r="CI640" i="25" s="1"/>
  <c r="CB577" i="25"/>
  <c r="CF577" i="25" s="1"/>
  <c r="CG577" i="25" s="1"/>
  <c r="CJ577" i="25" s="1"/>
  <c r="CE577" i="25"/>
  <c r="CH577" i="25" s="1"/>
  <c r="CI577" i="25" s="1"/>
  <c r="CE562" i="25"/>
  <c r="CH562" i="25" s="1"/>
  <c r="CI562" i="25" s="1"/>
  <c r="CB562" i="25"/>
  <c r="CF562" i="25" s="1"/>
  <c r="CG562" i="25" s="1"/>
  <c r="CJ562" i="25" s="1"/>
  <c r="CE636" i="25"/>
  <c r="CH636" i="25" s="1"/>
  <c r="CI636" i="25" s="1"/>
  <c r="CB636" i="25"/>
  <c r="CF636" i="25" s="1"/>
  <c r="CG636" i="25" s="1"/>
  <c r="CJ636" i="25" s="1"/>
  <c r="CE668" i="25"/>
  <c r="CH668" i="25" s="1"/>
  <c r="CI668" i="25" s="1"/>
  <c r="CB668" i="25"/>
  <c r="CF668" i="25" s="1"/>
  <c r="CG668" i="25" s="1"/>
  <c r="CJ668" i="25" s="1"/>
  <c r="CE581" i="25"/>
  <c r="CH581" i="25" s="1"/>
  <c r="CI581" i="25" s="1"/>
  <c r="CB581" i="25"/>
  <c r="CF581" i="25" s="1"/>
  <c r="CG581" i="25" s="1"/>
  <c r="CJ581" i="25" s="1"/>
  <c r="CE612" i="25"/>
  <c r="CH612" i="25" s="1"/>
  <c r="CI612" i="25" s="1"/>
  <c r="CB612" i="25"/>
  <c r="CF612" i="25" s="1"/>
  <c r="CG612" i="25" s="1"/>
  <c r="CJ612" i="25" s="1"/>
  <c r="CE645" i="25"/>
  <c r="CH645" i="25" s="1"/>
  <c r="CI645" i="25" s="1"/>
  <c r="CB645" i="25"/>
  <c r="CF645" i="25" s="1"/>
  <c r="CG645" i="25" s="1"/>
  <c r="CJ645" i="25" s="1"/>
  <c r="CB745" i="25"/>
  <c r="CF745" i="25" s="1"/>
  <c r="CG745" i="25" s="1"/>
  <c r="CJ745" i="25" s="1"/>
  <c r="CE745" i="25"/>
  <c r="CH745" i="25" s="1"/>
  <c r="CI745" i="25" s="1"/>
  <c r="CE572" i="25"/>
  <c r="CH572" i="25" s="1"/>
  <c r="CI572" i="25" s="1"/>
  <c r="CB572" i="25"/>
  <c r="CF572" i="25" s="1"/>
  <c r="CG572" i="25" s="1"/>
  <c r="CJ572" i="25" s="1"/>
  <c r="CE587" i="25"/>
  <c r="CH587" i="25" s="1"/>
  <c r="CI587" i="25" s="1"/>
  <c r="CB587" i="25"/>
  <c r="CF587" i="25" s="1"/>
  <c r="CG587" i="25" s="1"/>
  <c r="CJ587" i="25" s="1"/>
  <c r="CE603" i="25"/>
  <c r="CH603" i="25" s="1"/>
  <c r="CI603" i="25" s="1"/>
  <c r="CB603" i="25"/>
  <c r="CF603" i="25" s="1"/>
  <c r="CG603" i="25" s="1"/>
  <c r="CJ603" i="25" s="1"/>
  <c r="CE620" i="25"/>
  <c r="CH620" i="25" s="1"/>
  <c r="CI620" i="25" s="1"/>
  <c r="CB620" i="25"/>
  <c r="CF620" i="25" s="1"/>
  <c r="CG620" i="25" s="1"/>
  <c r="CJ620" i="25" s="1"/>
  <c r="CB728" i="25"/>
  <c r="CF728" i="25" s="1"/>
  <c r="CG728" i="25" s="1"/>
  <c r="CJ728" i="25" s="1"/>
  <c r="CE728" i="25"/>
  <c r="CH728" i="25" s="1"/>
  <c r="CI728" i="25" s="1"/>
  <c r="CB642" i="25"/>
  <c r="CF642" i="25" s="1"/>
  <c r="CG642" i="25" s="1"/>
  <c r="CJ642" i="25" s="1"/>
  <c r="CE642" i="25"/>
  <c r="CH642" i="25" s="1"/>
  <c r="CI642" i="25" s="1"/>
  <c r="CB625" i="25"/>
  <c r="CF625" i="25" s="1"/>
  <c r="CG625" i="25" s="1"/>
  <c r="CJ625" i="25" s="1"/>
  <c r="CE625" i="25"/>
  <c r="CH625" i="25" s="1"/>
  <c r="CI625" i="25" s="1"/>
  <c r="CB641" i="25"/>
  <c r="CF641" i="25" s="1"/>
  <c r="CG641" i="25" s="1"/>
  <c r="CJ641" i="25" s="1"/>
  <c r="CE641" i="25"/>
  <c r="CH641" i="25" s="1"/>
  <c r="CI641" i="25" s="1"/>
  <c r="CB684" i="25"/>
  <c r="CF684" i="25" s="1"/>
  <c r="CG684" i="25" s="1"/>
  <c r="CJ684" i="25" s="1"/>
  <c r="CE684" i="25"/>
  <c r="CH684" i="25" s="1"/>
  <c r="CI684" i="25" s="1"/>
  <c r="CB673" i="25"/>
  <c r="CF673" i="25" s="1"/>
  <c r="CG673" i="25" s="1"/>
  <c r="CJ673" i="25" s="1"/>
  <c r="CE673" i="25"/>
  <c r="CH673" i="25" s="1"/>
  <c r="CI673" i="25" s="1"/>
  <c r="CE602" i="25"/>
  <c r="CH602" i="25" s="1"/>
  <c r="CI602" i="25" s="1"/>
  <c r="CB602" i="25"/>
  <c r="CF602" i="25" s="1"/>
  <c r="CG602" i="25" s="1"/>
  <c r="CJ602" i="25" s="1"/>
  <c r="CE619" i="25"/>
  <c r="CH619" i="25" s="1"/>
  <c r="CI619" i="25" s="1"/>
  <c r="CB619" i="25"/>
  <c r="CF619" i="25" s="1"/>
  <c r="CG619" i="25" s="1"/>
  <c r="CJ619" i="25" s="1"/>
  <c r="CE635" i="25"/>
  <c r="CH635" i="25" s="1"/>
  <c r="CI635" i="25" s="1"/>
  <c r="CB635" i="25"/>
  <c r="CF635" i="25" s="1"/>
  <c r="CG635" i="25" s="1"/>
  <c r="CJ635" i="25" s="1"/>
  <c r="CE651" i="25"/>
  <c r="CH651" i="25" s="1"/>
  <c r="CI651" i="25" s="1"/>
  <c r="CB651" i="25"/>
  <c r="CF651" i="25" s="1"/>
  <c r="CG651" i="25" s="1"/>
  <c r="CJ651" i="25" s="1"/>
  <c r="CE667" i="25"/>
  <c r="CH667" i="25" s="1"/>
  <c r="CI667" i="25" s="1"/>
  <c r="CB667" i="25"/>
  <c r="CF667" i="25" s="1"/>
  <c r="CG667" i="25" s="1"/>
  <c r="CJ667" i="25" s="1"/>
  <c r="CB719" i="25"/>
  <c r="CF719" i="25" s="1"/>
  <c r="CG719" i="25" s="1"/>
  <c r="CJ719" i="25" s="1"/>
  <c r="CE719" i="25"/>
  <c r="CH719" i="25" s="1"/>
  <c r="CI719" i="25" s="1"/>
  <c r="CB736" i="25"/>
  <c r="CF736" i="25" s="1"/>
  <c r="CG736" i="25" s="1"/>
  <c r="CJ736" i="25" s="1"/>
  <c r="CE736" i="25"/>
  <c r="CH736" i="25" s="1"/>
  <c r="CI736" i="25" s="1"/>
  <c r="CB583" i="25"/>
  <c r="CF583" i="25" s="1"/>
  <c r="CG583" i="25" s="1"/>
  <c r="CJ583" i="25" s="1"/>
  <c r="CE583" i="25"/>
  <c r="CH583" i="25" s="1"/>
  <c r="CI583" i="25" s="1"/>
  <c r="CB694" i="25"/>
  <c r="CF694" i="25" s="1"/>
  <c r="CG694" i="25" s="1"/>
  <c r="CJ694" i="25" s="1"/>
  <c r="CE694" i="25"/>
  <c r="CH694" i="25" s="1"/>
  <c r="CI694" i="25" s="1"/>
  <c r="CB576" i="25"/>
  <c r="CF576" i="25" s="1"/>
  <c r="CG576" i="25" s="1"/>
  <c r="CJ576" i="25" s="1"/>
  <c r="CE576" i="25"/>
  <c r="CH576" i="25" s="1"/>
  <c r="CI576" i="25" s="1"/>
  <c r="CB656" i="25"/>
  <c r="CF656" i="25" s="1"/>
  <c r="CG656" i="25" s="1"/>
  <c r="CJ656" i="25" s="1"/>
  <c r="CE656" i="25"/>
  <c r="CH656" i="25" s="1"/>
  <c r="CI656" i="25" s="1"/>
  <c r="CB742" i="25"/>
  <c r="CF742" i="25" s="1"/>
  <c r="CG742" i="25" s="1"/>
  <c r="CJ742" i="25" s="1"/>
  <c r="CE742" i="25"/>
  <c r="CH742" i="25" s="1"/>
  <c r="CI742" i="25" s="1"/>
  <c r="CB608" i="25"/>
  <c r="CF608" i="25" s="1"/>
  <c r="CG608" i="25" s="1"/>
  <c r="CJ608" i="25" s="1"/>
  <c r="CE608" i="25"/>
  <c r="CH608" i="25" s="1"/>
  <c r="CI608" i="25" s="1"/>
  <c r="CE579" i="25"/>
  <c r="CH579" i="25" s="1"/>
  <c r="CI579" i="25" s="1"/>
  <c r="CB579" i="25"/>
  <c r="CF579" i="25" s="1"/>
  <c r="CG579" i="25" s="1"/>
  <c r="CJ579" i="25" s="1"/>
  <c r="CB709" i="25"/>
  <c r="CF709" i="25" s="1"/>
  <c r="CG709" i="25" s="1"/>
  <c r="CJ709" i="25" s="1"/>
  <c r="CE709" i="25"/>
  <c r="CH709" i="25" s="1"/>
  <c r="CI709" i="25" s="1"/>
  <c r="CB730" i="25"/>
  <c r="CF730" i="25" s="1"/>
  <c r="CG730" i="25" s="1"/>
  <c r="CJ730" i="25" s="1"/>
  <c r="CE730" i="25"/>
  <c r="CH730" i="25" s="1"/>
  <c r="CI730" i="25" s="1"/>
  <c r="CB747" i="25"/>
  <c r="CF747" i="25" s="1"/>
  <c r="CG747" i="25" s="1"/>
  <c r="CJ747" i="25" s="1"/>
  <c r="CE747" i="25"/>
  <c r="CH747" i="25" s="1"/>
  <c r="CI747" i="25" s="1"/>
  <c r="CB601" i="25"/>
  <c r="CF601" i="25" s="1"/>
  <c r="CG601" i="25" s="1"/>
  <c r="CJ601" i="25" s="1"/>
  <c r="CE601" i="25"/>
  <c r="CH601" i="25" s="1"/>
  <c r="CI601" i="25" s="1"/>
  <c r="CB657" i="25"/>
  <c r="CF657" i="25" s="1"/>
  <c r="CG657" i="25" s="1"/>
  <c r="CJ657" i="25" s="1"/>
  <c r="CE657" i="25"/>
  <c r="CH657" i="25" s="1"/>
  <c r="CI657" i="25" s="1"/>
  <c r="CB711" i="25"/>
  <c r="CF711" i="25" s="1"/>
  <c r="CG711" i="25" s="1"/>
  <c r="CJ711" i="25" s="1"/>
  <c r="CE711" i="25"/>
  <c r="CH711" i="25" s="1"/>
  <c r="CI711" i="25" s="1"/>
  <c r="CB561" i="25"/>
  <c r="CF561" i="25" s="1"/>
  <c r="CG561" i="25" s="1"/>
  <c r="CJ561" i="25" s="1"/>
  <c r="CE561" i="25"/>
  <c r="CH561" i="25" s="1"/>
  <c r="CI561" i="25" s="1"/>
  <c r="CB696" i="25"/>
  <c r="CF696" i="25" s="1"/>
  <c r="CG696" i="25" s="1"/>
  <c r="CJ696" i="25" s="1"/>
  <c r="CE696" i="25"/>
  <c r="CH696" i="25" s="1"/>
  <c r="CI696" i="25" s="1"/>
  <c r="CB717" i="25"/>
  <c r="CF717" i="25" s="1"/>
  <c r="CG717" i="25" s="1"/>
  <c r="CJ717" i="25" s="1"/>
  <c r="CE717" i="25"/>
  <c r="CH717" i="25" s="1"/>
  <c r="CI717" i="25" s="1"/>
  <c r="CB734" i="25"/>
  <c r="CF734" i="25" s="1"/>
  <c r="CG734" i="25" s="1"/>
  <c r="CJ734" i="25" s="1"/>
  <c r="CE734" i="25"/>
  <c r="CH734" i="25" s="1"/>
  <c r="CI734" i="25" s="1"/>
  <c r="CB702" i="25"/>
  <c r="CF702" i="25" s="1"/>
  <c r="CG702" i="25" s="1"/>
  <c r="CJ702" i="25" s="1"/>
  <c r="CE702" i="25"/>
  <c r="CH702" i="25" s="1"/>
  <c r="CI702" i="25" s="1"/>
  <c r="CB631" i="25"/>
  <c r="CF631" i="25" s="1"/>
  <c r="CG631" i="25" s="1"/>
  <c r="CJ631" i="25" s="1"/>
  <c r="CE631" i="25"/>
  <c r="CH631" i="25" s="1"/>
  <c r="CI631" i="25" s="1"/>
  <c r="CB712" i="25"/>
  <c r="CF712" i="25" s="1"/>
  <c r="CG712" i="25" s="1"/>
  <c r="CJ712" i="25" s="1"/>
  <c r="CE712" i="25"/>
  <c r="CH712" i="25" s="1"/>
  <c r="CI712" i="25" s="1"/>
  <c r="CB607" i="25"/>
  <c r="CF607" i="25" s="1"/>
  <c r="CG607" i="25" s="1"/>
  <c r="CJ607" i="25" s="1"/>
  <c r="CE607" i="25"/>
  <c r="CH607" i="25" s="1"/>
  <c r="CI607" i="25" s="1"/>
  <c r="CB725" i="25"/>
  <c r="CF725" i="25" s="1"/>
  <c r="CG725" i="25" s="1"/>
  <c r="CJ725" i="25" s="1"/>
  <c r="CE725" i="25"/>
  <c r="CH725" i="25" s="1"/>
  <c r="CI725" i="25" s="1"/>
  <c r="CB744" i="25"/>
  <c r="CF744" i="25" s="1"/>
  <c r="CG744" i="25" s="1"/>
  <c r="CJ744" i="25" s="1"/>
  <c r="CE744" i="25"/>
  <c r="CH744" i="25" s="1"/>
  <c r="CI744" i="25" s="1"/>
  <c r="CE644" i="25"/>
  <c r="CH644" i="25" s="1"/>
  <c r="CI644" i="25" s="1"/>
  <c r="CB644" i="25"/>
  <c r="CF644" i="25" s="1"/>
  <c r="CG644" i="25" s="1"/>
  <c r="CJ644" i="25" s="1"/>
  <c r="CE660" i="25"/>
  <c r="CH660" i="25" s="1"/>
  <c r="CI660" i="25" s="1"/>
  <c r="CB660" i="25"/>
  <c r="CF660" i="25" s="1"/>
  <c r="CG660" i="25" s="1"/>
  <c r="CJ660" i="25" s="1"/>
  <c r="CE676" i="25"/>
  <c r="CH676" i="25" s="1"/>
  <c r="CI676" i="25" s="1"/>
  <c r="CB676" i="25"/>
  <c r="CF676" i="25" s="1"/>
  <c r="CG676" i="25" s="1"/>
  <c r="CJ676" i="25" s="1"/>
  <c r="CB654" i="25"/>
  <c r="CF654" i="25" s="1"/>
  <c r="CG654" i="25" s="1"/>
  <c r="CJ654" i="25" s="1"/>
  <c r="CE654" i="25"/>
  <c r="CH654" i="25" s="1"/>
  <c r="CI654" i="25" s="1"/>
  <c r="CE557" i="25"/>
  <c r="CH557" i="25" s="1"/>
  <c r="CI557" i="25" s="1"/>
  <c r="CB557" i="25"/>
  <c r="CF557" i="25" s="1"/>
  <c r="CG557" i="25" s="1"/>
  <c r="CJ557" i="25" s="1"/>
  <c r="CE574" i="25"/>
  <c r="CH574" i="25" s="1"/>
  <c r="CI574" i="25" s="1"/>
  <c r="CB574" i="25"/>
  <c r="CF574" i="25" s="1"/>
  <c r="CG574" i="25" s="1"/>
  <c r="CJ574" i="25" s="1"/>
  <c r="CE596" i="25"/>
  <c r="CH596" i="25" s="1"/>
  <c r="CI596" i="25" s="1"/>
  <c r="CB596" i="25"/>
  <c r="CF596" i="25" s="1"/>
  <c r="CG596" i="25" s="1"/>
  <c r="CJ596" i="25" s="1"/>
  <c r="CE604" i="25"/>
  <c r="CH604" i="25" s="1"/>
  <c r="CI604" i="25" s="1"/>
  <c r="CB604" i="25"/>
  <c r="CF604" i="25" s="1"/>
  <c r="CG604" i="25" s="1"/>
  <c r="CJ604" i="25" s="1"/>
  <c r="CE621" i="25"/>
  <c r="CH621" i="25" s="1"/>
  <c r="CI621" i="25" s="1"/>
  <c r="CB621" i="25"/>
  <c r="CF621" i="25" s="1"/>
  <c r="CG621" i="25" s="1"/>
  <c r="CJ621" i="25" s="1"/>
  <c r="CE637" i="25"/>
  <c r="CH637" i="25" s="1"/>
  <c r="CI637" i="25" s="1"/>
  <c r="CB637" i="25"/>
  <c r="CF637" i="25" s="1"/>
  <c r="CG637" i="25" s="1"/>
  <c r="CJ637" i="25" s="1"/>
  <c r="CE653" i="25"/>
  <c r="CH653" i="25" s="1"/>
  <c r="CI653" i="25" s="1"/>
  <c r="CB653" i="25"/>
  <c r="CF653" i="25" s="1"/>
  <c r="CG653" i="25" s="1"/>
  <c r="CJ653" i="25" s="1"/>
  <c r="CE669" i="25"/>
  <c r="CH669" i="25" s="1"/>
  <c r="CI669" i="25" s="1"/>
  <c r="CB669" i="25"/>
  <c r="CF669" i="25" s="1"/>
  <c r="CG669" i="25" s="1"/>
  <c r="CJ669" i="25" s="1"/>
  <c r="CE580" i="25"/>
  <c r="CH580" i="25" s="1"/>
  <c r="CI580" i="25" s="1"/>
  <c r="CB580" i="25"/>
  <c r="CF580" i="25" s="1"/>
  <c r="CG580" i="25" s="1"/>
  <c r="CJ580" i="25" s="1"/>
  <c r="CE699" i="25"/>
  <c r="CH699" i="25" s="1"/>
  <c r="CI699" i="25" s="1"/>
  <c r="CB699" i="25"/>
  <c r="CF699" i="25" s="1"/>
  <c r="CG699" i="25" s="1"/>
  <c r="CJ699" i="25" s="1"/>
  <c r="CB721" i="25"/>
  <c r="CF721" i="25" s="1"/>
  <c r="CG721" i="25" s="1"/>
  <c r="CJ721" i="25" s="1"/>
  <c r="CE721" i="25"/>
  <c r="CH721" i="25" s="1"/>
  <c r="CI721" i="25" s="1"/>
  <c r="CB738" i="25"/>
  <c r="CF738" i="25" s="1"/>
  <c r="CG738" i="25" s="1"/>
  <c r="CJ738" i="25" s="1"/>
  <c r="CE738" i="25"/>
  <c r="CH738" i="25" s="1"/>
  <c r="CI738" i="25" s="1"/>
  <c r="CB647" i="25"/>
  <c r="CF647" i="25" s="1"/>
  <c r="CG647" i="25" s="1"/>
  <c r="CJ647" i="25" s="1"/>
  <c r="CE647" i="25"/>
  <c r="CH647" i="25" s="1"/>
  <c r="CI647" i="25" s="1"/>
  <c r="CB689" i="25"/>
  <c r="CF689" i="25" s="1"/>
  <c r="CG689" i="25" s="1"/>
  <c r="CJ689" i="25" s="1"/>
  <c r="CE689" i="25"/>
  <c r="CH689" i="25" s="1"/>
  <c r="CI689" i="25" s="1"/>
  <c r="CE552" i="25"/>
  <c r="CH552" i="25" s="1"/>
  <c r="CI552" i="25" s="1"/>
  <c r="CB552" i="25"/>
  <c r="CF552" i="25" s="1"/>
  <c r="CG552" i="25" s="1"/>
  <c r="CJ552" i="25" s="1"/>
  <c r="CE565" i="25"/>
  <c r="CH565" i="25" s="1"/>
  <c r="CI565" i="25" s="1"/>
  <c r="CB565" i="25"/>
  <c r="CF565" i="25" s="1"/>
  <c r="CG565" i="25" s="1"/>
  <c r="CJ565" i="25" s="1"/>
  <c r="CE597" i="25"/>
  <c r="CH597" i="25" s="1"/>
  <c r="CI597" i="25" s="1"/>
  <c r="CB597" i="25"/>
  <c r="CF597" i="25" s="1"/>
  <c r="CG597" i="25" s="1"/>
  <c r="CJ597" i="25" s="1"/>
  <c r="CE591" i="25"/>
  <c r="CH591" i="25" s="1"/>
  <c r="CI591" i="25" s="1"/>
  <c r="CB591" i="25"/>
  <c r="CF591" i="25" s="1"/>
  <c r="CG591" i="25" s="1"/>
  <c r="CJ591" i="25" s="1"/>
  <c r="CE630" i="25"/>
  <c r="CH630" i="25" s="1"/>
  <c r="CI630" i="25" s="1"/>
  <c r="CB630" i="25"/>
  <c r="CF630" i="25" s="1"/>
  <c r="CG630" i="25" s="1"/>
  <c r="CJ630" i="25" s="1"/>
  <c r="CE646" i="25"/>
  <c r="CH646" i="25" s="1"/>
  <c r="CI646" i="25" s="1"/>
  <c r="CB646" i="25"/>
  <c r="CF646" i="25" s="1"/>
  <c r="CG646" i="25" s="1"/>
  <c r="CJ646" i="25" s="1"/>
  <c r="CE662" i="25"/>
  <c r="CH662" i="25" s="1"/>
  <c r="CI662" i="25" s="1"/>
  <c r="CB662" i="25"/>
  <c r="CF662" i="25" s="1"/>
  <c r="CG662" i="25" s="1"/>
  <c r="CJ662" i="25" s="1"/>
  <c r="CE678" i="25"/>
  <c r="CH678" i="25" s="1"/>
  <c r="CI678" i="25" s="1"/>
  <c r="CB678" i="25"/>
  <c r="CF678" i="25" s="1"/>
  <c r="CG678" i="25" s="1"/>
  <c r="CJ678" i="25" s="1"/>
  <c r="CB547" i="25"/>
  <c r="CF547" i="25" s="1"/>
  <c r="CG547" i="25" s="1"/>
  <c r="CJ547" i="25" s="1"/>
  <c r="CE547" i="25"/>
  <c r="CH547" i="25" s="1"/>
  <c r="CI547" i="25" s="1"/>
  <c r="CB681" i="25"/>
  <c r="CF681" i="25" s="1"/>
  <c r="CG681" i="25" s="1"/>
  <c r="CJ681" i="25" s="1"/>
  <c r="CE681" i="25"/>
  <c r="CH681" i="25" s="1"/>
  <c r="CI681" i="25" s="1"/>
  <c r="CB650" i="25"/>
  <c r="CF650" i="25" s="1"/>
  <c r="CG650" i="25" s="1"/>
  <c r="CJ650" i="25" s="1"/>
  <c r="CE650" i="25"/>
  <c r="CH650" i="25" s="1"/>
  <c r="CI650" i="25" s="1"/>
  <c r="CB555" i="25"/>
  <c r="CF555" i="25" s="1"/>
  <c r="CG555" i="25" s="1"/>
  <c r="CJ555" i="25" s="1"/>
  <c r="CE555" i="25"/>
  <c r="CH555" i="25" s="1"/>
  <c r="CI555" i="25" s="1"/>
  <c r="CB594" i="25"/>
  <c r="CF594" i="25" s="1"/>
  <c r="CG594" i="25" s="1"/>
  <c r="CJ594" i="25" s="1"/>
  <c r="CE594" i="25"/>
  <c r="CH594" i="25" s="1"/>
  <c r="CI594" i="25" s="1"/>
  <c r="CB705" i="25"/>
  <c r="CF705" i="25" s="1"/>
  <c r="CG705" i="25" s="1"/>
  <c r="CJ705" i="25" s="1"/>
  <c r="CE705" i="25"/>
  <c r="CH705" i="25" s="1"/>
  <c r="CI705" i="25" s="1"/>
  <c r="CB682" i="25"/>
  <c r="CF682" i="25" s="1"/>
  <c r="CG682" i="25" s="1"/>
  <c r="CJ682" i="25" s="1"/>
  <c r="CE682" i="25"/>
  <c r="CH682" i="25" s="1"/>
  <c r="CI682" i="25" s="1"/>
  <c r="CB611" i="25"/>
  <c r="CF611" i="25" s="1"/>
  <c r="CG611" i="25" s="1"/>
  <c r="CJ611" i="25" s="1"/>
  <c r="CE611" i="25"/>
  <c r="CH611" i="25" s="1"/>
  <c r="CI611" i="25" s="1"/>
  <c r="CB618" i="25"/>
  <c r="CF618" i="25" s="1"/>
  <c r="CG618" i="25" s="1"/>
  <c r="CJ618" i="25" s="1"/>
  <c r="CE618" i="25"/>
  <c r="CH618" i="25" s="1"/>
  <c r="CI618" i="25" s="1"/>
  <c r="CE586" i="25"/>
  <c r="CH586" i="25" s="1"/>
  <c r="CI586" i="25" s="1"/>
  <c r="CB586" i="25"/>
  <c r="CF586" i="25" s="1"/>
  <c r="CG586" i="25" s="1"/>
  <c r="CJ586" i="25" s="1"/>
  <c r="CE658" i="25"/>
  <c r="CH658" i="25" s="1"/>
  <c r="CI658" i="25" s="1"/>
  <c r="CB658" i="25"/>
  <c r="CF658" i="25" s="1"/>
  <c r="CG658" i="25" s="1"/>
  <c r="CJ658" i="25" s="1"/>
  <c r="CE595" i="25"/>
  <c r="CH595" i="25" s="1"/>
  <c r="CI595" i="25" s="1"/>
  <c r="CB595" i="25"/>
  <c r="CF595" i="25" s="1"/>
  <c r="CG595" i="25" s="1"/>
  <c r="CJ595" i="25" s="1"/>
  <c r="CE590" i="25"/>
  <c r="CH590" i="25" s="1"/>
  <c r="CI590" i="25" s="1"/>
  <c r="CB590" i="25"/>
  <c r="CF590" i="25" s="1"/>
  <c r="CG590" i="25" s="1"/>
  <c r="CJ590" i="25" s="1"/>
  <c r="CE628" i="25"/>
  <c r="CH628" i="25" s="1"/>
  <c r="CI628" i="25" s="1"/>
  <c r="CB628" i="25"/>
  <c r="CF628" i="25" s="1"/>
  <c r="CG628" i="25" s="1"/>
  <c r="CJ628" i="25" s="1"/>
  <c r="CB691" i="25"/>
  <c r="CF691" i="25" s="1"/>
  <c r="CG691" i="25" s="1"/>
  <c r="CJ691" i="25" s="1"/>
  <c r="CE691" i="25"/>
  <c r="CH691" i="25" s="1"/>
  <c r="CI691" i="25" s="1"/>
  <c r="CB617" i="25"/>
  <c r="CF617" i="25" s="1"/>
  <c r="CG617" i="25" s="1"/>
  <c r="CJ617" i="25" s="1"/>
  <c r="CE617" i="25"/>
  <c r="CH617" i="25" s="1"/>
  <c r="CI617" i="25" s="1"/>
  <c r="CB633" i="25"/>
  <c r="CF633" i="25" s="1"/>
  <c r="CG633" i="25" s="1"/>
  <c r="CJ633" i="25" s="1"/>
  <c r="CE633" i="25"/>
  <c r="CH633" i="25" s="1"/>
  <c r="CI633" i="25" s="1"/>
  <c r="CB649" i="25"/>
  <c r="CF649" i="25" s="1"/>
  <c r="CG649" i="25" s="1"/>
  <c r="CJ649" i="25" s="1"/>
  <c r="CE649" i="25"/>
  <c r="CH649" i="25" s="1"/>
  <c r="CI649" i="25" s="1"/>
  <c r="CB665" i="25"/>
  <c r="CF665" i="25" s="1"/>
  <c r="CG665" i="25" s="1"/>
  <c r="CJ665" i="25" s="1"/>
  <c r="CE665" i="25"/>
  <c r="CH665" i="25" s="1"/>
  <c r="CI665" i="25" s="1"/>
  <c r="CE610" i="25"/>
  <c r="CH610" i="25" s="1"/>
  <c r="CI610" i="25" s="1"/>
  <c r="CB610" i="25"/>
  <c r="CF610" i="25" s="1"/>
  <c r="CG610" i="25" s="1"/>
  <c r="CJ610" i="25" s="1"/>
  <c r="CE627" i="25"/>
  <c r="CH627" i="25" s="1"/>
  <c r="CI627" i="25" s="1"/>
  <c r="CB627" i="25"/>
  <c r="CF627" i="25" s="1"/>
  <c r="CG627" i="25" s="1"/>
  <c r="CJ627" i="25" s="1"/>
  <c r="CE643" i="25"/>
  <c r="CH643" i="25" s="1"/>
  <c r="CI643" i="25" s="1"/>
  <c r="CB643" i="25"/>
  <c r="CF643" i="25" s="1"/>
  <c r="CG643" i="25" s="1"/>
  <c r="CJ643" i="25" s="1"/>
  <c r="CE659" i="25"/>
  <c r="CH659" i="25" s="1"/>
  <c r="CI659" i="25" s="1"/>
  <c r="CB659" i="25"/>
  <c r="CF659" i="25" s="1"/>
  <c r="CG659" i="25" s="1"/>
  <c r="CJ659" i="25" s="1"/>
  <c r="CE675" i="25"/>
  <c r="CH675" i="25" s="1"/>
  <c r="CI675" i="25" s="1"/>
  <c r="CB675" i="25"/>
  <c r="CF675" i="25" s="1"/>
  <c r="CG675" i="25" s="1"/>
  <c r="CJ675" i="25" s="1"/>
  <c r="CE690" i="25"/>
  <c r="CH690" i="25" s="1"/>
  <c r="CI690" i="25" s="1"/>
  <c r="CB690" i="25"/>
  <c r="CF690" i="25" s="1"/>
  <c r="CG690" i="25" s="1"/>
  <c r="CJ690" i="25" s="1"/>
  <c r="CB708" i="25"/>
  <c r="CF708" i="25" s="1"/>
  <c r="CG708" i="25" s="1"/>
  <c r="CJ708" i="25" s="1"/>
  <c r="CE708" i="25"/>
  <c r="CH708" i="25" s="1"/>
  <c r="CI708" i="25" s="1"/>
  <c r="CB729" i="25"/>
  <c r="CF729" i="25" s="1"/>
  <c r="CG729" i="25" s="1"/>
  <c r="CJ729" i="25" s="1"/>
  <c r="CE729" i="25"/>
  <c r="CH729" i="25" s="1"/>
  <c r="CI729" i="25" s="1"/>
  <c r="CB746" i="25"/>
  <c r="CF746" i="25" s="1"/>
  <c r="CG746" i="25" s="1"/>
  <c r="CJ746" i="25" s="1"/>
  <c r="CE746" i="25"/>
  <c r="CH746" i="25" s="1"/>
  <c r="CI746" i="25" s="1"/>
  <c r="CE564" i="25"/>
  <c r="CH564" i="25" s="1"/>
  <c r="CI564" i="25" s="1"/>
  <c r="CB564" i="25"/>
  <c r="CF564" i="25" s="1"/>
  <c r="CG564" i="25" s="1"/>
  <c r="CJ564" i="25" s="1"/>
  <c r="CB731" i="25"/>
  <c r="CF731" i="25" s="1"/>
  <c r="CG731" i="25" s="1"/>
  <c r="CJ731" i="25" s="1"/>
  <c r="CE731" i="25"/>
  <c r="CH731" i="25" s="1"/>
  <c r="CI731" i="25" s="1"/>
  <c r="CB615" i="25"/>
  <c r="CF615" i="25" s="1"/>
  <c r="CG615" i="25" s="1"/>
  <c r="CJ615" i="25" s="1"/>
  <c r="CE615" i="25"/>
  <c r="CH615" i="25" s="1"/>
  <c r="CI615" i="25" s="1"/>
  <c r="CB732" i="25"/>
  <c r="CF732" i="25" s="1"/>
  <c r="CG732" i="25" s="1"/>
  <c r="CJ732" i="25" s="1"/>
  <c r="CE732" i="25"/>
  <c r="CH732" i="25" s="1"/>
  <c r="CI732" i="25" s="1"/>
  <c r="CB687" i="25"/>
  <c r="CF687" i="25" s="1"/>
  <c r="CG687" i="25" s="1"/>
  <c r="CJ687" i="25" s="1"/>
  <c r="CE687" i="25"/>
  <c r="CH687" i="25" s="1"/>
  <c r="CI687" i="25" s="1"/>
  <c r="CB688" i="25"/>
  <c r="CF688" i="25" s="1"/>
  <c r="CG688" i="25" s="1"/>
  <c r="CJ688" i="25" s="1"/>
  <c r="CE688" i="25"/>
  <c r="CH688" i="25" s="1"/>
  <c r="CI688" i="25" s="1"/>
  <c r="CB739" i="25"/>
  <c r="CF739" i="25" s="1"/>
  <c r="CG739" i="25" s="1"/>
  <c r="CJ739" i="25" s="1"/>
  <c r="CE739" i="25"/>
  <c r="CH739" i="25" s="1"/>
  <c r="CI739" i="25" s="1"/>
  <c r="CB554" i="25"/>
  <c r="CF554" i="25" s="1"/>
  <c r="CG554" i="25" s="1"/>
  <c r="CJ554" i="25" s="1"/>
  <c r="CE554" i="25"/>
  <c r="CH554" i="25" s="1"/>
  <c r="CI554" i="25" s="1"/>
  <c r="CB666" i="25"/>
  <c r="CF666" i="25" s="1"/>
  <c r="CG666" i="25" s="1"/>
  <c r="CJ666" i="25" s="1"/>
  <c r="CE666" i="25"/>
  <c r="CH666" i="25" s="1"/>
  <c r="CI666" i="25" s="1"/>
  <c r="CB545" i="25"/>
  <c r="CF545" i="25" s="1"/>
  <c r="CG545" i="25" s="1"/>
  <c r="CJ545" i="25" s="1"/>
  <c r="CE545" i="25"/>
  <c r="CH545" i="25" s="1"/>
  <c r="CI545" i="25" s="1"/>
  <c r="CB559" i="25"/>
  <c r="CF559" i="25" s="1"/>
  <c r="CG559" i="25" s="1"/>
  <c r="CJ559" i="25" s="1"/>
  <c r="CE559" i="25"/>
  <c r="CH559" i="25" s="1"/>
  <c r="CI559" i="25" s="1"/>
  <c r="CB575" i="25"/>
  <c r="CF575" i="25" s="1"/>
  <c r="CG575" i="25" s="1"/>
  <c r="CJ575" i="25" s="1"/>
  <c r="CE575" i="25"/>
  <c r="CH575" i="25" s="1"/>
  <c r="CI575" i="25" s="1"/>
  <c r="CB593" i="25"/>
  <c r="CF593" i="25" s="1"/>
  <c r="CG593" i="25" s="1"/>
  <c r="CJ593" i="25" s="1"/>
  <c r="CE593" i="25"/>
  <c r="CH593" i="25" s="1"/>
  <c r="CI593" i="25" s="1"/>
  <c r="CB606" i="25"/>
  <c r="CF606" i="25" s="1"/>
  <c r="CG606" i="25" s="1"/>
  <c r="CJ606" i="25" s="1"/>
  <c r="CE606" i="25"/>
  <c r="CH606" i="25" s="1"/>
  <c r="CI606" i="25" s="1"/>
  <c r="CB623" i="25"/>
  <c r="CF623" i="25" s="1"/>
  <c r="CG623" i="25" s="1"/>
  <c r="CJ623" i="25" s="1"/>
  <c r="CE623" i="25"/>
  <c r="CH623" i="25" s="1"/>
  <c r="CI623" i="25" s="1"/>
  <c r="CB639" i="25"/>
  <c r="CF639" i="25" s="1"/>
  <c r="CG639" i="25" s="1"/>
  <c r="CJ639" i="25" s="1"/>
  <c r="CE639" i="25"/>
  <c r="CH639" i="25" s="1"/>
  <c r="CI639" i="25" s="1"/>
  <c r="CB655" i="25"/>
  <c r="CF655" i="25" s="1"/>
  <c r="CG655" i="25" s="1"/>
  <c r="CJ655" i="25" s="1"/>
  <c r="CE655" i="25"/>
  <c r="CH655" i="25" s="1"/>
  <c r="CI655" i="25" s="1"/>
  <c r="CB671" i="25"/>
  <c r="CF671" i="25" s="1"/>
  <c r="CG671" i="25" s="1"/>
  <c r="CJ671" i="25" s="1"/>
  <c r="CE671" i="25"/>
  <c r="CH671" i="25" s="1"/>
  <c r="CI671" i="25" s="1"/>
  <c r="CB686" i="25"/>
  <c r="CF686" i="25" s="1"/>
  <c r="CG686" i="25" s="1"/>
  <c r="CJ686" i="25" s="1"/>
  <c r="CE686" i="25"/>
  <c r="CH686" i="25" s="1"/>
  <c r="CI686" i="25" s="1"/>
  <c r="CB701" i="25"/>
  <c r="CF701" i="25" s="1"/>
  <c r="CG701" i="25" s="1"/>
  <c r="CJ701" i="25" s="1"/>
  <c r="CE701" i="25"/>
  <c r="CH701" i="25" s="1"/>
  <c r="CI701" i="25" s="1"/>
  <c r="CB723" i="25"/>
  <c r="CF723" i="25" s="1"/>
  <c r="CG723" i="25" s="1"/>
  <c r="CJ723" i="25" s="1"/>
  <c r="CE723" i="25"/>
  <c r="CH723" i="25" s="1"/>
  <c r="CI723" i="25" s="1"/>
  <c r="CB740" i="25"/>
  <c r="CF740" i="25" s="1"/>
  <c r="CG740" i="25" s="1"/>
  <c r="CJ740" i="25" s="1"/>
  <c r="CE740" i="25"/>
  <c r="CH740" i="25" s="1"/>
  <c r="CI740" i="25" s="1"/>
  <c r="CB585" i="25"/>
  <c r="CF585" i="25" s="1"/>
  <c r="CG585" i="25" s="1"/>
  <c r="CJ585" i="25" s="1"/>
  <c r="CE585" i="25"/>
  <c r="CH585" i="25" s="1"/>
  <c r="CI585" i="25" s="1"/>
  <c r="CB553" i="25"/>
  <c r="CF553" i="25" s="1"/>
  <c r="CG553" i="25" s="1"/>
  <c r="CJ553" i="25" s="1"/>
  <c r="CE553" i="25"/>
  <c r="CH553" i="25" s="1"/>
  <c r="CI553" i="25" s="1"/>
  <c r="CB568" i="25"/>
  <c r="CF568" i="25" s="1"/>
  <c r="CG568" i="25" s="1"/>
  <c r="CJ568" i="25" s="1"/>
  <c r="CE568" i="25"/>
  <c r="CH568" i="25" s="1"/>
  <c r="CI568" i="25" s="1"/>
  <c r="CB697" i="25"/>
  <c r="CF697" i="25" s="1"/>
  <c r="CG697" i="25" s="1"/>
  <c r="CJ697" i="25" s="1"/>
  <c r="CE697" i="25"/>
  <c r="CH697" i="25" s="1"/>
  <c r="CI697" i="25" s="1"/>
  <c r="CB599" i="25"/>
  <c r="CF599" i="25" s="1"/>
  <c r="CG599" i="25" s="1"/>
  <c r="CJ599" i="25" s="1"/>
  <c r="CE599" i="25"/>
  <c r="CH599" i="25" s="1"/>
  <c r="CI599" i="25" s="1"/>
  <c r="CB616" i="25"/>
  <c r="CF616" i="25" s="1"/>
  <c r="CG616" i="25" s="1"/>
  <c r="CJ616" i="25" s="1"/>
  <c r="CE616" i="25"/>
  <c r="CH616" i="25" s="1"/>
  <c r="CI616" i="25" s="1"/>
  <c r="CB632" i="25"/>
  <c r="CF632" i="25" s="1"/>
  <c r="CG632" i="25" s="1"/>
  <c r="CJ632" i="25" s="1"/>
  <c r="CE632" i="25"/>
  <c r="CH632" i="25" s="1"/>
  <c r="CI632" i="25" s="1"/>
  <c r="CB584" i="25"/>
  <c r="CF584" i="25" s="1"/>
  <c r="CG584" i="25" s="1"/>
  <c r="CJ584" i="25" s="1"/>
  <c r="CE584" i="25"/>
  <c r="CH584" i="25" s="1"/>
  <c r="CI584" i="25" s="1"/>
  <c r="CB664" i="25"/>
  <c r="CF664" i="25" s="1"/>
  <c r="CG664" i="25" s="1"/>
  <c r="CJ664" i="25" s="1"/>
  <c r="CE664" i="25"/>
  <c r="CH664" i="25" s="1"/>
  <c r="CI664" i="25" s="1"/>
  <c r="CB566" i="25"/>
  <c r="CF566" i="25" s="1"/>
  <c r="CG566" i="25" s="1"/>
  <c r="CJ566" i="25" s="1"/>
  <c r="CE566" i="25"/>
  <c r="CH566" i="25" s="1"/>
  <c r="CI566" i="25" s="1"/>
  <c r="CB695" i="25"/>
  <c r="CF695" i="25" s="1"/>
  <c r="CG695" i="25" s="1"/>
  <c r="CJ695" i="25" s="1"/>
  <c r="CE695" i="25"/>
  <c r="CH695" i="25" s="1"/>
  <c r="CI695" i="25" s="1"/>
  <c r="CB714" i="25"/>
  <c r="CF714" i="25" s="1"/>
  <c r="CG714" i="25" s="1"/>
  <c r="CJ714" i="25" s="1"/>
  <c r="CE714" i="25"/>
  <c r="CH714" i="25" s="1"/>
  <c r="CI714" i="25" s="1"/>
  <c r="CB733" i="25"/>
  <c r="CF733" i="25" s="1"/>
  <c r="CG733" i="25" s="1"/>
  <c r="CJ733" i="25" s="1"/>
  <c r="CE733" i="25"/>
  <c r="CH733" i="25" s="1"/>
  <c r="CI733" i="25" s="1"/>
  <c r="CB704" i="25"/>
  <c r="CF704" i="25" s="1"/>
  <c r="CG704" i="25" s="1"/>
  <c r="CJ704" i="25" s="1"/>
  <c r="CE704" i="25"/>
  <c r="CH704" i="25" s="1"/>
  <c r="CI704" i="25" s="1"/>
  <c r="CB626" i="25"/>
  <c r="CF626" i="25" s="1"/>
  <c r="CG626" i="25" s="1"/>
  <c r="CJ626" i="25" s="1"/>
  <c r="CE626" i="25"/>
  <c r="CH626" i="25" s="1"/>
  <c r="CI626" i="25" s="1"/>
  <c r="CB735" i="25"/>
  <c r="CF735" i="25" s="1"/>
  <c r="CG735" i="25" s="1"/>
  <c r="CJ735" i="25" s="1"/>
  <c r="CE735" i="25"/>
  <c r="CH735" i="25" s="1"/>
  <c r="CI735" i="25" s="1"/>
  <c r="CB569" i="25"/>
  <c r="CF569" i="25" s="1"/>
  <c r="CG569" i="25" s="1"/>
  <c r="CJ569" i="25" s="1"/>
  <c r="CE569" i="25"/>
  <c r="CH569" i="25" s="1"/>
  <c r="CI569" i="25" s="1"/>
  <c r="CB698" i="25"/>
  <c r="CF698" i="25" s="1"/>
  <c r="CG698" i="25" s="1"/>
  <c r="CJ698" i="25" s="1"/>
  <c r="CE698" i="25"/>
  <c r="CH698" i="25" s="1"/>
  <c r="CI698" i="25" s="1"/>
  <c r="CB600" i="25"/>
  <c r="CF600" i="25" s="1"/>
  <c r="CG600" i="25" s="1"/>
  <c r="CJ600" i="25" s="1"/>
  <c r="CE600" i="25"/>
  <c r="CH600" i="25" s="1"/>
  <c r="CI600" i="25" s="1"/>
  <c r="CB570" i="25"/>
  <c r="CF570" i="25" s="1"/>
  <c r="CG570" i="25" s="1"/>
  <c r="CJ570" i="25" s="1"/>
  <c r="CE570" i="25"/>
  <c r="CH570" i="25" s="1"/>
  <c r="CI570" i="25" s="1"/>
  <c r="CB674" i="25"/>
  <c r="CF674" i="25" s="1"/>
  <c r="CG674" i="25" s="1"/>
  <c r="CJ674" i="25" s="1"/>
  <c r="CE674" i="25"/>
  <c r="CH674" i="25" s="1"/>
  <c r="CI674" i="25" s="1"/>
  <c r="CE549" i="25"/>
  <c r="CH549" i="25" s="1"/>
  <c r="CI549" i="25" s="1"/>
  <c r="CB549" i="25"/>
  <c r="CF549" i="25" s="1"/>
  <c r="CG549" i="25" s="1"/>
  <c r="CJ549" i="25" s="1"/>
  <c r="CE558" i="25"/>
  <c r="CH558" i="25" s="1"/>
  <c r="CI558" i="25" s="1"/>
  <c r="CB558" i="25"/>
  <c r="CF558" i="25" s="1"/>
  <c r="CG558" i="25" s="1"/>
  <c r="CJ558" i="25" s="1"/>
  <c r="CE582" i="25"/>
  <c r="CH582" i="25" s="1"/>
  <c r="CI582" i="25" s="1"/>
  <c r="CB582" i="25"/>
  <c r="CF582" i="25" s="1"/>
  <c r="CG582" i="25" s="1"/>
  <c r="CJ582" i="25" s="1"/>
  <c r="CE589" i="25"/>
  <c r="CH589" i="25" s="1"/>
  <c r="CI589" i="25" s="1"/>
  <c r="CB589" i="25"/>
  <c r="CF589" i="25" s="1"/>
  <c r="CG589" i="25" s="1"/>
  <c r="CJ589" i="25" s="1"/>
  <c r="CB609" i="25"/>
  <c r="CF609" i="25" s="1"/>
  <c r="CG609" i="25" s="1"/>
  <c r="CJ609" i="25" s="1"/>
  <c r="CE609" i="25"/>
  <c r="CH609" i="25" s="1"/>
  <c r="CI609" i="25" s="1"/>
  <c r="CB571" i="25"/>
  <c r="CF571" i="25" s="1"/>
  <c r="CG571" i="25" s="1"/>
  <c r="CJ571" i="25" s="1"/>
  <c r="CE571" i="25"/>
  <c r="CH571" i="25" s="1"/>
  <c r="CI571" i="25" s="1"/>
  <c r="CB679" i="25"/>
  <c r="CF679" i="25" s="1"/>
  <c r="CG679" i="25" s="1"/>
  <c r="CJ679" i="25" s="1"/>
  <c r="CE679" i="25"/>
  <c r="CH679" i="25" s="1"/>
  <c r="CI679" i="25" s="1"/>
  <c r="CB551" i="25"/>
  <c r="CF551" i="25" s="1"/>
  <c r="CG551" i="25" s="1"/>
  <c r="CJ551" i="25" s="1"/>
  <c r="CE551" i="25"/>
  <c r="CH551" i="25" s="1"/>
  <c r="CI551" i="25" s="1"/>
  <c r="CB624" i="25"/>
  <c r="CF624" i="25" s="1"/>
  <c r="CG624" i="25" s="1"/>
  <c r="CJ624" i="25" s="1"/>
  <c r="CE624" i="25"/>
  <c r="CH624" i="25" s="1"/>
  <c r="CI624" i="25" s="1"/>
  <c r="CB556" i="25"/>
  <c r="CF556" i="25" s="1"/>
  <c r="CG556" i="25" s="1"/>
  <c r="CJ556" i="25" s="1"/>
  <c r="CE556" i="25"/>
  <c r="CH556" i="25" s="1"/>
  <c r="CI556" i="25" s="1"/>
  <c r="CE560" i="25"/>
  <c r="CH560" i="25" s="1"/>
  <c r="CI560" i="25" s="1"/>
  <c r="CB560" i="25"/>
  <c r="CF560" i="25" s="1"/>
  <c r="CG560" i="25" s="1"/>
  <c r="CJ560" i="25" s="1"/>
  <c r="CB693" i="25"/>
  <c r="CF693" i="25" s="1"/>
  <c r="CG693" i="25" s="1"/>
  <c r="CJ693" i="25" s="1"/>
  <c r="CE693" i="25"/>
  <c r="CH693" i="25" s="1"/>
  <c r="CI693" i="25" s="1"/>
  <c r="CB713" i="25"/>
  <c r="CF713" i="25" s="1"/>
  <c r="CG713" i="25" s="1"/>
  <c r="CJ713" i="25" s="1"/>
  <c r="CE713" i="25"/>
  <c r="CH713" i="25" s="1"/>
  <c r="CI713" i="25" s="1"/>
  <c r="CB737" i="25"/>
  <c r="CF737" i="25" s="1"/>
  <c r="CG737" i="25" s="1"/>
  <c r="CJ737" i="25" s="1"/>
  <c r="CE737" i="25"/>
  <c r="CH737" i="25" s="1"/>
  <c r="CI737" i="25" s="1"/>
  <c r="CB548" i="25"/>
  <c r="CF548" i="25" s="1"/>
  <c r="CG548" i="25" s="1"/>
  <c r="CJ548" i="25" s="1"/>
  <c r="CE548" i="25"/>
  <c r="CH548" i="25" s="1"/>
  <c r="CI548" i="25" s="1"/>
  <c r="CE685" i="25"/>
  <c r="CH685" i="25" s="1"/>
  <c r="CI685" i="25" s="1"/>
  <c r="CB685" i="25"/>
  <c r="CF685" i="25" s="1"/>
  <c r="CG685" i="25" s="1"/>
  <c r="CJ685" i="25" s="1"/>
  <c r="CB700" i="25"/>
  <c r="CF700" i="25" s="1"/>
  <c r="CG700" i="25" s="1"/>
  <c r="CJ700" i="25" s="1"/>
  <c r="CE700" i="25"/>
  <c r="CH700" i="25" s="1"/>
  <c r="CI700" i="25" s="1"/>
  <c r="CB722" i="25"/>
  <c r="CF722" i="25" s="1"/>
  <c r="CG722" i="25" s="1"/>
  <c r="CJ722" i="25" s="1"/>
  <c r="CE722" i="25"/>
  <c r="CH722" i="25" s="1"/>
  <c r="CI722" i="25" s="1"/>
  <c r="CB648" i="25"/>
  <c r="CF648" i="25" s="1"/>
  <c r="CG648" i="25" s="1"/>
  <c r="CJ648" i="25" s="1"/>
  <c r="CE648" i="25"/>
  <c r="CH648" i="25" s="1"/>
  <c r="CI648" i="25" s="1"/>
  <c r="CB706" i="25"/>
  <c r="CF706" i="25" s="1"/>
  <c r="CG706" i="25" s="1"/>
  <c r="CJ706" i="25" s="1"/>
  <c r="CE706" i="25"/>
  <c r="CH706" i="25" s="1"/>
  <c r="CI706" i="25" s="1"/>
  <c r="CB726" i="25"/>
  <c r="CF726" i="25" s="1"/>
  <c r="CG726" i="25" s="1"/>
  <c r="CJ726" i="25" s="1"/>
  <c r="CE726" i="25"/>
  <c r="CH726" i="25" s="1"/>
  <c r="CI726" i="25" s="1"/>
  <c r="CB743" i="25"/>
  <c r="CF743" i="25" s="1"/>
  <c r="CG743" i="25" s="1"/>
  <c r="CJ743" i="25" s="1"/>
  <c r="CE743" i="25"/>
  <c r="CH743" i="25" s="1"/>
  <c r="CI743" i="25" s="1"/>
  <c r="CB588" i="25"/>
  <c r="CF588" i="25" s="1"/>
  <c r="CG588" i="25" s="1"/>
  <c r="CJ588" i="25" s="1"/>
  <c r="CE588" i="25"/>
  <c r="CH588" i="25" s="1"/>
  <c r="CI588" i="25" s="1"/>
  <c r="CB720" i="25"/>
  <c r="CF720" i="25" s="1"/>
  <c r="CG720" i="25" s="1"/>
  <c r="CJ720" i="25" s="1"/>
  <c r="CE720" i="25"/>
  <c r="CH720" i="25" s="1"/>
  <c r="CI720" i="25" s="1"/>
  <c r="CB672" i="25"/>
  <c r="CF672" i="25" s="1"/>
  <c r="CG672" i="25" s="1"/>
  <c r="CJ672" i="25" s="1"/>
  <c r="CE672" i="25"/>
  <c r="CH672" i="25" s="1"/>
  <c r="CI672" i="25" s="1"/>
  <c r="CE550" i="25"/>
  <c r="CH550" i="25" s="1"/>
  <c r="CI550" i="25" s="1"/>
  <c r="CB550" i="25"/>
  <c r="CF550" i="25" s="1"/>
  <c r="CG550" i="25" s="1"/>
  <c r="CJ550" i="25" s="1"/>
  <c r="CE652" i="25"/>
  <c r="CH652" i="25" s="1"/>
  <c r="CI652" i="25" s="1"/>
  <c r="CB652" i="25"/>
  <c r="CF652" i="25" s="1"/>
  <c r="CG652" i="25" s="1"/>
  <c r="CJ652" i="25" s="1"/>
  <c r="CB683" i="25"/>
  <c r="CF683" i="25" s="1"/>
  <c r="CG683" i="25" s="1"/>
  <c r="CJ683" i="25" s="1"/>
  <c r="CE683" i="25"/>
  <c r="CH683" i="25" s="1"/>
  <c r="CI683" i="25" s="1"/>
  <c r="CE563" i="25"/>
  <c r="CH563" i="25" s="1"/>
  <c r="CI563" i="25" s="1"/>
  <c r="CB563" i="25"/>
  <c r="CF563" i="25" s="1"/>
  <c r="CG563" i="25" s="1"/>
  <c r="CJ563" i="25" s="1"/>
  <c r="CE598" i="25"/>
  <c r="CH598" i="25" s="1"/>
  <c r="CI598" i="25" s="1"/>
  <c r="CB598" i="25"/>
  <c r="CF598" i="25" s="1"/>
  <c r="CG598" i="25" s="1"/>
  <c r="CJ598" i="25" s="1"/>
  <c r="CE629" i="25"/>
  <c r="CH629" i="25" s="1"/>
  <c r="CI629" i="25" s="1"/>
  <c r="CB629" i="25"/>
  <c r="CF629" i="25" s="1"/>
  <c r="CG629" i="25" s="1"/>
  <c r="CJ629" i="25" s="1"/>
  <c r="CE661" i="25"/>
  <c r="CH661" i="25" s="1"/>
  <c r="CI661" i="25" s="1"/>
  <c r="CB661" i="25"/>
  <c r="CF661" i="25" s="1"/>
  <c r="CG661" i="25" s="1"/>
  <c r="CJ661" i="25" s="1"/>
  <c r="CE677" i="25"/>
  <c r="CH677" i="25" s="1"/>
  <c r="CI677" i="25" s="1"/>
  <c r="CB677" i="25"/>
  <c r="CF677" i="25" s="1"/>
  <c r="CG677" i="25" s="1"/>
  <c r="CJ677" i="25" s="1"/>
  <c r="CE692" i="25"/>
  <c r="CH692" i="25" s="1"/>
  <c r="CI692" i="25" s="1"/>
  <c r="CB692" i="25"/>
  <c r="CF692" i="25" s="1"/>
  <c r="CG692" i="25" s="1"/>
  <c r="CJ692" i="25" s="1"/>
  <c r="CE710" i="25"/>
  <c r="CH710" i="25" s="1"/>
  <c r="CI710" i="25" s="1"/>
  <c r="CB710" i="25"/>
  <c r="CF710" i="25" s="1"/>
  <c r="CG710" i="25" s="1"/>
  <c r="CJ710" i="25" s="1"/>
  <c r="CB727" i="25"/>
  <c r="CF727" i="25" s="1"/>
  <c r="CG727" i="25" s="1"/>
  <c r="CJ727" i="25" s="1"/>
  <c r="CE727" i="25"/>
  <c r="CH727" i="25" s="1"/>
  <c r="CI727" i="25" s="1"/>
  <c r="CB634" i="25"/>
  <c r="CF634" i="25" s="1"/>
  <c r="CG634" i="25" s="1"/>
  <c r="CJ634" i="25" s="1"/>
  <c r="CE634" i="25"/>
  <c r="CH634" i="25" s="1"/>
  <c r="CI634" i="25" s="1"/>
  <c r="CB724" i="25"/>
  <c r="CF724" i="25" s="1"/>
  <c r="CG724" i="25" s="1"/>
  <c r="CJ724" i="25" s="1"/>
  <c r="CE724" i="25"/>
  <c r="CH724" i="25" s="1"/>
  <c r="CI724" i="25" s="1"/>
  <c r="CE573" i="25"/>
  <c r="CH573" i="25" s="1"/>
  <c r="CI573" i="25" s="1"/>
  <c r="CB573" i="25"/>
  <c r="CF573" i="25" s="1"/>
  <c r="CG573" i="25" s="1"/>
  <c r="CJ573" i="25" s="1"/>
  <c r="CE578" i="25"/>
  <c r="CH578" i="25" s="1"/>
  <c r="CI578" i="25" s="1"/>
  <c r="CB578" i="25"/>
  <c r="CF578" i="25" s="1"/>
  <c r="CG578" i="25" s="1"/>
  <c r="CJ578" i="25" s="1"/>
  <c r="CE592" i="25"/>
  <c r="CH592" i="25" s="1"/>
  <c r="CI592" i="25" s="1"/>
  <c r="CB592" i="25"/>
  <c r="CF592" i="25" s="1"/>
  <c r="CG592" i="25" s="1"/>
  <c r="CJ592" i="25" s="1"/>
  <c r="CE605" i="25"/>
  <c r="CH605" i="25" s="1"/>
  <c r="CI605" i="25" s="1"/>
  <c r="CB605" i="25"/>
  <c r="CF605" i="25" s="1"/>
  <c r="CG605" i="25" s="1"/>
  <c r="CJ605" i="25" s="1"/>
  <c r="CE622" i="25"/>
  <c r="CH622" i="25" s="1"/>
  <c r="CI622" i="25" s="1"/>
  <c r="CB622" i="25"/>
  <c r="CF622" i="25" s="1"/>
  <c r="CG622" i="25" s="1"/>
  <c r="CJ622" i="25" s="1"/>
  <c r="CE638" i="25"/>
  <c r="CH638" i="25" s="1"/>
  <c r="CI638" i="25" s="1"/>
  <c r="CB638" i="25"/>
  <c r="CF638" i="25" s="1"/>
  <c r="CG638" i="25" s="1"/>
  <c r="CJ638" i="25" s="1"/>
  <c r="CE680" i="25"/>
  <c r="CH680" i="25" s="1"/>
  <c r="CI680" i="25" s="1"/>
  <c r="CB680" i="25"/>
  <c r="CF680" i="25" s="1"/>
  <c r="CG680" i="25" s="1"/>
  <c r="CJ680" i="25" s="1"/>
  <c r="CE670" i="25"/>
  <c r="CH670" i="25" s="1"/>
  <c r="CI670" i="25" s="1"/>
  <c r="CB670" i="25"/>
  <c r="CF670" i="25" s="1"/>
  <c r="CG670" i="25" s="1"/>
  <c r="CJ670" i="25" s="1"/>
  <c r="CB613" i="25"/>
  <c r="CF613" i="25" s="1"/>
  <c r="CG613" i="25" s="1"/>
  <c r="CJ613" i="25" s="1"/>
  <c r="CE613" i="25"/>
  <c r="CH613" i="25" s="1"/>
  <c r="CI613" i="25" s="1"/>
  <c r="CB707" i="25"/>
  <c r="CF707" i="25" s="1"/>
  <c r="CG707" i="25" s="1"/>
  <c r="CJ707" i="25" s="1"/>
  <c r="CE707" i="25"/>
  <c r="CH707" i="25" s="1"/>
  <c r="CI707" i="25" s="1"/>
  <c r="Y60" i="92" l="1"/>
  <c r="Y59" i="92"/>
  <c r="K60" i="92"/>
  <c r="K62" i="92"/>
  <c r="K59" i="92"/>
  <c r="G483" i="25"/>
  <c r="G484" i="25"/>
  <c r="BQ483" i="25"/>
  <c r="BQ484" i="25"/>
  <c r="BR483" i="25"/>
  <c r="BR484" i="25"/>
  <c r="BT483" i="25"/>
  <c r="BT484" i="25"/>
  <c r="BU483" i="25"/>
  <c r="BU484" i="25"/>
  <c r="BV483" i="25"/>
  <c r="BV484" i="25"/>
  <c r="BW483" i="25"/>
  <c r="BW484" i="25"/>
  <c r="BX483" i="25"/>
  <c r="BX484" i="25"/>
  <c r="CC483" i="25"/>
  <c r="CD483" i="25" s="1"/>
  <c r="CC484" i="25"/>
  <c r="CD484" i="25" s="1"/>
  <c r="CK483" i="25"/>
  <c r="CK484" i="25"/>
  <c r="CL483" i="25"/>
  <c r="CL484" i="25"/>
  <c r="CT483" i="25"/>
  <c r="CT484" i="25"/>
  <c r="CU483" i="25"/>
  <c r="DB483" i="25" s="1"/>
  <c r="CU484" i="25"/>
  <c r="DB484" i="25" s="1"/>
  <c r="CV483" i="25"/>
  <c r="CV484" i="25"/>
  <c r="CW483" i="25"/>
  <c r="CW484" i="25"/>
  <c r="DC483" i="25"/>
  <c r="DC484" i="25"/>
  <c r="DD483" i="25"/>
  <c r="DD484" i="25"/>
  <c r="DE483" i="25"/>
  <c r="DE484" i="25"/>
  <c r="DG483" i="25"/>
  <c r="DG484" i="25"/>
  <c r="DJ483" i="25"/>
  <c r="DJ484" i="25"/>
  <c r="DK483" i="25"/>
  <c r="DK484" i="25"/>
  <c r="DL483" i="25"/>
  <c r="CO483" i="25" s="1"/>
  <c r="DL484" i="25"/>
  <c r="CO484" i="25" s="1"/>
  <c r="DM483" i="25"/>
  <c r="DM484" i="25"/>
  <c r="DN483" i="25"/>
  <c r="DN484" i="25"/>
  <c r="DO483" i="25"/>
  <c r="DO484" i="25"/>
  <c r="DP483" i="25"/>
  <c r="DP484" i="25"/>
  <c r="DQ483" i="25"/>
  <c r="DQ484" i="25"/>
  <c r="DR483" i="25"/>
  <c r="DR484" i="25"/>
  <c r="G485" i="25"/>
  <c r="G486" i="25"/>
  <c r="G487" i="25"/>
  <c r="G488" i="25"/>
  <c r="G489" i="25"/>
  <c r="G490" i="25"/>
  <c r="G491" i="25"/>
  <c r="G492" i="25"/>
  <c r="G493" i="25"/>
  <c r="G494" i="25"/>
  <c r="G495" i="25"/>
  <c r="G496" i="25"/>
  <c r="G497" i="25"/>
  <c r="G498" i="25"/>
  <c r="G499" i="25"/>
  <c r="G500" i="25"/>
  <c r="G501" i="25"/>
  <c r="G502" i="25"/>
  <c r="G503" i="25"/>
  <c r="G504" i="25"/>
  <c r="BQ485" i="25"/>
  <c r="BQ486" i="25"/>
  <c r="BQ487" i="25"/>
  <c r="BQ488" i="25"/>
  <c r="BQ489" i="25"/>
  <c r="BQ490" i="25"/>
  <c r="BQ491" i="25"/>
  <c r="BQ492" i="25"/>
  <c r="BQ493" i="25"/>
  <c r="BQ494" i="25"/>
  <c r="BQ495" i="25"/>
  <c r="BQ496" i="25"/>
  <c r="BQ497" i="25"/>
  <c r="BQ498" i="25"/>
  <c r="BQ499" i="25"/>
  <c r="BQ500" i="25"/>
  <c r="BQ501" i="25"/>
  <c r="BQ502" i="25"/>
  <c r="BQ503" i="25"/>
  <c r="BQ504" i="25"/>
  <c r="BR485" i="25"/>
  <c r="BR486" i="25"/>
  <c r="BR487" i="25"/>
  <c r="BR488" i="25"/>
  <c r="BR489" i="25"/>
  <c r="BR490" i="25"/>
  <c r="BR491" i="25"/>
  <c r="BR492" i="25"/>
  <c r="BR493" i="25"/>
  <c r="BR494" i="25"/>
  <c r="BR495" i="25"/>
  <c r="BR496" i="25"/>
  <c r="BR497" i="25"/>
  <c r="BR498" i="25"/>
  <c r="BR499" i="25"/>
  <c r="BR500" i="25"/>
  <c r="BR501" i="25"/>
  <c r="BR502" i="25"/>
  <c r="BR503" i="25"/>
  <c r="BR504" i="25"/>
  <c r="BT485" i="25"/>
  <c r="BT486" i="25"/>
  <c r="BT487" i="25"/>
  <c r="BT488" i="25"/>
  <c r="BT489" i="25"/>
  <c r="BT490" i="25"/>
  <c r="BT491" i="25"/>
  <c r="BT492" i="25"/>
  <c r="BT493" i="25"/>
  <c r="BT494" i="25"/>
  <c r="BT495" i="25"/>
  <c r="BT496" i="25"/>
  <c r="BT497" i="25"/>
  <c r="BT498" i="25"/>
  <c r="BT499" i="25"/>
  <c r="BT500" i="25"/>
  <c r="BT501" i="25"/>
  <c r="BT502" i="25"/>
  <c r="BT503" i="25"/>
  <c r="BT504" i="25"/>
  <c r="BU485" i="25"/>
  <c r="BU486" i="25"/>
  <c r="BU487" i="25"/>
  <c r="BU488" i="25"/>
  <c r="BU489" i="25"/>
  <c r="BU490" i="25"/>
  <c r="BU491" i="25"/>
  <c r="BU492" i="25"/>
  <c r="BU493" i="25"/>
  <c r="BU494" i="25"/>
  <c r="BU495" i="25"/>
  <c r="BU496" i="25"/>
  <c r="BU497" i="25"/>
  <c r="BU498" i="25"/>
  <c r="BU499" i="25"/>
  <c r="BU500" i="25"/>
  <c r="BU501" i="25"/>
  <c r="BU502" i="25"/>
  <c r="BU503" i="25"/>
  <c r="BU504" i="25"/>
  <c r="BV485" i="25"/>
  <c r="BV486" i="25"/>
  <c r="BV487" i="25"/>
  <c r="BV488" i="25"/>
  <c r="BV489" i="25"/>
  <c r="BV490" i="25"/>
  <c r="BV491" i="25"/>
  <c r="BV492" i="25"/>
  <c r="BV493" i="25"/>
  <c r="BV494" i="25"/>
  <c r="BV495" i="25"/>
  <c r="BV496" i="25"/>
  <c r="BV497" i="25"/>
  <c r="BV498" i="25"/>
  <c r="BV499" i="25"/>
  <c r="BV500" i="25"/>
  <c r="BV501" i="25"/>
  <c r="BV502" i="25"/>
  <c r="BV503" i="25"/>
  <c r="BV504" i="25"/>
  <c r="BW485" i="25"/>
  <c r="BW486" i="25"/>
  <c r="BW487" i="25"/>
  <c r="BW488" i="25"/>
  <c r="BW489" i="25"/>
  <c r="BW490" i="25"/>
  <c r="BW491" i="25"/>
  <c r="BW492" i="25"/>
  <c r="BW493" i="25"/>
  <c r="BW494" i="25"/>
  <c r="BW495" i="25"/>
  <c r="BW496" i="25"/>
  <c r="BW497" i="25"/>
  <c r="BW498" i="25"/>
  <c r="BW499" i="25"/>
  <c r="BW500" i="25"/>
  <c r="BW501" i="25"/>
  <c r="BW502" i="25"/>
  <c r="BW503" i="25"/>
  <c r="BW504" i="25"/>
  <c r="BX485" i="25"/>
  <c r="BX486" i="25"/>
  <c r="BX487" i="25"/>
  <c r="BX488" i="25"/>
  <c r="BX489" i="25"/>
  <c r="BX490" i="25"/>
  <c r="BX491" i="25"/>
  <c r="BX492" i="25"/>
  <c r="BX493" i="25"/>
  <c r="BX494" i="25"/>
  <c r="BX495" i="25"/>
  <c r="BX496" i="25"/>
  <c r="BX497" i="25"/>
  <c r="BX498" i="25"/>
  <c r="BX499" i="25"/>
  <c r="BX500" i="25"/>
  <c r="BX501" i="25"/>
  <c r="BX502" i="25"/>
  <c r="BX503" i="25"/>
  <c r="BX504" i="25"/>
  <c r="CC485" i="25"/>
  <c r="CC486" i="25"/>
  <c r="CD486" i="25" s="1"/>
  <c r="CC487" i="25"/>
  <c r="CD487" i="25" s="1"/>
  <c r="CC488" i="25"/>
  <c r="CC489" i="25"/>
  <c r="CC490" i="25"/>
  <c r="CD490" i="25" s="1"/>
  <c r="CC491" i="25"/>
  <c r="CD491" i="25" s="1"/>
  <c r="CC492" i="25"/>
  <c r="CD492" i="25" s="1"/>
  <c r="CC493" i="25"/>
  <c r="CC494" i="25"/>
  <c r="CD494" i="25" s="1"/>
  <c r="CC495" i="25"/>
  <c r="CD495" i="25" s="1"/>
  <c r="CC496" i="25"/>
  <c r="CC497" i="25"/>
  <c r="CD497" i="25" s="1"/>
  <c r="CC498" i="25"/>
  <c r="CD498" i="25" s="1"/>
  <c r="CC499" i="25"/>
  <c r="CD499" i="25" s="1"/>
  <c r="CC500" i="25"/>
  <c r="CD500" i="25" s="1"/>
  <c r="CC501" i="25"/>
  <c r="CC502" i="25"/>
  <c r="CD502" i="25" s="1"/>
  <c r="CC503" i="25"/>
  <c r="CD503" i="25" s="1"/>
  <c r="CC504" i="25"/>
  <c r="CK485" i="25"/>
  <c r="CK486" i="25"/>
  <c r="CK487" i="25"/>
  <c r="CK488" i="25"/>
  <c r="CK489" i="25"/>
  <c r="CK490" i="25"/>
  <c r="CK491" i="25"/>
  <c r="CK492" i="25"/>
  <c r="CK493" i="25"/>
  <c r="CK494" i="25"/>
  <c r="CK495" i="25"/>
  <c r="CK496" i="25"/>
  <c r="CK497" i="25"/>
  <c r="CK498" i="25"/>
  <c r="CK499" i="25"/>
  <c r="CK500" i="25"/>
  <c r="CK501" i="25"/>
  <c r="CK502" i="25"/>
  <c r="CK503" i="25"/>
  <c r="CK504" i="25"/>
  <c r="CL485" i="25"/>
  <c r="CL486" i="25"/>
  <c r="CL487" i="25"/>
  <c r="CL488" i="25"/>
  <c r="CL489" i="25"/>
  <c r="CL490" i="25"/>
  <c r="CL491" i="25"/>
  <c r="CL492" i="25"/>
  <c r="CL493" i="25"/>
  <c r="CL494" i="25"/>
  <c r="CL495" i="25"/>
  <c r="CL496" i="25"/>
  <c r="CL497" i="25"/>
  <c r="CL498" i="25"/>
  <c r="CL499" i="25"/>
  <c r="CL500" i="25"/>
  <c r="CL501" i="25"/>
  <c r="CL502" i="25"/>
  <c r="CL503" i="25"/>
  <c r="CL504" i="25"/>
  <c r="CT485" i="25"/>
  <c r="CT486" i="25"/>
  <c r="CT487" i="25"/>
  <c r="CT488" i="25"/>
  <c r="CT489" i="25"/>
  <c r="CT490" i="25"/>
  <c r="CT491" i="25"/>
  <c r="CT492" i="25"/>
  <c r="CT493" i="25"/>
  <c r="CT494" i="25"/>
  <c r="CT495" i="25"/>
  <c r="CT496" i="25"/>
  <c r="CT497" i="25"/>
  <c r="CT498" i="25"/>
  <c r="CT499" i="25"/>
  <c r="CT500" i="25"/>
  <c r="CT501" i="25"/>
  <c r="CT502" i="25"/>
  <c r="CT503" i="25"/>
  <c r="CT504" i="25"/>
  <c r="CU485" i="25"/>
  <c r="DB485" i="25" s="1"/>
  <c r="CU486" i="25"/>
  <c r="DB486" i="25" s="1"/>
  <c r="CU487" i="25"/>
  <c r="DB487" i="25" s="1"/>
  <c r="CU488" i="25"/>
  <c r="DB488" i="25" s="1"/>
  <c r="CU489" i="25"/>
  <c r="DB489" i="25" s="1"/>
  <c r="CU490" i="25"/>
  <c r="DB490" i="25" s="1"/>
  <c r="CU491" i="25"/>
  <c r="DB491" i="25" s="1"/>
  <c r="CU492" i="25"/>
  <c r="DB492" i="25" s="1"/>
  <c r="CU493" i="25"/>
  <c r="DB493" i="25" s="1"/>
  <c r="CU494" i="25"/>
  <c r="DB494" i="25" s="1"/>
  <c r="CU495" i="25"/>
  <c r="DB495" i="25" s="1"/>
  <c r="CU496" i="25"/>
  <c r="DB496" i="25" s="1"/>
  <c r="CU497" i="25"/>
  <c r="DB497" i="25" s="1"/>
  <c r="CU498" i="25"/>
  <c r="DB498" i="25" s="1"/>
  <c r="CU499" i="25"/>
  <c r="DB499" i="25" s="1"/>
  <c r="CU500" i="25"/>
  <c r="DB500" i="25" s="1"/>
  <c r="CU501" i="25"/>
  <c r="DB501" i="25" s="1"/>
  <c r="CU502" i="25"/>
  <c r="DB502" i="25" s="1"/>
  <c r="CU503" i="25"/>
  <c r="DB503" i="25" s="1"/>
  <c r="CU504" i="25"/>
  <c r="DB504" i="25" s="1"/>
  <c r="CV485" i="25"/>
  <c r="CV486" i="25"/>
  <c r="CV487" i="25"/>
  <c r="CV488" i="25"/>
  <c r="CV489" i="25"/>
  <c r="CV490" i="25"/>
  <c r="CV491" i="25"/>
  <c r="CV492" i="25"/>
  <c r="CV493" i="25"/>
  <c r="CV494" i="25"/>
  <c r="CV495" i="25"/>
  <c r="CV496" i="25"/>
  <c r="CV497" i="25"/>
  <c r="CV498" i="25"/>
  <c r="CV499" i="25"/>
  <c r="CV500" i="25"/>
  <c r="CV501" i="25"/>
  <c r="CV502" i="25"/>
  <c r="CV503" i="25"/>
  <c r="CV504" i="25"/>
  <c r="CW485" i="25"/>
  <c r="CW486" i="25"/>
  <c r="CW487" i="25"/>
  <c r="CW488" i="25"/>
  <c r="CW489" i="25"/>
  <c r="CW490" i="25"/>
  <c r="CW491" i="25"/>
  <c r="CW492" i="25"/>
  <c r="CW493" i="25"/>
  <c r="CW494" i="25"/>
  <c r="CW495" i="25"/>
  <c r="CW496" i="25"/>
  <c r="CW497" i="25"/>
  <c r="CW498" i="25"/>
  <c r="CW499" i="25"/>
  <c r="CW500" i="25"/>
  <c r="CW501" i="25"/>
  <c r="CW502" i="25"/>
  <c r="CW503" i="25"/>
  <c r="CW504" i="25"/>
  <c r="DC485" i="25"/>
  <c r="DC486" i="25"/>
  <c r="DC487" i="25"/>
  <c r="DC488" i="25"/>
  <c r="DC489" i="25"/>
  <c r="DC490" i="25"/>
  <c r="DC491" i="25"/>
  <c r="DC492" i="25"/>
  <c r="DC493" i="25"/>
  <c r="DC494" i="25"/>
  <c r="DC495" i="25"/>
  <c r="DC496" i="25"/>
  <c r="DC497" i="25"/>
  <c r="DC498" i="25"/>
  <c r="DC499" i="25"/>
  <c r="DC500" i="25"/>
  <c r="DC501" i="25"/>
  <c r="DC502" i="25"/>
  <c r="DC503" i="25"/>
  <c r="DC504" i="25"/>
  <c r="DD485" i="25"/>
  <c r="DD486" i="25"/>
  <c r="DD487" i="25"/>
  <c r="DD488" i="25"/>
  <c r="DD489" i="25"/>
  <c r="DD490" i="25"/>
  <c r="DD491" i="25"/>
  <c r="DD492" i="25"/>
  <c r="DD493" i="25"/>
  <c r="DD494" i="25"/>
  <c r="DD495" i="25"/>
  <c r="DD496" i="25"/>
  <c r="DD497" i="25"/>
  <c r="DD498" i="25"/>
  <c r="DD499" i="25"/>
  <c r="DD500" i="25"/>
  <c r="DD501" i="25"/>
  <c r="DD502" i="25"/>
  <c r="DD503" i="25"/>
  <c r="DD504" i="25"/>
  <c r="DE485" i="25"/>
  <c r="DE486" i="25"/>
  <c r="DE487" i="25"/>
  <c r="DE488" i="25"/>
  <c r="DE489" i="25"/>
  <c r="DF489" i="25" s="1"/>
  <c r="DE490" i="25"/>
  <c r="DF490" i="25" s="1"/>
  <c r="DE491" i="25"/>
  <c r="DE492" i="25"/>
  <c r="DE493" i="25"/>
  <c r="DE494" i="25"/>
  <c r="DE495" i="25"/>
  <c r="DE496" i="25"/>
  <c r="DE497" i="25"/>
  <c r="DE498" i="25"/>
  <c r="DE499" i="25"/>
  <c r="DE500" i="25"/>
  <c r="DE501" i="25"/>
  <c r="DE502" i="25"/>
  <c r="DE503" i="25"/>
  <c r="DE504" i="25"/>
  <c r="DG485" i="25"/>
  <c r="DG486" i="25"/>
  <c r="DG487" i="25"/>
  <c r="DG488" i="25"/>
  <c r="DG489" i="25"/>
  <c r="DG490" i="25"/>
  <c r="DG491" i="25"/>
  <c r="DG492" i="25"/>
  <c r="DG493" i="25"/>
  <c r="DG494" i="25"/>
  <c r="DG495" i="25"/>
  <c r="DG496" i="25"/>
  <c r="DG497" i="25"/>
  <c r="DG498" i="25"/>
  <c r="DG499" i="25"/>
  <c r="DG500" i="25"/>
  <c r="DG501" i="25"/>
  <c r="DG502" i="25"/>
  <c r="DG503" i="25"/>
  <c r="DG504" i="25"/>
  <c r="DJ485" i="25"/>
  <c r="DJ486" i="25"/>
  <c r="DJ487" i="25"/>
  <c r="DJ488" i="25"/>
  <c r="DJ489" i="25"/>
  <c r="DJ490" i="25"/>
  <c r="DJ491" i="25"/>
  <c r="DJ492" i="25"/>
  <c r="DJ493" i="25"/>
  <c r="DJ494" i="25"/>
  <c r="DJ495" i="25"/>
  <c r="DJ496" i="25"/>
  <c r="DJ497" i="25"/>
  <c r="DJ498" i="25"/>
  <c r="DJ499" i="25"/>
  <c r="DJ500" i="25"/>
  <c r="DJ501" i="25"/>
  <c r="DJ502" i="25"/>
  <c r="DJ503" i="25"/>
  <c r="DJ504" i="25"/>
  <c r="DK485" i="25"/>
  <c r="DK486" i="25"/>
  <c r="DK487" i="25"/>
  <c r="DK488" i="25"/>
  <c r="DK489" i="25"/>
  <c r="DK490" i="25"/>
  <c r="DK491" i="25"/>
  <c r="DK492" i="25"/>
  <c r="DK493" i="25"/>
  <c r="DK494" i="25"/>
  <c r="DK495" i="25"/>
  <c r="DK496" i="25"/>
  <c r="DK497" i="25"/>
  <c r="DK498" i="25"/>
  <c r="DK499" i="25"/>
  <c r="DK500" i="25"/>
  <c r="DK501" i="25"/>
  <c r="DK502" i="25"/>
  <c r="DK503" i="25"/>
  <c r="DK504" i="25"/>
  <c r="DL485" i="25"/>
  <c r="DL486" i="25"/>
  <c r="DL487" i="25"/>
  <c r="CO487" i="25" s="1"/>
  <c r="DL488" i="25"/>
  <c r="CO488" i="25" s="1"/>
  <c r="DL489" i="25"/>
  <c r="CP489" i="25" s="1"/>
  <c r="DL490" i="25"/>
  <c r="CP490" i="25" s="1"/>
  <c r="DL491" i="25"/>
  <c r="DL492" i="25"/>
  <c r="DL493" i="25"/>
  <c r="DL494" i="25"/>
  <c r="DL495" i="25"/>
  <c r="CO495" i="25" s="1"/>
  <c r="DL496" i="25"/>
  <c r="CO496" i="25" s="1"/>
  <c r="DL497" i="25"/>
  <c r="CP497" i="25" s="1"/>
  <c r="DL498" i="25"/>
  <c r="CP498" i="25" s="1"/>
  <c r="DL499" i="25"/>
  <c r="DL500" i="25"/>
  <c r="DL501" i="25"/>
  <c r="DL502" i="25"/>
  <c r="DL503" i="25"/>
  <c r="CO503" i="25" s="1"/>
  <c r="DL504" i="25"/>
  <c r="CO504" i="25" s="1"/>
  <c r="DM485" i="25"/>
  <c r="DM486" i="25"/>
  <c r="DM487" i="25"/>
  <c r="DM488" i="25"/>
  <c r="DM489" i="25"/>
  <c r="DM490" i="25"/>
  <c r="DM491" i="25"/>
  <c r="DM492" i="25"/>
  <c r="DM493" i="25"/>
  <c r="DM494" i="25"/>
  <c r="DM495" i="25"/>
  <c r="DM496" i="25"/>
  <c r="DM497" i="25"/>
  <c r="DM498" i="25"/>
  <c r="DM499" i="25"/>
  <c r="DM500" i="25"/>
  <c r="DM501" i="25"/>
  <c r="DM502" i="25"/>
  <c r="DM503" i="25"/>
  <c r="DM504" i="25"/>
  <c r="DN485" i="25"/>
  <c r="DN486" i="25"/>
  <c r="DN487" i="25"/>
  <c r="DN488" i="25"/>
  <c r="DN489" i="25"/>
  <c r="DN490" i="25"/>
  <c r="DN491" i="25"/>
  <c r="DN492" i="25"/>
  <c r="DN493" i="25"/>
  <c r="DN494" i="25"/>
  <c r="DN495" i="25"/>
  <c r="DN496" i="25"/>
  <c r="DN497" i="25"/>
  <c r="DN498" i="25"/>
  <c r="DN499" i="25"/>
  <c r="DN500" i="25"/>
  <c r="DN501" i="25"/>
  <c r="DN502" i="25"/>
  <c r="DN503" i="25"/>
  <c r="DN504" i="25"/>
  <c r="DO485" i="25"/>
  <c r="DO486" i="25"/>
  <c r="DO487" i="25"/>
  <c r="DO488" i="25"/>
  <c r="DO489" i="25"/>
  <c r="DO490" i="25"/>
  <c r="DO491" i="25"/>
  <c r="DO492" i="25"/>
  <c r="DO493" i="25"/>
  <c r="DO494" i="25"/>
  <c r="DO495" i="25"/>
  <c r="DO496" i="25"/>
  <c r="DO497" i="25"/>
  <c r="DO498" i="25"/>
  <c r="DO499" i="25"/>
  <c r="DO500" i="25"/>
  <c r="DO501" i="25"/>
  <c r="DO502" i="25"/>
  <c r="DO503" i="25"/>
  <c r="DO504" i="25"/>
  <c r="DP485" i="25"/>
  <c r="DP486" i="25"/>
  <c r="DP487" i="25"/>
  <c r="DP488" i="25"/>
  <c r="DP489" i="25"/>
  <c r="DP490" i="25"/>
  <c r="DP491" i="25"/>
  <c r="DP492" i="25"/>
  <c r="DP493" i="25"/>
  <c r="DP494" i="25"/>
  <c r="DP495" i="25"/>
  <c r="DP496" i="25"/>
  <c r="DP497" i="25"/>
  <c r="DP498" i="25"/>
  <c r="DP499" i="25"/>
  <c r="DP500" i="25"/>
  <c r="DP501" i="25"/>
  <c r="DP502" i="25"/>
  <c r="DP503" i="25"/>
  <c r="DP504" i="25"/>
  <c r="DQ485" i="25"/>
  <c r="DQ486" i="25"/>
  <c r="DQ487" i="25"/>
  <c r="DQ488" i="25"/>
  <c r="DQ489" i="25"/>
  <c r="DQ490" i="25"/>
  <c r="DQ491" i="25"/>
  <c r="DQ492" i="25"/>
  <c r="DQ493" i="25"/>
  <c r="DQ494" i="25"/>
  <c r="DQ495" i="25"/>
  <c r="DQ496" i="25"/>
  <c r="DQ497" i="25"/>
  <c r="DQ498" i="25"/>
  <c r="DQ499" i="25"/>
  <c r="DQ500" i="25"/>
  <c r="DQ501" i="25"/>
  <c r="DQ502" i="25"/>
  <c r="DQ503" i="25"/>
  <c r="DQ504" i="25"/>
  <c r="DR485" i="25"/>
  <c r="DR486" i="25"/>
  <c r="DR487" i="25"/>
  <c r="DR488" i="25"/>
  <c r="DR489" i="25"/>
  <c r="DR490" i="25"/>
  <c r="DR491" i="25"/>
  <c r="DR492" i="25"/>
  <c r="DR493" i="25"/>
  <c r="DR494" i="25"/>
  <c r="DR495" i="25"/>
  <c r="DR496" i="25"/>
  <c r="DR497" i="25"/>
  <c r="DR498" i="25"/>
  <c r="DR499" i="25"/>
  <c r="DR500" i="25"/>
  <c r="DR501" i="25"/>
  <c r="DR502" i="25"/>
  <c r="DR503" i="25"/>
  <c r="DR504" i="25"/>
  <c r="DH483" i="25" l="1"/>
  <c r="DF483" i="25"/>
  <c r="DH504" i="25"/>
  <c r="DF504" i="25"/>
  <c r="DH496" i="25"/>
  <c r="DF496" i="25"/>
  <c r="DH488" i="25"/>
  <c r="DF488" i="25"/>
  <c r="DH497" i="25"/>
  <c r="DF497" i="25"/>
  <c r="DH503" i="25"/>
  <c r="DF503" i="25"/>
  <c r="DH495" i="25"/>
  <c r="DF495" i="25"/>
  <c r="DH487" i="25"/>
  <c r="DF487" i="25"/>
  <c r="DH490" i="25"/>
  <c r="DH502" i="25"/>
  <c r="DF502" i="25"/>
  <c r="DH494" i="25"/>
  <c r="DF494" i="25"/>
  <c r="DH486" i="25"/>
  <c r="DF486" i="25"/>
  <c r="DH489" i="25"/>
  <c r="DH501" i="25"/>
  <c r="DF501" i="25"/>
  <c r="DH493" i="25"/>
  <c r="DF493" i="25"/>
  <c r="DH485" i="25"/>
  <c r="DF485" i="25"/>
  <c r="DH500" i="25"/>
  <c r="DF500" i="25"/>
  <c r="DH492" i="25"/>
  <c r="DF492" i="25"/>
  <c r="DH499" i="25"/>
  <c r="DF499" i="25"/>
  <c r="DH491" i="25"/>
  <c r="DF491" i="25"/>
  <c r="DH498" i="25"/>
  <c r="DF498" i="25"/>
  <c r="DH484" i="25"/>
  <c r="DF484" i="25"/>
  <c r="BZ499" i="25"/>
  <c r="CA499" i="25" s="1"/>
  <c r="CB499" i="25" s="1"/>
  <c r="CF499" i="25" s="1"/>
  <c r="CG499" i="25" s="1"/>
  <c r="CJ499" i="25" s="1"/>
  <c r="BY497" i="25"/>
  <c r="BS497" i="25"/>
  <c r="CX498" i="25"/>
  <c r="CY498" i="25" s="1"/>
  <c r="CZ498" i="25" s="1"/>
  <c r="DA498" i="25" s="1"/>
  <c r="CX502" i="25"/>
  <c r="CY502" i="25" s="1"/>
  <c r="CZ502" i="25" s="1"/>
  <c r="DA502" i="25" s="1"/>
  <c r="CX494" i="25"/>
  <c r="CY494" i="25" s="1"/>
  <c r="CZ494" i="25" s="1"/>
  <c r="DA494" i="25" s="1"/>
  <c r="CX486" i="25"/>
  <c r="CY486" i="25" s="1"/>
  <c r="CZ486" i="25" s="1"/>
  <c r="DA486" i="25" s="1"/>
  <c r="BY492" i="25"/>
  <c r="CM484" i="25"/>
  <c r="CS484" i="25" s="1"/>
  <c r="BY483" i="25"/>
  <c r="CM501" i="25"/>
  <c r="CS501" i="25" s="1"/>
  <c r="BS483" i="25"/>
  <c r="BS502" i="25"/>
  <c r="BS494" i="25"/>
  <c r="BS486" i="25"/>
  <c r="BZ497" i="25"/>
  <c r="CA497" i="25" s="1"/>
  <c r="CN484" i="25"/>
  <c r="BZ494" i="25"/>
  <c r="CA494" i="25" s="1"/>
  <c r="CB494" i="25" s="1"/>
  <c r="CF494" i="25" s="1"/>
  <c r="CG494" i="25" s="1"/>
  <c r="CJ494" i="25" s="1"/>
  <c r="BZ486" i="25"/>
  <c r="CA486" i="25" s="1"/>
  <c r="CX503" i="25"/>
  <c r="CY503" i="25" s="1"/>
  <c r="CZ503" i="25" s="1"/>
  <c r="DA503" i="25" s="1"/>
  <c r="CX495" i="25"/>
  <c r="CY495" i="25" s="1"/>
  <c r="CZ495" i="25" s="1"/>
  <c r="DA495" i="25" s="1"/>
  <c r="CX487" i="25"/>
  <c r="CY487" i="25" s="1"/>
  <c r="CZ487" i="25" s="1"/>
  <c r="DA487" i="25" s="1"/>
  <c r="CX499" i="25"/>
  <c r="CY499" i="25" s="1"/>
  <c r="CZ499" i="25" s="1"/>
  <c r="DA499" i="25" s="1"/>
  <c r="BY485" i="25"/>
  <c r="BZ495" i="25"/>
  <c r="CA495" i="25" s="1"/>
  <c r="CB495" i="25" s="1"/>
  <c r="CF495" i="25" s="1"/>
  <c r="CG495" i="25" s="1"/>
  <c r="CJ495" i="25" s="1"/>
  <c r="CM493" i="25"/>
  <c r="CS493" i="25" s="1"/>
  <c r="CM485" i="25"/>
  <c r="CS485" i="25" s="1"/>
  <c r="BZ498" i="25"/>
  <c r="CA498" i="25" s="1"/>
  <c r="CB498" i="25" s="1"/>
  <c r="CF498" i="25" s="1"/>
  <c r="CG498" i="25" s="1"/>
  <c r="CJ498" i="25" s="1"/>
  <c r="BZ490" i="25"/>
  <c r="CA490" i="25" s="1"/>
  <c r="CB490" i="25" s="1"/>
  <c r="CF490" i="25" s="1"/>
  <c r="CG490" i="25" s="1"/>
  <c r="CJ490" i="25" s="1"/>
  <c r="CX491" i="25"/>
  <c r="CY491" i="25" s="1"/>
  <c r="CZ491" i="25" s="1"/>
  <c r="DA491" i="25" s="1"/>
  <c r="CX490" i="25"/>
  <c r="CY490" i="25" s="1"/>
  <c r="CZ490" i="25" s="1"/>
  <c r="DA490" i="25" s="1"/>
  <c r="CX484" i="25"/>
  <c r="CY484" i="25" s="1"/>
  <c r="CZ484" i="25" s="1"/>
  <c r="DA484" i="25" s="1"/>
  <c r="CX497" i="25"/>
  <c r="CY497" i="25" s="1"/>
  <c r="CZ497" i="25" s="1"/>
  <c r="DA497" i="25" s="1"/>
  <c r="CX489" i="25"/>
  <c r="CY489" i="25" s="1"/>
  <c r="CZ489" i="25" s="1"/>
  <c r="DA489" i="25" s="1"/>
  <c r="BS498" i="25"/>
  <c r="BS490" i="25"/>
  <c r="BS499" i="25"/>
  <c r="BZ504" i="25"/>
  <c r="CA504" i="25" s="1"/>
  <c r="CB504" i="25" s="1"/>
  <c r="BY496" i="25"/>
  <c r="BY488" i="25"/>
  <c r="BS492" i="25"/>
  <c r="BS504" i="25"/>
  <c r="BS496" i="25"/>
  <c r="BS488" i="25"/>
  <c r="BZ483" i="25"/>
  <c r="CA483" i="25" s="1"/>
  <c r="CB483" i="25" s="1"/>
  <c r="CF483" i="25" s="1"/>
  <c r="CG483" i="25" s="1"/>
  <c r="CJ483" i="25" s="1"/>
  <c r="BZ502" i="25"/>
  <c r="CA502" i="25" s="1"/>
  <c r="BS500" i="25"/>
  <c r="BY501" i="25"/>
  <c r="BZ491" i="25"/>
  <c r="CA491" i="25" s="1"/>
  <c r="BS491" i="25"/>
  <c r="BY500" i="25"/>
  <c r="BS484" i="25"/>
  <c r="BS489" i="25"/>
  <c r="BZ484" i="25"/>
  <c r="BZ501" i="25"/>
  <c r="CA501" i="25" s="1"/>
  <c r="CB501" i="25" s="1"/>
  <c r="BY493" i="25"/>
  <c r="BZ485" i="25"/>
  <c r="CA485" i="25" s="1"/>
  <c r="BZ488" i="25"/>
  <c r="CA488" i="25" s="1"/>
  <c r="CB488" i="25" s="1"/>
  <c r="BZ496" i="25"/>
  <c r="CA496" i="25" s="1"/>
  <c r="CB496" i="25" s="1"/>
  <c r="BY504" i="25"/>
  <c r="BY499" i="25"/>
  <c r="BY491" i="25"/>
  <c r="BY489" i="25"/>
  <c r="BY503" i="25"/>
  <c r="BY495" i="25"/>
  <c r="BY487" i="25"/>
  <c r="BY484" i="25"/>
  <c r="CA484" i="25" s="1"/>
  <c r="CB484" i="25" s="1"/>
  <c r="CF484" i="25" s="1"/>
  <c r="CG484" i="25" s="1"/>
  <c r="CJ484" i="25" s="1"/>
  <c r="BZ487" i="25"/>
  <c r="CA487" i="25" s="1"/>
  <c r="CB487" i="25" s="1"/>
  <c r="CF487" i="25" s="1"/>
  <c r="CG487" i="25" s="1"/>
  <c r="CJ487" i="25" s="1"/>
  <c r="BZ500" i="25"/>
  <c r="CA500" i="25" s="1"/>
  <c r="CE500" i="25" s="1"/>
  <c r="CH500" i="25" s="1"/>
  <c r="CI500" i="25" s="1"/>
  <c r="BZ492" i="25"/>
  <c r="CA492" i="25" s="1"/>
  <c r="BZ503" i="25"/>
  <c r="CA503" i="25" s="1"/>
  <c r="CB503" i="25" s="1"/>
  <c r="CF503" i="25" s="1"/>
  <c r="CG503" i="25" s="1"/>
  <c r="CJ503" i="25" s="1"/>
  <c r="BY502" i="25"/>
  <c r="BY494" i="25"/>
  <c r="BY486" i="25"/>
  <c r="BY498" i="25"/>
  <c r="BY490" i="25"/>
  <c r="BZ493" i="25"/>
  <c r="CA493" i="25" s="1"/>
  <c r="BZ489" i="25"/>
  <c r="CA489" i="25" s="1"/>
  <c r="CB489" i="25" s="1"/>
  <c r="CN504" i="25"/>
  <c r="CN496" i="25"/>
  <c r="CN488" i="25"/>
  <c r="CM502" i="25"/>
  <c r="CS502" i="25" s="1"/>
  <c r="CM494" i="25"/>
  <c r="CS494" i="25" s="1"/>
  <c r="CM486" i="25"/>
  <c r="CS486" i="25" s="1"/>
  <c r="CX483" i="25"/>
  <c r="CY483" i="25" s="1"/>
  <c r="CZ483" i="25" s="1"/>
  <c r="DA483" i="25" s="1"/>
  <c r="CN483" i="25"/>
  <c r="CN503" i="25"/>
  <c r="CN495" i="25"/>
  <c r="CN487" i="25"/>
  <c r="CX500" i="25"/>
  <c r="CY500" i="25" s="1"/>
  <c r="CZ500" i="25" s="1"/>
  <c r="DA500" i="25" s="1"/>
  <c r="CX492" i="25"/>
  <c r="CY492" i="25" s="1"/>
  <c r="CZ492" i="25" s="1"/>
  <c r="DA492" i="25" s="1"/>
  <c r="CN502" i="25"/>
  <c r="CN494" i="25"/>
  <c r="CN486" i="25"/>
  <c r="CM500" i="25"/>
  <c r="CS500" i="25" s="1"/>
  <c r="CM492" i="25"/>
  <c r="CS492" i="25" s="1"/>
  <c r="CM483" i="25"/>
  <c r="CS483" i="25" s="1"/>
  <c r="CN501" i="25"/>
  <c r="CN493" i="25"/>
  <c r="CN485" i="25"/>
  <c r="CM499" i="25"/>
  <c r="CS499" i="25" s="1"/>
  <c r="CM491" i="25"/>
  <c r="CS491" i="25" s="1"/>
  <c r="CX504" i="25"/>
  <c r="CY504" i="25" s="1"/>
  <c r="CZ504" i="25" s="1"/>
  <c r="DA504" i="25" s="1"/>
  <c r="CX496" i="25"/>
  <c r="CY496" i="25" s="1"/>
  <c r="CZ496" i="25" s="1"/>
  <c r="DA496" i="25" s="1"/>
  <c r="CX488" i="25"/>
  <c r="CY488" i="25" s="1"/>
  <c r="CZ488" i="25" s="1"/>
  <c r="DA488" i="25" s="1"/>
  <c r="CQ489" i="25"/>
  <c r="CR489" i="25" s="1"/>
  <c r="CN500" i="25"/>
  <c r="CN492" i="25"/>
  <c r="CM498" i="25"/>
  <c r="CS498" i="25" s="1"/>
  <c r="CM490" i="25"/>
  <c r="CS490" i="25" s="1"/>
  <c r="CP487" i="25"/>
  <c r="CN499" i="25"/>
  <c r="CN491" i="25"/>
  <c r="CM497" i="25"/>
  <c r="CS497" i="25" s="1"/>
  <c r="CM489" i="25"/>
  <c r="CS489" i="25" s="1"/>
  <c r="CN498" i="25"/>
  <c r="CN490" i="25"/>
  <c r="CM504" i="25"/>
  <c r="CS504" i="25" s="1"/>
  <c r="CM496" i="25"/>
  <c r="CS496" i="25" s="1"/>
  <c r="CM488" i="25"/>
  <c r="CS488" i="25" s="1"/>
  <c r="CQ483" i="25"/>
  <c r="CR483" i="25" s="1"/>
  <c r="CN497" i="25"/>
  <c r="CN489" i="25"/>
  <c r="CM503" i="25"/>
  <c r="CS503" i="25" s="1"/>
  <c r="CM495" i="25"/>
  <c r="CS495" i="25" s="1"/>
  <c r="CM487" i="25"/>
  <c r="CS487" i="25" s="1"/>
  <c r="CQ497" i="25"/>
  <c r="CR497" i="25" s="1"/>
  <c r="CD489" i="25"/>
  <c r="CQ484" i="25"/>
  <c r="CR484" i="25" s="1"/>
  <c r="CP503" i="25"/>
  <c r="CP484" i="25"/>
  <c r="CP495" i="25"/>
  <c r="BS503" i="25"/>
  <c r="BS495" i="25"/>
  <c r="BS487" i="25"/>
  <c r="BS501" i="25"/>
  <c r="BS493" i="25"/>
  <c r="BS485" i="25"/>
  <c r="CP483" i="25"/>
  <c r="CO501" i="25"/>
  <c r="CX501" i="25"/>
  <c r="CY501" i="25" s="1"/>
  <c r="CZ501" i="25" s="1"/>
  <c r="DA501" i="25" s="1"/>
  <c r="CX493" i="25"/>
  <c r="CY493" i="25" s="1"/>
  <c r="CZ493" i="25" s="1"/>
  <c r="DA493" i="25" s="1"/>
  <c r="CX485" i="25"/>
  <c r="CY485" i="25" s="1"/>
  <c r="CZ485" i="25" s="1"/>
  <c r="DA485" i="25" s="1"/>
  <c r="CO493" i="25"/>
  <c r="CO485" i="25"/>
  <c r="CQ498" i="25"/>
  <c r="CR498" i="25" s="1"/>
  <c r="CQ490" i="25"/>
  <c r="CR490" i="25" s="1"/>
  <c r="CP504" i="25"/>
  <c r="CP496" i="25"/>
  <c r="CP488" i="25"/>
  <c r="CO502" i="25"/>
  <c r="CO494" i="25"/>
  <c r="CO486" i="25"/>
  <c r="CD504" i="25"/>
  <c r="CD496" i="25"/>
  <c r="CD488" i="25"/>
  <c r="CQ504" i="25"/>
  <c r="CR504" i="25" s="1"/>
  <c r="CQ496" i="25"/>
  <c r="CR496" i="25" s="1"/>
  <c r="CQ488" i="25"/>
  <c r="CR488" i="25" s="1"/>
  <c r="CP502" i="25"/>
  <c r="CP494" i="25"/>
  <c r="CP486" i="25"/>
  <c r="CO500" i="25"/>
  <c r="CO492" i="25"/>
  <c r="CQ503" i="25"/>
  <c r="CR503" i="25" s="1"/>
  <c r="CQ495" i="25"/>
  <c r="CR495" i="25" s="1"/>
  <c r="CQ487" i="25"/>
  <c r="CR487" i="25" s="1"/>
  <c r="CP501" i="25"/>
  <c r="CP493" i="25"/>
  <c r="CP485" i="25"/>
  <c r="CO499" i="25"/>
  <c r="CO491" i="25"/>
  <c r="CD501" i="25"/>
  <c r="CD493" i="25"/>
  <c r="CD485" i="25"/>
  <c r="CQ502" i="25"/>
  <c r="CR502" i="25" s="1"/>
  <c r="CQ494" i="25"/>
  <c r="CR494" i="25" s="1"/>
  <c r="CQ486" i="25"/>
  <c r="CR486" i="25" s="1"/>
  <c r="CP500" i="25"/>
  <c r="CP492" i="25"/>
  <c r="CO498" i="25"/>
  <c r="CO490" i="25"/>
  <c r="CQ501" i="25"/>
  <c r="CR501" i="25" s="1"/>
  <c r="CQ493" i="25"/>
  <c r="CR493" i="25" s="1"/>
  <c r="CQ485" i="25"/>
  <c r="CR485" i="25" s="1"/>
  <c r="CP499" i="25"/>
  <c r="CP491" i="25"/>
  <c r="CO497" i="25"/>
  <c r="CO489" i="25"/>
  <c r="CQ500" i="25"/>
  <c r="CR500" i="25" s="1"/>
  <c r="CQ492" i="25"/>
  <c r="CR492" i="25" s="1"/>
  <c r="CQ499" i="25"/>
  <c r="CR499" i="25" s="1"/>
  <c r="CQ491" i="25"/>
  <c r="CR491" i="25" s="1"/>
  <c r="DM457" i="25"/>
  <c r="DL457" i="25"/>
  <c r="CB492" i="25" l="1"/>
  <c r="CF492" i="25" s="1"/>
  <c r="CG492" i="25" s="1"/>
  <c r="CJ492" i="25" s="1"/>
  <c r="CE492" i="25"/>
  <c r="CH492" i="25" s="1"/>
  <c r="CI492" i="25" s="1"/>
  <c r="CB502" i="25"/>
  <c r="CF502" i="25" s="1"/>
  <c r="CG502" i="25" s="1"/>
  <c r="CJ502" i="25" s="1"/>
  <c r="CE502" i="25"/>
  <c r="CH502" i="25" s="1"/>
  <c r="CI502" i="25" s="1"/>
  <c r="CB491" i="25"/>
  <c r="CF491" i="25" s="1"/>
  <c r="CG491" i="25" s="1"/>
  <c r="CJ491" i="25" s="1"/>
  <c r="CE491" i="25"/>
  <c r="CH491" i="25" s="1"/>
  <c r="CI491" i="25" s="1"/>
  <c r="CB486" i="25"/>
  <c r="CF486" i="25" s="1"/>
  <c r="CG486" i="25" s="1"/>
  <c r="CJ486" i="25" s="1"/>
  <c r="CE486" i="25"/>
  <c r="CH486" i="25" s="1"/>
  <c r="CI486" i="25" s="1"/>
  <c r="CF501" i="25"/>
  <c r="CG501" i="25" s="1"/>
  <c r="CJ501" i="25" s="1"/>
  <c r="CE501" i="25"/>
  <c r="CH501" i="25" s="1"/>
  <c r="CI501" i="25" s="1"/>
  <c r="CE499" i="25"/>
  <c r="CH499" i="25" s="1"/>
  <c r="CI499" i="25" s="1"/>
  <c r="CB485" i="25"/>
  <c r="CF485" i="25" s="1"/>
  <c r="CG485" i="25" s="1"/>
  <c r="CJ485" i="25" s="1"/>
  <c r="CE485" i="25"/>
  <c r="CH485" i="25" s="1"/>
  <c r="CI485" i="25" s="1"/>
  <c r="CB493" i="25"/>
  <c r="CF493" i="25" s="1"/>
  <c r="CG493" i="25" s="1"/>
  <c r="CJ493" i="25" s="1"/>
  <c r="CE493" i="25"/>
  <c r="CH493" i="25" s="1"/>
  <c r="CI493" i="25" s="1"/>
  <c r="CE494" i="25"/>
  <c r="CH494" i="25" s="1"/>
  <c r="CI494" i="25" s="1"/>
  <c r="CE496" i="25"/>
  <c r="CH496" i="25" s="1"/>
  <c r="CI496" i="25" s="1"/>
  <c r="CB500" i="25"/>
  <c r="CF500" i="25" s="1"/>
  <c r="CG500" i="25" s="1"/>
  <c r="CJ500" i="25" s="1"/>
  <c r="CE483" i="25"/>
  <c r="CH483" i="25" s="1"/>
  <c r="CI483" i="25" s="1"/>
  <c r="CF504" i="25"/>
  <c r="CG504" i="25" s="1"/>
  <c r="CJ504" i="25" s="1"/>
  <c r="CE490" i="25"/>
  <c r="CH490" i="25" s="1"/>
  <c r="CI490" i="25" s="1"/>
  <c r="CE489" i="25"/>
  <c r="CH489" i="25" s="1"/>
  <c r="CI489" i="25" s="1"/>
  <c r="CE504" i="25"/>
  <c r="CH504" i="25" s="1"/>
  <c r="CI504" i="25" s="1"/>
  <c r="CE484" i="25"/>
  <c r="CH484" i="25" s="1"/>
  <c r="CI484" i="25" s="1"/>
  <c r="CF496" i="25"/>
  <c r="CG496" i="25" s="1"/>
  <c r="CJ496" i="25" s="1"/>
  <c r="CE495" i="25"/>
  <c r="CH495" i="25" s="1"/>
  <c r="CI495" i="25" s="1"/>
  <c r="CB497" i="25"/>
  <c r="CF497" i="25" s="1"/>
  <c r="CG497" i="25" s="1"/>
  <c r="CJ497" i="25" s="1"/>
  <c r="CE497" i="25"/>
  <c r="CH497" i="25" s="1"/>
  <c r="CI497" i="25" s="1"/>
  <c r="CE487" i="25"/>
  <c r="CH487" i="25" s="1"/>
  <c r="CI487" i="25" s="1"/>
  <c r="CF489" i="25"/>
  <c r="CG489" i="25" s="1"/>
  <c r="CJ489" i="25" s="1"/>
  <c r="CE498" i="25"/>
  <c r="CH498" i="25" s="1"/>
  <c r="CI498" i="25" s="1"/>
  <c r="CF488" i="25"/>
  <c r="CG488" i="25" s="1"/>
  <c r="CJ488" i="25" s="1"/>
  <c r="CE503" i="25"/>
  <c r="CH503" i="25" s="1"/>
  <c r="CI503" i="25" s="1"/>
  <c r="CE488" i="25"/>
  <c r="CH488" i="25" s="1"/>
  <c r="CI488" i="25" s="1"/>
  <c r="G390" i="25" l="1"/>
  <c r="G391" i="25"/>
  <c r="G392" i="25"/>
  <c r="G393" i="25"/>
  <c r="G394" i="25"/>
  <c r="G395" i="25"/>
  <c r="G396" i="25"/>
  <c r="G397" i="25"/>
  <c r="G398" i="25"/>
  <c r="G399" i="25"/>
  <c r="G400" i="25"/>
  <c r="G401" i="25"/>
  <c r="G402" i="25"/>
  <c r="G403" i="25"/>
  <c r="G404" i="25"/>
  <c r="G405" i="25"/>
  <c r="G406" i="25"/>
  <c r="G408" i="25"/>
  <c r="G409" i="25"/>
  <c r="G410"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3" i="25"/>
  <c r="G444" i="25"/>
  <c r="G445" i="25"/>
  <c r="G446" i="25"/>
  <c r="G447" i="25"/>
  <c r="G448" i="25"/>
  <c r="G449" i="25"/>
  <c r="G450" i="25"/>
  <c r="G451" i="25"/>
  <c r="G452" i="25"/>
  <c r="G453" i="25"/>
  <c r="G454" i="25"/>
  <c r="G455" i="25"/>
  <c r="G456" i="25"/>
  <c r="G181" i="25"/>
  <c r="G463" i="25"/>
  <c r="G461" i="25"/>
  <c r="G458" i="25"/>
  <c r="G465" i="25"/>
  <c r="G462" i="25"/>
  <c r="G464" i="25"/>
  <c r="G466" i="25"/>
  <c r="G460" i="25"/>
  <c r="G467" i="25"/>
  <c r="G468" i="25"/>
  <c r="G469" i="25"/>
  <c r="G470" i="25"/>
  <c r="G471" i="25"/>
  <c r="G472" i="25"/>
  <c r="G473" i="25"/>
  <c r="G474" i="25"/>
  <c r="G476" i="25"/>
  <c r="G477" i="25"/>
  <c r="G478" i="25"/>
  <c r="G479" i="25"/>
  <c r="G480" i="25"/>
  <c r="G481" i="25"/>
  <c r="G482" i="25"/>
  <c r="BQ390" i="25"/>
  <c r="BQ391" i="25"/>
  <c r="BQ392" i="25"/>
  <c r="BQ393" i="25"/>
  <c r="BQ394" i="25"/>
  <c r="BQ395" i="25"/>
  <c r="BQ396" i="25"/>
  <c r="BQ397" i="25"/>
  <c r="BQ398" i="25"/>
  <c r="BQ399" i="25"/>
  <c r="BQ400" i="25"/>
  <c r="BQ401" i="25"/>
  <c r="BQ402" i="25"/>
  <c r="BQ403" i="25"/>
  <c r="BQ404" i="25"/>
  <c r="BQ405" i="25"/>
  <c r="BQ406" i="25"/>
  <c r="BQ407" i="25"/>
  <c r="BQ408" i="25"/>
  <c r="BQ409" i="25"/>
  <c r="BQ410" i="25"/>
  <c r="BQ411" i="25"/>
  <c r="BQ412" i="25"/>
  <c r="BQ413" i="25"/>
  <c r="BQ414" i="25"/>
  <c r="BQ415" i="25"/>
  <c r="BQ416" i="25"/>
  <c r="BQ417" i="25"/>
  <c r="BQ418" i="25"/>
  <c r="BQ419" i="25"/>
  <c r="BQ420" i="25"/>
  <c r="BQ421" i="25"/>
  <c r="BQ422" i="25"/>
  <c r="BQ423" i="25"/>
  <c r="BQ424" i="25"/>
  <c r="BQ425" i="25"/>
  <c r="BQ426" i="25"/>
  <c r="BQ427" i="25"/>
  <c r="BQ428" i="25"/>
  <c r="BQ429" i="25"/>
  <c r="BQ430" i="25"/>
  <c r="BQ431" i="25"/>
  <c r="BQ432" i="25"/>
  <c r="BQ433" i="25"/>
  <c r="BQ434" i="25"/>
  <c r="BQ435" i="25"/>
  <c r="BQ436" i="25"/>
  <c r="BQ437" i="25"/>
  <c r="BQ438" i="25"/>
  <c r="BQ439" i="25"/>
  <c r="BQ440" i="25"/>
  <c r="BQ441" i="25"/>
  <c r="BQ442" i="25"/>
  <c r="BQ443" i="25"/>
  <c r="BQ444" i="25"/>
  <c r="BQ445" i="25"/>
  <c r="BQ446" i="25"/>
  <c r="BQ447" i="25"/>
  <c r="BQ448" i="25"/>
  <c r="BQ449" i="25"/>
  <c r="BQ450" i="25"/>
  <c r="BQ451" i="25"/>
  <c r="BQ452" i="25"/>
  <c r="BQ453" i="25"/>
  <c r="BQ454" i="25"/>
  <c r="BQ455" i="25"/>
  <c r="BQ456" i="25"/>
  <c r="BQ181" i="25"/>
  <c r="BQ463" i="25"/>
  <c r="BQ461" i="25"/>
  <c r="BQ458" i="25"/>
  <c r="BQ465" i="25"/>
  <c r="BQ462" i="25"/>
  <c r="BQ464" i="25"/>
  <c r="BQ466" i="25"/>
  <c r="BQ457" i="25"/>
  <c r="BQ460" i="25"/>
  <c r="BQ467" i="25"/>
  <c r="BQ468" i="25"/>
  <c r="BQ469" i="25"/>
  <c r="BQ470" i="25"/>
  <c r="BQ471" i="25"/>
  <c r="BQ472" i="25"/>
  <c r="BQ473" i="25"/>
  <c r="BQ474" i="25"/>
  <c r="BQ475" i="25"/>
  <c r="BQ476" i="25"/>
  <c r="BQ477" i="25"/>
  <c r="BQ478" i="25"/>
  <c r="BQ479" i="25"/>
  <c r="BQ480" i="25"/>
  <c r="BQ481" i="25"/>
  <c r="BQ482" i="25"/>
  <c r="BR390" i="25"/>
  <c r="BR391" i="25"/>
  <c r="BR392" i="25"/>
  <c r="BR393" i="25"/>
  <c r="BR394" i="25"/>
  <c r="BR395" i="25"/>
  <c r="BR396" i="25"/>
  <c r="BR397" i="25"/>
  <c r="BR398" i="25"/>
  <c r="BR399" i="25"/>
  <c r="BR400" i="25"/>
  <c r="BR401" i="25"/>
  <c r="BR402" i="25"/>
  <c r="BR403" i="25"/>
  <c r="BR404" i="25"/>
  <c r="BR405" i="25"/>
  <c r="BR406" i="25"/>
  <c r="BR407" i="25"/>
  <c r="BR408" i="25"/>
  <c r="BR409" i="25"/>
  <c r="BR410" i="25"/>
  <c r="BR411" i="25"/>
  <c r="BR412" i="25"/>
  <c r="BR413" i="25"/>
  <c r="BR414" i="25"/>
  <c r="BR415" i="25"/>
  <c r="BR416" i="25"/>
  <c r="BR417" i="25"/>
  <c r="BR418" i="25"/>
  <c r="BR419" i="25"/>
  <c r="BR420" i="25"/>
  <c r="BR421" i="25"/>
  <c r="BR422" i="25"/>
  <c r="BR423" i="25"/>
  <c r="BR424" i="25"/>
  <c r="BR425" i="25"/>
  <c r="BR426" i="25"/>
  <c r="BR427" i="25"/>
  <c r="BR428" i="25"/>
  <c r="BR429" i="25"/>
  <c r="BR430" i="25"/>
  <c r="BR431" i="25"/>
  <c r="BR432" i="25"/>
  <c r="BR433" i="25"/>
  <c r="BR434" i="25"/>
  <c r="BR435" i="25"/>
  <c r="BR436" i="25"/>
  <c r="BR437" i="25"/>
  <c r="BR438" i="25"/>
  <c r="BR439" i="25"/>
  <c r="BR440" i="25"/>
  <c r="BR441" i="25"/>
  <c r="BR442" i="25"/>
  <c r="BR443" i="25"/>
  <c r="BR444" i="25"/>
  <c r="BR445" i="25"/>
  <c r="BR446" i="25"/>
  <c r="BR447" i="25"/>
  <c r="BR448" i="25"/>
  <c r="BR449" i="25"/>
  <c r="BR450" i="25"/>
  <c r="BR451" i="25"/>
  <c r="BR452" i="25"/>
  <c r="BR453" i="25"/>
  <c r="BR454" i="25"/>
  <c r="BR455" i="25"/>
  <c r="BR456" i="25"/>
  <c r="BR181" i="25"/>
  <c r="BR463" i="25"/>
  <c r="BR461" i="25"/>
  <c r="BR458" i="25"/>
  <c r="BR465" i="25"/>
  <c r="BR462" i="25"/>
  <c r="BR464" i="25"/>
  <c r="BR466" i="25"/>
  <c r="BR457" i="25"/>
  <c r="BR460" i="25"/>
  <c r="BR467" i="25"/>
  <c r="BR468" i="25"/>
  <c r="BR469" i="25"/>
  <c r="BR470" i="25"/>
  <c r="BR471" i="25"/>
  <c r="BR472" i="25"/>
  <c r="BR473" i="25"/>
  <c r="BR474" i="25"/>
  <c r="BR475" i="25"/>
  <c r="BR476" i="25"/>
  <c r="BR477" i="25"/>
  <c r="BR478" i="25"/>
  <c r="BR479" i="25"/>
  <c r="BR480" i="25"/>
  <c r="BR481" i="25"/>
  <c r="BR482" i="25"/>
  <c r="BT390" i="25"/>
  <c r="BT391" i="25"/>
  <c r="BT392" i="25"/>
  <c r="BT393" i="25"/>
  <c r="BT394" i="25"/>
  <c r="BT395" i="25"/>
  <c r="BT396" i="25"/>
  <c r="BT397" i="25"/>
  <c r="BT398" i="25"/>
  <c r="BT399" i="25"/>
  <c r="BT400" i="25"/>
  <c r="BT401" i="25"/>
  <c r="BT402" i="25"/>
  <c r="BT403" i="25"/>
  <c r="BT404" i="25"/>
  <c r="BT405" i="25"/>
  <c r="BT406" i="25"/>
  <c r="BT407" i="25"/>
  <c r="BT408" i="25"/>
  <c r="BT409" i="25"/>
  <c r="BT410" i="25"/>
  <c r="BT411" i="25"/>
  <c r="BT412" i="25"/>
  <c r="BT413" i="25"/>
  <c r="BT414" i="25"/>
  <c r="BT415" i="25"/>
  <c r="BT416" i="25"/>
  <c r="BT417" i="25"/>
  <c r="BT418" i="25"/>
  <c r="BT419" i="25"/>
  <c r="BT420" i="25"/>
  <c r="BT421" i="25"/>
  <c r="BT422" i="25"/>
  <c r="BT423" i="25"/>
  <c r="BT424" i="25"/>
  <c r="BT425" i="25"/>
  <c r="BT426" i="25"/>
  <c r="BT427" i="25"/>
  <c r="BT428" i="25"/>
  <c r="BT429" i="25"/>
  <c r="BT430" i="25"/>
  <c r="BT431" i="25"/>
  <c r="BT432" i="25"/>
  <c r="BT433" i="25"/>
  <c r="BT434" i="25"/>
  <c r="BT435" i="25"/>
  <c r="BT436" i="25"/>
  <c r="BT437" i="25"/>
  <c r="BT438" i="25"/>
  <c r="BT439" i="25"/>
  <c r="BT440" i="25"/>
  <c r="BT441" i="25"/>
  <c r="BT442" i="25"/>
  <c r="BT443" i="25"/>
  <c r="BT444" i="25"/>
  <c r="BT445" i="25"/>
  <c r="BT446" i="25"/>
  <c r="BT447" i="25"/>
  <c r="BT448" i="25"/>
  <c r="BT449" i="25"/>
  <c r="BT450" i="25"/>
  <c r="BT451" i="25"/>
  <c r="BT452" i="25"/>
  <c r="BT453" i="25"/>
  <c r="BT454" i="25"/>
  <c r="BT455" i="25"/>
  <c r="BT456" i="25"/>
  <c r="BT181" i="25"/>
  <c r="BT463" i="25"/>
  <c r="BT461" i="25"/>
  <c r="BT458" i="25"/>
  <c r="BT465" i="25"/>
  <c r="BT462" i="25"/>
  <c r="BT464" i="25"/>
  <c r="BT466" i="25"/>
  <c r="BT457" i="25"/>
  <c r="BT460" i="25"/>
  <c r="BT467" i="25"/>
  <c r="BT468" i="25"/>
  <c r="BT469" i="25"/>
  <c r="BT470" i="25"/>
  <c r="BT471" i="25"/>
  <c r="BT472" i="25"/>
  <c r="BT473" i="25"/>
  <c r="BT474" i="25"/>
  <c r="BT475" i="25"/>
  <c r="BT476" i="25"/>
  <c r="BT477" i="25"/>
  <c r="BT478" i="25"/>
  <c r="BT479" i="25"/>
  <c r="BT480" i="25"/>
  <c r="BT481" i="25"/>
  <c r="BT482" i="25"/>
  <c r="BU390" i="25"/>
  <c r="BU391" i="25"/>
  <c r="BU392" i="25"/>
  <c r="BU393" i="25"/>
  <c r="BU394" i="25"/>
  <c r="BU395" i="25"/>
  <c r="BU396" i="25"/>
  <c r="BU397" i="25"/>
  <c r="BU398" i="25"/>
  <c r="BU399" i="25"/>
  <c r="BU400" i="25"/>
  <c r="BU401" i="25"/>
  <c r="BU402" i="25"/>
  <c r="BU403" i="25"/>
  <c r="BU404" i="25"/>
  <c r="BU405" i="25"/>
  <c r="BU406" i="25"/>
  <c r="BU407" i="25"/>
  <c r="BU408" i="25"/>
  <c r="BU409" i="25"/>
  <c r="BU410" i="25"/>
  <c r="BU411" i="25"/>
  <c r="BU412" i="25"/>
  <c r="BU413" i="25"/>
  <c r="BU414" i="25"/>
  <c r="BU415" i="25"/>
  <c r="BU416" i="25"/>
  <c r="BU417" i="25"/>
  <c r="BU418" i="25"/>
  <c r="BU419" i="25"/>
  <c r="BU420" i="25"/>
  <c r="BU421" i="25"/>
  <c r="BU422" i="25"/>
  <c r="BU423" i="25"/>
  <c r="BU424" i="25"/>
  <c r="BU425" i="25"/>
  <c r="BU426" i="25"/>
  <c r="BU427" i="25"/>
  <c r="BU428" i="25"/>
  <c r="BU429" i="25"/>
  <c r="BU430" i="25"/>
  <c r="BU431" i="25"/>
  <c r="BU432" i="25"/>
  <c r="BU433" i="25"/>
  <c r="BU434" i="25"/>
  <c r="BU435" i="25"/>
  <c r="BU436" i="25"/>
  <c r="BU437" i="25"/>
  <c r="BU438" i="25"/>
  <c r="BU439" i="25"/>
  <c r="BU440" i="25"/>
  <c r="BU441" i="25"/>
  <c r="BU442" i="25"/>
  <c r="BU443" i="25"/>
  <c r="BU444" i="25"/>
  <c r="BU445" i="25"/>
  <c r="BU446" i="25"/>
  <c r="BU447" i="25"/>
  <c r="BU448" i="25"/>
  <c r="BU449" i="25"/>
  <c r="BU450" i="25"/>
  <c r="BU451" i="25"/>
  <c r="BU452" i="25"/>
  <c r="BU453" i="25"/>
  <c r="BU454" i="25"/>
  <c r="BU455" i="25"/>
  <c r="BU456" i="25"/>
  <c r="BU181" i="25"/>
  <c r="BU463" i="25"/>
  <c r="BU461" i="25"/>
  <c r="BU458" i="25"/>
  <c r="BU465" i="25"/>
  <c r="BU462" i="25"/>
  <c r="BU464" i="25"/>
  <c r="BU466" i="25"/>
  <c r="BU457" i="25"/>
  <c r="BU460" i="25"/>
  <c r="BU467" i="25"/>
  <c r="BU468" i="25"/>
  <c r="BU469" i="25"/>
  <c r="BU470" i="25"/>
  <c r="BU471" i="25"/>
  <c r="BU472" i="25"/>
  <c r="BU473" i="25"/>
  <c r="BU474" i="25"/>
  <c r="BU475" i="25"/>
  <c r="BU476" i="25"/>
  <c r="BU477" i="25"/>
  <c r="BU478" i="25"/>
  <c r="BU479" i="25"/>
  <c r="BU480" i="25"/>
  <c r="BU481" i="25"/>
  <c r="BU482" i="25"/>
  <c r="BV390" i="25"/>
  <c r="BV391" i="25"/>
  <c r="BV392" i="25"/>
  <c r="BV393" i="25"/>
  <c r="BV394" i="25"/>
  <c r="BV395" i="25"/>
  <c r="BV396" i="25"/>
  <c r="BV397" i="25"/>
  <c r="BV398" i="25"/>
  <c r="BV399" i="25"/>
  <c r="BV400" i="25"/>
  <c r="BV401" i="25"/>
  <c r="BV402" i="25"/>
  <c r="BV403" i="25"/>
  <c r="BV404" i="25"/>
  <c r="BV405" i="25"/>
  <c r="BV406" i="25"/>
  <c r="BV407" i="25"/>
  <c r="BV408" i="25"/>
  <c r="BV409" i="25"/>
  <c r="BV410" i="25"/>
  <c r="BV411" i="25"/>
  <c r="BV412" i="25"/>
  <c r="BV413" i="25"/>
  <c r="BV414" i="25"/>
  <c r="BV415" i="25"/>
  <c r="BV416" i="25"/>
  <c r="BV417" i="25"/>
  <c r="BV418" i="25"/>
  <c r="BV419" i="25"/>
  <c r="BV420" i="25"/>
  <c r="BV421" i="25"/>
  <c r="BV422" i="25"/>
  <c r="BV423" i="25"/>
  <c r="BV424" i="25"/>
  <c r="BV425" i="25"/>
  <c r="BV426" i="25"/>
  <c r="BV427" i="25"/>
  <c r="BV428" i="25"/>
  <c r="BV429" i="25"/>
  <c r="BV430" i="25"/>
  <c r="BV431" i="25"/>
  <c r="BV432" i="25"/>
  <c r="BV433" i="25"/>
  <c r="BV434" i="25"/>
  <c r="BV435" i="25"/>
  <c r="BV436" i="25"/>
  <c r="BV437" i="25"/>
  <c r="BV438" i="25"/>
  <c r="BV439" i="25"/>
  <c r="BV440" i="25"/>
  <c r="BV441" i="25"/>
  <c r="BV442" i="25"/>
  <c r="BV443" i="25"/>
  <c r="BV444" i="25"/>
  <c r="BV445" i="25"/>
  <c r="BV446" i="25"/>
  <c r="BV447" i="25"/>
  <c r="BV448" i="25"/>
  <c r="BV449" i="25"/>
  <c r="BV450" i="25"/>
  <c r="BV451" i="25"/>
  <c r="BV452" i="25"/>
  <c r="BV453" i="25"/>
  <c r="BV454" i="25"/>
  <c r="BV455" i="25"/>
  <c r="BV456" i="25"/>
  <c r="BV181" i="25"/>
  <c r="BV463" i="25"/>
  <c r="BV461" i="25"/>
  <c r="BV458" i="25"/>
  <c r="BV465" i="25"/>
  <c r="BV462" i="25"/>
  <c r="BV464" i="25"/>
  <c r="BV466" i="25"/>
  <c r="BV457" i="25"/>
  <c r="BV460" i="25"/>
  <c r="BV467" i="25"/>
  <c r="BV468" i="25"/>
  <c r="BV469" i="25"/>
  <c r="BV470" i="25"/>
  <c r="BV471" i="25"/>
  <c r="BV472" i="25"/>
  <c r="BV473" i="25"/>
  <c r="BV474" i="25"/>
  <c r="BV475" i="25"/>
  <c r="BV476" i="25"/>
  <c r="BV477" i="25"/>
  <c r="BV478" i="25"/>
  <c r="BV479" i="25"/>
  <c r="BV480" i="25"/>
  <c r="BV481" i="25"/>
  <c r="BV482" i="25"/>
  <c r="BW390" i="25"/>
  <c r="BW391" i="25"/>
  <c r="BW392" i="25"/>
  <c r="BW393" i="25"/>
  <c r="BW394" i="25"/>
  <c r="BW395" i="25"/>
  <c r="BW396" i="25"/>
  <c r="BW397" i="25"/>
  <c r="BW398" i="25"/>
  <c r="BW399" i="25"/>
  <c r="BW400" i="25"/>
  <c r="BW401" i="25"/>
  <c r="BW402" i="25"/>
  <c r="BW403" i="25"/>
  <c r="BW404" i="25"/>
  <c r="BW405" i="25"/>
  <c r="BW406" i="25"/>
  <c r="BW407" i="25"/>
  <c r="BW408" i="25"/>
  <c r="BW409" i="25"/>
  <c r="BW410" i="25"/>
  <c r="BW411" i="25"/>
  <c r="BW412" i="25"/>
  <c r="BW413" i="25"/>
  <c r="BW414" i="25"/>
  <c r="BW415" i="25"/>
  <c r="BW416" i="25"/>
  <c r="BW417" i="25"/>
  <c r="BW418" i="25"/>
  <c r="BW419" i="25"/>
  <c r="BW420" i="25"/>
  <c r="BW421" i="25"/>
  <c r="BW422" i="25"/>
  <c r="BW423" i="25"/>
  <c r="BW424" i="25"/>
  <c r="BW425" i="25"/>
  <c r="BW426" i="25"/>
  <c r="BW427" i="25"/>
  <c r="BW428" i="25"/>
  <c r="BW429" i="25"/>
  <c r="BW430" i="25"/>
  <c r="BW431" i="25"/>
  <c r="BW432" i="25"/>
  <c r="BW433" i="25"/>
  <c r="BW434" i="25"/>
  <c r="BW435" i="25"/>
  <c r="BW436" i="25"/>
  <c r="BW437" i="25"/>
  <c r="BW438" i="25"/>
  <c r="BW439" i="25"/>
  <c r="BW440" i="25"/>
  <c r="BW441" i="25"/>
  <c r="BW442" i="25"/>
  <c r="BW443" i="25"/>
  <c r="BW444" i="25"/>
  <c r="BW445" i="25"/>
  <c r="BW446" i="25"/>
  <c r="BW447" i="25"/>
  <c r="BW448" i="25"/>
  <c r="BW449" i="25"/>
  <c r="BW450" i="25"/>
  <c r="BW451" i="25"/>
  <c r="BW452" i="25"/>
  <c r="BW453" i="25"/>
  <c r="BW454" i="25"/>
  <c r="BW455" i="25"/>
  <c r="BW456" i="25"/>
  <c r="BW181" i="25"/>
  <c r="BW463" i="25"/>
  <c r="BW461" i="25"/>
  <c r="BW458" i="25"/>
  <c r="BW465" i="25"/>
  <c r="BW462" i="25"/>
  <c r="BW464" i="25"/>
  <c r="BW466" i="25"/>
  <c r="BW457" i="25"/>
  <c r="BW460" i="25"/>
  <c r="BW467" i="25"/>
  <c r="BW468" i="25"/>
  <c r="BW469" i="25"/>
  <c r="BW470" i="25"/>
  <c r="BW471" i="25"/>
  <c r="BW472" i="25"/>
  <c r="BW473" i="25"/>
  <c r="BW474" i="25"/>
  <c r="BW475" i="25"/>
  <c r="BW476" i="25"/>
  <c r="BW477" i="25"/>
  <c r="BW478" i="25"/>
  <c r="BW479" i="25"/>
  <c r="BW480" i="25"/>
  <c r="BW481" i="25"/>
  <c r="BW482" i="25"/>
  <c r="BX390" i="25"/>
  <c r="BX391" i="25"/>
  <c r="BX392" i="25"/>
  <c r="BX393" i="25"/>
  <c r="BX394" i="25"/>
  <c r="BX395" i="25"/>
  <c r="BX396" i="25"/>
  <c r="BX397" i="25"/>
  <c r="BX398" i="25"/>
  <c r="BX399" i="25"/>
  <c r="BX400" i="25"/>
  <c r="BX401" i="25"/>
  <c r="BX402" i="25"/>
  <c r="BX403" i="25"/>
  <c r="BX404" i="25"/>
  <c r="BX405" i="25"/>
  <c r="BX406" i="25"/>
  <c r="BX407" i="25"/>
  <c r="BX408" i="25"/>
  <c r="BX409" i="25"/>
  <c r="BX410" i="25"/>
  <c r="BX411" i="25"/>
  <c r="BX412" i="25"/>
  <c r="BX413" i="25"/>
  <c r="BX414" i="25"/>
  <c r="BX415" i="25"/>
  <c r="BX416" i="25"/>
  <c r="BX417" i="25"/>
  <c r="BX418" i="25"/>
  <c r="BX419" i="25"/>
  <c r="BX420" i="25"/>
  <c r="BX421" i="25"/>
  <c r="BX422" i="25"/>
  <c r="BX423" i="25"/>
  <c r="BX424" i="25"/>
  <c r="BX425" i="25"/>
  <c r="BX426" i="25"/>
  <c r="BX427" i="25"/>
  <c r="BX428" i="25"/>
  <c r="BX429" i="25"/>
  <c r="BX430" i="25"/>
  <c r="BX431" i="25"/>
  <c r="BX432" i="25"/>
  <c r="BX433" i="25"/>
  <c r="BX434" i="25"/>
  <c r="BX435" i="25"/>
  <c r="BX436" i="25"/>
  <c r="BX437" i="25"/>
  <c r="BX438" i="25"/>
  <c r="BX439" i="25"/>
  <c r="BX440" i="25"/>
  <c r="BX441" i="25"/>
  <c r="BX442" i="25"/>
  <c r="BX443" i="25"/>
  <c r="BX444" i="25"/>
  <c r="BX445" i="25"/>
  <c r="BX446" i="25"/>
  <c r="BX447" i="25"/>
  <c r="BX448" i="25"/>
  <c r="BX449" i="25"/>
  <c r="BX450" i="25"/>
  <c r="BX451" i="25"/>
  <c r="BX452" i="25"/>
  <c r="BX453" i="25"/>
  <c r="BX454" i="25"/>
  <c r="BX455" i="25"/>
  <c r="BX456" i="25"/>
  <c r="BX181" i="25"/>
  <c r="BX463" i="25"/>
  <c r="BX461" i="25"/>
  <c r="BX458" i="25"/>
  <c r="BX465" i="25"/>
  <c r="BX462" i="25"/>
  <c r="BX464" i="25"/>
  <c r="BX466" i="25"/>
  <c r="BX457" i="25"/>
  <c r="BX460" i="25"/>
  <c r="BX467" i="25"/>
  <c r="BX468" i="25"/>
  <c r="BX469" i="25"/>
  <c r="BX470" i="25"/>
  <c r="BX471" i="25"/>
  <c r="BX472" i="25"/>
  <c r="BX473" i="25"/>
  <c r="BX474" i="25"/>
  <c r="BX475" i="25"/>
  <c r="BX476" i="25"/>
  <c r="BX477" i="25"/>
  <c r="BX478" i="25"/>
  <c r="BX479" i="25"/>
  <c r="BX480" i="25"/>
  <c r="BX481" i="25"/>
  <c r="BX482" i="25"/>
  <c r="CC390" i="25"/>
  <c r="CD390" i="25" s="1"/>
  <c r="CC391" i="25"/>
  <c r="CD391" i="25" s="1"/>
  <c r="CC392" i="25"/>
  <c r="CD392" i="25" s="1"/>
  <c r="CC393" i="25"/>
  <c r="CD393" i="25" s="1"/>
  <c r="CC394" i="25"/>
  <c r="CC395" i="25"/>
  <c r="CD395" i="25" s="1"/>
  <c r="CC396" i="25"/>
  <c r="CD396" i="25" s="1"/>
  <c r="CC397" i="25"/>
  <c r="CC398" i="25"/>
  <c r="CD398" i="25" s="1"/>
  <c r="CC399" i="25"/>
  <c r="CD399" i="25" s="1"/>
  <c r="CC400" i="25"/>
  <c r="CD400" i="25" s="1"/>
  <c r="CC401" i="25"/>
  <c r="CD401" i="25" s="1"/>
  <c r="CC402" i="25"/>
  <c r="CC403" i="25"/>
  <c r="CD403" i="25" s="1"/>
  <c r="CC404" i="25"/>
  <c r="CD404" i="25" s="1"/>
  <c r="CC405" i="25"/>
  <c r="CC406" i="25"/>
  <c r="CD406" i="25" s="1"/>
  <c r="CC407" i="25"/>
  <c r="CD407" i="25" s="1"/>
  <c r="CC408" i="25"/>
  <c r="CD408" i="25" s="1"/>
  <c r="CC409" i="25"/>
  <c r="CD409" i="25" s="1"/>
  <c r="CC410" i="25"/>
  <c r="CC411" i="25"/>
  <c r="CD411" i="25" s="1"/>
  <c r="CC412" i="25"/>
  <c r="CD412" i="25" s="1"/>
  <c r="CC413" i="25"/>
  <c r="CC414" i="25"/>
  <c r="CD414" i="25" s="1"/>
  <c r="CC415" i="25"/>
  <c r="CD415" i="25" s="1"/>
  <c r="CC416" i="25"/>
  <c r="CD416" i="25" s="1"/>
  <c r="CC417" i="25"/>
  <c r="CD417" i="25" s="1"/>
  <c r="CC418" i="25"/>
  <c r="CC419" i="25"/>
  <c r="CD419" i="25" s="1"/>
  <c r="CC420" i="25"/>
  <c r="CD420" i="25" s="1"/>
  <c r="CC421" i="25"/>
  <c r="CC422" i="25"/>
  <c r="CD422" i="25" s="1"/>
  <c r="CC423" i="25"/>
  <c r="CD423" i="25" s="1"/>
  <c r="CC424" i="25"/>
  <c r="CD424" i="25" s="1"/>
  <c r="CC425" i="25"/>
  <c r="CD425" i="25" s="1"/>
  <c r="CC426" i="25"/>
  <c r="CD426" i="25" s="1"/>
  <c r="CC427" i="25"/>
  <c r="CD427" i="25" s="1"/>
  <c r="CC428" i="25"/>
  <c r="CD428" i="25" s="1"/>
  <c r="CC429" i="25"/>
  <c r="CC430" i="25"/>
  <c r="CD430" i="25" s="1"/>
  <c r="CC431" i="25"/>
  <c r="CD431" i="25" s="1"/>
  <c r="CC432" i="25"/>
  <c r="CD432" i="25" s="1"/>
  <c r="CC433" i="25"/>
  <c r="CD433" i="25" s="1"/>
  <c r="CC434" i="25"/>
  <c r="CD434" i="25" s="1"/>
  <c r="CC435" i="25"/>
  <c r="CC436" i="25"/>
  <c r="CD436" i="25" s="1"/>
  <c r="CC437" i="25"/>
  <c r="CC438" i="25"/>
  <c r="CD438" i="25" s="1"/>
  <c r="CC439" i="25"/>
  <c r="CD439" i="25" s="1"/>
  <c r="CC440" i="25"/>
  <c r="CD440" i="25" s="1"/>
  <c r="CC441" i="25"/>
  <c r="CD441" i="25" s="1"/>
  <c r="CC442" i="25"/>
  <c r="CC443" i="25"/>
  <c r="CD443" i="25" s="1"/>
  <c r="CC444" i="25"/>
  <c r="CD444" i="25" s="1"/>
  <c r="CC445" i="25"/>
  <c r="CC446" i="25"/>
  <c r="CD446" i="25" s="1"/>
  <c r="CC447" i="25"/>
  <c r="CD447" i="25" s="1"/>
  <c r="CC448" i="25"/>
  <c r="CD448" i="25" s="1"/>
  <c r="CC449" i="25"/>
  <c r="CD449" i="25" s="1"/>
  <c r="CC450" i="25"/>
  <c r="CC451" i="25"/>
  <c r="CD451" i="25" s="1"/>
  <c r="CC452" i="25"/>
  <c r="CD452" i="25" s="1"/>
  <c r="CC453" i="25"/>
  <c r="CC454" i="25"/>
  <c r="CD454" i="25" s="1"/>
  <c r="CC455" i="25"/>
  <c r="CD455" i="25" s="1"/>
  <c r="CC456" i="25"/>
  <c r="CD456" i="25" s="1"/>
  <c r="CC181" i="25"/>
  <c r="CD181" i="25" s="1"/>
  <c r="CC463" i="25"/>
  <c r="CD463" i="25" s="1"/>
  <c r="CC461" i="25"/>
  <c r="CD461" i="25" s="1"/>
  <c r="CC458" i="25"/>
  <c r="CC465" i="25"/>
  <c r="CD465" i="25" s="1"/>
  <c r="CC462" i="25"/>
  <c r="CD462" i="25" s="1"/>
  <c r="CC464" i="25"/>
  <c r="CD464" i="25" s="1"/>
  <c r="CC466" i="25"/>
  <c r="CD466" i="25" s="1"/>
  <c r="CC457" i="25"/>
  <c r="CD457" i="25" s="1"/>
  <c r="CC460" i="25"/>
  <c r="CC467" i="25"/>
  <c r="CD467" i="25" s="1"/>
  <c r="CC468" i="25"/>
  <c r="CD468" i="25" s="1"/>
  <c r="CC469" i="25"/>
  <c r="CC470" i="25"/>
  <c r="CD470" i="25" s="1"/>
  <c r="CC471" i="25"/>
  <c r="CC472" i="25"/>
  <c r="CD472" i="25" s="1"/>
  <c r="CC473" i="25"/>
  <c r="CD473" i="25" s="1"/>
  <c r="CC474" i="25"/>
  <c r="CC475" i="25"/>
  <c r="CD475" i="25" s="1"/>
  <c r="CC476" i="25"/>
  <c r="CD476" i="25" s="1"/>
  <c r="CC477" i="25"/>
  <c r="CC478" i="25"/>
  <c r="CD478" i="25" s="1"/>
  <c r="CC479" i="25"/>
  <c r="CC480" i="25"/>
  <c r="CD480" i="25" s="1"/>
  <c r="CC481" i="25"/>
  <c r="CD481" i="25" s="1"/>
  <c r="CC482" i="25"/>
  <c r="CK390" i="25"/>
  <c r="CK391" i="25"/>
  <c r="CK392" i="25"/>
  <c r="CK393" i="25"/>
  <c r="CK394" i="25"/>
  <c r="CK395" i="25"/>
  <c r="CK396" i="25"/>
  <c r="CK397" i="25"/>
  <c r="CK398" i="25"/>
  <c r="CK399" i="25"/>
  <c r="CK400" i="25"/>
  <c r="CK401" i="25"/>
  <c r="CK402" i="25"/>
  <c r="CK403" i="25"/>
  <c r="CK404" i="25"/>
  <c r="CK405" i="25"/>
  <c r="CK406" i="25"/>
  <c r="CK407" i="25"/>
  <c r="CK408" i="25"/>
  <c r="CK409" i="25"/>
  <c r="CK410" i="25"/>
  <c r="CK411" i="25"/>
  <c r="CK412" i="25"/>
  <c r="CK413" i="25"/>
  <c r="CK414" i="25"/>
  <c r="CK415" i="25"/>
  <c r="CK416" i="25"/>
  <c r="CK417" i="25"/>
  <c r="CK418" i="25"/>
  <c r="CK419" i="25"/>
  <c r="CK420" i="25"/>
  <c r="CK421" i="25"/>
  <c r="CK422" i="25"/>
  <c r="CK423" i="25"/>
  <c r="CK424" i="25"/>
  <c r="CK425" i="25"/>
  <c r="CK426" i="25"/>
  <c r="CK427" i="25"/>
  <c r="CK428" i="25"/>
  <c r="CK429" i="25"/>
  <c r="CK430" i="25"/>
  <c r="CK431" i="25"/>
  <c r="CK432" i="25"/>
  <c r="CK433" i="25"/>
  <c r="CK434" i="25"/>
  <c r="CK435" i="25"/>
  <c r="CK436" i="25"/>
  <c r="CK437" i="25"/>
  <c r="CK438" i="25"/>
  <c r="CK439" i="25"/>
  <c r="CK440" i="25"/>
  <c r="CK441" i="25"/>
  <c r="CK442" i="25"/>
  <c r="CK443" i="25"/>
  <c r="CK444" i="25"/>
  <c r="CK445" i="25"/>
  <c r="CK446" i="25"/>
  <c r="CK447" i="25"/>
  <c r="CK448" i="25"/>
  <c r="CK449" i="25"/>
  <c r="CK450" i="25"/>
  <c r="CK451" i="25"/>
  <c r="CK452" i="25"/>
  <c r="CK453" i="25"/>
  <c r="CK454" i="25"/>
  <c r="CK455" i="25"/>
  <c r="CK456" i="25"/>
  <c r="CK181" i="25"/>
  <c r="CK463" i="25"/>
  <c r="CK461" i="25"/>
  <c r="CK458" i="25"/>
  <c r="CK465" i="25"/>
  <c r="CK462" i="25"/>
  <c r="CK464" i="25"/>
  <c r="CK466" i="25"/>
  <c r="CK457" i="25"/>
  <c r="CK460" i="25"/>
  <c r="CK467" i="25"/>
  <c r="CK468" i="25"/>
  <c r="CK469" i="25"/>
  <c r="CK470" i="25"/>
  <c r="CK471" i="25"/>
  <c r="CK472" i="25"/>
  <c r="CK473" i="25"/>
  <c r="CK474" i="25"/>
  <c r="CK475" i="25"/>
  <c r="CK476" i="25"/>
  <c r="CK477" i="25"/>
  <c r="CK478" i="25"/>
  <c r="CK479" i="25"/>
  <c r="CK480" i="25"/>
  <c r="CK481" i="25"/>
  <c r="CK482" i="25"/>
  <c r="CL390" i="25"/>
  <c r="CL391" i="25"/>
  <c r="CL392" i="25"/>
  <c r="CL393" i="25"/>
  <c r="CL394" i="25"/>
  <c r="CL395" i="25"/>
  <c r="CL396" i="25"/>
  <c r="CL397" i="25"/>
  <c r="CL398" i="25"/>
  <c r="CL399" i="25"/>
  <c r="CL400" i="25"/>
  <c r="CL401" i="25"/>
  <c r="CL402" i="25"/>
  <c r="CL403" i="25"/>
  <c r="CL404" i="25"/>
  <c r="CL405" i="25"/>
  <c r="CL406" i="25"/>
  <c r="CL407" i="25"/>
  <c r="CL408" i="25"/>
  <c r="CL409" i="25"/>
  <c r="CL410" i="25"/>
  <c r="CL411" i="25"/>
  <c r="CL412" i="25"/>
  <c r="CL413" i="25"/>
  <c r="CL414" i="25"/>
  <c r="CL415" i="25"/>
  <c r="CL416" i="25"/>
  <c r="CL417" i="25"/>
  <c r="CL418" i="25"/>
  <c r="CL419" i="25"/>
  <c r="CL420" i="25"/>
  <c r="CL421" i="25"/>
  <c r="CL422" i="25"/>
  <c r="CL423" i="25"/>
  <c r="CL424" i="25"/>
  <c r="CL425" i="25"/>
  <c r="CL426" i="25"/>
  <c r="CL427" i="25"/>
  <c r="CL428" i="25"/>
  <c r="CL429" i="25"/>
  <c r="CL430" i="25"/>
  <c r="CL431" i="25"/>
  <c r="CL432" i="25"/>
  <c r="CL433" i="25"/>
  <c r="CL434" i="25"/>
  <c r="CL435" i="25"/>
  <c r="CL436" i="25"/>
  <c r="CL437" i="25"/>
  <c r="CL438" i="25"/>
  <c r="CL439" i="25"/>
  <c r="CL440" i="25"/>
  <c r="CL441" i="25"/>
  <c r="CL442" i="25"/>
  <c r="CL443" i="25"/>
  <c r="CL444" i="25"/>
  <c r="CL445" i="25"/>
  <c r="CL446" i="25"/>
  <c r="CL447" i="25"/>
  <c r="CL448" i="25"/>
  <c r="CL449" i="25"/>
  <c r="CL450" i="25"/>
  <c r="CL451" i="25"/>
  <c r="CL452" i="25"/>
  <c r="CL453" i="25"/>
  <c r="CL454" i="25"/>
  <c r="CL455" i="25"/>
  <c r="CL456" i="25"/>
  <c r="CL181" i="25"/>
  <c r="CL463" i="25"/>
  <c r="CL461" i="25"/>
  <c r="CL458" i="25"/>
  <c r="CL465" i="25"/>
  <c r="CL462" i="25"/>
  <c r="CL464" i="25"/>
  <c r="CL466" i="25"/>
  <c r="CL457" i="25"/>
  <c r="CN457" i="25" s="1"/>
  <c r="CL460" i="25"/>
  <c r="CL467" i="25"/>
  <c r="CL468" i="25"/>
  <c r="CL469" i="25"/>
  <c r="CL470" i="25"/>
  <c r="CL471" i="25"/>
  <c r="CL472" i="25"/>
  <c r="CL473" i="25"/>
  <c r="CL474" i="25"/>
  <c r="CL475" i="25"/>
  <c r="CL476" i="25"/>
  <c r="CL477" i="25"/>
  <c r="CL478" i="25"/>
  <c r="CL479" i="25"/>
  <c r="CL480" i="25"/>
  <c r="CL481" i="25"/>
  <c r="CL482" i="25"/>
  <c r="CT390" i="25"/>
  <c r="CT391" i="25"/>
  <c r="CT392" i="25"/>
  <c r="CT393" i="25"/>
  <c r="CT394" i="25"/>
  <c r="CT395" i="25"/>
  <c r="CT396" i="25"/>
  <c r="CT397" i="25"/>
  <c r="CT398" i="25"/>
  <c r="CT399" i="25"/>
  <c r="CT400" i="25"/>
  <c r="CT401" i="25"/>
  <c r="CT402" i="25"/>
  <c r="CT403" i="25"/>
  <c r="CT404" i="25"/>
  <c r="CT405" i="25"/>
  <c r="CT406" i="25"/>
  <c r="CT407" i="25"/>
  <c r="CT408" i="25"/>
  <c r="CT409" i="25"/>
  <c r="CT410" i="25"/>
  <c r="CT411" i="25"/>
  <c r="CT412" i="25"/>
  <c r="CT413" i="25"/>
  <c r="CT414" i="25"/>
  <c r="CT415" i="25"/>
  <c r="CT416" i="25"/>
  <c r="CT417" i="25"/>
  <c r="CT418" i="25"/>
  <c r="CT419" i="25"/>
  <c r="CT420" i="25"/>
  <c r="CT421" i="25"/>
  <c r="CT422" i="25"/>
  <c r="CT423" i="25"/>
  <c r="CT424" i="25"/>
  <c r="CT425" i="25"/>
  <c r="CT426" i="25"/>
  <c r="CT427" i="25"/>
  <c r="CT428" i="25"/>
  <c r="CT429" i="25"/>
  <c r="CT430" i="25"/>
  <c r="CT431" i="25"/>
  <c r="CT432" i="25"/>
  <c r="CT433" i="25"/>
  <c r="CT434" i="25"/>
  <c r="CT435" i="25"/>
  <c r="CT436" i="25"/>
  <c r="CT437" i="25"/>
  <c r="CT438" i="25"/>
  <c r="CT439" i="25"/>
  <c r="CT440" i="25"/>
  <c r="CT441" i="25"/>
  <c r="CT442" i="25"/>
  <c r="CT443" i="25"/>
  <c r="CT444" i="25"/>
  <c r="CT445" i="25"/>
  <c r="CT446" i="25"/>
  <c r="CT447" i="25"/>
  <c r="CT448" i="25"/>
  <c r="CT449" i="25"/>
  <c r="CT450" i="25"/>
  <c r="CT451" i="25"/>
  <c r="CT452" i="25"/>
  <c r="CT453" i="25"/>
  <c r="CT454" i="25"/>
  <c r="CT455" i="25"/>
  <c r="CT456" i="25"/>
  <c r="CT181" i="25"/>
  <c r="CT463" i="25"/>
  <c r="CT461" i="25"/>
  <c r="CT458" i="25"/>
  <c r="CT465" i="25"/>
  <c r="CT462" i="25"/>
  <c r="CT464" i="25"/>
  <c r="CT466" i="25"/>
  <c r="CT457" i="25"/>
  <c r="CT460" i="25"/>
  <c r="CT467" i="25"/>
  <c r="CT468" i="25"/>
  <c r="CT469" i="25"/>
  <c r="CT470" i="25"/>
  <c r="CT471" i="25"/>
  <c r="CT472" i="25"/>
  <c r="CT473" i="25"/>
  <c r="CT474" i="25"/>
  <c r="CT475" i="25"/>
  <c r="CT476" i="25"/>
  <c r="CT477" i="25"/>
  <c r="CT478" i="25"/>
  <c r="CT479" i="25"/>
  <c r="CT480" i="25"/>
  <c r="CT481" i="25"/>
  <c r="CT482" i="25"/>
  <c r="CU390" i="25"/>
  <c r="DB390" i="25" s="1"/>
  <c r="CU391" i="25"/>
  <c r="DB391" i="25" s="1"/>
  <c r="CU392" i="25"/>
  <c r="DB392" i="25" s="1"/>
  <c r="CU393" i="25"/>
  <c r="DB393" i="25" s="1"/>
  <c r="CU394" i="25"/>
  <c r="DB394" i="25" s="1"/>
  <c r="CU395" i="25"/>
  <c r="CU396" i="25"/>
  <c r="DB396" i="25" s="1"/>
  <c r="CU397" i="25"/>
  <c r="DB397" i="25" s="1"/>
  <c r="CU398" i="25"/>
  <c r="DB398" i="25" s="1"/>
  <c r="CU399" i="25"/>
  <c r="DB399" i="25" s="1"/>
  <c r="CU400" i="25"/>
  <c r="DB400" i="25" s="1"/>
  <c r="CU401" i="25"/>
  <c r="DB401" i="25" s="1"/>
  <c r="CU402" i="25"/>
  <c r="CU403" i="25"/>
  <c r="DB403" i="25" s="1"/>
  <c r="CU404" i="25"/>
  <c r="DB404" i="25" s="1"/>
  <c r="CU405" i="25"/>
  <c r="DB405" i="25" s="1"/>
  <c r="CU406" i="25"/>
  <c r="DB406" i="25" s="1"/>
  <c r="CU407" i="25"/>
  <c r="DB407" i="25" s="1"/>
  <c r="CU408" i="25"/>
  <c r="DB408" i="25" s="1"/>
  <c r="CU409" i="25"/>
  <c r="DB409" i="25" s="1"/>
  <c r="CU410" i="25"/>
  <c r="DB410" i="25" s="1"/>
  <c r="CU411" i="25"/>
  <c r="DB411" i="25" s="1"/>
  <c r="CU412" i="25"/>
  <c r="DB412" i="25" s="1"/>
  <c r="CU413" i="25"/>
  <c r="DB413" i="25" s="1"/>
  <c r="CU414" i="25"/>
  <c r="DB414" i="25" s="1"/>
  <c r="CU415" i="25"/>
  <c r="DB415" i="25" s="1"/>
  <c r="CU416" i="25"/>
  <c r="DB416" i="25" s="1"/>
  <c r="CU417" i="25"/>
  <c r="DB417" i="25" s="1"/>
  <c r="CU418" i="25"/>
  <c r="DB418" i="25" s="1"/>
  <c r="CU419" i="25"/>
  <c r="DB419" i="25" s="1"/>
  <c r="CU420" i="25"/>
  <c r="DB420" i="25" s="1"/>
  <c r="CU421" i="25"/>
  <c r="DB421" i="25" s="1"/>
  <c r="CU422" i="25"/>
  <c r="DB422" i="25" s="1"/>
  <c r="CU423" i="25"/>
  <c r="DB423" i="25" s="1"/>
  <c r="CU424" i="25"/>
  <c r="DB424" i="25" s="1"/>
  <c r="CU425" i="25"/>
  <c r="DB425" i="25" s="1"/>
  <c r="CU426" i="25"/>
  <c r="DB426" i="25" s="1"/>
  <c r="CU427" i="25"/>
  <c r="DB427" i="25" s="1"/>
  <c r="CU428" i="25"/>
  <c r="DB428" i="25" s="1"/>
  <c r="CU429" i="25"/>
  <c r="DB429" i="25" s="1"/>
  <c r="CU430" i="25"/>
  <c r="DB430" i="25" s="1"/>
  <c r="CU431" i="25"/>
  <c r="DB431" i="25" s="1"/>
  <c r="CU432" i="25"/>
  <c r="DB432" i="25" s="1"/>
  <c r="CU433" i="25"/>
  <c r="CU434" i="25"/>
  <c r="DB434" i="25" s="1"/>
  <c r="CU435" i="25"/>
  <c r="DB435" i="25" s="1"/>
  <c r="CU436" i="25"/>
  <c r="DB436" i="25" s="1"/>
  <c r="CU437" i="25"/>
  <c r="DB437" i="25" s="1"/>
  <c r="CU438" i="25"/>
  <c r="DB438" i="25" s="1"/>
  <c r="CU439" i="25"/>
  <c r="DB439" i="25" s="1"/>
  <c r="CU440" i="25"/>
  <c r="DB440" i="25" s="1"/>
  <c r="CU441" i="25"/>
  <c r="DB441" i="25" s="1"/>
  <c r="CU442" i="25"/>
  <c r="DB442" i="25" s="1"/>
  <c r="CU443" i="25"/>
  <c r="DB443" i="25" s="1"/>
  <c r="CU444" i="25"/>
  <c r="DB444" i="25" s="1"/>
  <c r="CU445" i="25"/>
  <c r="DB445" i="25" s="1"/>
  <c r="CU446" i="25"/>
  <c r="DB446" i="25" s="1"/>
  <c r="CU447" i="25"/>
  <c r="DB447" i="25" s="1"/>
  <c r="CU448" i="25"/>
  <c r="DB448" i="25" s="1"/>
  <c r="CU449" i="25"/>
  <c r="CU450" i="25"/>
  <c r="DB450" i="25" s="1"/>
  <c r="CU451" i="25"/>
  <c r="DB451" i="25" s="1"/>
  <c r="CU452" i="25"/>
  <c r="DB452" i="25" s="1"/>
  <c r="CU453" i="25"/>
  <c r="DB453" i="25" s="1"/>
  <c r="CU454" i="25"/>
  <c r="DB454" i="25" s="1"/>
  <c r="CU455" i="25"/>
  <c r="DB455" i="25" s="1"/>
  <c r="CU456" i="25"/>
  <c r="CU181" i="25"/>
  <c r="DB181" i="25" s="1"/>
  <c r="CU463" i="25"/>
  <c r="DB463" i="25" s="1"/>
  <c r="CU461" i="25"/>
  <c r="DB461" i="25" s="1"/>
  <c r="CU458" i="25"/>
  <c r="DB458" i="25" s="1"/>
  <c r="CU465" i="25"/>
  <c r="DB465" i="25" s="1"/>
  <c r="CU462" i="25"/>
  <c r="DB462" i="25" s="1"/>
  <c r="CU464" i="25"/>
  <c r="DB464" i="25" s="1"/>
  <c r="CU466" i="25"/>
  <c r="DB466" i="25" s="1"/>
  <c r="CU457" i="25"/>
  <c r="DB457" i="25" s="1"/>
  <c r="CU460" i="25"/>
  <c r="DB460" i="25" s="1"/>
  <c r="CU467" i="25"/>
  <c r="DB467" i="25" s="1"/>
  <c r="CU468" i="25"/>
  <c r="DB468" i="25" s="1"/>
  <c r="CU469" i="25"/>
  <c r="DB469" i="25" s="1"/>
  <c r="CU470" i="25"/>
  <c r="DB470" i="25" s="1"/>
  <c r="CU471" i="25"/>
  <c r="DB471" i="25" s="1"/>
  <c r="CU472" i="25"/>
  <c r="DB472" i="25" s="1"/>
  <c r="CU473" i="25"/>
  <c r="DB473" i="25" s="1"/>
  <c r="CU474" i="25"/>
  <c r="DB474" i="25" s="1"/>
  <c r="CU475" i="25"/>
  <c r="DB475" i="25" s="1"/>
  <c r="CU476" i="25"/>
  <c r="DB476" i="25" s="1"/>
  <c r="CU477" i="25"/>
  <c r="DB477" i="25" s="1"/>
  <c r="CU478" i="25"/>
  <c r="DB478" i="25" s="1"/>
  <c r="CU479" i="25"/>
  <c r="DB479" i="25" s="1"/>
  <c r="CU480" i="25"/>
  <c r="DB480" i="25" s="1"/>
  <c r="CU481" i="25"/>
  <c r="DB481" i="25" s="1"/>
  <c r="CU482" i="25"/>
  <c r="DB482" i="25" s="1"/>
  <c r="CV390" i="25"/>
  <c r="CV391" i="25"/>
  <c r="CV392" i="25"/>
  <c r="CV393" i="25"/>
  <c r="CV394" i="25"/>
  <c r="CV395" i="25"/>
  <c r="CV396" i="25"/>
  <c r="CV397" i="25"/>
  <c r="CV398" i="25"/>
  <c r="CV399" i="25"/>
  <c r="CV400" i="25"/>
  <c r="CV401" i="25"/>
  <c r="CV402" i="25"/>
  <c r="CV403" i="25"/>
  <c r="CV404" i="25"/>
  <c r="CV405" i="25"/>
  <c r="CV406" i="25"/>
  <c r="CV407" i="25"/>
  <c r="CV408" i="25"/>
  <c r="CV409" i="25"/>
  <c r="CV410" i="25"/>
  <c r="CV411" i="25"/>
  <c r="CV412" i="25"/>
  <c r="CV413" i="25"/>
  <c r="CV414" i="25"/>
  <c r="CV415" i="25"/>
  <c r="CV416" i="25"/>
  <c r="CV417" i="25"/>
  <c r="CV418" i="25"/>
  <c r="CV419" i="25"/>
  <c r="CV420" i="25"/>
  <c r="CV421" i="25"/>
  <c r="CV422" i="25"/>
  <c r="CV423" i="25"/>
  <c r="CV424" i="25"/>
  <c r="CV425" i="25"/>
  <c r="CV426" i="25"/>
  <c r="CV427" i="25"/>
  <c r="CV428" i="25"/>
  <c r="CV429" i="25"/>
  <c r="CV430" i="25"/>
  <c r="CV431" i="25"/>
  <c r="CV432" i="25"/>
  <c r="CV433" i="25"/>
  <c r="CV434" i="25"/>
  <c r="CV435" i="25"/>
  <c r="CV436" i="25"/>
  <c r="CV437" i="25"/>
  <c r="CV438" i="25"/>
  <c r="CV439" i="25"/>
  <c r="CV440" i="25"/>
  <c r="CV441" i="25"/>
  <c r="CV442" i="25"/>
  <c r="CV443" i="25"/>
  <c r="CV444" i="25"/>
  <c r="CV445" i="25"/>
  <c r="CV446" i="25"/>
  <c r="CV447" i="25"/>
  <c r="CV448" i="25"/>
  <c r="CV449" i="25"/>
  <c r="CV450" i="25"/>
  <c r="CV451" i="25"/>
  <c r="CV452" i="25"/>
  <c r="CV453" i="25"/>
  <c r="CV454" i="25"/>
  <c r="CV455" i="25"/>
  <c r="CV456" i="25"/>
  <c r="CV181" i="25"/>
  <c r="CV463" i="25"/>
  <c r="CV461" i="25"/>
  <c r="CV458" i="25"/>
  <c r="CV465" i="25"/>
  <c r="CV462" i="25"/>
  <c r="CV464" i="25"/>
  <c r="CV466" i="25"/>
  <c r="CV457" i="25"/>
  <c r="CV460" i="25"/>
  <c r="CV467" i="25"/>
  <c r="CV468" i="25"/>
  <c r="CV469" i="25"/>
  <c r="CV470" i="25"/>
  <c r="CV471" i="25"/>
  <c r="CV472" i="25"/>
  <c r="CV473" i="25"/>
  <c r="CV474" i="25"/>
  <c r="CV475" i="25"/>
  <c r="CV476" i="25"/>
  <c r="CV477" i="25"/>
  <c r="CV478" i="25"/>
  <c r="CV479" i="25"/>
  <c r="CV480" i="25"/>
  <c r="CV481" i="25"/>
  <c r="CV482" i="25"/>
  <c r="CW390" i="25"/>
  <c r="CW391" i="25"/>
  <c r="CW392" i="25"/>
  <c r="CW393" i="25"/>
  <c r="CW394" i="25"/>
  <c r="CW395" i="25"/>
  <c r="CW396" i="25"/>
  <c r="CW397" i="25"/>
  <c r="CW398" i="25"/>
  <c r="CW399" i="25"/>
  <c r="CW400" i="25"/>
  <c r="CW401" i="25"/>
  <c r="CW402" i="25"/>
  <c r="CW403" i="25"/>
  <c r="CW404" i="25"/>
  <c r="CW405" i="25"/>
  <c r="CW406" i="25"/>
  <c r="CW407" i="25"/>
  <c r="CW408" i="25"/>
  <c r="CW409" i="25"/>
  <c r="CW410" i="25"/>
  <c r="CW411" i="25"/>
  <c r="CW412" i="25"/>
  <c r="CW413" i="25"/>
  <c r="CW414" i="25"/>
  <c r="CW415" i="25"/>
  <c r="CW416" i="25"/>
  <c r="CW417" i="25"/>
  <c r="CW418" i="25"/>
  <c r="CW419" i="25"/>
  <c r="CW420" i="25"/>
  <c r="CW421" i="25"/>
  <c r="CW422" i="25"/>
  <c r="CW423" i="25"/>
  <c r="CW424" i="25"/>
  <c r="CW425" i="25"/>
  <c r="CW426" i="25"/>
  <c r="CW427" i="25"/>
  <c r="CW428" i="25"/>
  <c r="CW429" i="25"/>
  <c r="CW430" i="25"/>
  <c r="CW431" i="25"/>
  <c r="CW432" i="25"/>
  <c r="CW433" i="25"/>
  <c r="CW434" i="25"/>
  <c r="CW435" i="25"/>
  <c r="CW436" i="25"/>
  <c r="CW437" i="25"/>
  <c r="CW438" i="25"/>
  <c r="CW439" i="25"/>
  <c r="CW440" i="25"/>
  <c r="CW441" i="25"/>
  <c r="CW442" i="25"/>
  <c r="CW443" i="25"/>
  <c r="CW444" i="25"/>
  <c r="CW445" i="25"/>
  <c r="CW446" i="25"/>
  <c r="CW447" i="25"/>
  <c r="CW448" i="25"/>
  <c r="CW449" i="25"/>
  <c r="CW450" i="25"/>
  <c r="CW451" i="25"/>
  <c r="CW452" i="25"/>
  <c r="CW453" i="25"/>
  <c r="CW454" i="25"/>
  <c r="CW455" i="25"/>
  <c r="CW456" i="25"/>
  <c r="CW181" i="25"/>
  <c r="CW463" i="25"/>
  <c r="CW461" i="25"/>
  <c r="CW458" i="25"/>
  <c r="CW465" i="25"/>
  <c r="CW462" i="25"/>
  <c r="CW464" i="25"/>
  <c r="CW466" i="25"/>
  <c r="CW457" i="25"/>
  <c r="CW460" i="25"/>
  <c r="CW467" i="25"/>
  <c r="CW468" i="25"/>
  <c r="CW469" i="25"/>
  <c r="CW470" i="25"/>
  <c r="CW471" i="25"/>
  <c r="CW472" i="25"/>
  <c r="CW473" i="25"/>
  <c r="CW474" i="25"/>
  <c r="CW475" i="25"/>
  <c r="CW476" i="25"/>
  <c r="CW477" i="25"/>
  <c r="CW478" i="25"/>
  <c r="CW479" i="25"/>
  <c r="CW480" i="25"/>
  <c r="CW481" i="25"/>
  <c r="CW482" i="25"/>
  <c r="DC390" i="25"/>
  <c r="DC391" i="25"/>
  <c r="DC392" i="25"/>
  <c r="DC393" i="25"/>
  <c r="DC394" i="25"/>
  <c r="DC395" i="25"/>
  <c r="DC396" i="25"/>
  <c r="DC397" i="25"/>
  <c r="DC398" i="25"/>
  <c r="DC399" i="25"/>
  <c r="DC400" i="25"/>
  <c r="DC401" i="25"/>
  <c r="DC402" i="25"/>
  <c r="DC403" i="25"/>
  <c r="DC404" i="25"/>
  <c r="DC405" i="25"/>
  <c r="DC406" i="25"/>
  <c r="DC407" i="25"/>
  <c r="DC408" i="25"/>
  <c r="DC409" i="25"/>
  <c r="DC410" i="25"/>
  <c r="DC411" i="25"/>
  <c r="DC412" i="25"/>
  <c r="DC413" i="25"/>
  <c r="DC414" i="25"/>
  <c r="DC415" i="25"/>
  <c r="DC416" i="25"/>
  <c r="DC417" i="25"/>
  <c r="DC418" i="25"/>
  <c r="DC419" i="25"/>
  <c r="DC420" i="25"/>
  <c r="DC421" i="25"/>
  <c r="DC422" i="25"/>
  <c r="DC423" i="25"/>
  <c r="DC424" i="25"/>
  <c r="DC425" i="25"/>
  <c r="DC426" i="25"/>
  <c r="DC427" i="25"/>
  <c r="DC428" i="25"/>
  <c r="DC429" i="25"/>
  <c r="DC430" i="25"/>
  <c r="DC431" i="25"/>
  <c r="DC432" i="25"/>
  <c r="DC433" i="25"/>
  <c r="DC434" i="25"/>
  <c r="DC435" i="25"/>
  <c r="DC436" i="25"/>
  <c r="DC437" i="25"/>
  <c r="DC438" i="25"/>
  <c r="DC439" i="25"/>
  <c r="DC440" i="25"/>
  <c r="DC441" i="25"/>
  <c r="DC442" i="25"/>
  <c r="DC443" i="25"/>
  <c r="DC444" i="25"/>
  <c r="DC445" i="25"/>
  <c r="DC446" i="25"/>
  <c r="DC447" i="25"/>
  <c r="DC448" i="25"/>
  <c r="DC449" i="25"/>
  <c r="DC450" i="25"/>
  <c r="DC451" i="25"/>
  <c r="DC452" i="25"/>
  <c r="DC453" i="25"/>
  <c r="DC454" i="25"/>
  <c r="DC455" i="25"/>
  <c r="DC456" i="25"/>
  <c r="DC181" i="25"/>
  <c r="DC463" i="25"/>
  <c r="DC461" i="25"/>
  <c r="DC458" i="25"/>
  <c r="DC465" i="25"/>
  <c r="DC462" i="25"/>
  <c r="DC464" i="25"/>
  <c r="DC466" i="25"/>
  <c r="DC457" i="25"/>
  <c r="DC460" i="25"/>
  <c r="DC467" i="25"/>
  <c r="DC468" i="25"/>
  <c r="DC469" i="25"/>
  <c r="DC470" i="25"/>
  <c r="DC471" i="25"/>
  <c r="DC472" i="25"/>
  <c r="DC473" i="25"/>
  <c r="DC474" i="25"/>
  <c r="DC475" i="25"/>
  <c r="DC476" i="25"/>
  <c r="DC477" i="25"/>
  <c r="DC478" i="25"/>
  <c r="DC479" i="25"/>
  <c r="DC480" i="25"/>
  <c r="DC481" i="25"/>
  <c r="DC482" i="25"/>
  <c r="DD390" i="25"/>
  <c r="DD391" i="25"/>
  <c r="DD392" i="25"/>
  <c r="DD393" i="25"/>
  <c r="DD394" i="25"/>
  <c r="DD395" i="25"/>
  <c r="DD396" i="25"/>
  <c r="DD397" i="25"/>
  <c r="DD398" i="25"/>
  <c r="DD399" i="25"/>
  <c r="DD400" i="25"/>
  <c r="DD401" i="25"/>
  <c r="DD402" i="25"/>
  <c r="DD403" i="25"/>
  <c r="DD404" i="25"/>
  <c r="DD405" i="25"/>
  <c r="DD406" i="25"/>
  <c r="DD407" i="25"/>
  <c r="DD408" i="25"/>
  <c r="DD409" i="25"/>
  <c r="DD410" i="25"/>
  <c r="DD411" i="25"/>
  <c r="DD412" i="25"/>
  <c r="DD413" i="25"/>
  <c r="DD414" i="25"/>
  <c r="DD415" i="25"/>
  <c r="DD416" i="25"/>
  <c r="DD417" i="25"/>
  <c r="DD418" i="25"/>
  <c r="DD419" i="25"/>
  <c r="DD420" i="25"/>
  <c r="DD421" i="25"/>
  <c r="DD422" i="25"/>
  <c r="DD423" i="25"/>
  <c r="DD424" i="25"/>
  <c r="DD425" i="25"/>
  <c r="DD426" i="25"/>
  <c r="DD427" i="25"/>
  <c r="DD428" i="25"/>
  <c r="DD429" i="25"/>
  <c r="DD430" i="25"/>
  <c r="DD431" i="25"/>
  <c r="DD432" i="25"/>
  <c r="DD433" i="25"/>
  <c r="DD434" i="25"/>
  <c r="DD435" i="25"/>
  <c r="DD436" i="25"/>
  <c r="DD437" i="25"/>
  <c r="DD438" i="25"/>
  <c r="DD439" i="25"/>
  <c r="DD440" i="25"/>
  <c r="DD441" i="25"/>
  <c r="DD442" i="25"/>
  <c r="DD443" i="25"/>
  <c r="DD444" i="25"/>
  <c r="DD445" i="25"/>
  <c r="DD446" i="25"/>
  <c r="DD447" i="25"/>
  <c r="DD448" i="25"/>
  <c r="DD449" i="25"/>
  <c r="DD450" i="25"/>
  <c r="DD451" i="25"/>
  <c r="DD452" i="25"/>
  <c r="DD453" i="25"/>
  <c r="DD454" i="25"/>
  <c r="DD455" i="25"/>
  <c r="DD456" i="25"/>
  <c r="DD181" i="25"/>
  <c r="DD463" i="25"/>
  <c r="DD461" i="25"/>
  <c r="DD458" i="25"/>
  <c r="DD465" i="25"/>
  <c r="DD462" i="25"/>
  <c r="DD464" i="25"/>
  <c r="DD466" i="25"/>
  <c r="DD457" i="25"/>
  <c r="DD460" i="25"/>
  <c r="DD467" i="25"/>
  <c r="DD468" i="25"/>
  <c r="DD469" i="25"/>
  <c r="DD470" i="25"/>
  <c r="DD471" i="25"/>
  <c r="DD472" i="25"/>
  <c r="DD473" i="25"/>
  <c r="DD474" i="25"/>
  <c r="DD475" i="25"/>
  <c r="DD476" i="25"/>
  <c r="DD477" i="25"/>
  <c r="DD478" i="25"/>
  <c r="DD479" i="25"/>
  <c r="DD480" i="25"/>
  <c r="DD481" i="25"/>
  <c r="DD482" i="25"/>
  <c r="DE390" i="25"/>
  <c r="DE391" i="25"/>
  <c r="DE392" i="25"/>
  <c r="DE393" i="25"/>
  <c r="DE394" i="25"/>
  <c r="DE395" i="25"/>
  <c r="DE396" i="25"/>
  <c r="DE397" i="25"/>
  <c r="DE398" i="25"/>
  <c r="DE399" i="25"/>
  <c r="DE400" i="25"/>
  <c r="DE401" i="25"/>
  <c r="DE402" i="25"/>
  <c r="DE403" i="25"/>
  <c r="DE404" i="25"/>
  <c r="DE405" i="25"/>
  <c r="DE406" i="25"/>
  <c r="DE407" i="25"/>
  <c r="DE408" i="25"/>
  <c r="DE409" i="25"/>
  <c r="DE410" i="25"/>
  <c r="DE411" i="25"/>
  <c r="DE412" i="25"/>
  <c r="DE413" i="25"/>
  <c r="DE414" i="25"/>
  <c r="DE415" i="25"/>
  <c r="DE416" i="25"/>
  <c r="DE417" i="25"/>
  <c r="DE418" i="25"/>
  <c r="DE419" i="25"/>
  <c r="DE420" i="25"/>
  <c r="DE421" i="25"/>
  <c r="DE422" i="25"/>
  <c r="DE423" i="25"/>
  <c r="DE424" i="25"/>
  <c r="DE425" i="25"/>
  <c r="DE426" i="25"/>
  <c r="DE427" i="25"/>
  <c r="DE428" i="25"/>
  <c r="DE429" i="25"/>
  <c r="DE430" i="25"/>
  <c r="DE431" i="25"/>
  <c r="DE432" i="25"/>
  <c r="DE433" i="25"/>
  <c r="DE434" i="25"/>
  <c r="DE435" i="25"/>
  <c r="DE436" i="25"/>
  <c r="DE437" i="25"/>
  <c r="DE438" i="25"/>
  <c r="DE439" i="25"/>
  <c r="DE440" i="25"/>
  <c r="DE441" i="25"/>
  <c r="DE442" i="25"/>
  <c r="DE443" i="25"/>
  <c r="DE444" i="25"/>
  <c r="DE445" i="25"/>
  <c r="DE446" i="25"/>
  <c r="DE447" i="25"/>
  <c r="DE448" i="25"/>
  <c r="DE449" i="25"/>
  <c r="DE450" i="25"/>
  <c r="DE451" i="25"/>
  <c r="DE452" i="25"/>
  <c r="DE453" i="25"/>
  <c r="DE454" i="25"/>
  <c r="DE455" i="25"/>
  <c r="DE456" i="25"/>
  <c r="DE181" i="25"/>
  <c r="DE463" i="25"/>
  <c r="DE461" i="25"/>
  <c r="DE458" i="25"/>
  <c r="DE465" i="25"/>
  <c r="DE462" i="25"/>
  <c r="DE464" i="25"/>
  <c r="DE466" i="25"/>
  <c r="DE457" i="25"/>
  <c r="DE460" i="25"/>
  <c r="DE467" i="25"/>
  <c r="DE468" i="25"/>
  <c r="DE469" i="25"/>
  <c r="DE470" i="25"/>
  <c r="DE471" i="25"/>
  <c r="DE472" i="25"/>
  <c r="DE473" i="25"/>
  <c r="DE474" i="25"/>
  <c r="DE475" i="25"/>
  <c r="DE476" i="25"/>
  <c r="DE477" i="25"/>
  <c r="DE478" i="25"/>
  <c r="DE479" i="25"/>
  <c r="DE480" i="25"/>
  <c r="DE481" i="25"/>
  <c r="DE482" i="25"/>
  <c r="DG390" i="25"/>
  <c r="DG391" i="25"/>
  <c r="DG392" i="25"/>
  <c r="DG393" i="25"/>
  <c r="DG394" i="25"/>
  <c r="DG395" i="25"/>
  <c r="DG396" i="25"/>
  <c r="DG397" i="25"/>
  <c r="DG398" i="25"/>
  <c r="DG399" i="25"/>
  <c r="DG400" i="25"/>
  <c r="DG401" i="25"/>
  <c r="DG402" i="25"/>
  <c r="DG403" i="25"/>
  <c r="DG404" i="25"/>
  <c r="DG405" i="25"/>
  <c r="DG406" i="25"/>
  <c r="DG407" i="25"/>
  <c r="DG408" i="25"/>
  <c r="DG409" i="25"/>
  <c r="DG410" i="25"/>
  <c r="DG411" i="25"/>
  <c r="DG412" i="25"/>
  <c r="DG413" i="25"/>
  <c r="DG414" i="25"/>
  <c r="DG415" i="25"/>
  <c r="DG416" i="25"/>
  <c r="DG417" i="25"/>
  <c r="DG418" i="25"/>
  <c r="DG419" i="25"/>
  <c r="DG420" i="25"/>
  <c r="DG421" i="25"/>
  <c r="DG422" i="25"/>
  <c r="DG423" i="25"/>
  <c r="DG424" i="25"/>
  <c r="DG425" i="25"/>
  <c r="DG426" i="25"/>
  <c r="DG427" i="25"/>
  <c r="DG428" i="25"/>
  <c r="DG429" i="25"/>
  <c r="DG430" i="25"/>
  <c r="DG431" i="25"/>
  <c r="DG432" i="25"/>
  <c r="DG433" i="25"/>
  <c r="DG434" i="25"/>
  <c r="DG435" i="25"/>
  <c r="DG436" i="25"/>
  <c r="DG437" i="25"/>
  <c r="DG438" i="25"/>
  <c r="DG439" i="25"/>
  <c r="DG440" i="25"/>
  <c r="DG441" i="25"/>
  <c r="DG442" i="25"/>
  <c r="DG443" i="25"/>
  <c r="DG444" i="25"/>
  <c r="DG445" i="25"/>
  <c r="DG446" i="25"/>
  <c r="DG447" i="25"/>
  <c r="DG448" i="25"/>
  <c r="DG449" i="25"/>
  <c r="DG450" i="25"/>
  <c r="DG451" i="25"/>
  <c r="DG452" i="25"/>
  <c r="DG453" i="25"/>
  <c r="DG454" i="25"/>
  <c r="DG455" i="25"/>
  <c r="DG456" i="25"/>
  <c r="DG181" i="25"/>
  <c r="DG463" i="25"/>
  <c r="DG461" i="25"/>
  <c r="DG458" i="25"/>
  <c r="DG465" i="25"/>
  <c r="DG462" i="25"/>
  <c r="DG464" i="25"/>
  <c r="DG466" i="25"/>
  <c r="DG457" i="25"/>
  <c r="DG460" i="25"/>
  <c r="DG467" i="25"/>
  <c r="DG468" i="25"/>
  <c r="DG469" i="25"/>
  <c r="DG470" i="25"/>
  <c r="DG471" i="25"/>
  <c r="DG472" i="25"/>
  <c r="DG473" i="25"/>
  <c r="DG474" i="25"/>
  <c r="DG475" i="25"/>
  <c r="DG476" i="25"/>
  <c r="DG477" i="25"/>
  <c r="DG478" i="25"/>
  <c r="DG479" i="25"/>
  <c r="DG480" i="25"/>
  <c r="DG481" i="25"/>
  <c r="DG482" i="25"/>
  <c r="DJ390" i="25"/>
  <c r="DJ391" i="25"/>
  <c r="DJ392" i="25"/>
  <c r="DJ393" i="25"/>
  <c r="DJ394" i="25"/>
  <c r="DJ395" i="25"/>
  <c r="DJ396" i="25"/>
  <c r="DJ397" i="25"/>
  <c r="DJ398" i="25"/>
  <c r="DJ399" i="25"/>
  <c r="DJ400" i="25"/>
  <c r="DJ401" i="25"/>
  <c r="DJ402" i="25"/>
  <c r="DJ403" i="25"/>
  <c r="DJ404" i="25"/>
  <c r="DJ405" i="25"/>
  <c r="DJ406" i="25"/>
  <c r="DJ407" i="25"/>
  <c r="DJ408" i="25"/>
  <c r="DJ409" i="25"/>
  <c r="DJ410" i="25"/>
  <c r="DJ411" i="25"/>
  <c r="DJ412" i="25"/>
  <c r="DJ413" i="25"/>
  <c r="DJ414" i="25"/>
  <c r="DJ415" i="25"/>
  <c r="DJ416" i="25"/>
  <c r="DJ417" i="25"/>
  <c r="DJ418" i="25"/>
  <c r="DJ419" i="25"/>
  <c r="DJ420" i="25"/>
  <c r="DJ421" i="25"/>
  <c r="DJ422" i="25"/>
  <c r="DJ423" i="25"/>
  <c r="DJ424" i="25"/>
  <c r="DJ425" i="25"/>
  <c r="DJ426" i="25"/>
  <c r="DJ427" i="25"/>
  <c r="DJ428" i="25"/>
  <c r="DJ429" i="25"/>
  <c r="DJ430" i="25"/>
  <c r="DJ431" i="25"/>
  <c r="DJ432" i="25"/>
  <c r="DJ433" i="25"/>
  <c r="DJ434" i="25"/>
  <c r="DJ435" i="25"/>
  <c r="DJ436" i="25"/>
  <c r="DJ437" i="25"/>
  <c r="DJ438" i="25"/>
  <c r="DJ439" i="25"/>
  <c r="DJ440" i="25"/>
  <c r="DJ441" i="25"/>
  <c r="DJ442" i="25"/>
  <c r="DJ443" i="25"/>
  <c r="DJ444" i="25"/>
  <c r="DJ445" i="25"/>
  <c r="DJ446" i="25"/>
  <c r="DJ447" i="25"/>
  <c r="DJ448" i="25"/>
  <c r="DJ449" i="25"/>
  <c r="DJ450" i="25"/>
  <c r="DJ451" i="25"/>
  <c r="DJ452" i="25"/>
  <c r="DJ453" i="25"/>
  <c r="DJ454" i="25"/>
  <c r="DJ455" i="25"/>
  <c r="DJ456" i="25"/>
  <c r="DJ181" i="25"/>
  <c r="DJ463" i="25"/>
  <c r="DJ461" i="25"/>
  <c r="DJ458" i="25"/>
  <c r="DJ465" i="25"/>
  <c r="DJ462" i="25"/>
  <c r="DJ464" i="25"/>
  <c r="DJ466" i="25"/>
  <c r="DJ457" i="25"/>
  <c r="DJ460" i="25"/>
  <c r="DJ467" i="25"/>
  <c r="DJ468" i="25"/>
  <c r="DJ469" i="25"/>
  <c r="DJ470" i="25"/>
  <c r="DJ471" i="25"/>
  <c r="DJ472" i="25"/>
  <c r="DJ473" i="25"/>
  <c r="DJ474" i="25"/>
  <c r="DJ475" i="25"/>
  <c r="DJ476" i="25"/>
  <c r="DJ477" i="25"/>
  <c r="DJ478" i="25"/>
  <c r="DJ479" i="25"/>
  <c r="DJ480" i="25"/>
  <c r="DJ481" i="25"/>
  <c r="DJ482" i="25"/>
  <c r="DK390" i="25"/>
  <c r="DK391" i="25"/>
  <c r="DK392" i="25"/>
  <c r="DK393" i="25"/>
  <c r="DK394" i="25"/>
  <c r="DK395" i="25"/>
  <c r="DK396" i="25"/>
  <c r="DK397" i="25"/>
  <c r="DK398" i="25"/>
  <c r="DK399" i="25"/>
  <c r="DK400" i="25"/>
  <c r="DK401" i="25"/>
  <c r="DK402" i="25"/>
  <c r="DK403" i="25"/>
  <c r="DK404" i="25"/>
  <c r="DK405" i="25"/>
  <c r="DK406" i="25"/>
  <c r="DK407" i="25"/>
  <c r="DK408" i="25"/>
  <c r="DK409" i="25"/>
  <c r="DK410" i="25"/>
  <c r="DK411" i="25"/>
  <c r="DK412" i="25"/>
  <c r="DK413" i="25"/>
  <c r="DK414" i="25"/>
  <c r="DK415" i="25"/>
  <c r="DK416" i="25"/>
  <c r="DK417" i="25"/>
  <c r="DK418" i="25"/>
  <c r="DK419" i="25"/>
  <c r="DK420" i="25"/>
  <c r="DK421" i="25"/>
  <c r="DK422" i="25"/>
  <c r="DK423" i="25"/>
  <c r="DK424" i="25"/>
  <c r="DK425" i="25"/>
  <c r="DK426" i="25"/>
  <c r="DK427" i="25"/>
  <c r="DK428" i="25"/>
  <c r="DK429" i="25"/>
  <c r="DK430" i="25"/>
  <c r="DK431" i="25"/>
  <c r="DK432" i="25"/>
  <c r="DK433" i="25"/>
  <c r="DK434" i="25"/>
  <c r="DK435" i="25"/>
  <c r="DK436" i="25"/>
  <c r="DK437" i="25"/>
  <c r="DK438" i="25"/>
  <c r="DK439" i="25"/>
  <c r="DK440" i="25"/>
  <c r="DK441" i="25"/>
  <c r="DK442" i="25"/>
  <c r="DK443" i="25"/>
  <c r="DK444" i="25"/>
  <c r="DK445" i="25"/>
  <c r="DK446" i="25"/>
  <c r="DK447" i="25"/>
  <c r="DK448" i="25"/>
  <c r="DK449" i="25"/>
  <c r="DK450" i="25"/>
  <c r="DK451" i="25"/>
  <c r="DK452" i="25"/>
  <c r="DK453" i="25"/>
  <c r="DK454" i="25"/>
  <c r="DK455" i="25"/>
  <c r="DK456" i="25"/>
  <c r="DK181" i="25"/>
  <c r="DK463" i="25"/>
  <c r="DK461" i="25"/>
  <c r="DK458" i="25"/>
  <c r="DK465" i="25"/>
  <c r="DK462" i="25"/>
  <c r="DK464" i="25"/>
  <c r="DK466" i="25"/>
  <c r="DK457" i="25"/>
  <c r="DK460" i="25"/>
  <c r="DK467" i="25"/>
  <c r="DK468" i="25"/>
  <c r="DK469" i="25"/>
  <c r="DK470" i="25"/>
  <c r="DK471" i="25"/>
  <c r="DK472" i="25"/>
  <c r="DK473" i="25"/>
  <c r="DK474" i="25"/>
  <c r="DK475" i="25"/>
  <c r="DK476" i="25"/>
  <c r="DK477" i="25"/>
  <c r="DK478" i="25"/>
  <c r="DK479" i="25"/>
  <c r="DK480" i="25"/>
  <c r="DK481" i="25"/>
  <c r="DK482" i="25"/>
  <c r="DL390" i="25"/>
  <c r="DL391" i="25"/>
  <c r="DL392" i="25"/>
  <c r="DL393" i="25"/>
  <c r="DL394" i="25"/>
  <c r="DL395" i="25"/>
  <c r="DL396" i="25"/>
  <c r="DL397" i="25"/>
  <c r="CQ397" i="25" s="1"/>
  <c r="CR397" i="25" s="1"/>
  <c r="DL398" i="25"/>
  <c r="DL399" i="25"/>
  <c r="CO399" i="25" s="1"/>
  <c r="DL400" i="25"/>
  <c r="DL401" i="25"/>
  <c r="DL402" i="25"/>
  <c r="DL403" i="25"/>
  <c r="DL404" i="25"/>
  <c r="DL405" i="25"/>
  <c r="CQ405" i="25" s="1"/>
  <c r="CR405" i="25" s="1"/>
  <c r="DL406" i="25"/>
  <c r="DL407" i="25"/>
  <c r="CP407" i="25" s="1"/>
  <c r="DL408" i="25"/>
  <c r="DL409" i="25"/>
  <c r="CQ409" i="25" s="1"/>
  <c r="CR409" i="25" s="1"/>
  <c r="DL410" i="25"/>
  <c r="CO410" i="25" s="1"/>
  <c r="DL411" i="25"/>
  <c r="DL412" i="25"/>
  <c r="DL413" i="25"/>
  <c r="CQ413" i="25" s="1"/>
  <c r="CR413" i="25" s="1"/>
  <c r="DL414" i="25"/>
  <c r="DL415" i="25"/>
  <c r="CP415" i="25" s="1"/>
  <c r="DL416" i="25"/>
  <c r="DL417" i="25"/>
  <c r="CQ417" i="25" s="1"/>
  <c r="CR417" i="25" s="1"/>
  <c r="DL418" i="25"/>
  <c r="DL419" i="25"/>
  <c r="CP419" i="25" s="1"/>
  <c r="DL420" i="25"/>
  <c r="DL421" i="25"/>
  <c r="DL422" i="25"/>
  <c r="DL423" i="25"/>
  <c r="DL424" i="25"/>
  <c r="DL425" i="25"/>
  <c r="DL426" i="25"/>
  <c r="DL427" i="25"/>
  <c r="DL428" i="25"/>
  <c r="DL429" i="25"/>
  <c r="CQ429" i="25" s="1"/>
  <c r="CR429" i="25" s="1"/>
  <c r="DL430" i="25"/>
  <c r="DL431" i="25"/>
  <c r="DL432" i="25"/>
  <c r="DL433" i="25"/>
  <c r="DL434" i="25"/>
  <c r="DL435" i="25"/>
  <c r="DL436" i="25"/>
  <c r="DL437" i="25"/>
  <c r="CQ437" i="25" s="1"/>
  <c r="CR437" i="25" s="1"/>
  <c r="DL438" i="25"/>
  <c r="DL439" i="25"/>
  <c r="CP439" i="25" s="1"/>
  <c r="DL440" i="25"/>
  <c r="DL441" i="25"/>
  <c r="CQ441" i="25" s="1"/>
  <c r="CR441" i="25" s="1"/>
  <c r="DL442" i="25"/>
  <c r="DL443" i="25"/>
  <c r="DL444" i="25"/>
  <c r="DL445" i="25"/>
  <c r="CO445" i="25" s="1"/>
  <c r="DL446" i="25"/>
  <c r="DL447" i="25"/>
  <c r="CP447" i="25" s="1"/>
  <c r="DL448" i="25"/>
  <c r="DL449" i="25"/>
  <c r="CP449" i="25" s="1"/>
  <c r="DL450" i="25"/>
  <c r="DL451" i="25"/>
  <c r="CP451" i="25" s="1"/>
  <c r="DL452" i="25"/>
  <c r="DL453" i="25"/>
  <c r="CO453" i="25" s="1"/>
  <c r="DL454" i="25"/>
  <c r="DL455" i="25"/>
  <c r="DL456" i="25"/>
  <c r="DL181" i="25"/>
  <c r="DL463" i="25"/>
  <c r="DL461" i="25"/>
  <c r="DL458" i="25"/>
  <c r="CO458" i="25" s="1"/>
  <c r="DL465" i="25"/>
  <c r="DL462" i="25"/>
  <c r="DL464" i="25"/>
  <c r="DL466" i="25"/>
  <c r="DL460" i="25"/>
  <c r="CO460" i="25" s="1"/>
  <c r="DL467" i="25"/>
  <c r="DL468" i="25"/>
  <c r="CP468" i="25" s="1"/>
  <c r="DL469" i="25"/>
  <c r="DL470" i="25"/>
  <c r="CQ470" i="25" s="1"/>
  <c r="CR470" i="25" s="1"/>
  <c r="DL471" i="25"/>
  <c r="DL472" i="25"/>
  <c r="DL473" i="25"/>
  <c r="DL474" i="25"/>
  <c r="CO474" i="25" s="1"/>
  <c r="DL475" i="25"/>
  <c r="DL476" i="25"/>
  <c r="CP476" i="25" s="1"/>
  <c r="DL477" i="25"/>
  <c r="DL478" i="25"/>
  <c r="CO478" i="25" s="1"/>
  <c r="DL479" i="25"/>
  <c r="DL480" i="25"/>
  <c r="CP480" i="25" s="1"/>
  <c r="DL481" i="25"/>
  <c r="DL482" i="25"/>
  <c r="CO482" i="25" s="1"/>
  <c r="DM390" i="25"/>
  <c r="DM391" i="25"/>
  <c r="DM392" i="25"/>
  <c r="DM393" i="25"/>
  <c r="DM394" i="25"/>
  <c r="DM395" i="25"/>
  <c r="DM396" i="25"/>
  <c r="DM397" i="25"/>
  <c r="DM398" i="25"/>
  <c r="DM399" i="25"/>
  <c r="DM400" i="25"/>
  <c r="DM401" i="25"/>
  <c r="DM402" i="25"/>
  <c r="DM403" i="25"/>
  <c r="DM404" i="25"/>
  <c r="DM405" i="25"/>
  <c r="DM406" i="25"/>
  <c r="DM407" i="25"/>
  <c r="DM408" i="25"/>
  <c r="DM409" i="25"/>
  <c r="DM410" i="25"/>
  <c r="DM411" i="25"/>
  <c r="DM412" i="25"/>
  <c r="DM413" i="25"/>
  <c r="DM414" i="25"/>
  <c r="DM415" i="25"/>
  <c r="DM416" i="25"/>
  <c r="DM417" i="25"/>
  <c r="DM418" i="25"/>
  <c r="DM419" i="25"/>
  <c r="DM420" i="25"/>
  <c r="DM421" i="25"/>
  <c r="DM422" i="25"/>
  <c r="DM423" i="25"/>
  <c r="DM424" i="25"/>
  <c r="DM425" i="25"/>
  <c r="DM426" i="25"/>
  <c r="DM427" i="25"/>
  <c r="DM428" i="25"/>
  <c r="DM429" i="25"/>
  <c r="DM430" i="25"/>
  <c r="DM431" i="25"/>
  <c r="DM432" i="25"/>
  <c r="DM433" i="25"/>
  <c r="DM434" i="25"/>
  <c r="DM435" i="25"/>
  <c r="DM436" i="25"/>
  <c r="DM437" i="25"/>
  <c r="DM438" i="25"/>
  <c r="DM439" i="25"/>
  <c r="DM440" i="25"/>
  <c r="DM441" i="25"/>
  <c r="DM442" i="25"/>
  <c r="DM443" i="25"/>
  <c r="DM444" i="25"/>
  <c r="DM445" i="25"/>
  <c r="DM446" i="25"/>
  <c r="DM447" i="25"/>
  <c r="DM448" i="25"/>
  <c r="DM449" i="25"/>
  <c r="DM450" i="25"/>
  <c r="DM451" i="25"/>
  <c r="DM452" i="25"/>
  <c r="DM453" i="25"/>
  <c r="DM454" i="25"/>
  <c r="DM455" i="25"/>
  <c r="DM456" i="25"/>
  <c r="DM181" i="25"/>
  <c r="DM463" i="25"/>
  <c r="DM461" i="25"/>
  <c r="DM458" i="25"/>
  <c r="DM465" i="25"/>
  <c r="DM462" i="25"/>
  <c r="DM464" i="25"/>
  <c r="DM466" i="25"/>
  <c r="DM460" i="25"/>
  <c r="DM467" i="25"/>
  <c r="DM468" i="25"/>
  <c r="DM469" i="25"/>
  <c r="DM470" i="25"/>
  <c r="DM471" i="25"/>
  <c r="DM472" i="25"/>
  <c r="DM473" i="25"/>
  <c r="DM474" i="25"/>
  <c r="DM475" i="25"/>
  <c r="DM476" i="25"/>
  <c r="DM477" i="25"/>
  <c r="DM478" i="25"/>
  <c r="DM479" i="25"/>
  <c r="DM480" i="25"/>
  <c r="DM481" i="25"/>
  <c r="DM482" i="25"/>
  <c r="DN390" i="25"/>
  <c r="DN391" i="25"/>
  <c r="DN392" i="25"/>
  <c r="DN393" i="25"/>
  <c r="DN394" i="25"/>
  <c r="DN395" i="25"/>
  <c r="DN396" i="25"/>
  <c r="DN397" i="25"/>
  <c r="DN398" i="25"/>
  <c r="DN399" i="25"/>
  <c r="DN400" i="25"/>
  <c r="DN401" i="25"/>
  <c r="DN402" i="25"/>
  <c r="DN403" i="25"/>
  <c r="DN404" i="25"/>
  <c r="DN405" i="25"/>
  <c r="DN406" i="25"/>
  <c r="DN407" i="25"/>
  <c r="DN408" i="25"/>
  <c r="DN409" i="25"/>
  <c r="DN410" i="25"/>
  <c r="DN411" i="25"/>
  <c r="DN412" i="25"/>
  <c r="DN413" i="25"/>
  <c r="DN414" i="25"/>
  <c r="DN415" i="25"/>
  <c r="DN416" i="25"/>
  <c r="DN417" i="25"/>
  <c r="DN418" i="25"/>
  <c r="DN419" i="25"/>
  <c r="DN420" i="25"/>
  <c r="DN421" i="25"/>
  <c r="DN422" i="25"/>
  <c r="DN423" i="25"/>
  <c r="DN424" i="25"/>
  <c r="DN425" i="25"/>
  <c r="DN426" i="25"/>
  <c r="DN427" i="25"/>
  <c r="DN428" i="25"/>
  <c r="DN429" i="25"/>
  <c r="DN430" i="25"/>
  <c r="DN431" i="25"/>
  <c r="DN432" i="25"/>
  <c r="DN433" i="25"/>
  <c r="DN434" i="25"/>
  <c r="DN435" i="25"/>
  <c r="DN436" i="25"/>
  <c r="DN437" i="25"/>
  <c r="DN438" i="25"/>
  <c r="DN439" i="25"/>
  <c r="DN440" i="25"/>
  <c r="DN441" i="25"/>
  <c r="DN442" i="25"/>
  <c r="DN443" i="25"/>
  <c r="DN444" i="25"/>
  <c r="DN445" i="25"/>
  <c r="DN446" i="25"/>
  <c r="DN447" i="25"/>
  <c r="DN448" i="25"/>
  <c r="DN449" i="25"/>
  <c r="DN450" i="25"/>
  <c r="DN451" i="25"/>
  <c r="DN452" i="25"/>
  <c r="DN453" i="25"/>
  <c r="DN454" i="25"/>
  <c r="DN455" i="25"/>
  <c r="DN456" i="25"/>
  <c r="DN181" i="25"/>
  <c r="DN463" i="25"/>
  <c r="DN461" i="25"/>
  <c r="DN458" i="25"/>
  <c r="DN465" i="25"/>
  <c r="DN462" i="25"/>
  <c r="DN464" i="25"/>
  <c r="DN466" i="25"/>
  <c r="DN457" i="25"/>
  <c r="DN460" i="25"/>
  <c r="DN467" i="25"/>
  <c r="DN468" i="25"/>
  <c r="DN469" i="25"/>
  <c r="DN470" i="25"/>
  <c r="DN471" i="25"/>
  <c r="DN472" i="25"/>
  <c r="DN473" i="25"/>
  <c r="DN474" i="25"/>
  <c r="DN475" i="25"/>
  <c r="DN476" i="25"/>
  <c r="DN477" i="25"/>
  <c r="DN478" i="25"/>
  <c r="DN479" i="25"/>
  <c r="DN480" i="25"/>
  <c r="DN481" i="25"/>
  <c r="DN482" i="25"/>
  <c r="DO390" i="25"/>
  <c r="DO391" i="25"/>
  <c r="DO392" i="25"/>
  <c r="DO393" i="25"/>
  <c r="DO394" i="25"/>
  <c r="DO395" i="25"/>
  <c r="DO396" i="25"/>
  <c r="DO397" i="25"/>
  <c r="DO398" i="25"/>
  <c r="DO399" i="25"/>
  <c r="DO400" i="25"/>
  <c r="DO401" i="25"/>
  <c r="DO402" i="25"/>
  <c r="DO403" i="25"/>
  <c r="DO404" i="25"/>
  <c r="DO405" i="25"/>
  <c r="DO406" i="25"/>
  <c r="DO407" i="25"/>
  <c r="DO408" i="25"/>
  <c r="DO409" i="25"/>
  <c r="DO410" i="25"/>
  <c r="DO411" i="25"/>
  <c r="DO412" i="25"/>
  <c r="DO413" i="25"/>
  <c r="DO414" i="25"/>
  <c r="DO415" i="25"/>
  <c r="DO416" i="25"/>
  <c r="DO417" i="25"/>
  <c r="DO418" i="25"/>
  <c r="DO419" i="25"/>
  <c r="DO420" i="25"/>
  <c r="DO421" i="25"/>
  <c r="DO422" i="25"/>
  <c r="DO423" i="25"/>
  <c r="DO424" i="25"/>
  <c r="DO425" i="25"/>
  <c r="DO426" i="25"/>
  <c r="DO427" i="25"/>
  <c r="DO428" i="25"/>
  <c r="DO429" i="25"/>
  <c r="DO430" i="25"/>
  <c r="DO431" i="25"/>
  <c r="DO432" i="25"/>
  <c r="DO433" i="25"/>
  <c r="DO434" i="25"/>
  <c r="DO435" i="25"/>
  <c r="DO436" i="25"/>
  <c r="DO437" i="25"/>
  <c r="DO438" i="25"/>
  <c r="DO439" i="25"/>
  <c r="DO440" i="25"/>
  <c r="DO441" i="25"/>
  <c r="DO442" i="25"/>
  <c r="DO443" i="25"/>
  <c r="DO444" i="25"/>
  <c r="DO445" i="25"/>
  <c r="DO446" i="25"/>
  <c r="DO447" i="25"/>
  <c r="DO448" i="25"/>
  <c r="DO449" i="25"/>
  <c r="DO450" i="25"/>
  <c r="DO451" i="25"/>
  <c r="DO452" i="25"/>
  <c r="DO453" i="25"/>
  <c r="DO454" i="25"/>
  <c r="DO455" i="25"/>
  <c r="DO456" i="25"/>
  <c r="DO181" i="25"/>
  <c r="DO463" i="25"/>
  <c r="DO461" i="25"/>
  <c r="DO458" i="25"/>
  <c r="DO465" i="25"/>
  <c r="DO462" i="25"/>
  <c r="DO464" i="25"/>
  <c r="DO466" i="25"/>
  <c r="DO457" i="25"/>
  <c r="DO460" i="25"/>
  <c r="DO467" i="25"/>
  <c r="DO468" i="25"/>
  <c r="DO469" i="25"/>
  <c r="DO470" i="25"/>
  <c r="DO471" i="25"/>
  <c r="DO472" i="25"/>
  <c r="DO473" i="25"/>
  <c r="DO474" i="25"/>
  <c r="DO475" i="25"/>
  <c r="DO476" i="25"/>
  <c r="DO477" i="25"/>
  <c r="DO478" i="25"/>
  <c r="DO479" i="25"/>
  <c r="DO480" i="25"/>
  <c r="DO481" i="25"/>
  <c r="DO482" i="25"/>
  <c r="DP390" i="25"/>
  <c r="DP391" i="25"/>
  <c r="DP392" i="25"/>
  <c r="DP393" i="25"/>
  <c r="DP394" i="25"/>
  <c r="DP395" i="25"/>
  <c r="DP396" i="25"/>
  <c r="DP397" i="25"/>
  <c r="DP398" i="25"/>
  <c r="DP399" i="25"/>
  <c r="DP400" i="25"/>
  <c r="DP401" i="25"/>
  <c r="DP402" i="25"/>
  <c r="DP403" i="25"/>
  <c r="DP404" i="25"/>
  <c r="DP405" i="25"/>
  <c r="DP406" i="25"/>
  <c r="DP407" i="25"/>
  <c r="DP408" i="25"/>
  <c r="DP409" i="25"/>
  <c r="DP410" i="25"/>
  <c r="DP411" i="25"/>
  <c r="DP412" i="25"/>
  <c r="DP413" i="25"/>
  <c r="DP414" i="25"/>
  <c r="DP415" i="25"/>
  <c r="DP416" i="25"/>
  <c r="DP417" i="25"/>
  <c r="DP418" i="25"/>
  <c r="DP419" i="25"/>
  <c r="DP420" i="25"/>
  <c r="DP421" i="25"/>
  <c r="DP422" i="25"/>
  <c r="DP423" i="25"/>
  <c r="DP424" i="25"/>
  <c r="DP425" i="25"/>
  <c r="DP426" i="25"/>
  <c r="DP427" i="25"/>
  <c r="DP428" i="25"/>
  <c r="DP429" i="25"/>
  <c r="DP430" i="25"/>
  <c r="DP431" i="25"/>
  <c r="DP432" i="25"/>
  <c r="DP433" i="25"/>
  <c r="DP434" i="25"/>
  <c r="DP435" i="25"/>
  <c r="DP436" i="25"/>
  <c r="DP437" i="25"/>
  <c r="DP438" i="25"/>
  <c r="DP439" i="25"/>
  <c r="DP440" i="25"/>
  <c r="DP441" i="25"/>
  <c r="DP442" i="25"/>
  <c r="DP443" i="25"/>
  <c r="DP444" i="25"/>
  <c r="DP445" i="25"/>
  <c r="DP446" i="25"/>
  <c r="DP447" i="25"/>
  <c r="DP448" i="25"/>
  <c r="DP449" i="25"/>
  <c r="DP450" i="25"/>
  <c r="DP451" i="25"/>
  <c r="DP452" i="25"/>
  <c r="DP453" i="25"/>
  <c r="DP454" i="25"/>
  <c r="DP455" i="25"/>
  <c r="DP456" i="25"/>
  <c r="DP181" i="25"/>
  <c r="DP463" i="25"/>
  <c r="DP461" i="25"/>
  <c r="DP458" i="25"/>
  <c r="DP465" i="25"/>
  <c r="DP462" i="25"/>
  <c r="DP464" i="25"/>
  <c r="DP466" i="25"/>
  <c r="DP457" i="25"/>
  <c r="DP460" i="25"/>
  <c r="DP467" i="25"/>
  <c r="DP468" i="25"/>
  <c r="DP469" i="25"/>
  <c r="DP470" i="25"/>
  <c r="DP471" i="25"/>
  <c r="DP472" i="25"/>
  <c r="DP473" i="25"/>
  <c r="DP474" i="25"/>
  <c r="DP475" i="25"/>
  <c r="DP476" i="25"/>
  <c r="DP477" i="25"/>
  <c r="DP478" i="25"/>
  <c r="DP479" i="25"/>
  <c r="DP480" i="25"/>
  <c r="DP481" i="25"/>
  <c r="DP482" i="25"/>
  <c r="DQ390" i="25"/>
  <c r="DQ391" i="25"/>
  <c r="DQ392" i="25"/>
  <c r="DQ393" i="25"/>
  <c r="DQ394" i="25"/>
  <c r="DQ395" i="25"/>
  <c r="DQ396" i="25"/>
  <c r="DQ397" i="25"/>
  <c r="DQ398" i="25"/>
  <c r="DQ399" i="25"/>
  <c r="DQ400" i="25"/>
  <c r="DQ401" i="25"/>
  <c r="DQ402" i="25"/>
  <c r="DQ403" i="25"/>
  <c r="DQ404" i="25"/>
  <c r="DQ405" i="25"/>
  <c r="DQ406" i="25"/>
  <c r="DQ407" i="25"/>
  <c r="DQ408" i="25"/>
  <c r="DQ409" i="25"/>
  <c r="DQ410" i="25"/>
  <c r="DQ411" i="25"/>
  <c r="DQ412" i="25"/>
  <c r="DQ413" i="25"/>
  <c r="DQ414" i="25"/>
  <c r="DQ415" i="25"/>
  <c r="DQ416" i="25"/>
  <c r="DQ417" i="25"/>
  <c r="DQ418" i="25"/>
  <c r="DQ419" i="25"/>
  <c r="DQ420" i="25"/>
  <c r="DQ421" i="25"/>
  <c r="DQ422" i="25"/>
  <c r="DQ423" i="25"/>
  <c r="DQ424" i="25"/>
  <c r="DQ425" i="25"/>
  <c r="DQ426" i="25"/>
  <c r="DQ427" i="25"/>
  <c r="DQ428" i="25"/>
  <c r="DQ429" i="25"/>
  <c r="DQ430" i="25"/>
  <c r="DQ431" i="25"/>
  <c r="DQ432" i="25"/>
  <c r="DQ433" i="25"/>
  <c r="DQ434" i="25"/>
  <c r="DQ435" i="25"/>
  <c r="DQ436" i="25"/>
  <c r="DQ437" i="25"/>
  <c r="DQ438" i="25"/>
  <c r="DQ439" i="25"/>
  <c r="DQ440" i="25"/>
  <c r="DQ441" i="25"/>
  <c r="DQ442" i="25"/>
  <c r="DQ443" i="25"/>
  <c r="DQ444" i="25"/>
  <c r="DQ445" i="25"/>
  <c r="DQ446" i="25"/>
  <c r="DQ447" i="25"/>
  <c r="DQ448" i="25"/>
  <c r="DQ449" i="25"/>
  <c r="DQ450" i="25"/>
  <c r="DQ451" i="25"/>
  <c r="DQ452" i="25"/>
  <c r="DQ453" i="25"/>
  <c r="DQ454" i="25"/>
  <c r="DQ455" i="25"/>
  <c r="DQ456" i="25"/>
  <c r="DQ181" i="25"/>
  <c r="DQ463" i="25"/>
  <c r="DQ461" i="25"/>
  <c r="DQ458" i="25"/>
  <c r="DQ465" i="25"/>
  <c r="DQ462" i="25"/>
  <c r="DQ464" i="25"/>
  <c r="DQ466" i="25"/>
  <c r="DQ457" i="25"/>
  <c r="DQ460" i="25"/>
  <c r="DQ467" i="25"/>
  <c r="DQ468" i="25"/>
  <c r="DQ469" i="25"/>
  <c r="DQ470" i="25"/>
  <c r="DQ471" i="25"/>
  <c r="DQ472" i="25"/>
  <c r="DQ473" i="25"/>
  <c r="DQ474" i="25"/>
  <c r="DQ475" i="25"/>
  <c r="DQ476" i="25"/>
  <c r="DQ477" i="25"/>
  <c r="DQ478" i="25"/>
  <c r="DQ479" i="25"/>
  <c r="DQ480" i="25"/>
  <c r="DQ481" i="25"/>
  <c r="DQ482" i="25"/>
  <c r="DR390" i="25"/>
  <c r="DR391" i="25"/>
  <c r="DR392" i="25"/>
  <c r="DR393" i="25"/>
  <c r="DR394" i="25"/>
  <c r="DR395" i="25"/>
  <c r="DR396" i="25"/>
  <c r="DR397" i="25"/>
  <c r="DR398" i="25"/>
  <c r="DR399" i="25"/>
  <c r="DR400" i="25"/>
  <c r="DR401" i="25"/>
  <c r="DR402" i="25"/>
  <c r="DR403" i="25"/>
  <c r="DR404" i="25"/>
  <c r="DR405" i="25"/>
  <c r="DR406" i="25"/>
  <c r="DR407" i="25"/>
  <c r="DR408" i="25"/>
  <c r="DR409" i="25"/>
  <c r="DR410" i="25"/>
  <c r="DR411" i="25"/>
  <c r="DR412" i="25"/>
  <c r="DR413" i="25"/>
  <c r="DR414" i="25"/>
  <c r="DR415" i="25"/>
  <c r="DR416" i="25"/>
  <c r="DR417" i="25"/>
  <c r="DR418" i="25"/>
  <c r="DR419" i="25"/>
  <c r="DR420" i="25"/>
  <c r="DR421" i="25"/>
  <c r="DR422" i="25"/>
  <c r="DR423" i="25"/>
  <c r="DR424" i="25"/>
  <c r="DR425" i="25"/>
  <c r="DR426" i="25"/>
  <c r="DR427" i="25"/>
  <c r="DR428" i="25"/>
  <c r="DR429" i="25"/>
  <c r="DR430" i="25"/>
  <c r="DR431" i="25"/>
  <c r="DR432" i="25"/>
  <c r="DR433" i="25"/>
  <c r="DR434" i="25"/>
  <c r="DR435" i="25"/>
  <c r="DR436" i="25"/>
  <c r="DR437" i="25"/>
  <c r="DR438" i="25"/>
  <c r="DR439" i="25"/>
  <c r="DR440" i="25"/>
  <c r="DR441" i="25"/>
  <c r="DR442" i="25"/>
  <c r="DR443" i="25"/>
  <c r="DR444" i="25"/>
  <c r="DR445" i="25"/>
  <c r="DR446" i="25"/>
  <c r="DR447" i="25"/>
  <c r="DR448" i="25"/>
  <c r="DR449" i="25"/>
  <c r="DR450" i="25"/>
  <c r="DR451" i="25"/>
  <c r="DR452" i="25"/>
  <c r="DR453" i="25"/>
  <c r="DR454" i="25"/>
  <c r="DR455" i="25"/>
  <c r="DR456" i="25"/>
  <c r="DR181" i="25"/>
  <c r="DR463" i="25"/>
  <c r="DR461" i="25"/>
  <c r="DR458" i="25"/>
  <c r="DR465" i="25"/>
  <c r="DR462" i="25"/>
  <c r="DR464" i="25"/>
  <c r="DR466" i="25"/>
  <c r="DR457" i="25"/>
  <c r="DR460" i="25"/>
  <c r="DR467" i="25"/>
  <c r="DR468" i="25"/>
  <c r="DR469" i="25"/>
  <c r="DR470" i="25"/>
  <c r="DR471" i="25"/>
  <c r="DR472" i="25"/>
  <c r="DR473" i="25"/>
  <c r="DR474" i="25"/>
  <c r="DR475" i="25"/>
  <c r="DR476" i="25"/>
  <c r="DR477" i="25"/>
  <c r="DR478" i="25"/>
  <c r="DR479" i="25"/>
  <c r="DR480" i="25"/>
  <c r="DR481" i="25"/>
  <c r="DR482" i="25"/>
  <c r="CN181" i="25" l="1"/>
  <c r="DH477" i="25"/>
  <c r="DF477" i="25"/>
  <c r="DH453" i="25"/>
  <c r="DF453" i="25"/>
  <c r="DH429" i="25"/>
  <c r="DF429" i="25"/>
  <c r="DH405" i="25"/>
  <c r="DF405" i="25"/>
  <c r="DH476" i="25"/>
  <c r="DF476" i="25"/>
  <c r="DH468" i="25"/>
  <c r="DF468" i="25"/>
  <c r="DH458" i="25"/>
  <c r="DF458" i="25"/>
  <c r="DH452" i="25"/>
  <c r="DF452" i="25"/>
  <c r="DH444" i="25"/>
  <c r="DF444" i="25"/>
  <c r="DH436" i="25"/>
  <c r="DF436" i="25"/>
  <c r="DH428" i="25"/>
  <c r="DF428" i="25"/>
  <c r="DH420" i="25"/>
  <c r="DF420" i="25"/>
  <c r="DH412" i="25"/>
  <c r="DF412" i="25"/>
  <c r="DH404" i="25"/>
  <c r="DF404" i="25"/>
  <c r="DH396" i="25"/>
  <c r="DF396" i="25"/>
  <c r="DH465" i="25"/>
  <c r="DF465" i="25"/>
  <c r="DH437" i="25"/>
  <c r="DF437" i="25"/>
  <c r="DH413" i="25"/>
  <c r="DF413" i="25"/>
  <c r="DH475" i="25"/>
  <c r="DF475" i="25"/>
  <c r="DH467" i="25"/>
  <c r="DF467" i="25"/>
  <c r="DH461" i="25"/>
  <c r="DF461" i="25"/>
  <c r="DH451" i="25"/>
  <c r="DF451" i="25"/>
  <c r="DH443" i="25"/>
  <c r="DF443" i="25"/>
  <c r="DH435" i="25"/>
  <c r="DF435" i="25"/>
  <c r="DH427" i="25"/>
  <c r="DF427" i="25"/>
  <c r="DH419" i="25"/>
  <c r="DF419" i="25"/>
  <c r="DH411" i="25"/>
  <c r="DF411" i="25"/>
  <c r="DH403" i="25"/>
  <c r="DF403" i="25"/>
  <c r="DH395" i="25"/>
  <c r="DF395" i="25"/>
  <c r="DH469" i="25"/>
  <c r="DF469" i="25"/>
  <c r="DH445" i="25"/>
  <c r="DF445" i="25"/>
  <c r="DH421" i="25"/>
  <c r="DF421" i="25"/>
  <c r="DH397" i="25"/>
  <c r="DF397" i="25"/>
  <c r="DH482" i="25"/>
  <c r="DF482" i="25"/>
  <c r="DH474" i="25"/>
  <c r="DF474" i="25"/>
  <c r="DH460" i="25"/>
  <c r="DF460" i="25"/>
  <c r="DH463" i="25"/>
  <c r="DF463" i="25"/>
  <c r="DH450" i="25"/>
  <c r="DF450" i="25"/>
  <c r="DH442" i="25"/>
  <c r="DF442" i="25"/>
  <c r="DH434" i="25"/>
  <c r="DF434" i="25"/>
  <c r="DH426" i="25"/>
  <c r="DF426" i="25"/>
  <c r="DH418" i="25"/>
  <c r="DF418" i="25"/>
  <c r="DH410" i="25"/>
  <c r="DF410" i="25"/>
  <c r="DH402" i="25"/>
  <c r="DF402" i="25"/>
  <c r="DH394" i="25"/>
  <c r="DF394" i="25"/>
  <c r="DH481" i="25"/>
  <c r="DF481" i="25"/>
  <c r="DH473" i="25"/>
  <c r="DF473" i="25"/>
  <c r="DH457" i="25"/>
  <c r="DF457" i="25"/>
  <c r="DH181" i="25"/>
  <c r="DF181" i="25"/>
  <c r="DH449" i="25"/>
  <c r="DF449" i="25"/>
  <c r="DH441" i="25"/>
  <c r="DF441" i="25"/>
  <c r="DH433" i="25"/>
  <c r="DF433" i="25"/>
  <c r="DH425" i="25"/>
  <c r="DF425" i="25"/>
  <c r="DH417" i="25"/>
  <c r="DF417" i="25"/>
  <c r="DH409" i="25"/>
  <c r="DF409" i="25"/>
  <c r="DH401" i="25"/>
  <c r="DF401" i="25"/>
  <c r="DH393" i="25"/>
  <c r="DF393" i="25"/>
  <c r="DH480" i="25"/>
  <c r="DF480" i="25"/>
  <c r="DH472" i="25"/>
  <c r="DF472" i="25"/>
  <c r="DH466" i="25"/>
  <c r="DF466" i="25"/>
  <c r="DH456" i="25"/>
  <c r="DF456" i="25"/>
  <c r="DH448" i="25"/>
  <c r="DF448" i="25"/>
  <c r="DH440" i="25"/>
  <c r="DF440" i="25"/>
  <c r="DH432" i="25"/>
  <c r="DF432" i="25"/>
  <c r="DH424" i="25"/>
  <c r="DF424" i="25"/>
  <c r="DH416" i="25"/>
  <c r="DF416" i="25"/>
  <c r="DH408" i="25"/>
  <c r="DF408" i="25"/>
  <c r="DH400" i="25"/>
  <c r="DF400" i="25"/>
  <c r="DH392" i="25"/>
  <c r="DF392" i="25"/>
  <c r="DH479" i="25"/>
  <c r="DF479" i="25"/>
  <c r="DH471" i="25"/>
  <c r="DF471" i="25"/>
  <c r="DH464" i="25"/>
  <c r="DF464" i="25"/>
  <c r="DH455" i="25"/>
  <c r="DF455" i="25"/>
  <c r="DH447" i="25"/>
  <c r="DF447" i="25"/>
  <c r="DH439" i="25"/>
  <c r="DF439" i="25"/>
  <c r="DH431" i="25"/>
  <c r="DF431" i="25"/>
  <c r="DH423" i="25"/>
  <c r="DF423" i="25"/>
  <c r="DH415" i="25"/>
  <c r="DF415" i="25"/>
  <c r="DH407" i="25"/>
  <c r="DF407" i="25"/>
  <c r="DH399" i="25"/>
  <c r="DF399" i="25"/>
  <c r="DH391" i="25"/>
  <c r="DF391" i="25"/>
  <c r="DH478" i="25"/>
  <c r="DF478" i="25"/>
  <c r="DH470" i="25"/>
  <c r="DF470" i="25"/>
  <c r="DH462" i="25"/>
  <c r="DF462" i="25"/>
  <c r="DH454" i="25"/>
  <c r="DF454" i="25"/>
  <c r="DH446" i="25"/>
  <c r="DF446" i="25"/>
  <c r="DH438" i="25"/>
  <c r="DF438" i="25"/>
  <c r="DH430" i="25"/>
  <c r="DF430" i="25"/>
  <c r="DH422" i="25"/>
  <c r="DF422" i="25"/>
  <c r="DH414" i="25"/>
  <c r="DF414" i="25"/>
  <c r="DH406" i="25"/>
  <c r="DF406" i="25"/>
  <c r="DH398" i="25"/>
  <c r="DF398" i="25"/>
  <c r="DH390" i="25"/>
  <c r="DF390" i="25"/>
  <c r="CN411" i="25"/>
  <c r="CM464" i="25"/>
  <c r="CS464" i="25" s="1"/>
  <c r="CN455" i="25"/>
  <c r="CM431" i="25"/>
  <c r="CS431" i="25" s="1"/>
  <c r="CM423" i="25"/>
  <c r="CS423" i="25" s="1"/>
  <c r="CN391" i="25"/>
  <c r="CN479" i="25"/>
  <c r="CN471" i="25"/>
  <c r="CN475" i="25"/>
  <c r="BS439" i="25"/>
  <c r="BS391" i="25"/>
  <c r="CM477" i="25"/>
  <c r="CS477" i="25" s="1"/>
  <c r="CM469" i="25"/>
  <c r="CS469" i="25" s="1"/>
  <c r="CN462" i="25"/>
  <c r="BS438" i="25"/>
  <c r="BS390" i="25"/>
  <c r="CM448" i="25"/>
  <c r="CS448" i="25" s="1"/>
  <c r="CM440" i="25"/>
  <c r="CS440" i="25" s="1"/>
  <c r="CM432" i="25"/>
  <c r="CS432" i="25" s="1"/>
  <c r="CM424" i="25"/>
  <c r="CS424" i="25" s="1"/>
  <c r="CM416" i="25"/>
  <c r="CS416" i="25" s="1"/>
  <c r="CM408" i="25"/>
  <c r="CS408" i="25" s="1"/>
  <c r="CM400" i="25"/>
  <c r="CS400" i="25" s="1"/>
  <c r="CM392" i="25"/>
  <c r="CS392" i="25" s="1"/>
  <c r="CN450" i="25"/>
  <c r="CN442" i="25"/>
  <c r="CN434" i="25"/>
  <c r="CN426" i="25"/>
  <c r="CN418" i="25"/>
  <c r="CN402" i="25"/>
  <c r="CM394" i="25"/>
  <c r="CS394" i="25" s="1"/>
  <c r="BY402" i="25"/>
  <c r="CA402" i="25" s="1"/>
  <c r="CB402" i="25" s="1"/>
  <c r="BY393" i="25"/>
  <c r="CA393" i="25" s="1"/>
  <c r="BS455" i="25"/>
  <c r="BY400" i="25"/>
  <c r="CA400" i="25" s="1"/>
  <c r="BY392" i="25"/>
  <c r="CA392" i="25" s="1"/>
  <c r="BY395" i="25"/>
  <c r="CA395" i="25" s="1"/>
  <c r="CB395" i="25" s="1"/>
  <c r="CF395" i="25" s="1"/>
  <c r="CG395" i="25" s="1"/>
  <c r="CJ395" i="25" s="1"/>
  <c r="CX420" i="25"/>
  <c r="CY420" i="25" s="1"/>
  <c r="CZ420" i="25" s="1"/>
  <c r="DA420" i="25" s="1"/>
  <c r="BY401" i="25"/>
  <c r="CA401" i="25" s="1"/>
  <c r="BY394" i="25"/>
  <c r="CA394" i="25" s="1"/>
  <c r="CB394" i="25" s="1"/>
  <c r="BY398" i="25"/>
  <c r="CA398" i="25" s="1"/>
  <c r="BY390" i="25"/>
  <c r="BS431" i="25"/>
  <c r="BS423" i="25"/>
  <c r="BY399" i="25"/>
  <c r="CA399" i="25" s="1"/>
  <c r="BY391" i="25"/>
  <c r="CA391" i="25" s="1"/>
  <c r="CX481" i="25"/>
  <c r="CY481" i="25" s="1"/>
  <c r="CZ481" i="25" s="1"/>
  <c r="DA481" i="25" s="1"/>
  <c r="CX473" i="25"/>
  <c r="CY473" i="25" s="1"/>
  <c r="CZ473" i="25" s="1"/>
  <c r="DA473" i="25" s="1"/>
  <c r="BY397" i="25"/>
  <c r="CA397" i="25" s="1"/>
  <c r="CB397" i="25" s="1"/>
  <c r="BZ408" i="25"/>
  <c r="BZ423" i="25"/>
  <c r="BY396" i="25"/>
  <c r="CA396" i="25" s="1"/>
  <c r="BS478" i="25"/>
  <c r="BS470" i="25"/>
  <c r="BS466" i="25"/>
  <c r="BS456" i="25"/>
  <c r="BS448" i="25"/>
  <c r="BS440" i="25"/>
  <c r="BS432" i="25"/>
  <c r="BS424" i="25"/>
  <c r="BS416" i="25"/>
  <c r="BS408" i="25"/>
  <c r="BS400" i="25"/>
  <c r="BS392" i="25"/>
  <c r="BY471" i="25"/>
  <c r="CA471" i="25" s="1"/>
  <c r="CB471" i="25" s="1"/>
  <c r="BS449" i="25"/>
  <c r="BS441" i="25"/>
  <c r="BS433" i="25"/>
  <c r="BS425" i="25"/>
  <c r="BS417" i="25"/>
  <c r="BS409" i="25"/>
  <c r="BS401" i="25"/>
  <c r="BS393" i="25"/>
  <c r="BS477" i="25"/>
  <c r="BS469" i="25"/>
  <c r="BS464" i="25"/>
  <c r="BY422" i="25"/>
  <c r="CA422" i="25" s="1"/>
  <c r="CM466" i="25"/>
  <c r="CS466" i="25" s="1"/>
  <c r="CM456" i="25"/>
  <c r="CS456" i="25" s="1"/>
  <c r="CM433" i="25"/>
  <c r="CS433" i="25" s="1"/>
  <c r="CM425" i="25"/>
  <c r="CS425" i="25" s="1"/>
  <c r="CM401" i="25"/>
  <c r="CS401" i="25" s="1"/>
  <c r="CM393" i="25"/>
  <c r="CS393" i="25" s="1"/>
  <c r="CN467" i="25"/>
  <c r="CN465" i="25"/>
  <c r="CN454" i="25"/>
  <c r="CN446" i="25"/>
  <c r="CM438" i="25"/>
  <c r="CS438" i="25" s="1"/>
  <c r="CM430" i="25"/>
  <c r="CS430" i="25" s="1"/>
  <c r="CM422" i="25"/>
  <c r="CS422" i="25" s="1"/>
  <c r="CM414" i="25"/>
  <c r="CS414" i="25" s="1"/>
  <c r="CM406" i="25"/>
  <c r="CS406" i="25" s="1"/>
  <c r="CN398" i="25"/>
  <c r="CN390" i="25"/>
  <c r="CN472" i="25"/>
  <c r="CN463" i="25"/>
  <c r="CN443" i="25"/>
  <c r="CN435" i="25"/>
  <c r="CN427" i="25"/>
  <c r="CN403" i="25"/>
  <c r="CM395" i="25"/>
  <c r="CS395" i="25" s="1"/>
  <c r="BY437" i="25"/>
  <c r="CA437" i="25" s="1"/>
  <c r="CB437" i="25" s="1"/>
  <c r="BZ397" i="25"/>
  <c r="BY460" i="25"/>
  <c r="CA460" i="25" s="1"/>
  <c r="CB460" i="25" s="1"/>
  <c r="BY458" i="25"/>
  <c r="CA458" i="25" s="1"/>
  <c r="CB458" i="25" s="1"/>
  <c r="BY421" i="25"/>
  <c r="CA421" i="25" s="1"/>
  <c r="CB421" i="25" s="1"/>
  <c r="BY477" i="25"/>
  <c r="CA477" i="25" s="1"/>
  <c r="CB477" i="25" s="1"/>
  <c r="BS468" i="25"/>
  <c r="BS415" i="25"/>
  <c r="BZ406" i="25"/>
  <c r="BY445" i="25"/>
  <c r="CA445" i="25" s="1"/>
  <c r="CB445" i="25" s="1"/>
  <c r="BY443" i="25"/>
  <c r="CA443" i="25" s="1"/>
  <c r="CB443" i="25" s="1"/>
  <c r="CF443" i="25" s="1"/>
  <c r="CG443" i="25" s="1"/>
  <c r="CJ443" i="25" s="1"/>
  <c r="BZ464" i="25"/>
  <c r="BY432" i="25"/>
  <c r="CA432" i="25" s="1"/>
  <c r="BY408" i="25"/>
  <c r="CA408" i="25" s="1"/>
  <c r="BZ400" i="25"/>
  <c r="BZ392" i="25"/>
  <c r="BZ432" i="25"/>
  <c r="BZ455" i="25"/>
  <c r="BZ398" i="25"/>
  <c r="BS476" i="25"/>
  <c r="BS407" i="25"/>
  <c r="BY479" i="25"/>
  <c r="CA479" i="25" s="1"/>
  <c r="CB479" i="25" s="1"/>
  <c r="BY442" i="25"/>
  <c r="BY418" i="25"/>
  <c r="CA418" i="25" s="1"/>
  <c r="CB418" i="25" s="1"/>
  <c r="BY454" i="25"/>
  <c r="CA454" i="25" s="1"/>
  <c r="BY430" i="25"/>
  <c r="CA430" i="25" s="1"/>
  <c r="BZ390" i="25"/>
  <c r="BY482" i="25"/>
  <c r="CA482" i="25" s="1"/>
  <c r="CB482" i="25" s="1"/>
  <c r="BY429" i="25"/>
  <c r="CA429" i="25" s="1"/>
  <c r="CB429" i="25" s="1"/>
  <c r="BY405" i="25"/>
  <c r="BS462" i="25"/>
  <c r="BS406" i="25"/>
  <c r="BZ477" i="25"/>
  <c r="BZ469" i="25"/>
  <c r="BY464" i="25"/>
  <c r="CA464" i="25" s="1"/>
  <c r="BY448" i="25"/>
  <c r="CA448" i="25" s="1"/>
  <c r="BZ440" i="25"/>
  <c r="BZ424" i="25"/>
  <c r="BY416" i="25"/>
  <c r="CA416" i="25" s="1"/>
  <c r="BY469" i="25"/>
  <c r="CA469" i="25" s="1"/>
  <c r="BZ476" i="25"/>
  <c r="BZ468" i="25"/>
  <c r="BZ462" i="25"/>
  <c r="BZ447" i="25"/>
  <c r="BZ439" i="25"/>
  <c r="BZ431" i="25"/>
  <c r="BZ415" i="25"/>
  <c r="BZ407" i="25"/>
  <c r="BZ448" i="25"/>
  <c r="BZ416" i="25"/>
  <c r="BY480" i="25"/>
  <c r="CA480" i="25" s="1"/>
  <c r="BY472" i="25"/>
  <c r="CA472" i="25" s="1"/>
  <c r="CB472" i="25" s="1"/>
  <c r="CF472" i="25" s="1"/>
  <c r="CG472" i="25" s="1"/>
  <c r="CJ472" i="25" s="1"/>
  <c r="BY463" i="25"/>
  <c r="CA463" i="25" s="1"/>
  <c r="CB463" i="25" s="1"/>
  <c r="CF463" i="25" s="1"/>
  <c r="CG463" i="25" s="1"/>
  <c r="CJ463" i="25" s="1"/>
  <c r="BZ451" i="25"/>
  <c r="BZ443" i="25"/>
  <c r="BZ435" i="25"/>
  <c r="BZ427" i="25"/>
  <c r="BY419" i="25"/>
  <c r="CA419" i="25" s="1"/>
  <c r="CB419" i="25" s="1"/>
  <c r="CF419" i="25" s="1"/>
  <c r="CG419" i="25" s="1"/>
  <c r="CJ419" i="25" s="1"/>
  <c r="BY411" i="25"/>
  <c r="CA411" i="25" s="1"/>
  <c r="CB411" i="25" s="1"/>
  <c r="CF411" i="25" s="1"/>
  <c r="CG411" i="25" s="1"/>
  <c r="CJ411" i="25" s="1"/>
  <c r="BZ395" i="25"/>
  <c r="BY410" i="25"/>
  <c r="CA410" i="25" s="1"/>
  <c r="CB410" i="25" s="1"/>
  <c r="BY181" i="25"/>
  <c r="CA181" i="25" s="1"/>
  <c r="CB181" i="25" s="1"/>
  <c r="CF181" i="25" s="1"/>
  <c r="CG181" i="25" s="1"/>
  <c r="CJ181" i="25" s="1"/>
  <c r="BZ402" i="25"/>
  <c r="BZ394" i="25"/>
  <c r="BY424" i="25"/>
  <c r="CA424" i="25" s="1"/>
  <c r="BS454" i="25"/>
  <c r="BY440" i="25"/>
  <c r="CA440" i="25" s="1"/>
  <c r="BY475" i="25"/>
  <c r="CA475" i="25" s="1"/>
  <c r="BY467" i="25"/>
  <c r="CA467" i="25" s="1"/>
  <c r="BY465" i="25"/>
  <c r="CA465" i="25" s="1"/>
  <c r="BZ454" i="25"/>
  <c r="BY446" i="25"/>
  <c r="CA446" i="25" s="1"/>
  <c r="BZ438" i="25"/>
  <c r="BZ430" i="25"/>
  <c r="BZ422" i="25"/>
  <c r="BY414" i="25"/>
  <c r="CA414" i="25" s="1"/>
  <c r="BY406" i="25"/>
  <c r="CA406" i="25" s="1"/>
  <c r="BY474" i="25"/>
  <c r="CA474" i="25" s="1"/>
  <c r="CB474" i="25" s="1"/>
  <c r="BY453" i="25"/>
  <c r="CA453" i="25" s="1"/>
  <c r="CB453" i="25" s="1"/>
  <c r="BY413" i="25"/>
  <c r="CA413" i="25" s="1"/>
  <c r="CB413" i="25" s="1"/>
  <c r="BZ479" i="25"/>
  <c r="BZ471" i="25"/>
  <c r="BZ457" i="25"/>
  <c r="BZ181" i="25"/>
  <c r="BZ450" i="25"/>
  <c r="BZ442" i="25"/>
  <c r="BZ434" i="25"/>
  <c r="BZ426" i="25"/>
  <c r="BZ418" i="25"/>
  <c r="BZ410" i="25"/>
  <c r="BZ475" i="25"/>
  <c r="BZ465" i="25"/>
  <c r="BZ446" i="25"/>
  <c r="BZ414" i="25"/>
  <c r="BY457" i="25"/>
  <c r="BY427" i="25"/>
  <c r="CA427" i="25" s="1"/>
  <c r="CB427" i="25" s="1"/>
  <c r="CF427" i="25" s="1"/>
  <c r="CG427" i="25" s="1"/>
  <c r="CJ427" i="25" s="1"/>
  <c r="BZ478" i="25"/>
  <c r="BZ470" i="25"/>
  <c r="BZ466" i="25"/>
  <c r="BZ456" i="25"/>
  <c r="BZ449" i="25"/>
  <c r="BZ441" i="25"/>
  <c r="BZ433" i="25"/>
  <c r="BZ425" i="25"/>
  <c r="BZ417" i="25"/>
  <c r="BZ409" i="25"/>
  <c r="BZ401" i="25"/>
  <c r="BZ393" i="25"/>
  <c r="BS447" i="25"/>
  <c r="BS399" i="25"/>
  <c r="BZ472" i="25"/>
  <c r="BZ463" i="25"/>
  <c r="BZ411" i="25"/>
  <c r="BY451" i="25"/>
  <c r="CA451" i="25" s="1"/>
  <c r="CB451" i="25" s="1"/>
  <c r="CF451" i="25" s="1"/>
  <c r="CG451" i="25" s="1"/>
  <c r="CJ451" i="25" s="1"/>
  <c r="BY438" i="25"/>
  <c r="CA438" i="25" s="1"/>
  <c r="BY426" i="25"/>
  <c r="CA426" i="25" s="1"/>
  <c r="CB426" i="25" s="1"/>
  <c r="CF426" i="25" s="1"/>
  <c r="CG426" i="25" s="1"/>
  <c r="CJ426" i="25" s="1"/>
  <c r="BY450" i="25"/>
  <c r="CA450" i="25" s="1"/>
  <c r="CB450" i="25" s="1"/>
  <c r="BZ399" i="25"/>
  <c r="BZ391" i="25"/>
  <c r="BY476" i="25"/>
  <c r="CA476" i="25" s="1"/>
  <c r="BY468" i="25"/>
  <c r="CA468" i="25" s="1"/>
  <c r="BY462" i="25"/>
  <c r="CA462" i="25" s="1"/>
  <c r="BY455" i="25"/>
  <c r="CA455" i="25" s="1"/>
  <c r="BY447" i="25"/>
  <c r="CA447" i="25" s="1"/>
  <c r="BY439" i="25"/>
  <c r="CA439" i="25" s="1"/>
  <c r="BY431" i="25"/>
  <c r="CA431" i="25" s="1"/>
  <c r="BY423" i="25"/>
  <c r="CA423" i="25" s="1"/>
  <c r="BY415" i="25"/>
  <c r="CA415" i="25" s="1"/>
  <c r="BY407" i="25"/>
  <c r="BY435" i="25"/>
  <c r="CA435" i="25" s="1"/>
  <c r="CB435" i="25" s="1"/>
  <c r="BZ467" i="25"/>
  <c r="BY434" i="25"/>
  <c r="CA434" i="25" s="1"/>
  <c r="CB434" i="25" s="1"/>
  <c r="CF434" i="25" s="1"/>
  <c r="CG434" i="25" s="1"/>
  <c r="CJ434" i="25" s="1"/>
  <c r="BZ482" i="25"/>
  <c r="BZ474" i="25"/>
  <c r="BZ460" i="25"/>
  <c r="BZ458" i="25"/>
  <c r="BZ453" i="25"/>
  <c r="BZ445" i="25"/>
  <c r="BZ437" i="25"/>
  <c r="BZ429" i="25"/>
  <c r="BZ421" i="25"/>
  <c r="BZ413" i="25"/>
  <c r="BZ405" i="25"/>
  <c r="BZ480" i="25"/>
  <c r="BZ419" i="25"/>
  <c r="BZ481" i="25"/>
  <c r="BZ473" i="25"/>
  <c r="BZ461" i="25"/>
  <c r="BZ452" i="25"/>
  <c r="BZ444" i="25"/>
  <c r="BZ436" i="25"/>
  <c r="BZ428" i="25"/>
  <c r="BZ420" i="25"/>
  <c r="BZ412" i="25"/>
  <c r="BZ404" i="25"/>
  <c r="BZ396" i="25"/>
  <c r="BY478" i="25"/>
  <c r="CA478" i="25" s="1"/>
  <c r="BY470" i="25"/>
  <c r="CA470" i="25" s="1"/>
  <c r="BY466" i="25"/>
  <c r="CA466" i="25" s="1"/>
  <c r="BY456" i="25"/>
  <c r="CA456" i="25" s="1"/>
  <c r="BY449" i="25"/>
  <c r="CA449" i="25" s="1"/>
  <c r="BY441" i="25"/>
  <c r="CA441" i="25" s="1"/>
  <c r="BY433" i="25"/>
  <c r="CA433" i="25" s="1"/>
  <c r="BY425" i="25"/>
  <c r="CA425" i="25" s="1"/>
  <c r="BY417" i="25"/>
  <c r="CA417" i="25" s="1"/>
  <c r="BY409" i="25"/>
  <c r="CA409" i="25" s="1"/>
  <c r="BS465" i="25"/>
  <c r="BS430" i="25"/>
  <c r="BS398" i="25"/>
  <c r="BS461" i="25"/>
  <c r="BS428" i="25"/>
  <c r="BS404" i="25"/>
  <c r="BY481" i="25"/>
  <c r="CA481" i="25" s="1"/>
  <c r="BY473" i="25"/>
  <c r="CA473" i="25" s="1"/>
  <c r="BY461" i="25"/>
  <c r="CA461" i="25" s="1"/>
  <c r="BY452" i="25"/>
  <c r="CA452" i="25" s="1"/>
  <c r="BY444" i="25"/>
  <c r="CA444" i="25" s="1"/>
  <c r="BY436" i="25"/>
  <c r="CA436" i="25" s="1"/>
  <c r="BY428" i="25"/>
  <c r="CA428" i="25" s="1"/>
  <c r="BY420" i="25"/>
  <c r="CA420" i="25" s="1"/>
  <c r="BY412" i="25"/>
  <c r="CA412" i="25" s="1"/>
  <c r="BY404" i="25"/>
  <c r="CA404" i="25" s="1"/>
  <c r="BZ403" i="25"/>
  <c r="BY403" i="25"/>
  <c r="CA403" i="25" s="1"/>
  <c r="CB403" i="25" s="1"/>
  <c r="CF403" i="25" s="1"/>
  <c r="CG403" i="25" s="1"/>
  <c r="CJ403" i="25" s="1"/>
  <c r="CX402" i="25"/>
  <c r="CY402" i="25" s="1"/>
  <c r="CZ402" i="25" s="1"/>
  <c r="DA402" i="25" s="1"/>
  <c r="BS467" i="25"/>
  <c r="BS446" i="25"/>
  <c r="BS422" i="25"/>
  <c r="BS444" i="25"/>
  <c r="BS396" i="25"/>
  <c r="CM421" i="25"/>
  <c r="CS421" i="25" s="1"/>
  <c r="CX412" i="25"/>
  <c r="CY412" i="25" s="1"/>
  <c r="CZ412" i="25" s="1"/>
  <c r="DA412" i="25" s="1"/>
  <c r="CN481" i="25"/>
  <c r="CN473" i="25"/>
  <c r="CN461" i="25"/>
  <c r="CN452" i="25"/>
  <c r="CN444" i="25"/>
  <c r="CN436" i="25"/>
  <c r="CN428" i="25"/>
  <c r="CN420" i="25"/>
  <c r="CN412" i="25"/>
  <c r="CN404" i="25"/>
  <c r="CM396" i="25"/>
  <c r="CS396" i="25" s="1"/>
  <c r="BS475" i="25"/>
  <c r="BS414" i="25"/>
  <c r="CX460" i="25"/>
  <c r="CY460" i="25" s="1"/>
  <c r="CZ460" i="25" s="1"/>
  <c r="DA460" i="25" s="1"/>
  <c r="BS481" i="25"/>
  <c r="BS473" i="25"/>
  <c r="BS452" i="25"/>
  <c r="BS436" i="25"/>
  <c r="BS420" i="25"/>
  <c r="BS412" i="25"/>
  <c r="BS480" i="25"/>
  <c r="BS472" i="25"/>
  <c r="BS463" i="25"/>
  <c r="BS451" i="25"/>
  <c r="BS443" i="25"/>
  <c r="BS435" i="25"/>
  <c r="BS427" i="25"/>
  <c r="BS419" i="25"/>
  <c r="BS411" i="25"/>
  <c r="BS403" i="25"/>
  <c r="BS395" i="25"/>
  <c r="CX482" i="25"/>
  <c r="CY482" i="25" s="1"/>
  <c r="CZ482" i="25" s="1"/>
  <c r="DA482" i="25" s="1"/>
  <c r="CX429" i="25"/>
  <c r="CY429" i="25" s="1"/>
  <c r="CZ429" i="25" s="1"/>
  <c r="DA429" i="25" s="1"/>
  <c r="CX421" i="25"/>
  <c r="CY421" i="25" s="1"/>
  <c r="CZ421" i="25" s="1"/>
  <c r="DA421" i="25" s="1"/>
  <c r="CX405" i="25"/>
  <c r="CY405" i="25" s="1"/>
  <c r="CZ405" i="25" s="1"/>
  <c r="DA405" i="25" s="1"/>
  <c r="BS479" i="25"/>
  <c r="BS471" i="25"/>
  <c r="BS457" i="25"/>
  <c r="BS181" i="25"/>
  <c r="BS450" i="25"/>
  <c r="BS442" i="25"/>
  <c r="BS434" i="25"/>
  <c r="BS426" i="25"/>
  <c r="BS418" i="25"/>
  <c r="BS410" i="25"/>
  <c r="BS402" i="25"/>
  <c r="BS394" i="25"/>
  <c r="CX479" i="25"/>
  <c r="CY479" i="25" s="1"/>
  <c r="CZ479" i="25" s="1"/>
  <c r="DA479" i="25" s="1"/>
  <c r="CX471" i="25"/>
  <c r="CY471" i="25" s="1"/>
  <c r="CZ471" i="25" s="1"/>
  <c r="DA471" i="25" s="1"/>
  <c r="CX457" i="25"/>
  <c r="CY457" i="25" s="1"/>
  <c r="CZ457" i="25" s="1"/>
  <c r="DA457" i="25" s="1"/>
  <c r="CX181" i="25"/>
  <c r="CY181" i="25" s="1"/>
  <c r="CZ181" i="25" s="1"/>
  <c r="DA181" i="25" s="1"/>
  <c r="CX450" i="25"/>
  <c r="CY450" i="25" s="1"/>
  <c r="CZ450" i="25" s="1"/>
  <c r="DA450" i="25" s="1"/>
  <c r="CX442" i="25"/>
  <c r="CY442" i="25" s="1"/>
  <c r="CZ442" i="25" s="1"/>
  <c r="DA442" i="25" s="1"/>
  <c r="CX434" i="25"/>
  <c r="CY434" i="25" s="1"/>
  <c r="CZ434" i="25" s="1"/>
  <c r="DA434" i="25" s="1"/>
  <c r="CX426" i="25"/>
  <c r="CY426" i="25" s="1"/>
  <c r="CZ426" i="25" s="1"/>
  <c r="DA426" i="25" s="1"/>
  <c r="CX418" i="25"/>
  <c r="CY418" i="25" s="1"/>
  <c r="CZ418" i="25" s="1"/>
  <c r="DA418" i="25" s="1"/>
  <c r="CX410" i="25"/>
  <c r="CY410" i="25" s="1"/>
  <c r="CZ410" i="25" s="1"/>
  <c r="DA410" i="25" s="1"/>
  <c r="CX394" i="25"/>
  <c r="CY394" i="25" s="1"/>
  <c r="CZ394" i="25" s="1"/>
  <c r="DA394" i="25" s="1"/>
  <c r="CX448" i="25"/>
  <c r="CY448" i="25" s="1"/>
  <c r="CZ448" i="25" s="1"/>
  <c r="DA448" i="25" s="1"/>
  <c r="CX440" i="25"/>
  <c r="CY440" i="25" s="1"/>
  <c r="CZ440" i="25" s="1"/>
  <c r="DA440" i="25" s="1"/>
  <c r="BS482" i="25"/>
  <c r="BS474" i="25"/>
  <c r="BS460" i="25"/>
  <c r="BS458" i="25"/>
  <c r="BS453" i="25"/>
  <c r="BS445" i="25"/>
  <c r="BS437" i="25"/>
  <c r="BS429" i="25"/>
  <c r="BS421" i="25"/>
  <c r="BS413" i="25"/>
  <c r="BS405" i="25"/>
  <c r="BS397" i="25"/>
  <c r="CN456" i="25"/>
  <c r="CM447" i="25"/>
  <c r="CS447" i="25" s="1"/>
  <c r="CN449" i="25"/>
  <c r="CN478" i="25"/>
  <c r="CM462" i="25"/>
  <c r="CS462" i="25" s="1"/>
  <c r="CN470" i="25"/>
  <c r="CN466" i="25"/>
  <c r="CM455" i="25"/>
  <c r="CS455" i="25" s="1"/>
  <c r="CM476" i="25"/>
  <c r="CS476" i="25" s="1"/>
  <c r="CM468" i="25"/>
  <c r="CS468" i="25" s="1"/>
  <c r="CX461" i="25"/>
  <c r="CY461" i="25" s="1"/>
  <c r="CZ461" i="25" s="1"/>
  <c r="DA461" i="25" s="1"/>
  <c r="CN477" i="25"/>
  <c r="CN469" i="25"/>
  <c r="CN464" i="25"/>
  <c r="CN448" i="25"/>
  <c r="CM475" i="25"/>
  <c r="CS475" i="25" s="1"/>
  <c r="CM467" i="25"/>
  <c r="CS467" i="25" s="1"/>
  <c r="CM465" i="25"/>
  <c r="CS465" i="25" s="1"/>
  <c r="CM454" i="25"/>
  <c r="CS454" i="25" s="1"/>
  <c r="CM446" i="25"/>
  <c r="CS446" i="25" s="1"/>
  <c r="CX480" i="25"/>
  <c r="CY480" i="25" s="1"/>
  <c r="CZ480" i="25" s="1"/>
  <c r="DA480" i="25" s="1"/>
  <c r="CX472" i="25"/>
  <c r="CY472" i="25" s="1"/>
  <c r="CZ472" i="25" s="1"/>
  <c r="DA472" i="25" s="1"/>
  <c r="CX463" i="25"/>
  <c r="CY463" i="25" s="1"/>
  <c r="CZ463" i="25" s="1"/>
  <c r="DA463" i="25" s="1"/>
  <c r="CX451" i="25"/>
  <c r="CY451" i="25" s="1"/>
  <c r="CZ451" i="25" s="1"/>
  <c r="DA451" i="25" s="1"/>
  <c r="CX443" i="25"/>
  <c r="CY443" i="25" s="1"/>
  <c r="CZ443" i="25" s="1"/>
  <c r="DA443" i="25" s="1"/>
  <c r="CX435" i="25"/>
  <c r="CY435" i="25" s="1"/>
  <c r="CZ435" i="25" s="1"/>
  <c r="DA435" i="25" s="1"/>
  <c r="CX427" i="25"/>
  <c r="CY427" i="25" s="1"/>
  <c r="CZ427" i="25" s="1"/>
  <c r="DA427" i="25" s="1"/>
  <c r="CX419" i="25"/>
  <c r="CY419" i="25" s="1"/>
  <c r="CZ419" i="25" s="1"/>
  <c r="DA419" i="25" s="1"/>
  <c r="CX411" i="25"/>
  <c r="CY411" i="25" s="1"/>
  <c r="CZ411" i="25" s="1"/>
  <c r="DA411" i="25" s="1"/>
  <c r="CX403" i="25"/>
  <c r="CY403" i="25" s="1"/>
  <c r="CZ403" i="25" s="1"/>
  <c r="DA403" i="25" s="1"/>
  <c r="CX395" i="25"/>
  <c r="CY395" i="25" s="1"/>
  <c r="CZ395" i="25" s="1"/>
  <c r="DA395" i="25" s="1"/>
  <c r="CN476" i="25"/>
  <c r="CN468" i="25"/>
  <c r="CN447" i="25"/>
  <c r="CM482" i="25"/>
  <c r="CS482" i="25" s="1"/>
  <c r="CM474" i="25"/>
  <c r="CS474" i="25" s="1"/>
  <c r="CM460" i="25"/>
  <c r="CS460" i="25" s="1"/>
  <c r="CM458" i="25"/>
  <c r="CS458" i="25" s="1"/>
  <c r="CM453" i="25"/>
  <c r="CS453" i="25" s="1"/>
  <c r="CM445" i="25"/>
  <c r="CS445" i="25" s="1"/>
  <c r="CM481" i="25"/>
  <c r="CS481" i="25" s="1"/>
  <c r="CM473" i="25"/>
  <c r="CS473" i="25" s="1"/>
  <c r="CM461" i="25"/>
  <c r="CS461" i="25" s="1"/>
  <c r="CM452" i="25"/>
  <c r="CS452" i="25" s="1"/>
  <c r="CM444" i="25"/>
  <c r="CS444" i="25" s="1"/>
  <c r="CX439" i="25"/>
  <c r="CY439" i="25" s="1"/>
  <c r="CZ439" i="25" s="1"/>
  <c r="DA439" i="25" s="1"/>
  <c r="CN482" i="25"/>
  <c r="CN474" i="25"/>
  <c r="CN460" i="25"/>
  <c r="CN458" i="25"/>
  <c r="CN453" i="25"/>
  <c r="CN445" i="25"/>
  <c r="CM480" i="25"/>
  <c r="CS480" i="25" s="1"/>
  <c r="CM472" i="25"/>
  <c r="CS472" i="25" s="1"/>
  <c r="CM463" i="25"/>
  <c r="CS463" i="25" s="1"/>
  <c r="CM451" i="25"/>
  <c r="CS451" i="25" s="1"/>
  <c r="CM443" i="25"/>
  <c r="CS443" i="25" s="1"/>
  <c r="CM479" i="25"/>
  <c r="CS479" i="25" s="1"/>
  <c r="CM471" i="25"/>
  <c r="CS471" i="25" s="1"/>
  <c r="CM457" i="25"/>
  <c r="CS457" i="25" s="1"/>
  <c r="CM181" i="25"/>
  <c r="CS181" i="25" s="1"/>
  <c r="CM450" i="25"/>
  <c r="CS450" i="25" s="1"/>
  <c r="CM442" i="25"/>
  <c r="CS442" i="25" s="1"/>
  <c r="CN480" i="25"/>
  <c r="CN451" i="25"/>
  <c r="CM478" i="25"/>
  <c r="CS478" i="25" s="1"/>
  <c r="CM470" i="25"/>
  <c r="CS470" i="25" s="1"/>
  <c r="CM449" i="25"/>
  <c r="CS449" i="25" s="1"/>
  <c r="CN441" i="25"/>
  <c r="CN433" i="25"/>
  <c r="CM437" i="25"/>
  <c r="CS437" i="25" s="1"/>
  <c r="CM410" i="25"/>
  <c r="CS410" i="25" s="1"/>
  <c r="CX474" i="25"/>
  <c r="CY474" i="25" s="1"/>
  <c r="CZ474" i="25" s="1"/>
  <c r="DA474" i="25" s="1"/>
  <c r="CX458" i="25"/>
  <c r="CY458" i="25" s="1"/>
  <c r="CZ458" i="25" s="1"/>
  <c r="DA458" i="25" s="1"/>
  <c r="CX453" i="25"/>
  <c r="CY453" i="25" s="1"/>
  <c r="CZ453" i="25" s="1"/>
  <c r="DA453" i="25" s="1"/>
  <c r="CX445" i="25"/>
  <c r="CY445" i="25" s="1"/>
  <c r="CZ445" i="25" s="1"/>
  <c r="DA445" i="25" s="1"/>
  <c r="CX437" i="25"/>
  <c r="CY437" i="25" s="1"/>
  <c r="CZ437" i="25" s="1"/>
  <c r="DA437" i="25" s="1"/>
  <c r="CX413" i="25"/>
  <c r="CY413" i="25" s="1"/>
  <c r="CZ413" i="25" s="1"/>
  <c r="DA413" i="25" s="1"/>
  <c r="CX397" i="25"/>
  <c r="CY397" i="25" s="1"/>
  <c r="CZ397" i="25" s="1"/>
  <c r="DA397" i="25" s="1"/>
  <c r="CX468" i="25"/>
  <c r="CY468" i="25" s="1"/>
  <c r="CZ468" i="25" s="1"/>
  <c r="DA468" i="25" s="1"/>
  <c r="CX462" i="25"/>
  <c r="CY462" i="25" s="1"/>
  <c r="CZ462" i="25" s="1"/>
  <c r="DA462" i="25" s="1"/>
  <c r="CX447" i="25"/>
  <c r="CY447" i="25" s="1"/>
  <c r="CZ447" i="25" s="1"/>
  <c r="DA447" i="25" s="1"/>
  <c r="CX423" i="25"/>
  <c r="CY423" i="25" s="1"/>
  <c r="CZ423" i="25" s="1"/>
  <c r="DA423" i="25" s="1"/>
  <c r="CX407" i="25"/>
  <c r="CY407" i="25" s="1"/>
  <c r="CZ407" i="25" s="1"/>
  <c r="DA407" i="25" s="1"/>
  <c r="CN440" i="25"/>
  <c r="CN432" i="25"/>
  <c r="CM436" i="25"/>
  <c r="CS436" i="25" s="1"/>
  <c r="CM402" i="25"/>
  <c r="CS402" i="25" s="1"/>
  <c r="CN439" i="25"/>
  <c r="CN424" i="25"/>
  <c r="CM435" i="25"/>
  <c r="CS435" i="25" s="1"/>
  <c r="CN438" i="25"/>
  <c r="CN416" i="25"/>
  <c r="CM434" i="25"/>
  <c r="CS434" i="25" s="1"/>
  <c r="CN437" i="25"/>
  <c r="CN408" i="25"/>
  <c r="CM441" i="25"/>
  <c r="CS441" i="25" s="1"/>
  <c r="CN400" i="25"/>
  <c r="CX477" i="25"/>
  <c r="CY477" i="25" s="1"/>
  <c r="CZ477" i="25" s="1"/>
  <c r="DA477" i="25" s="1"/>
  <c r="CX469" i="25"/>
  <c r="CY469" i="25" s="1"/>
  <c r="CZ469" i="25" s="1"/>
  <c r="DA469" i="25" s="1"/>
  <c r="CX464" i="25"/>
  <c r="CY464" i="25" s="1"/>
  <c r="CZ464" i="25" s="1"/>
  <c r="DA464" i="25" s="1"/>
  <c r="CX432" i="25"/>
  <c r="CY432" i="25" s="1"/>
  <c r="CZ432" i="25" s="1"/>
  <c r="DA432" i="25" s="1"/>
  <c r="CX424" i="25"/>
  <c r="CY424" i="25" s="1"/>
  <c r="CZ424" i="25" s="1"/>
  <c r="DA424" i="25" s="1"/>
  <c r="CX416" i="25"/>
  <c r="CY416" i="25" s="1"/>
  <c r="CZ416" i="25" s="1"/>
  <c r="DA416" i="25" s="1"/>
  <c r="CX408" i="25"/>
  <c r="CY408" i="25" s="1"/>
  <c r="CZ408" i="25" s="1"/>
  <c r="DA408" i="25" s="1"/>
  <c r="CX400" i="25"/>
  <c r="CY400" i="25" s="1"/>
  <c r="CZ400" i="25" s="1"/>
  <c r="DA400" i="25" s="1"/>
  <c r="CX392" i="25"/>
  <c r="CY392" i="25" s="1"/>
  <c r="CZ392" i="25" s="1"/>
  <c r="DA392" i="25" s="1"/>
  <c r="CM439" i="25"/>
  <c r="CS439" i="25" s="1"/>
  <c r="CM426" i="25"/>
  <c r="CS426" i="25" s="1"/>
  <c r="CX456" i="25"/>
  <c r="CY456" i="25" s="1"/>
  <c r="CZ456" i="25" s="1"/>
  <c r="DA456" i="25" s="1"/>
  <c r="CX401" i="25"/>
  <c r="CY401" i="25" s="1"/>
  <c r="CZ401" i="25" s="1"/>
  <c r="DA401" i="25" s="1"/>
  <c r="CM418" i="25"/>
  <c r="CS418" i="25" s="1"/>
  <c r="CN410" i="25"/>
  <c r="CM428" i="25"/>
  <c r="CS428" i="25" s="1"/>
  <c r="CM420" i="25"/>
  <c r="CS420" i="25" s="1"/>
  <c r="CM412" i="25"/>
  <c r="CS412" i="25" s="1"/>
  <c r="CM404" i="25"/>
  <c r="CS404" i="25" s="1"/>
  <c r="DB402" i="25"/>
  <c r="CX452" i="25"/>
  <c r="CY452" i="25" s="1"/>
  <c r="CZ452" i="25" s="1"/>
  <c r="DA452" i="25" s="1"/>
  <c r="CX444" i="25"/>
  <c r="CY444" i="25" s="1"/>
  <c r="CZ444" i="25" s="1"/>
  <c r="DA444" i="25" s="1"/>
  <c r="CX436" i="25"/>
  <c r="CY436" i="25" s="1"/>
  <c r="CZ436" i="25" s="1"/>
  <c r="DA436" i="25" s="1"/>
  <c r="CX428" i="25"/>
  <c r="CY428" i="25" s="1"/>
  <c r="CZ428" i="25" s="1"/>
  <c r="DA428" i="25" s="1"/>
  <c r="CX404" i="25"/>
  <c r="CY404" i="25" s="1"/>
  <c r="CZ404" i="25" s="1"/>
  <c r="DA404" i="25" s="1"/>
  <c r="CX396" i="25"/>
  <c r="CY396" i="25" s="1"/>
  <c r="CZ396" i="25" s="1"/>
  <c r="DA396" i="25" s="1"/>
  <c r="CN425" i="25"/>
  <c r="CN417" i="25"/>
  <c r="CN409" i="25"/>
  <c r="CN401" i="25"/>
  <c r="CM427" i="25"/>
  <c r="CS427" i="25" s="1"/>
  <c r="CM419" i="25"/>
  <c r="CS419" i="25" s="1"/>
  <c r="CM411" i="25"/>
  <c r="CS411" i="25" s="1"/>
  <c r="CM403" i="25"/>
  <c r="CS403" i="25" s="1"/>
  <c r="CN431" i="25"/>
  <c r="CN423" i="25"/>
  <c r="CN415" i="25"/>
  <c r="CN407" i="25"/>
  <c r="CN399" i="25"/>
  <c r="CM417" i="25"/>
  <c r="CS417" i="25" s="1"/>
  <c r="CM409" i="25"/>
  <c r="CS409" i="25" s="1"/>
  <c r="CX476" i="25"/>
  <c r="CY476" i="25" s="1"/>
  <c r="CZ476" i="25" s="1"/>
  <c r="DA476" i="25" s="1"/>
  <c r="CX455" i="25"/>
  <c r="CY455" i="25" s="1"/>
  <c r="CZ455" i="25" s="1"/>
  <c r="DA455" i="25" s="1"/>
  <c r="CX431" i="25"/>
  <c r="CY431" i="25" s="1"/>
  <c r="CZ431" i="25" s="1"/>
  <c r="DA431" i="25" s="1"/>
  <c r="CX415" i="25"/>
  <c r="CY415" i="25" s="1"/>
  <c r="CZ415" i="25" s="1"/>
  <c r="DA415" i="25" s="1"/>
  <c r="CX399" i="25"/>
  <c r="CY399" i="25" s="1"/>
  <c r="CZ399" i="25" s="1"/>
  <c r="DA399" i="25" s="1"/>
  <c r="CX391" i="25"/>
  <c r="CY391" i="25" s="1"/>
  <c r="CZ391" i="25" s="1"/>
  <c r="DA391" i="25" s="1"/>
  <c r="CX478" i="25"/>
  <c r="CY478" i="25" s="1"/>
  <c r="CZ478" i="25" s="1"/>
  <c r="DA478" i="25" s="1"/>
  <c r="CX470" i="25"/>
  <c r="CY470" i="25" s="1"/>
  <c r="CZ470" i="25" s="1"/>
  <c r="DA470" i="25" s="1"/>
  <c r="CX466" i="25"/>
  <c r="CY466" i="25" s="1"/>
  <c r="CZ466" i="25" s="1"/>
  <c r="DA466" i="25" s="1"/>
  <c r="CX449" i="25"/>
  <c r="CY449" i="25" s="1"/>
  <c r="CZ449" i="25" s="1"/>
  <c r="DA449" i="25" s="1"/>
  <c r="CX441" i="25"/>
  <c r="CY441" i="25" s="1"/>
  <c r="CZ441" i="25" s="1"/>
  <c r="DA441" i="25" s="1"/>
  <c r="CX433" i="25"/>
  <c r="CY433" i="25" s="1"/>
  <c r="CZ433" i="25" s="1"/>
  <c r="DA433" i="25" s="1"/>
  <c r="CX425" i="25"/>
  <c r="CY425" i="25" s="1"/>
  <c r="CZ425" i="25" s="1"/>
  <c r="DA425" i="25" s="1"/>
  <c r="CX417" i="25"/>
  <c r="CY417" i="25" s="1"/>
  <c r="CZ417" i="25" s="1"/>
  <c r="DA417" i="25" s="1"/>
  <c r="CX409" i="25"/>
  <c r="CY409" i="25" s="1"/>
  <c r="CZ409" i="25" s="1"/>
  <c r="DA409" i="25" s="1"/>
  <c r="CN430" i="25"/>
  <c r="CN422" i="25"/>
  <c r="CN414" i="25"/>
  <c r="CN406" i="25"/>
  <c r="CN397" i="25"/>
  <c r="CN429" i="25"/>
  <c r="CN421" i="25"/>
  <c r="CN413" i="25"/>
  <c r="CN405" i="25"/>
  <c r="CM415" i="25"/>
  <c r="CS415" i="25" s="1"/>
  <c r="CM407" i="25"/>
  <c r="CS407" i="25" s="1"/>
  <c r="CM399" i="25"/>
  <c r="CS399" i="25" s="1"/>
  <c r="CM391" i="25"/>
  <c r="CS391" i="25" s="1"/>
  <c r="CN419" i="25"/>
  <c r="CM429" i="25"/>
  <c r="CS429" i="25" s="1"/>
  <c r="CM413" i="25"/>
  <c r="CS413" i="25" s="1"/>
  <c r="CM405" i="25"/>
  <c r="CS405" i="25" s="1"/>
  <c r="DB395" i="25"/>
  <c r="CN396" i="25"/>
  <c r="CM398" i="25"/>
  <c r="CS398" i="25" s="1"/>
  <c r="CM390" i="25"/>
  <c r="CS390" i="25" s="1"/>
  <c r="CN395" i="25"/>
  <c r="CM397" i="25"/>
  <c r="CS397" i="25" s="1"/>
  <c r="DB456" i="25"/>
  <c r="DB449" i="25"/>
  <c r="DB433" i="25"/>
  <c r="CX475" i="25"/>
  <c r="CY475" i="25" s="1"/>
  <c r="CZ475" i="25" s="1"/>
  <c r="DA475" i="25" s="1"/>
  <c r="CX467" i="25"/>
  <c r="CY467" i="25" s="1"/>
  <c r="CZ467" i="25" s="1"/>
  <c r="DA467" i="25" s="1"/>
  <c r="CX465" i="25"/>
  <c r="CY465" i="25" s="1"/>
  <c r="CZ465" i="25" s="1"/>
  <c r="DA465" i="25" s="1"/>
  <c r="CX454" i="25"/>
  <c r="CY454" i="25" s="1"/>
  <c r="CZ454" i="25" s="1"/>
  <c r="DA454" i="25" s="1"/>
  <c r="CX446" i="25"/>
  <c r="CY446" i="25" s="1"/>
  <c r="CZ446" i="25" s="1"/>
  <c r="DA446" i="25" s="1"/>
  <c r="CX438" i="25"/>
  <c r="CY438" i="25" s="1"/>
  <c r="CZ438" i="25" s="1"/>
  <c r="DA438" i="25" s="1"/>
  <c r="CX430" i="25"/>
  <c r="CY430" i="25" s="1"/>
  <c r="CZ430" i="25" s="1"/>
  <c r="DA430" i="25" s="1"/>
  <c r="CX422" i="25"/>
  <c r="CY422" i="25" s="1"/>
  <c r="CZ422" i="25" s="1"/>
  <c r="DA422" i="25" s="1"/>
  <c r="CX414" i="25"/>
  <c r="CY414" i="25" s="1"/>
  <c r="CZ414" i="25" s="1"/>
  <c r="DA414" i="25" s="1"/>
  <c r="CX406" i="25"/>
  <c r="CY406" i="25" s="1"/>
  <c r="CZ406" i="25" s="1"/>
  <c r="DA406" i="25" s="1"/>
  <c r="CX398" i="25"/>
  <c r="CY398" i="25" s="1"/>
  <c r="CZ398" i="25" s="1"/>
  <c r="DA398" i="25" s="1"/>
  <c r="CX390" i="25"/>
  <c r="CY390" i="25" s="1"/>
  <c r="CZ390" i="25" s="1"/>
  <c r="DA390" i="25" s="1"/>
  <c r="CN394" i="25"/>
  <c r="CN393" i="25"/>
  <c r="CQ478" i="25"/>
  <c r="CR478" i="25" s="1"/>
  <c r="CO415" i="25"/>
  <c r="CN392" i="25"/>
  <c r="CX393" i="25"/>
  <c r="CY393" i="25" s="1"/>
  <c r="CZ393" i="25" s="1"/>
  <c r="DA393" i="25" s="1"/>
  <c r="CQ449" i="25"/>
  <c r="CR449" i="25" s="1"/>
  <c r="CO452" i="25"/>
  <c r="CP452" i="25"/>
  <c r="CQ452" i="25"/>
  <c r="CR452" i="25" s="1"/>
  <c r="CP404" i="25"/>
  <c r="CQ404" i="25"/>
  <c r="CR404" i="25" s="1"/>
  <c r="CO404" i="25"/>
  <c r="CP420" i="25"/>
  <c r="CQ420" i="25"/>
  <c r="CR420" i="25" s="1"/>
  <c r="CO420" i="25"/>
  <c r="CP436" i="25"/>
  <c r="CQ436" i="25"/>
  <c r="CR436" i="25" s="1"/>
  <c r="CO436" i="25"/>
  <c r="CO461" i="25"/>
  <c r="CP461" i="25"/>
  <c r="CQ461" i="25"/>
  <c r="CR461" i="25" s="1"/>
  <c r="CO412" i="25"/>
  <c r="CP412" i="25"/>
  <c r="CQ412" i="25"/>
  <c r="CR412" i="25" s="1"/>
  <c r="CO473" i="25"/>
  <c r="CP473" i="25"/>
  <c r="CQ473" i="25"/>
  <c r="CR473" i="25" s="1"/>
  <c r="CP428" i="25"/>
  <c r="CO428" i="25"/>
  <c r="CQ428" i="25"/>
  <c r="CR428" i="25" s="1"/>
  <c r="CO481" i="25"/>
  <c r="CP481" i="25"/>
  <c r="CQ481" i="25"/>
  <c r="CR481" i="25" s="1"/>
  <c r="CO444" i="25"/>
  <c r="CP444" i="25"/>
  <c r="CQ444" i="25"/>
  <c r="CR444" i="25" s="1"/>
  <c r="CP396" i="25"/>
  <c r="CO396" i="25"/>
  <c r="CQ396" i="25"/>
  <c r="CR396" i="25" s="1"/>
  <c r="CO480" i="25"/>
  <c r="CQ480" i="25"/>
  <c r="CR480" i="25" s="1"/>
  <c r="CO472" i="25"/>
  <c r="CQ472" i="25"/>
  <c r="CR472" i="25" s="1"/>
  <c r="CO463" i="25"/>
  <c r="CQ463" i="25"/>
  <c r="CR463" i="25" s="1"/>
  <c r="CO451" i="25"/>
  <c r="CQ451" i="25"/>
  <c r="CR451" i="25" s="1"/>
  <c r="CO443" i="25"/>
  <c r="CQ443" i="25"/>
  <c r="CR443" i="25" s="1"/>
  <c r="CO435" i="25"/>
  <c r="CQ435" i="25"/>
  <c r="CR435" i="25" s="1"/>
  <c r="CO427" i="25"/>
  <c r="CQ427" i="25"/>
  <c r="CR427" i="25" s="1"/>
  <c r="CQ419" i="25"/>
  <c r="CR419" i="25" s="1"/>
  <c r="CO419" i="25"/>
  <c r="CO411" i="25"/>
  <c r="CQ411" i="25"/>
  <c r="CR411" i="25" s="1"/>
  <c r="CO403" i="25"/>
  <c r="CQ403" i="25"/>
  <c r="CR403" i="25" s="1"/>
  <c r="CO395" i="25"/>
  <c r="CQ395" i="25"/>
  <c r="CR395" i="25" s="1"/>
  <c r="CQ474" i="25"/>
  <c r="CR474" i="25" s="1"/>
  <c r="CQ445" i="25"/>
  <c r="CR445" i="25" s="1"/>
  <c r="CO449" i="25"/>
  <c r="CO479" i="25"/>
  <c r="CP479" i="25"/>
  <c r="CQ479" i="25"/>
  <c r="CR479" i="25" s="1"/>
  <c r="CO471" i="25"/>
  <c r="CP471" i="25"/>
  <c r="CQ471" i="25"/>
  <c r="CR471" i="25" s="1"/>
  <c r="CO457" i="25"/>
  <c r="CP457" i="25"/>
  <c r="CQ457" i="25"/>
  <c r="CR457" i="25" s="1"/>
  <c r="CO181" i="25"/>
  <c r="CP181" i="25"/>
  <c r="CQ181" i="25"/>
  <c r="CR181" i="25" s="1"/>
  <c r="CO450" i="25"/>
  <c r="CP450" i="25"/>
  <c r="CQ450" i="25"/>
  <c r="CR450" i="25" s="1"/>
  <c r="CO442" i="25"/>
  <c r="CP442" i="25"/>
  <c r="CQ442" i="25"/>
  <c r="CR442" i="25" s="1"/>
  <c r="CO434" i="25"/>
  <c r="CP434" i="25"/>
  <c r="CQ434" i="25"/>
  <c r="CR434" i="25" s="1"/>
  <c r="CP426" i="25"/>
  <c r="CQ426" i="25"/>
  <c r="CR426" i="25" s="1"/>
  <c r="CP418" i="25"/>
  <c r="CQ418" i="25"/>
  <c r="CR418" i="25" s="1"/>
  <c r="CO418" i="25"/>
  <c r="CP410" i="25"/>
  <c r="CQ410" i="25"/>
  <c r="CR410" i="25" s="1"/>
  <c r="CO402" i="25"/>
  <c r="CP402" i="25"/>
  <c r="CQ402" i="25"/>
  <c r="CR402" i="25" s="1"/>
  <c r="CP394" i="25"/>
  <c r="CO394" i="25"/>
  <c r="CQ394" i="25"/>
  <c r="CR394" i="25" s="1"/>
  <c r="CP472" i="25"/>
  <c r="CP443" i="25"/>
  <c r="CP411" i="25"/>
  <c r="CP478" i="25"/>
  <c r="CP470" i="25"/>
  <c r="CP466" i="25"/>
  <c r="CP456" i="25"/>
  <c r="CP441" i="25"/>
  <c r="CO433" i="25"/>
  <c r="CP433" i="25"/>
  <c r="CO425" i="25"/>
  <c r="CP425" i="25"/>
  <c r="CO417" i="25"/>
  <c r="CP417" i="25"/>
  <c r="CO409" i="25"/>
  <c r="CP409" i="25"/>
  <c r="CO401" i="25"/>
  <c r="CP401" i="25"/>
  <c r="CO393" i="25"/>
  <c r="CP393" i="25"/>
  <c r="CQ460" i="25"/>
  <c r="CR460" i="25" s="1"/>
  <c r="CO470" i="25"/>
  <c r="CO441" i="25"/>
  <c r="CP477" i="25"/>
  <c r="CQ477" i="25"/>
  <c r="CR477" i="25" s="1"/>
  <c r="CO477" i="25"/>
  <c r="CP469" i="25"/>
  <c r="CQ469" i="25"/>
  <c r="CR469" i="25" s="1"/>
  <c r="CO469" i="25"/>
  <c r="CP464" i="25"/>
  <c r="CQ464" i="25"/>
  <c r="CR464" i="25" s="1"/>
  <c r="CO464" i="25"/>
  <c r="CP448" i="25"/>
  <c r="CQ448" i="25"/>
  <c r="CR448" i="25" s="1"/>
  <c r="CO448" i="25"/>
  <c r="CP440" i="25"/>
  <c r="CQ440" i="25"/>
  <c r="CR440" i="25" s="1"/>
  <c r="CO440" i="25"/>
  <c r="CO432" i="25"/>
  <c r="CP432" i="25"/>
  <c r="CQ432" i="25"/>
  <c r="CR432" i="25" s="1"/>
  <c r="CP424" i="25"/>
  <c r="CO424" i="25"/>
  <c r="CQ424" i="25"/>
  <c r="CR424" i="25" s="1"/>
  <c r="CP416" i="25"/>
  <c r="CQ416" i="25"/>
  <c r="CR416" i="25" s="1"/>
  <c r="CO416" i="25"/>
  <c r="CP408" i="25"/>
  <c r="CQ408" i="25"/>
  <c r="CR408" i="25" s="1"/>
  <c r="CO408" i="25"/>
  <c r="CO400" i="25"/>
  <c r="CP400" i="25"/>
  <c r="CQ400" i="25"/>
  <c r="CR400" i="25" s="1"/>
  <c r="CP392" i="25"/>
  <c r="CO392" i="25"/>
  <c r="CQ392" i="25"/>
  <c r="CR392" i="25" s="1"/>
  <c r="CQ466" i="25"/>
  <c r="CR466" i="25" s="1"/>
  <c r="CQ433" i="25"/>
  <c r="CR433" i="25" s="1"/>
  <c r="CQ401" i="25"/>
  <c r="CR401" i="25" s="1"/>
  <c r="CP435" i="25"/>
  <c r="CP403" i="25"/>
  <c r="CQ476" i="25"/>
  <c r="CR476" i="25" s="1"/>
  <c r="CO476" i="25"/>
  <c r="CQ468" i="25"/>
  <c r="CR468" i="25" s="1"/>
  <c r="CO468" i="25"/>
  <c r="CQ462" i="25"/>
  <c r="CR462" i="25" s="1"/>
  <c r="CO462" i="25"/>
  <c r="CQ455" i="25"/>
  <c r="CR455" i="25" s="1"/>
  <c r="CO455" i="25"/>
  <c r="CQ447" i="25"/>
  <c r="CR447" i="25" s="1"/>
  <c r="CO447" i="25"/>
  <c r="CQ439" i="25"/>
  <c r="CR439" i="25" s="1"/>
  <c r="CO439" i="25"/>
  <c r="CQ431" i="25"/>
  <c r="CR431" i="25" s="1"/>
  <c r="CO423" i="25"/>
  <c r="CQ423" i="25"/>
  <c r="CR423" i="25" s="1"/>
  <c r="CQ415" i="25"/>
  <c r="CR415" i="25" s="1"/>
  <c r="CQ407" i="25"/>
  <c r="CR407" i="25" s="1"/>
  <c r="CO407" i="25"/>
  <c r="CQ399" i="25"/>
  <c r="CR399" i="25" s="1"/>
  <c r="CO391" i="25"/>
  <c r="CQ391" i="25"/>
  <c r="CR391" i="25" s="1"/>
  <c r="CQ458" i="25"/>
  <c r="CR458" i="25" s="1"/>
  <c r="CP462" i="25"/>
  <c r="CP431" i="25"/>
  <c r="CP399" i="25"/>
  <c r="CO466" i="25"/>
  <c r="CO431" i="25"/>
  <c r="CQ475" i="25"/>
  <c r="CR475" i="25" s="1"/>
  <c r="CO475" i="25"/>
  <c r="CP475" i="25"/>
  <c r="CQ467" i="25"/>
  <c r="CR467" i="25" s="1"/>
  <c r="CO467" i="25"/>
  <c r="CP467" i="25"/>
  <c r="CQ465" i="25"/>
  <c r="CR465" i="25" s="1"/>
  <c r="CO465" i="25"/>
  <c r="CP465" i="25"/>
  <c r="CQ454" i="25"/>
  <c r="CR454" i="25" s="1"/>
  <c r="CO454" i="25"/>
  <c r="CP454" i="25"/>
  <c r="CQ446" i="25"/>
  <c r="CR446" i="25" s="1"/>
  <c r="CO446" i="25"/>
  <c r="CP446" i="25"/>
  <c r="CO438" i="25"/>
  <c r="CQ438" i="25"/>
  <c r="CR438" i="25" s="1"/>
  <c r="CP438" i="25"/>
  <c r="CO430" i="25"/>
  <c r="CQ430" i="25"/>
  <c r="CR430" i="25" s="1"/>
  <c r="CP430" i="25"/>
  <c r="CO422" i="25"/>
  <c r="CQ422" i="25"/>
  <c r="CR422" i="25" s="1"/>
  <c r="CP422" i="25"/>
  <c r="CO414" i="25"/>
  <c r="CQ414" i="25"/>
  <c r="CR414" i="25" s="1"/>
  <c r="CP414" i="25"/>
  <c r="CO406" i="25"/>
  <c r="CQ406" i="25"/>
  <c r="CR406" i="25" s="1"/>
  <c r="CP406" i="25"/>
  <c r="CO398" i="25"/>
  <c r="CQ398" i="25"/>
  <c r="CR398" i="25" s="1"/>
  <c r="CP398" i="25"/>
  <c r="CA390" i="25"/>
  <c r="CO390" i="25"/>
  <c r="CQ390" i="25"/>
  <c r="CR390" i="25" s="1"/>
  <c r="CP390" i="25"/>
  <c r="CQ456" i="25"/>
  <c r="CR456" i="25" s="1"/>
  <c r="CQ425" i="25"/>
  <c r="CR425" i="25" s="1"/>
  <c r="CQ393" i="25"/>
  <c r="CR393" i="25" s="1"/>
  <c r="CP463" i="25"/>
  <c r="CP427" i="25"/>
  <c r="CP395" i="25"/>
  <c r="CO426" i="25"/>
  <c r="CP482" i="25"/>
  <c r="CP474" i="25"/>
  <c r="CP460" i="25"/>
  <c r="CP458" i="25"/>
  <c r="CP453" i="25"/>
  <c r="CP445" i="25"/>
  <c r="CO437" i="25"/>
  <c r="CP437" i="25"/>
  <c r="CP429" i="25"/>
  <c r="CO429" i="25"/>
  <c r="CO421" i="25"/>
  <c r="CP421" i="25"/>
  <c r="CO413" i="25"/>
  <c r="CP413" i="25"/>
  <c r="CA405" i="25"/>
  <c r="CB405" i="25" s="1"/>
  <c r="CO405" i="25"/>
  <c r="CP405" i="25"/>
  <c r="CP397" i="25"/>
  <c r="CO397" i="25"/>
  <c r="CQ482" i="25"/>
  <c r="CR482" i="25" s="1"/>
  <c r="CQ453" i="25"/>
  <c r="CR453" i="25" s="1"/>
  <c r="CQ421" i="25"/>
  <c r="CR421" i="25" s="1"/>
  <c r="CP455" i="25"/>
  <c r="CP423" i="25"/>
  <c r="CP391" i="25"/>
  <c r="CO456" i="25"/>
  <c r="CD469" i="25"/>
  <c r="CD477" i="25"/>
  <c r="CD479" i="25"/>
  <c r="CD471" i="25"/>
  <c r="CD450" i="25"/>
  <c r="CD442" i="25"/>
  <c r="CD418" i="25"/>
  <c r="CD410" i="25"/>
  <c r="CD402" i="25"/>
  <c r="CD394" i="25"/>
  <c r="CD482" i="25"/>
  <c r="CD474" i="25"/>
  <c r="CD460" i="25"/>
  <c r="CD458" i="25"/>
  <c r="CD453" i="25"/>
  <c r="CD445" i="25"/>
  <c r="CD437" i="25"/>
  <c r="CD429" i="25"/>
  <c r="CD421" i="25"/>
  <c r="CD413" i="25"/>
  <c r="CD405" i="25"/>
  <c r="CD397" i="25"/>
  <c r="CD435" i="25"/>
  <c r="CA442" i="25" l="1"/>
  <c r="CE442" i="25" s="1"/>
  <c r="CH442" i="25" s="1"/>
  <c r="CI442" i="25" s="1"/>
  <c r="CA457" i="25"/>
  <c r="CB457" i="25" s="1"/>
  <c r="CF457" i="25" s="1"/>
  <c r="CG457" i="25" s="1"/>
  <c r="CJ457" i="25" s="1"/>
  <c r="CA407" i="25"/>
  <c r="CE407" i="25" s="1"/>
  <c r="CH407" i="25" s="1"/>
  <c r="CI407" i="25" s="1"/>
  <c r="CE181" i="25"/>
  <c r="CH181" i="25" s="1"/>
  <c r="CI181" i="25" s="1"/>
  <c r="CE411" i="25"/>
  <c r="CH411" i="25" s="1"/>
  <c r="CI411" i="25" s="1"/>
  <c r="CE451" i="25"/>
  <c r="CH451" i="25" s="1"/>
  <c r="CI451" i="25" s="1"/>
  <c r="CE472" i="25"/>
  <c r="CH472" i="25" s="1"/>
  <c r="CI472" i="25" s="1"/>
  <c r="CE471" i="25"/>
  <c r="CH471" i="25" s="1"/>
  <c r="CI471" i="25" s="1"/>
  <c r="CE463" i="25"/>
  <c r="CH463" i="25" s="1"/>
  <c r="CI463" i="25" s="1"/>
  <c r="CE426" i="25"/>
  <c r="CH426" i="25" s="1"/>
  <c r="CI426" i="25" s="1"/>
  <c r="CB480" i="25"/>
  <c r="CF480" i="25" s="1"/>
  <c r="CG480" i="25" s="1"/>
  <c r="CJ480" i="25" s="1"/>
  <c r="CE480" i="25"/>
  <c r="CH480" i="25" s="1"/>
  <c r="CI480" i="25" s="1"/>
  <c r="CB469" i="25"/>
  <c r="CF469" i="25" s="1"/>
  <c r="CG469" i="25" s="1"/>
  <c r="CJ469" i="25" s="1"/>
  <c r="CE469" i="25"/>
  <c r="CH469" i="25" s="1"/>
  <c r="CI469" i="25" s="1"/>
  <c r="CE419" i="25"/>
  <c r="CH419" i="25" s="1"/>
  <c r="CI419" i="25" s="1"/>
  <c r="CE395" i="25"/>
  <c r="CH395" i="25" s="1"/>
  <c r="CI395" i="25" s="1"/>
  <c r="CE394" i="25"/>
  <c r="CH394" i="25" s="1"/>
  <c r="CI394" i="25" s="1"/>
  <c r="CE403" i="25"/>
  <c r="CH403" i="25" s="1"/>
  <c r="CI403" i="25" s="1"/>
  <c r="CE445" i="25"/>
  <c r="CH445" i="25" s="1"/>
  <c r="CI445" i="25" s="1"/>
  <c r="CE410" i="25"/>
  <c r="CH410" i="25" s="1"/>
  <c r="CI410" i="25" s="1"/>
  <c r="CE435" i="25"/>
  <c r="CH435" i="25" s="1"/>
  <c r="CI435" i="25" s="1"/>
  <c r="CE427" i="25"/>
  <c r="CH427" i="25" s="1"/>
  <c r="CI427" i="25" s="1"/>
  <c r="CE402" i="25"/>
  <c r="CH402" i="25" s="1"/>
  <c r="CI402" i="25" s="1"/>
  <c r="CE421" i="25"/>
  <c r="CH421" i="25" s="1"/>
  <c r="CI421" i="25" s="1"/>
  <c r="CE474" i="25"/>
  <c r="CH474" i="25" s="1"/>
  <c r="CI474" i="25" s="1"/>
  <c r="CE413" i="25"/>
  <c r="CH413" i="25" s="1"/>
  <c r="CI413" i="25" s="1"/>
  <c r="CE482" i="25"/>
  <c r="CH482" i="25" s="1"/>
  <c r="CI482" i="25" s="1"/>
  <c r="CE405" i="25"/>
  <c r="CH405" i="25" s="1"/>
  <c r="CI405" i="25" s="1"/>
  <c r="CF460" i="25"/>
  <c r="CG460" i="25" s="1"/>
  <c r="CJ460" i="25" s="1"/>
  <c r="CE458" i="25"/>
  <c r="CH458" i="25" s="1"/>
  <c r="CI458" i="25" s="1"/>
  <c r="CF437" i="25"/>
  <c r="CG437" i="25" s="1"/>
  <c r="CJ437" i="25" s="1"/>
  <c r="CF477" i="25"/>
  <c r="CG477" i="25" s="1"/>
  <c r="CJ477" i="25" s="1"/>
  <c r="CF450" i="25"/>
  <c r="CG450" i="25" s="1"/>
  <c r="CJ450" i="25" s="1"/>
  <c r="CF479" i="25"/>
  <c r="CG479" i="25" s="1"/>
  <c r="CJ479" i="25" s="1"/>
  <c r="CE429" i="25"/>
  <c r="CH429" i="25" s="1"/>
  <c r="CI429" i="25" s="1"/>
  <c r="CE397" i="25"/>
  <c r="CH397" i="25" s="1"/>
  <c r="CI397" i="25" s="1"/>
  <c r="CF405" i="25"/>
  <c r="CG405" i="25" s="1"/>
  <c r="CJ405" i="25" s="1"/>
  <c r="CE453" i="25"/>
  <c r="CH453" i="25" s="1"/>
  <c r="CI453" i="25" s="1"/>
  <c r="CE418" i="25"/>
  <c r="CH418" i="25" s="1"/>
  <c r="CI418" i="25" s="1"/>
  <c r="CE415" i="25"/>
  <c r="CH415" i="25" s="1"/>
  <c r="CI415" i="25" s="1"/>
  <c r="CB415" i="25"/>
  <c r="CF415" i="25" s="1"/>
  <c r="CG415" i="25" s="1"/>
  <c r="CJ415" i="25" s="1"/>
  <c r="CE434" i="25"/>
  <c r="CH434" i="25" s="1"/>
  <c r="CI434" i="25" s="1"/>
  <c r="CF397" i="25"/>
  <c r="CG397" i="25" s="1"/>
  <c r="CJ397" i="25" s="1"/>
  <c r="CB430" i="25"/>
  <c r="CF430" i="25" s="1"/>
  <c r="CG430" i="25" s="1"/>
  <c r="CJ430" i="25" s="1"/>
  <c r="CE430" i="25"/>
  <c r="CH430" i="25" s="1"/>
  <c r="CI430" i="25" s="1"/>
  <c r="CB446" i="25"/>
  <c r="CF446" i="25" s="1"/>
  <c r="CG446" i="25" s="1"/>
  <c r="CJ446" i="25" s="1"/>
  <c r="CE446" i="25"/>
  <c r="CH446" i="25" s="1"/>
  <c r="CI446" i="25" s="1"/>
  <c r="CB391" i="25"/>
  <c r="CF391" i="25" s="1"/>
  <c r="CG391" i="25" s="1"/>
  <c r="CJ391" i="25" s="1"/>
  <c r="CE391" i="25"/>
  <c r="CH391" i="25" s="1"/>
  <c r="CI391" i="25" s="1"/>
  <c r="CB423" i="25"/>
  <c r="CF423" i="25" s="1"/>
  <c r="CG423" i="25" s="1"/>
  <c r="CJ423" i="25" s="1"/>
  <c r="CE423" i="25"/>
  <c r="CH423" i="25" s="1"/>
  <c r="CI423" i="25" s="1"/>
  <c r="CB462" i="25"/>
  <c r="CF462" i="25" s="1"/>
  <c r="CG462" i="25" s="1"/>
  <c r="CJ462" i="25" s="1"/>
  <c r="CE462" i="25"/>
  <c r="CH462" i="25" s="1"/>
  <c r="CI462" i="25" s="1"/>
  <c r="CB456" i="25"/>
  <c r="CF456" i="25" s="1"/>
  <c r="CG456" i="25" s="1"/>
  <c r="CJ456" i="25" s="1"/>
  <c r="CE456" i="25"/>
  <c r="CH456" i="25" s="1"/>
  <c r="CI456" i="25" s="1"/>
  <c r="CF418" i="25"/>
  <c r="CG418" i="25" s="1"/>
  <c r="CJ418" i="25" s="1"/>
  <c r="CB449" i="25"/>
  <c r="CF449" i="25" s="1"/>
  <c r="CG449" i="25" s="1"/>
  <c r="CJ449" i="25" s="1"/>
  <c r="CE449" i="25"/>
  <c r="CH449" i="25" s="1"/>
  <c r="CI449" i="25" s="1"/>
  <c r="CB439" i="25"/>
  <c r="CF439" i="25" s="1"/>
  <c r="CG439" i="25" s="1"/>
  <c r="CJ439" i="25" s="1"/>
  <c r="CE439" i="25"/>
  <c r="CH439" i="25" s="1"/>
  <c r="CI439" i="25" s="1"/>
  <c r="CB416" i="25"/>
  <c r="CF416" i="25" s="1"/>
  <c r="CG416" i="25" s="1"/>
  <c r="CJ416" i="25" s="1"/>
  <c r="CE416" i="25"/>
  <c r="CH416" i="25" s="1"/>
  <c r="CI416" i="25" s="1"/>
  <c r="CE437" i="25"/>
  <c r="CH437" i="25" s="1"/>
  <c r="CI437" i="25" s="1"/>
  <c r="CE460" i="25"/>
  <c r="CH460" i="25" s="1"/>
  <c r="CI460" i="25" s="1"/>
  <c r="CF421" i="25"/>
  <c r="CG421" i="25" s="1"/>
  <c r="CJ421" i="25" s="1"/>
  <c r="CF445" i="25"/>
  <c r="CG445" i="25" s="1"/>
  <c r="CJ445" i="25" s="1"/>
  <c r="CF474" i="25"/>
  <c r="CG474" i="25" s="1"/>
  <c r="CJ474" i="25" s="1"/>
  <c r="CB425" i="25"/>
  <c r="CF425" i="25" s="1"/>
  <c r="CG425" i="25" s="1"/>
  <c r="CJ425" i="25" s="1"/>
  <c r="CE425" i="25"/>
  <c r="CH425" i="25" s="1"/>
  <c r="CI425" i="25" s="1"/>
  <c r="CF402" i="25"/>
  <c r="CG402" i="25" s="1"/>
  <c r="CJ402" i="25" s="1"/>
  <c r="CE443" i="25"/>
  <c r="CH443" i="25" s="1"/>
  <c r="CI443" i="25" s="1"/>
  <c r="CE479" i="25"/>
  <c r="CH479" i="25" s="1"/>
  <c r="CI479" i="25" s="1"/>
  <c r="CB398" i="25"/>
  <c r="CF398" i="25" s="1"/>
  <c r="CG398" i="25" s="1"/>
  <c r="CJ398" i="25" s="1"/>
  <c r="CE398" i="25"/>
  <c r="CH398" i="25" s="1"/>
  <c r="CI398" i="25" s="1"/>
  <c r="CB414" i="25"/>
  <c r="CF414" i="25" s="1"/>
  <c r="CG414" i="25" s="1"/>
  <c r="CJ414" i="25" s="1"/>
  <c r="CE414" i="25"/>
  <c r="CH414" i="25" s="1"/>
  <c r="CI414" i="25" s="1"/>
  <c r="CB465" i="25"/>
  <c r="CF465" i="25" s="1"/>
  <c r="CG465" i="25" s="1"/>
  <c r="CJ465" i="25" s="1"/>
  <c r="CE465" i="25"/>
  <c r="CH465" i="25" s="1"/>
  <c r="CI465" i="25" s="1"/>
  <c r="CB475" i="25"/>
  <c r="CF475" i="25" s="1"/>
  <c r="CG475" i="25" s="1"/>
  <c r="CJ475" i="25" s="1"/>
  <c r="CE475" i="25"/>
  <c r="CH475" i="25" s="1"/>
  <c r="CI475" i="25" s="1"/>
  <c r="CB399" i="25"/>
  <c r="CF399" i="25" s="1"/>
  <c r="CG399" i="25" s="1"/>
  <c r="CJ399" i="25" s="1"/>
  <c r="CE399" i="25"/>
  <c r="CH399" i="25" s="1"/>
  <c r="CI399" i="25" s="1"/>
  <c r="CE447" i="25"/>
  <c r="CH447" i="25" s="1"/>
  <c r="CI447" i="25" s="1"/>
  <c r="CB447" i="25"/>
  <c r="CF447" i="25" s="1"/>
  <c r="CG447" i="25" s="1"/>
  <c r="CJ447" i="25" s="1"/>
  <c r="CB409" i="25"/>
  <c r="CF409" i="25" s="1"/>
  <c r="CG409" i="25" s="1"/>
  <c r="CJ409" i="25" s="1"/>
  <c r="CE409" i="25"/>
  <c r="CH409" i="25" s="1"/>
  <c r="CI409" i="25" s="1"/>
  <c r="CB466" i="25"/>
  <c r="CF466" i="25" s="1"/>
  <c r="CG466" i="25" s="1"/>
  <c r="CJ466" i="25" s="1"/>
  <c r="CE466" i="25"/>
  <c r="CH466" i="25" s="1"/>
  <c r="CI466" i="25" s="1"/>
  <c r="CE396" i="25"/>
  <c r="CH396" i="25" s="1"/>
  <c r="CI396" i="25" s="1"/>
  <c r="CB396" i="25"/>
  <c r="CF396" i="25" s="1"/>
  <c r="CG396" i="25" s="1"/>
  <c r="CJ396" i="25" s="1"/>
  <c r="CB481" i="25"/>
  <c r="CF481" i="25" s="1"/>
  <c r="CG481" i="25" s="1"/>
  <c r="CJ481" i="25" s="1"/>
  <c r="CE481" i="25"/>
  <c r="CH481" i="25" s="1"/>
  <c r="CI481" i="25" s="1"/>
  <c r="CE473" i="25"/>
  <c r="CH473" i="25" s="1"/>
  <c r="CI473" i="25" s="1"/>
  <c r="CB473" i="25"/>
  <c r="CF473" i="25" s="1"/>
  <c r="CG473" i="25" s="1"/>
  <c r="CJ473" i="25" s="1"/>
  <c r="CE461" i="25"/>
  <c r="CH461" i="25" s="1"/>
  <c r="CI461" i="25" s="1"/>
  <c r="CB461" i="25"/>
  <c r="CF461" i="25" s="1"/>
  <c r="CG461" i="25" s="1"/>
  <c r="CJ461" i="25" s="1"/>
  <c r="CB420" i="25"/>
  <c r="CF420" i="25" s="1"/>
  <c r="CG420" i="25" s="1"/>
  <c r="CJ420" i="25" s="1"/>
  <c r="CE420" i="25"/>
  <c r="CH420" i="25" s="1"/>
  <c r="CI420" i="25" s="1"/>
  <c r="CE404" i="25"/>
  <c r="CH404" i="25" s="1"/>
  <c r="CI404" i="25" s="1"/>
  <c r="CB404" i="25"/>
  <c r="CF404" i="25" s="1"/>
  <c r="CG404" i="25" s="1"/>
  <c r="CJ404" i="25" s="1"/>
  <c r="CB400" i="25"/>
  <c r="CF400" i="25" s="1"/>
  <c r="CG400" i="25" s="1"/>
  <c r="CJ400" i="25" s="1"/>
  <c r="CE400" i="25"/>
  <c r="CH400" i="25" s="1"/>
  <c r="CI400" i="25" s="1"/>
  <c r="CB464" i="25"/>
  <c r="CF464" i="25" s="1"/>
  <c r="CG464" i="25" s="1"/>
  <c r="CJ464" i="25" s="1"/>
  <c r="CE464" i="25"/>
  <c r="CH464" i="25" s="1"/>
  <c r="CI464" i="25" s="1"/>
  <c r="CE477" i="25"/>
  <c r="CH477" i="25" s="1"/>
  <c r="CI477" i="25" s="1"/>
  <c r="CF453" i="25"/>
  <c r="CG453" i="25" s="1"/>
  <c r="CJ453" i="25" s="1"/>
  <c r="CF482" i="25"/>
  <c r="CG482" i="25" s="1"/>
  <c r="CJ482" i="25" s="1"/>
  <c r="CE468" i="25"/>
  <c r="CH468" i="25" s="1"/>
  <c r="CI468" i="25" s="1"/>
  <c r="CB468" i="25"/>
  <c r="CF468" i="25" s="1"/>
  <c r="CG468" i="25" s="1"/>
  <c r="CJ468" i="25" s="1"/>
  <c r="CB392" i="25"/>
  <c r="CF392" i="25" s="1"/>
  <c r="CG392" i="25" s="1"/>
  <c r="CJ392" i="25" s="1"/>
  <c r="CE392" i="25"/>
  <c r="CH392" i="25" s="1"/>
  <c r="CI392" i="25" s="1"/>
  <c r="CB408" i="25"/>
  <c r="CF408" i="25" s="1"/>
  <c r="CG408" i="25" s="1"/>
  <c r="CJ408" i="25" s="1"/>
  <c r="CE408" i="25"/>
  <c r="CH408" i="25" s="1"/>
  <c r="CI408" i="25" s="1"/>
  <c r="CB424" i="25"/>
  <c r="CF424" i="25" s="1"/>
  <c r="CG424" i="25" s="1"/>
  <c r="CJ424" i="25" s="1"/>
  <c r="CE424" i="25"/>
  <c r="CH424" i="25" s="1"/>
  <c r="CI424" i="25" s="1"/>
  <c r="CB440" i="25"/>
  <c r="CF440" i="25" s="1"/>
  <c r="CG440" i="25" s="1"/>
  <c r="CJ440" i="25" s="1"/>
  <c r="CE440" i="25"/>
  <c r="CH440" i="25" s="1"/>
  <c r="CI440" i="25" s="1"/>
  <c r="CB393" i="25"/>
  <c r="CF393" i="25" s="1"/>
  <c r="CG393" i="25" s="1"/>
  <c r="CJ393" i="25" s="1"/>
  <c r="CE393" i="25"/>
  <c r="CH393" i="25" s="1"/>
  <c r="CI393" i="25" s="1"/>
  <c r="CB433" i="25"/>
  <c r="CF433" i="25" s="1"/>
  <c r="CG433" i="25" s="1"/>
  <c r="CJ433" i="25" s="1"/>
  <c r="CE433" i="25"/>
  <c r="CH433" i="25" s="1"/>
  <c r="CI433" i="25" s="1"/>
  <c r="CF471" i="25"/>
  <c r="CG471" i="25" s="1"/>
  <c r="CJ471" i="25" s="1"/>
  <c r="CB432" i="25"/>
  <c r="CF432" i="25" s="1"/>
  <c r="CG432" i="25" s="1"/>
  <c r="CJ432" i="25" s="1"/>
  <c r="CE432" i="25"/>
  <c r="CH432" i="25" s="1"/>
  <c r="CI432" i="25" s="1"/>
  <c r="CE450" i="25"/>
  <c r="CH450" i="25" s="1"/>
  <c r="CI450" i="25" s="1"/>
  <c r="CF429" i="25"/>
  <c r="CG429" i="25" s="1"/>
  <c r="CJ429" i="25" s="1"/>
  <c r="CE431" i="25"/>
  <c r="CH431" i="25" s="1"/>
  <c r="CI431" i="25" s="1"/>
  <c r="CB431" i="25"/>
  <c r="CF431" i="25" s="1"/>
  <c r="CG431" i="25" s="1"/>
  <c r="CJ431" i="25" s="1"/>
  <c r="CB470" i="25"/>
  <c r="CF470" i="25" s="1"/>
  <c r="CG470" i="25" s="1"/>
  <c r="CJ470" i="25" s="1"/>
  <c r="CE470" i="25"/>
  <c r="CH470" i="25" s="1"/>
  <c r="CI470" i="25" s="1"/>
  <c r="CF410" i="25"/>
  <c r="CG410" i="25" s="1"/>
  <c r="CJ410" i="25" s="1"/>
  <c r="CF435" i="25"/>
  <c r="CG435" i="25" s="1"/>
  <c r="CJ435" i="25" s="1"/>
  <c r="CB448" i="25"/>
  <c r="CF448" i="25" s="1"/>
  <c r="CG448" i="25" s="1"/>
  <c r="CJ448" i="25" s="1"/>
  <c r="CE448" i="25"/>
  <c r="CH448" i="25" s="1"/>
  <c r="CI448" i="25" s="1"/>
  <c r="CF458" i="25"/>
  <c r="CG458" i="25" s="1"/>
  <c r="CJ458" i="25" s="1"/>
  <c r="CB422" i="25"/>
  <c r="CF422" i="25" s="1"/>
  <c r="CG422" i="25" s="1"/>
  <c r="CJ422" i="25" s="1"/>
  <c r="CE422" i="25"/>
  <c r="CH422" i="25" s="1"/>
  <c r="CI422" i="25" s="1"/>
  <c r="CB455" i="25"/>
  <c r="CF455" i="25" s="1"/>
  <c r="CG455" i="25" s="1"/>
  <c r="CJ455" i="25" s="1"/>
  <c r="CE455" i="25"/>
  <c r="CH455" i="25" s="1"/>
  <c r="CI455" i="25" s="1"/>
  <c r="CB417" i="25"/>
  <c r="CF417" i="25" s="1"/>
  <c r="CG417" i="25" s="1"/>
  <c r="CJ417" i="25" s="1"/>
  <c r="CE417" i="25"/>
  <c r="CH417" i="25" s="1"/>
  <c r="CI417" i="25" s="1"/>
  <c r="CF394" i="25"/>
  <c r="CG394" i="25" s="1"/>
  <c r="CJ394" i="25" s="1"/>
  <c r="CF413" i="25"/>
  <c r="CG413" i="25" s="1"/>
  <c r="CJ413" i="25" s="1"/>
  <c r="CB390" i="25"/>
  <c r="CF390" i="25" s="1"/>
  <c r="CG390" i="25" s="1"/>
  <c r="CJ390" i="25" s="1"/>
  <c r="CE390" i="25"/>
  <c r="CH390" i="25" s="1"/>
  <c r="CI390" i="25" s="1"/>
  <c r="CB406" i="25"/>
  <c r="CF406" i="25" s="1"/>
  <c r="CG406" i="25" s="1"/>
  <c r="CJ406" i="25" s="1"/>
  <c r="CE406" i="25"/>
  <c r="CH406" i="25" s="1"/>
  <c r="CI406" i="25" s="1"/>
  <c r="CB438" i="25"/>
  <c r="CF438" i="25" s="1"/>
  <c r="CG438" i="25" s="1"/>
  <c r="CJ438" i="25" s="1"/>
  <c r="CE438" i="25"/>
  <c r="CH438" i="25" s="1"/>
  <c r="CI438" i="25" s="1"/>
  <c r="CB454" i="25"/>
  <c r="CF454" i="25" s="1"/>
  <c r="CG454" i="25" s="1"/>
  <c r="CJ454" i="25" s="1"/>
  <c r="CE454" i="25"/>
  <c r="CH454" i="25" s="1"/>
  <c r="CI454" i="25" s="1"/>
  <c r="CB467" i="25"/>
  <c r="CF467" i="25" s="1"/>
  <c r="CG467" i="25" s="1"/>
  <c r="CJ467" i="25" s="1"/>
  <c r="CE467" i="25"/>
  <c r="CH467" i="25" s="1"/>
  <c r="CI467" i="25" s="1"/>
  <c r="CB476" i="25"/>
  <c r="CF476" i="25" s="1"/>
  <c r="CG476" i="25" s="1"/>
  <c r="CJ476" i="25" s="1"/>
  <c r="CE476" i="25"/>
  <c r="CH476" i="25" s="1"/>
  <c r="CI476" i="25" s="1"/>
  <c r="CB401" i="25"/>
  <c r="CF401" i="25" s="1"/>
  <c r="CG401" i="25" s="1"/>
  <c r="CJ401" i="25" s="1"/>
  <c r="CE401" i="25"/>
  <c r="CH401" i="25" s="1"/>
  <c r="CI401" i="25" s="1"/>
  <c r="CB441" i="25"/>
  <c r="CF441" i="25" s="1"/>
  <c r="CG441" i="25" s="1"/>
  <c r="CJ441" i="25" s="1"/>
  <c r="CE441" i="25"/>
  <c r="CH441" i="25" s="1"/>
  <c r="CI441" i="25" s="1"/>
  <c r="CB478" i="25"/>
  <c r="CF478" i="25" s="1"/>
  <c r="CG478" i="25" s="1"/>
  <c r="CJ478" i="25" s="1"/>
  <c r="CE478" i="25"/>
  <c r="CH478" i="25" s="1"/>
  <c r="CI478" i="25" s="1"/>
  <c r="CB444" i="25"/>
  <c r="CF444" i="25" s="1"/>
  <c r="CG444" i="25" s="1"/>
  <c r="CJ444" i="25" s="1"/>
  <c r="CE444" i="25"/>
  <c r="CH444" i="25" s="1"/>
  <c r="CI444" i="25" s="1"/>
  <c r="CB428" i="25"/>
  <c r="CF428" i="25" s="1"/>
  <c r="CG428" i="25" s="1"/>
  <c r="CJ428" i="25" s="1"/>
  <c r="CE428" i="25"/>
  <c r="CH428" i="25" s="1"/>
  <c r="CI428" i="25" s="1"/>
  <c r="CE412" i="25"/>
  <c r="CH412" i="25" s="1"/>
  <c r="CI412" i="25" s="1"/>
  <c r="CB412" i="25"/>
  <c r="CF412" i="25" s="1"/>
  <c r="CG412" i="25" s="1"/>
  <c r="CJ412" i="25" s="1"/>
  <c r="CB436" i="25"/>
  <c r="CF436" i="25" s="1"/>
  <c r="CG436" i="25" s="1"/>
  <c r="CJ436" i="25" s="1"/>
  <c r="CE436" i="25"/>
  <c r="CH436" i="25" s="1"/>
  <c r="CI436" i="25" s="1"/>
  <c r="CB452" i="25"/>
  <c r="CF452" i="25" s="1"/>
  <c r="CG452" i="25" s="1"/>
  <c r="CJ452" i="25" s="1"/>
  <c r="CE452" i="25"/>
  <c r="CH452" i="25" s="1"/>
  <c r="CI452" i="25" s="1"/>
  <c r="CB442" i="25" l="1"/>
  <c r="CF442" i="25" s="1"/>
  <c r="CG442" i="25" s="1"/>
  <c r="CJ442" i="25" s="1"/>
  <c r="CE457" i="25"/>
  <c r="CH457" i="25" s="1"/>
  <c r="CI457" i="25" s="1"/>
  <c r="CB407" i="25"/>
  <c r="CF407" i="25" s="1"/>
  <c r="CG407" i="25" s="1"/>
  <c r="CJ407" i="25" s="1"/>
  <c r="G333" i="25" l="1"/>
  <c r="BQ333" i="25"/>
  <c r="BR333" i="25"/>
  <c r="BT333" i="25"/>
  <c r="BU333" i="25"/>
  <c r="BV333" i="25"/>
  <c r="BW333" i="25"/>
  <c r="BX333" i="25"/>
  <c r="CC333" i="25"/>
  <c r="CD333" i="25" s="1"/>
  <c r="CK333" i="25"/>
  <c r="CL333" i="25"/>
  <c r="CT333" i="25"/>
  <c r="CU333" i="25"/>
  <c r="CV333" i="25"/>
  <c r="CW333" i="25"/>
  <c r="DC333" i="25"/>
  <c r="DD333" i="25"/>
  <c r="DE333" i="25"/>
  <c r="DG333" i="25"/>
  <c r="DJ333" i="25"/>
  <c r="DK333" i="25"/>
  <c r="DL333" i="25"/>
  <c r="CO333" i="25" s="1"/>
  <c r="DM333" i="25"/>
  <c r="DN333" i="25"/>
  <c r="DO333" i="25"/>
  <c r="DP333" i="25"/>
  <c r="DQ333" i="25"/>
  <c r="DR333" i="25"/>
  <c r="DH333" i="25" l="1"/>
  <c r="DF333" i="25"/>
  <c r="BS333" i="25"/>
  <c r="CX333" i="25"/>
  <c r="CY333" i="25" s="1"/>
  <c r="CZ333" i="25" s="1"/>
  <c r="DA333" i="25" s="1"/>
  <c r="BY333" i="25"/>
  <c r="BZ333" i="25"/>
  <c r="CA333" i="25" s="1"/>
  <c r="CN333" i="25"/>
  <c r="CM333" i="25"/>
  <c r="CS333" i="25" s="1"/>
  <c r="DB333" i="25"/>
  <c r="CQ333" i="25"/>
  <c r="CR333" i="25" s="1"/>
  <c r="CP333" i="25"/>
  <c r="CE333" i="25" l="1"/>
  <c r="CH333" i="25" s="1"/>
  <c r="CI333" i="25" s="1"/>
  <c r="CB333" i="25"/>
  <c r="CF333" i="25" s="1"/>
  <c r="CG333" i="25" s="1"/>
  <c r="CJ333" i="25" s="1"/>
  <c r="W105" i="89" l="1"/>
  <c r="R103" i="89"/>
  <c r="R102" i="89"/>
  <c r="R101" i="89"/>
  <c r="P91" i="89"/>
  <c r="N91" i="89"/>
  <c r="L91" i="89"/>
  <c r="H91" i="89"/>
  <c r="F91" i="89"/>
  <c r="D91" i="89"/>
  <c r="P90" i="89"/>
  <c r="N90" i="89"/>
  <c r="L90" i="89"/>
  <c r="H90" i="89"/>
  <c r="F90" i="89"/>
  <c r="D90" i="89"/>
  <c r="P89" i="89"/>
  <c r="N89" i="89"/>
  <c r="L89" i="89"/>
  <c r="H89" i="89"/>
  <c r="F89" i="89"/>
  <c r="D89" i="89"/>
  <c r="DQ204" i="25"/>
  <c r="DR544" i="25"/>
  <c r="DQ544" i="25"/>
  <c r="DP544" i="25"/>
  <c r="DO544" i="25"/>
  <c r="DN544" i="25"/>
  <c r="DM544" i="25"/>
  <c r="DL544" i="25"/>
  <c r="CQ544" i="25" s="1"/>
  <c r="CR544" i="25" s="1"/>
  <c r="DK544" i="25"/>
  <c r="DJ544" i="25"/>
  <c r="DG544" i="25"/>
  <c r="DE544" i="25"/>
  <c r="DF544" i="25" s="1"/>
  <c r="DD544" i="25"/>
  <c r="DC544" i="25"/>
  <c r="CW544" i="25"/>
  <c r="CV544" i="25"/>
  <c r="CU544" i="25"/>
  <c r="CT544" i="25"/>
  <c r="CL544" i="25"/>
  <c r="CK544" i="25"/>
  <c r="CC544" i="25"/>
  <c r="CD544" i="25" s="1"/>
  <c r="BX544" i="25"/>
  <c r="BW544" i="25"/>
  <c r="BV544" i="25"/>
  <c r="BU544" i="25"/>
  <c r="BT544" i="25"/>
  <c r="BR544" i="25"/>
  <c r="BQ544" i="25"/>
  <c r="G544" i="25"/>
  <c r="DR543" i="25"/>
  <c r="DQ543" i="25"/>
  <c r="DP543" i="25"/>
  <c r="DO543" i="25"/>
  <c r="DN543" i="25"/>
  <c r="DM543" i="25"/>
  <c r="DL543" i="25"/>
  <c r="CO543" i="25" s="1"/>
  <c r="DK543" i="25"/>
  <c r="DJ543" i="25"/>
  <c r="DG543" i="25"/>
  <c r="DE543" i="25"/>
  <c r="DD543" i="25"/>
  <c r="DC543" i="25"/>
  <c r="CW543" i="25"/>
  <c r="CV543" i="25"/>
  <c r="CU543" i="25"/>
  <c r="DB543" i="25" s="1"/>
  <c r="CT543" i="25"/>
  <c r="CL543" i="25"/>
  <c r="CK543" i="25"/>
  <c r="CC543" i="25"/>
  <c r="BX543" i="25"/>
  <c r="BW543" i="25"/>
  <c r="BV543" i="25"/>
  <c r="BU543" i="25"/>
  <c r="BT543" i="25"/>
  <c r="BR543" i="25"/>
  <c r="BQ543" i="25"/>
  <c r="G543" i="25"/>
  <c r="DR542" i="25"/>
  <c r="DQ542" i="25"/>
  <c r="DP542" i="25"/>
  <c r="DO542" i="25"/>
  <c r="DN542" i="25"/>
  <c r="DM542" i="25"/>
  <c r="DL542" i="25"/>
  <c r="CP542" i="25" s="1"/>
  <c r="DK542" i="25"/>
  <c r="DJ542" i="25"/>
  <c r="DG542" i="25"/>
  <c r="DE542" i="25"/>
  <c r="DF542" i="25" s="1"/>
  <c r="DD542" i="25"/>
  <c r="DC542" i="25"/>
  <c r="CW542" i="25"/>
  <c r="CV542" i="25"/>
  <c r="CU542" i="25"/>
  <c r="CT542" i="25"/>
  <c r="CL542" i="25"/>
  <c r="CK542" i="25"/>
  <c r="CC542" i="25"/>
  <c r="BX542" i="25"/>
  <c r="BW542" i="25"/>
  <c r="BV542" i="25"/>
  <c r="BU542" i="25"/>
  <c r="BT542" i="25"/>
  <c r="BR542" i="25"/>
  <c r="BQ542" i="25"/>
  <c r="G542" i="25"/>
  <c r="DR541" i="25"/>
  <c r="DQ541" i="25"/>
  <c r="DP541" i="25"/>
  <c r="DO541" i="25"/>
  <c r="DN541" i="25"/>
  <c r="DM541" i="25"/>
  <c r="DL541" i="25"/>
  <c r="CO541" i="25" s="1"/>
  <c r="DK541" i="25"/>
  <c r="DJ541" i="25"/>
  <c r="DG541" i="25"/>
  <c r="DE541" i="25"/>
  <c r="DD541" i="25"/>
  <c r="DC541" i="25"/>
  <c r="CW541" i="25"/>
  <c r="CV541" i="25"/>
  <c r="CU541" i="25"/>
  <c r="DB541" i="25" s="1"/>
  <c r="CT541" i="25"/>
  <c r="CL541" i="25"/>
  <c r="CK541" i="25"/>
  <c r="CC541" i="25"/>
  <c r="CD541" i="25" s="1"/>
  <c r="BX541" i="25"/>
  <c r="BW541" i="25"/>
  <c r="BV541" i="25"/>
  <c r="BU541" i="25"/>
  <c r="BT541" i="25"/>
  <c r="BR541" i="25"/>
  <c r="BQ541" i="25"/>
  <c r="G541" i="25"/>
  <c r="DR540" i="25"/>
  <c r="DQ540" i="25"/>
  <c r="DP540" i="25"/>
  <c r="DO540" i="25"/>
  <c r="DN540" i="25"/>
  <c r="DM540" i="25"/>
  <c r="DL540" i="25"/>
  <c r="CQ540" i="25" s="1"/>
  <c r="CR540" i="25" s="1"/>
  <c r="DK540" i="25"/>
  <c r="DJ540" i="25"/>
  <c r="DG540" i="25"/>
  <c r="DE540" i="25"/>
  <c r="DD540" i="25"/>
  <c r="DC540" i="25"/>
  <c r="CW540" i="25"/>
  <c r="CV540" i="25"/>
  <c r="CU540" i="25"/>
  <c r="DB540" i="25" s="1"/>
  <c r="CT540" i="25"/>
  <c r="CL540" i="25"/>
  <c r="CK540" i="25"/>
  <c r="CC540" i="25"/>
  <c r="CD540" i="25" s="1"/>
  <c r="BX540" i="25"/>
  <c r="BW540" i="25"/>
  <c r="BV540" i="25"/>
  <c r="BU540" i="25"/>
  <c r="BT540" i="25"/>
  <c r="BR540" i="25"/>
  <c r="BQ540" i="25"/>
  <c r="G540" i="25"/>
  <c r="DR539" i="25"/>
  <c r="DQ539" i="25"/>
  <c r="DP539" i="25"/>
  <c r="DO539" i="25"/>
  <c r="DN539" i="25"/>
  <c r="DM539" i="25"/>
  <c r="DL539" i="25"/>
  <c r="CO539" i="25" s="1"/>
  <c r="DK539" i="25"/>
  <c r="DJ539" i="25"/>
  <c r="DG539" i="25"/>
  <c r="DE539" i="25"/>
  <c r="DD539" i="25"/>
  <c r="DC539" i="25"/>
  <c r="CW539" i="25"/>
  <c r="CV539" i="25"/>
  <c r="CU539" i="25"/>
  <c r="DB539" i="25" s="1"/>
  <c r="CT539" i="25"/>
  <c r="CL539" i="25"/>
  <c r="CK539" i="25"/>
  <c r="CC539" i="25"/>
  <c r="BX539" i="25"/>
  <c r="BW539" i="25"/>
  <c r="BV539" i="25"/>
  <c r="BU539" i="25"/>
  <c r="BT539" i="25"/>
  <c r="BR539" i="25"/>
  <c r="BQ539" i="25"/>
  <c r="G539" i="25"/>
  <c r="DR538" i="25"/>
  <c r="DQ538" i="25"/>
  <c r="DP538" i="25"/>
  <c r="DO538" i="25"/>
  <c r="DN538" i="25"/>
  <c r="DM538" i="25"/>
  <c r="DL538" i="25"/>
  <c r="CQ538" i="25" s="1"/>
  <c r="CR538" i="25" s="1"/>
  <c r="DK538" i="25"/>
  <c r="DJ538" i="25"/>
  <c r="DG538" i="25"/>
  <c r="DE538" i="25"/>
  <c r="DD538" i="25"/>
  <c r="DC538" i="25"/>
  <c r="CW538" i="25"/>
  <c r="CV538" i="25"/>
  <c r="CU538" i="25"/>
  <c r="DB538" i="25" s="1"/>
  <c r="CT538" i="25"/>
  <c r="CL538" i="25"/>
  <c r="CK538" i="25"/>
  <c r="CC538" i="25"/>
  <c r="CD538" i="25" s="1"/>
  <c r="BX538" i="25"/>
  <c r="BW538" i="25"/>
  <c r="BV538" i="25"/>
  <c r="BU538" i="25"/>
  <c r="BT538" i="25"/>
  <c r="BR538" i="25"/>
  <c r="BQ538" i="25"/>
  <c r="G538" i="25"/>
  <c r="DR537" i="25"/>
  <c r="DQ537" i="25"/>
  <c r="DP537" i="25"/>
  <c r="DO537" i="25"/>
  <c r="DN537" i="25"/>
  <c r="DM537" i="25"/>
  <c r="DL537" i="25"/>
  <c r="CO537" i="25" s="1"/>
  <c r="DK537" i="25"/>
  <c r="DJ537" i="25"/>
  <c r="DG537" i="25"/>
  <c r="DE537" i="25"/>
  <c r="DF537" i="25" s="1"/>
  <c r="DD537" i="25"/>
  <c r="DC537" i="25"/>
  <c r="CW537" i="25"/>
  <c r="CV537" i="25"/>
  <c r="CU537" i="25"/>
  <c r="DB537" i="25" s="1"/>
  <c r="CT537" i="25"/>
  <c r="CL537" i="25"/>
  <c r="CK537" i="25"/>
  <c r="CC537" i="25"/>
  <c r="CD537" i="25" s="1"/>
  <c r="BX537" i="25"/>
  <c r="BW537" i="25"/>
  <c r="BV537" i="25"/>
  <c r="BU537" i="25"/>
  <c r="BT537" i="25"/>
  <c r="BR537" i="25"/>
  <c r="BQ537" i="25"/>
  <c r="G537" i="25"/>
  <c r="DR536" i="25"/>
  <c r="DQ536" i="25"/>
  <c r="DP536" i="25"/>
  <c r="DO536" i="25"/>
  <c r="DN536" i="25"/>
  <c r="DM536" i="25"/>
  <c r="DL536" i="25"/>
  <c r="CQ536" i="25" s="1"/>
  <c r="CR536" i="25" s="1"/>
  <c r="DK536" i="25"/>
  <c r="DJ536" i="25"/>
  <c r="DG536" i="25"/>
  <c r="DE536" i="25"/>
  <c r="DD536" i="25"/>
  <c r="DC536" i="25"/>
  <c r="CW536" i="25"/>
  <c r="CV536" i="25"/>
  <c r="CU536" i="25"/>
  <c r="DB536" i="25" s="1"/>
  <c r="CT536" i="25"/>
  <c r="CL536" i="25"/>
  <c r="CK536" i="25"/>
  <c r="CC536" i="25"/>
  <c r="CD536" i="25" s="1"/>
  <c r="BX536" i="25"/>
  <c r="BW536" i="25"/>
  <c r="BV536" i="25"/>
  <c r="BU536" i="25"/>
  <c r="BT536" i="25"/>
  <c r="BR536" i="25"/>
  <c r="BQ536" i="25"/>
  <c r="DR535" i="25"/>
  <c r="DQ535" i="25"/>
  <c r="DP535" i="25"/>
  <c r="DO535" i="25"/>
  <c r="DN535" i="25"/>
  <c r="DM535" i="25"/>
  <c r="DL535" i="25"/>
  <c r="CP535" i="25" s="1"/>
  <c r="DK535" i="25"/>
  <c r="DJ535" i="25"/>
  <c r="DG535" i="25"/>
  <c r="DE535" i="25"/>
  <c r="DF535" i="25" s="1"/>
  <c r="DD535" i="25"/>
  <c r="DC535" i="25"/>
  <c r="CW535" i="25"/>
  <c r="CV535" i="25"/>
  <c r="CU535" i="25"/>
  <c r="DB535" i="25" s="1"/>
  <c r="CT535" i="25"/>
  <c r="CL535" i="25"/>
  <c r="CK535" i="25"/>
  <c r="CC535" i="25"/>
  <c r="CD535" i="25" s="1"/>
  <c r="BX535" i="25"/>
  <c r="BW535" i="25"/>
  <c r="BV535" i="25"/>
  <c r="BU535" i="25"/>
  <c r="BT535" i="25"/>
  <c r="BR535" i="25"/>
  <c r="BQ535" i="25"/>
  <c r="G535" i="25"/>
  <c r="DR534" i="25"/>
  <c r="DQ534" i="25"/>
  <c r="DP534" i="25"/>
  <c r="DO534" i="25"/>
  <c r="DN534" i="25"/>
  <c r="DM534" i="25"/>
  <c r="DL534" i="25"/>
  <c r="CO534" i="25" s="1"/>
  <c r="DK534" i="25"/>
  <c r="DJ534" i="25"/>
  <c r="DG534" i="25"/>
  <c r="DE534" i="25"/>
  <c r="DD534" i="25"/>
  <c r="DC534" i="25"/>
  <c r="CW534" i="25"/>
  <c r="CV534" i="25"/>
  <c r="CU534" i="25"/>
  <c r="DB534" i="25" s="1"/>
  <c r="CT534" i="25"/>
  <c r="CL534" i="25"/>
  <c r="CK534" i="25"/>
  <c r="CC534" i="25"/>
  <c r="BX534" i="25"/>
  <c r="BW534" i="25"/>
  <c r="BV534" i="25"/>
  <c r="BU534" i="25"/>
  <c r="BT534" i="25"/>
  <c r="BR534" i="25"/>
  <c r="BQ534" i="25"/>
  <c r="G534" i="25"/>
  <c r="DR533" i="25"/>
  <c r="DQ533" i="25"/>
  <c r="DP533" i="25"/>
  <c r="DO533" i="25"/>
  <c r="DN533" i="25"/>
  <c r="DM533" i="25"/>
  <c r="DL533" i="25"/>
  <c r="CP533" i="25" s="1"/>
  <c r="DK533" i="25"/>
  <c r="DJ533" i="25"/>
  <c r="DG533" i="25"/>
  <c r="DE533" i="25"/>
  <c r="DD533" i="25"/>
  <c r="DC533" i="25"/>
  <c r="CW533" i="25"/>
  <c r="CV533" i="25"/>
  <c r="CU533" i="25"/>
  <c r="DB533" i="25" s="1"/>
  <c r="CT533" i="25"/>
  <c r="CL533" i="25"/>
  <c r="CK533" i="25"/>
  <c r="CC533" i="25"/>
  <c r="CD533" i="25" s="1"/>
  <c r="BX533" i="25"/>
  <c r="BW533" i="25"/>
  <c r="BV533" i="25"/>
  <c r="BU533" i="25"/>
  <c r="BT533" i="25"/>
  <c r="BR533" i="25"/>
  <c r="BQ533" i="25"/>
  <c r="G533" i="25"/>
  <c r="DR532" i="25"/>
  <c r="DQ532" i="25"/>
  <c r="DP532" i="25"/>
  <c r="DO532" i="25"/>
  <c r="DN532" i="25"/>
  <c r="DM532" i="25"/>
  <c r="DL532" i="25"/>
  <c r="CP532" i="25" s="1"/>
  <c r="DK532" i="25"/>
  <c r="DJ532" i="25"/>
  <c r="DG532" i="25"/>
  <c r="DE532" i="25"/>
  <c r="DD532" i="25"/>
  <c r="DC532" i="25"/>
  <c r="CW532" i="25"/>
  <c r="CV532" i="25"/>
  <c r="CU532" i="25"/>
  <c r="DB532" i="25" s="1"/>
  <c r="CT532" i="25"/>
  <c r="CL532" i="25"/>
  <c r="CK532" i="25"/>
  <c r="CC532" i="25"/>
  <c r="BX532" i="25"/>
  <c r="BW532" i="25"/>
  <c r="BV532" i="25"/>
  <c r="BU532" i="25"/>
  <c r="BT532" i="25"/>
  <c r="BR532" i="25"/>
  <c r="BQ532" i="25"/>
  <c r="G532" i="25"/>
  <c r="DR531" i="25"/>
  <c r="DQ531" i="25"/>
  <c r="DP531" i="25"/>
  <c r="DO531" i="25"/>
  <c r="DN531" i="25"/>
  <c r="DM531" i="25"/>
  <c r="DL531" i="25"/>
  <c r="CP531" i="25" s="1"/>
  <c r="DK531" i="25"/>
  <c r="DJ531" i="25"/>
  <c r="DG531" i="25"/>
  <c r="DE531" i="25"/>
  <c r="DF531" i="25" s="1"/>
  <c r="DD531" i="25"/>
  <c r="DC531" i="25"/>
  <c r="CW531" i="25"/>
  <c r="CV531" i="25"/>
  <c r="CU531" i="25"/>
  <c r="DB531" i="25" s="1"/>
  <c r="CT531" i="25"/>
  <c r="CL531" i="25"/>
  <c r="CK531" i="25"/>
  <c r="CC531" i="25"/>
  <c r="CD531" i="25" s="1"/>
  <c r="BX531" i="25"/>
  <c r="BW531" i="25"/>
  <c r="BV531" i="25"/>
  <c r="BU531" i="25"/>
  <c r="BT531" i="25"/>
  <c r="BR531" i="25"/>
  <c r="BQ531" i="25"/>
  <c r="DR530" i="25"/>
  <c r="DQ530" i="25"/>
  <c r="DP530" i="25"/>
  <c r="DO530" i="25"/>
  <c r="DN530" i="25"/>
  <c r="DM530" i="25"/>
  <c r="DL530" i="25"/>
  <c r="CQ530" i="25" s="1"/>
  <c r="CR530" i="25" s="1"/>
  <c r="DK530" i="25"/>
  <c r="DJ530" i="25"/>
  <c r="DG530" i="25"/>
  <c r="DE530" i="25"/>
  <c r="DF530" i="25" s="1"/>
  <c r="DD530" i="25"/>
  <c r="DC530" i="25"/>
  <c r="CW530" i="25"/>
  <c r="CV530" i="25"/>
  <c r="CU530" i="25"/>
  <c r="CT530" i="25"/>
  <c r="CL530" i="25"/>
  <c r="CK530" i="25"/>
  <c r="CC530" i="25"/>
  <c r="CD530" i="25" s="1"/>
  <c r="BX530" i="25"/>
  <c r="BW530" i="25"/>
  <c r="BV530" i="25"/>
  <c r="BU530" i="25"/>
  <c r="BT530" i="25"/>
  <c r="BR530" i="25"/>
  <c r="BQ530" i="25"/>
  <c r="DR529" i="25"/>
  <c r="DQ529" i="25"/>
  <c r="DP529" i="25"/>
  <c r="DO529" i="25"/>
  <c r="DN529" i="25"/>
  <c r="DM529" i="25"/>
  <c r="DL529" i="25"/>
  <c r="CP529" i="25" s="1"/>
  <c r="DK529" i="25"/>
  <c r="DJ529" i="25"/>
  <c r="DG529" i="25"/>
  <c r="DE529" i="25"/>
  <c r="DD529" i="25"/>
  <c r="DC529" i="25"/>
  <c r="CW529" i="25"/>
  <c r="CV529" i="25"/>
  <c r="CU529" i="25"/>
  <c r="DB529" i="25" s="1"/>
  <c r="CT529" i="25"/>
  <c r="CL529" i="25"/>
  <c r="CK529" i="25"/>
  <c r="CC529" i="25"/>
  <c r="BX529" i="25"/>
  <c r="BW529" i="25"/>
  <c r="BV529" i="25"/>
  <c r="BU529" i="25"/>
  <c r="BT529" i="25"/>
  <c r="BR529" i="25"/>
  <c r="BQ529" i="25"/>
  <c r="DR528" i="25"/>
  <c r="DQ528" i="25"/>
  <c r="DP528" i="25"/>
  <c r="DO528" i="25"/>
  <c r="DN528" i="25"/>
  <c r="DM528" i="25"/>
  <c r="DL528" i="25"/>
  <c r="CQ528" i="25" s="1"/>
  <c r="CR528" i="25" s="1"/>
  <c r="DK528" i="25"/>
  <c r="DJ528" i="25"/>
  <c r="DG528" i="25"/>
  <c r="DE528" i="25"/>
  <c r="DD528" i="25"/>
  <c r="DC528" i="25"/>
  <c r="CW528" i="25"/>
  <c r="CV528" i="25"/>
  <c r="CU528" i="25"/>
  <c r="DB528" i="25" s="1"/>
  <c r="CT528" i="25"/>
  <c r="CL528" i="25"/>
  <c r="CK528" i="25"/>
  <c r="CC528" i="25"/>
  <c r="CD528" i="25" s="1"/>
  <c r="BX528" i="25"/>
  <c r="BW528" i="25"/>
  <c r="BV528" i="25"/>
  <c r="BU528" i="25"/>
  <c r="BT528" i="25"/>
  <c r="BR528" i="25"/>
  <c r="BQ528" i="25"/>
  <c r="DR527" i="25"/>
  <c r="DQ527" i="25"/>
  <c r="DP527" i="25"/>
  <c r="DO527" i="25"/>
  <c r="DN527" i="25"/>
  <c r="DM527" i="25"/>
  <c r="DL527" i="25"/>
  <c r="CP527" i="25" s="1"/>
  <c r="DK527" i="25"/>
  <c r="DJ527" i="25"/>
  <c r="DG527" i="25"/>
  <c r="DE527" i="25"/>
  <c r="DD527" i="25"/>
  <c r="DC527" i="25"/>
  <c r="CW527" i="25"/>
  <c r="CV527" i="25"/>
  <c r="CU527" i="25"/>
  <c r="DB527" i="25" s="1"/>
  <c r="CT527" i="25"/>
  <c r="CL527" i="25"/>
  <c r="CK527" i="25"/>
  <c r="CC527" i="25"/>
  <c r="CD527" i="25" s="1"/>
  <c r="BX527" i="25"/>
  <c r="BW527" i="25"/>
  <c r="BV527" i="25"/>
  <c r="BU527" i="25"/>
  <c r="BT527" i="25"/>
  <c r="BR527" i="25"/>
  <c r="BQ527" i="25"/>
  <c r="DR526" i="25"/>
  <c r="DQ526" i="25"/>
  <c r="DP526" i="25"/>
  <c r="DO526" i="25"/>
  <c r="DN526" i="25"/>
  <c r="DM526" i="25"/>
  <c r="DL526" i="25"/>
  <c r="CQ526" i="25" s="1"/>
  <c r="CR526" i="25" s="1"/>
  <c r="DK526" i="25"/>
  <c r="DJ526" i="25"/>
  <c r="DG526" i="25"/>
  <c r="DE526" i="25"/>
  <c r="DD526" i="25"/>
  <c r="DC526" i="25"/>
  <c r="CW526" i="25"/>
  <c r="CV526" i="25"/>
  <c r="CU526" i="25"/>
  <c r="CT526" i="25"/>
  <c r="CL526" i="25"/>
  <c r="CK526" i="25"/>
  <c r="CC526" i="25"/>
  <c r="BX526" i="25"/>
  <c r="BW526" i="25"/>
  <c r="BV526" i="25"/>
  <c r="BU526" i="25"/>
  <c r="BT526" i="25"/>
  <c r="BR526" i="25"/>
  <c r="BQ526" i="25"/>
  <c r="G526" i="25"/>
  <c r="DR525" i="25"/>
  <c r="DQ525" i="25"/>
  <c r="DP525" i="25"/>
  <c r="DO525" i="25"/>
  <c r="DN525" i="25"/>
  <c r="DM525" i="25"/>
  <c r="DL525" i="25"/>
  <c r="CQ525" i="25" s="1"/>
  <c r="CR525" i="25" s="1"/>
  <c r="DK525" i="25"/>
  <c r="DJ525" i="25"/>
  <c r="DG525" i="25"/>
  <c r="DE525" i="25"/>
  <c r="DD525" i="25"/>
  <c r="DC525" i="25"/>
  <c r="CW525" i="25"/>
  <c r="CV525" i="25"/>
  <c r="CU525" i="25"/>
  <c r="DB525" i="25" s="1"/>
  <c r="CT525" i="25"/>
  <c r="CL525" i="25"/>
  <c r="CK525" i="25"/>
  <c r="CC525" i="25"/>
  <c r="CD525" i="25" s="1"/>
  <c r="BX525" i="25"/>
  <c r="BW525" i="25"/>
  <c r="BV525" i="25"/>
  <c r="BU525" i="25"/>
  <c r="BT525" i="25"/>
  <c r="BR525" i="25"/>
  <c r="BQ525" i="25"/>
  <c r="DR524" i="25"/>
  <c r="DQ524" i="25"/>
  <c r="DP524" i="25"/>
  <c r="DO524" i="25"/>
  <c r="DN524" i="25"/>
  <c r="DM524" i="25"/>
  <c r="DL524" i="25"/>
  <c r="CP524" i="25" s="1"/>
  <c r="DK524" i="25"/>
  <c r="DJ524" i="25"/>
  <c r="DG524" i="25"/>
  <c r="DE524" i="25"/>
  <c r="DD524" i="25"/>
  <c r="DC524" i="25"/>
  <c r="CW524" i="25"/>
  <c r="CV524" i="25"/>
  <c r="CU524" i="25"/>
  <c r="DB524" i="25" s="1"/>
  <c r="CT524" i="25"/>
  <c r="CL524" i="25"/>
  <c r="CK524" i="25"/>
  <c r="CC524" i="25"/>
  <c r="CD524" i="25" s="1"/>
  <c r="BX524" i="25"/>
  <c r="BW524" i="25"/>
  <c r="BV524" i="25"/>
  <c r="BU524" i="25"/>
  <c r="BT524" i="25"/>
  <c r="BR524" i="25"/>
  <c r="BQ524" i="25"/>
  <c r="DR523" i="25"/>
  <c r="DQ523" i="25"/>
  <c r="DP523" i="25"/>
  <c r="DO523" i="25"/>
  <c r="DN523" i="25"/>
  <c r="DM523" i="25"/>
  <c r="DL523" i="25"/>
  <c r="CQ523" i="25" s="1"/>
  <c r="CR523" i="25" s="1"/>
  <c r="DK523" i="25"/>
  <c r="DJ523" i="25"/>
  <c r="DG523" i="25"/>
  <c r="DE523" i="25"/>
  <c r="DF523" i="25" s="1"/>
  <c r="DD523" i="25"/>
  <c r="DC523" i="25"/>
  <c r="CW523" i="25"/>
  <c r="CV523" i="25"/>
  <c r="CU523" i="25"/>
  <c r="CT523" i="25"/>
  <c r="CL523" i="25"/>
  <c r="CK523" i="25"/>
  <c r="CC523" i="25"/>
  <c r="CD523" i="25" s="1"/>
  <c r="BX523" i="25"/>
  <c r="BW523" i="25"/>
  <c r="BV523" i="25"/>
  <c r="BU523" i="25"/>
  <c r="BT523" i="25"/>
  <c r="BR523" i="25"/>
  <c r="BQ523" i="25"/>
  <c r="G523" i="25"/>
  <c r="DR522" i="25"/>
  <c r="DQ522" i="25"/>
  <c r="DP522" i="25"/>
  <c r="DO522" i="25"/>
  <c r="DN522" i="25"/>
  <c r="DM522" i="25"/>
  <c r="DL522" i="25"/>
  <c r="CQ522" i="25" s="1"/>
  <c r="CR522" i="25" s="1"/>
  <c r="DK522" i="25"/>
  <c r="DJ522" i="25"/>
  <c r="DG522" i="25"/>
  <c r="DE522" i="25"/>
  <c r="DD522" i="25"/>
  <c r="DC522" i="25"/>
  <c r="CW522" i="25"/>
  <c r="CV522" i="25"/>
  <c r="CU522" i="25"/>
  <c r="DB522" i="25" s="1"/>
  <c r="CT522" i="25"/>
  <c r="CL522" i="25"/>
  <c r="CK522" i="25"/>
  <c r="CC522" i="25"/>
  <c r="CD522" i="25" s="1"/>
  <c r="BX522" i="25"/>
  <c r="BW522" i="25"/>
  <c r="BV522" i="25"/>
  <c r="BU522" i="25"/>
  <c r="BT522" i="25"/>
  <c r="BR522" i="25"/>
  <c r="BQ522" i="25"/>
  <c r="G522" i="25"/>
  <c r="DR521" i="25"/>
  <c r="DQ521" i="25"/>
  <c r="DP521" i="25"/>
  <c r="DO521" i="25"/>
  <c r="DN521" i="25"/>
  <c r="DM521" i="25"/>
  <c r="DL521" i="25"/>
  <c r="CP521" i="25" s="1"/>
  <c r="DK521" i="25"/>
  <c r="DJ521" i="25"/>
  <c r="DG521" i="25"/>
  <c r="DE521" i="25"/>
  <c r="DF521" i="25" s="1"/>
  <c r="DD521" i="25"/>
  <c r="DC521" i="25"/>
  <c r="CW521" i="25"/>
  <c r="CV521" i="25"/>
  <c r="CU521" i="25"/>
  <c r="DB521" i="25" s="1"/>
  <c r="CT521" i="25"/>
  <c r="CL521" i="25"/>
  <c r="CK521" i="25"/>
  <c r="CC521" i="25"/>
  <c r="CD521" i="25" s="1"/>
  <c r="BX521" i="25"/>
  <c r="BW521" i="25"/>
  <c r="BV521" i="25"/>
  <c r="BU521" i="25"/>
  <c r="BT521" i="25"/>
  <c r="BR521" i="25"/>
  <c r="BQ521" i="25"/>
  <c r="G521" i="25"/>
  <c r="DR520" i="25"/>
  <c r="DQ520" i="25"/>
  <c r="DP520" i="25"/>
  <c r="DO520" i="25"/>
  <c r="DN520" i="25"/>
  <c r="DM520" i="25"/>
  <c r="DL520" i="25"/>
  <c r="DK520" i="25"/>
  <c r="DJ520" i="25"/>
  <c r="DG520" i="25"/>
  <c r="DE520" i="25"/>
  <c r="DD520" i="25"/>
  <c r="DC520" i="25"/>
  <c r="CW520" i="25"/>
  <c r="CV520" i="25"/>
  <c r="CU520" i="25"/>
  <c r="DB520" i="25" s="1"/>
  <c r="CT520" i="25"/>
  <c r="CL520" i="25"/>
  <c r="CK520" i="25"/>
  <c r="CC520" i="25"/>
  <c r="BX520" i="25"/>
  <c r="BW520" i="25"/>
  <c r="BV520" i="25"/>
  <c r="BU520" i="25"/>
  <c r="BT520" i="25"/>
  <c r="BR520" i="25"/>
  <c r="BQ520" i="25"/>
  <c r="DR519" i="25"/>
  <c r="DQ519" i="25"/>
  <c r="DP519" i="25"/>
  <c r="DO519" i="25"/>
  <c r="DN519" i="25"/>
  <c r="DM519" i="25"/>
  <c r="DL519" i="25"/>
  <c r="CP519" i="25" s="1"/>
  <c r="DK519" i="25"/>
  <c r="DJ519" i="25"/>
  <c r="DG519" i="25"/>
  <c r="DE519" i="25"/>
  <c r="DD519" i="25"/>
  <c r="DC519" i="25"/>
  <c r="CW519" i="25"/>
  <c r="CV519" i="25"/>
  <c r="CU519" i="25"/>
  <c r="DB519" i="25" s="1"/>
  <c r="CT519" i="25"/>
  <c r="CL519" i="25"/>
  <c r="CK519" i="25"/>
  <c r="CC519" i="25"/>
  <c r="CD519" i="25" s="1"/>
  <c r="BX519" i="25"/>
  <c r="BW519" i="25"/>
  <c r="BV519" i="25"/>
  <c r="BU519" i="25"/>
  <c r="BT519" i="25"/>
  <c r="BR519" i="25"/>
  <c r="BQ519" i="25"/>
  <c r="G519" i="25"/>
  <c r="DR518" i="25"/>
  <c r="DQ518" i="25"/>
  <c r="DP518" i="25"/>
  <c r="DO518" i="25"/>
  <c r="DN518" i="25"/>
  <c r="DM518" i="25"/>
  <c r="DL518" i="25"/>
  <c r="DK518" i="25"/>
  <c r="DJ518" i="25"/>
  <c r="DG518" i="25"/>
  <c r="DE518" i="25"/>
  <c r="DD518" i="25"/>
  <c r="DC518" i="25"/>
  <c r="CW518" i="25"/>
  <c r="CV518" i="25"/>
  <c r="CU518" i="25"/>
  <c r="CT518" i="25"/>
  <c r="CL518" i="25"/>
  <c r="CK518" i="25"/>
  <c r="CC518" i="25"/>
  <c r="CD518" i="25" s="1"/>
  <c r="BX518" i="25"/>
  <c r="BW518" i="25"/>
  <c r="BV518" i="25"/>
  <c r="BU518" i="25"/>
  <c r="BT518" i="25"/>
  <c r="BR518" i="25"/>
  <c r="BQ518" i="25"/>
  <c r="DR517" i="25"/>
  <c r="DQ517" i="25"/>
  <c r="DP517" i="25"/>
  <c r="DO517" i="25"/>
  <c r="DN517" i="25"/>
  <c r="DM517" i="25"/>
  <c r="DL517" i="25"/>
  <c r="CP517" i="25" s="1"/>
  <c r="DK517" i="25"/>
  <c r="DJ517" i="25"/>
  <c r="DG517" i="25"/>
  <c r="DE517" i="25"/>
  <c r="DD517" i="25"/>
  <c r="DC517" i="25"/>
  <c r="CW517" i="25"/>
  <c r="CV517" i="25"/>
  <c r="CU517" i="25"/>
  <c r="DB517" i="25" s="1"/>
  <c r="CT517" i="25"/>
  <c r="CL517" i="25"/>
  <c r="CK517" i="25"/>
  <c r="CC517" i="25"/>
  <c r="BX517" i="25"/>
  <c r="BW517" i="25"/>
  <c r="BV517" i="25"/>
  <c r="BU517" i="25"/>
  <c r="BT517" i="25"/>
  <c r="BR517" i="25"/>
  <c r="BQ517" i="25"/>
  <c r="DR516" i="25"/>
  <c r="DQ516" i="25"/>
  <c r="DP516" i="25"/>
  <c r="DO516" i="25"/>
  <c r="DN516" i="25"/>
  <c r="DM516" i="25"/>
  <c r="DL516" i="25"/>
  <c r="CO516" i="25" s="1"/>
  <c r="DK516" i="25"/>
  <c r="DJ516" i="25"/>
  <c r="DG516" i="25"/>
  <c r="DE516" i="25"/>
  <c r="DD516" i="25"/>
  <c r="DC516" i="25"/>
  <c r="CW516" i="25"/>
  <c r="CV516" i="25"/>
  <c r="CU516" i="25"/>
  <c r="DB516" i="25" s="1"/>
  <c r="CT516" i="25"/>
  <c r="CL516" i="25"/>
  <c r="CK516" i="25"/>
  <c r="CC516" i="25"/>
  <c r="BX516" i="25"/>
  <c r="BW516" i="25"/>
  <c r="BV516" i="25"/>
  <c r="BU516" i="25"/>
  <c r="BT516" i="25"/>
  <c r="BR516" i="25"/>
  <c r="BQ516" i="25"/>
  <c r="G516" i="25"/>
  <c r="DR515" i="25"/>
  <c r="DQ515" i="25"/>
  <c r="DP515" i="25"/>
  <c r="DO515" i="25"/>
  <c r="DN515" i="25"/>
  <c r="DM515" i="25"/>
  <c r="DL515" i="25"/>
  <c r="CQ515" i="25" s="1"/>
  <c r="CR515" i="25" s="1"/>
  <c r="DK515" i="25"/>
  <c r="DJ515" i="25"/>
  <c r="DG515" i="25"/>
  <c r="DE515" i="25"/>
  <c r="DD515" i="25"/>
  <c r="DC515" i="25"/>
  <c r="CW515" i="25"/>
  <c r="CV515" i="25"/>
  <c r="CU515" i="25"/>
  <c r="DB515" i="25" s="1"/>
  <c r="CT515" i="25"/>
  <c r="CL515" i="25"/>
  <c r="CK515" i="25"/>
  <c r="CC515" i="25"/>
  <c r="CD515" i="25" s="1"/>
  <c r="BX515" i="25"/>
  <c r="BW515" i="25"/>
  <c r="BV515" i="25"/>
  <c r="BU515" i="25"/>
  <c r="BT515" i="25"/>
  <c r="BR515" i="25"/>
  <c r="BQ515" i="25"/>
  <c r="G515" i="25"/>
  <c r="DR514" i="25"/>
  <c r="DQ514" i="25"/>
  <c r="DP514" i="25"/>
  <c r="DO514" i="25"/>
  <c r="DN514" i="25"/>
  <c r="DM514" i="25"/>
  <c r="DL514" i="25"/>
  <c r="CQ514" i="25" s="1"/>
  <c r="CR514" i="25" s="1"/>
  <c r="DK514" i="25"/>
  <c r="DJ514" i="25"/>
  <c r="DG514" i="25"/>
  <c r="DE514" i="25"/>
  <c r="DD514" i="25"/>
  <c r="DC514" i="25"/>
  <c r="CW514" i="25"/>
  <c r="CV514" i="25"/>
  <c r="CU514" i="25"/>
  <c r="CT514" i="25"/>
  <c r="CL514" i="25"/>
  <c r="CK514" i="25"/>
  <c r="CC514" i="25"/>
  <c r="CD514" i="25" s="1"/>
  <c r="BX514" i="25"/>
  <c r="BW514" i="25"/>
  <c r="BV514" i="25"/>
  <c r="BU514" i="25"/>
  <c r="BT514" i="25"/>
  <c r="BR514" i="25"/>
  <c r="BQ514" i="25"/>
  <c r="DR513" i="25"/>
  <c r="DQ513" i="25"/>
  <c r="DP513" i="25"/>
  <c r="DO513" i="25"/>
  <c r="DN513" i="25"/>
  <c r="DM513" i="25"/>
  <c r="DL513" i="25"/>
  <c r="DK513" i="25"/>
  <c r="DJ513" i="25"/>
  <c r="DG513" i="25"/>
  <c r="DE513" i="25"/>
  <c r="DF513" i="25" s="1"/>
  <c r="DD513" i="25"/>
  <c r="DC513" i="25"/>
  <c r="CW513" i="25"/>
  <c r="CV513" i="25"/>
  <c r="CU513" i="25"/>
  <c r="DB513" i="25" s="1"/>
  <c r="CT513" i="25"/>
  <c r="CL513" i="25"/>
  <c r="CK513" i="25"/>
  <c r="CC513" i="25"/>
  <c r="CD513" i="25" s="1"/>
  <c r="BX513" i="25"/>
  <c r="BW513" i="25"/>
  <c r="BV513" i="25"/>
  <c r="BU513" i="25"/>
  <c r="BT513" i="25"/>
  <c r="BR513" i="25"/>
  <c r="BQ513" i="25"/>
  <c r="DR512" i="25"/>
  <c r="DQ512" i="25"/>
  <c r="DP512" i="25"/>
  <c r="DO512" i="25"/>
  <c r="DN512" i="25"/>
  <c r="DM512" i="25"/>
  <c r="DL512" i="25"/>
  <c r="CO512" i="25" s="1"/>
  <c r="DK512" i="25"/>
  <c r="DJ512" i="25"/>
  <c r="DG512" i="25"/>
  <c r="DE512" i="25"/>
  <c r="DD512" i="25"/>
  <c r="DC512" i="25"/>
  <c r="CW512" i="25"/>
  <c r="CV512" i="25"/>
  <c r="CU512" i="25"/>
  <c r="DB512" i="25" s="1"/>
  <c r="CT512" i="25"/>
  <c r="CL512" i="25"/>
  <c r="CK512" i="25"/>
  <c r="CC512" i="25"/>
  <c r="CD512" i="25" s="1"/>
  <c r="BX512" i="25"/>
  <c r="BW512" i="25"/>
  <c r="BV512" i="25"/>
  <c r="BU512" i="25"/>
  <c r="BT512" i="25"/>
  <c r="BR512" i="25"/>
  <c r="BQ512" i="25"/>
  <c r="G512" i="25"/>
  <c r="DR511" i="25"/>
  <c r="DQ511" i="25"/>
  <c r="DP511" i="25"/>
  <c r="DO511" i="25"/>
  <c r="DN511" i="25"/>
  <c r="DM511" i="25"/>
  <c r="DL511" i="25"/>
  <c r="CP511" i="25" s="1"/>
  <c r="DK511" i="25"/>
  <c r="DJ511" i="25"/>
  <c r="DG511" i="25"/>
  <c r="DE511" i="25"/>
  <c r="DD511" i="25"/>
  <c r="DC511" i="25"/>
  <c r="CW511" i="25"/>
  <c r="CV511" i="25"/>
  <c r="CU511" i="25"/>
  <c r="DB511" i="25" s="1"/>
  <c r="CT511" i="25"/>
  <c r="CL511" i="25"/>
  <c r="CK511" i="25"/>
  <c r="CC511" i="25"/>
  <c r="CD511" i="25" s="1"/>
  <c r="BX511" i="25"/>
  <c r="BW511" i="25"/>
  <c r="BV511" i="25"/>
  <c r="BU511" i="25"/>
  <c r="BT511" i="25"/>
  <c r="BR511" i="25"/>
  <c r="BQ511" i="25"/>
  <c r="G511" i="25"/>
  <c r="DR510" i="25"/>
  <c r="DQ510" i="25"/>
  <c r="DP510" i="25"/>
  <c r="DO510" i="25"/>
  <c r="DN510" i="25"/>
  <c r="DM510" i="25"/>
  <c r="DL510" i="25"/>
  <c r="CQ510" i="25" s="1"/>
  <c r="CR510" i="25" s="1"/>
  <c r="DK510" i="25"/>
  <c r="DJ510" i="25"/>
  <c r="DG510" i="25"/>
  <c r="DE510" i="25"/>
  <c r="DF510" i="25" s="1"/>
  <c r="DD510" i="25"/>
  <c r="DC510" i="25"/>
  <c r="CW510" i="25"/>
  <c r="CV510" i="25"/>
  <c r="CU510" i="25"/>
  <c r="DB510" i="25" s="1"/>
  <c r="CT510" i="25"/>
  <c r="CL510" i="25"/>
  <c r="CK510" i="25"/>
  <c r="CC510" i="25"/>
  <c r="CD510" i="25" s="1"/>
  <c r="BX510" i="25"/>
  <c r="BW510" i="25"/>
  <c r="BV510" i="25"/>
  <c r="BU510" i="25"/>
  <c r="BT510" i="25"/>
  <c r="BR510" i="25"/>
  <c r="BQ510" i="25"/>
  <c r="G510" i="25"/>
  <c r="DR509" i="25"/>
  <c r="DQ509" i="25"/>
  <c r="DP509" i="25"/>
  <c r="DO509" i="25"/>
  <c r="DN509" i="25"/>
  <c r="DM509" i="25"/>
  <c r="DL509" i="25"/>
  <c r="DK509" i="25"/>
  <c r="DJ509" i="25"/>
  <c r="DG509" i="25"/>
  <c r="DE509" i="25"/>
  <c r="DF509" i="25" s="1"/>
  <c r="DD509" i="25"/>
  <c r="DC509" i="25"/>
  <c r="CW509" i="25"/>
  <c r="CV509" i="25"/>
  <c r="CU509" i="25"/>
  <c r="DB509" i="25" s="1"/>
  <c r="CT509" i="25"/>
  <c r="CL509" i="25"/>
  <c r="CK509" i="25"/>
  <c r="CC509" i="25"/>
  <c r="CD509" i="25" s="1"/>
  <c r="BX509" i="25"/>
  <c r="BW509" i="25"/>
  <c r="BV509" i="25"/>
  <c r="BU509" i="25"/>
  <c r="BT509" i="25"/>
  <c r="BR509" i="25"/>
  <c r="BQ509" i="25"/>
  <c r="G509" i="25"/>
  <c r="DR508" i="25"/>
  <c r="DQ508" i="25"/>
  <c r="DP508" i="25"/>
  <c r="DO508" i="25"/>
  <c r="DN508" i="25"/>
  <c r="DM508" i="25"/>
  <c r="DL508" i="25"/>
  <c r="CQ508" i="25" s="1"/>
  <c r="CR508" i="25" s="1"/>
  <c r="DK508" i="25"/>
  <c r="DJ508" i="25"/>
  <c r="DG508" i="25"/>
  <c r="DE508" i="25"/>
  <c r="DD508" i="25"/>
  <c r="DC508" i="25"/>
  <c r="CW508" i="25"/>
  <c r="CV508" i="25"/>
  <c r="CU508" i="25"/>
  <c r="DB508" i="25" s="1"/>
  <c r="CT508" i="25"/>
  <c r="CL508" i="25"/>
  <c r="CK508" i="25"/>
  <c r="CC508" i="25"/>
  <c r="BX508" i="25"/>
  <c r="BW508" i="25"/>
  <c r="BV508" i="25"/>
  <c r="BU508" i="25"/>
  <c r="BT508" i="25"/>
  <c r="BR508" i="25"/>
  <c r="BQ508" i="25"/>
  <c r="G508" i="25"/>
  <c r="DR507" i="25"/>
  <c r="DQ507" i="25"/>
  <c r="DP507" i="25"/>
  <c r="DO507" i="25"/>
  <c r="DN507" i="25"/>
  <c r="DM507" i="25"/>
  <c r="DL507" i="25"/>
  <c r="DK507" i="25"/>
  <c r="DJ507" i="25"/>
  <c r="DG507" i="25"/>
  <c r="DE507" i="25"/>
  <c r="DD507" i="25"/>
  <c r="DC507" i="25"/>
  <c r="CW507" i="25"/>
  <c r="CV507" i="25"/>
  <c r="CU507" i="25"/>
  <c r="DB507" i="25" s="1"/>
  <c r="CT507" i="25"/>
  <c r="CL507" i="25"/>
  <c r="CK507" i="25"/>
  <c r="CC507" i="25"/>
  <c r="CD507" i="25" s="1"/>
  <c r="BX507" i="25"/>
  <c r="BW507" i="25"/>
  <c r="BV507" i="25"/>
  <c r="BU507" i="25"/>
  <c r="BT507" i="25"/>
  <c r="BR507" i="25"/>
  <c r="BQ507" i="25"/>
  <c r="G507" i="25"/>
  <c r="DR506" i="25"/>
  <c r="DQ506" i="25"/>
  <c r="DP506" i="25"/>
  <c r="DO506" i="25"/>
  <c r="DN506" i="25"/>
  <c r="DM506" i="25"/>
  <c r="DL506" i="25"/>
  <c r="CQ506" i="25" s="1"/>
  <c r="CR506" i="25" s="1"/>
  <c r="DK506" i="25"/>
  <c r="DJ506" i="25"/>
  <c r="DG506" i="25"/>
  <c r="DE506" i="25"/>
  <c r="DF506" i="25" s="1"/>
  <c r="DD506" i="25"/>
  <c r="DC506" i="25"/>
  <c r="CW506" i="25"/>
  <c r="CV506" i="25"/>
  <c r="CU506" i="25"/>
  <c r="DB506" i="25" s="1"/>
  <c r="CT506" i="25"/>
  <c r="CL506" i="25"/>
  <c r="CK506" i="25"/>
  <c r="CC506" i="25"/>
  <c r="CD506" i="25" s="1"/>
  <c r="BX506" i="25"/>
  <c r="BW506" i="25"/>
  <c r="BV506" i="25"/>
  <c r="BU506" i="25"/>
  <c r="BT506" i="25"/>
  <c r="BR506" i="25"/>
  <c r="BQ506" i="25"/>
  <c r="G506" i="25"/>
  <c r="DR505" i="25"/>
  <c r="DQ505" i="25"/>
  <c r="DP505" i="25"/>
  <c r="DO505" i="25"/>
  <c r="DN505" i="25"/>
  <c r="DM505" i="25"/>
  <c r="DL505" i="25"/>
  <c r="CO505" i="25" s="1"/>
  <c r="DK505" i="25"/>
  <c r="DJ505" i="25"/>
  <c r="DG505" i="25"/>
  <c r="DE505" i="25"/>
  <c r="DD505" i="25"/>
  <c r="DC505" i="25"/>
  <c r="CW505" i="25"/>
  <c r="CV505" i="25"/>
  <c r="CU505" i="25"/>
  <c r="CT505" i="25"/>
  <c r="CL505" i="25"/>
  <c r="CK505" i="25"/>
  <c r="CC505" i="25"/>
  <c r="CD505" i="25" s="1"/>
  <c r="BX505" i="25"/>
  <c r="BW505" i="25"/>
  <c r="BV505" i="25"/>
  <c r="BU505" i="25"/>
  <c r="BT505" i="25"/>
  <c r="BR505" i="25"/>
  <c r="BQ505" i="25"/>
  <c r="DR389" i="25"/>
  <c r="DQ389" i="25"/>
  <c r="DP389" i="25"/>
  <c r="DO389" i="25"/>
  <c r="DN389" i="25"/>
  <c r="DM389" i="25"/>
  <c r="DL389" i="25"/>
  <c r="CQ389" i="25" s="1"/>
  <c r="CR389" i="25" s="1"/>
  <c r="DK389" i="25"/>
  <c r="DJ389" i="25"/>
  <c r="DG389" i="25"/>
  <c r="DE389" i="25"/>
  <c r="DD389" i="25"/>
  <c r="DC389" i="25"/>
  <c r="CW389" i="25"/>
  <c r="CV389" i="25"/>
  <c r="CU389" i="25"/>
  <c r="DB389" i="25" s="1"/>
  <c r="CT389" i="25"/>
  <c r="CL389" i="25"/>
  <c r="CK389" i="25"/>
  <c r="CC389" i="25"/>
  <c r="CD389" i="25" s="1"/>
  <c r="BX389" i="25"/>
  <c r="BW389" i="25"/>
  <c r="BV389" i="25"/>
  <c r="BU389" i="25"/>
  <c r="BT389" i="25"/>
  <c r="BR389" i="25"/>
  <c r="BQ389" i="25"/>
  <c r="G389" i="25"/>
  <c r="DR388" i="25"/>
  <c r="DQ388" i="25"/>
  <c r="DP388" i="25"/>
  <c r="DO388" i="25"/>
  <c r="DN388" i="25"/>
  <c r="DM388" i="25"/>
  <c r="DL388" i="25"/>
  <c r="CQ388" i="25" s="1"/>
  <c r="CR388" i="25" s="1"/>
  <c r="DK388" i="25"/>
  <c r="DJ388" i="25"/>
  <c r="DG388" i="25"/>
  <c r="DE388" i="25"/>
  <c r="DD388" i="25"/>
  <c r="DC388" i="25"/>
  <c r="CW388" i="25"/>
  <c r="CV388" i="25"/>
  <c r="CU388" i="25"/>
  <c r="CT388" i="25"/>
  <c r="CL388" i="25"/>
  <c r="CK388" i="25"/>
  <c r="CC388" i="25"/>
  <c r="BX388" i="25"/>
  <c r="BW388" i="25"/>
  <c r="BV388" i="25"/>
  <c r="BU388" i="25"/>
  <c r="BT388" i="25"/>
  <c r="BR388" i="25"/>
  <c r="BQ388" i="25"/>
  <c r="G388" i="25"/>
  <c r="DR387" i="25"/>
  <c r="DQ387" i="25"/>
  <c r="DP387" i="25"/>
  <c r="DO387" i="25"/>
  <c r="DN387" i="25"/>
  <c r="DM387" i="25"/>
  <c r="DL387" i="25"/>
  <c r="DK387" i="25"/>
  <c r="DJ387" i="25"/>
  <c r="DG387" i="25"/>
  <c r="DE387" i="25"/>
  <c r="DF387" i="25" s="1"/>
  <c r="DD387" i="25"/>
  <c r="DC387" i="25"/>
  <c r="CW387" i="25"/>
  <c r="CV387" i="25"/>
  <c r="CU387" i="25"/>
  <c r="DB387" i="25" s="1"/>
  <c r="CT387" i="25"/>
  <c r="CL387" i="25"/>
  <c r="CK387" i="25"/>
  <c r="CC387" i="25"/>
  <c r="BX387" i="25"/>
  <c r="BW387" i="25"/>
  <c r="BV387" i="25"/>
  <c r="BU387" i="25"/>
  <c r="BT387" i="25"/>
  <c r="BR387" i="25"/>
  <c r="BQ387" i="25"/>
  <c r="G387" i="25"/>
  <c r="DR386" i="25"/>
  <c r="DQ386" i="25"/>
  <c r="DP386" i="25"/>
  <c r="DO386" i="25"/>
  <c r="DN386" i="25"/>
  <c r="DM386" i="25"/>
  <c r="DL386" i="25"/>
  <c r="DK386" i="25"/>
  <c r="DJ386" i="25"/>
  <c r="DG386" i="25"/>
  <c r="DE386" i="25"/>
  <c r="DF386" i="25" s="1"/>
  <c r="DD386" i="25"/>
  <c r="DC386" i="25"/>
  <c r="CW386" i="25"/>
  <c r="CV386" i="25"/>
  <c r="CU386" i="25"/>
  <c r="DB386" i="25" s="1"/>
  <c r="CT386" i="25"/>
  <c r="CL386" i="25"/>
  <c r="CK386" i="25"/>
  <c r="CC386" i="25"/>
  <c r="BX386" i="25"/>
  <c r="BW386" i="25"/>
  <c r="BV386" i="25"/>
  <c r="BU386" i="25"/>
  <c r="BT386" i="25"/>
  <c r="BR386" i="25"/>
  <c r="BQ386" i="25"/>
  <c r="G386" i="25"/>
  <c r="DR385" i="25"/>
  <c r="DQ385" i="25"/>
  <c r="DP385" i="25"/>
  <c r="DO385" i="25"/>
  <c r="DN385" i="25"/>
  <c r="DM385" i="25"/>
  <c r="DL385" i="25"/>
  <c r="CO385" i="25" s="1"/>
  <c r="DK385" i="25"/>
  <c r="DJ385" i="25"/>
  <c r="DG385" i="25"/>
  <c r="DE385" i="25"/>
  <c r="DF385" i="25" s="1"/>
  <c r="DD385" i="25"/>
  <c r="DC385" i="25"/>
  <c r="CW385" i="25"/>
  <c r="CV385" i="25"/>
  <c r="CU385" i="25"/>
  <c r="DB385" i="25" s="1"/>
  <c r="CT385" i="25"/>
  <c r="CL385" i="25"/>
  <c r="CK385" i="25"/>
  <c r="CC385" i="25"/>
  <c r="CD385" i="25" s="1"/>
  <c r="BX385" i="25"/>
  <c r="BW385" i="25"/>
  <c r="BV385" i="25"/>
  <c r="BU385" i="25"/>
  <c r="BT385" i="25"/>
  <c r="BR385" i="25"/>
  <c r="BQ385" i="25"/>
  <c r="G385" i="25"/>
  <c r="DR384" i="25"/>
  <c r="DQ384" i="25"/>
  <c r="DP384" i="25"/>
  <c r="DO384" i="25"/>
  <c r="DN384" i="25"/>
  <c r="DM384" i="25"/>
  <c r="DL384" i="25"/>
  <c r="DK384" i="25"/>
  <c r="DJ384" i="25"/>
  <c r="DG384" i="25"/>
  <c r="DE384" i="25"/>
  <c r="DF384" i="25" s="1"/>
  <c r="DD384" i="25"/>
  <c r="DC384" i="25"/>
  <c r="CW384" i="25"/>
  <c r="CV384" i="25"/>
  <c r="CU384" i="25"/>
  <c r="CT384" i="25"/>
  <c r="CL384" i="25"/>
  <c r="CK384" i="25"/>
  <c r="CC384" i="25"/>
  <c r="CD384" i="25" s="1"/>
  <c r="BX384" i="25"/>
  <c r="BW384" i="25"/>
  <c r="BV384" i="25"/>
  <c r="BU384" i="25"/>
  <c r="BT384" i="25"/>
  <c r="BR384" i="25"/>
  <c r="BQ384" i="25"/>
  <c r="G384" i="25"/>
  <c r="DR383" i="25"/>
  <c r="DQ383" i="25"/>
  <c r="DP383" i="25"/>
  <c r="DO383" i="25"/>
  <c r="DN383" i="25"/>
  <c r="DM383" i="25"/>
  <c r="DL383" i="25"/>
  <c r="DK383" i="25"/>
  <c r="DJ383" i="25"/>
  <c r="DG383" i="25"/>
  <c r="DE383" i="25"/>
  <c r="DD383" i="25"/>
  <c r="DC383" i="25"/>
  <c r="CW383" i="25"/>
  <c r="CV383" i="25"/>
  <c r="CU383" i="25"/>
  <c r="DB383" i="25" s="1"/>
  <c r="CT383" i="25"/>
  <c r="CL383" i="25"/>
  <c r="CK383" i="25"/>
  <c r="CC383" i="25"/>
  <c r="CD383" i="25" s="1"/>
  <c r="BX383" i="25"/>
  <c r="BW383" i="25"/>
  <c r="BV383" i="25"/>
  <c r="BU383" i="25"/>
  <c r="BT383" i="25"/>
  <c r="BR383" i="25"/>
  <c r="BQ383" i="25"/>
  <c r="G383" i="25"/>
  <c r="DR382" i="25"/>
  <c r="DQ382" i="25"/>
  <c r="DP382" i="25"/>
  <c r="DO382" i="25"/>
  <c r="DN382" i="25"/>
  <c r="DM382" i="25"/>
  <c r="DL382" i="25"/>
  <c r="CO382" i="25" s="1"/>
  <c r="DK382" i="25"/>
  <c r="DJ382" i="25"/>
  <c r="DG382" i="25"/>
  <c r="DE382" i="25"/>
  <c r="DF382" i="25" s="1"/>
  <c r="DD382" i="25"/>
  <c r="DC382" i="25"/>
  <c r="CW382" i="25"/>
  <c r="CV382" i="25"/>
  <c r="CU382" i="25"/>
  <c r="DB382" i="25" s="1"/>
  <c r="CT382" i="25"/>
  <c r="CL382" i="25"/>
  <c r="CK382" i="25"/>
  <c r="CC382" i="25"/>
  <c r="BX382" i="25"/>
  <c r="BW382" i="25"/>
  <c r="BV382" i="25"/>
  <c r="BU382" i="25"/>
  <c r="BT382" i="25"/>
  <c r="BR382" i="25"/>
  <c r="BQ382" i="25"/>
  <c r="G382" i="25"/>
  <c r="DR381" i="25"/>
  <c r="DQ381" i="25"/>
  <c r="DP381" i="25"/>
  <c r="DO381" i="25"/>
  <c r="DN381" i="25"/>
  <c r="DM381" i="25"/>
  <c r="DL381" i="25"/>
  <c r="CQ381" i="25" s="1"/>
  <c r="CR381" i="25" s="1"/>
  <c r="DK381" i="25"/>
  <c r="DJ381" i="25"/>
  <c r="DG381" i="25"/>
  <c r="DE381" i="25"/>
  <c r="DD381" i="25"/>
  <c r="DC381" i="25"/>
  <c r="CW381" i="25"/>
  <c r="CV381" i="25"/>
  <c r="CU381" i="25"/>
  <c r="DB381" i="25" s="1"/>
  <c r="CT381" i="25"/>
  <c r="CL381" i="25"/>
  <c r="CK381" i="25"/>
  <c r="CC381" i="25"/>
  <c r="CD381" i="25" s="1"/>
  <c r="BX381" i="25"/>
  <c r="BW381" i="25"/>
  <c r="BV381" i="25"/>
  <c r="BU381" i="25"/>
  <c r="BT381" i="25"/>
  <c r="BR381" i="25"/>
  <c r="BQ381" i="25"/>
  <c r="G381" i="25"/>
  <c r="DR380" i="25"/>
  <c r="DQ380" i="25"/>
  <c r="DP380" i="25"/>
  <c r="DO380" i="25"/>
  <c r="DN380" i="25"/>
  <c r="DM380" i="25"/>
  <c r="DL380" i="25"/>
  <c r="DK380" i="25"/>
  <c r="DJ380" i="25"/>
  <c r="DG380" i="25"/>
  <c r="DE380" i="25"/>
  <c r="DF380" i="25" s="1"/>
  <c r="DD380" i="25"/>
  <c r="DC380" i="25"/>
  <c r="CW380" i="25"/>
  <c r="CV380" i="25"/>
  <c r="CU380" i="25"/>
  <c r="CT380" i="25"/>
  <c r="CL380" i="25"/>
  <c r="CK380" i="25"/>
  <c r="CC380" i="25"/>
  <c r="CD380" i="25" s="1"/>
  <c r="BX380" i="25"/>
  <c r="BW380" i="25"/>
  <c r="BV380" i="25"/>
  <c r="BU380" i="25"/>
  <c r="BT380" i="25"/>
  <c r="BR380" i="25"/>
  <c r="BQ380" i="25"/>
  <c r="G380" i="25"/>
  <c r="DR379" i="25"/>
  <c r="DQ379" i="25"/>
  <c r="DP379" i="25"/>
  <c r="DO379" i="25"/>
  <c r="DN379" i="25"/>
  <c r="DM379" i="25"/>
  <c r="DL379" i="25"/>
  <c r="DK379" i="25"/>
  <c r="DJ379" i="25"/>
  <c r="DG379" i="25"/>
  <c r="DE379" i="25"/>
  <c r="DF379" i="25" s="1"/>
  <c r="DD379" i="25"/>
  <c r="DC379" i="25"/>
  <c r="CW379" i="25"/>
  <c r="CV379" i="25"/>
  <c r="CU379" i="25"/>
  <c r="DB379" i="25" s="1"/>
  <c r="CT379" i="25"/>
  <c r="CL379" i="25"/>
  <c r="CK379" i="25"/>
  <c r="CC379" i="25"/>
  <c r="CD379" i="25" s="1"/>
  <c r="BX379" i="25"/>
  <c r="BW379" i="25"/>
  <c r="BV379" i="25"/>
  <c r="BU379" i="25"/>
  <c r="BT379" i="25"/>
  <c r="BR379" i="25"/>
  <c r="BQ379" i="25"/>
  <c r="G379" i="25"/>
  <c r="DR378" i="25"/>
  <c r="DQ378" i="25"/>
  <c r="DP378" i="25"/>
  <c r="DO378" i="25"/>
  <c r="DN378" i="25"/>
  <c r="DM378" i="25"/>
  <c r="DL378" i="25"/>
  <c r="CO378" i="25" s="1"/>
  <c r="DK378" i="25"/>
  <c r="DJ378" i="25"/>
  <c r="DG378" i="25"/>
  <c r="DE378" i="25"/>
  <c r="DF378" i="25" s="1"/>
  <c r="DD378" i="25"/>
  <c r="DC378" i="25"/>
  <c r="CW378" i="25"/>
  <c r="CV378" i="25"/>
  <c r="CU378" i="25"/>
  <c r="DB378" i="25" s="1"/>
  <c r="CT378" i="25"/>
  <c r="CL378" i="25"/>
  <c r="CK378" i="25"/>
  <c r="CC378" i="25"/>
  <c r="CD378" i="25" s="1"/>
  <c r="BX378" i="25"/>
  <c r="BW378" i="25"/>
  <c r="BV378" i="25"/>
  <c r="BU378" i="25"/>
  <c r="BT378" i="25"/>
  <c r="BR378" i="25"/>
  <c r="BQ378" i="25"/>
  <c r="G378" i="25"/>
  <c r="DR377" i="25"/>
  <c r="DQ377" i="25"/>
  <c r="DP377" i="25"/>
  <c r="DO377" i="25"/>
  <c r="DN377" i="25"/>
  <c r="DM377" i="25"/>
  <c r="DL377" i="25"/>
  <c r="CO377" i="25" s="1"/>
  <c r="DK377" i="25"/>
  <c r="DJ377" i="25"/>
  <c r="DG377" i="25"/>
  <c r="DE377" i="25"/>
  <c r="DF377" i="25" s="1"/>
  <c r="DD377" i="25"/>
  <c r="DC377" i="25"/>
  <c r="CW377" i="25"/>
  <c r="CV377" i="25"/>
  <c r="CU377" i="25"/>
  <c r="DB377" i="25" s="1"/>
  <c r="CT377" i="25"/>
  <c r="CL377" i="25"/>
  <c r="CK377" i="25"/>
  <c r="CC377" i="25"/>
  <c r="CD377" i="25" s="1"/>
  <c r="BX377" i="25"/>
  <c r="BW377" i="25"/>
  <c r="BV377" i="25"/>
  <c r="BU377" i="25"/>
  <c r="BT377" i="25"/>
  <c r="BR377" i="25"/>
  <c r="BQ377" i="25"/>
  <c r="G377" i="25"/>
  <c r="DR376" i="25"/>
  <c r="DQ376" i="25"/>
  <c r="DP376" i="25"/>
  <c r="DO376" i="25"/>
  <c r="DN376" i="25"/>
  <c r="DM376" i="25"/>
  <c r="DL376" i="25"/>
  <c r="CP376" i="25" s="1"/>
  <c r="DK376" i="25"/>
  <c r="DJ376" i="25"/>
  <c r="DG376" i="25"/>
  <c r="DE376" i="25"/>
  <c r="DD376" i="25"/>
  <c r="DC376" i="25"/>
  <c r="CW376" i="25"/>
  <c r="CV376" i="25"/>
  <c r="CU376" i="25"/>
  <c r="CT376" i="25"/>
  <c r="CL376" i="25"/>
  <c r="CK376" i="25"/>
  <c r="CC376" i="25"/>
  <c r="BX376" i="25"/>
  <c r="BW376" i="25"/>
  <c r="BV376" i="25"/>
  <c r="BU376" i="25"/>
  <c r="BT376" i="25"/>
  <c r="BR376" i="25"/>
  <c r="BQ376" i="25"/>
  <c r="G376" i="25"/>
  <c r="DR375" i="25"/>
  <c r="DQ375" i="25"/>
  <c r="DP375" i="25"/>
  <c r="DO375" i="25"/>
  <c r="DN375" i="25"/>
  <c r="DM375" i="25"/>
  <c r="DL375" i="25"/>
  <c r="DK375" i="25"/>
  <c r="DJ375" i="25"/>
  <c r="DG375" i="25"/>
  <c r="DE375" i="25"/>
  <c r="DD375" i="25"/>
  <c r="DC375" i="25"/>
  <c r="CW375" i="25"/>
  <c r="CV375" i="25"/>
  <c r="CU375" i="25"/>
  <c r="DB375" i="25" s="1"/>
  <c r="CT375" i="25"/>
  <c r="CL375" i="25"/>
  <c r="CK375" i="25"/>
  <c r="CC375" i="25"/>
  <c r="CD375" i="25" s="1"/>
  <c r="BX375" i="25"/>
  <c r="BW375" i="25"/>
  <c r="BV375" i="25"/>
  <c r="BU375" i="25"/>
  <c r="BT375" i="25"/>
  <c r="BR375" i="25"/>
  <c r="BQ375" i="25"/>
  <c r="G375" i="25"/>
  <c r="DR374" i="25"/>
  <c r="DQ374" i="25"/>
  <c r="DP374" i="25"/>
  <c r="DO374" i="25"/>
  <c r="DN374" i="25"/>
  <c r="DM374" i="25"/>
  <c r="DL374" i="25"/>
  <c r="CQ374" i="25" s="1"/>
  <c r="CR374" i="25" s="1"/>
  <c r="DK374" i="25"/>
  <c r="DJ374" i="25"/>
  <c r="DG374" i="25"/>
  <c r="DE374" i="25"/>
  <c r="DF374" i="25" s="1"/>
  <c r="DD374" i="25"/>
  <c r="DC374" i="25"/>
  <c r="CW374" i="25"/>
  <c r="CV374" i="25"/>
  <c r="CU374" i="25"/>
  <c r="DB374" i="25" s="1"/>
  <c r="CT374" i="25"/>
  <c r="CL374" i="25"/>
  <c r="CK374" i="25"/>
  <c r="CC374" i="25"/>
  <c r="BX374" i="25"/>
  <c r="BW374" i="25"/>
  <c r="BV374" i="25"/>
  <c r="BU374" i="25"/>
  <c r="BT374" i="25"/>
  <c r="BR374" i="25"/>
  <c r="BQ374" i="25"/>
  <c r="G374" i="25"/>
  <c r="DR373" i="25"/>
  <c r="DQ373" i="25"/>
  <c r="DP373" i="25"/>
  <c r="DO373" i="25"/>
  <c r="DN373" i="25"/>
  <c r="DM373" i="25"/>
  <c r="DL373" i="25"/>
  <c r="CP373" i="25" s="1"/>
  <c r="DK373" i="25"/>
  <c r="DJ373" i="25"/>
  <c r="DG373" i="25"/>
  <c r="DE373" i="25"/>
  <c r="DF373" i="25" s="1"/>
  <c r="DD373" i="25"/>
  <c r="DC373" i="25"/>
  <c r="CW373" i="25"/>
  <c r="CV373" i="25"/>
  <c r="CU373" i="25"/>
  <c r="CT373" i="25"/>
  <c r="CL373" i="25"/>
  <c r="CK373" i="25"/>
  <c r="CC373" i="25"/>
  <c r="CD373" i="25" s="1"/>
  <c r="BX373" i="25"/>
  <c r="BW373" i="25"/>
  <c r="BV373" i="25"/>
  <c r="BU373" i="25"/>
  <c r="BT373" i="25"/>
  <c r="BR373" i="25"/>
  <c r="BQ373" i="25"/>
  <c r="G373" i="25"/>
  <c r="DR372" i="25"/>
  <c r="DQ372" i="25"/>
  <c r="DP372" i="25"/>
  <c r="DO372" i="25"/>
  <c r="DN372" i="25"/>
  <c r="DM372" i="25"/>
  <c r="DL372" i="25"/>
  <c r="CO372" i="25" s="1"/>
  <c r="DK372" i="25"/>
  <c r="DJ372" i="25"/>
  <c r="DG372" i="25"/>
  <c r="DE372" i="25"/>
  <c r="DF372" i="25" s="1"/>
  <c r="DD372" i="25"/>
  <c r="DC372" i="25"/>
  <c r="CW372" i="25"/>
  <c r="CV372" i="25"/>
  <c r="CU372" i="25"/>
  <c r="DB372" i="25" s="1"/>
  <c r="CT372" i="25"/>
  <c r="CL372" i="25"/>
  <c r="CK372" i="25"/>
  <c r="CC372" i="25"/>
  <c r="CD372" i="25" s="1"/>
  <c r="BX372" i="25"/>
  <c r="BW372" i="25"/>
  <c r="BV372" i="25"/>
  <c r="BU372" i="25"/>
  <c r="BT372" i="25"/>
  <c r="BR372" i="25"/>
  <c r="BQ372" i="25"/>
  <c r="G372" i="25"/>
  <c r="DR371" i="25"/>
  <c r="DQ371" i="25"/>
  <c r="DP371" i="25"/>
  <c r="DO371" i="25"/>
  <c r="DN371" i="25"/>
  <c r="DM371" i="25"/>
  <c r="DL371" i="25"/>
  <c r="DK371" i="25"/>
  <c r="DJ371" i="25"/>
  <c r="DG371" i="25"/>
  <c r="DE371" i="25"/>
  <c r="DD371" i="25"/>
  <c r="DC371" i="25"/>
  <c r="CW371" i="25"/>
  <c r="CV371" i="25"/>
  <c r="CU371" i="25"/>
  <c r="DB371" i="25" s="1"/>
  <c r="CT371" i="25"/>
  <c r="CL371" i="25"/>
  <c r="CK371" i="25"/>
  <c r="CC371" i="25"/>
  <c r="CD371" i="25" s="1"/>
  <c r="BX371" i="25"/>
  <c r="BW371" i="25"/>
  <c r="BV371" i="25"/>
  <c r="BU371" i="25"/>
  <c r="BT371" i="25"/>
  <c r="BR371" i="25"/>
  <c r="BQ371" i="25"/>
  <c r="G371" i="25"/>
  <c r="DR370" i="25"/>
  <c r="DQ370" i="25"/>
  <c r="DP370" i="25"/>
  <c r="DO370" i="25"/>
  <c r="DN370" i="25"/>
  <c r="DM370" i="25"/>
  <c r="DL370" i="25"/>
  <c r="CQ370" i="25" s="1"/>
  <c r="CR370" i="25" s="1"/>
  <c r="DK370" i="25"/>
  <c r="DJ370" i="25"/>
  <c r="DG370" i="25"/>
  <c r="DE370" i="25"/>
  <c r="DF370" i="25" s="1"/>
  <c r="DD370" i="25"/>
  <c r="DC370" i="25"/>
  <c r="CW370" i="25"/>
  <c r="CV370" i="25"/>
  <c r="CU370" i="25"/>
  <c r="DB370" i="25" s="1"/>
  <c r="CT370" i="25"/>
  <c r="CL370" i="25"/>
  <c r="CK370" i="25"/>
  <c r="CC370" i="25"/>
  <c r="BX370" i="25"/>
  <c r="BW370" i="25"/>
  <c r="BV370" i="25"/>
  <c r="BU370" i="25"/>
  <c r="BT370" i="25"/>
  <c r="BR370" i="25"/>
  <c r="BQ370" i="25"/>
  <c r="G370" i="25"/>
  <c r="DR369" i="25"/>
  <c r="DQ369" i="25"/>
  <c r="DP369" i="25"/>
  <c r="DO369" i="25"/>
  <c r="DN369" i="25"/>
  <c r="DM369" i="25"/>
  <c r="DL369" i="25"/>
  <c r="CQ369" i="25" s="1"/>
  <c r="CR369" i="25" s="1"/>
  <c r="DK369" i="25"/>
  <c r="DJ369" i="25"/>
  <c r="DG369" i="25"/>
  <c r="DE369" i="25"/>
  <c r="DD369" i="25"/>
  <c r="DC369" i="25"/>
  <c r="CW369" i="25"/>
  <c r="CV369" i="25"/>
  <c r="CU369" i="25"/>
  <c r="DB369" i="25" s="1"/>
  <c r="CT369" i="25"/>
  <c r="CL369" i="25"/>
  <c r="CK369" i="25"/>
  <c r="CC369" i="25"/>
  <c r="CD369" i="25" s="1"/>
  <c r="BX369" i="25"/>
  <c r="BW369" i="25"/>
  <c r="BV369" i="25"/>
  <c r="BU369" i="25"/>
  <c r="BT369" i="25"/>
  <c r="BR369" i="25"/>
  <c r="BQ369" i="25"/>
  <c r="G369" i="25"/>
  <c r="DR368" i="25"/>
  <c r="DQ368" i="25"/>
  <c r="DP368" i="25"/>
  <c r="DO368" i="25"/>
  <c r="DN368" i="25"/>
  <c r="DM368" i="25"/>
  <c r="DL368" i="25"/>
  <c r="CO368" i="25" s="1"/>
  <c r="DK368" i="25"/>
  <c r="DJ368" i="25"/>
  <c r="DG368" i="25"/>
  <c r="DE368" i="25"/>
  <c r="DF368" i="25" s="1"/>
  <c r="DD368" i="25"/>
  <c r="DC368" i="25"/>
  <c r="CW368" i="25"/>
  <c r="CV368" i="25"/>
  <c r="CU368" i="25"/>
  <c r="CT368" i="25"/>
  <c r="CL368" i="25"/>
  <c r="CK368" i="25"/>
  <c r="CC368" i="25"/>
  <c r="CD368" i="25" s="1"/>
  <c r="BX368" i="25"/>
  <c r="BW368" i="25"/>
  <c r="BV368" i="25"/>
  <c r="BU368" i="25"/>
  <c r="BT368" i="25"/>
  <c r="BR368" i="25"/>
  <c r="BQ368" i="25"/>
  <c r="G368" i="25"/>
  <c r="DR367" i="25"/>
  <c r="DQ367" i="25"/>
  <c r="DP367" i="25"/>
  <c r="DO367" i="25"/>
  <c r="DN367" i="25"/>
  <c r="DM367" i="25"/>
  <c r="DL367" i="25"/>
  <c r="CP367" i="25" s="1"/>
  <c r="DK367" i="25"/>
  <c r="DJ367" i="25"/>
  <c r="DG367" i="25"/>
  <c r="DE367" i="25"/>
  <c r="DF367" i="25" s="1"/>
  <c r="DD367" i="25"/>
  <c r="DC367" i="25"/>
  <c r="CW367" i="25"/>
  <c r="CV367" i="25"/>
  <c r="CU367" i="25"/>
  <c r="DB367" i="25" s="1"/>
  <c r="CT367" i="25"/>
  <c r="CL367" i="25"/>
  <c r="CK367" i="25"/>
  <c r="CC367" i="25"/>
  <c r="CD367" i="25" s="1"/>
  <c r="BX367" i="25"/>
  <c r="BW367" i="25"/>
  <c r="BV367" i="25"/>
  <c r="BU367" i="25"/>
  <c r="BT367" i="25"/>
  <c r="BR367" i="25"/>
  <c r="BQ367" i="25"/>
  <c r="G367" i="25"/>
  <c r="DR366" i="25"/>
  <c r="DQ366" i="25"/>
  <c r="DP366" i="25"/>
  <c r="DO366" i="25"/>
  <c r="DN366" i="25"/>
  <c r="DM366" i="25"/>
  <c r="DL366" i="25"/>
  <c r="CP366" i="25" s="1"/>
  <c r="DK366" i="25"/>
  <c r="DJ366" i="25"/>
  <c r="DG366" i="25"/>
  <c r="DE366" i="25"/>
  <c r="DD366" i="25"/>
  <c r="DC366" i="25"/>
  <c r="CW366" i="25"/>
  <c r="CV366" i="25"/>
  <c r="CU366" i="25"/>
  <c r="DB366" i="25" s="1"/>
  <c r="CT366" i="25"/>
  <c r="CL366" i="25"/>
  <c r="CK366" i="25"/>
  <c r="CC366" i="25"/>
  <c r="CD366" i="25" s="1"/>
  <c r="BX366" i="25"/>
  <c r="BW366" i="25"/>
  <c r="BV366" i="25"/>
  <c r="BU366" i="25"/>
  <c r="BT366" i="25"/>
  <c r="BR366" i="25"/>
  <c r="BQ366" i="25"/>
  <c r="G366" i="25"/>
  <c r="DR365" i="25"/>
  <c r="DQ365" i="25"/>
  <c r="DP365" i="25"/>
  <c r="DO365" i="25"/>
  <c r="DN365" i="25"/>
  <c r="DM365" i="25"/>
  <c r="DL365" i="25"/>
  <c r="CQ365" i="25" s="1"/>
  <c r="CR365" i="25" s="1"/>
  <c r="DK365" i="25"/>
  <c r="DJ365" i="25"/>
  <c r="DG365" i="25"/>
  <c r="DE365" i="25"/>
  <c r="DD365" i="25"/>
  <c r="DC365" i="25"/>
  <c r="CW365" i="25"/>
  <c r="CV365" i="25"/>
  <c r="CU365" i="25"/>
  <c r="DB365" i="25" s="1"/>
  <c r="CT365" i="25"/>
  <c r="CL365" i="25"/>
  <c r="CK365" i="25"/>
  <c r="CC365" i="25"/>
  <c r="CD365" i="25" s="1"/>
  <c r="BX365" i="25"/>
  <c r="BW365" i="25"/>
  <c r="BV365" i="25"/>
  <c r="BU365" i="25"/>
  <c r="BT365" i="25"/>
  <c r="BR365" i="25"/>
  <c r="BQ365" i="25"/>
  <c r="G365" i="25"/>
  <c r="DR364" i="25"/>
  <c r="DQ364" i="25"/>
  <c r="DP364" i="25"/>
  <c r="DO364" i="25"/>
  <c r="DN364" i="25"/>
  <c r="DM364" i="25"/>
  <c r="DL364" i="25"/>
  <c r="CO364" i="25" s="1"/>
  <c r="DK364" i="25"/>
  <c r="DJ364" i="25"/>
  <c r="DG364" i="25"/>
  <c r="DE364" i="25"/>
  <c r="DD364" i="25"/>
  <c r="DC364" i="25"/>
  <c r="CW364" i="25"/>
  <c r="CV364" i="25"/>
  <c r="CU364" i="25"/>
  <c r="DB364" i="25" s="1"/>
  <c r="CT364" i="25"/>
  <c r="CL364" i="25"/>
  <c r="CK364" i="25"/>
  <c r="CC364" i="25"/>
  <c r="CD364" i="25" s="1"/>
  <c r="BX364" i="25"/>
  <c r="BW364" i="25"/>
  <c r="BV364" i="25"/>
  <c r="BU364" i="25"/>
  <c r="BT364" i="25"/>
  <c r="BR364" i="25"/>
  <c r="BQ364" i="25"/>
  <c r="G364" i="25"/>
  <c r="DR363" i="25"/>
  <c r="DQ363" i="25"/>
  <c r="DP363" i="25"/>
  <c r="DO363" i="25"/>
  <c r="DN363" i="25"/>
  <c r="DM363" i="25"/>
  <c r="DL363" i="25"/>
  <c r="CO363" i="25" s="1"/>
  <c r="DK363" i="25"/>
  <c r="DJ363" i="25"/>
  <c r="DG363" i="25"/>
  <c r="DE363" i="25"/>
  <c r="DD363" i="25"/>
  <c r="DC363" i="25"/>
  <c r="CW363" i="25"/>
  <c r="CV363" i="25"/>
  <c r="CU363" i="25"/>
  <c r="DB363" i="25" s="1"/>
  <c r="CT363" i="25"/>
  <c r="CL363" i="25"/>
  <c r="CK363" i="25"/>
  <c r="CC363" i="25"/>
  <c r="BX363" i="25"/>
  <c r="BW363" i="25"/>
  <c r="BV363" i="25"/>
  <c r="BU363" i="25"/>
  <c r="BT363" i="25"/>
  <c r="BR363" i="25"/>
  <c r="BQ363" i="25"/>
  <c r="G363" i="25"/>
  <c r="DR362" i="25"/>
  <c r="DQ362" i="25"/>
  <c r="DP362" i="25"/>
  <c r="DO362" i="25"/>
  <c r="DN362" i="25"/>
  <c r="DM362" i="25"/>
  <c r="DL362" i="25"/>
  <c r="CP362" i="25" s="1"/>
  <c r="DK362" i="25"/>
  <c r="DJ362" i="25"/>
  <c r="DG362" i="25"/>
  <c r="DE362" i="25"/>
  <c r="DF362" i="25" s="1"/>
  <c r="DD362" i="25"/>
  <c r="DC362" i="25"/>
  <c r="CW362" i="25"/>
  <c r="CV362" i="25"/>
  <c r="CU362" i="25"/>
  <c r="DB362" i="25" s="1"/>
  <c r="CT362" i="25"/>
  <c r="CL362" i="25"/>
  <c r="CK362" i="25"/>
  <c r="CC362" i="25"/>
  <c r="BX362" i="25"/>
  <c r="BW362" i="25"/>
  <c r="BV362" i="25"/>
  <c r="BU362" i="25"/>
  <c r="BT362" i="25"/>
  <c r="BR362" i="25"/>
  <c r="BQ362" i="25"/>
  <c r="G362" i="25"/>
  <c r="DR361" i="25"/>
  <c r="DQ361" i="25"/>
  <c r="DP361" i="25"/>
  <c r="DO361" i="25"/>
  <c r="DN361" i="25"/>
  <c r="DM361" i="25"/>
  <c r="DL361" i="25"/>
  <c r="CP361" i="25" s="1"/>
  <c r="DK361" i="25"/>
  <c r="DJ361" i="25"/>
  <c r="DG361" i="25"/>
  <c r="DE361" i="25"/>
  <c r="DD361" i="25"/>
  <c r="DC361" i="25"/>
  <c r="CW361" i="25"/>
  <c r="CV361" i="25"/>
  <c r="CU361" i="25"/>
  <c r="CT361" i="25"/>
  <c r="CL361" i="25"/>
  <c r="CK361" i="25"/>
  <c r="CC361" i="25"/>
  <c r="CD361" i="25" s="1"/>
  <c r="BX361" i="25"/>
  <c r="BW361" i="25"/>
  <c r="BV361" i="25"/>
  <c r="BU361" i="25"/>
  <c r="BT361" i="25"/>
  <c r="BR361" i="25"/>
  <c r="BQ361" i="25"/>
  <c r="G361" i="25"/>
  <c r="DR360" i="25"/>
  <c r="DQ360" i="25"/>
  <c r="DP360" i="25"/>
  <c r="DO360" i="25"/>
  <c r="DN360" i="25"/>
  <c r="DM360" i="25"/>
  <c r="DL360" i="25"/>
  <c r="CP360" i="25" s="1"/>
  <c r="DK360" i="25"/>
  <c r="DJ360" i="25"/>
  <c r="DG360" i="25"/>
  <c r="DE360" i="25"/>
  <c r="DF360" i="25" s="1"/>
  <c r="DD360" i="25"/>
  <c r="DC360" i="25"/>
  <c r="CW360" i="25"/>
  <c r="CV360" i="25"/>
  <c r="CU360" i="25"/>
  <c r="DB360" i="25" s="1"/>
  <c r="CT360" i="25"/>
  <c r="CL360" i="25"/>
  <c r="CK360" i="25"/>
  <c r="CC360" i="25"/>
  <c r="CD360" i="25" s="1"/>
  <c r="BX360" i="25"/>
  <c r="BW360" i="25"/>
  <c r="BV360" i="25"/>
  <c r="BU360" i="25"/>
  <c r="BT360" i="25"/>
  <c r="BR360" i="25"/>
  <c r="BQ360" i="25"/>
  <c r="G360" i="25"/>
  <c r="DR359" i="25"/>
  <c r="DQ359" i="25"/>
  <c r="DP359" i="25"/>
  <c r="DO359" i="25"/>
  <c r="DN359" i="25"/>
  <c r="DM359" i="25"/>
  <c r="DL359" i="25"/>
  <c r="CO359" i="25" s="1"/>
  <c r="DK359" i="25"/>
  <c r="DJ359" i="25"/>
  <c r="DG359" i="25"/>
  <c r="DE359" i="25"/>
  <c r="DD359" i="25"/>
  <c r="DC359" i="25"/>
  <c r="CW359" i="25"/>
  <c r="CV359" i="25"/>
  <c r="CU359" i="25"/>
  <c r="DB359" i="25" s="1"/>
  <c r="CT359" i="25"/>
  <c r="CL359" i="25"/>
  <c r="CK359" i="25"/>
  <c r="CC359" i="25"/>
  <c r="CD359" i="25" s="1"/>
  <c r="BX359" i="25"/>
  <c r="BW359" i="25"/>
  <c r="BV359" i="25"/>
  <c r="BU359" i="25"/>
  <c r="BT359" i="25"/>
  <c r="BR359" i="25"/>
  <c r="BQ359" i="25"/>
  <c r="G359" i="25"/>
  <c r="DR358" i="25"/>
  <c r="DQ358" i="25"/>
  <c r="DP358" i="25"/>
  <c r="DO358" i="25"/>
  <c r="DN358" i="25"/>
  <c r="DM358" i="25"/>
  <c r="DL358" i="25"/>
  <c r="CP358" i="25" s="1"/>
  <c r="DK358" i="25"/>
  <c r="DJ358" i="25"/>
  <c r="DG358" i="25"/>
  <c r="DE358" i="25"/>
  <c r="DD358" i="25"/>
  <c r="DC358" i="25"/>
  <c r="CW358" i="25"/>
  <c r="CV358" i="25"/>
  <c r="CU358" i="25"/>
  <c r="DB358" i="25" s="1"/>
  <c r="CT358" i="25"/>
  <c r="CL358" i="25"/>
  <c r="CK358" i="25"/>
  <c r="CC358" i="25"/>
  <c r="BX358" i="25"/>
  <c r="BW358" i="25"/>
  <c r="BV358" i="25"/>
  <c r="BU358" i="25"/>
  <c r="BT358" i="25"/>
  <c r="BR358" i="25"/>
  <c r="BQ358" i="25"/>
  <c r="G358" i="25"/>
  <c r="DR357" i="25"/>
  <c r="DQ357" i="25"/>
  <c r="DP357" i="25"/>
  <c r="DO357" i="25"/>
  <c r="DN357" i="25"/>
  <c r="DM357" i="25"/>
  <c r="DL357" i="25"/>
  <c r="DK357" i="25"/>
  <c r="DJ357" i="25"/>
  <c r="DG357" i="25"/>
  <c r="DE357" i="25"/>
  <c r="DF357" i="25" s="1"/>
  <c r="DD357" i="25"/>
  <c r="DC357" i="25"/>
  <c r="CW357" i="25"/>
  <c r="CV357" i="25"/>
  <c r="CU357" i="25"/>
  <c r="DB357" i="25" s="1"/>
  <c r="CT357" i="25"/>
  <c r="CL357" i="25"/>
  <c r="CK357" i="25"/>
  <c r="CC357" i="25"/>
  <c r="CD357" i="25" s="1"/>
  <c r="BX357" i="25"/>
  <c r="BW357" i="25"/>
  <c r="BV357" i="25"/>
  <c r="BU357" i="25"/>
  <c r="BT357" i="25"/>
  <c r="BR357" i="25"/>
  <c r="BQ357" i="25"/>
  <c r="G357" i="25"/>
  <c r="DR356" i="25"/>
  <c r="DQ356" i="25"/>
  <c r="DP356" i="25"/>
  <c r="DO356" i="25"/>
  <c r="DN356" i="25"/>
  <c r="DM356" i="25"/>
  <c r="DL356" i="25"/>
  <c r="CP356" i="25" s="1"/>
  <c r="DK356" i="25"/>
  <c r="DJ356" i="25"/>
  <c r="DG356" i="25"/>
  <c r="DE356" i="25"/>
  <c r="DD356" i="25"/>
  <c r="DC356" i="25"/>
  <c r="CW356" i="25"/>
  <c r="CV356" i="25"/>
  <c r="CU356" i="25"/>
  <c r="DB356" i="25" s="1"/>
  <c r="CT356" i="25"/>
  <c r="CL356" i="25"/>
  <c r="CK356" i="25"/>
  <c r="CC356" i="25"/>
  <c r="BX356" i="25"/>
  <c r="BW356" i="25"/>
  <c r="BV356" i="25"/>
  <c r="BU356" i="25"/>
  <c r="BT356" i="25"/>
  <c r="BR356" i="25"/>
  <c r="BQ356" i="25"/>
  <c r="G356" i="25"/>
  <c r="DR355" i="25"/>
  <c r="DQ355" i="25"/>
  <c r="DP355" i="25"/>
  <c r="DO355" i="25"/>
  <c r="DN355" i="25"/>
  <c r="DM355" i="25"/>
  <c r="DL355" i="25"/>
  <c r="CQ355" i="25" s="1"/>
  <c r="CR355" i="25" s="1"/>
  <c r="DK355" i="25"/>
  <c r="DJ355" i="25"/>
  <c r="DG355" i="25"/>
  <c r="DE355" i="25"/>
  <c r="DF355" i="25" s="1"/>
  <c r="DD355" i="25"/>
  <c r="DC355" i="25"/>
  <c r="CW355" i="25"/>
  <c r="CV355" i="25"/>
  <c r="CU355" i="25"/>
  <c r="DB355" i="25" s="1"/>
  <c r="CT355" i="25"/>
  <c r="CL355" i="25"/>
  <c r="CK355" i="25"/>
  <c r="CC355" i="25"/>
  <c r="CD355" i="25" s="1"/>
  <c r="BX355" i="25"/>
  <c r="BW355" i="25"/>
  <c r="BV355" i="25"/>
  <c r="BU355" i="25"/>
  <c r="BT355" i="25"/>
  <c r="BR355" i="25"/>
  <c r="BQ355" i="25"/>
  <c r="G355" i="25"/>
  <c r="DR354" i="25"/>
  <c r="DQ354" i="25"/>
  <c r="DP354" i="25"/>
  <c r="DO354" i="25"/>
  <c r="DN354" i="25"/>
  <c r="DM354" i="25"/>
  <c r="DL354" i="25"/>
  <c r="CO354" i="25" s="1"/>
  <c r="DK354" i="25"/>
  <c r="DJ354" i="25"/>
  <c r="DG354" i="25"/>
  <c r="DE354" i="25"/>
  <c r="DD354" i="25"/>
  <c r="DC354" i="25"/>
  <c r="CW354" i="25"/>
  <c r="CV354" i="25"/>
  <c r="CU354" i="25"/>
  <c r="CT354" i="25"/>
  <c r="CL354" i="25"/>
  <c r="CK354" i="25"/>
  <c r="CC354" i="25"/>
  <c r="CD354" i="25" s="1"/>
  <c r="BX354" i="25"/>
  <c r="BW354" i="25"/>
  <c r="BV354" i="25"/>
  <c r="BU354" i="25"/>
  <c r="BT354" i="25"/>
  <c r="BR354" i="25"/>
  <c r="BQ354" i="25"/>
  <c r="G354" i="25"/>
  <c r="DR353" i="25"/>
  <c r="DQ353" i="25"/>
  <c r="DP353" i="25"/>
  <c r="DO353" i="25"/>
  <c r="DN353" i="25"/>
  <c r="DM353" i="25"/>
  <c r="DL353" i="25"/>
  <c r="DK353" i="25"/>
  <c r="DJ353" i="25"/>
  <c r="DG353" i="25"/>
  <c r="DE353" i="25"/>
  <c r="DF353" i="25" s="1"/>
  <c r="DD353" i="25"/>
  <c r="DC353" i="25"/>
  <c r="CW353" i="25"/>
  <c r="CV353" i="25"/>
  <c r="CU353" i="25"/>
  <c r="CT353" i="25"/>
  <c r="CL353" i="25"/>
  <c r="CK353" i="25"/>
  <c r="CC353" i="25"/>
  <c r="CD353" i="25" s="1"/>
  <c r="BX353" i="25"/>
  <c r="BW353" i="25"/>
  <c r="BV353" i="25"/>
  <c r="BU353" i="25"/>
  <c r="BT353" i="25"/>
  <c r="BR353" i="25"/>
  <c r="BQ353" i="25"/>
  <c r="G353" i="25"/>
  <c r="DR352" i="25"/>
  <c r="DQ352" i="25"/>
  <c r="DP352" i="25"/>
  <c r="DO352" i="25"/>
  <c r="DN352" i="25"/>
  <c r="DM352" i="25"/>
  <c r="DL352" i="25"/>
  <c r="CO352" i="25" s="1"/>
  <c r="DK352" i="25"/>
  <c r="DJ352" i="25"/>
  <c r="DG352" i="25"/>
  <c r="DE352" i="25"/>
  <c r="DD352" i="25"/>
  <c r="DC352" i="25"/>
  <c r="CW352" i="25"/>
  <c r="CV352" i="25"/>
  <c r="CU352" i="25"/>
  <c r="DB352" i="25" s="1"/>
  <c r="CT352" i="25"/>
  <c r="CL352" i="25"/>
  <c r="CK352" i="25"/>
  <c r="CC352" i="25"/>
  <c r="CD352" i="25" s="1"/>
  <c r="BX352" i="25"/>
  <c r="BW352" i="25"/>
  <c r="BV352" i="25"/>
  <c r="BU352" i="25"/>
  <c r="BT352" i="25"/>
  <c r="BR352" i="25"/>
  <c r="BQ352" i="25"/>
  <c r="G352" i="25"/>
  <c r="DR351" i="25"/>
  <c r="DQ351" i="25"/>
  <c r="DP351" i="25"/>
  <c r="DO351" i="25"/>
  <c r="DN351" i="25"/>
  <c r="DM351" i="25"/>
  <c r="DL351" i="25"/>
  <c r="CQ351" i="25" s="1"/>
  <c r="CR351" i="25" s="1"/>
  <c r="DK351" i="25"/>
  <c r="DJ351" i="25"/>
  <c r="DG351" i="25"/>
  <c r="DE351" i="25"/>
  <c r="DF351" i="25" s="1"/>
  <c r="DD351" i="25"/>
  <c r="DC351" i="25"/>
  <c r="CW351" i="25"/>
  <c r="CV351" i="25"/>
  <c r="CU351" i="25"/>
  <c r="DB351" i="25" s="1"/>
  <c r="CT351" i="25"/>
  <c r="CL351" i="25"/>
  <c r="CK351" i="25"/>
  <c r="CC351" i="25"/>
  <c r="CD351" i="25" s="1"/>
  <c r="BX351" i="25"/>
  <c r="BW351" i="25"/>
  <c r="BV351" i="25"/>
  <c r="BU351" i="25"/>
  <c r="BT351" i="25"/>
  <c r="BR351" i="25"/>
  <c r="BQ351" i="25"/>
  <c r="G351" i="25"/>
  <c r="DR350" i="25"/>
  <c r="DQ350" i="25"/>
  <c r="DP350" i="25"/>
  <c r="DO350" i="25"/>
  <c r="DN350" i="25"/>
  <c r="DM350" i="25"/>
  <c r="DL350" i="25"/>
  <c r="DK350" i="25"/>
  <c r="DJ350" i="25"/>
  <c r="DG350" i="25"/>
  <c r="DE350" i="25"/>
  <c r="DD350" i="25"/>
  <c r="DC350" i="25"/>
  <c r="CW350" i="25"/>
  <c r="CV350" i="25"/>
  <c r="CU350" i="25"/>
  <c r="DB350" i="25" s="1"/>
  <c r="CT350" i="25"/>
  <c r="CL350" i="25"/>
  <c r="CK350" i="25"/>
  <c r="CC350" i="25"/>
  <c r="CD350" i="25" s="1"/>
  <c r="BX350" i="25"/>
  <c r="BW350" i="25"/>
  <c r="BV350" i="25"/>
  <c r="BU350" i="25"/>
  <c r="BT350" i="25"/>
  <c r="BR350" i="25"/>
  <c r="BQ350" i="25"/>
  <c r="G350" i="25"/>
  <c r="DR349" i="25"/>
  <c r="DQ349" i="25"/>
  <c r="DP349" i="25"/>
  <c r="DO349" i="25"/>
  <c r="DN349" i="25"/>
  <c r="DM349" i="25"/>
  <c r="DL349" i="25"/>
  <c r="DK349" i="25"/>
  <c r="DJ349" i="25"/>
  <c r="DG349" i="25"/>
  <c r="DE349" i="25"/>
  <c r="DF349" i="25" s="1"/>
  <c r="DD349" i="25"/>
  <c r="DC349" i="25"/>
  <c r="CW349" i="25"/>
  <c r="CV349" i="25"/>
  <c r="CU349" i="25"/>
  <c r="CT349" i="25"/>
  <c r="CL349" i="25"/>
  <c r="CK349" i="25"/>
  <c r="CC349" i="25"/>
  <c r="CD349" i="25" s="1"/>
  <c r="BX349" i="25"/>
  <c r="BW349" i="25"/>
  <c r="BV349" i="25"/>
  <c r="BU349" i="25"/>
  <c r="BT349" i="25"/>
  <c r="BR349" i="25"/>
  <c r="BQ349" i="25"/>
  <c r="G349" i="25"/>
  <c r="DR348" i="25"/>
  <c r="DQ348" i="25"/>
  <c r="DP348" i="25"/>
  <c r="DO348" i="25"/>
  <c r="DN348" i="25"/>
  <c r="DM348" i="25"/>
  <c r="DL348" i="25"/>
  <c r="DK348" i="25"/>
  <c r="DJ348" i="25"/>
  <c r="DG348" i="25"/>
  <c r="DE348" i="25"/>
  <c r="DD348" i="25"/>
  <c r="DC348" i="25"/>
  <c r="CW348" i="25"/>
  <c r="CV348" i="25"/>
  <c r="CU348" i="25"/>
  <c r="DB348" i="25" s="1"/>
  <c r="CT348" i="25"/>
  <c r="CL348" i="25"/>
  <c r="CK348" i="25"/>
  <c r="CC348" i="25"/>
  <c r="CD348" i="25" s="1"/>
  <c r="BX348" i="25"/>
  <c r="BW348" i="25"/>
  <c r="BV348" i="25"/>
  <c r="BU348" i="25"/>
  <c r="BT348" i="25"/>
  <c r="BR348" i="25"/>
  <c r="BQ348" i="25"/>
  <c r="G348" i="25"/>
  <c r="DR347" i="25"/>
  <c r="DQ347" i="25"/>
  <c r="DP347" i="25"/>
  <c r="DO347" i="25"/>
  <c r="DN347" i="25"/>
  <c r="DM347" i="25"/>
  <c r="DL347" i="25"/>
  <c r="CO347" i="25" s="1"/>
  <c r="DK347" i="25"/>
  <c r="DJ347" i="25"/>
  <c r="DG347" i="25"/>
  <c r="DE347" i="25"/>
  <c r="DF347" i="25" s="1"/>
  <c r="DD347" i="25"/>
  <c r="DC347" i="25"/>
  <c r="CW347" i="25"/>
  <c r="CV347" i="25"/>
  <c r="CU347" i="25"/>
  <c r="DB347" i="25" s="1"/>
  <c r="CT347" i="25"/>
  <c r="CL347" i="25"/>
  <c r="CK347" i="25"/>
  <c r="CC347" i="25"/>
  <c r="CD347" i="25" s="1"/>
  <c r="BX347" i="25"/>
  <c r="BW347" i="25"/>
  <c r="BV347" i="25"/>
  <c r="BU347" i="25"/>
  <c r="BT347" i="25"/>
  <c r="BR347" i="25"/>
  <c r="BQ347" i="25"/>
  <c r="G347" i="25"/>
  <c r="DR346" i="25"/>
  <c r="DQ346" i="25"/>
  <c r="DP346" i="25"/>
  <c r="DO346" i="25"/>
  <c r="DN346" i="25"/>
  <c r="DM346" i="25"/>
  <c r="DL346" i="25"/>
  <c r="CQ346" i="25" s="1"/>
  <c r="CR346" i="25" s="1"/>
  <c r="DK346" i="25"/>
  <c r="DJ346" i="25"/>
  <c r="DG346" i="25"/>
  <c r="DE346" i="25"/>
  <c r="DD346" i="25"/>
  <c r="DC346" i="25"/>
  <c r="CW346" i="25"/>
  <c r="CV346" i="25"/>
  <c r="CU346" i="25"/>
  <c r="CT346" i="25"/>
  <c r="CL346" i="25"/>
  <c r="CK346" i="25"/>
  <c r="CC346" i="25"/>
  <c r="CD346" i="25" s="1"/>
  <c r="BX346" i="25"/>
  <c r="BW346" i="25"/>
  <c r="BV346" i="25"/>
  <c r="BU346" i="25"/>
  <c r="BT346" i="25"/>
  <c r="BR346" i="25"/>
  <c r="BQ346" i="25"/>
  <c r="G346" i="25"/>
  <c r="DR345" i="25"/>
  <c r="DQ345" i="25"/>
  <c r="DP345" i="25"/>
  <c r="DO345" i="25"/>
  <c r="DN345" i="25"/>
  <c r="DM345" i="25"/>
  <c r="DL345" i="25"/>
  <c r="CP345" i="25" s="1"/>
  <c r="DK345" i="25"/>
  <c r="DJ345" i="25"/>
  <c r="DG345" i="25"/>
  <c r="DE345" i="25"/>
  <c r="DF345" i="25" s="1"/>
  <c r="DD345" i="25"/>
  <c r="DC345" i="25"/>
  <c r="CW345" i="25"/>
  <c r="CV345" i="25"/>
  <c r="CU345" i="25"/>
  <c r="DB345" i="25" s="1"/>
  <c r="CT345" i="25"/>
  <c r="CL345" i="25"/>
  <c r="CK345" i="25"/>
  <c r="CC345" i="25"/>
  <c r="CD345" i="25" s="1"/>
  <c r="BX345" i="25"/>
  <c r="BW345" i="25"/>
  <c r="BV345" i="25"/>
  <c r="BU345" i="25"/>
  <c r="BT345" i="25"/>
  <c r="BR345" i="25"/>
  <c r="BQ345" i="25"/>
  <c r="G345" i="25"/>
  <c r="DR206" i="25"/>
  <c r="DQ206" i="25"/>
  <c r="DP206" i="25"/>
  <c r="DO206" i="25"/>
  <c r="DN206" i="25"/>
  <c r="DM206" i="25"/>
  <c r="DL206" i="25"/>
  <c r="DK206" i="25"/>
  <c r="DJ206" i="25"/>
  <c r="DG206" i="25"/>
  <c r="DE206" i="25"/>
  <c r="DD206" i="25"/>
  <c r="DC206" i="25"/>
  <c r="CW206" i="25"/>
  <c r="CV206" i="25"/>
  <c r="CU206" i="25"/>
  <c r="DB206" i="25" s="1"/>
  <c r="CT206" i="25"/>
  <c r="CL206" i="25"/>
  <c r="CK206" i="25"/>
  <c r="CC206" i="25"/>
  <c r="BX206" i="25"/>
  <c r="BW206" i="25"/>
  <c r="BV206" i="25"/>
  <c r="BU206" i="25"/>
  <c r="BT206" i="25"/>
  <c r="BR206" i="25"/>
  <c r="BQ206" i="25"/>
  <c r="G206" i="25"/>
  <c r="DR343" i="25"/>
  <c r="DQ343" i="25"/>
  <c r="DP343" i="25"/>
  <c r="DO343" i="25"/>
  <c r="DN343" i="25"/>
  <c r="DM343" i="25"/>
  <c r="DL343" i="25"/>
  <c r="CQ343" i="25" s="1"/>
  <c r="CR343" i="25" s="1"/>
  <c r="DK343" i="25"/>
  <c r="DJ343" i="25"/>
  <c r="DG343" i="25"/>
  <c r="DE343" i="25"/>
  <c r="DD343" i="25"/>
  <c r="DC343" i="25"/>
  <c r="CW343" i="25"/>
  <c r="CV343" i="25"/>
  <c r="CU343" i="25"/>
  <c r="DB343" i="25" s="1"/>
  <c r="CT343" i="25"/>
  <c r="CL343" i="25"/>
  <c r="CK343" i="25"/>
  <c r="CC343" i="25"/>
  <c r="CD343" i="25" s="1"/>
  <c r="BX343" i="25"/>
  <c r="BW343" i="25"/>
  <c r="BV343" i="25"/>
  <c r="BU343" i="25"/>
  <c r="BT343" i="25"/>
  <c r="BR343" i="25"/>
  <c r="BQ343" i="25"/>
  <c r="G343" i="25"/>
  <c r="DR342" i="25"/>
  <c r="DQ342" i="25"/>
  <c r="DP342" i="25"/>
  <c r="DO342" i="25"/>
  <c r="DN342" i="25"/>
  <c r="DM342" i="25"/>
  <c r="DL342" i="25"/>
  <c r="CQ342" i="25" s="1"/>
  <c r="CR342" i="25" s="1"/>
  <c r="DK342" i="25"/>
  <c r="DJ342" i="25"/>
  <c r="DG342" i="25"/>
  <c r="DE342" i="25"/>
  <c r="DD342" i="25"/>
  <c r="DC342" i="25"/>
  <c r="CW342" i="25"/>
  <c r="CV342" i="25"/>
  <c r="CU342" i="25"/>
  <c r="DB342" i="25" s="1"/>
  <c r="CT342" i="25"/>
  <c r="CL342" i="25"/>
  <c r="CK342" i="25"/>
  <c r="CC342" i="25"/>
  <c r="CD342" i="25" s="1"/>
  <c r="BX342" i="25"/>
  <c r="BW342" i="25"/>
  <c r="BV342" i="25"/>
  <c r="BU342" i="25"/>
  <c r="BT342" i="25"/>
  <c r="BR342" i="25"/>
  <c r="BQ342" i="25"/>
  <c r="G342" i="25"/>
  <c r="DR341" i="25"/>
  <c r="DQ341" i="25"/>
  <c r="DP341" i="25"/>
  <c r="DO341" i="25"/>
  <c r="DN341" i="25"/>
  <c r="DM341" i="25"/>
  <c r="DL341" i="25"/>
  <c r="CP341" i="25" s="1"/>
  <c r="DK341" i="25"/>
  <c r="DJ341" i="25"/>
  <c r="DG341" i="25"/>
  <c r="DE341" i="25"/>
  <c r="DD341" i="25"/>
  <c r="DC341" i="25"/>
  <c r="CW341" i="25"/>
  <c r="CV341" i="25"/>
  <c r="CU341" i="25"/>
  <c r="DB341" i="25" s="1"/>
  <c r="CT341" i="25"/>
  <c r="CL341" i="25"/>
  <c r="CK341" i="25"/>
  <c r="CC341" i="25"/>
  <c r="CD341" i="25" s="1"/>
  <c r="BX341" i="25"/>
  <c r="BW341" i="25"/>
  <c r="BV341" i="25"/>
  <c r="BU341" i="25"/>
  <c r="BT341" i="25"/>
  <c r="BR341" i="25"/>
  <c r="BQ341" i="25"/>
  <c r="G341" i="25"/>
  <c r="DR340" i="25"/>
  <c r="DQ340" i="25"/>
  <c r="DP340" i="25"/>
  <c r="DO340" i="25"/>
  <c r="DN340" i="25"/>
  <c r="DM340" i="25"/>
  <c r="DL340" i="25"/>
  <c r="CQ340" i="25" s="1"/>
  <c r="CR340" i="25" s="1"/>
  <c r="DK340" i="25"/>
  <c r="DJ340" i="25"/>
  <c r="DG340" i="25"/>
  <c r="DE340" i="25"/>
  <c r="DD340" i="25"/>
  <c r="DC340" i="25"/>
  <c r="CW340" i="25"/>
  <c r="CV340" i="25"/>
  <c r="CU340" i="25"/>
  <c r="DB340" i="25" s="1"/>
  <c r="CT340" i="25"/>
  <c r="CL340" i="25"/>
  <c r="CK340" i="25"/>
  <c r="CC340" i="25"/>
  <c r="BX340" i="25"/>
  <c r="BW340" i="25"/>
  <c r="BV340" i="25"/>
  <c r="BU340" i="25"/>
  <c r="BT340" i="25"/>
  <c r="BR340" i="25"/>
  <c r="BQ340" i="25"/>
  <c r="G340" i="25"/>
  <c r="DR339" i="25"/>
  <c r="DQ339" i="25"/>
  <c r="DP339" i="25"/>
  <c r="DO339" i="25"/>
  <c r="DN339" i="25"/>
  <c r="DM339" i="25"/>
  <c r="DL339" i="25"/>
  <c r="DK339" i="25"/>
  <c r="DJ339" i="25"/>
  <c r="DG339" i="25"/>
  <c r="DE339" i="25"/>
  <c r="DF339" i="25" s="1"/>
  <c r="DD339" i="25"/>
  <c r="DC339" i="25"/>
  <c r="CW339" i="25"/>
  <c r="CV339" i="25"/>
  <c r="CU339" i="25"/>
  <c r="DB339" i="25" s="1"/>
  <c r="CT339" i="25"/>
  <c r="CL339" i="25"/>
  <c r="CK339" i="25"/>
  <c r="CC339" i="25"/>
  <c r="CD339" i="25" s="1"/>
  <c r="BX339" i="25"/>
  <c r="BW339" i="25"/>
  <c r="BV339" i="25"/>
  <c r="BU339" i="25"/>
  <c r="BT339" i="25"/>
  <c r="BR339" i="25"/>
  <c r="BQ339" i="25"/>
  <c r="G339" i="25"/>
  <c r="DR338" i="25"/>
  <c r="DQ338" i="25"/>
  <c r="DP338" i="25"/>
  <c r="DO338" i="25"/>
  <c r="DN338" i="25"/>
  <c r="DM338" i="25"/>
  <c r="DL338" i="25"/>
  <c r="CQ338" i="25" s="1"/>
  <c r="CR338" i="25" s="1"/>
  <c r="DK338" i="25"/>
  <c r="DJ338" i="25"/>
  <c r="DG338" i="25"/>
  <c r="DE338" i="25"/>
  <c r="DF338" i="25" s="1"/>
  <c r="DD338" i="25"/>
  <c r="DC338" i="25"/>
  <c r="CW338" i="25"/>
  <c r="CV338" i="25"/>
  <c r="CU338" i="25"/>
  <c r="DB338" i="25" s="1"/>
  <c r="CT338" i="25"/>
  <c r="CL338" i="25"/>
  <c r="CK338" i="25"/>
  <c r="CC338" i="25"/>
  <c r="CD338" i="25" s="1"/>
  <c r="BX338" i="25"/>
  <c r="BW338" i="25"/>
  <c r="BV338" i="25"/>
  <c r="BU338" i="25"/>
  <c r="BT338" i="25"/>
  <c r="BR338" i="25"/>
  <c r="BQ338" i="25"/>
  <c r="G338" i="25"/>
  <c r="DR337" i="25"/>
  <c r="DQ337" i="25"/>
  <c r="DP337" i="25"/>
  <c r="DO337" i="25"/>
  <c r="DN337" i="25"/>
  <c r="DM337" i="25"/>
  <c r="DL337" i="25"/>
  <c r="CO337" i="25" s="1"/>
  <c r="DK337" i="25"/>
  <c r="DJ337" i="25"/>
  <c r="DG337" i="25"/>
  <c r="DE337" i="25"/>
  <c r="DF337" i="25" s="1"/>
  <c r="DD337" i="25"/>
  <c r="DC337" i="25"/>
  <c r="CW337" i="25"/>
  <c r="CV337" i="25"/>
  <c r="CU337" i="25"/>
  <c r="DB337" i="25" s="1"/>
  <c r="CT337" i="25"/>
  <c r="CL337" i="25"/>
  <c r="CK337" i="25"/>
  <c r="CC337" i="25"/>
  <c r="CD337" i="25" s="1"/>
  <c r="BX337" i="25"/>
  <c r="BW337" i="25"/>
  <c r="BV337" i="25"/>
  <c r="BU337" i="25"/>
  <c r="BT337" i="25"/>
  <c r="BR337" i="25"/>
  <c r="BQ337" i="25"/>
  <c r="G337" i="25"/>
  <c r="DR336" i="25"/>
  <c r="DQ336" i="25"/>
  <c r="DP336" i="25"/>
  <c r="DO336" i="25"/>
  <c r="DN336" i="25"/>
  <c r="DM336" i="25"/>
  <c r="DL336" i="25"/>
  <c r="CP336" i="25" s="1"/>
  <c r="DK336" i="25"/>
  <c r="DJ336" i="25"/>
  <c r="DG336" i="25"/>
  <c r="DE336" i="25"/>
  <c r="DD336" i="25"/>
  <c r="DC336" i="25"/>
  <c r="CW336" i="25"/>
  <c r="CV336" i="25"/>
  <c r="CU336" i="25"/>
  <c r="DB336" i="25" s="1"/>
  <c r="CT336" i="25"/>
  <c r="CL336" i="25"/>
  <c r="CK336" i="25"/>
  <c r="CC336" i="25"/>
  <c r="CD336" i="25" s="1"/>
  <c r="BX336" i="25"/>
  <c r="BW336" i="25"/>
  <c r="BV336" i="25"/>
  <c r="BU336" i="25"/>
  <c r="BT336" i="25"/>
  <c r="BR336" i="25"/>
  <c r="BQ336" i="25"/>
  <c r="G336" i="25"/>
  <c r="DR335" i="25"/>
  <c r="DQ335" i="25"/>
  <c r="DP335" i="25"/>
  <c r="DO335" i="25"/>
  <c r="DN335" i="25"/>
  <c r="DM335" i="25"/>
  <c r="DL335" i="25"/>
  <c r="CP335" i="25" s="1"/>
  <c r="DK335" i="25"/>
  <c r="DJ335" i="25"/>
  <c r="DG335" i="25"/>
  <c r="DE335" i="25"/>
  <c r="DD335" i="25"/>
  <c r="DC335" i="25"/>
  <c r="CW335" i="25"/>
  <c r="CV335" i="25"/>
  <c r="CU335" i="25"/>
  <c r="DB335" i="25" s="1"/>
  <c r="CT335" i="25"/>
  <c r="CL335" i="25"/>
  <c r="CK335" i="25"/>
  <c r="CC335" i="25"/>
  <c r="CD335" i="25" s="1"/>
  <c r="BX335" i="25"/>
  <c r="BW335" i="25"/>
  <c r="BV335" i="25"/>
  <c r="BU335" i="25"/>
  <c r="BT335" i="25"/>
  <c r="BR335" i="25"/>
  <c r="BQ335" i="25"/>
  <c r="G335" i="25"/>
  <c r="DR334" i="25"/>
  <c r="DQ334" i="25"/>
  <c r="DP334" i="25"/>
  <c r="DO334" i="25"/>
  <c r="DN334" i="25"/>
  <c r="DM334" i="25"/>
  <c r="DL334" i="25"/>
  <c r="CQ334" i="25" s="1"/>
  <c r="CR334" i="25" s="1"/>
  <c r="DK334" i="25"/>
  <c r="DJ334" i="25"/>
  <c r="DG334" i="25"/>
  <c r="DE334" i="25"/>
  <c r="DF334" i="25" s="1"/>
  <c r="DD334" i="25"/>
  <c r="DC334" i="25"/>
  <c r="CW334" i="25"/>
  <c r="CV334" i="25"/>
  <c r="CU334" i="25"/>
  <c r="DB334" i="25" s="1"/>
  <c r="CT334" i="25"/>
  <c r="CL334" i="25"/>
  <c r="CK334" i="25"/>
  <c r="CC334" i="25"/>
  <c r="CD334" i="25" s="1"/>
  <c r="BX334" i="25"/>
  <c r="BW334" i="25"/>
  <c r="BV334" i="25"/>
  <c r="BU334" i="25"/>
  <c r="BT334" i="25"/>
  <c r="BR334" i="25"/>
  <c r="BQ334" i="25"/>
  <c r="G334" i="25"/>
  <c r="DR332" i="25"/>
  <c r="DQ332" i="25"/>
  <c r="DP332" i="25"/>
  <c r="DO332" i="25"/>
  <c r="DN332" i="25"/>
  <c r="DM332" i="25"/>
  <c r="DL332" i="25"/>
  <c r="CO332" i="25" s="1"/>
  <c r="DK332" i="25"/>
  <c r="DJ332" i="25"/>
  <c r="DG332" i="25"/>
  <c r="DE332" i="25"/>
  <c r="DF332" i="25" s="1"/>
  <c r="DD332" i="25"/>
  <c r="DC332" i="25"/>
  <c r="CW332" i="25"/>
  <c r="CV332" i="25"/>
  <c r="CU332" i="25"/>
  <c r="DB332" i="25" s="1"/>
  <c r="CT332" i="25"/>
  <c r="CL332" i="25"/>
  <c r="CK332" i="25"/>
  <c r="CC332" i="25"/>
  <c r="CD332" i="25" s="1"/>
  <c r="BX332" i="25"/>
  <c r="BW332" i="25"/>
  <c r="BV332" i="25"/>
  <c r="BU332" i="25"/>
  <c r="BT332" i="25"/>
  <c r="BR332" i="25"/>
  <c r="BQ332" i="25"/>
  <c r="G332" i="25"/>
  <c r="DR331" i="25"/>
  <c r="DQ331" i="25"/>
  <c r="DP331" i="25"/>
  <c r="DO331" i="25"/>
  <c r="DN331" i="25"/>
  <c r="DM331" i="25"/>
  <c r="DL331" i="25"/>
  <c r="CO331" i="25" s="1"/>
  <c r="DK331" i="25"/>
  <c r="DJ331" i="25"/>
  <c r="DG331" i="25"/>
  <c r="DE331" i="25"/>
  <c r="DD331" i="25"/>
  <c r="DC331" i="25"/>
  <c r="CW331" i="25"/>
  <c r="CV331" i="25"/>
  <c r="CU331" i="25"/>
  <c r="DB331" i="25" s="1"/>
  <c r="CT331" i="25"/>
  <c r="CL331" i="25"/>
  <c r="CK331" i="25"/>
  <c r="CC331" i="25"/>
  <c r="CD331" i="25" s="1"/>
  <c r="BX331" i="25"/>
  <c r="BW331" i="25"/>
  <c r="BV331" i="25"/>
  <c r="BU331" i="25"/>
  <c r="BT331" i="25"/>
  <c r="BR331" i="25"/>
  <c r="BQ331" i="25"/>
  <c r="G331" i="25"/>
  <c r="DR330" i="25"/>
  <c r="DQ330" i="25"/>
  <c r="DP330" i="25"/>
  <c r="DO330" i="25"/>
  <c r="DN330" i="25"/>
  <c r="DM330" i="25"/>
  <c r="DL330" i="25"/>
  <c r="CQ330" i="25" s="1"/>
  <c r="CR330" i="25" s="1"/>
  <c r="DK330" i="25"/>
  <c r="DJ330" i="25"/>
  <c r="DG330" i="25"/>
  <c r="DE330" i="25"/>
  <c r="DD330" i="25"/>
  <c r="DC330" i="25"/>
  <c r="CW330" i="25"/>
  <c r="CV330" i="25"/>
  <c r="CU330" i="25"/>
  <c r="DB330" i="25" s="1"/>
  <c r="CT330" i="25"/>
  <c r="CL330" i="25"/>
  <c r="CK330" i="25"/>
  <c r="CC330" i="25"/>
  <c r="CD330" i="25" s="1"/>
  <c r="BX330" i="25"/>
  <c r="BW330" i="25"/>
  <c r="BV330" i="25"/>
  <c r="BU330" i="25"/>
  <c r="BT330" i="25"/>
  <c r="BR330" i="25"/>
  <c r="BQ330" i="25"/>
  <c r="G330" i="25"/>
  <c r="DR329" i="25"/>
  <c r="DQ329" i="25"/>
  <c r="DP329" i="25"/>
  <c r="DO329" i="25"/>
  <c r="DN329" i="25"/>
  <c r="DM329" i="25"/>
  <c r="DL329" i="25"/>
  <c r="CQ329" i="25" s="1"/>
  <c r="CR329" i="25" s="1"/>
  <c r="DK329" i="25"/>
  <c r="DJ329" i="25"/>
  <c r="DG329" i="25"/>
  <c r="DE329" i="25"/>
  <c r="DF329" i="25" s="1"/>
  <c r="DD329" i="25"/>
  <c r="DC329" i="25"/>
  <c r="CW329" i="25"/>
  <c r="CV329" i="25"/>
  <c r="CU329" i="25"/>
  <c r="CT329" i="25"/>
  <c r="CL329" i="25"/>
  <c r="CK329" i="25"/>
  <c r="CC329" i="25"/>
  <c r="CD329" i="25" s="1"/>
  <c r="BX329" i="25"/>
  <c r="BW329" i="25"/>
  <c r="BV329" i="25"/>
  <c r="BU329" i="25"/>
  <c r="BT329" i="25"/>
  <c r="BR329" i="25"/>
  <c r="BQ329" i="25"/>
  <c r="G329" i="25"/>
  <c r="DR328" i="25"/>
  <c r="DQ328" i="25"/>
  <c r="DP328" i="25"/>
  <c r="DO328" i="25"/>
  <c r="DN328" i="25"/>
  <c r="DM328" i="25"/>
  <c r="DL328" i="25"/>
  <c r="CO328" i="25" s="1"/>
  <c r="DK328" i="25"/>
  <c r="DJ328" i="25"/>
  <c r="DG328" i="25"/>
  <c r="DE328" i="25"/>
  <c r="DF328" i="25" s="1"/>
  <c r="DD328" i="25"/>
  <c r="DC328" i="25"/>
  <c r="CW328" i="25"/>
  <c r="CV328" i="25"/>
  <c r="CU328" i="25"/>
  <c r="DB328" i="25" s="1"/>
  <c r="CT328" i="25"/>
  <c r="CL328" i="25"/>
  <c r="CK328" i="25"/>
  <c r="CC328" i="25"/>
  <c r="CD328" i="25" s="1"/>
  <c r="BX328" i="25"/>
  <c r="BW328" i="25"/>
  <c r="BV328" i="25"/>
  <c r="BU328" i="25"/>
  <c r="BT328" i="25"/>
  <c r="BR328" i="25"/>
  <c r="BQ328" i="25"/>
  <c r="G328" i="25"/>
  <c r="DR327" i="25"/>
  <c r="DQ327" i="25"/>
  <c r="DP327" i="25"/>
  <c r="DO327" i="25"/>
  <c r="DN327" i="25"/>
  <c r="DM327" i="25"/>
  <c r="DL327" i="25"/>
  <c r="DK327" i="25"/>
  <c r="DJ327" i="25"/>
  <c r="DG327" i="25"/>
  <c r="DE327" i="25"/>
  <c r="DF327" i="25" s="1"/>
  <c r="DD327" i="25"/>
  <c r="DC327" i="25"/>
  <c r="CW327" i="25"/>
  <c r="CV327" i="25"/>
  <c r="CU327" i="25"/>
  <c r="DB327" i="25" s="1"/>
  <c r="CT327" i="25"/>
  <c r="CL327" i="25"/>
  <c r="CK327" i="25"/>
  <c r="CC327" i="25"/>
  <c r="CD327" i="25" s="1"/>
  <c r="BX327" i="25"/>
  <c r="BW327" i="25"/>
  <c r="BV327" i="25"/>
  <c r="BU327" i="25"/>
  <c r="BT327" i="25"/>
  <c r="BR327" i="25"/>
  <c r="BQ327" i="25"/>
  <c r="G327" i="25"/>
  <c r="DR326" i="25"/>
  <c r="DQ326" i="25"/>
  <c r="DP326" i="25"/>
  <c r="DO326" i="25"/>
  <c r="DN326" i="25"/>
  <c r="DM326" i="25"/>
  <c r="DL326" i="25"/>
  <c r="CQ326" i="25" s="1"/>
  <c r="CR326" i="25" s="1"/>
  <c r="DK326" i="25"/>
  <c r="DJ326" i="25"/>
  <c r="DG326" i="25"/>
  <c r="DE326" i="25"/>
  <c r="DD326" i="25"/>
  <c r="DC326" i="25"/>
  <c r="CW326" i="25"/>
  <c r="CV326" i="25"/>
  <c r="CU326" i="25"/>
  <c r="DB326" i="25" s="1"/>
  <c r="CT326" i="25"/>
  <c r="CL326" i="25"/>
  <c r="CK326" i="25"/>
  <c r="CC326" i="25"/>
  <c r="CD326" i="25" s="1"/>
  <c r="BX326" i="25"/>
  <c r="BW326" i="25"/>
  <c r="BV326" i="25"/>
  <c r="BU326" i="25"/>
  <c r="BT326" i="25"/>
  <c r="BR326" i="25"/>
  <c r="BQ326" i="25"/>
  <c r="G326" i="25"/>
  <c r="DR325" i="25"/>
  <c r="DQ325" i="25"/>
  <c r="DP325" i="25"/>
  <c r="DO325" i="25"/>
  <c r="DN325" i="25"/>
  <c r="DM325" i="25"/>
  <c r="DL325" i="25"/>
  <c r="DK325" i="25"/>
  <c r="DJ325" i="25"/>
  <c r="DG325" i="25"/>
  <c r="DE325" i="25"/>
  <c r="DF325" i="25" s="1"/>
  <c r="DD325" i="25"/>
  <c r="DC325" i="25"/>
  <c r="CW325" i="25"/>
  <c r="CV325" i="25"/>
  <c r="CU325" i="25"/>
  <c r="CT325" i="25"/>
  <c r="CL325" i="25"/>
  <c r="CK325" i="25"/>
  <c r="CC325" i="25"/>
  <c r="CD325" i="25" s="1"/>
  <c r="BX325" i="25"/>
  <c r="BW325" i="25"/>
  <c r="BV325" i="25"/>
  <c r="BU325" i="25"/>
  <c r="BT325" i="25"/>
  <c r="BR325" i="25"/>
  <c r="BQ325" i="25"/>
  <c r="G325" i="25"/>
  <c r="DR324" i="25"/>
  <c r="DQ324" i="25"/>
  <c r="DP324" i="25"/>
  <c r="DO324" i="25"/>
  <c r="DN324" i="25"/>
  <c r="DM324" i="25"/>
  <c r="DL324" i="25"/>
  <c r="CO324" i="25" s="1"/>
  <c r="DK324" i="25"/>
  <c r="DJ324" i="25"/>
  <c r="DG324" i="25"/>
  <c r="DE324" i="25"/>
  <c r="DD324" i="25"/>
  <c r="DC324" i="25"/>
  <c r="CW324" i="25"/>
  <c r="CV324" i="25"/>
  <c r="CU324" i="25"/>
  <c r="DB324" i="25" s="1"/>
  <c r="CT324" i="25"/>
  <c r="CL324" i="25"/>
  <c r="CK324" i="25"/>
  <c r="CC324" i="25"/>
  <c r="CD324" i="25" s="1"/>
  <c r="BX324" i="25"/>
  <c r="BW324" i="25"/>
  <c r="BV324" i="25"/>
  <c r="BU324" i="25"/>
  <c r="BT324" i="25"/>
  <c r="BR324" i="25"/>
  <c r="BQ324" i="25"/>
  <c r="G324" i="25"/>
  <c r="DR323" i="25"/>
  <c r="DQ323" i="25"/>
  <c r="DP323" i="25"/>
  <c r="DO323" i="25"/>
  <c r="DN323" i="25"/>
  <c r="DM323" i="25"/>
  <c r="DL323" i="25"/>
  <c r="CP323" i="25" s="1"/>
  <c r="DK323" i="25"/>
  <c r="DJ323" i="25"/>
  <c r="DG323" i="25"/>
  <c r="DE323" i="25"/>
  <c r="DD323" i="25"/>
  <c r="DC323" i="25"/>
  <c r="CW323" i="25"/>
  <c r="CV323" i="25"/>
  <c r="CU323" i="25"/>
  <c r="DB323" i="25" s="1"/>
  <c r="CT323" i="25"/>
  <c r="CL323" i="25"/>
  <c r="CK323" i="25"/>
  <c r="CC323" i="25"/>
  <c r="CD323" i="25" s="1"/>
  <c r="BX323" i="25"/>
  <c r="BW323" i="25"/>
  <c r="BV323" i="25"/>
  <c r="BU323" i="25"/>
  <c r="BT323" i="25"/>
  <c r="BR323" i="25"/>
  <c r="BQ323" i="25"/>
  <c r="G323" i="25"/>
  <c r="DR322" i="25"/>
  <c r="DQ322" i="25"/>
  <c r="DP322" i="25"/>
  <c r="DO322" i="25"/>
  <c r="DN322" i="25"/>
  <c r="DM322" i="25"/>
  <c r="DL322" i="25"/>
  <c r="CQ322" i="25" s="1"/>
  <c r="CR322" i="25" s="1"/>
  <c r="DK322" i="25"/>
  <c r="DJ322" i="25"/>
  <c r="DG322" i="25"/>
  <c r="DE322" i="25"/>
  <c r="DD322" i="25"/>
  <c r="DC322" i="25"/>
  <c r="CW322" i="25"/>
  <c r="CV322" i="25"/>
  <c r="CU322" i="25"/>
  <c r="DB322" i="25" s="1"/>
  <c r="CT322" i="25"/>
  <c r="CL322" i="25"/>
  <c r="CK322" i="25"/>
  <c r="CC322" i="25"/>
  <c r="CD322" i="25" s="1"/>
  <c r="BX322" i="25"/>
  <c r="BW322" i="25"/>
  <c r="BV322" i="25"/>
  <c r="BU322" i="25"/>
  <c r="BT322" i="25"/>
  <c r="BR322" i="25"/>
  <c r="BQ322" i="25"/>
  <c r="G322" i="25"/>
  <c r="DR321" i="25"/>
  <c r="DQ321" i="25"/>
  <c r="DP321" i="25"/>
  <c r="DO321" i="25"/>
  <c r="DN321" i="25"/>
  <c r="DM321" i="25"/>
  <c r="DL321" i="25"/>
  <c r="DK321" i="25"/>
  <c r="DJ321" i="25"/>
  <c r="DG321" i="25"/>
  <c r="DE321" i="25"/>
  <c r="DF321" i="25" s="1"/>
  <c r="DD321" i="25"/>
  <c r="DC321" i="25"/>
  <c r="CW321" i="25"/>
  <c r="CV321" i="25"/>
  <c r="CU321" i="25"/>
  <c r="DB321" i="25" s="1"/>
  <c r="CT321" i="25"/>
  <c r="CL321" i="25"/>
  <c r="CK321" i="25"/>
  <c r="CC321" i="25"/>
  <c r="CD321" i="25" s="1"/>
  <c r="BX321" i="25"/>
  <c r="BW321" i="25"/>
  <c r="BV321" i="25"/>
  <c r="BU321" i="25"/>
  <c r="BT321" i="25"/>
  <c r="BR321" i="25"/>
  <c r="BQ321" i="25"/>
  <c r="G321" i="25"/>
  <c r="DR320" i="25"/>
  <c r="DQ320" i="25"/>
  <c r="DP320" i="25"/>
  <c r="DO320" i="25"/>
  <c r="DN320" i="25"/>
  <c r="DM320" i="25"/>
  <c r="DL320" i="25"/>
  <c r="DK320" i="25"/>
  <c r="DJ320" i="25"/>
  <c r="DG320" i="25"/>
  <c r="DE320" i="25"/>
  <c r="DF320" i="25" s="1"/>
  <c r="DD320" i="25"/>
  <c r="DC320" i="25"/>
  <c r="CW320" i="25"/>
  <c r="CV320" i="25"/>
  <c r="CU320" i="25"/>
  <c r="DB320" i="25" s="1"/>
  <c r="CT320" i="25"/>
  <c r="CL320" i="25"/>
  <c r="CK320" i="25"/>
  <c r="CC320" i="25"/>
  <c r="CD320" i="25" s="1"/>
  <c r="BX320" i="25"/>
  <c r="BW320" i="25"/>
  <c r="BV320" i="25"/>
  <c r="BU320" i="25"/>
  <c r="BT320" i="25"/>
  <c r="BR320" i="25"/>
  <c r="BQ320" i="25"/>
  <c r="G320" i="25"/>
  <c r="DR319" i="25"/>
  <c r="DQ319" i="25"/>
  <c r="DP319" i="25"/>
  <c r="DO319" i="25"/>
  <c r="DN319" i="25"/>
  <c r="DM319" i="25"/>
  <c r="DL319" i="25"/>
  <c r="DK319" i="25"/>
  <c r="DJ319" i="25"/>
  <c r="DG319" i="25"/>
  <c r="DE319" i="25"/>
  <c r="DD319" i="25"/>
  <c r="DC319" i="25"/>
  <c r="CW319" i="25"/>
  <c r="CV319" i="25"/>
  <c r="CU319" i="25"/>
  <c r="DB319" i="25" s="1"/>
  <c r="CT319" i="25"/>
  <c r="CL319" i="25"/>
  <c r="CK319" i="25"/>
  <c r="CC319" i="25"/>
  <c r="CD319" i="25" s="1"/>
  <c r="BX319" i="25"/>
  <c r="BW319" i="25"/>
  <c r="BV319" i="25"/>
  <c r="BU319" i="25"/>
  <c r="BT319" i="25"/>
  <c r="BR319" i="25"/>
  <c r="BQ319" i="25"/>
  <c r="G319" i="25"/>
  <c r="DR318" i="25"/>
  <c r="DQ318" i="25"/>
  <c r="DP318" i="25"/>
  <c r="DO318" i="25"/>
  <c r="DN318" i="25"/>
  <c r="DM318" i="25"/>
  <c r="DL318" i="25"/>
  <c r="CQ318" i="25" s="1"/>
  <c r="CR318" i="25" s="1"/>
  <c r="DK318" i="25"/>
  <c r="DJ318" i="25"/>
  <c r="DG318" i="25"/>
  <c r="DE318" i="25"/>
  <c r="DD318" i="25"/>
  <c r="DC318" i="25"/>
  <c r="CW318" i="25"/>
  <c r="CV318" i="25"/>
  <c r="CU318" i="25"/>
  <c r="DB318" i="25" s="1"/>
  <c r="CT318" i="25"/>
  <c r="CL318" i="25"/>
  <c r="CK318" i="25"/>
  <c r="CC318" i="25"/>
  <c r="CD318" i="25" s="1"/>
  <c r="BX318" i="25"/>
  <c r="BW318" i="25"/>
  <c r="BV318" i="25"/>
  <c r="BU318" i="25"/>
  <c r="BT318" i="25"/>
  <c r="BR318" i="25"/>
  <c r="BQ318" i="25"/>
  <c r="G318" i="25"/>
  <c r="DR317" i="25"/>
  <c r="DQ317" i="25"/>
  <c r="DP317" i="25"/>
  <c r="DO317" i="25"/>
  <c r="DN317" i="25"/>
  <c r="DM317" i="25"/>
  <c r="DL317" i="25"/>
  <c r="CP317" i="25" s="1"/>
  <c r="DK317" i="25"/>
  <c r="DJ317" i="25"/>
  <c r="DG317" i="25"/>
  <c r="DE317" i="25"/>
  <c r="DF317" i="25" s="1"/>
  <c r="DD317" i="25"/>
  <c r="DC317" i="25"/>
  <c r="CW317" i="25"/>
  <c r="CV317" i="25"/>
  <c r="CU317" i="25"/>
  <c r="DB317" i="25" s="1"/>
  <c r="CT317" i="25"/>
  <c r="CL317" i="25"/>
  <c r="CK317" i="25"/>
  <c r="CC317" i="25"/>
  <c r="BX317" i="25"/>
  <c r="BW317" i="25"/>
  <c r="BV317" i="25"/>
  <c r="BU317" i="25"/>
  <c r="BT317" i="25"/>
  <c r="BR317" i="25"/>
  <c r="BQ317" i="25"/>
  <c r="G317" i="25"/>
  <c r="DR316" i="25"/>
  <c r="DQ316" i="25"/>
  <c r="DP316" i="25"/>
  <c r="DO316" i="25"/>
  <c r="DN316" i="25"/>
  <c r="DM316" i="25"/>
  <c r="DL316" i="25"/>
  <c r="CQ316" i="25" s="1"/>
  <c r="CR316" i="25" s="1"/>
  <c r="DK316" i="25"/>
  <c r="DJ316" i="25"/>
  <c r="DG316" i="25"/>
  <c r="DE316" i="25"/>
  <c r="DF316" i="25" s="1"/>
  <c r="DD316" i="25"/>
  <c r="DC316" i="25"/>
  <c r="CW316" i="25"/>
  <c r="CV316" i="25"/>
  <c r="CU316" i="25"/>
  <c r="DB316" i="25" s="1"/>
  <c r="CT316" i="25"/>
  <c r="CL316" i="25"/>
  <c r="CK316" i="25"/>
  <c r="CC316" i="25"/>
  <c r="CD316" i="25" s="1"/>
  <c r="BX316" i="25"/>
  <c r="BW316" i="25"/>
  <c r="BV316" i="25"/>
  <c r="BU316" i="25"/>
  <c r="BT316" i="25"/>
  <c r="BR316" i="25"/>
  <c r="BQ316" i="25"/>
  <c r="G316" i="25"/>
  <c r="DR315" i="25"/>
  <c r="DQ315" i="25"/>
  <c r="DP315" i="25"/>
  <c r="DO315" i="25"/>
  <c r="DN315" i="25"/>
  <c r="DM315" i="25"/>
  <c r="DL315" i="25"/>
  <c r="DK315" i="25"/>
  <c r="DJ315" i="25"/>
  <c r="DG315" i="25"/>
  <c r="DE315" i="25"/>
  <c r="DF315" i="25" s="1"/>
  <c r="DD315" i="25"/>
  <c r="DC315" i="25"/>
  <c r="CW315" i="25"/>
  <c r="CV315" i="25"/>
  <c r="CU315" i="25"/>
  <c r="DB315" i="25" s="1"/>
  <c r="CT315" i="25"/>
  <c r="CL315" i="25"/>
  <c r="CK315" i="25"/>
  <c r="CC315" i="25"/>
  <c r="CD315" i="25" s="1"/>
  <c r="BX315" i="25"/>
  <c r="BW315" i="25"/>
  <c r="BV315" i="25"/>
  <c r="BU315" i="25"/>
  <c r="BT315" i="25"/>
  <c r="BR315" i="25"/>
  <c r="BQ315" i="25"/>
  <c r="G315" i="25"/>
  <c r="DR314" i="25"/>
  <c r="DQ314" i="25"/>
  <c r="DP314" i="25"/>
  <c r="DO314" i="25"/>
  <c r="DN314" i="25"/>
  <c r="DM314" i="25"/>
  <c r="DL314" i="25"/>
  <c r="CP314" i="25" s="1"/>
  <c r="DK314" i="25"/>
  <c r="DJ314" i="25"/>
  <c r="DG314" i="25"/>
  <c r="DE314" i="25"/>
  <c r="DF314" i="25" s="1"/>
  <c r="DD314" i="25"/>
  <c r="DC314" i="25"/>
  <c r="CW314" i="25"/>
  <c r="CV314" i="25"/>
  <c r="CU314" i="25"/>
  <c r="DB314" i="25" s="1"/>
  <c r="CT314" i="25"/>
  <c r="CL314" i="25"/>
  <c r="CK314" i="25"/>
  <c r="CC314" i="25"/>
  <c r="CD314" i="25" s="1"/>
  <c r="BX314" i="25"/>
  <c r="BW314" i="25"/>
  <c r="BV314" i="25"/>
  <c r="BU314" i="25"/>
  <c r="BT314" i="25"/>
  <c r="BR314" i="25"/>
  <c r="BQ314" i="25"/>
  <c r="G314" i="25"/>
  <c r="DR313" i="25"/>
  <c r="DQ313" i="25"/>
  <c r="DP313" i="25"/>
  <c r="DO313" i="25"/>
  <c r="DN313" i="25"/>
  <c r="DM313" i="25"/>
  <c r="DL313" i="25"/>
  <c r="CP313" i="25" s="1"/>
  <c r="DK313" i="25"/>
  <c r="DJ313" i="25"/>
  <c r="DG313" i="25"/>
  <c r="DE313" i="25"/>
  <c r="DD313" i="25"/>
  <c r="DC313" i="25"/>
  <c r="CW313" i="25"/>
  <c r="CV313" i="25"/>
  <c r="CU313" i="25"/>
  <c r="DB313" i="25" s="1"/>
  <c r="CT313" i="25"/>
  <c r="CL313" i="25"/>
  <c r="CK313" i="25"/>
  <c r="CC313" i="25"/>
  <c r="CD313" i="25" s="1"/>
  <c r="BX313" i="25"/>
  <c r="BW313" i="25"/>
  <c r="BV313" i="25"/>
  <c r="BU313" i="25"/>
  <c r="BT313" i="25"/>
  <c r="BR313" i="25"/>
  <c r="BQ313" i="25"/>
  <c r="G313" i="25"/>
  <c r="DR312" i="25"/>
  <c r="DQ312" i="25"/>
  <c r="DP312" i="25"/>
  <c r="DO312" i="25"/>
  <c r="DN312" i="25"/>
  <c r="DM312" i="25"/>
  <c r="DL312" i="25"/>
  <c r="CQ312" i="25" s="1"/>
  <c r="CR312" i="25" s="1"/>
  <c r="DK312" i="25"/>
  <c r="DJ312" i="25"/>
  <c r="DG312" i="25"/>
  <c r="DE312" i="25"/>
  <c r="DF312" i="25" s="1"/>
  <c r="DD312" i="25"/>
  <c r="DC312" i="25"/>
  <c r="CW312" i="25"/>
  <c r="CV312" i="25"/>
  <c r="CU312" i="25"/>
  <c r="DB312" i="25" s="1"/>
  <c r="CT312" i="25"/>
  <c r="CL312" i="25"/>
  <c r="CK312" i="25"/>
  <c r="CC312" i="25"/>
  <c r="CD312" i="25" s="1"/>
  <c r="BX312" i="25"/>
  <c r="BW312" i="25"/>
  <c r="BV312" i="25"/>
  <c r="BU312" i="25"/>
  <c r="BT312" i="25"/>
  <c r="BR312" i="25"/>
  <c r="BQ312" i="25"/>
  <c r="G312" i="25"/>
  <c r="DR311" i="25"/>
  <c r="DQ311" i="25"/>
  <c r="DP311" i="25"/>
  <c r="DO311" i="25"/>
  <c r="DN311" i="25"/>
  <c r="DM311" i="25"/>
  <c r="DL311" i="25"/>
  <c r="CQ311" i="25" s="1"/>
  <c r="CR311" i="25" s="1"/>
  <c r="DK311" i="25"/>
  <c r="DJ311" i="25"/>
  <c r="DG311" i="25"/>
  <c r="DE311" i="25"/>
  <c r="DF311" i="25" s="1"/>
  <c r="DD311" i="25"/>
  <c r="DC311" i="25"/>
  <c r="CW311" i="25"/>
  <c r="CV311" i="25"/>
  <c r="CU311" i="25"/>
  <c r="DB311" i="25" s="1"/>
  <c r="CT311" i="25"/>
  <c r="CL311" i="25"/>
  <c r="CK311" i="25"/>
  <c r="CC311" i="25"/>
  <c r="CD311" i="25" s="1"/>
  <c r="BX311" i="25"/>
  <c r="BW311" i="25"/>
  <c r="BV311" i="25"/>
  <c r="BU311" i="25"/>
  <c r="BT311" i="25"/>
  <c r="BR311" i="25"/>
  <c r="BQ311" i="25"/>
  <c r="G311" i="25"/>
  <c r="DR310" i="25"/>
  <c r="DQ310" i="25"/>
  <c r="DP310" i="25"/>
  <c r="DO310" i="25"/>
  <c r="DN310" i="25"/>
  <c r="DM310" i="25"/>
  <c r="DL310" i="25"/>
  <c r="CP310" i="25" s="1"/>
  <c r="DK310" i="25"/>
  <c r="DJ310" i="25"/>
  <c r="DG310" i="25"/>
  <c r="DE310" i="25"/>
  <c r="DF310" i="25" s="1"/>
  <c r="DD310" i="25"/>
  <c r="DC310" i="25"/>
  <c r="CW310" i="25"/>
  <c r="CV310" i="25"/>
  <c r="CU310" i="25"/>
  <c r="DB310" i="25" s="1"/>
  <c r="CT310" i="25"/>
  <c r="CL310" i="25"/>
  <c r="CK310" i="25"/>
  <c r="CC310" i="25"/>
  <c r="CD310" i="25" s="1"/>
  <c r="BX310" i="25"/>
  <c r="BW310" i="25"/>
  <c r="BV310" i="25"/>
  <c r="BU310" i="25"/>
  <c r="BT310" i="25"/>
  <c r="BR310" i="25"/>
  <c r="BQ310" i="25"/>
  <c r="G310" i="25"/>
  <c r="DR309" i="25"/>
  <c r="DQ309" i="25"/>
  <c r="DP309" i="25"/>
  <c r="DO309" i="25"/>
  <c r="DN309" i="25"/>
  <c r="DM309" i="25"/>
  <c r="DL309" i="25"/>
  <c r="DK309" i="25"/>
  <c r="DJ309" i="25"/>
  <c r="DG309" i="25"/>
  <c r="DE309" i="25"/>
  <c r="DF309" i="25" s="1"/>
  <c r="DD309" i="25"/>
  <c r="DC309" i="25"/>
  <c r="CW309" i="25"/>
  <c r="CV309" i="25"/>
  <c r="CU309" i="25"/>
  <c r="DB309" i="25" s="1"/>
  <c r="CT309" i="25"/>
  <c r="CL309" i="25"/>
  <c r="CK309" i="25"/>
  <c r="CC309" i="25"/>
  <c r="CD309" i="25" s="1"/>
  <c r="BX309" i="25"/>
  <c r="BW309" i="25"/>
  <c r="BV309" i="25"/>
  <c r="BU309" i="25"/>
  <c r="BT309" i="25"/>
  <c r="BR309" i="25"/>
  <c r="BQ309" i="25"/>
  <c r="G309" i="25"/>
  <c r="DR308" i="25"/>
  <c r="DQ308" i="25"/>
  <c r="DP308" i="25"/>
  <c r="DO308" i="25"/>
  <c r="DN308" i="25"/>
  <c r="DM308" i="25"/>
  <c r="DL308" i="25"/>
  <c r="CQ308" i="25" s="1"/>
  <c r="CR308" i="25" s="1"/>
  <c r="DK308" i="25"/>
  <c r="DJ308" i="25"/>
  <c r="DG308" i="25"/>
  <c r="DE308" i="25"/>
  <c r="DD308" i="25"/>
  <c r="DC308" i="25"/>
  <c r="CW308" i="25"/>
  <c r="CV308" i="25"/>
  <c r="CU308" i="25"/>
  <c r="DB308" i="25" s="1"/>
  <c r="CT308" i="25"/>
  <c r="CL308" i="25"/>
  <c r="CK308" i="25"/>
  <c r="CC308" i="25"/>
  <c r="CD308" i="25" s="1"/>
  <c r="BX308" i="25"/>
  <c r="BW308" i="25"/>
  <c r="BV308" i="25"/>
  <c r="BU308" i="25"/>
  <c r="BT308" i="25"/>
  <c r="BR308" i="25"/>
  <c r="BQ308" i="25"/>
  <c r="G308" i="25"/>
  <c r="DR307" i="25"/>
  <c r="DQ307" i="25"/>
  <c r="DP307" i="25"/>
  <c r="DO307" i="25"/>
  <c r="DN307" i="25"/>
  <c r="DM307" i="25"/>
  <c r="DL307" i="25"/>
  <c r="CQ307" i="25" s="1"/>
  <c r="CR307" i="25" s="1"/>
  <c r="DK307" i="25"/>
  <c r="DJ307" i="25"/>
  <c r="DG307" i="25"/>
  <c r="DE307" i="25"/>
  <c r="DD307" i="25"/>
  <c r="DC307" i="25"/>
  <c r="CW307" i="25"/>
  <c r="CV307" i="25"/>
  <c r="CU307" i="25"/>
  <c r="DB307" i="25" s="1"/>
  <c r="CT307" i="25"/>
  <c r="CL307" i="25"/>
  <c r="CK307" i="25"/>
  <c r="CC307" i="25"/>
  <c r="BX307" i="25"/>
  <c r="BW307" i="25"/>
  <c r="BV307" i="25"/>
  <c r="BU307" i="25"/>
  <c r="BT307" i="25"/>
  <c r="BR307" i="25"/>
  <c r="BQ307" i="25"/>
  <c r="G307" i="25"/>
  <c r="DR306" i="25"/>
  <c r="DQ306" i="25"/>
  <c r="DP306" i="25"/>
  <c r="DO306" i="25"/>
  <c r="DN306" i="25"/>
  <c r="DM306" i="25"/>
  <c r="DL306" i="25"/>
  <c r="DK306" i="25"/>
  <c r="DJ306" i="25"/>
  <c r="DG306" i="25"/>
  <c r="DE306" i="25"/>
  <c r="DF306" i="25" s="1"/>
  <c r="DD306" i="25"/>
  <c r="DC306" i="25"/>
  <c r="CW306" i="25"/>
  <c r="CV306" i="25"/>
  <c r="CU306" i="25"/>
  <c r="DB306" i="25" s="1"/>
  <c r="CT306" i="25"/>
  <c r="CL306" i="25"/>
  <c r="CK306" i="25"/>
  <c r="CC306" i="25"/>
  <c r="CD306" i="25" s="1"/>
  <c r="BX306" i="25"/>
  <c r="BW306" i="25"/>
  <c r="BV306" i="25"/>
  <c r="BU306" i="25"/>
  <c r="BT306" i="25"/>
  <c r="BR306" i="25"/>
  <c r="BQ306" i="25"/>
  <c r="G306" i="25"/>
  <c r="DR305" i="25"/>
  <c r="DQ305" i="25"/>
  <c r="DP305" i="25"/>
  <c r="DO305" i="25"/>
  <c r="DN305" i="25"/>
  <c r="DM305" i="25"/>
  <c r="DL305" i="25"/>
  <c r="CQ305" i="25" s="1"/>
  <c r="CR305" i="25" s="1"/>
  <c r="DK305" i="25"/>
  <c r="DJ305" i="25"/>
  <c r="DG305" i="25"/>
  <c r="DE305" i="25"/>
  <c r="DD305" i="25"/>
  <c r="DC305" i="25"/>
  <c r="CW305" i="25"/>
  <c r="CV305" i="25"/>
  <c r="CU305" i="25"/>
  <c r="DB305" i="25" s="1"/>
  <c r="CT305" i="25"/>
  <c r="CL305" i="25"/>
  <c r="CK305" i="25"/>
  <c r="CC305" i="25"/>
  <c r="CD305" i="25" s="1"/>
  <c r="BX305" i="25"/>
  <c r="BW305" i="25"/>
  <c r="BV305" i="25"/>
  <c r="BU305" i="25"/>
  <c r="BT305" i="25"/>
  <c r="BR305" i="25"/>
  <c r="BQ305" i="25"/>
  <c r="G305" i="25"/>
  <c r="DR304" i="25"/>
  <c r="DQ304" i="25"/>
  <c r="DP304" i="25"/>
  <c r="DO304" i="25"/>
  <c r="DN304" i="25"/>
  <c r="DM304" i="25"/>
  <c r="DL304" i="25"/>
  <c r="CQ304" i="25" s="1"/>
  <c r="CR304" i="25" s="1"/>
  <c r="DK304" i="25"/>
  <c r="DJ304" i="25"/>
  <c r="DG304" i="25"/>
  <c r="DE304" i="25"/>
  <c r="DD304" i="25"/>
  <c r="DC304" i="25"/>
  <c r="CW304" i="25"/>
  <c r="CV304" i="25"/>
  <c r="CU304" i="25"/>
  <c r="DB304" i="25" s="1"/>
  <c r="CT304" i="25"/>
  <c r="CL304" i="25"/>
  <c r="CK304" i="25"/>
  <c r="CC304" i="25"/>
  <c r="CD304" i="25" s="1"/>
  <c r="BX304" i="25"/>
  <c r="BW304" i="25"/>
  <c r="BV304" i="25"/>
  <c r="BU304" i="25"/>
  <c r="BT304" i="25"/>
  <c r="BR304" i="25"/>
  <c r="BQ304" i="25"/>
  <c r="G304" i="25"/>
  <c r="DR303" i="25"/>
  <c r="DQ303" i="25"/>
  <c r="DP303" i="25"/>
  <c r="DO303" i="25"/>
  <c r="DN303" i="25"/>
  <c r="DM303" i="25"/>
  <c r="DL303" i="25"/>
  <c r="CQ303" i="25" s="1"/>
  <c r="CR303" i="25" s="1"/>
  <c r="DK303" i="25"/>
  <c r="DJ303" i="25"/>
  <c r="DG303" i="25"/>
  <c r="DE303" i="25"/>
  <c r="DD303" i="25"/>
  <c r="DC303" i="25"/>
  <c r="CW303" i="25"/>
  <c r="CV303" i="25"/>
  <c r="CU303" i="25"/>
  <c r="DB303" i="25" s="1"/>
  <c r="CT303" i="25"/>
  <c r="CL303" i="25"/>
  <c r="CK303" i="25"/>
  <c r="CC303" i="25"/>
  <c r="BX303" i="25"/>
  <c r="BW303" i="25"/>
  <c r="BV303" i="25"/>
  <c r="BU303" i="25"/>
  <c r="BT303" i="25"/>
  <c r="BR303" i="25"/>
  <c r="BQ303" i="25"/>
  <c r="G303" i="25"/>
  <c r="DR302" i="25"/>
  <c r="DQ302" i="25"/>
  <c r="DP302" i="25"/>
  <c r="DO302" i="25"/>
  <c r="DN302" i="25"/>
  <c r="DM302" i="25"/>
  <c r="DL302" i="25"/>
  <c r="CQ302" i="25" s="1"/>
  <c r="CR302" i="25" s="1"/>
  <c r="DK302" i="25"/>
  <c r="DJ302" i="25"/>
  <c r="DG302" i="25"/>
  <c r="DE302" i="25"/>
  <c r="DD302" i="25"/>
  <c r="DC302" i="25"/>
  <c r="CW302" i="25"/>
  <c r="CV302" i="25"/>
  <c r="CU302" i="25"/>
  <c r="DB302" i="25" s="1"/>
  <c r="CT302" i="25"/>
  <c r="CL302" i="25"/>
  <c r="CK302" i="25"/>
  <c r="CC302" i="25"/>
  <c r="CD302" i="25" s="1"/>
  <c r="BX302" i="25"/>
  <c r="BW302" i="25"/>
  <c r="BV302" i="25"/>
  <c r="BU302" i="25"/>
  <c r="BT302" i="25"/>
  <c r="BR302" i="25"/>
  <c r="BQ302" i="25"/>
  <c r="G302" i="25"/>
  <c r="DR301" i="25"/>
  <c r="DQ301" i="25"/>
  <c r="DP301" i="25"/>
  <c r="DO301" i="25"/>
  <c r="DN301" i="25"/>
  <c r="DM301" i="25"/>
  <c r="DL301" i="25"/>
  <c r="DK301" i="25"/>
  <c r="DJ301" i="25"/>
  <c r="DG301" i="25"/>
  <c r="DE301" i="25"/>
  <c r="DF301" i="25" s="1"/>
  <c r="DD301" i="25"/>
  <c r="DC301" i="25"/>
  <c r="CW301" i="25"/>
  <c r="CV301" i="25"/>
  <c r="CU301" i="25"/>
  <c r="DB301" i="25" s="1"/>
  <c r="CT301" i="25"/>
  <c r="CL301" i="25"/>
  <c r="CK301" i="25"/>
  <c r="CC301" i="25"/>
  <c r="CD301" i="25" s="1"/>
  <c r="BX301" i="25"/>
  <c r="BW301" i="25"/>
  <c r="BV301" i="25"/>
  <c r="BU301" i="25"/>
  <c r="BT301" i="25"/>
  <c r="BR301" i="25"/>
  <c r="BQ301" i="25"/>
  <c r="G301" i="25"/>
  <c r="DR300" i="25"/>
  <c r="DQ300" i="25"/>
  <c r="DP300" i="25"/>
  <c r="DO300" i="25"/>
  <c r="DN300" i="25"/>
  <c r="DM300" i="25"/>
  <c r="DL300" i="25"/>
  <c r="CQ300" i="25" s="1"/>
  <c r="CR300" i="25" s="1"/>
  <c r="DK300" i="25"/>
  <c r="DJ300" i="25"/>
  <c r="DG300" i="25"/>
  <c r="DE300" i="25"/>
  <c r="DF300" i="25" s="1"/>
  <c r="DD300" i="25"/>
  <c r="DC300" i="25"/>
  <c r="CW300" i="25"/>
  <c r="CV300" i="25"/>
  <c r="CU300" i="25"/>
  <c r="DB300" i="25" s="1"/>
  <c r="CT300" i="25"/>
  <c r="CL300" i="25"/>
  <c r="CK300" i="25"/>
  <c r="CC300" i="25"/>
  <c r="CD300" i="25" s="1"/>
  <c r="BX300" i="25"/>
  <c r="BW300" i="25"/>
  <c r="BV300" i="25"/>
  <c r="BU300" i="25"/>
  <c r="BT300" i="25"/>
  <c r="BR300" i="25"/>
  <c r="BQ300" i="25"/>
  <c r="G300" i="25"/>
  <c r="DR299" i="25"/>
  <c r="DQ299" i="25"/>
  <c r="DP299" i="25"/>
  <c r="DO299" i="25"/>
  <c r="DN299" i="25"/>
  <c r="DM299" i="25"/>
  <c r="DL299" i="25"/>
  <c r="CQ299" i="25" s="1"/>
  <c r="CR299" i="25" s="1"/>
  <c r="DK299" i="25"/>
  <c r="DJ299" i="25"/>
  <c r="DG299" i="25"/>
  <c r="DE299" i="25"/>
  <c r="DD299" i="25"/>
  <c r="DC299" i="25"/>
  <c r="CW299" i="25"/>
  <c r="CV299" i="25"/>
  <c r="CU299" i="25"/>
  <c r="DB299" i="25" s="1"/>
  <c r="CT299" i="25"/>
  <c r="CL299" i="25"/>
  <c r="CK299" i="25"/>
  <c r="CC299" i="25"/>
  <c r="CD299" i="25" s="1"/>
  <c r="BX299" i="25"/>
  <c r="BW299" i="25"/>
  <c r="BV299" i="25"/>
  <c r="BU299" i="25"/>
  <c r="BT299" i="25"/>
  <c r="BR299" i="25"/>
  <c r="BQ299" i="25"/>
  <c r="G299" i="25"/>
  <c r="DR298" i="25"/>
  <c r="DQ298" i="25"/>
  <c r="DP298" i="25"/>
  <c r="DO298" i="25"/>
  <c r="DN298" i="25"/>
  <c r="DM298" i="25"/>
  <c r="DL298" i="25"/>
  <c r="DK298" i="25"/>
  <c r="DJ298" i="25"/>
  <c r="DG298" i="25"/>
  <c r="DE298" i="25"/>
  <c r="DF298" i="25" s="1"/>
  <c r="DD298" i="25"/>
  <c r="DC298" i="25"/>
  <c r="CW298" i="25"/>
  <c r="CV298" i="25"/>
  <c r="CU298" i="25"/>
  <c r="DB298" i="25" s="1"/>
  <c r="CT298" i="25"/>
  <c r="CL298" i="25"/>
  <c r="CK298" i="25"/>
  <c r="CC298" i="25"/>
  <c r="CD298" i="25" s="1"/>
  <c r="BX298" i="25"/>
  <c r="BW298" i="25"/>
  <c r="BV298" i="25"/>
  <c r="BU298" i="25"/>
  <c r="BT298" i="25"/>
  <c r="BR298" i="25"/>
  <c r="BQ298" i="25"/>
  <c r="G298" i="25"/>
  <c r="DR297" i="25"/>
  <c r="DQ297" i="25"/>
  <c r="DP297" i="25"/>
  <c r="DO297" i="25"/>
  <c r="DN297" i="25"/>
  <c r="DM297" i="25"/>
  <c r="DL297" i="25"/>
  <c r="CQ297" i="25" s="1"/>
  <c r="CR297" i="25" s="1"/>
  <c r="DK297" i="25"/>
  <c r="DJ297" i="25"/>
  <c r="DG297" i="25"/>
  <c r="DE297" i="25"/>
  <c r="DD297" i="25"/>
  <c r="DC297" i="25"/>
  <c r="CW297" i="25"/>
  <c r="CV297" i="25"/>
  <c r="CU297" i="25"/>
  <c r="CT297" i="25"/>
  <c r="CL297" i="25"/>
  <c r="CK297" i="25"/>
  <c r="CC297" i="25"/>
  <c r="CD297" i="25" s="1"/>
  <c r="BX297" i="25"/>
  <c r="BW297" i="25"/>
  <c r="BV297" i="25"/>
  <c r="BU297" i="25"/>
  <c r="BT297" i="25"/>
  <c r="BR297" i="25"/>
  <c r="BQ297" i="25"/>
  <c r="G297" i="25"/>
  <c r="DR296" i="25"/>
  <c r="DQ296" i="25"/>
  <c r="DP296" i="25"/>
  <c r="DO296" i="25"/>
  <c r="DN296" i="25"/>
  <c r="DM296" i="25"/>
  <c r="DL296" i="25"/>
  <c r="CQ296" i="25" s="1"/>
  <c r="CR296" i="25" s="1"/>
  <c r="DK296" i="25"/>
  <c r="DJ296" i="25"/>
  <c r="DG296" i="25"/>
  <c r="DE296" i="25"/>
  <c r="DF296" i="25" s="1"/>
  <c r="DD296" i="25"/>
  <c r="DC296" i="25"/>
  <c r="CW296" i="25"/>
  <c r="CV296" i="25"/>
  <c r="CU296" i="25"/>
  <c r="DB296" i="25" s="1"/>
  <c r="CT296" i="25"/>
  <c r="CL296" i="25"/>
  <c r="CK296" i="25"/>
  <c r="CC296" i="25"/>
  <c r="BX296" i="25"/>
  <c r="BW296" i="25"/>
  <c r="BV296" i="25"/>
  <c r="BU296" i="25"/>
  <c r="BT296" i="25"/>
  <c r="BR296" i="25"/>
  <c r="BQ296" i="25"/>
  <c r="G296" i="25"/>
  <c r="DR295" i="25"/>
  <c r="DQ295" i="25"/>
  <c r="DP295" i="25"/>
  <c r="DO295" i="25"/>
  <c r="DN295" i="25"/>
  <c r="DM295" i="25"/>
  <c r="DL295" i="25"/>
  <c r="CQ295" i="25" s="1"/>
  <c r="CR295" i="25" s="1"/>
  <c r="DK295" i="25"/>
  <c r="DJ295" i="25"/>
  <c r="DG295" i="25"/>
  <c r="DE295" i="25"/>
  <c r="DD295" i="25"/>
  <c r="DC295" i="25"/>
  <c r="CW295" i="25"/>
  <c r="CV295" i="25"/>
  <c r="CU295" i="25"/>
  <c r="DB295" i="25" s="1"/>
  <c r="CT295" i="25"/>
  <c r="CL295" i="25"/>
  <c r="CK295" i="25"/>
  <c r="CC295" i="25"/>
  <c r="CD295" i="25" s="1"/>
  <c r="BX295" i="25"/>
  <c r="BW295" i="25"/>
  <c r="BV295" i="25"/>
  <c r="BU295" i="25"/>
  <c r="BT295" i="25"/>
  <c r="BR295" i="25"/>
  <c r="BQ295" i="25"/>
  <c r="G295" i="25"/>
  <c r="DR294" i="25"/>
  <c r="DQ294" i="25"/>
  <c r="DP294" i="25"/>
  <c r="DO294" i="25"/>
  <c r="DN294" i="25"/>
  <c r="DM294" i="25"/>
  <c r="DL294" i="25"/>
  <c r="CQ294" i="25" s="1"/>
  <c r="CR294" i="25" s="1"/>
  <c r="DK294" i="25"/>
  <c r="DJ294" i="25"/>
  <c r="DG294" i="25"/>
  <c r="DE294" i="25"/>
  <c r="DD294" i="25"/>
  <c r="DC294" i="25"/>
  <c r="CW294" i="25"/>
  <c r="CV294" i="25"/>
  <c r="CU294" i="25"/>
  <c r="DB294" i="25" s="1"/>
  <c r="CT294" i="25"/>
  <c r="CL294" i="25"/>
  <c r="CK294" i="25"/>
  <c r="CC294" i="25"/>
  <c r="CD294" i="25" s="1"/>
  <c r="BX294" i="25"/>
  <c r="BW294" i="25"/>
  <c r="BV294" i="25"/>
  <c r="BU294" i="25"/>
  <c r="BT294" i="25"/>
  <c r="BR294" i="25"/>
  <c r="BQ294" i="25"/>
  <c r="G294" i="25"/>
  <c r="DR293" i="25"/>
  <c r="DQ293" i="25"/>
  <c r="DP293" i="25"/>
  <c r="DO293" i="25"/>
  <c r="DN293" i="25"/>
  <c r="DM293" i="25"/>
  <c r="DL293" i="25"/>
  <c r="CP293" i="25" s="1"/>
  <c r="DK293" i="25"/>
  <c r="DJ293" i="25"/>
  <c r="DG293" i="25"/>
  <c r="DE293" i="25"/>
  <c r="DD293" i="25"/>
  <c r="DC293" i="25"/>
  <c r="CW293" i="25"/>
  <c r="CV293" i="25"/>
  <c r="CU293" i="25"/>
  <c r="DB293" i="25" s="1"/>
  <c r="CT293" i="25"/>
  <c r="CL293" i="25"/>
  <c r="CK293" i="25"/>
  <c r="CC293" i="25"/>
  <c r="CD293" i="25" s="1"/>
  <c r="BX293" i="25"/>
  <c r="BW293" i="25"/>
  <c r="BV293" i="25"/>
  <c r="BU293" i="25"/>
  <c r="BT293" i="25"/>
  <c r="BR293" i="25"/>
  <c r="BQ293" i="25"/>
  <c r="G293" i="25"/>
  <c r="DR292" i="25"/>
  <c r="DQ292" i="25"/>
  <c r="DP292" i="25"/>
  <c r="DO292" i="25"/>
  <c r="DN292" i="25"/>
  <c r="DM292" i="25"/>
  <c r="DL292" i="25"/>
  <c r="CP292" i="25" s="1"/>
  <c r="DK292" i="25"/>
  <c r="DJ292" i="25"/>
  <c r="DG292" i="25"/>
  <c r="DE292" i="25"/>
  <c r="DD292" i="25"/>
  <c r="DC292" i="25"/>
  <c r="CW292" i="25"/>
  <c r="CV292" i="25"/>
  <c r="CU292" i="25"/>
  <c r="DB292" i="25" s="1"/>
  <c r="CT292" i="25"/>
  <c r="CL292" i="25"/>
  <c r="CK292" i="25"/>
  <c r="CC292" i="25"/>
  <c r="CD292" i="25" s="1"/>
  <c r="BX292" i="25"/>
  <c r="BW292" i="25"/>
  <c r="BV292" i="25"/>
  <c r="BU292" i="25"/>
  <c r="BT292" i="25"/>
  <c r="BR292" i="25"/>
  <c r="BQ292" i="25"/>
  <c r="G292" i="25"/>
  <c r="DR291" i="25"/>
  <c r="DQ291" i="25"/>
  <c r="DP291" i="25"/>
  <c r="DO291" i="25"/>
  <c r="DN291" i="25"/>
  <c r="DM291" i="25"/>
  <c r="DL291" i="25"/>
  <c r="CO291" i="25" s="1"/>
  <c r="DK291" i="25"/>
  <c r="DJ291" i="25"/>
  <c r="DG291" i="25"/>
  <c r="DE291" i="25"/>
  <c r="DD291" i="25"/>
  <c r="DC291" i="25"/>
  <c r="CW291" i="25"/>
  <c r="CV291" i="25"/>
  <c r="CU291" i="25"/>
  <c r="DB291" i="25" s="1"/>
  <c r="CT291" i="25"/>
  <c r="CL291" i="25"/>
  <c r="CK291" i="25"/>
  <c r="CC291" i="25"/>
  <c r="BX291" i="25"/>
  <c r="BW291" i="25"/>
  <c r="BV291" i="25"/>
  <c r="BU291" i="25"/>
  <c r="BT291" i="25"/>
  <c r="BR291" i="25"/>
  <c r="BQ291" i="25"/>
  <c r="G291" i="25"/>
  <c r="DR290" i="25"/>
  <c r="DQ290" i="25"/>
  <c r="DP290" i="25"/>
  <c r="DO290" i="25"/>
  <c r="DN290" i="25"/>
  <c r="DM290" i="25"/>
  <c r="DL290" i="25"/>
  <c r="CP290" i="25" s="1"/>
  <c r="DK290" i="25"/>
  <c r="DJ290" i="25"/>
  <c r="DG290" i="25"/>
  <c r="DE290" i="25"/>
  <c r="DF290" i="25" s="1"/>
  <c r="DD290" i="25"/>
  <c r="DC290" i="25"/>
  <c r="CW290" i="25"/>
  <c r="CV290" i="25"/>
  <c r="CU290" i="25"/>
  <c r="DB290" i="25" s="1"/>
  <c r="CT290" i="25"/>
  <c r="CL290" i="25"/>
  <c r="CK290" i="25"/>
  <c r="CC290" i="25"/>
  <c r="CD290" i="25" s="1"/>
  <c r="BX290" i="25"/>
  <c r="BW290" i="25"/>
  <c r="BV290" i="25"/>
  <c r="BU290" i="25"/>
  <c r="BT290" i="25"/>
  <c r="BR290" i="25"/>
  <c r="BQ290" i="25"/>
  <c r="G290" i="25"/>
  <c r="DR289" i="25"/>
  <c r="DQ289" i="25"/>
  <c r="DP289" i="25"/>
  <c r="DO289" i="25"/>
  <c r="DN289" i="25"/>
  <c r="DM289" i="25"/>
  <c r="DL289" i="25"/>
  <c r="CO289" i="25" s="1"/>
  <c r="DK289" i="25"/>
  <c r="DJ289" i="25"/>
  <c r="DG289" i="25"/>
  <c r="DE289" i="25"/>
  <c r="DF289" i="25" s="1"/>
  <c r="DD289" i="25"/>
  <c r="DC289" i="25"/>
  <c r="CW289" i="25"/>
  <c r="CV289" i="25"/>
  <c r="CU289" i="25"/>
  <c r="DB289" i="25" s="1"/>
  <c r="CT289" i="25"/>
  <c r="CL289" i="25"/>
  <c r="CK289" i="25"/>
  <c r="CC289" i="25"/>
  <c r="BX289" i="25"/>
  <c r="BW289" i="25"/>
  <c r="BV289" i="25"/>
  <c r="BU289" i="25"/>
  <c r="BT289" i="25"/>
  <c r="BR289" i="25"/>
  <c r="BQ289" i="25"/>
  <c r="G289" i="25"/>
  <c r="DR288" i="25"/>
  <c r="DQ288" i="25"/>
  <c r="DP288" i="25"/>
  <c r="DO288" i="25"/>
  <c r="DN288" i="25"/>
  <c r="DM288" i="25"/>
  <c r="DL288" i="25"/>
  <c r="DK288" i="25"/>
  <c r="DJ288" i="25"/>
  <c r="DG288" i="25"/>
  <c r="DE288" i="25"/>
  <c r="DD288" i="25"/>
  <c r="DC288" i="25"/>
  <c r="CW288" i="25"/>
  <c r="CV288" i="25"/>
  <c r="CU288" i="25"/>
  <c r="CT288" i="25"/>
  <c r="CL288" i="25"/>
  <c r="CK288" i="25"/>
  <c r="CC288" i="25"/>
  <c r="CD288" i="25" s="1"/>
  <c r="BX288" i="25"/>
  <c r="BW288" i="25"/>
  <c r="BV288" i="25"/>
  <c r="BU288" i="25"/>
  <c r="BT288" i="25"/>
  <c r="BR288" i="25"/>
  <c r="BQ288" i="25"/>
  <c r="G288" i="25"/>
  <c r="DR287" i="25"/>
  <c r="DQ287" i="25"/>
  <c r="DP287" i="25"/>
  <c r="DO287" i="25"/>
  <c r="DN287" i="25"/>
  <c r="DM287" i="25"/>
  <c r="DL287" i="25"/>
  <c r="CP287" i="25" s="1"/>
  <c r="DK287" i="25"/>
  <c r="DJ287" i="25"/>
  <c r="DG287" i="25"/>
  <c r="DE287" i="25"/>
  <c r="DD287" i="25"/>
  <c r="DC287" i="25"/>
  <c r="CW287" i="25"/>
  <c r="CV287" i="25"/>
  <c r="CU287" i="25"/>
  <c r="DB287" i="25" s="1"/>
  <c r="CT287" i="25"/>
  <c r="CL287" i="25"/>
  <c r="CK287" i="25"/>
  <c r="CC287" i="25"/>
  <c r="BX287" i="25"/>
  <c r="BW287" i="25"/>
  <c r="BV287" i="25"/>
  <c r="BU287" i="25"/>
  <c r="BT287" i="25"/>
  <c r="BR287" i="25"/>
  <c r="BQ287" i="25"/>
  <c r="G287" i="25"/>
  <c r="DR286" i="25"/>
  <c r="DQ286" i="25"/>
  <c r="DP286" i="25"/>
  <c r="DO286" i="25"/>
  <c r="DN286" i="25"/>
  <c r="DM286" i="25"/>
  <c r="DL286" i="25"/>
  <c r="DK286" i="25"/>
  <c r="DJ286" i="25"/>
  <c r="DG286" i="25"/>
  <c r="DE286" i="25"/>
  <c r="DF286" i="25" s="1"/>
  <c r="DD286" i="25"/>
  <c r="DC286" i="25"/>
  <c r="CW286" i="25"/>
  <c r="CV286" i="25"/>
  <c r="CU286" i="25"/>
  <c r="DB286" i="25" s="1"/>
  <c r="CT286" i="25"/>
  <c r="CL286" i="25"/>
  <c r="CK286" i="25"/>
  <c r="CC286" i="25"/>
  <c r="CD286" i="25" s="1"/>
  <c r="BX286" i="25"/>
  <c r="BW286" i="25"/>
  <c r="BV286" i="25"/>
  <c r="BU286" i="25"/>
  <c r="BT286" i="25"/>
  <c r="BR286" i="25"/>
  <c r="BQ286" i="25"/>
  <c r="G286" i="25"/>
  <c r="DR285" i="25"/>
  <c r="DQ285" i="25"/>
  <c r="DP285" i="25"/>
  <c r="DO285" i="25"/>
  <c r="DN285" i="25"/>
  <c r="DM285" i="25"/>
  <c r="DL285" i="25"/>
  <c r="CO285" i="25" s="1"/>
  <c r="DK285" i="25"/>
  <c r="DJ285" i="25"/>
  <c r="DG285" i="25"/>
  <c r="DE285" i="25"/>
  <c r="DF285" i="25" s="1"/>
  <c r="DD285" i="25"/>
  <c r="DC285" i="25"/>
  <c r="CW285" i="25"/>
  <c r="CV285" i="25"/>
  <c r="CU285" i="25"/>
  <c r="DB285" i="25" s="1"/>
  <c r="CT285" i="25"/>
  <c r="CL285" i="25"/>
  <c r="CK285" i="25"/>
  <c r="CC285" i="25"/>
  <c r="BX285" i="25"/>
  <c r="BW285" i="25"/>
  <c r="BV285" i="25"/>
  <c r="BU285" i="25"/>
  <c r="BT285" i="25"/>
  <c r="BR285" i="25"/>
  <c r="BQ285" i="25"/>
  <c r="G285" i="25"/>
  <c r="DR284" i="25"/>
  <c r="DQ284" i="25"/>
  <c r="DP284" i="25"/>
  <c r="DO284" i="25"/>
  <c r="DN284" i="25"/>
  <c r="DM284" i="25"/>
  <c r="DL284" i="25"/>
  <c r="DK284" i="25"/>
  <c r="DJ284" i="25"/>
  <c r="DG284" i="25"/>
  <c r="DE284" i="25"/>
  <c r="DF284" i="25" s="1"/>
  <c r="DD284" i="25"/>
  <c r="DC284" i="25"/>
  <c r="CW284" i="25"/>
  <c r="CV284" i="25"/>
  <c r="CU284" i="25"/>
  <c r="CT284" i="25"/>
  <c r="CL284" i="25"/>
  <c r="CK284" i="25"/>
  <c r="CC284" i="25"/>
  <c r="CD284" i="25" s="1"/>
  <c r="BX284" i="25"/>
  <c r="BW284" i="25"/>
  <c r="BV284" i="25"/>
  <c r="BU284" i="25"/>
  <c r="BT284" i="25"/>
  <c r="BR284" i="25"/>
  <c r="BQ284" i="25"/>
  <c r="G284" i="25"/>
  <c r="DR283" i="25"/>
  <c r="DQ283" i="25"/>
  <c r="DP283" i="25"/>
  <c r="DO283" i="25"/>
  <c r="DN283" i="25"/>
  <c r="DM283" i="25"/>
  <c r="DL283" i="25"/>
  <c r="CQ283" i="25" s="1"/>
  <c r="CR283" i="25" s="1"/>
  <c r="DK283" i="25"/>
  <c r="DJ283" i="25"/>
  <c r="DG283" i="25"/>
  <c r="DE283" i="25"/>
  <c r="DF283" i="25" s="1"/>
  <c r="DD283" i="25"/>
  <c r="DC283" i="25"/>
  <c r="CW283" i="25"/>
  <c r="CV283" i="25"/>
  <c r="CU283" i="25"/>
  <c r="DB283" i="25" s="1"/>
  <c r="CT283" i="25"/>
  <c r="CL283" i="25"/>
  <c r="CK283" i="25"/>
  <c r="CC283" i="25"/>
  <c r="BX283" i="25"/>
  <c r="BW283" i="25"/>
  <c r="BV283" i="25"/>
  <c r="BU283" i="25"/>
  <c r="BT283" i="25"/>
  <c r="BR283" i="25"/>
  <c r="BQ283" i="25"/>
  <c r="G283" i="25"/>
  <c r="DR282" i="25"/>
  <c r="DQ282" i="25"/>
  <c r="DP282" i="25"/>
  <c r="DO282" i="25"/>
  <c r="DN282" i="25"/>
  <c r="DM282" i="25"/>
  <c r="DL282" i="25"/>
  <c r="CO282" i="25" s="1"/>
  <c r="DK282" i="25"/>
  <c r="DJ282" i="25"/>
  <c r="DG282" i="25"/>
  <c r="DE282" i="25"/>
  <c r="DD282" i="25"/>
  <c r="DC282" i="25"/>
  <c r="CW282" i="25"/>
  <c r="CV282" i="25"/>
  <c r="CU282" i="25"/>
  <c r="DB282" i="25" s="1"/>
  <c r="CT282" i="25"/>
  <c r="CL282" i="25"/>
  <c r="CK282" i="25"/>
  <c r="CC282" i="25"/>
  <c r="CD282" i="25" s="1"/>
  <c r="BX282" i="25"/>
  <c r="BW282" i="25"/>
  <c r="BV282" i="25"/>
  <c r="BU282" i="25"/>
  <c r="BT282" i="25"/>
  <c r="BR282" i="25"/>
  <c r="BQ282" i="25"/>
  <c r="G282" i="25"/>
  <c r="DR281" i="25"/>
  <c r="DQ281" i="25"/>
  <c r="DP281" i="25"/>
  <c r="DO281" i="25"/>
  <c r="DN281" i="25"/>
  <c r="DM281" i="25"/>
  <c r="DL281" i="25"/>
  <c r="CQ281" i="25" s="1"/>
  <c r="CR281" i="25" s="1"/>
  <c r="DK281" i="25"/>
  <c r="DJ281" i="25"/>
  <c r="DG281" i="25"/>
  <c r="DE281" i="25"/>
  <c r="DF281" i="25" s="1"/>
  <c r="DD281" i="25"/>
  <c r="DC281" i="25"/>
  <c r="CW281" i="25"/>
  <c r="CV281" i="25"/>
  <c r="CU281" i="25"/>
  <c r="DB281" i="25" s="1"/>
  <c r="CT281" i="25"/>
  <c r="CL281" i="25"/>
  <c r="CK281" i="25"/>
  <c r="CC281" i="25"/>
  <c r="BX281" i="25"/>
  <c r="BW281" i="25"/>
  <c r="BV281" i="25"/>
  <c r="BU281" i="25"/>
  <c r="BT281" i="25"/>
  <c r="BR281" i="25"/>
  <c r="BQ281" i="25"/>
  <c r="G281" i="25"/>
  <c r="DR280" i="25"/>
  <c r="DQ280" i="25"/>
  <c r="DP280" i="25"/>
  <c r="DO280" i="25"/>
  <c r="DN280" i="25"/>
  <c r="DM280" i="25"/>
  <c r="DL280" i="25"/>
  <c r="DK280" i="25"/>
  <c r="DJ280" i="25"/>
  <c r="DG280" i="25"/>
  <c r="DE280" i="25"/>
  <c r="DD280" i="25"/>
  <c r="DC280" i="25"/>
  <c r="CW280" i="25"/>
  <c r="CV280" i="25"/>
  <c r="CU280" i="25"/>
  <c r="CT280" i="25"/>
  <c r="CL280" i="25"/>
  <c r="CK280" i="25"/>
  <c r="CC280" i="25"/>
  <c r="CD280" i="25" s="1"/>
  <c r="BX280" i="25"/>
  <c r="BW280" i="25"/>
  <c r="BV280" i="25"/>
  <c r="BU280" i="25"/>
  <c r="BT280" i="25"/>
  <c r="BR280" i="25"/>
  <c r="BQ280" i="25"/>
  <c r="G280" i="25"/>
  <c r="DR279" i="25"/>
  <c r="DQ279" i="25"/>
  <c r="DP279" i="25"/>
  <c r="DO279" i="25"/>
  <c r="DN279" i="25"/>
  <c r="DM279" i="25"/>
  <c r="DL279" i="25"/>
  <c r="CO279" i="25" s="1"/>
  <c r="DK279" i="25"/>
  <c r="DJ279" i="25"/>
  <c r="DG279" i="25"/>
  <c r="DE279" i="25"/>
  <c r="DF279" i="25" s="1"/>
  <c r="DD279" i="25"/>
  <c r="DC279" i="25"/>
  <c r="CW279" i="25"/>
  <c r="CV279" i="25"/>
  <c r="CU279" i="25"/>
  <c r="DB279" i="25" s="1"/>
  <c r="CT279" i="25"/>
  <c r="CL279" i="25"/>
  <c r="CK279" i="25"/>
  <c r="CC279" i="25"/>
  <c r="BX279" i="25"/>
  <c r="BW279" i="25"/>
  <c r="BV279" i="25"/>
  <c r="BU279" i="25"/>
  <c r="BT279" i="25"/>
  <c r="BR279" i="25"/>
  <c r="BQ279" i="25"/>
  <c r="G279" i="25"/>
  <c r="DR278" i="25"/>
  <c r="DQ278" i="25"/>
  <c r="DP278" i="25"/>
  <c r="DO278" i="25"/>
  <c r="DN278" i="25"/>
  <c r="DM278" i="25"/>
  <c r="DL278" i="25"/>
  <c r="CO278" i="25" s="1"/>
  <c r="DK278" i="25"/>
  <c r="DJ278" i="25"/>
  <c r="DG278" i="25"/>
  <c r="DE278" i="25"/>
  <c r="DD278" i="25"/>
  <c r="DC278" i="25"/>
  <c r="CW278" i="25"/>
  <c r="CV278" i="25"/>
  <c r="CU278" i="25"/>
  <c r="DB278" i="25" s="1"/>
  <c r="CT278" i="25"/>
  <c r="CL278" i="25"/>
  <c r="CK278" i="25"/>
  <c r="CC278" i="25"/>
  <c r="CD278" i="25" s="1"/>
  <c r="BX278" i="25"/>
  <c r="BW278" i="25"/>
  <c r="BV278" i="25"/>
  <c r="BU278" i="25"/>
  <c r="BT278" i="25"/>
  <c r="BR278" i="25"/>
  <c r="BQ278" i="25"/>
  <c r="G278" i="25"/>
  <c r="DR277" i="25"/>
  <c r="DQ277" i="25"/>
  <c r="DP277" i="25"/>
  <c r="DO277" i="25"/>
  <c r="DN277" i="25"/>
  <c r="DM277" i="25"/>
  <c r="DL277" i="25"/>
  <c r="CQ277" i="25" s="1"/>
  <c r="CR277" i="25" s="1"/>
  <c r="DK277" i="25"/>
  <c r="DJ277" i="25"/>
  <c r="DG277" i="25"/>
  <c r="DE277" i="25"/>
  <c r="DF277" i="25" s="1"/>
  <c r="DD277" i="25"/>
  <c r="DC277" i="25"/>
  <c r="CW277" i="25"/>
  <c r="CV277" i="25"/>
  <c r="CU277" i="25"/>
  <c r="DB277" i="25" s="1"/>
  <c r="CT277" i="25"/>
  <c r="CL277" i="25"/>
  <c r="CK277" i="25"/>
  <c r="CC277" i="25"/>
  <c r="CD277" i="25" s="1"/>
  <c r="BX277" i="25"/>
  <c r="BW277" i="25"/>
  <c r="BV277" i="25"/>
  <c r="BU277" i="25"/>
  <c r="BT277" i="25"/>
  <c r="BR277" i="25"/>
  <c r="BQ277" i="25"/>
  <c r="G277" i="25"/>
  <c r="DR276" i="25"/>
  <c r="DQ276" i="25"/>
  <c r="DP276" i="25"/>
  <c r="DO276" i="25"/>
  <c r="DN276" i="25"/>
  <c r="DM276" i="25"/>
  <c r="DL276" i="25"/>
  <c r="DK276" i="25"/>
  <c r="DJ276" i="25"/>
  <c r="DG276" i="25"/>
  <c r="DE276" i="25"/>
  <c r="DD276" i="25"/>
  <c r="DC276" i="25"/>
  <c r="CW276" i="25"/>
  <c r="CV276" i="25"/>
  <c r="CU276" i="25"/>
  <c r="CT276" i="25"/>
  <c r="CL276" i="25"/>
  <c r="CK276" i="25"/>
  <c r="CC276" i="25"/>
  <c r="CD276" i="25" s="1"/>
  <c r="BX276" i="25"/>
  <c r="BW276" i="25"/>
  <c r="BV276" i="25"/>
  <c r="BU276" i="25"/>
  <c r="BT276" i="25"/>
  <c r="BR276" i="25"/>
  <c r="BQ276" i="25"/>
  <c r="G276" i="25"/>
  <c r="DR275" i="25"/>
  <c r="DQ275" i="25"/>
  <c r="DP275" i="25"/>
  <c r="DO275" i="25"/>
  <c r="DN275" i="25"/>
  <c r="DM275" i="25"/>
  <c r="DL275" i="25"/>
  <c r="CQ275" i="25" s="1"/>
  <c r="CR275" i="25" s="1"/>
  <c r="DK275" i="25"/>
  <c r="DJ275" i="25"/>
  <c r="DG275" i="25"/>
  <c r="DE275" i="25"/>
  <c r="DD275" i="25"/>
  <c r="DC275" i="25"/>
  <c r="CW275" i="25"/>
  <c r="CV275" i="25"/>
  <c r="CU275" i="25"/>
  <c r="DB275" i="25" s="1"/>
  <c r="CT275" i="25"/>
  <c r="CL275" i="25"/>
  <c r="CK275" i="25"/>
  <c r="CC275" i="25"/>
  <c r="BX275" i="25"/>
  <c r="BW275" i="25"/>
  <c r="BV275" i="25"/>
  <c r="BU275" i="25"/>
  <c r="BT275" i="25"/>
  <c r="BR275" i="25"/>
  <c r="BQ275" i="25"/>
  <c r="G275" i="25"/>
  <c r="DR274" i="25"/>
  <c r="DQ274" i="25"/>
  <c r="DP274" i="25"/>
  <c r="DO274" i="25"/>
  <c r="DN274" i="25"/>
  <c r="DM274" i="25"/>
  <c r="DL274" i="25"/>
  <c r="CP274" i="25" s="1"/>
  <c r="DK274" i="25"/>
  <c r="DJ274" i="25"/>
  <c r="DG274" i="25"/>
  <c r="DE274" i="25"/>
  <c r="DD274" i="25"/>
  <c r="DC274" i="25"/>
  <c r="CW274" i="25"/>
  <c r="CV274" i="25"/>
  <c r="CU274" i="25"/>
  <c r="DB274" i="25" s="1"/>
  <c r="CT274" i="25"/>
  <c r="CL274" i="25"/>
  <c r="CK274" i="25"/>
  <c r="CC274" i="25"/>
  <c r="CD274" i="25" s="1"/>
  <c r="BX274" i="25"/>
  <c r="BW274" i="25"/>
  <c r="BV274" i="25"/>
  <c r="BU274" i="25"/>
  <c r="BT274" i="25"/>
  <c r="BR274" i="25"/>
  <c r="BQ274" i="25"/>
  <c r="G274" i="25"/>
  <c r="DR273" i="25"/>
  <c r="DQ273" i="25"/>
  <c r="DP273" i="25"/>
  <c r="DO273" i="25"/>
  <c r="DN273" i="25"/>
  <c r="DM273" i="25"/>
  <c r="DL273" i="25"/>
  <c r="CQ273" i="25" s="1"/>
  <c r="CR273" i="25" s="1"/>
  <c r="DK273" i="25"/>
  <c r="DJ273" i="25"/>
  <c r="DG273" i="25"/>
  <c r="DE273" i="25"/>
  <c r="DF273" i="25" s="1"/>
  <c r="DD273" i="25"/>
  <c r="DC273" i="25"/>
  <c r="CW273" i="25"/>
  <c r="CV273" i="25"/>
  <c r="CU273" i="25"/>
  <c r="CT273" i="25"/>
  <c r="CL273" i="25"/>
  <c r="CK273" i="25"/>
  <c r="CC273" i="25"/>
  <c r="CD273" i="25" s="1"/>
  <c r="BX273" i="25"/>
  <c r="BW273" i="25"/>
  <c r="BV273" i="25"/>
  <c r="BU273" i="25"/>
  <c r="BT273" i="25"/>
  <c r="BR273" i="25"/>
  <c r="BQ273" i="25"/>
  <c r="G273" i="25"/>
  <c r="DR272" i="25"/>
  <c r="DQ272" i="25"/>
  <c r="DP272" i="25"/>
  <c r="DO272" i="25"/>
  <c r="DN272" i="25"/>
  <c r="DM272" i="25"/>
  <c r="DL272" i="25"/>
  <c r="DK272" i="25"/>
  <c r="DJ272" i="25"/>
  <c r="DG272" i="25"/>
  <c r="DE272" i="25"/>
  <c r="DD272" i="25"/>
  <c r="DC272" i="25"/>
  <c r="CW272" i="25"/>
  <c r="CV272" i="25"/>
  <c r="CU272" i="25"/>
  <c r="CT272" i="25"/>
  <c r="CL272" i="25"/>
  <c r="CK272" i="25"/>
  <c r="CC272" i="25"/>
  <c r="CD272" i="25" s="1"/>
  <c r="BX272" i="25"/>
  <c r="BW272" i="25"/>
  <c r="BV272" i="25"/>
  <c r="BU272" i="25"/>
  <c r="BT272" i="25"/>
  <c r="BR272" i="25"/>
  <c r="BQ272" i="25"/>
  <c r="G272" i="25"/>
  <c r="DR271" i="25"/>
  <c r="DQ271" i="25"/>
  <c r="DP271" i="25"/>
  <c r="DO271" i="25"/>
  <c r="DN271" i="25"/>
  <c r="DM271" i="25"/>
  <c r="DL271" i="25"/>
  <c r="CQ271" i="25" s="1"/>
  <c r="CR271" i="25" s="1"/>
  <c r="DK271" i="25"/>
  <c r="DJ271" i="25"/>
  <c r="DG271" i="25"/>
  <c r="DE271" i="25"/>
  <c r="DF271" i="25" s="1"/>
  <c r="DD271" i="25"/>
  <c r="DC271" i="25"/>
  <c r="CW271" i="25"/>
  <c r="CV271" i="25"/>
  <c r="CU271" i="25"/>
  <c r="DB271" i="25" s="1"/>
  <c r="CT271" i="25"/>
  <c r="CL271" i="25"/>
  <c r="CK271" i="25"/>
  <c r="CC271" i="25"/>
  <c r="BX271" i="25"/>
  <c r="BW271" i="25"/>
  <c r="BV271" i="25"/>
  <c r="BU271" i="25"/>
  <c r="BT271" i="25"/>
  <c r="BR271" i="25"/>
  <c r="BQ271" i="25"/>
  <c r="G271" i="25"/>
  <c r="DR270" i="25"/>
  <c r="DQ270" i="25"/>
  <c r="DP270" i="25"/>
  <c r="DO270" i="25"/>
  <c r="DN270" i="25"/>
  <c r="DM270" i="25"/>
  <c r="DL270" i="25"/>
  <c r="CQ270" i="25" s="1"/>
  <c r="CR270" i="25" s="1"/>
  <c r="DK270" i="25"/>
  <c r="DJ270" i="25"/>
  <c r="DG270" i="25"/>
  <c r="DE270" i="25"/>
  <c r="DD270" i="25"/>
  <c r="DC270" i="25"/>
  <c r="CW270" i="25"/>
  <c r="CV270" i="25"/>
  <c r="CU270" i="25"/>
  <c r="DB270" i="25" s="1"/>
  <c r="CT270" i="25"/>
  <c r="CL270" i="25"/>
  <c r="CK270" i="25"/>
  <c r="CC270" i="25"/>
  <c r="CD270" i="25" s="1"/>
  <c r="BX270" i="25"/>
  <c r="BW270" i="25"/>
  <c r="BV270" i="25"/>
  <c r="BU270" i="25"/>
  <c r="BT270" i="25"/>
  <c r="BR270" i="25"/>
  <c r="BQ270" i="25"/>
  <c r="G270" i="25"/>
  <c r="DR269" i="25"/>
  <c r="DQ269" i="25"/>
  <c r="DP269" i="25"/>
  <c r="DO269" i="25"/>
  <c r="DN269" i="25"/>
  <c r="DM269" i="25"/>
  <c r="DL269" i="25"/>
  <c r="CQ269" i="25" s="1"/>
  <c r="CR269" i="25" s="1"/>
  <c r="DK269" i="25"/>
  <c r="DJ269" i="25"/>
  <c r="DG269" i="25"/>
  <c r="DE269" i="25"/>
  <c r="DF269" i="25" s="1"/>
  <c r="DD269" i="25"/>
  <c r="DC269" i="25"/>
  <c r="CW269" i="25"/>
  <c r="CV269" i="25"/>
  <c r="CU269" i="25"/>
  <c r="DB269" i="25" s="1"/>
  <c r="CT269" i="25"/>
  <c r="CL269" i="25"/>
  <c r="CK269" i="25"/>
  <c r="CC269" i="25"/>
  <c r="CD269" i="25" s="1"/>
  <c r="BX269" i="25"/>
  <c r="BW269" i="25"/>
  <c r="BV269" i="25"/>
  <c r="BU269" i="25"/>
  <c r="BT269" i="25"/>
  <c r="BR269" i="25"/>
  <c r="BQ269" i="25"/>
  <c r="G269" i="25"/>
  <c r="DR268" i="25"/>
  <c r="DQ268" i="25"/>
  <c r="DP268" i="25"/>
  <c r="DO268" i="25"/>
  <c r="DN268" i="25"/>
  <c r="DM268" i="25"/>
  <c r="DL268" i="25"/>
  <c r="CO268" i="25" s="1"/>
  <c r="DK268" i="25"/>
  <c r="DJ268" i="25"/>
  <c r="DG268" i="25"/>
  <c r="DE268" i="25"/>
  <c r="DD268" i="25"/>
  <c r="DC268" i="25"/>
  <c r="CW268" i="25"/>
  <c r="CV268" i="25"/>
  <c r="CU268" i="25"/>
  <c r="CT268" i="25"/>
  <c r="CL268" i="25"/>
  <c r="CK268" i="25"/>
  <c r="CC268" i="25"/>
  <c r="BX268" i="25"/>
  <c r="BW268" i="25"/>
  <c r="BV268" i="25"/>
  <c r="BU268" i="25"/>
  <c r="BT268" i="25"/>
  <c r="BR268" i="25"/>
  <c r="BQ268" i="25"/>
  <c r="G268" i="25"/>
  <c r="DR267" i="25"/>
  <c r="DQ267" i="25"/>
  <c r="DP267" i="25"/>
  <c r="DO267" i="25"/>
  <c r="DN267" i="25"/>
  <c r="DM267" i="25"/>
  <c r="DL267" i="25"/>
  <c r="CO267" i="25" s="1"/>
  <c r="DK267" i="25"/>
  <c r="DJ267" i="25"/>
  <c r="DG267" i="25"/>
  <c r="DE267" i="25"/>
  <c r="DD267" i="25"/>
  <c r="DC267" i="25"/>
  <c r="CW267" i="25"/>
  <c r="CV267" i="25"/>
  <c r="CU267" i="25"/>
  <c r="DB267" i="25" s="1"/>
  <c r="CT267" i="25"/>
  <c r="CL267" i="25"/>
  <c r="CK267" i="25"/>
  <c r="CC267" i="25"/>
  <c r="CD267" i="25" s="1"/>
  <c r="BX267" i="25"/>
  <c r="BW267" i="25"/>
  <c r="BV267" i="25"/>
  <c r="BU267" i="25"/>
  <c r="BT267" i="25"/>
  <c r="BR267" i="25"/>
  <c r="BQ267" i="25"/>
  <c r="G267" i="25"/>
  <c r="DR266" i="25"/>
  <c r="DQ266" i="25"/>
  <c r="DP266" i="25"/>
  <c r="DO266" i="25"/>
  <c r="DN266" i="25"/>
  <c r="DM266" i="25"/>
  <c r="DL266" i="25"/>
  <c r="CQ266" i="25" s="1"/>
  <c r="CR266" i="25" s="1"/>
  <c r="DK266" i="25"/>
  <c r="DJ266" i="25"/>
  <c r="DG266" i="25"/>
  <c r="DE266" i="25"/>
  <c r="DF266" i="25" s="1"/>
  <c r="DD266" i="25"/>
  <c r="DC266" i="25"/>
  <c r="CW266" i="25"/>
  <c r="CV266" i="25"/>
  <c r="CU266" i="25"/>
  <c r="CT266" i="25"/>
  <c r="CL266" i="25"/>
  <c r="CK266" i="25"/>
  <c r="CC266" i="25"/>
  <c r="CD266" i="25" s="1"/>
  <c r="BX266" i="25"/>
  <c r="BW266" i="25"/>
  <c r="BV266" i="25"/>
  <c r="BU266" i="25"/>
  <c r="BT266" i="25"/>
  <c r="BR266" i="25"/>
  <c r="BQ266" i="25"/>
  <c r="G266" i="25"/>
  <c r="DR265" i="25"/>
  <c r="DQ265" i="25"/>
  <c r="DP265" i="25"/>
  <c r="DO265" i="25"/>
  <c r="DN265" i="25"/>
  <c r="DM265" i="25"/>
  <c r="DL265" i="25"/>
  <c r="CO265" i="25" s="1"/>
  <c r="DK265" i="25"/>
  <c r="DJ265" i="25"/>
  <c r="DG265" i="25"/>
  <c r="DE265" i="25"/>
  <c r="DF265" i="25" s="1"/>
  <c r="DD265" i="25"/>
  <c r="DC265" i="25"/>
  <c r="CW265" i="25"/>
  <c r="CV265" i="25"/>
  <c r="CU265" i="25"/>
  <c r="DB265" i="25" s="1"/>
  <c r="CT265" i="25"/>
  <c r="CL265" i="25"/>
  <c r="CK265" i="25"/>
  <c r="CC265" i="25"/>
  <c r="BX265" i="25"/>
  <c r="BW265" i="25"/>
  <c r="BV265" i="25"/>
  <c r="BU265" i="25"/>
  <c r="BT265" i="25"/>
  <c r="BR265" i="25"/>
  <c r="BQ265" i="25"/>
  <c r="G265" i="25"/>
  <c r="DR264" i="25"/>
  <c r="DQ264" i="25"/>
  <c r="DP264" i="25"/>
  <c r="DO264" i="25"/>
  <c r="DN264" i="25"/>
  <c r="DM264" i="25"/>
  <c r="DL264" i="25"/>
  <c r="CQ264" i="25" s="1"/>
  <c r="CR264" i="25" s="1"/>
  <c r="DK264" i="25"/>
  <c r="DJ264" i="25"/>
  <c r="DG264" i="25"/>
  <c r="DE264" i="25"/>
  <c r="DD264" i="25"/>
  <c r="DC264" i="25"/>
  <c r="CW264" i="25"/>
  <c r="CV264" i="25"/>
  <c r="CU264" i="25"/>
  <c r="DB264" i="25" s="1"/>
  <c r="CT264" i="25"/>
  <c r="CL264" i="25"/>
  <c r="CK264" i="25"/>
  <c r="CC264" i="25"/>
  <c r="CD264" i="25" s="1"/>
  <c r="BX264" i="25"/>
  <c r="BW264" i="25"/>
  <c r="BV264" i="25"/>
  <c r="BU264" i="25"/>
  <c r="BT264" i="25"/>
  <c r="BR264" i="25"/>
  <c r="BQ264" i="25"/>
  <c r="G264" i="25"/>
  <c r="DR263" i="25"/>
  <c r="DQ263" i="25"/>
  <c r="DP263" i="25"/>
  <c r="DO263" i="25"/>
  <c r="DN263" i="25"/>
  <c r="DM263" i="25"/>
  <c r="DL263" i="25"/>
  <c r="CP263" i="25" s="1"/>
  <c r="DK263" i="25"/>
  <c r="DJ263" i="25"/>
  <c r="DG263" i="25"/>
  <c r="DE263" i="25"/>
  <c r="DD263" i="25"/>
  <c r="DC263" i="25"/>
  <c r="CW263" i="25"/>
  <c r="CV263" i="25"/>
  <c r="CU263" i="25"/>
  <c r="DB263" i="25" s="1"/>
  <c r="CT263" i="25"/>
  <c r="CL263" i="25"/>
  <c r="CK263" i="25"/>
  <c r="CC263" i="25"/>
  <c r="CD263" i="25" s="1"/>
  <c r="BX263" i="25"/>
  <c r="BW263" i="25"/>
  <c r="BV263" i="25"/>
  <c r="BU263" i="25"/>
  <c r="BT263" i="25"/>
  <c r="BR263" i="25"/>
  <c r="BQ263" i="25"/>
  <c r="G263" i="25"/>
  <c r="DR262" i="25"/>
  <c r="DQ262" i="25"/>
  <c r="DP262" i="25"/>
  <c r="DO262" i="25"/>
  <c r="DN262" i="25"/>
  <c r="DM262" i="25"/>
  <c r="DL262" i="25"/>
  <c r="CQ262" i="25" s="1"/>
  <c r="CR262" i="25" s="1"/>
  <c r="DK262" i="25"/>
  <c r="DJ262" i="25"/>
  <c r="DG262" i="25"/>
  <c r="DE262" i="25"/>
  <c r="DD262" i="25"/>
  <c r="DC262" i="25"/>
  <c r="CW262" i="25"/>
  <c r="CV262" i="25"/>
  <c r="CU262" i="25"/>
  <c r="CT262" i="25"/>
  <c r="CL262" i="25"/>
  <c r="CK262" i="25"/>
  <c r="CC262" i="25"/>
  <c r="CD262" i="25" s="1"/>
  <c r="BX262" i="25"/>
  <c r="BW262" i="25"/>
  <c r="BV262" i="25"/>
  <c r="BU262" i="25"/>
  <c r="BT262" i="25"/>
  <c r="BR262" i="25"/>
  <c r="BQ262" i="25"/>
  <c r="G262" i="25"/>
  <c r="DR261" i="25"/>
  <c r="DQ261" i="25"/>
  <c r="DP261" i="25"/>
  <c r="DO261" i="25"/>
  <c r="DN261" i="25"/>
  <c r="DM261" i="25"/>
  <c r="DL261" i="25"/>
  <c r="CQ261" i="25" s="1"/>
  <c r="CR261" i="25" s="1"/>
  <c r="DK261" i="25"/>
  <c r="DJ261" i="25"/>
  <c r="DG261" i="25"/>
  <c r="DE261" i="25"/>
  <c r="DF261" i="25" s="1"/>
  <c r="DD261" i="25"/>
  <c r="DC261" i="25"/>
  <c r="CW261" i="25"/>
  <c r="CV261" i="25"/>
  <c r="CU261" i="25"/>
  <c r="CT261" i="25"/>
  <c r="CL261" i="25"/>
  <c r="CK261" i="25"/>
  <c r="CC261" i="25"/>
  <c r="CD261" i="25" s="1"/>
  <c r="BX261" i="25"/>
  <c r="BW261" i="25"/>
  <c r="BV261" i="25"/>
  <c r="BU261" i="25"/>
  <c r="BT261" i="25"/>
  <c r="BR261" i="25"/>
  <c r="BQ261" i="25"/>
  <c r="G261" i="25"/>
  <c r="DR260" i="25"/>
  <c r="DQ260" i="25"/>
  <c r="DP260" i="25"/>
  <c r="DO260" i="25"/>
  <c r="DN260" i="25"/>
  <c r="DM260" i="25"/>
  <c r="DL260" i="25"/>
  <c r="CO260" i="25" s="1"/>
  <c r="DK260" i="25"/>
  <c r="DJ260" i="25"/>
  <c r="DG260" i="25"/>
  <c r="DE260" i="25"/>
  <c r="DF260" i="25" s="1"/>
  <c r="DD260" i="25"/>
  <c r="DC260" i="25"/>
  <c r="CW260" i="25"/>
  <c r="CV260" i="25"/>
  <c r="CU260" i="25"/>
  <c r="DB260" i="25" s="1"/>
  <c r="CT260" i="25"/>
  <c r="CL260" i="25"/>
  <c r="CK260" i="25"/>
  <c r="CC260" i="25"/>
  <c r="CD260" i="25" s="1"/>
  <c r="BX260" i="25"/>
  <c r="BW260" i="25"/>
  <c r="BV260" i="25"/>
  <c r="BU260" i="25"/>
  <c r="BT260" i="25"/>
  <c r="BR260" i="25"/>
  <c r="BQ260" i="25"/>
  <c r="G260" i="25"/>
  <c r="DR259" i="25"/>
  <c r="DQ259" i="25"/>
  <c r="DP259" i="25"/>
  <c r="DO259" i="25"/>
  <c r="DN259" i="25"/>
  <c r="DM259" i="25"/>
  <c r="DL259" i="25"/>
  <c r="CQ259" i="25" s="1"/>
  <c r="CR259" i="25" s="1"/>
  <c r="DK259" i="25"/>
  <c r="DJ259" i="25"/>
  <c r="DG259" i="25"/>
  <c r="DE259" i="25"/>
  <c r="DD259" i="25"/>
  <c r="DC259" i="25"/>
  <c r="CW259" i="25"/>
  <c r="CV259" i="25"/>
  <c r="CU259" i="25"/>
  <c r="DB259" i="25" s="1"/>
  <c r="CT259" i="25"/>
  <c r="CL259" i="25"/>
  <c r="CK259" i="25"/>
  <c r="CC259" i="25"/>
  <c r="CD259" i="25" s="1"/>
  <c r="BX259" i="25"/>
  <c r="BW259" i="25"/>
  <c r="BV259" i="25"/>
  <c r="BU259" i="25"/>
  <c r="BT259" i="25"/>
  <c r="BR259" i="25"/>
  <c r="BQ259" i="25"/>
  <c r="G259" i="25"/>
  <c r="DR258" i="25"/>
  <c r="DQ258" i="25"/>
  <c r="DP258" i="25"/>
  <c r="DO258" i="25"/>
  <c r="DN258" i="25"/>
  <c r="DM258" i="25"/>
  <c r="DL258" i="25"/>
  <c r="CQ258" i="25" s="1"/>
  <c r="CR258" i="25" s="1"/>
  <c r="DK258" i="25"/>
  <c r="DJ258" i="25"/>
  <c r="DG258" i="25"/>
  <c r="DE258" i="25"/>
  <c r="DD258" i="25"/>
  <c r="DC258" i="25"/>
  <c r="CW258" i="25"/>
  <c r="CV258" i="25"/>
  <c r="CU258" i="25"/>
  <c r="CT258" i="25"/>
  <c r="CL258" i="25"/>
  <c r="CK258" i="25"/>
  <c r="CC258" i="25"/>
  <c r="CD258" i="25" s="1"/>
  <c r="BX258" i="25"/>
  <c r="BW258" i="25"/>
  <c r="BV258" i="25"/>
  <c r="BU258" i="25"/>
  <c r="BT258" i="25"/>
  <c r="BR258" i="25"/>
  <c r="BQ258" i="25"/>
  <c r="G258" i="25"/>
  <c r="DR257" i="25"/>
  <c r="DQ257" i="25"/>
  <c r="DP257" i="25"/>
  <c r="DO257" i="25"/>
  <c r="DN257" i="25"/>
  <c r="DM257" i="25"/>
  <c r="DL257" i="25"/>
  <c r="CQ257" i="25" s="1"/>
  <c r="CR257" i="25" s="1"/>
  <c r="DK257" i="25"/>
  <c r="DJ257" i="25"/>
  <c r="DG257" i="25"/>
  <c r="DE257" i="25"/>
  <c r="DD257" i="25"/>
  <c r="DC257" i="25"/>
  <c r="CW257" i="25"/>
  <c r="CV257" i="25"/>
  <c r="CU257" i="25"/>
  <c r="CT257" i="25"/>
  <c r="CL257" i="25"/>
  <c r="CK257" i="25"/>
  <c r="CC257" i="25"/>
  <c r="CD257" i="25" s="1"/>
  <c r="BX257" i="25"/>
  <c r="BW257" i="25"/>
  <c r="BV257" i="25"/>
  <c r="BU257" i="25"/>
  <c r="BT257" i="25"/>
  <c r="BR257" i="25"/>
  <c r="BQ257" i="25"/>
  <c r="G257" i="25"/>
  <c r="DR256" i="25"/>
  <c r="DQ256" i="25"/>
  <c r="DP256" i="25"/>
  <c r="DO256" i="25"/>
  <c r="DN256" i="25"/>
  <c r="DM256" i="25"/>
  <c r="DL256" i="25"/>
  <c r="CO256" i="25" s="1"/>
  <c r="DK256" i="25"/>
  <c r="DJ256" i="25"/>
  <c r="DG256" i="25"/>
  <c r="DE256" i="25"/>
  <c r="DF256" i="25" s="1"/>
  <c r="DD256" i="25"/>
  <c r="DC256" i="25"/>
  <c r="CW256" i="25"/>
  <c r="CV256" i="25"/>
  <c r="CU256" i="25"/>
  <c r="DB256" i="25" s="1"/>
  <c r="CT256" i="25"/>
  <c r="CL256" i="25"/>
  <c r="CK256" i="25"/>
  <c r="CC256" i="25"/>
  <c r="CD256" i="25" s="1"/>
  <c r="BX256" i="25"/>
  <c r="BW256" i="25"/>
  <c r="BV256" i="25"/>
  <c r="BU256" i="25"/>
  <c r="BT256" i="25"/>
  <c r="BR256" i="25"/>
  <c r="BQ256" i="25"/>
  <c r="G256" i="25"/>
  <c r="DR255" i="25"/>
  <c r="DQ255" i="25"/>
  <c r="DP255" i="25"/>
  <c r="DO255" i="25"/>
  <c r="DN255" i="25"/>
  <c r="DM255" i="25"/>
  <c r="DL255" i="25"/>
  <c r="CQ255" i="25" s="1"/>
  <c r="CR255" i="25" s="1"/>
  <c r="DK255" i="25"/>
  <c r="DJ255" i="25"/>
  <c r="DG255" i="25"/>
  <c r="DE255" i="25"/>
  <c r="DD255" i="25"/>
  <c r="DC255" i="25"/>
  <c r="CW255" i="25"/>
  <c r="CV255" i="25"/>
  <c r="CU255" i="25"/>
  <c r="DB255" i="25" s="1"/>
  <c r="CT255" i="25"/>
  <c r="CL255" i="25"/>
  <c r="CK255" i="25"/>
  <c r="CC255" i="25"/>
  <c r="CD255" i="25" s="1"/>
  <c r="BX255" i="25"/>
  <c r="BW255" i="25"/>
  <c r="BV255" i="25"/>
  <c r="BU255" i="25"/>
  <c r="BT255" i="25"/>
  <c r="BR255" i="25"/>
  <c r="BQ255" i="25"/>
  <c r="G255" i="25"/>
  <c r="DR254" i="25"/>
  <c r="DQ254" i="25"/>
  <c r="DP254" i="25"/>
  <c r="DO254" i="25"/>
  <c r="DN254" i="25"/>
  <c r="DM254" i="25"/>
  <c r="DL254" i="25"/>
  <c r="CQ254" i="25" s="1"/>
  <c r="CR254" i="25" s="1"/>
  <c r="DK254" i="25"/>
  <c r="DJ254" i="25"/>
  <c r="DG254" i="25"/>
  <c r="DE254" i="25"/>
  <c r="DD254" i="25"/>
  <c r="DC254" i="25"/>
  <c r="CW254" i="25"/>
  <c r="CV254" i="25"/>
  <c r="CU254" i="25"/>
  <c r="DB254" i="25" s="1"/>
  <c r="CT254" i="25"/>
  <c r="CL254" i="25"/>
  <c r="CK254" i="25"/>
  <c r="CC254" i="25"/>
  <c r="CD254" i="25" s="1"/>
  <c r="BX254" i="25"/>
  <c r="BW254" i="25"/>
  <c r="BV254" i="25"/>
  <c r="BU254" i="25"/>
  <c r="BT254" i="25"/>
  <c r="BR254" i="25"/>
  <c r="BQ254" i="25"/>
  <c r="G254" i="25"/>
  <c r="DR253" i="25"/>
  <c r="DQ253" i="25"/>
  <c r="DP253" i="25"/>
  <c r="DO253" i="25"/>
  <c r="DN253" i="25"/>
  <c r="DM253" i="25"/>
  <c r="DL253" i="25"/>
  <c r="CQ253" i="25" s="1"/>
  <c r="CR253" i="25" s="1"/>
  <c r="DK253" i="25"/>
  <c r="DJ253" i="25"/>
  <c r="DG253" i="25"/>
  <c r="DE253" i="25"/>
  <c r="DD253" i="25"/>
  <c r="DC253" i="25"/>
  <c r="CW253" i="25"/>
  <c r="CV253" i="25"/>
  <c r="CU253" i="25"/>
  <c r="DB253" i="25" s="1"/>
  <c r="CT253" i="25"/>
  <c r="CL253" i="25"/>
  <c r="CK253" i="25"/>
  <c r="CC253" i="25"/>
  <c r="CD253" i="25" s="1"/>
  <c r="BX253" i="25"/>
  <c r="BW253" i="25"/>
  <c r="BV253" i="25"/>
  <c r="BU253" i="25"/>
  <c r="BT253" i="25"/>
  <c r="BR253" i="25"/>
  <c r="BQ253" i="25"/>
  <c r="G253" i="25"/>
  <c r="DR252" i="25"/>
  <c r="DQ252" i="25"/>
  <c r="DP252" i="25"/>
  <c r="DO252" i="25"/>
  <c r="DN252" i="25"/>
  <c r="DM252" i="25"/>
  <c r="DL252" i="25"/>
  <c r="CO252" i="25" s="1"/>
  <c r="DK252" i="25"/>
  <c r="DJ252" i="25"/>
  <c r="DG252" i="25"/>
  <c r="DE252" i="25"/>
  <c r="DD252" i="25"/>
  <c r="DC252" i="25"/>
  <c r="CW252" i="25"/>
  <c r="CV252" i="25"/>
  <c r="CU252" i="25"/>
  <c r="DB252" i="25" s="1"/>
  <c r="CT252" i="25"/>
  <c r="CL252" i="25"/>
  <c r="CK252" i="25"/>
  <c r="CC252" i="25"/>
  <c r="CD252" i="25" s="1"/>
  <c r="BX252" i="25"/>
  <c r="BW252" i="25"/>
  <c r="BV252" i="25"/>
  <c r="BU252" i="25"/>
  <c r="BT252" i="25"/>
  <c r="BR252" i="25"/>
  <c r="BQ252" i="25"/>
  <c r="G252" i="25"/>
  <c r="DR251" i="25"/>
  <c r="DQ251" i="25"/>
  <c r="DP251" i="25"/>
  <c r="DO251" i="25"/>
  <c r="DN251" i="25"/>
  <c r="DM251" i="25"/>
  <c r="DL251" i="25"/>
  <c r="CQ251" i="25" s="1"/>
  <c r="CR251" i="25" s="1"/>
  <c r="DK251" i="25"/>
  <c r="DJ251" i="25"/>
  <c r="DG251" i="25"/>
  <c r="DE251" i="25"/>
  <c r="DD251" i="25"/>
  <c r="DC251" i="25"/>
  <c r="CW251" i="25"/>
  <c r="CV251" i="25"/>
  <c r="CU251" i="25"/>
  <c r="DB251" i="25" s="1"/>
  <c r="CT251" i="25"/>
  <c r="CL251" i="25"/>
  <c r="CK251" i="25"/>
  <c r="CC251" i="25"/>
  <c r="CD251" i="25" s="1"/>
  <c r="BX251" i="25"/>
  <c r="BW251" i="25"/>
  <c r="BV251" i="25"/>
  <c r="BU251" i="25"/>
  <c r="BT251" i="25"/>
  <c r="BR251" i="25"/>
  <c r="BQ251" i="25"/>
  <c r="G251" i="25"/>
  <c r="DR250" i="25"/>
  <c r="DQ250" i="25"/>
  <c r="DP250" i="25"/>
  <c r="DO250" i="25"/>
  <c r="DN250" i="25"/>
  <c r="DM250" i="25"/>
  <c r="DL250" i="25"/>
  <c r="CQ250" i="25" s="1"/>
  <c r="CR250" i="25" s="1"/>
  <c r="DK250" i="25"/>
  <c r="DJ250" i="25"/>
  <c r="DG250" i="25"/>
  <c r="DE250" i="25"/>
  <c r="DD250" i="25"/>
  <c r="DC250" i="25"/>
  <c r="CW250" i="25"/>
  <c r="CV250" i="25"/>
  <c r="CU250" i="25"/>
  <c r="CT250" i="25"/>
  <c r="CL250" i="25"/>
  <c r="CK250" i="25"/>
  <c r="CC250" i="25"/>
  <c r="CD250" i="25" s="1"/>
  <c r="BX250" i="25"/>
  <c r="BW250" i="25"/>
  <c r="BV250" i="25"/>
  <c r="BU250" i="25"/>
  <c r="BT250" i="25"/>
  <c r="BR250" i="25"/>
  <c r="BQ250" i="25"/>
  <c r="G250" i="25"/>
  <c r="DR249" i="25"/>
  <c r="DQ249" i="25"/>
  <c r="DP249" i="25"/>
  <c r="DO249" i="25"/>
  <c r="DN249" i="25"/>
  <c r="DM249" i="25"/>
  <c r="DL249" i="25"/>
  <c r="CQ249" i="25" s="1"/>
  <c r="CR249" i="25" s="1"/>
  <c r="DK249" i="25"/>
  <c r="DJ249" i="25"/>
  <c r="DG249" i="25"/>
  <c r="DE249" i="25"/>
  <c r="DD249" i="25"/>
  <c r="DC249" i="25"/>
  <c r="CW249" i="25"/>
  <c r="CV249" i="25"/>
  <c r="CU249" i="25"/>
  <c r="DB249" i="25" s="1"/>
  <c r="CT249" i="25"/>
  <c r="CL249" i="25"/>
  <c r="CK249" i="25"/>
  <c r="CC249" i="25"/>
  <c r="CD249" i="25" s="1"/>
  <c r="BX249" i="25"/>
  <c r="BW249" i="25"/>
  <c r="BV249" i="25"/>
  <c r="BU249" i="25"/>
  <c r="BT249" i="25"/>
  <c r="BR249" i="25"/>
  <c r="BQ249" i="25"/>
  <c r="G249" i="25"/>
  <c r="DR248" i="25"/>
  <c r="DQ248" i="25"/>
  <c r="DP248" i="25"/>
  <c r="DO248" i="25"/>
  <c r="DN248" i="25"/>
  <c r="DM248" i="25"/>
  <c r="DL248" i="25"/>
  <c r="DK248" i="25"/>
  <c r="DJ248" i="25"/>
  <c r="DG248" i="25"/>
  <c r="DE248" i="25"/>
  <c r="DD248" i="25"/>
  <c r="DC248" i="25"/>
  <c r="CW248" i="25"/>
  <c r="CV248" i="25"/>
  <c r="CU248" i="25"/>
  <c r="DB248" i="25" s="1"/>
  <c r="CT248" i="25"/>
  <c r="CL248" i="25"/>
  <c r="CK248" i="25"/>
  <c r="CC248" i="25"/>
  <c r="CD248" i="25" s="1"/>
  <c r="BX248" i="25"/>
  <c r="BW248" i="25"/>
  <c r="BV248" i="25"/>
  <c r="BU248" i="25"/>
  <c r="BT248" i="25"/>
  <c r="BR248" i="25"/>
  <c r="BQ248" i="25"/>
  <c r="G248" i="25"/>
  <c r="DR247" i="25"/>
  <c r="DQ247" i="25"/>
  <c r="DP247" i="25"/>
  <c r="DO247" i="25"/>
  <c r="DN247" i="25"/>
  <c r="DM247" i="25"/>
  <c r="DL247" i="25"/>
  <c r="CO247" i="25" s="1"/>
  <c r="DK247" i="25"/>
  <c r="DJ247" i="25"/>
  <c r="DG247" i="25"/>
  <c r="DE247" i="25"/>
  <c r="DD247" i="25"/>
  <c r="DC247" i="25"/>
  <c r="CW247" i="25"/>
  <c r="CV247" i="25"/>
  <c r="CU247" i="25"/>
  <c r="DB247" i="25" s="1"/>
  <c r="CT247" i="25"/>
  <c r="CL247" i="25"/>
  <c r="CK247" i="25"/>
  <c r="CC247" i="25"/>
  <c r="CD247" i="25" s="1"/>
  <c r="BX247" i="25"/>
  <c r="BW247" i="25"/>
  <c r="BV247" i="25"/>
  <c r="BU247" i="25"/>
  <c r="BT247" i="25"/>
  <c r="BR247" i="25"/>
  <c r="BQ247" i="25"/>
  <c r="G247" i="25"/>
  <c r="DR246" i="25"/>
  <c r="DQ246" i="25"/>
  <c r="DP246" i="25"/>
  <c r="DO246" i="25"/>
  <c r="DN246" i="25"/>
  <c r="DM246" i="25"/>
  <c r="DL246" i="25"/>
  <c r="CQ246" i="25" s="1"/>
  <c r="CR246" i="25" s="1"/>
  <c r="DK246" i="25"/>
  <c r="DJ246" i="25"/>
  <c r="DG246" i="25"/>
  <c r="DE246" i="25"/>
  <c r="DD246" i="25"/>
  <c r="DC246" i="25"/>
  <c r="CW246" i="25"/>
  <c r="CV246" i="25"/>
  <c r="CU246" i="25"/>
  <c r="DB246" i="25" s="1"/>
  <c r="CT246" i="25"/>
  <c r="CL246" i="25"/>
  <c r="CK246" i="25"/>
  <c r="CC246" i="25"/>
  <c r="CD246" i="25" s="1"/>
  <c r="BX246" i="25"/>
  <c r="BW246" i="25"/>
  <c r="BV246" i="25"/>
  <c r="BU246" i="25"/>
  <c r="BT246" i="25"/>
  <c r="BR246" i="25"/>
  <c r="BQ246" i="25"/>
  <c r="G246" i="25"/>
  <c r="DR245" i="25"/>
  <c r="DQ245" i="25"/>
  <c r="DP245" i="25"/>
  <c r="DO245" i="25"/>
  <c r="DN245" i="25"/>
  <c r="DM245" i="25"/>
  <c r="DL245" i="25"/>
  <c r="CO245" i="25" s="1"/>
  <c r="DK245" i="25"/>
  <c r="DJ245" i="25"/>
  <c r="DG245" i="25"/>
  <c r="DE245" i="25"/>
  <c r="DF245" i="25" s="1"/>
  <c r="DD245" i="25"/>
  <c r="DC245" i="25"/>
  <c r="CW245" i="25"/>
  <c r="CV245" i="25"/>
  <c r="CU245" i="25"/>
  <c r="DB245" i="25" s="1"/>
  <c r="CT245" i="25"/>
  <c r="CL245" i="25"/>
  <c r="CK245" i="25"/>
  <c r="CC245" i="25"/>
  <c r="CD245" i="25" s="1"/>
  <c r="BX245" i="25"/>
  <c r="BW245" i="25"/>
  <c r="BV245" i="25"/>
  <c r="BU245" i="25"/>
  <c r="BT245" i="25"/>
  <c r="BR245" i="25"/>
  <c r="BQ245" i="25"/>
  <c r="G245" i="25"/>
  <c r="DR244" i="25"/>
  <c r="DQ244" i="25"/>
  <c r="DP244" i="25"/>
  <c r="DO244" i="25"/>
  <c r="DN244" i="25"/>
  <c r="DM244" i="25"/>
  <c r="DL244" i="25"/>
  <c r="CQ244" i="25" s="1"/>
  <c r="CR244" i="25" s="1"/>
  <c r="DK244" i="25"/>
  <c r="DJ244" i="25"/>
  <c r="DG244" i="25"/>
  <c r="DE244" i="25"/>
  <c r="DD244" i="25"/>
  <c r="DC244" i="25"/>
  <c r="CW244" i="25"/>
  <c r="CV244" i="25"/>
  <c r="CU244" i="25"/>
  <c r="DB244" i="25" s="1"/>
  <c r="CT244" i="25"/>
  <c r="CL244" i="25"/>
  <c r="CK244" i="25"/>
  <c r="CC244" i="25"/>
  <c r="BX244" i="25"/>
  <c r="BW244" i="25"/>
  <c r="BV244" i="25"/>
  <c r="BU244" i="25"/>
  <c r="BT244" i="25"/>
  <c r="BR244" i="25"/>
  <c r="BQ244" i="25"/>
  <c r="G244" i="25"/>
  <c r="DR243" i="25"/>
  <c r="DQ243" i="25"/>
  <c r="DP243" i="25"/>
  <c r="DO243" i="25"/>
  <c r="DN243" i="25"/>
  <c r="DM243" i="25"/>
  <c r="DL243" i="25"/>
  <c r="CQ243" i="25" s="1"/>
  <c r="CR243" i="25" s="1"/>
  <c r="DK243" i="25"/>
  <c r="DJ243" i="25"/>
  <c r="DG243" i="25"/>
  <c r="DE243" i="25"/>
  <c r="DD243" i="25"/>
  <c r="DC243" i="25"/>
  <c r="CW243" i="25"/>
  <c r="CV243" i="25"/>
  <c r="CU243" i="25"/>
  <c r="DB243" i="25" s="1"/>
  <c r="CT243" i="25"/>
  <c r="CL243" i="25"/>
  <c r="CK243" i="25"/>
  <c r="CC243" i="25"/>
  <c r="CD243" i="25" s="1"/>
  <c r="BX243" i="25"/>
  <c r="BW243" i="25"/>
  <c r="BV243" i="25"/>
  <c r="BU243" i="25"/>
  <c r="BT243" i="25"/>
  <c r="BR243" i="25"/>
  <c r="BQ243" i="25"/>
  <c r="G243" i="25"/>
  <c r="DR242" i="25"/>
  <c r="DQ242" i="25"/>
  <c r="DP242" i="25"/>
  <c r="DO242" i="25"/>
  <c r="DN242" i="25"/>
  <c r="DM242" i="25"/>
  <c r="DL242" i="25"/>
  <c r="CQ242" i="25" s="1"/>
  <c r="CR242" i="25" s="1"/>
  <c r="DK242" i="25"/>
  <c r="DJ242" i="25"/>
  <c r="DG242" i="25"/>
  <c r="DE242" i="25"/>
  <c r="DF242" i="25" s="1"/>
  <c r="DD242" i="25"/>
  <c r="DC242" i="25"/>
  <c r="CW242" i="25"/>
  <c r="CV242" i="25"/>
  <c r="CU242" i="25"/>
  <c r="DB242" i="25" s="1"/>
  <c r="CT242" i="25"/>
  <c r="CL242" i="25"/>
  <c r="CK242" i="25"/>
  <c r="CC242" i="25"/>
  <c r="CD242" i="25" s="1"/>
  <c r="BX242" i="25"/>
  <c r="BW242" i="25"/>
  <c r="BV242" i="25"/>
  <c r="BU242" i="25"/>
  <c r="BT242" i="25"/>
  <c r="BR242" i="25"/>
  <c r="BQ242" i="25"/>
  <c r="G242" i="25"/>
  <c r="DR241" i="25"/>
  <c r="DQ241" i="25"/>
  <c r="DP241" i="25"/>
  <c r="DO241" i="25"/>
  <c r="DN241" i="25"/>
  <c r="DM241" i="25"/>
  <c r="DL241" i="25"/>
  <c r="CO241" i="25" s="1"/>
  <c r="DK241" i="25"/>
  <c r="DJ241" i="25"/>
  <c r="DG241" i="25"/>
  <c r="DE241" i="25"/>
  <c r="DD241" i="25"/>
  <c r="DC241" i="25"/>
  <c r="CW241" i="25"/>
  <c r="CV241" i="25"/>
  <c r="CU241" i="25"/>
  <c r="DB241" i="25" s="1"/>
  <c r="CT241" i="25"/>
  <c r="CL241" i="25"/>
  <c r="CK241" i="25"/>
  <c r="CC241" i="25"/>
  <c r="CD241" i="25" s="1"/>
  <c r="BX241" i="25"/>
  <c r="BW241" i="25"/>
  <c r="BV241" i="25"/>
  <c r="BU241" i="25"/>
  <c r="BT241" i="25"/>
  <c r="BR241" i="25"/>
  <c r="BQ241" i="25"/>
  <c r="G241" i="25"/>
  <c r="DR240" i="25"/>
  <c r="DQ240" i="25"/>
  <c r="DP240" i="25"/>
  <c r="DO240" i="25"/>
  <c r="DN240" i="25"/>
  <c r="DM240" i="25"/>
  <c r="DL240" i="25"/>
  <c r="CO240" i="25" s="1"/>
  <c r="DK240" i="25"/>
  <c r="DJ240" i="25"/>
  <c r="DG240" i="25"/>
  <c r="DE240" i="25"/>
  <c r="DF240" i="25" s="1"/>
  <c r="DD240" i="25"/>
  <c r="DC240" i="25"/>
  <c r="CW240" i="25"/>
  <c r="CV240" i="25"/>
  <c r="CU240" i="25"/>
  <c r="DB240" i="25" s="1"/>
  <c r="CT240" i="25"/>
  <c r="CL240" i="25"/>
  <c r="CK240" i="25"/>
  <c r="CC240" i="25"/>
  <c r="CD240" i="25" s="1"/>
  <c r="BX240" i="25"/>
  <c r="BW240" i="25"/>
  <c r="BV240" i="25"/>
  <c r="BU240" i="25"/>
  <c r="BT240" i="25"/>
  <c r="BR240" i="25"/>
  <c r="BQ240" i="25"/>
  <c r="G240" i="25"/>
  <c r="DR239" i="25"/>
  <c r="DQ239" i="25"/>
  <c r="DP239" i="25"/>
  <c r="DO239" i="25"/>
  <c r="DN239" i="25"/>
  <c r="DM239" i="25"/>
  <c r="DL239" i="25"/>
  <c r="CQ239" i="25" s="1"/>
  <c r="CR239" i="25" s="1"/>
  <c r="DK239" i="25"/>
  <c r="DJ239" i="25"/>
  <c r="DG239" i="25"/>
  <c r="DE239" i="25"/>
  <c r="DD239" i="25"/>
  <c r="DC239" i="25"/>
  <c r="CW239" i="25"/>
  <c r="CV239" i="25"/>
  <c r="CU239" i="25"/>
  <c r="CT239" i="25"/>
  <c r="CL239" i="25"/>
  <c r="CK239" i="25"/>
  <c r="CC239" i="25"/>
  <c r="CD239" i="25" s="1"/>
  <c r="BX239" i="25"/>
  <c r="BW239" i="25"/>
  <c r="BV239" i="25"/>
  <c r="BU239" i="25"/>
  <c r="BT239" i="25"/>
  <c r="BR239" i="25"/>
  <c r="BQ239" i="25"/>
  <c r="G239" i="25"/>
  <c r="DR238" i="25"/>
  <c r="DQ238" i="25"/>
  <c r="DP238" i="25"/>
  <c r="DO238" i="25"/>
  <c r="DN238" i="25"/>
  <c r="DM238" i="25"/>
  <c r="DL238" i="25"/>
  <c r="DK238" i="25"/>
  <c r="DJ238" i="25"/>
  <c r="DG238" i="25"/>
  <c r="DE238" i="25"/>
  <c r="DD238" i="25"/>
  <c r="DC238" i="25"/>
  <c r="CW238" i="25"/>
  <c r="CV238" i="25"/>
  <c r="CU238" i="25"/>
  <c r="DB238" i="25" s="1"/>
  <c r="CT238" i="25"/>
  <c r="CL238" i="25"/>
  <c r="CK238" i="25"/>
  <c r="CC238" i="25"/>
  <c r="CD238" i="25" s="1"/>
  <c r="BX238" i="25"/>
  <c r="BW238" i="25"/>
  <c r="BV238" i="25"/>
  <c r="BU238" i="25"/>
  <c r="BT238" i="25"/>
  <c r="BR238" i="25"/>
  <c r="BQ238" i="25"/>
  <c r="G238" i="25"/>
  <c r="DR237" i="25"/>
  <c r="DQ237" i="25"/>
  <c r="DP237" i="25"/>
  <c r="DO237" i="25"/>
  <c r="DN237" i="25"/>
  <c r="DM237" i="25"/>
  <c r="DL237" i="25"/>
  <c r="CQ237" i="25" s="1"/>
  <c r="CR237" i="25" s="1"/>
  <c r="DK237" i="25"/>
  <c r="DJ237" i="25"/>
  <c r="DG237" i="25"/>
  <c r="DE237" i="25"/>
  <c r="DF237" i="25" s="1"/>
  <c r="DD237" i="25"/>
  <c r="DC237" i="25"/>
  <c r="CW237" i="25"/>
  <c r="CV237" i="25"/>
  <c r="CU237" i="25"/>
  <c r="CT237" i="25"/>
  <c r="CL237" i="25"/>
  <c r="CK237" i="25"/>
  <c r="CC237" i="25"/>
  <c r="BX237" i="25"/>
  <c r="BW237" i="25"/>
  <c r="BV237" i="25"/>
  <c r="BU237" i="25"/>
  <c r="BT237" i="25"/>
  <c r="BR237" i="25"/>
  <c r="BQ237" i="25"/>
  <c r="G237" i="25"/>
  <c r="DR236" i="25"/>
  <c r="DQ236" i="25"/>
  <c r="DP236" i="25"/>
  <c r="DO236" i="25"/>
  <c r="DN236" i="25"/>
  <c r="DM236" i="25"/>
  <c r="DL236" i="25"/>
  <c r="CO236" i="25" s="1"/>
  <c r="DK236" i="25"/>
  <c r="DJ236" i="25"/>
  <c r="DG236" i="25"/>
  <c r="DE236" i="25"/>
  <c r="DD236" i="25"/>
  <c r="DC236" i="25"/>
  <c r="CW236" i="25"/>
  <c r="CV236" i="25"/>
  <c r="CU236" i="25"/>
  <c r="DB236" i="25" s="1"/>
  <c r="CT236" i="25"/>
  <c r="CL236" i="25"/>
  <c r="CK236" i="25"/>
  <c r="CC236" i="25"/>
  <c r="BX236" i="25"/>
  <c r="BW236" i="25"/>
  <c r="BV236" i="25"/>
  <c r="BU236" i="25"/>
  <c r="BT236" i="25"/>
  <c r="BR236" i="25"/>
  <c r="BQ236" i="25"/>
  <c r="G236" i="25"/>
  <c r="DR235" i="25"/>
  <c r="DQ235" i="25"/>
  <c r="DP235" i="25"/>
  <c r="DO235" i="25"/>
  <c r="DN235" i="25"/>
  <c r="DM235" i="25"/>
  <c r="DL235" i="25"/>
  <c r="CP235" i="25" s="1"/>
  <c r="DK235" i="25"/>
  <c r="DJ235" i="25"/>
  <c r="DG235" i="25"/>
  <c r="DE235" i="25"/>
  <c r="DF235" i="25" s="1"/>
  <c r="DD235" i="25"/>
  <c r="DC235" i="25"/>
  <c r="CW235" i="25"/>
  <c r="CV235" i="25"/>
  <c r="CU235" i="25"/>
  <c r="DB235" i="25" s="1"/>
  <c r="CT235" i="25"/>
  <c r="CL235" i="25"/>
  <c r="CK235" i="25"/>
  <c r="CC235" i="25"/>
  <c r="CD235" i="25" s="1"/>
  <c r="BX235" i="25"/>
  <c r="BW235" i="25"/>
  <c r="BV235" i="25"/>
  <c r="BU235" i="25"/>
  <c r="BT235" i="25"/>
  <c r="BR235" i="25"/>
  <c r="BQ235" i="25"/>
  <c r="G235" i="25"/>
  <c r="DR234" i="25"/>
  <c r="DQ234" i="25"/>
  <c r="DP234" i="25"/>
  <c r="DO234" i="25"/>
  <c r="DN234" i="25"/>
  <c r="DM234" i="25"/>
  <c r="DL234" i="25"/>
  <c r="DK234" i="25"/>
  <c r="DJ234" i="25"/>
  <c r="DG234" i="25"/>
  <c r="DE234" i="25"/>
  <c r="DD234" i="25"/>
  <c r="DC234" i="25"/>
  <c r="CW234" i="25"/>
  <c r="CV234" i="25"/>
  <c r="CU234" i="25"/>
  <c r="CT234" i="25"/>
  <c r="CL234" i="25"/>
  <c r="CK234" i="25"/>
  <c r="CC234" i="25"/>
  <c r="CD234" i="25" s="1"/>
  <c r="BX234" i="25"/>
  <c r="BW234" i="25"/>
  <c r="BV234" i="25"/>
  <c r="BU234" i="25"/>
  <c r="BT234" i="25"/>
  <c r="BR234" i="25"/>
  <c r="BQ234" i="25"/>
  <c r="G234" i="25"/>
  <c r="DR233" i="25"/>
  <c r="DQ233" i="25"/>
  <c r="DP233" i="25"/>
  <c r="DO233" i="25"/>
  <c r="DN233" i="25"/>
  <c r="DM233" i="25"/>
  <c r="DL233" i="25"/>
  <c r="CQ233" i="25" s="1"/>
  <c r="CR233" i="25" s="1"/>
  <c r="DK233" i="25"/>
  <c r="DJ233" i="25"/>
  <c r="DG233" i="25"/>
  <c r="DE233" i="25"/>
  <c r="DF233" i="25" s="1"/>
  <c r="DD233" i="25"/>
  <c r="DC233" i="25"/>
  <c r="CW233" i="25"/>
  <c r="CV233" i="25"/>
  <c r="CU233" i="25"/>
  <c r="CT233" i="25"/>
  <c r="CL233" i="25"/>
  <c r="CK233" i="25"/>
  <c r="CC233" i="25"/>
  <c r="BX233" i="25"/>
  <c r="BW233" i="25"/>
  <c r="BV233" i="25"/>
  <c r="BU233" i="25"/>
  <c r="BT233" i="25"/>
  <c r="BR233" i="25"/>
  <c r="BQ233" i="25"/>
  <c r="G233" i="25"/>
  <c r="DR232" i="25"/>
  <c r="DQ232" i="25"/>
  <c r="DP232" i="25"/>
  <c r="DO232" i="25"/>
  <c r="DN232" i="25"/>
  <c r="DM232" i="25"/>
  <c r="DL232" i="25"/>
  <c r="CO232" i="25" s="1"/>
  <c r="DK232" i="25"/>
  <c r="DJ232" i="25"/>
  <c r="DG232" i="25"/>
  <c r="DE232" i="25"/>
  <c r="DD232" i="25"/>
  <c r="DC232" i="25"/>
  <c r="CW232" i="25"/>
  <c r="CV232" i="25"/>
  <c r="CU232" i="25"/>
  <c r="DB232" i="25" s="1"/>
  <c r="CT232" i="25"/>
  <c r="CL232" i="25"/>
  <c r="CK232" i="25"/>
  <c r="CC232" i="25"/>
  <c r="BX232" i="25"/>
  <c r="BW232" i="25"/>
  <c r="BV232" i="25"/>
  <c r="BU232" i="25"/>
  <c r="BT232" i="25"/>
  <c r="BR232" i="25"/>
  <c r="BQ232" i="25"/>
  <c r="G232" i="25"/>
  <c r="DR231" i="25"/>
  <c r="DQ231" i="25"/>
  <c r="DP231" i="25"/>
  <c r="DO231" i="25"/>
  <c r="DN231" i="25"/>
  <c r="DM231" i="25"/>
  <c r="DL231" i="25"/>
  <c r="CP231" i="25" s="1"/>
  <c r="DK231" i="25"/>
  <c r="DJ231" i="25"/>
  <c r="DG231" i="25"/>
  <c r="DE231" i="25"/>
  <c r="DF231" i="25" s="1"/>
  <c r="DD231" i="25"/>
  <c r="DC231" i="25"/>
  <c r="CW231" i="25"/>
  <c r="CV231" i="25"/>
  <c r="CU231" i="25"/>
  <c r="DB231" i="25" s="1"/>
  <c r="CT231" i="25"/>
  <c r="CL231" i="25"/>
  <c r="CK231" i="25"/>
  <c r="CC231" i="25"/>
  <c r="CD231" i="25" s="1"/>
  <c r="BX231" i="25"/>
  <c r="BW231" i="25"/>
  <c r="BV231" i="25"/>
  <c r="BU231" i="25"/>
  <c r="BT231" i="25"/>
  <c r="BR231" i="25"/>
  <c r="BQ231" i="25"/>
  <c r="G231" i="25"/>
  <c r="DR230" i="25"/>
  <c r="DQ230" i="25"/>
  <c r="DP230" i="25"/>
  <c r="DO230" i="25"/>
  <c r="DN230" i="25"/>
  <c r="DM230" i="25"/>
  <c r="DL230" i="25"/>
  <c r="DK230" i="25"/>
  <c r="DJ230" i="25"/>
  <c r="DG230" i="25"/>
  <c r="DE230" i="25"/>
  <c r="DD230" i="25"/>
  <c r="DC230" i="25"/>
  <c r="CW230" i="25"/>
  <c r="CV230" i="25"/>
  <c r="CU230" i="25"/>
  <c r="CT230" i="25"/>
  <c r="CL230" i="25"/>
  <c r="CK230" i="25"/>
  <c r="CC230" i="25"/>
  <c r="CD230" i="25" s="1"/>
  <c r="BX230" i="25"/>
  <c r="BW230" i="25"/>
  <c r="BV230" i="25"/>
  <c r="BU230" i="25"/>
  <c r="BT230" i="25"/>
  <c r="BR230" i="25"/>
  <c r="BQ230" i="25"/>
  <c r="G230" i="25"/>
  <c r="DR229" i="25"/>
  <c r="DQ229" i="25"/>
  <c r="DP229" i="25"/>
  <c r="DO229" i="25"/>
  <c r="DN229" i="25"/>
  <c r="DM229" i="25"/>
  <c r="DL229" i="25"/>
  <c r="CQ229" i="25" s="1"/>
  <c r="CR229" i="25" s="1"/>
  <c r="DK229" i="25"/>
  <c r="DJ229" i="25"/>
  <c r="DG229" i="25"/>
  <c r="DE229" i="25"/>
  <c r="DF229" i="25" s="1"/>
  <c r="DD229" i="25"/>
  <c r="DC229" i="25"/>
  <c r="CW229" i="25"/>
  <c r="CV229" i="25"/>
  <c r="CU229" i="25"/>
  <c r="CT229" i="25"/>
  <c r="CL229" i="25"/>
  <c r="CK229" i="25"/>
  <c r="CC229" i="25"/>
  <c r="BX229" i="25"/>
  <c r="BW229" i="25"/>
  <c r="BV229" i="25"/>
  <c r="BU229" i="25"/>
  <c r="BT229" i="25"/>
  <c r="BR229" i="25"/>
  <c r="BQ229" i="25"/>
  <c r="G229" i="25"/>
  <c r="DR228" i="25"/>
  <c r="DQ228" i="25"/>
  <c r="DP228" i="25"/>
  <c r="DO228" i="25"/>
  <c r="DN228" i="25"/>
  <c r="DM228" i="25"/>
  <c r="DL228" i="25"/>
  <c r="DK228" i="25"/>
  <c r="DJ228" i="25"/>
  <c r="DG228" i="25"/>
  <c r="DE228" i="25"/>
  <c r="DD228" i="25"/>
  <c r="DC228" i="25"/>
  <c r="CW228" i="25"/>
  <c r="CV228" i="25"/>
  <c r="CU228" i="25"/>
  <c r="DB228" i="25" s="1"/>
  <c r="CT228" i="25"/>
  <c r="CL228" i="25"/>
  <c r="CK228" i="25"/>
  <c r="CC228" i="25"/>
  <c r="BX228" i="25"/>
  <c r="BW228" i="25"/>
  <c r="BV228" i="25"/>
  <c r="BU228" i="25"/>
  <c r="BT228" i="25"/>
  <c r="BR228" i="25"/>
  <c r="BQ228" i="25"/>
  <c r="G228" i="25"/>
  <c r="DR227" i="25"/>
  <c r="DQ227" i="25"/>
  <c r="DP227" i="25"/>
  <c r="DO227" i="25"/>
  <c r="DN227" i="25"/>
  <c r="DM227" i="25"/>
  <c r="DL227" i="25"/>
  <c r="CP227" i="25" s="1"/>
  <c r="DK227" i="25"/>
  <c r="DJ227" i="25"/>
  <c r="DG227" i="25"/>
  <c r="DE227" i="25"/>
  <c r="DF227" i="25" s="1"/>
  <c r="DD227" i="25"/>
  <c r="DC227" i="25"/>
  <c r="CW227" i="25"/>
  <c r="CV227" i="25"/>
  <c r="CU227" i="25"/>
  <c r="DB227" i="25" s="1"/>
  <c r="CT227" i="25"/>
  <c r="CL227" i="25"/>
  <c r="CK227" i="25"/>
  <c r="CC227" i="25"/>
  <c r="CD227" i="25" s="1"/>
  <c r="BX227" i="25"/>
  <c r="BW227" i="25"/>
  <c r="BV227" i="25"/>
  <c r="BU227" i="25"/>
  <c r="BT227" i="25"/>
  <c r="BR227" i="25"/>
  <c r="BQ227" i="25"/>
  <c r="G227" i="25"/>
  <c r="DR226" i="25"/>
  <c r="DQ226" i="25"/>
  <c r="DP226" i="25"/>
  <c r="DO226" i="25"/>
  <c r="DN226" i="25"/>
  <c r="DM226" i="25"/>
  <c r="DL226" i="25"/>
  <c r="DK226" i="25"/>
  <c r="DJ226" i="25"/>
  <c r="DG226" i="25"/>
  <c r="DE226" i="25"/>
  <c r="DD226" i="25"/>
  <c r="DC226" i="25"/>
  <c r="CW226" i="25"/>
  <c r="CV226" i="25"/>
  <c r="CU226" i="25"/>
  <c r="CT226" i="25"/>
  <c r="CL226" i="25"/>
  <c r="CK226" i="25"/>
  <c r="CC226" i="25"/>
  <c r="CD226" i="25" s="1"/>
  <c r="BX226" i="25"/>
  <c r="BW226" i="25"/>
  <c r="BV226" i="25"/>
  <c r="BU226" i="25"/>
  <c r="BT226" i="25"/>
  <c r="BR226" i="25"/>
  <c r="BQ226" i="25"/>
  <c r="G226" i="25"/>
  <c r="DR225" i="25"/>
  <c r="DQ225" i="25"/>
  <c r="DP225" i="25"/>
  <c r="DO225" i="25"/>
  <c r="DN225" i="25"/>
  <c r="DM225" i="25"/>
  <c r="DL225" i="25"/>
  <c r="CQ225" i="25" s="1"/>
  <c r="CR225" i="25" s="1"/>
  <c r="DK225" i="25"/>
  <c r="DJ225" i="25"/>
  <c r="DG225" i="25"/>
  <c r="DE225" i="25"/>
  <c r="DF225" i="25" s="1"/>
  <c r="DD225" i="25"/>
  <c r="DC225" i="25"/>
  <c r="CW225" i="25"/>
  <c r="CV225" i="25"/>
  <c r="CU225" i="25"/>
  <c r="CT225" i="25"/>
  <c r="CL225" i="25"/>
  <c r="CK225" i="25"/>
  <c r="CC225" i="25"/>
  <c r="BX225" i="25"/>
  <c r="BW225" i="25"/>
  <c r="BV225" i="25"/>
  <c r="BU225" i="25"/>
  <c r="BT225" i="25"/>
  <c r="BR225" i="25"/>
  <c r="BQ225" i="25"/>
  <c r="G225" i="25"/>
  <c r="DR224" i="25"/>
  <c r="DQ224" i="25"/>
  <c r="DP224" i="25"/>
  <c r="DO224" i="25"/>
  <c r="DN224" i="25"/>
  <c r="DM224" i="25"/>
  <c r="DL224" i="25"/>
  <c r="CO224" i="25" s="1"/>
  <c r="DK224" i="25"/>
  <c r="DJ224" i="25"/>
  <c r="DG224" i="25"/>
  <c r="DE224" i="25"/>
  <c r="DD224" i="25"/>
  <c r="DC224" i="25"/>
  <c r="CW224" i="25"/>
  <c r="CV224" i="25"/>
  <c r="CU224" i="25"/>
  <c r="DB224" i="25" s="1"/>
  <c r="CT224" i="25"/>
  <c r="CL224" i="25"/>
  <c r="CK224" i="25"/>
  <c r="CC224" i="25"/>
  <c r="BX224" i="25"/>
  <c r="BW224" i="25"/>
  <c r="BV224" i="25"/>
  <c r="BU224" i="25"/>
  <c r="BT224" i="25"/>
  <c r="BR224" i="25"/>
  <c r="BQ224" i="25"/>
  <c r="G224" i="25"/>
  <c r="DR223" i="25"/>
  <c r="DQ223" i="25"/>
  <c r="DP223" i="25"/>
  <c r="DO223" i="25"/>
  <c r="DN223" i="25"/>
  <c r="DM223" i="25"/>
  <c r="DL223" i="25"/>
  <c r="CP223" i="25" s="1"/>
  <c r="DK223" i="25"/>
  <c r="DJ223" i="25"/>
  <c r="DG223" i="25"/>
  <c r="DE223" i="25"/>
  <c r="DF223" i="25" s="1"/>
  <c r="DD223" i="25"/>
  <c r="DC223" i="25"/>
  <c r="CW223" i="25"/>
  <c r="CV223" i="25"/>
  <c r="CU223" i="25"/>
  <c r="DB223" i="25" s="1"/>
  <c r="CT223" i="25"/>
  <c r="CL223" i="25"/>
  <c r="CK223" i="25"/>
  <c r="CC223" i="25"/>
  <c r="CD223" i="25" s="1"/>
  <c r="BX223" i="25"/>
  <c r="BW223" i="25"/>
  <c r="BV223" i="25"/>
  <c r="BU223" i="25"/>
  <c r="BT223" i="25"/>
  <c r="BR223" i="25"/>
  <c r="BQ223" i="25"/>
  <c r="G223" i="25"/>
  <c r="DR222" i="25"/>
  <c r="DQ222" i="25"/>
  <c r="DP222" i="25"/>
  <c r="DO222" i="25"/>
  <c r="DN222" i="25"/>
  <c r="DM222" i="25"/>
  <c r="DL222" i="25"/>
  <c r="DK222" i="25"/>
  <c r="DJ222" i="25"/>
  <c r="DG222" i="25"/>
  <c r="DE222" i="25"/>
  <c r="DD222" i="25"/>
  <c r="DC222" i="25"/>
  <c r="CW222" i="25"/>
  <c r="CV222" i="25"/>
  <c r="CU222" i="25"/>
  <c r="CT222" i="25"/>
  <c r="CL222" i="25"/>
  <c r="CK222" i="25"/>
  <c r="CC222" i="25"/>
  <c r="CD222" i="25" s="1"/>
  <c r="BX222" i="25"/>
  <c r="BW222" i="25"/>
  <c r="BV222" i="25"/>
  <c r="BU222" i="25"/>
  <c r="BT222" i="25"/>
  <c r="BR222" i="25"/>
  <c r="BQ222" i="25"/>
  <c r="G222" i="25"/>
  <c r="DR221" i="25"/>
  <c r="DQ221" i="25"/>
  <c r="DP221" i="25"/>
  <c r="DO221" i="25"/>
  <c r="DN221" i="25"/>
  <c r="DM221" i="25"/>
  <c r="DL221" i="25"/>
  <c r="CQ221" i="25" s="1"/>
  <c r="CR221" i="25" s="1"/>
  <c r="DK221" i="25"/>
  <c r="DJ221" i="25"/>
  <c r="DG221" i="25"/>
  <c r="DE221" i="25"/>
  <c r="DD221" i="25"/>
  <c r="DC221" i="25"/>
  <c r="CW221" i="25"/>
  <c r="CV221" i="25"/>
  <c r="CU221" i="25"/>
  <c r="CT221" i="25"/>
  <c r="CL221" i="25"/>
  <c r="CK221" i="25"/>
  <c r="CC221" i="25"/>
  <c r="BX221" i="25"/>
  <c r="BW221" i="25"/>
  <c r="BV221" i="25"/>
  <c r="BU221" i="25"/>
  <c r="BT221" i="25"/>
  <c r="BR221" i="25"/>
  <c r="BQ221" i="25"/>
  <c r="G221" i="25"/>
  <c r="DR220" i="25"/>
  <c r="DQ220" i="25"/>
  <c r="DP220" i="25"/>
  <c r="DO220" i="25"/>
  <c r="DN220" i="25"/>
  <c r="DM220" i="25"/>
  <c r="DL220" i="25"/>
  <c r="CO220" i="25" s="1"/>
  <c r="DK220" i="25"/>
  <c r="DJ220" i="25"/>
  <c r="DG220" i="25"/>
  <c r="DE220" i="25"/>
  <c r="DD220" i="25"/>
  <c r="DC220" i="25"/>
  <c r="CW220" i="25"/>
  <c r="CV220" i="25"/>
  <c r="CU220" i="25"/>
  <c r="DB220" i="25" s="1"/>
  <c r="CT220" i="25"/>
  <c r="CL220" i="25"/>
  <c r="CK220" i="25"/>
  <c r="CC220" i="25"/>
  <c r="BX220" i="25"/>
  <c r="BW220" i="25"/>
  <c r="BV220" i="25"/>
  <c r="BU220" i="25"/>
  <c r="BT220" i="25"/>
  <c r="BR220" i="25"/>
  <c r="BQ220" i="25"/>
  <c r="G220" i="25"/>
  <c r="DR219" i="25"/>
  <c r="DQ219" i="25"/>
  <c r="DP219" i="25"/>
  <c r="DO219" i="25"/>
  <c r="DN219" i="25"/>
  <c r="DM219" i="25"/>
  <c r="DL219" i="25"/>
  <c r="CP219" i="25" s="1"/>
  <c r="DK219" i="25"/>
  <c r="DJ219" i="25"/>
  <c r="DG219" i="25"/>
  <c r="DE219" i="25"/>
  <c r="DD219" i="25"/>
  <c r="DC219" i="25"/>
  <c r="CW219" i="25"/>
  <c r="CV219" i="25"/>
  <c r="CU219" i="25"/>
  <c r="DB219" i="25" s="1"/>
  <c r="CT219" i="25"/>
  <c r="CL219" i="25"/>
  <c r="CK219" i="25"/>
  <c r="CC219" i="25"/>
  <c r="CD219" i="25" s="1"/>
  <c r="BX219" i="25"/>
  <c r="BW219" i="25"/>
  <c r="BV219" i="25"/>
  <c r="BU219" i="25"/>
  <c r="BT219" i="25"/>
  <c r="BR219" i="25"/>
  <c r="BQ219" i="25"/>
  <c r="G219" i="25"/>
  <c r="DR218" i="25"/>
  <c r="DQ218" i="25"/>
  <c r="DP218" i="25"/>
  <c r="DO218" i="25"/>
  <c r="DN218" i="25"/>
  <c r="DM218" i="25"/>
  <c r="DL218" i="25"/>
  <c r="DK218" i="25"/>
  <c r="DJ218" i="25"/>
  <c r="DG218" i="25"/>
  <c r="DE218" i="25"/>
  <c r="DD218" i="25"/>
  <c r="DC218" i="25"/>
  <c r="CW218" i="25"/>
  <c r="CV218" i="25"/>
  <c r="CU218" i="25"/>
  <c r="CT218" i="25"/>
  <c r="CL218" i="25"/>
  <c r="CK218" i="25"/>
  <c r="CC218" i="25"/>
  <c r="CD218" i="25" s="1"/>
  <c r="BX218" i="25"/>
  <c r="BW218" i="25"/>
  <c r="BV218" i="25"/>
  <c r="BU218" i="25"/>
  <c r="BT218" i="25"/>
  <c r="BR218" i="25"/>
  <c r="BQ218" i="25"/>
  <c r="G218" i="25"/>
  <c r="DR217" i="25"/>
  <c r="DQ217" i="25"/>
  <c r="DP217" i="25"/>
  <c r="DO217" i="25"/>
  <c r="DN217" i="25"/>
  <c r="DM217" i="25"/>
  <c r="DL217" i="25"/>
  <c r="CQ217" i="25" s="1"/>
  <c r="CR217" i="25" s="1"/>
  <c r="DK217" i="25"/>
  <c r="DJ217" i="25"/>
  <c r="DG217" i="25"/>
  <c r="DE217" i="25"/>
  <c r="DD217" i="25"/>
  <c r="DC217" i="25"/>
  <c r="CW217" i="25"/>
  <c r="CV217" i="25"/>
  <c r="CU217" i="25"/>
  <c r="CT217" i="25"/>
  <c r="CL217" i="25"/>
  <c r="CK217" i="25"/>
  <c r="CC217" i="25"/>
  <c r="BX217" i="25"/>
  <c r="BW217" i="25"/>
  <c r="BV217" i="25"/>
  <c r="BU217" i="25"/>
  <c r="BT217" i="25"/>
  <c r="BR217" i="25"/>
  <c r="BQ217" i="25"/>
  <c r="G217" i="25"/>
  <c r="DR216" i="25"/>
  <c r="DQ216" i="25"/>
  <c r="DP216" i="25"/>
  <c r="DO216" i="25"/>
  <c r="DN216" i="25"/>
  <c r="DM216" i="25"/>
  <c r="DL216" i="25"/>
  <c r="DK216" i="25"/>
  <c r="DJ216" i="25"/>
  <c r="DG216" i="25"/>
  <c r="DE216" i="25"/>
  <c r="DD216" i="25"/>
  <c r="DC216" i="25"/>
  <c r="CW216" i="25"/>
  <c r="CV216" i="25"/>
  <c r="CU216" i="25"/>
  <c r="DB216" i="25" s="1"/>
  <c r="CT216" i="25"/>
  <c r="CL216" i="25"/>
  <c r="CK216" i="25"/>
  <c r="CC216" i="25"/>
  <c r="BX216" i="25"/>
  <c r="BW216" i="25"/>
  <c r="BV216" i="25"/>
  <c r="BU216" i="25"/>
  <c r="BT216" i="25"/>
  <c r="BR216" i="25"/>
  <c r="BQ216" i="25"/>
  <c r="G216" i="25"/>
  <c r="DR215" i="25"/>
  <c r="DQ215" i="25"/>
  <c r="DP215" i="25"/>
  <c r="DO215" i="25"/>
  <c r="DN215" i="25"/>
  <c r="DM215" i="25"/>
  <c r="DL215" i="25"/>
  <c r="DK215" i="25"/>
  <c r="DJ215" i="25"/>
  <c r="DG215" i="25"/>
  <c r="DE215" i="25"/>
  <c r="DD215" i="25"/>
  <c r="DC215" i="25"/>
  <c r="CW215" i="25"/>
  <c r="CV215" i="25"/>
  <c r="CU215" i="25"/>
  <c r="DB215" i="25" s="1"/>
  <c r="CT215" i="25"/>
  <c r="CL215" i="25"/>
  <c r="CK215" i="25"/>
  <c r="CC215" i="25"/>
  <c r="CD215" i="25" s="1"/>
  <c r="BX215" i="25"/>
  <c r="BW215" i="25"/>
  <c r="BV215" i="25"/>
  <c r="BU215" i="25"/>
  <c r="BT215" i="25"/>
  <c r="BR215" i="25"/>
  <c r="BQ215" i="25"/>
  <c r="G215" i="25"/>
  <c r="DR214" i="25"/>
  <c r="DQ214" i="25"/>
  <c r="DP214" i="25"/>
  <c r="DO214" i="25"/>
  <c r="DN214" i="25"/>
  <c r="DM214" i="25"/>
  <c r="DL214" i="25"/>
  <c r="DK214" i="25"/>
  <c r="DJ214" i="25"/>
  <c r="DG214" i="25"/>
  <c r="DE214" i="25"/>
  <c r="DD214" i="25"/>
  <c r="DC214" i="25"/>
  <c r="CW214" i="25"/>
  <c r="CV214" i="25"/>
  <c r="CU214" i="25"/>
  <c r="CT214" i="25"/>
  <c r="CL214" i="25"/>
  <c r="CK214" i="25"/>
  <c r="CC214" i="25"/>
  <c r="CD214" i="25" s="1"/>
  <c r="BX214" i="25"/>
  <c r="BW214" i="25"/>
  <c r="BV214" i="25"/>
  <c r="BU214" i="25"/>
  <c r="BT214" i="25"/>
  <c r="BR214" i="25"/>
  <c r="BQ214" i="25"/>
  <c r="G214" i="25"/>
  <c r="DR213" i="25"/>
  <c r="DQ213" i="25"/>
  <c r="DP213" i="25"/>
  <c r="DO213" i="25"/>
  <c r="DN213" i="25"/>
  <c r="DM213" i="25"/>
  <c r="DL213" i="25"/>
  <c r="CQ213" i="25" s="1"/>
  <c r="CR213" i="25" s="1"/>
  <c r="DK213" i="25"/>
  <c r="DJ213" i="25"/>
  <c r="DG213" i="25"/>
  <c r="DE213" i="25"/>
  <c r="DD213" i="25"/>
  <c r="DC213" i="25"/>
  <c r="CW213" i="25"/>
  <c r="CV213" i="25"/>
  <c r="CU213" i="25"/>
  <c r="DB213" i="25" s="1"/>
  <c r="CT213" i="25"/>
  <c r="CL213" i="25"/>
  <c r="CK213" i="25"/>
  <c r="CC213" i="25"/>
  <c r="BX213" i="25"/>
  <c r="BW213" i="25"/>
  <c r="BV213" i="25"/>
  <c r="BU213" i="25"/>
  <c r="BT213" i="25"/>
  <c r="BR213" i="25"/>
  <c r="BQ213" i="25"/>
  <c r="G213" i="25"/>
  <c r="DR171" i="25"/>
  <c r="DQ171" i="25"/>
  <c r="DP171" i="25"/>
  <c r="DO171" i="25"/>
  <c r="DN171" i="25"/>
  <c r="DM171" i="25"/>
  <c r="DL171" i="25"/>
  <c r="DK171" i="25"/>
  <c r="DJ171" i="25"/>
  <c r="DG171" i="25"/>
  <c r="DE171" i="25"/>
  <c r="DD171" i="25"/>
  <c r="DC171" i="25"/>
  <c r="CW171" i="25"/>
  <c r="CV171" i="25"/>
  <c r="CU171" i="25"/>
  <c r="DB171" i="25" s="1"/>
  <c r="CT171" i="25"/>
  <c r="CL171" i="25"/>
  <c r="CK171" i="25"/>
  <c r="CC171" i="25"/>
  <c r="CD171" i="25" s="1"/>
  <c r="BX171" i="25"/>
  <c r="BW171" i="25"/>
  <c r="BV171" i="25"/>
  <c r="BU171" i="25"/>
  <c r="BT171" i="25"/>
  <c r="BR171" i="25"/>
  <c r="BQ171" i="25"/>
  <c r="G171" i="25"/>
  <c r="DR203" i="25"/>
  <c r="DQ203" i="25"/>
  <c r="DP203" i="25"/>
  <c r="DO203" i="25"/>
  <c r="DN203" i="25"/>
  <c r="DM203" i="25"/>
  <c r="DL203" i="25"/>
  <c r="CO203" i="25" s="1"/>
  <c r="DK203" i="25"/>
  <c r="DJ203" i="25"/>
  <c r="DG203" i="25"/>
  <c r="DE203" i="25"/>
  <c r="DF203" i="25" s="1"/>
  <c r="DD203" i="25"/>
  <c r="DC203" i="25"/>
  <c r="CW203" i="25"/>
  <c r="CV203" i="25"/>
  <c r="CU203" i="25"/>
  <c r="DB203" i="25" s="1"/>
  <c r="CT203" i="25"/>
  <c r="CL203" i="25"/>
  <c r="CK203" i="25"/>
  <c r="CC203" i="25"/>
  <c r="BX203" i="25"/>
  <c r="BW203" i="25"/>
  <c r="BV203" i="25"/>
  <c r="BU203" i="25"/>
  <c r="BT203" i="25"/>
  <c r="BR203" i="25"/>
  <c r="BQ203" i="25"/>
  <c r="G203" i="25"/>
  <c r="DR212" i="25"/>
  <c r="DQ212" i="25"/>
  <c r="DP212" i="25"/>
  <c r="DO212" i="25"/>
  <c r="DN212" i="25"/>
  <c r="DM212" i="25"/>
  <c r="DL212" i="25"/>
  <c r="CO212" i="25" s="1"/>
  <c r="DK212" i="25"/>
  <c r="DJ212" i="25"/>
  <c r="DG212" i="25"/>
  <c r="DE212" i="25"/>
  <c r="DF212" i="25" s="1"/>
  <c r="DD212" i="25"/>
  <c r="DC212" i="25"/>
  <c r="CW212" i="25"/>
  <c r="CV212" i="25"/>
  <c r="CU212" i="25"/>
  <c r="DB212" i="25" s="1"/>
  <c r="CT212" i="25"/>
  <c r="CL212" i="25"/>
  <c r="CK212" i="25"/>
  <c r="CC212" i="25"/>
  <c r="CD212" i="25" s="1"/>
  <c r="BX212" i="25"/>
  <c r="BW212" i="25"/>
  <c r="BV212" i="25"/>
  <c r="BU212" i="25"/>
  <c r="BT212" i="25"/>
  <c r="BR212" i="25"/>
  <c r="BQ212" i="25"/>
  <c r="G212" i="25"/>
  <c r="DR172" i="25"/>
  <c r="DQ172" i="25"/>
  <c r="DP172" i="25"/>
  <c r="DO172" i="25"/>
  <c r="DN172" i="25"/>
  <c r="DM172" i="25"/>
  <c r="DL172" i="25"/>
  <c r="DK172" i="25"/>
  <c r="DJ172" i="25"/>
  <c r="DG172" i="25"/>
  <c r="DE172" i="25"/>
  <c r="DF172" i="25" s="1"/>
  <c r="DD172" i="25"/>
  <c r="DC172" i="25"/>
  <c r="CW172" i="25"/>
  <c r="CV172" i="25"/>
  <c r="CU172" i="25"/>
  <c r="CT172" i="25"/>
  <c r="CL172" i="25"/>
  <c r="CK172" i="25"/>
  <c r="CC172" i="25"/>
  <c r="CD172" i="25" s="1"/>
  <c r="BX172" i="25"/>
  <c r="BW172" i="25"/>
  <c r="BV172" i="25"/>
  <c r="BU172" i="25"/>
  <c r="BT172" i="25"/>
  <c r="BR172" i="25"/>
  <c r="BQ172" i="25"/>
  <c r="G172" i="25"/>
  <c r="DR344" i="25"/>
  <c r="DQ344" i="25"/>
  <c r="DP344" i="25"/>
  <c r="DO344" i="25"/>
  <c r="DN344" i="25"/>
  <c r="DM344" i="25"/>
  <c r="DL344" i="25"/>
  <c r="DK344" i="25"/>
  <c r="DJ344" i="25"/>
  <c r="DG344" i="25"/>
  <c r="DE344" i="25"/>
  <c r="DD344" i="25"/>
  <c r="DC344" i="25"/>
  <c r="CW344" i="25"/>
  <c r="CV344" i="25"/>
  <c r="CU344" i="25"/>
  <c r="DB344" i="25" s="1"/>
  <c r="CT344" i="25"/>
  <c r="CL344" i="25"/>
  <c r="CK344" i="25"/>
  <c r="CC344" i="25"/>
  <c r="CD344" i="25" s="1"/>
  <c r="BX344" i="25"/>
  <c r="BW344" i="25"/>
  <c r="BV344" i="25"/>
  <c r="BU344" i="25"/>
  <c r="BT344" i="25"/>
  <c r="BR344" i="25"/>
  <c r="BQ344" i="25"/>
  <c r="G344" i="25"/>
  <c r="DR204" i="25"/>
  <c r="DP204" i="25"/>
  <c r="DO204" i="25"/>
  <c r="DN204" i="25"/>
  <c r="DM204" i="25"/>
  <c r="DL204" i="25"/>
  <c r="CO204" i="25" s="1"/>
  <c r="DK204" i="25"/>
  <c r="DJ204" i="25"/>
  <c r="DG204" i="25"/>
  <c r="DE204" i="25"/>
  <c r="DF204" i="25" s="1"/>
  <c r="DD204" i="25"/>
  <c r="DC204" i="25"/>
  <c r="CW204" i="25"/>
  <c r="CV204" i="25"/>
  <c r="CU204" i="25"/>
  <c r="DB204" i="25" s="1"/>
  <c r="CT204" i="25"/>
  <c r="CL204" i="25"/>
  <c r="CK204" i="25"/>
  <c r="CC204" i="25"/>
  <c r="BX204" i="25"/>
  <c r="BW204" i="25"/>
  <c r="BV204" i="25"/>
  <c r="BU204" i="25"/>
  <c r="BT204" i="25"/>
  <c r="BR204" i="25"/>
  <c r="BQ204" i="25"/>
  <c r="G204" i="25"/>
  <c r="DR209" i="25"/>
  <c r="DQ209" i="25"/>
  <c r="DP209" i="25"/>
  <c r="DO209" i="25"/>
  <c r="DN209" i="25"/>
  <c r="DM209" i="25"/>
  <c r="DL209" i="25"/>
  <c r="DK209" i="25"/>
  <c r="DJ209" i="25"/>
  <c r="DG209" i="25"/>
  <c r="DE209" i="25"/>
  <c r="DF209" i="25" s="1"/>
  <c r="DD209" i="25"/>
  <c r="DC209" i="25"/>
  <c r="CW209" i="25"/>
  <c r="CV209" i="25"/>
  <c r="CU209" i="25"/>
  <c r="DB209" i="25" s="1"/>
  <c r="CT209" i="25"/>
  <c r="CL209" i="25"/>
  <c r="CK209" i="25"/>
  <c r="CC209" i="25"/>
  <c r="CD209" i="25" s="1"/>
  <c r="BX209" i="25"/>
  <c r="BW209" i="25"/>
  <c r="BV209" i="25"/>
  <c r="BU209" i="25"/>
  <c r="BT209" i="25"/>
  <c r="BR209" i="25"/>
  <c r="BQ209" i="25"/>
  <c r="G209" i="25"/>
  <c r="DR211" i="25"/>
  <c r="DQ211" i="25"/>
  <c r="DP211" i="25"/>
  <c r="DO211" i="25"/>
  <c r="DN211" i="25"/>
  <c r="DM211" i="25"/>
  <c r="DL211" i="25"/>
  <c r="CP211" i="25" s="1"/>
  <c r="DK211" i="25"/>
  <c r="DJ211" i="25"/>
  <c r="DG211" i="25"/>
  <c r="DE211" i="25"/>
  <c r="DF211" i="25" s="1"/>
  <c r="DD211" i="25"/>
  <c r="DC211" i="25"/>
  <c r="CW211" i="25"/>
  <c r="CV211" i="25"/>
  <c r="CU211" i="25"/>
  <c r="DB211" i="25" s="1"/>
  <c r="CT211" i="25"/>
  <c r="CL211" i="25"/>
  <c r="CK211" i="25"/>
  <c r="CC211" i="25"/>
  <c r="CD211" i="25" s="1"/>
  <c r="BX211" i="25"/>
  <c r="BW211" i="25"/>
  <c r="BV211" i="25"/>
  <c r="BU211" i="25"/>
  <c r="BT211" i="25"/>
  <c r="BR211" i="25"/>
  <c r="BQ211" i="25"/>
  <c r="G211" i="25"/>
  <c r="DR210" i="25"/>
  <c r="DQ210" i="25"/>
  <c r="DP210" i="25"/>
  <c r="DO210" i="25"/>
  <c r="DN210" i="25"/>
  <c r="DM210" i="25"/>
  <c r="DL210" i="25"/>
  <c r="CO210" i="25" s="1"/>
  <c r="DK210" i="25"/>
  <c r="DJ210" i="25"/>
  <c r="DG210" i="25"/>
  <c r="DE210" i="25"/>
  <c r="DD210" i="25"/>
  <c r="DC210" i="25"/>
  <c r="CW210" i="25"/>
  <c r="CV210" i="25"/>
  <c r="CU210" i="25"/>
  <c r="DB210" i="25" s="1"/>
  <c r="CT210" i="25"/>
  <c r="CL210" i="25"/>
  <c r="CK210" i="25"/>
  <c r="CC210" i="25"/>
  <c r="BX210" i="25"/>
  <c r="BW210" i="25"/>
  <c r="BV210" i="25"/>
  <c r="BU210" i="25"/>
  <c r="BT210" i="25"/>
  <c r="BR210" i="25"/>
  <c r="BQ210" i="25"/>
  <c r="G210" i="25"/>
  <c r="DR169" i="25"/>
  <c r="DQ169" i="25"/>
  <c r="DP169" i="25"/>
  <c r="DO169" i="25"/>
  <c r="DN169" i="25"/>
  <c r="DM169" i="25"/>
  <c r="DL169" i="25"/>
  <c r="CQ169" i="25" s="1"/>
  <c r="CR169" i="25" s="1"/>
  <c r="DK169" i="25"/>
  <c r="DJ169" i="25"/>
  <c r="DG169" i="25"/>
  <c r="DE169" i="25"/>
  <c r="DF169" i="25" s="1"/>
  <c r="DD169" i="25"/>
  <c r="DC169" i="25"/>
  <c r="CW169" i="25"/>
  <c r="CV169" i="25"/>
  <c r="CU169" i="25"/>
  <c r="DB169" i="25" s="1"/>
  <c r="CT169" i="25"/>
  <c r="CL169" i="25"/>
  <c r="CK169" i="25"/>
  <c r="CC169" i="25"/>
  <c r="CD169" i="25" s="1"/>
  <c r="BX169" i="25"/>
  <c r="BW169" i="25"/>
  <c r="BV169" i="25"/>
  <c r="BU169" i="25"/>
  <c r="BT169" i="25"/>
  <c r="BR169" i="25"/>
  <c r="BQ169" i="25"/>
  <c r="G169" i="25"/>
  <c r="DR202" i="25"/>
  <c r="DQ202" i="25"/>
  <c r="DP202" i="25"/>
  <c r="DO202" i="25"/>
  <c r="DN202" i="25"/>
  <c r="DM202" i="25"/>
  <c r="DL202" i="25"/>
  <c r="DK202" i="25"/>
  <c r="DJ202" i="25"/>
  <c r="DG202" i="25"/>
  <c r="DE202" i="25"/>
  <c r="DF202" i="25" s="1"/>
  <c r="DD202" i="25"/>
  <c r="DC202" i="25"/>
  <c r="CW202" i="25"/>
  <c r="CV202" i="25"/>
  <c r="CU202" i="25"/>
  <c r="DB202" i="25" s="1"/>
  <c r="CT202" i="25"/>
  <c r="CL202" i="25"/>
  <c r="CK202" i="25"/>
  <c r="CC202" i="25"/>
  <c r="BX202" i="25"/>
  <c r="BW202" i="25"/>
  <c r="BV202" i="25"/>
  <c r="BU202" i="25"/>
  <c r="BT202" i="25"/>
  <c r="BR202" i="25"/>
  <c r="BQ202" i="25"/>
  <c r="G202" i="25"/>
  <c r="DR201" i="25"/>
  <c r="DQ201" i="25"/>
  <c r="DP201" i="25"/>
  <c r="DO201" i="25"/>
  <c r="DN201" i="25"/>
  <c r="DM201" i="25"/>
  <c r="DL201" i="25"/>
  <c r="CO201" i="25" s="1"/>
  <c r="DK201" i="25"/>
  <c r="DJ201" i="25"/>
  <c r="DG201" i="25"/>
  <c r="DE201" i="25"/>
  <c r="DF201" i="25" s="1"/>
  <c r="DD201" i="25"/>
  <c r="DC201" i="25"/>
  <c r="CW201" i="25"/>
  <c r="CV201" i="25"/>
  <c r="CU201" i="25"/>
  <c r="DB201" i="25" s="1"/>
  <c r="CT201" i="25"/>
  <c r="CL201" i="25"/>
  <c r="CK201" i="25"/>
  <c r="CC201" i="25"/>
  <c r="CD201" i="25" s="1"/>
  <c r="BX201" i="25"/>
  <c r="BW201" i="25"/>
  <c r="BV201" i="25"/>
  <c r="BU201" i="25"/>
  <c r="BT201" i="25"/>
  <c r="BR201" i="25"/>
  <c r="BQ201" i="25"/>
  <c r="G201" i="25"/>
  <c r="DR200" i="25"/>
  <c r="DQ200" i="25"/>
  <c r="DP200" i="25"/>
  <c r="DO200" i="25"/>
  <c r="DN200" i="25"/>
  <c r="DM200" i="25"/>
  <c r="DL200" i="25"/>
  <c r="DK200" i="25"/>
  <c r="DJ200" i="25"/>
  <c r="DG200" i="25"/>
  <c r="DE200" i="25"/>
  <c r="DF200" i="25" s="1"/>
  <c r="DD200" i="25"/>
  <c r="DC200" i="25"/>
  <c r="CW200" i="25"/>
  <c r="CV200" i="25"/>
  <c r="CU200" i="25"/>
  <c r="DB200" i="25" s="1"/>
  <c r="CT200" i="25"/>
  <c r="CL200" i="25"/>
  <c r="CK200" i="25"/>
  <c r="CC200" i="25"/>
  <c r="BX200" i="25"/>
  <c r="BW200" i="25"/>
  <c r="BV200" i="25"/>
  <c r="BU200" i="25"/>
  <c r="BT200" i="25"/>
  <c r="BR200" i="25"/>
  <c r="BQ200" i="25"/>
  <c r="G200" i="25"/>
  <c r="DR199" i="25"/>
  <c r="DQ199" i="25"/>
  <c r="DP199" i="25"/>
  <c r="DO199" i="25"/>
  <c r="DN199" i="25"/>
  <c r="DM199" i="25"/>
  <c r="DL199" i="25"/>
  <c r="DK199" i="25"/>
  <c r="DJ199" i="25"/>
  <c r="DG199" i="25"/>
  <c r="DE199" i="25"/>
  <c r="DF199" i="25" s="1"/>
  <c r="DD199" i="25"/>
  <c r="DC199" i="25"/>
  <c r="CW199" i="25"/>
  <c r="CV199" i="25"/>
  <c r="CU199" i="25"/>
  <c r="CT199" i="25"/>
  <c r="CL199" i="25"/>
  <c r="CK199" i="25"/>
  <c r="CC199" i="25"/>
  <c r="CD199" i="25" s="1"/>
  <c r="BX199" i="25"/>
  <c r="BW199" i="25"/>
  <c r="BV199" i="25"/>
  <c r="BU199" i="25"/>
  <c r="BT199" i="25"/>
  <c r="BR199" i="25"/>
  <c r="BQ199" i="25"/>
  <c r="G199" i="25"/>
  <c r="DR198" i="25"/>
  <c r="DQ198" i="25"/>
  <c r="DP198" i="25"/>
  <c r="DO198" i="25"/>
  <c r="DN198" i="25"/>
  <c r="DM198" i="25"/>
  <c r="DL198" i="25"/>
  <c r="CQ198" i="25" s="1"/>
  <c r="CR198" i="25" s="1"/>
  <c r="DK198" i="25"/>
  <c r="DJ198" i="25"/>
  <c r="DG198" i="25"/>
  <c r="DE198" i="25"/>
  <c r="DD198" i="25"/>
  <c r="DC198" i="25"/>
  <c r="CW198" i="25"/>
  <c r="CV198" i="25"/>
  <c r="CU198" i="25"/>
  <c r="DB198" i="25" s="1"/>
  <c r="CT198" i="25"/>
  <c r="CL198" i="25"/>
  <c r="CK198" i="25"/>
  <c r="CC198" i="25"/>
  <c r="BX198" i="25"/>
  <c r="BW198" i="25"/>
  <c r="BV198" i="25"/>
  <c r="BU198" i="25"/>
  <c r="BT198" i="25"/>
  <c r="BR198" i="25"/>
  <c r="BQ198" i="25"/>
  <c r="G198" i="25"/>
  <c r="DR197" i="25"/>
  <c r="DQ197" i="25"/>
  <c r="DP197" i="25"/>
  <c r="DO197" i="25"/>
  <c r="DN197" i="25"/>
  <c r="DM197" i="25"/>
  <c r="DL197" i="25"/>
  <c r="CO197" i="25" s="1"/>
  <c r="DK197" i="25"/>
  <c r="DJ197" i="25"/>
  <c r="DG197" i="25"/>
  <c r="DE197" i="25"/>
  <c r="DF197" i="25" s="1"/>
  <c r="DD197" i="25"/>
  <c r="DC197" i="25"/>
  <c r="CW197" i="25"/>
  <c r="CV197" i="25"/>
  <c r="CU197" i="25"/>
  <c r="DB197" i="25" s="1"/>
  <c r="CT197" i="25"/>
  <c r="CL197" i="25"/>
  <c r="CK197" i="25"/>
  <c r="CC197" i="25"/>
  <c r="CD197" i="25" s="1"/>
  <c r="BX197" i="25"/>
  <c r="BW197" i="25"/>
  <c r="BV197" i="25"/>
  <c r="BU197" i="25"/>
  <c r="BT197" i="25"/>
  <c r="BR197" i="25"/>
  <c r="BQ197" i="25"/>
  <c r="G197" i="25"/>
  <c r="DR196" i="25"/>
  <c r="DQ196" i="25"/>
  <c r="DP196" i="25"/>
  <c r="DO196" i="25"/>
  <c r="DN196" i="25"/>
  <c r="DM196" i="25"/>
  <c r="DL196" i="25"/>
  <c r="CQ196" i="25" s="1"/>
  <c r="CR196" i="25" s="1"/>
  <c r="DK196" i="25"/>
  <c r="DJ196" i="25"/>
  <c r="DG196" i="25"/>
  <c r="DE196" i="25"/>
  <c r="DF196" i="25" s="1"/>
  <c r="DD196" i="25"/>
  <c r="DC196" i="25"/>
  <c r="CW196" i="25"/>
  <c r="CV196" i="25"/>
  <c r="CU196" i="25"/>
  <c r="DB196" i="25" s="1"/>
  <c r="CT196" i="25"/>
  <c r="CL196" i="25"/>
  <c r="CK196" i="25"/>
  <c r="CC196" i="25"/>
  <c r="CD196" i="25" s="1"/>
  <c r="BX196" i="25"/>
  <c r="BW196" i="25"/>
  <c r="BV196" i="25"/>
  <c r="BU196" i="25"/>
  <c r="BT196" i="25"/>
  <c r="BR196" i="25"/>
  <c r="BQ196" i="25"/>
  <c r="G196" i="25"/>
  <c r="DR195" i="25"/>
  <c r="DQ195" i="25"/>
  <c r="DP195" i="25"/>
  <c r="DO195" i="25"/>
  <c r="DN195" i="25"/>
  <c r="DM195" i="25"/>
  <c r="DL195" i="25"/>
  <c r="DK195" i="25"/>
  <c r="DJ195" i="25"/>
  <c r="DG195" i="25"/>
  <c r="DE195" i="25"/>
  <c r="DD195" i="25"/>
  <c r="DC195" i="25"/>
  <c r="CW195" i="25"/>
  <c r="CV195" i="25"/>
  <c r="CU195" i="25"/>
  <c r="CT195" i="25"/>
  <c r="CL195" i="25"/>
  <c r="CK195" i="25"/>
  <c r="CC195" i="25"/>
  <c r="CD195" i="25" s="1"/>
  <c r="BX195" i="25"/>
  <c r="BW195" i="25"/>
  <c r="BV195" i="25"/>
  <c r="BU195" i="25"/>
  <c r="BT195" i="25"/>
  <c r="BR195" i="25"/>
  <c r="BQ195" i="25"/>
  <c r="G195" i="25"/>
  <c r="DR194" i="25"/>
  <c r="DQ194" i="25"/>
  <c r="DP194" i="25"/>
  <c r="DO194" i="25"/>
  <c r="DN194" i="25"/>
  <c r="DM194" i="25"/>
  <c r="DL194" i="25"/>
  <c r="CQ194" i="25" s="1"/>
  <c r="CR194" i="25" s="1"/>
  <c r="DK194" i="25"/>
  <c r="DJ194" i="25"/>
  <c r="DG194" i="25"/>
  <c r="DE194" i="25"/>
  <c r="DD194" i="25"/>
  <c r="DC194" i="25"/>
  <c r="CW194" i="25"/>
  <c r="CV194" i="25"/>
  <c r="CU194" i="25"/>
  <c r="DB194" i="25" s="1"/>
  <c r="CT194" i="25"/>
  <c r="CL194" i="25"/>
  <c r="CK194" i="25"/>
  <c r="CC194" i="25"/>
  <c r="BX194" i="25"/>
  <c r="BW194" i="25"/>
  <c r="BV194" i="25"/>
  <c r="BU194" i="25"/>
  <c r="BT194" i="25"/>
  <c r="BR194" i="25"/>
  <c r="BQ194" i="25"/>
  <c r="G194" i="25"/>
  <c r="DR193" i="25"/>
  <c r="DQ193" i="25"/>
  <c r="DP193" i="25"/>
  <c r="DO193" i="25"/>
  <c r="DN193" i="25"/>
  <c r="DM193" i="25"/>
  <c r="DL193" i="25"/>
  <c r="CO193" i="25" s="1"/>
  <c r="DK193" i="25"/>
  <c r="DJ193" i="25"/>
  <c r="DG193" i="25"/>
  <c r="DE193" i="25"/>
  <c r="DF193" i="25" s="1"/>
  <c r="DD193" i="25"/>
  <c r="DC193" i="25"/>
  <c r="CW193" i="25"/>
  <c r="CV193" i="25"/>
  <c r="CU193" i="25"/>
  <c r="DB193" i="25" s="1"/>
  <c r="CT193" i="25"/>
  <c r="CL193" i="25"/>
  <c r="CK193" i="25"/>
  <c r="CC193" i="25"/>
  <c r="CD193" i="25" s="1"/>
  <c r="BX193" i="25"/>
  <c r="BW193" i="25"/>
  <c r="BV193" i="25"/>
  <c r="BU193" i="25"/>
  <c r="BT193" i="25"/>
  <c r="BR193" i="25"/>
  <c r="BQ193" i="25"/>
  <c r="G193" i="25"/>
  <c r="DR186" i="25"/>
  <c r="DQ186" i="25"/>
  <c r="DP186" i="25"/>
  <c r="DO186" i="25"/>
  <c r="DN186" i="25"/>
  <c r="DM186" i="25"/>
  <c r="DL186" i="25"/>
  <c r="CQ186" i="25" s="1"/>
  <c r="CR186" i="25" s="1"/>
  <c r="DK186" i="25"/>
  <c r="DJ186" i="25"/>
  <c r="DG186" i="25"/>
  <c r="DE186" i="25"/>
  <c r="DF186" i="25" s="1"/>
  <c r="DD186" i="25"/>
  <c r="DC186" i="25"/>
  <c r="CW186" i="25"/>
  <c r="CV186" i="25"/>
  <c r="CU186" i="25"/>
  <c r="DB186" i="25" s="1"/>
  <c r="CT186" i="25"/>
  <c r="CL186" i="25"/>
  <c r="CK186" i="25"/>
  <c r="CC186" i="25"/>
  <c r="CD186" i="25" s="1"/>
  <c r="BX186" i="25"/>
  <c r="BW186" i="25"/>
  <c r="BV186" i="25"/>
  <c r="BU186" i="25"/>
  <c r="BT186" i="25"/>
  <c r="BR186" i="25"/>
  <c r="BQ186" i="25"/>
  <c r="G186" i="25"/>
  <c r="DR182" i="25"/>
  <c r="DQ182" i="25"/>
  <c r="DP182" i="25"/>
  <c r="DO182" i="25"/>
  <c r="DN182" i="25"/>
  <c r="DM182" i="25"/>
  <c r="DL182" i="25"/>
  <c r="DK182" i="25"/>
  <c r="DJ182" i="25"/>
  <c r="DG182" i="25"/>
  <c r="DE182" i="25"/>
  <c r="DD182" i="25"/>
  <c r="DC182" i="25"/>
  <c r="CW182" i="25"/>
  <c r="CV182" i="25"/>
  <c r="CU182" i="25"/>
  <c r="CT182" i="25"/>
  <c r="CL182" i="25"/>
  <c r="CK182" i="25"/>
  <c r="CC182" i="25"/>
  <c r="CD182" i="25" s="1"/>
  <c r="BX182" i="25"/>
  <c r="BW182" i="25"/>
  <c r="BV182" i="25"/>
  <c r="BU182" i="25"/>
  <c r="BT182" i="25"/>
  <c r="BR182" i="25"/>
  <c r="BQ182" i="25"/>
  <c r="G182" i="25"/>
  <c r="DR189" i="25"/>
  <c r="DQ189" i="25"/>
  <c r="DP189" i="25"/>
  <c r="DO189" i="25"/>
  <c r="DN189" i="25"/>
  <c r="DM189" i="25"/>
  <c r="DL189" i="25"/>
  <c r="CQ189" i="25" s="1"/>
  <c r="CR189" i="25" s="1"/>
  <c r="DK189" i="25"/>
  <c r="DJ189" i="25"/>
  <c r="DG189" i="25"/>
  <c r="DE189" i="25"/>
  <c r="DD189" i="25"/>
  <c r="DC189" i="25"/>
  <c r="CW189" i="25"/>
  <c r="CV189" i="25"/>
  <c r="CU189" i="25"/>
  <c r="DB189" i="25" s="1"/>
  <c r="CT189" i="25"/>
  <c r="CL189" i="25"/>
  <c r="CK189" i="25"/>
  <c r="CC189" i="25"/>
  <c r="BX189" i="25"/>
  <c r="BW189" i="25"/>
  <c r="BV189" i="25"/>
  <c r="BU189" i="25"/>
  <c r="BT189" i="25"/>
  <c r="BR189" i="25"/>
  <c r="BQ189" i="25"/>
  <c r="G189" i="25"/>
  <c r="DR459" i="25"/>
  <c r="DQ459" i="25"/>
  <c r="DP459" i="25"/>
  <c r="DO459" i="25"/>
  <c r="DN459" i="25"/>
  <c r="DM459" i="25"/>
  <c r="DL459" i="25"/>
  <c r="CO459" i="25" s="1"/>
  <c r="DK459" i="25"/>
  <c r="DJ459" i="25"/>
  <c r="DG459" i="25"/>
  <c r="DE459" i="25"/>
  <c r="DF459" i="25" s="1"/>
  <c r="DD459" i="25"/>
  <c r="DC459" i="25"/>
  <c r="CW459" i="25"/>
  <c r="CV459" i="25"/>
  <c r="CU459" i="25"/>
  <c r="DB459" i="25" s="1"/>
  <c r="CT459" i="25"/>
  <c r="CL459" i="25"/>
  <c r="CK459" i="25"/>
  <c r="CC459" i="25"/>
  <c r="CD459" i="25" s="1"/>
  <c r="BX459" i="25"/>
  <c r="BW459" i="25"/>
  <c r="BV459" i="25"/>
  <c r="BU459" i="25"/>
  <c r="BT459" i="25"/>
  <c r="BR459" i="25"/>
  <c r="BQ459" i="25"/>
  <c r="G459" i="25"/>
  <c r="DR183" i="25"/>
  <c r="DQ183" i="25"/>
  <c r="DP183" i="25"/>
  <c r="DO183" i="25"/>
  <c r="DN183" i="25"/>
  <c r="DM183" i="25"/>
  <c r="DL183" i="25"/>
  <c r="CQ183" i="25" s="1"/>
  <c r="CR183" i="25" s="1"/>
  <c r="DK183" i="25"/>
  <c r="DJ183" i="25"/>
  <c r="DG183" i="25"/>
  <c r="DE183" i="25"/>
  <c r="DF183" i="25" s="1"/>
  <c r="DD183" i="25"/>
  <c r="DC183" i="25"/>
  <c r="CW183" i="25"/>
  <c r="CV183" i="25"/>
  <c r="CU183" i="25"/>
  <c r="CT183" i="25"/>
  <c r="CL183" i="25"/>
  <c r="CK183" i="25"/>
  <c r="CC183" i="25"/>
  <c r="CD183" i="25" s="1"/>
  <c r="BX183" i="25"/>
  <c r="BW183" i="25"/>
  <c r="BV183" i="25"/>
  <c r="BU183" i="25"/>
  <c r="BT183" i="25"/>
  <c r="BR183" i="25"/>
  <c r="BQ183" i="25"/>
  <c r="G183" i="25"/>
  <c r="DR191" i="25"/>
  <c r="DQ191" i="25"/>
  <c r="DP191" i="25"/>
  <c r="DO191" i="25"/>
  <c r="DN191" i="25"/>
  <c r="DM191" i="25"/>
  <c r="DL191" i="25"/>
  <c r="DK191" i="25"/>
  <c r="DJ191" i="25"/>
  <c r="DG191" i="25"/>
  <c r="DE191" i="25"/>
  <c r="DD191" i="25"/>
  <c r="DC191" i="25"/>
  <c r="CW191" i="25"/>
  <c r="CV191" i="25"/>
  <c r="CU191" i="25"/>
  <c r="CT191" i="25"/>
  <c r="CL191" i="25"/>
  <c r="CK191" i="25"/>
  <c r="CC191" i="25"/>
  <c r="CD191" i="25" s="1"/>
  <c r="BX191" i="25"/>
  <c r="BW191" i="25"/>
  <c r="BV191" i="25"/>
  <c r="BU191" i="25"/>
  <c r="BT191" i="25"/>
  <c r="BR191" i="25"/>
  <c r="BQ191" i="25"/>
  <c r="G191" i="25"/>
  <c r="DR176" i="25"/>
  <c r="DQ176" i="25"/>
  <c r="DP176" i="25"/>
  <c r="DO176" i="25"/>
  <c r="DN176" i="25"/>
  <c r="DM176" i="25"/>
  <c r="DL176" i="25"/>
  <c r="CP176" i="25" s="1"/>
  <c r="DK176" i="25"/>
  <c r="DJ176" i="25"/>
  <c r="DG176" i="25"/>
  <c r="DE176" i="25"/>
  <c r="DD176" i="25"/>
  <c r="DC176" i="25"/>
  <c r="CW176" i="25"/>
  <c r="CV176" i="25"/>
  <c r="CU176" i="25"/>
  <c r="DB176" i="25" s="1"/>
  <c r="CT176" i="25"/>
  <c r="CL176" i="25"/>
  <c r="CK176" i="25"/>
  <c r="CC176" i="25"/>
  <c r="BX176" i="25"/>
  <c r="BW176" i="25"/>
  <c r="BV176" i="25"/>
  <c r="BU176" i="25"/>
  <c r="BT176" i="25"/>
  <c r="BR176" i="25"/>
  <c r="BQ176" i="25"/>
  <c r="G176" i="25"/>
  <c r="DR190" i="25"/>
  <c r="DQ190" i="25"/>
  <c r="DP190" i="25"/>
  <c r="DO190" i="25"/>
  <c r="DN190" i="25"/>
  <c r="DM190" i="25"/>
  <c r="DL190" i="25"/>
  <c r="CQ190" i="25" s="1"/>
  <c r="CR190" i="25" s="1"/>
  <c r="DK190" i="25"/>
  <c r="DJ190" i="25"/>
  <c r="DG190" i="25"/>
  <c r="DE190" i="25"/>
  <c r="DF190" i="25" s="1"/>
  <c r="DD190" i="25"/>
  <c r="DC190" i="25"/>
  <c r="CW190" i="25"/>
  <c r="CV190" i="25"/>
  <c r="CU190" i="25"/>
  <c r="DB190" i="25" s="1"/>
  <c r="CT190" i="25"/>
  <c r="CL190" i="25"/>
  <c r="CK190" i="25"/>
  <c r="CC190" i="25"/>
  <c r="CD190" i="25" s="1"/>
  <c r="BX190" i="25"/>
  <c r="BW190" i="25"/>
  <c r="BV190" i="25"/>
  <c r="BU190" i="25"/>
  <c r="BT190" i="25"/>
  <c r="BR190" i="25"/>
  <c r="BQ190" i="25"/>
  <c r="G190" i="25"/>
  <c r="DR178" i="25"/>
  <c r="DQ178" i="25"/>
  <c r="DP178" i="25"/>
  <c r="DO178" i="25"/>
  <c r="DN178" i="25"/>
  <c r="DM178" i="25"/>
  <c r="DL178" i="25"/>
  <c r="CQ178" i="25" s="1"/>
  <c r="CR178" i="25" s="1"/>
  <c r="DK178" i="25"/>
  <c r="DJ178" i="25"/>
  <c r="DG178" i="25"/>
  <c r="DE178" i="25"/>
  <c r="DF178" i="25" s="1"/>
  <c r="DD178" i="25"/>
  <c r="DC178" i="25"/>
  <c r="CW178" i="25"/>
  <c r="CV178" i="25"/>
  <c r="CU178" i="25"/>
  <c r="CT178" i="25"/>
  <c r="CL178" i="25"/>
  <c r="CK178" i="25"/>
  <c r="CC178" i="25"/>
  <c r="CD178" i="25" s="1"/>
  <c r="BX178" i="25"/>
  <c r="BW178" i="25"/>
  <c r="BV178" i="25"/>
  <c r="BU178" i="25"/>
  <c r="BT178" i="25"/>
  <c r="BR178" i="25"/>
  <c r="BQ178" i="25"/>
  <c r="G178" i="25"/>
  <c r="DR177" i="25"/>
  <c r="DQ177" i="25"/>
  <c r="DP177" i="25"/>
  <c r="DO177" i="25"/>
  <c r="DN177" i="25"/>
  <c r="DM177" i="25"/>
  <c r="DL177" i="25"/>
  <c r="DK177" i="25"/>
  <c r="DJ177" i="25"/>
  <c r="DG177" i="25"/>
  <c r="DE177" i="25"/>
  <c r="DD177" i="25"/>
  <c r="DC177" i="25"/>
  <c r="CW177" i="25"/>
  <c r="CV177" i="25"/>
  <c r="CU177" i="25"/>
  <c r="CT177" i="25"/>
  <c r="CL177" i="25"/>
  <c r="CK177" i="25"/>
  <c r="CC177" i="25"/>
  <c r="CD177" i="25" s="1"/>
  <c r="BX177" i="25"/>
  <c r="BW177" i="25"/>
  <c r="BV177" i="25"/>
  <c r="BU177" i="25"/>
  <c r="BT177" i="25"/>
  <c r="BR177" i="25"/>
  <c r="BQ177" i="25"/>
  <c r="G177" i="25"/>
  <c r="DR174" i="25"/>
  <c r="DQ174" i="25"/>
  <c r="DP174" i="25"/>
  <c r="DO174" i="25"/>
  <c r="DN174" i="25"/>
  <c r="DM174" i="25"/>
  <c r="DL174" i="25"/>
  <c r="CQ174" i="25" s="1"/>
  <c r="CR174" i="25" s="1"/>
  <c r="DK174" i="25"/>
  <c r="DJ174" i="25"/>
  <c r="DG174" i="25"/>
  <c r="DE174" i="25"/>
  <c r="DD174" i="25"/>
  <c r="DC174" i="25"/>
  <c r="CW174" i="25"/>
  <c r="CV174" i="25"/>
  <c r="CU174" i="25"/>
  <c r="DB174" i="25" s="1"/>
  <c r="CT174" i="25"/>
  <c r="CL174" i="25"/>
  <c r="CK174" i="25"/>
  <c r="CC174" i="25"/>
  <c r="BX174" i="25"/>
  <c r="BW174" i="25"/>
  <c r="BV174" i="25"/>
  <c r="BU174" i="25"/>
  <c r="BT174" i="25"/>
  <c r="BR174" i="25"/>
  <c r="BQ174" i="25"/>
  <c r="G174" i="25"/>
  <c r="DR175" i="25"/>
  <c r="DQ175" i="25"/>
  <c r="DP175" i="25"/>
  <c r="DO175" i="25"/>
  <c r="DN175" i="25"/>
  <c r="DM175" i="25"/>
  <c r="DL175" i="25"/>
  <c r="CO175" i="25" s="1"/>
  <c r="DK175" i="25"/>
  <c r="DJ175" i="25"/>
  <c r="DG175" i="25"/>
  <c r="DE175" i="25"/>
  <c r="DF175" i="25" s="1"/>
  <c r="DD175" i="25"/>
  <c r="DC175" i="25"/>
  <c r="CW175" i="25"/>
  <c r="CV175" i="25"/>
  <c r="CU175" i="25"/>
  <c r="DB175" i="25" s="1"/>
  <c r="CT175" i="25"/>
  <c r="CL175" i="25"/>
  <c r="CK175" i="25"/>
  <c r="CC175" i="25"/>
  <c r="CD175" i="25" s="1"/>
  <c r="BX175" i="25"/>
  <c r="BW175" i="25"/>
  <c r="BV175" i="25"/>
  <c r="BU175" i="25"/>
  <c r="BT175" i="25"/>
  <c r="BR175" i="25"/>
  <c r="BQ175" i="25"/>
  <c r="G175" i="25"/>
  <c r="DR180" i="25"/>
  <c r="DQ180" i="25"/>
  <c r="DP180" i="25"/>
  <c r="DO180" i="25"/>
  <c r="DN180" i="25"/>
  <c r="DM180" i="25"/>
  <c r="DL180" i="25"/>
  <c r="CQ180" i="25" s="1"/>
  <c r="CR180" i="25" s="1"/>
  <c r="DK180" i="25"/>
  <c r="DJ180" i="25"/>
  <c r="DG180" i="25"/>
  <c r="DE180" i="25"/>
  <c r="DF180" i="25" s="1"/>
  <c r="DD180" i="25"/>
  <c r="DC180" i="25"/>
  <c r="CW180" i="25"/>
  <c r="CV180" i="25"/>
  <c r="CU180" i="25"/>
  <c r="DB180" i="25" s="1"/>
  <c r="CT180" i="25"/>
  <c r="CL180" i="25"/>
  <c r="CK180" i="25"/>
  <c r="CC180" i="25"/>
  <c r="CD180" i="25" s="1"/>
  <c r="BX180" i="25"/>
  <c r="BW180" i="25"/>
  <c r="BV180" i="25"/>
  <c r="BU180" i="25"/>
  <c r="BT180" i="25"/>
  <c r="BR180" i="25"/>
  <c r="BQ180" i="25"/>
  <c r="G180" i="25"/>
  <c r="DR187" i="25"/>
  <c r="DQ187" i="25"/>
  <c r="DP187" i="25"/>
  <c r="DO187" i="25"/>
  <c r="DN187" i="25"/>
  <c r="DM187" i="25"/>
  <c r="DL187" i="25"/>
  <c r="DK187" i="25"/>
  <c r="DJ187" i="25"/>
  <c r="DG187" i="25"/>
  <c r="DE187" i="25"/>
  <c r="DD187" i="25"/>
  <c r="DC187" i="25"/>
  <c r="CW187" i="25"/>
  <c r="CV187" i="25"/>
  <c r="CU187" i="25"/>
  <c r="CT187" i="25"/>
  <c r="CL187" i="25"/>
  <c r="CK187" i="25"/>
  <c r="CC187" i="25"/>
  <c r="CD187" i="25" s="1"/>
  <c r="BX187" i="25"/>
  <c r="BW187" i="25"/>
  <c r="BV187" i="25"/>
  <c r="BU187" i="25"/>
  <c r="BT187" i="25"/>
  <c r="BR187" i="25"/>
  <c r="BQ187" i="25"/>
  <c r="G187" i="25"/>
  <c r="DR188" i="25"/>
  <c r="DQ188" i="25"/>
  <c r="DP188" i="25"/>
  <c r="DO188" i="25"/>
  <c r="DN188" i="25"/>
  <c r="DM188" i="25"/>
  <c r="DL188" i="25"/>
  <c r="CP188" i="25" s="1"/>
  <c r="DK188" i="25"/>
  <c r="DJ188" i="25"/>
  <c r="DG188" i="25"/>
  <c r="DE188" i="25"/>
  <c r="DD188" i="25"/>
  <c r="DC188" i="25"/>
  <c r="CW188" i="25"/>
  <c r="CV188" i="25"/>
  <c r="CU188" i="25"/>
  <c r="DB188" i="25" s="1"/>
  <c r="CT188" i="25"/>
  <c r="CL188" i="25"/>
  <c r="CK188" i="25"/>
  <c r="CC188" i="25"/>
  <c r="BX188" i="25"/>
  <c r="BW188" i="25"/>
  <c r="BV188" i="25"/>
  <c r="BU188" i="25"/>
  <c r="BT188" i="25"/>
  <c r="BR188" i="25"/>
  <c r="BQ188" i="25"/>
  <c r="G188" i="25"/>
  <c r="DR185" i="25"/>
  <c r="DQ185" i="25"/>
  <c r="DP185" i="25"/>
  <c r="DO185" i="25"/>
  <c r="DN185" i="25"/>
  <c r="DM185" i="25"/>
  <c r="DL185" i="25"/>
  <c r="CO185" i="25" s="1"/>
  <c r="DK185" i="25"/>
  <c r="DJ185" i="25"/>
  <c r="DG185" i="25"/>
  <c r="DE185" i="25"/>
  <c r="DD185" i="25"/>
  <c r="DC185" i="25"/>
  <c r="CW185" i="25"/>
  <c r="CV185" i="25"/>
  <c r="CU185" i="25"/>
  <c r="DB185" i="25" s="1"/>
  <c r="CT185" i="25"/>
  <c r="CL185" i="25"/>
  <c r="CK185" i="25"/>
  <c r="CC185" i="25"/>
  <c r="CD185" i="25" s="1"/>
  <c r="BX185" i="25"/>
  <c r="BW185" i="25"/>
  <c r="BV185" i="25"/>
  <c r="BU185" i="25"/>
  <c r="BT185" i="25"/>
  <c r="BR185" i="25"/>
  <c r="BQ185" i="25"/>
  <c r="G185" i="25"/>
  <c r="DR192" i="25"/>
  <c r="DQ192" i="25"/>
  <c r="DP192" i="25"/>
  <c r="DO192" i="25"/>
  <c r="DN192" i="25"/>
  <c r="DM192" i="25"/>
  <c r="DL192" i="25"/>
  <c r="CQ192" i="25" s="1"/>
  <c r="CR192" i="25" s="1"/>
  <c r="DK192" i="25"/>
  <c r="DJ192" i="25"/>
  <c r="DG192" i="25"/>
  <c r="DE192" i="25"/>
  <c r="DF192" i="25" s="1"/>
  <c r="DD192" i="25"/>
  <c r="DC192" i="25"/>
  <c r="CW192" i="25"/>
  <c r="CV192" i="25"/>
  <c r="CU192" i="25"/>
  <c r="DB192" i="25" s="1"/>
  <c r="CT192" i="25"/>
  <c r="CL192" i="25"/>
  <c r="CK192" i="25"/>
  <c r="CC192" i="25"/>
  <c r="CD192" i="25" s="1"/>
  <c r="BX192" i="25"/>
  <c r="BW192" i="25"/>
  <c r="BV192" i="25"/>
  <c r="BU192" i="25"/>
  <c r="BT192" i="25"/>
  <c r="BR192" i="25"/>
  <c r="BQ192" i="25"/>
  <c r="G192" i="25"/>
  <c r="DR184" i="25"/>
  <c r="DQ184" i="25"/>
  <c r="DP184" i="25"/>
  <c r="DO184" i="25"/>
  <c r="DN184" i="25"/>
  <c r="DM184" i="25"/>
  <c r="DL184" i="25"/>
  <c r="DK184" i="25"/>
  <c r="DJ184" i="25"/>
  <c r="DG184" i="25"/>
  <c r="DE184" i="25"/>
  <c r="DD184" i="25"/>
  <c r="DC184" i="25"/>
  <c r="CW184" i="25"/>
  <c r="CV184" i="25"/>
  <c r="CU184" i="25"/>
  <c r="CT184" i="25"/>
  <c r="CL184" i="25"/>
  <c r="CK184" i="25"/>
  <c r="CC184" i="25"/>
  <c r="CD184" i="25" s="1"/>
  <c r="BX184" i="25"/>
  <c r="BW184" i="25"/>
  <c r="BV184" i="25"/>
  <c r="BU184" i="25"/>
  <c r="BT184" i="25"/>
  <c r="BR184" i="25"/>
  <c r="BQ184" i="25"/>
  <c r="G184" i="25"/>
  <c r="DR173" i="25"/>
  <c r="DQ173" i="25"/>
  <c r="DP173" i="25"/>
  <c r="DO173" i="25"/>
  <c r="DN173" i="25"/>
  <c r="DM173" i="25"/>
  <c r="DL173" i="25"/>
  <c r="CQ173" i="25" s="1"/>
  <c r="CR173" i="25" s="1"/>
  <c r="DK173" i="25"/>
  <c r="DJ173" i="25"/>
  <c r="DG173" i="25"/>
  <c r="DE173" i="25"/>
  <c r="DD173" i="25"/>
  <c r="DC173" i="25"/>
  <c r="CW173" i="25"/>
  <c r="CV173" i="25"/>
  <c r="CU173" i="25"/>
  <c r="DB173" i="25" s="1"/>
  <c r="CT173" i="25"/>
  <c r="CL173" i="25"/>
  <c r="CK173" i="25"/>
  <c r="CC173" i="25"/>
  <c r="BX173" i="25"/>
  <c r="BW173" i="25"/>
  <c r="BV173" i="25"/>
  <c r="BU173" i="25"/>
  <c r="BT173" i="25"/>
  <c r="BR173" i="25"/>
  <c r="BQ173" i="25"/>
  <c r="G173" i="25"/>
  <c r="DR179" i="25"/>
  <c r="DQ179" i="25"/>
  <c r="DP179" i="25"/>
  <c r="DO179" i="25"/>
  <c r="DN179" i="25"/>
  <c r="DM179" i="25"/>
  <c r="DL179" i="25"/>
  <c r="CO179" i="25" s="1"/>
  <c r="DK179" i="25"/>
  <c r="DJ179" i="25"/>
  <c r="DG179" i="25"/>
  <c r="DE179" i="25"/>
  <c r="DF179" i="25" s="1"/>
  <c r="DD179" i="25"/>
  <c r="DC179" i="25"/>
  <c r="CW179" i="25"/>
  <c r="CV179" i="25"/>
  <c r="CU179" i="25"/>
  <c r="DB179" i="25" s="1"/>
  <c r="CT179" i="25"/>
  <c r="CL179" i="25"/>
  <c r="CK179" i="25"/>
  <c r="CC179" i="25"/>
  <c r="CD179" i="25" s="1"/>
  <c r="BX179" i="25"/>
  <c r="BW179" i="25"/>
  <c r="BV179" i="25"/>
  <c r="BU179" i="25"/>
  <c r="BT179" i="25"/>
  <c r="BR179" i="25"/>
  <c r="BQ179" i="25"/>
  <c r="G179" i="25"/>
  <c r="DR208" i="25"/>
  <c r="DQ208" i="25"/>
  <c r="DP208" i="25"/>
  <c r="DO208" i="25"/>
  <c r="DN208" i="25"/>
  <c r="DM208" i="25"/>
  <c r="DL208" i="25"/>
  <c r="CQ208" i="25" s="1"/>
  <c r="CR208" i="25" s="1"/>
  <c r="DK208" i="25"/>
  <c r="DJ208" i="25"/>
  <c r="DG208" i="25"/>
  <c r="DE208" i="25"/>
  <c r="DF208" i="25" s="1"/>
  <c r="DD208" i="25"/>
  <c r="DC208" i="25"/>
  <c r="CW208" i="25"/>
  <c r="CV208" i="25"/>
  <c r="CU208" i="25"/>
  <c r="DB208" i="25" s="1"/>
  <c r="CT208" i="25"/>
  <c r="CL208" i="25"/>
  <c r="CK208" i="25"/>
  <c r="CC208" i="25"/>
  <c r="CD208" i="25" s="1"/>
  <c r="BX208" i="25"/>
  <c r="BW208" i="25"/>
  <c r="BV208" i="25"/>
  <c r="BU208" i="25"/>
  <c r="BT208" i="25"/>
  <c r="BR208" i="25"/>
  <c r="BQ208" i="25"/>
  <c r="G208" i="25"/>
  <c r="DR207" i="25"/>
  <c r="DQ207" i="25"/>
  <c r="DP207" i="25"/>
  <c r="DO207" i="25"/>
  <c r="DN207" i="25"/>
  <c r="DM207" i="25"/>
  <c r="DL207" i="25"/>
  <c r="DK207" i="25"/>
  <c r="DJ207" i="25"/>
  <c r="DG207" i="25"/>
  <c r="DE207" i="25"/>
  <c r="DD207" i="25"/>
  <c r="DC207" i="25"/>
  <c r="CW207" i="25"/>
  <c r="CV207" i="25"/>
  <c r="CU207" i="25"/>
  <c r="CT207" i="25"/>
  <c r="CL207" i="25"/>
  <c r="CK207" i="25"/>
  <c r="CC207" i="25"/>
  <c r="CD207" i="25" s="1"/>
  <c r="BX207" i="25"/>
  <c r="BW207" i="25"/>
  <c r="BV207" i="25"/>
  <c r="BU207" i="25"/>
  <c r="BT207" i="25"/>
  <c r="BR207" i="25"/>
  <c r="BQ207" i="25"/>
  <c r="G207" i="25"/>
  <c r="DR170" i="25"/>
  <c r="DQ170" i="25"/>
  <c r="DP170" i="25"/>
  <c r="DO170" i="25"/>
  <c r="DN170" i="25"/>
  <c r="DM170" i="25"/>
  <c r="DL170" i="25"/>
  <c r="CQ170" i="25" s="1"/>
  <c r="CR170" i="25" s="1"/>
  <c r="DK170" i="25"/>
  <c r="DJ170" i="25"/>
  <c r="DG170" i="25"/>
  <c r="DE170" i="25"/>
  <c r="DD170" i="25"/>
  <c r="DC170" i="25"/>
  <c r="CW170" i="25"/>
  <c r="CV170" i="25"/>
  <c r="CU170" i="25"/>
  <c r="DB170" i="25" s="1"/>
  <c r="CT170" i="25"/>
  <c r="CL170" i="25"/>
  <c r="CK170" i="25"/>
  <c r="CC170" i="25"/>
  <c r="BX170" i="25"/>
  <c r="BW170" i="25"/>
  <c r="BV170" i="25"/>
  <c r="BU170" i="25"/>
  <c r="BT170" i="25"/>
  <c r="BR170" i="25"/>
  <c r="BQ170" i="25"/>
  <c r="G170" i="25"/>
  <c r="DR205" i="25"/>
  <c r="DQ205" i="25"/>
  <c r="DP205" i="25"/>
  <c r="DO205" i="25"/>
  <c r="DN205" i="25"/>
  <c r="DM205" i="25"/>
  <c r="DL205" i="25"/>
  <c r="CO205" i="25" s="1"/>
  <c r="DK205" i="25"/>
  <c r="DJ205" i="25"/>
  <c r="DG205" i="25"/>
  <c r="DE205" i="25"/>
  <c r="DF205" i="25" s="1"/>
  <c r="DD205" i="25"/>
  <c r="DC205" i="25"/>
  <c r="CW205" i="25"/>
  <c r="CV205" i="25"/>
  <c r="CU205" i="25"/>
  <c r="DB205" i="25" s="1"/>
  <c r="CT205" i="25"/>
  <c r="CL205" i="25"/>
  <c r="CK205" i="25"/>
  <c r="CC205" i="25"/>
  <c r="CD205" i="25" s="1"/>
  <c r="BX205" i="25"/>
  <c r="BW205" i="25"/>
  <c r="BV205" i="25"/>
  <c r="BU205" i="25"/>
  <c r="BT205" i="25"/>
  <c r="BR205" i="25"/>
  <c r="BQ205" i="25"/>
  <c r="G205" i="25"/>
  <c r="DR168" i="25"/>
  <c r="DQ168" i="25"/>
  <c r="DP168" i="25"/>
  <c r="DO168" i="25"/>
  <c r="DN168" i="25"/>
  <c r="DM168" i="25"/>
  <c r="DL168" i="25"/>
  <c r="CQ168" i="25" s="1"/>
  <c r="CR168" i="25" s="1"/>
  <c r="DK168" i="25"/>
  <c r="DJ168" i="25"/>
  <c r="DG168" i="25"/>
  <c r="DE168" i="25"/>
  <c r="DF168" i="25" s="1"/>
  <c r="DD168" i="25"/>
  <c r="DC168" i="25"/>
  <c r="CW168" i="25"/>
  <c r="CV168" i="25"/>
  <c r="CU168" i="25"/>
  <c r="DB168" i="25" s="1"/>
  <c r="CT168" i="25"/>
  <c r="CL168" i="25"/>
  <c r="CK168" i="25"/>
  <c r="CC168" i="25"/>
  <c r="CD168" i="25" s="1"/>
  <c r="BX168" i="25"/>
  <c r="BW168" i="25"/>
  <c r="BV168" i="25"/>
  <c r="BU168" i="25"/>
  <c r="BT168" i="25"/>
  <c r="BR168" i="25"/>
  <c r="BQ168" i="25"/>
  <c r="G168" i="25"/>
  <c r="DR167" i="25"/>
  <c r="DQ167" i="25"/>
  <c r="DP167" i="25"/>
  <c r="DO167" i="25"/>
  <c r="DN167" i="25"/>
  <c r="DM167" i="25"/>
  <c r="DL167" i="25"/>
  <c r="DK167" i="25"/>
  <c r="DJ167" i="25"/>
  <c r="DG167" i="25"/>
  <c r="DE167" i="25"/>
  <c r="DF167" i="25" s="1"/>
  <c r="DD167" i="25"/>
  <c r="DC167" i="25"/>
  <c r="CW167" i="25"/>
  <c r="CV167" i="25"/>
  <c r="CU167" i="25"/>
  <c r="CT167" i="25"/>
  <c r="CL167" i="25"/>
  <c r="CK167" i="25"/>
  <c r="CC167" i="25"/>
  <c r="CD167" i="25" s="1"/>
  <c r="BX167" i="25"/>
  <c r="BW167" i="25"/>
  <c r="BV167" i="25"/>
  <c r="BU167" i="25"/>
  <c r="BT167" i="25"/>
  <c r="BR167" i="25"/>
  <c r="BQ167" i="25"/>
  <c r="G167" i="25"/>
  <c r="DR166" i="25"/>
  <c r="DQ166" i="25"/>
  <c r="DP166" i="25"/>
  <c r="DO166" i="25"/>
  <c r="DN166" i="25"/>
  <c r="DM166" i="25"/>
  <c r="DL166" i="25"/>
  <c r="CO166" i="25" s="1"/>
  <c r="DK166" i="25"/>
  <c r="DJ166" i="25"/>
  <c r="DG166" i="25"/>
  <c r="DE166" i="25"/>
  <c r="DD166" i="25"/>
  <c r="DC166" i="25"/>
  <c r="CW166" i="25"/>
  <c r="CV166" i="25"/>
  <c r="CU166" i="25"/>
  <c r="DB166" i="25" s="1"/>
  <c r="CT166" i="25"/>
  <c r="CL166" i="25"/>
  <c r="CK166" i="25"/>
  <c r="CC166" i="25"/>
  <c r="BX166" i="25"/>
  <c r="BW166" i="25"/>
  <c r="BV166" i="25"/>
  <c r="BU166" i="25"/>
  <c r="BT166" i="25"/>
  <c r="BR166" i="25"/>
  <c r="BQ166" i="25"/>
  <c r="G166" i="25"/>
  <c r="DR165" i="25"/>
  <c r="DQ165" i="25"/>
  <c r="DP165" i="25"/>
  <c r="DO165" i="25"/>
  <c r="DN165" i="25"/>
  <c r="DM165" i="25"/>
  <c r="DL165" i="25"/>
  <c r="CO165" i="25" s="1"/>
  <c r="DK165" i="25"/>
  <c r="DJ165" i="25"/>
  <c r="DG165" i="25"/>
  <c r="DE165" i="25"/>
  <c r="DD165" i="25"/>
  <c r="DC165" i="25"/>
  <c r="CW165" i="25"/>
  <c r="CV165" i="25"/>
  <c r="CU165" i="25"/>
  <c r="DB165" i="25" s="1"/>
  <c r="CT165" i="25"/>
  <c r="CL165" i="25"/>
  <c r="CK165" i="25"/>
  <c r="CC165" i="25"/>
  <c r="CD165" i="25" s="1"/>
  <c r="BX165" i="25"/>
  <c r="BW165" i="25"/>
  <c r="BV165" i="25"/>
  <c r="BU165" i="25"/>
  <c r="BT165" i="25"/>
  <c r="BR165" i="25"/>
  <c r="BQ165" i="25"/>
  <c r="G165" i="25"/>
  <c r="DR164" i="25"/>
  <c r="DQ164" i="25"/>
  <c r="DP164" i="25"/>
  <c r="DO164" i="25"/>
  <c r="DN164" i="25"/>
  <c r="DM164" i="25"/>
  <c r="DL164" i="25"/>
  <c r="CQ164" i="25" s="1"/>
  <c r="CR164" i="25" s="1"/>
  <c r="DK164" i="25"/>
  <c r="DJ164" i="25"/>
  <c r="DG164" i="25"/>
  <c r="DE164" i="25"/>
  <c r="DD164" i="25"/>
  <c r="DC164" i="25"/>
  <c r="CW164" i="25"/>
  <c r="CV164" i="25"/>
  <c r="CU164" i="25"/>
  <c r="DB164" i="25" s="1"/>
  <c r="CT164" i="25"/>
  <c r="CL164" i="25"/>
  <c r="CK164" i="25"/>
  <c r="CC164" i="25"/>
  <c r="CD164" i="25" s="1"/>
  <c r="BX164" i="25"/>
  <c r="BW164" i="25"/>
  <c r="BV164" i="25"/>
  <c r="BU164" i="25"/>
  <c r="BT164" i="25"/>
  <c r="BR164" i="25"/>
  <c r="BQ164" i="25"/>
  <c r="G164" i="25"/>
  <c r="DR163" i="25"/>
  <c r="DQ163" i="25"/>
  <c r="DP163" i="25"/>
  <c r="DO163" i="25"/>
  <c r="DN163" i="25"/>
  <c r="DM163" i="25"/>
  <c r="DL163" i="25"/>
  <c r="CP163" i="25" s="1"/>
  <c r="DK163" i="25"/>
  <c r="DJ163" i="25"/>
  <c r="DG163" i="25"/>
  <c r="DE163" i="25"/>
  <c r="DD163" i="25"/>
  <c r="DC163" i="25"/>
  <c r="CW163" i="25"/>
  <c r="CV163" i="25"/>
  <c r="CU163" i="25"/>
  <c r="CT163" i="25"/>
  <c r="CL163" i="25"/>
  <c r="CK163" i="25"/>
  <c r="CC163" i="25"/>
  <c r="CD163" i="25" s="1"/>
  <c r="BX163" i="25"/>
  <c r="BW163" i="25"/>
  <c r="BV163" i="25"/>
  <c r="BU163" i="25"/>
  <c r="BT163" i="25"/>
  <c r="BR163" i="25"/>
  <c r="BQ163" i="25"/>
  <c r="G163" i="25"/>
  <c r="DR162" i="25"/>
  <c r="DQ162" i="25"/>
  <c r="DP162" i="25"/>
  <c r="DO162" i="25"/>
  <c r="DN162" i="25"/>
  <c r="DM162" i="25"/>
  <c r="DL162" i="25"/>
  <c r="CP162" i="25" s="1"/>
  <c r="DK162" i="25"/>
  <c r="DJ162" i="25"/>
  <c r="DG162" i="25"/>
  <c r="DE162" i="25"/>
  <c r="DF162" i="25" s="1"/>
  <c r="DD162" i="25"/>
  <c r="DC162" i="25"/>
  <c r="CW162" i="25"/>
  <c r="CV162" i="25"/>
  <c r="CU162" i="25"/>
  <c r="DB162" i="25" s="1"/>
  <c r="CT162" i="25"/>
  <c r="CL162" i="25"/>
  <c r="CK162" i="25"/>
  <c r="CC162" i="25"/>
  <c r="BX162" i="25"/>
  <c r="BW162" i="25"/>
  <c r="BV162" i="25"/>
  <c r="BU162" i="25"/>
  <c r="BT162" i="25"/>
  <c r="BR162" i="25"/>
  <c r="BQ162" i="25"/>
  <c r="G162" i="25"/>
  <c r="DR161" i="25"/>
  <c r="DQ161" i="25"/>
  <c r="DP161" i="25"/>
  <c r="DO161" i="25"/>
  <c r="DN161" i="25"/>
  <c r="DM161" i="25"/>
  <c r="DL161" i="25"/>
  <c r="CO161" i="25" s="1"/>
  <c r="DK161" i="25"/>
  <c r="DJ161" i="25"/>
  <c r="DG161" i="25"/>
  <c r="DE161" i="25"/>
  <c r="DF161" i="25" s="1"/>
  <c r="DD161" i="25"/>
  <c r="DC161" i="25"/>
  <c r="CW161" i="25"/>
  <c r="CV161" i="25"/>
  <c r="CU161" i="25"/>
  <c r="DB161" i="25" s="1"/>
  <c r="CT161" i="25"/>
  <c r="CL161" i="25"/>
  <c r="CK161" i="25"/>
  <c r="CC161" i="25"/>
  <c r="CD161" i="25" s="1"/>
  <c r="BX161" i="25"/>
  <c r="BW161" i="25"/>
  <c r="BV161" i="25"/>
  <c r="BU161" i="25"/>
  <c r="BT161" i="25"/>
  <c r="BR161" i="25"/>
  <c r="BQ161" i="25"/>
  <c r="G161" i="25"/>
  <c r="DR160" i="25"/>
  <c r="DQ160" i="25"/>
  <c r="DP160" i="25"/>
  <c r="DO160" i="25"/>
  <c r="DN160" i="25"/>
  <c r="DM160" i="25"/>
  <c r="DL160" i="25"/>
  <c r="CQ160" i="25" s="1"/>
  <c r="CR160" i="25" s="1"/>
  <c r="DK160" i="25"/>
  <c r="DJ160" i="25"/>
  <c r="DG160" i="25"/>
  <c r="DE160" i="25"/>
  <c r="DD160" i="25"/>
  <c r="DC160" i="25"/>
  <c r="CW160" i="25"/>
  <c r="CV160" i="25"/>
  <c r="CU160" i="25"/>
  <c r="DB160" i="25" s="1"/>
  <c r="CT160" i="25"/>
  <c r="CL160" i="25"/>
  <c r="CK160" i="25"/>
  <c r="CC160" i="25"/>
  <c r="BX160" i="25"/>
  <c r="BW160" i="25"/>
  <c r="BV160" i="25"/>
  <c r="BU160" i="25"/>
  <c r="BT160" i="25"/>
  <c r="BR160" i="25"/>
  <c r="BQ160" i="25"/>
  <c r="G160" i="25"/>
  <c r="DR159" i="25"/>
  <c r="DQ159" i="25"/>
  <c r="DP159" i="25"/>
  <c r="DO159" i="25"/>
  <c r="DN159" i="25"/>
  <c r="DM159" i="25"/>
  <c r="DL159" i="25"/>
  <c r="CP159" i="25" s="1"/>
  <c r="DK159" i="25"/>
  <c r="DJ159" i="25"/>
  <c r="DG159" i="25"/>
  <c r="DE159" i="25"/>
  <c r="DD159" i="25"/>
  <c r="DC159" i="25"/>
  <c r="CW159" i="25"/>
  <c r="CV159" i="25"/>
  <c r="CU159" i="25"/>
  <c r="DB159" i="25" s="1"/>
  <c r="CT159" i="25"/>
  <c r="CL159" i="25"/>
  <c r="CK159" i="25"/>
  <c r="CC159" i="25"/>
  <c r="BX159" i="25"/>
  <c r="BW159" i="25"/>
  <c r="BV159" i="25"/>
  <c r="BU159" i="25"/>
  <c r="BT159" i="25"/>
  <c r="BR159" i="25"/>
  <c r="BQ159" i="25"/>
  <c r="G159" i="25"/>
  <c r="DR158" i="25"/>
  <c r="DQ158" i="25"/>
  <c r="DP158" i="25"/>
  <c r="DO158" i="25"/>
  <c r="DN158" i="25"/>
  <c r="DM158" i="25"/>
  <c r="DL158" i="25"/>
  <c r="DK158" i="25"/>
  <c r="DJ158" i="25"/>
  <c r="DG158" i="25"/>
  <c r="DE158" i="25"/>
  <c r="DD158" i="25"/>
  <c r="DC158" i="25"/>
  <c r="CW158" i="25"/>
  <c r="CV158" i="25"/>
  <c r="CU158" i="25"/>
  <c r="DB158" i="25" s="1"/>
  <c r="CT158" i="25"/>
  <c r="CL158" i="25"/>
  <c r="CK158" i="25"/>
  <c r="CC158" i="25"/>
  <c r="CD158" i="25" s="1"/>
  <c r="BX158" i="25"/>
  <c r="BW158" i="25"/>
  <c r="BV158" i="25"/>
  <c r="BU158" i="25"/>
  <c r="BT158" i="25"/>
  <c r="BR158" i="25"/>
  <c r="BQ158" i="25"/>
  <c r="G158" i="25"/>
  <c r="DR157" i="25"/>
  <c r="DQ157" i="25"/>
  <c r="DP157" i="25"/>
  <c r="DO157" i="25"/>
  <c r="DN157" i="25"/>
  <c r="DM157" i="25"/>
  <c r="DL157" i="25"/>
  <c r="CQ157" i="25" s="1"/>
  <c r="CR157" i="25" s="1"/>
  <c r="DK157" i="25"/>
  <c r="DJ157" i="25"/>
  <c r="DG157" i="25"/>
  <c r="DE157" i="25"/>
  <c r="DF157" i="25" s="1"/>
  <c r="DD157" i="25"/>
  <c r="DC157" i="25"/>
  <c r="CW157" i="25"/>
  <c r="CV157" i="25"/>
  <c r="CU157" i="25"/>
  <c r="DB157" i="25" s="1"/>
  <c r="CT157" i="25"/>
  <c r="CL157" i="25"/>
  <c r="CK157" i="25"/>
  <c r="CC157" i="25"/>
  <c r="CD157" i="25" s="1"/>
  <c r="BX157" i="25"/>
  <c r="BW157" i="25"/>
  <c r="BV157" i="25"/>
  <c r="BU157" i="25"/>
  <c r="BT157" i="25"/>
  <c r="BR157" i="25"/>
  <c r="BQ157" i="25"/>
  <c r="G157" i="25"/>
  <c r="DR156" i="25"/>
  <c r="DQ156" i="25"/>
  <c r="DP156" i="25"/>
  <c r="DO156" i="25"/>
  <c r="DN156" i="25"/>
  <c r="DM156" i="25"/>
  <c r="DL156" i="25"/>
  <c r="DK156" i="25"/>
  <c r="DJ156" i="25"/>
  <c r="DG156" i="25"/>
  <c r="DE156" i="25"/>
  <c r="DD156" i="25"/>
  <c r="DC156" i="25"/>
  <c r="CW156" i="25"/>
  <c r="CV156" i="25"/>
  <c r="CU156" i="25"/>
  <c r="CT156" i="25"/>
  <c r="CL156" i="25"/>
  <c r="CK156" i="25"/>
  <c r="CC156" i="25"/>
  <c r="CD156" i="25" s="1"/>
  <c r="BX156" i="25"/>
  <c r="BW156" i="25"/>
  <c r="BV156" i="25"/>
  <c r="BU156" i="25"/>
  <c r="BT156" i="25"/>
  <c r="BR156" i="25"/>
  <c r="BQ156" i="25"/>
  <c r="G156" i="25"/>
  <c r="DR155" i="25"/>
  <c r="DQ155" i="25"/>
  <c r="DP155" i="25"/>
  <c r="DO155" i="25"/>
  <c r="DN155" i="25"/>
  <c r="DM155" i="25"/>
  <c r="DL155" i="25"/>
  <c r="CP155" i="25" s="1"/>
  <c r="DK155" i="25"/>
  <c r="DJ155" i="25"/>
  <c r="DG155" i="25"/>
  <c r="DE155" i="25"/>
  <c r="DF155" i="25" s="1"/>
  <c r="DD155" i="25"/>
  <c r="DC155" i="25"/>
  <c r="CW155" i="25"/>
  <c r="CV155" i="25"/>
  <c r="CU155" i="25"/>
  <c r="DB155" i="25" s="1"/>
  <c r="CT155" i="25"/>
  <c r="CL155" i="25"/>
  <c r="CK155" i="25"/>
  <c r="CC155" i="25"/>
  <c r="BX155" i="25"/>
  <c r="BW155" i="25"/>
  <c r="BV155" i="25"/>
  <c r="BU155" i="25"/>
  <c r="BT155" i="25"/>
  <c r="BR155" i="25"/>
  <c r="BQ155" i="25"/>
  <c r="G155" i="25"/>
  <c r="DR154" i="25"/>
  <c r="DQ154" i="25"/>
  <c r="DP154" i="25"/>
  <c r="DO154" i="25"/>
  <c r="DN154" i="25"/>
  <c r="DM154" i="25"/>
  <c r="DL154" i="25"/>
  <c r="CP154" i="25" s="1"/>
  <c r="DK154" i="25"/>
  <c r="DJ154" i="25"/>
  <c r="DG154" i="25"/>
  <c r="DE154" i="25"/>
  <c r="DD154" i="25"/>
  <c r="DC154" i="25"/>
  <c r="CW154" i="25"/>
  <c r="CV154" i="25"/>
  <c r="CU154" i="25"/>
  <c r="DB154" i="25" s="1"/>
  <c r="CT154" i="25"/>
  <c r="CL154" i="25"/>
  <c r="CK154" i="25"/>
  <c r="CC154" i="25"/>
  <c r="CD154" i="25" s="1"/>
  <c r="BX154" i="25"/>
  <c r="BW154" i="25"/>
  <c r="BV154" i="25"/>
  <c r="BU154" i="25"/>
  <c r="BT154" i="25"/>
  <c r="BR154" i="25"/>
  <c r="BQ154" i="25"/>
  <c r="G154" i="25"/>
  <c r="DR153" i="25"/>
  <c r="DQ153" i="25"/>
  <c r="DP153" i="25"/>
  <c r="DO153" i="25"/>
  <c r="DN153" i="25"/>
  <c r="DM153" i="25"/>
  <c r="DL153" i="25"/>
  <c r="CQ153" i="25" s="1"/>
  <c r="CR153" i="25" s="1"/>
  <c r="DK153" i="25"/>
  <c r="DJ153" i="25"/>
  <c r="DG153" i="25"/>
  <c r="DE153" i="25"/>
  <c r="DF153" i="25" s="1"/>
  <c r="DD153" i="25"/>
  <c r="DC153" i="25"/>
  <c r="CW153" i="25"/>
  <c r="CV153" i="25"/>
  <c r="CU153" i="25"/>
  <c r="DB153" i="25" s="1"/>
  <c r="CT153" i="25"/>
  <c r="CL153" i="25"/>
  <c r="CK153" i="25"/>
  <c r="CC153" i="25"/>
  <c r="CD153" i="25" s="1"/>
  <c r="BX153" i="25"/>
  <c r="BW153" i="25"/>
  <c r="BV153" i="25"/>
  <c r="BU153" i="25"/>
  <c r="BT153" i="25"/>
  <c r="BR153" i="25"/>
  <c r="BQ153" i="25"/>
  <c r="G153" i="25"/>
  <c r="DR152" i="25"/>
  <c r="DQ152" i="25"/>
  <c r="DP152" i="25"/>
  <c r="DO152" i="25"/>
  <c r="DN152" i="25"/>
  <c r="DM152" i="25"/>
  <c r="DL152" i="25"/>
  <c r="DK152" i="25"/>
  <c r="DJ152" i="25"/>
  <c r="DG152" i="25"/>
  <c r="DE152" i="25"/>
  <c r="DD152" i="25"/>
  <c r="DC152" i="25"/>
  <c r="CW152" i="25"/>
  <c r="CV152" i="25"/>
  <c r="CU152" i="25"/>
  <c r="CT152" i="25"/>
  <c r="CL152" i="25"/>
  <c r="CK152" i="25"/>
  <c r="CC152" i="25"/>
  <c r="CD152" i="25" s="1"/>
  <c r="BX152" i="25"/>
  <c r="BW152" i="25"/>
  <c r="BV152" i="25"/>
  <c r="BU152" i="25"/>
  <c r="BT152" i="25"/>
  <c r="BR152" i="25"/>
  <c r="BQ152" i="25"/>
  <c r="G152" i="25"/>
  <c r="DR151" i="25"/>
  <c r="DQ151" i="25"/>
  <c r="DP151" i="25"/>
  <c r="DO151" i="25"/>
  <c r="DN151" i="25"/>
  <c r="DM151" i="25"/>
  <c r="DL151" i="25"/>
  <c r="CP151" i="25" s="1"/>
  <c r="DK151" i="25"/>
  <c r="DJ151" i="25"/>
  <c r="DG151" i="25"/>
  <c r="DE151" i="25"/>
  <c r="DF151" i="25" s="1"/>
  <c r="DD151" i="25"/>
  <c r="DC151" i="25"/>
  <c r="CW151" i="25"/>
  <c r="CV151" i="25"/>
  <c r="CU151" i="25"/>
  <c r="DB151" i="25" s="1"/>
  <c r="CT151" i="25"/>
  <c r="CL151" i="25"/>
  <c r="CK151" i="25"/>
  <c r="CC151" i="25"/>
  <c r="BX151" i="25"/>
  <c r="BW151" i="25"/>
  <c r="BV151" i="25"/>
  <c r="BU151" i="25"/>
  <c r="BT151" i="25"/>
  <c r="BR151" i="25"/>
  <c r="BQ151" i="25"/>
  <c r="G151" i="25"/>
  <c r="DR150" i="25"/>
  <c r="DQ150" i="25"/>
  <c r="DP150" i="25"/>
  <c r="DO150" i="25"/>
  <c r="DN150" i="25"/>
  <c r="DM150" i="25"/>
  <c r="DL150" i="25"/>
  <c r="CO150" i="25" s="1"/>
  <c r="DK150" i="25"/>
  <c r="DJ150" i="25"/>
  <c r="DG150" i="25"/>
  <c r="DE150" i="25"/>
  <c r="DD150" i="25"/>
  <c r="DC150" i="25"/>
  <c r="CW150" i="25"/>
  <c r="CV150" i="25"/>
  <c r="CU150" i="25"/>
  <c r="CT150" i="25"/>
  <c r="CL150" i="25"/>
  <c r="CK150" i="25"/>
  <c r="CC150" i="25"/>
  <c r="CD150" i="25" s="1"/>
  <c r="BX150" i="25"/>
  <c r="BW150" i="25"/>
  <c r="BV150" i="25"/>
  <c r="BU150" i="25"/>
  <c r="BT150" i="25"/>
  <c r="BR150" i="25"/>
  <c r="BQ150" i="25"/>
  <c r="G150" i="25"/>
  <c r="DR149" i="25"/>
  <c r="DQ149" i="25"/>
  <c r="DP149" i="25"/>
  <c r="DO149" i="25"/>
  <c r="DN149" i="25"/>
  <c r="DM149" i="25"/>
  <c r="DL149" i="25"/>
  <c r="CQ149" i="25" s="1"/>
  <c r="CR149" i="25" s="1"/>
  <c r="DK149" i="25"/>
  <c r="DJ149" i="25"/>
  <c r="DG149" i="25"/>
  <c r="DE149" i="25"/>
  <c r="DF149" i="25" s="1"/>
  <c r="DD149" i="25"/>
  <c r="DC149" i="25"/>
  <c r="CW149" i="25"/>
  <c r="CV149" i="25"/>
  <c r="CU149" i="25"/>
  <c r="DB149" i="25" s="1"/>
  <c r="CT149" i="25"/>
  <c r="CL149" i="25"/>
  <c r="CK149" i="25"/>
  <c r="CC149" i="25"/>
  <c r="CD149" i="25" s="1"/>
  <c r="BX149" i="25"/>
  <c r="BW149" i="25"/>
  <c r="BV149" i="25"/>
  <c r="BU149" i="25"/>
  <c r="BT149" i="25"/>
  <c r="BR149" i="25"/>
  <c r="BQ149" i="25"/>
  <c r="G149" i="25"/>
  <c r="DR148" i="25"/>
  <c r="DQ148" i="25"/>
  <c r="DP148" i="25"/>
  <c r="DO148" i="25"/>
  <c r="DN148" i="25"/>
  <c r="DM148" i="25"/>
  <c r="DL148" i="25"/>
  <c r="DK148" i="25"/>
  <c r="DJ148" i="25"/>
  <c r="DG148" i="25"/>
  <c r="DE148" i="25"/>
  <c r="DD148" i="25"/>
  <c r="DC148" i="25"/>
  <c r="CW148" i="25"/>
  <c r="CV148" i="25"/>
  <c r="CU148" i="25"/>
  <c r="CT148" i="25"/>
  <c r="CL148" i="25"/>
  <c r="CK148" i="25"/>
  <c r="CC148" i="25"/>
  <c r="CD148" i="25" s="1"/>
  <c r="BX148" i="25"/>
  <c r="BW148" i="25"/>
  <c r="BV148" i="25"/>
  <c r="BU148" i="25"/>
  <c r="BT148" i="25"/>
  <c r="BR148" i="25"/>
  <c r="BQ148" i="25"/>
  <c r="G148" i="25"/>
  <c r="DR147" i="25"/>
  <c r="DQ147" i="25"/>
  <c r="DP147" i="25"/>
  <c r="DO147" i="25"/>
  <c r="DN147" i="25"/>
  <c r="DM147" i="25"/>
  <c r="DL147" i="25"/>
  <c r="CP147" i="25" s="1"/>
  <c r="DK147" i="25"/>
  <c r="DJ147" i="25"/>
  <c r="DG147" i="25"/>
  <c r="DE147" i="25"/>
  <c r="DF147" i="25" s="1"/>
  <c r="DD147" i="25"/>
  <c r="DC147" i="25"/>
  <c r="CW147" i="25"/>
  <c r="CV147" i="25"/>
  <c r="CU147" i="25"/>
  <c r="DB147" i="25" s="1"/>
  <c r="CT147" i="25"/>
  <c r="CL147" i="25"/>
  <c r="CK147" i="25"/>
  <c r="CC147" i="25"/>
  <c r="BX147" i="25"/>
  <c r="BW147" i="25"/>
  <c r="BV147" i="25"/>
  <c r="BU147" i="25"/>
  <c r="BT147" i="25"/>
  <c r="BR147" i="25"/>
  <c r="BQ147" i="25"/>
  <c r="G147" i="25"/>
  <c r="DR146" i="25"/>
  <c r="DQ146" i="25"/>
  <c r="DP146" i="25"/>
  <c r="DO146" i="25"/>
  <c r="DN146" i="25"/>
  <c r="DM146" i="25"/>
  <c r="DL146" i="25"/>
  <c r="CP146" i="25" s="1"/>
  <c r="DK146" i="25"/>
  <c r="DJ146" i="25"/>
  <c r="DG146" i="25"/>
  <c r="DE146" i="25"/>
  <c r="DD146" i="25"/>
  <c r="DC146" i="25"/>
  <c r="CW146" i="25"/>
  <c r="CV146" i="25"/>
  <c r="CU146" i="25"/>
  <c r="DB146" i="25" s="1"/>
  <c r="CT146" i="25"/>
  <c r="CL146" i="25"/>
  <c r="CK146" i="25"/>
  <c r="CC146" i="25"/>
  <c r="CD146" i="25" s="1"/>
  <c r="BX146" i="25"/>
  <c r="BW146" i="25"/>
  <c r="BV146" i="25"/>
  <c r="BU146" i="25"/>
  <c r="BT146" i="25"/>
  <c r="BR146" i="25"/>
  <c r="BQ146" i="25"/>
  <c r="G146" i="25"/>
  <c r="DR145" i="25"/>
  <c r="DQ145" i="25"/>
  <c r="DP145" i="25"/>
  <c r="DO145" i="25"/>
  <c r="DN145" i="25"/>
  <c r="DM145" i="25"/>
  <c r="DL145" i="25"/>
  <c r="CQ145" i="25" s="1"/>
  <c r="CR145" i="25" s="1"/>
  <c r="DK145" i="25"/>
  <c r="DJ145" i="25"/>
  <c r="DG145" i="25"/>
  <c r="DE145" i="25"/>
  <c r="DF145" i="25" s="1"/>
  <c r="DD145" i="25"/>
  <c r="DC145" i="25"/>
  <c r="CW145" i="25"/>
  <c r="CV145" i="25"/>
  <c r="CU145" i="25"/>
  <c r="DB145" i="25" s="1"/>
  <c r="CT145" i="25"/>
  <c r="CL145" i="25"/>
  <c r="CK145" i="25"/>
  <c r="CC145" i="25"/>
  <c r="CD145" i="25" s="1"/>
  <c r="BX145" i="25"/>
  <c r="BW145" i="25"/>
  <c r="BV145" i="25"/>
  <c r="BU145" i="25"/>
  <c r="BT145" i="25"/>
  <c r="BR145" i="25"/>
  <c r="BQ145" i="25"/>
  <c r="G145" i="25"/>
  <c r="DR144" i="25"/>
  <c r="DQ144" i="25"/>
  <c r="DP144" i="25"/>
  <c r="DO144" i="25"/>
  <c r="DN144" i="25"/>
  <c r="DM144" i="25"/>
  <c r="DL144" i="25"/>
  <c r="DK144" i="25"/>
  <c r="DJ144" i="25"/>
  <c r="DG144" i="25"/>
  <c r="DE144" i="25"/>
  <c r="DF144" i="25" s="1"/>
  <c r="DD144" i="25"/>
  <c r="DC144" i="25"/>
  <c r="CW144" i="25"/>
  <c r="CV144" i="25"/>
  <c r="CU144" i="25"/>
  <c r="CT144" i="25"/>
  <c r="CL144" i="25"/>
  <c r="CK144" i="25"/>
  <c r="CC144" i="25"/>
  <c r="CD144" i="25" s="1"/>
  <c r="BX144" i="25"/>
  <c r="BW144" i="25"/>
  <c r="BV144" i="25"/>
  <c r="BU144" i="25"/>
  <c r="BT144" i="25"/>
  <c r="BR144" i="25"/>
  <c r="BQ144" i="25"/>
  <c r="G144" i="25"/>
  <c r="DR143" i="25"/>
  <c r="DQ143" i="25"/>
  <c r="DP143" i="25"/>
  <c r="DO143" i="25"/>
  <c r="DN143" i="25"/>
  <c r="DM143" i="25"/>
  <c r="DL143" i="25"/>
  <c r="CP143" i="25" s="1"/>
  <c r="DK143" i="25"/>
  <c r="DJ143" i="25"/>
  <c r="DG143" i="25"/>
  <c r="DE143" i="25"/>
  <c r="DD143" i="25"/>
  <c r="DC143" i="25"/>
  <c r="CW143" i="25"/>
  <c r="CV143" i="25"/>
  <c r="CU143" i="25"/>
  <c r="DB143" i="25" s="1"/>
  <c r="CT143" i="25"/>
  <c r="CL143" i="25"/>
  <c r="CK143" i="25"/>
  <c r="CC143" i="25"/>
  <c r="BX143" i="25"/>
  <c r="BW143" i="25"/>
  <c r="BV143" i="25"/>
  <c r="BU143" i="25"/>
  <c r="BT143" i="25"/>
  <c r="BR143" i="25"/>
  <c r="BQ143" i="25"/>
  <c r="G143" i="25"/>
  <c r="DR142" i="25"/>
  <c r="DQ142" i="25"/>
  <c r="DP142" i="25"/>
  <c r="DO142" i="25"/>
  <c r="DN142" i="25"/>
  <c r="DM142" i="25"/>
  <c r="DL142" i="25"/>
  <c r="CQ142" i="25" s="1"/>
  <c r="CR142" i="25" s="1"/>
  <c r="DK142" i="25"/>
  <c r="DJ142" i="25"/>
  <c r="DG142" i="25"/>
  <c r="DE142" i="25"/>
  <c r="DD142" i="25"/>
  <c r="DC142" i="25"/>
  <c r="CW142" i="25"/>
  <c r="CV142" i="25"/>
  <c r="CU142" i="25"/>
  <c r="DB142" i="25" s="1"/>
  <c r="CT142" i="25"/>
  <c r="CL142" i="25"/>
  <c r="CK142" i="25"/>
  <c r="CC142" i="25"/>
  <c r="CD142" i="25" s="1"/>
  <c r="BX142" i="25"/>
  <c r="BW142" i="25"/>
  <c r="BV142" i="25"/>
  <c r="BU142" i="25"/>
  <c r="BT142" i="25"/>
  <c r="BR142" i="25"/>
  <c r="BQ142" i="25"/>
  <c r="G142" i="25"/>
  <c r="DR141" i="25"/>
  <c r="DQ141" i="25"/>
  <c r="DP141" i="25"/>
  <c r="DO141" i="25"/>
  <c r="DN141" i="25"/>
  <c r="DM141" i="25"/>
  <c r="DL141" i="25"/>
  <c r="CQ141" i="25" s="1"/>
  <c r="CR141" i="25" s="1"/>
  <c r="DK141" i="25"/>
  <c r="DJ141" i="25"/>
  <c r="DG141" i="25"/>
  <c r="DE141" i="25"/>
  <c r="DF141" i="25" s="1"/>
  <c r="DD141" i="25"/>
  <c r="DC141" i="25"/>
  <c r="CW141" i="25"/>
  <c r="CV141" i="25"/>
  <c r="CU141" i="25"/>
  <c r="DB141" i="25" s="1"/>
  <c r="CT141" i="25"/>
  <c r="CL141" i="25"/>
  <c r="CK141" i="25"/>
  <c r="CC141" i="25"/>
  <c r="CD141" i="25" s="1"/>
  <c r="BX141" i="25"/>
  <c r="BW141" i="25"/>
  <c r="BV141" i="25"/>
  <c r="BU141" i="25"/>
  <c r="BT141" i="25"/>
  <c r="BR141" i="25"/>
  <c r="BQ141" i="25"/>
  <c r="G141" i="25"/>
  <c r="DR140" i="25"/>
  <c r="DQ140" i="25"/>
  <c r="DP140" i="25"/>
  <c r="DO140" i="25"/>
  <c r="DN140" i="25"/>
  <c r="DM140" i="25"/>
  <c r="DL140" i="25"/>
  <c r="DK140" i="25"/>
  <c r="DJ140" i="25"/>
  <c r="DG140" i="25"/>
  <c r="DE140" i="25"/>
  <c r="DD140" i="25"/>
  <c r="DC140" i="25"/>
  <c r="CW140" i="25"/>
  <c r="CV140" i="25"/>
  <c r="CU140" i="25"/>
  <c r="CT140" i="25"/>
  <c r="CL140" i="25"/>
  <c r="CK140" i="25"/>
  <c r="CC140" i="25"/>
  <c r="CD140" i="25" s="1"/>
  <c r="BX140" i="25"/>
  <c r="BW140" i="25"/>
  <c r="BV140" i="25"/>
  <c r="BU140" i="25"/>
  <c r="BT140" i="25"/>
  <c r="BR140" i="25"/>
  <c r="BQ140" i="25"/>
  <c r="G140" i="25"/>
  <c r="DR139" i="25"/>
  <c r="DQ139" i="25"/>
  <c r="DP139" i="25"/>
  <c r="DO139" i="25"/>
  <c r="DN139" i="25"/>
  <c r="DM139" i="25"/>
  <c r="DL139" i="25"/>
  <c r="CO139" i="25" s="1"/>
  <c r="DK139" i="25"/>
  <c r="DJ139" i="25"/>
  <c r="DG139" i="25"/>
  <c r="DE139" i="25"/>
  <c r="DD139" i="25"/>
  <c r="DC139" i="25"/>
  <c r="CW139" i="25"/>
  <c r="CV139" i="25"/>
  <c r="CU139" i="25"/>
  <c r="DB139" i="25" s="1"/>
  <c r="CT139" i="25"/>
  <c r="CL139" i="25"/>
  <c r="CK139" i="25"/>
  <c r="CC139" i="25"/>
  <c r="BX139" i="25"/>
  <c r="BW139" i="25"/>
  <c r="BV139" i="25"/>
  <c r="BU139" i="25"/>
  <c r="BT139" i="25"/>
  <c r="BR139" i="25"/>
  <c r="BQ139" i="25"/>
  <c r="G139" i="25"/>
  <c r="DR138" i="25"/>
  <c r="DQ138" i="25"/>
  <c r="DP138" i="25"/>
  <c r="DO138" i="25"/>
  <c r="DN138" i="25"/>
  <c r="DM138" i="25"/>
  <c r="DL138" i="25"/>
  <c r="CO138" i="25" s="1"/>
  <c r="DK138" i="25"/>
  <c r="DJ138" i="25"/>
  <c r="DG138" i="25"/>
  <c r="DE138" i="25"/>
  <c r="DD138" i="25"/>
  <c r="DC138" i="25"/>
  <c r="CW138" i="25"/>
  <c r="CV138" i="25"/>
  <c r="CU138" i="25"/>
  <c r="DB138" i="25" s="1"/>
  <c r="CT138" i="25"/>
  <c r="CL138" i="25"/>
  <c r="CK138" i="25"/>
  <c r="CC138" i="25"/>
  <c r="CD138" i="25" s="1"/>
  <c r="BX138" i="25"/>
  <c r="BW138" i="25"/>
  <c r="BV138" i="25"/>
  <c r="BU138" i="25"/>
  <c r="BT138" i="25"/>
  <c r="BR138" i="25"/>
  <c r="BQ138" i="25"/>
  <c r="G138" i="25"/>
  <c r="DR137" i="25"/>
  <c r="DQ137" i="25"/>
  <c r="DP137" i="25"/>
  <c r="DO137" i="25"/>
  <c r="DN137" i="25"/>
  <c r="DM137" i="25"/>
  <c r="DL137" i="25"/>
  <c r="CQ137" i="25" s="1"/>
  <c r="CR137" i="25" s="1"/>
  <c r="DK137" i="25"/>
  <c r="DJ137" i="25"/>
  <c r="DG137" i="25"/>
  <c r="DE137" i="25"/>
  <c r="DF137" i="25" s="1"/>
  <c r="DD137" i="25"/>
  <c r="DC137" i="25"/>
  <c r="CW137" i="25"/>
  <c r="CV137" i="25"/>
  <c r="CU137" i="25"/>
  <c r="DB137" i="25" s="1"/>
  <c r="CT137" i="25"/>
  <c r="CL137" i="25"/>
  <c r="CK137" i="25"/>
  <c r="CC137" i="25"/>
  <c r="CD137" i="25" s="1"/>
  <c r="BX137" i="25"/>
  <c r="BW137" i="25"/>
  <c r="BV137" i="25"/>
  <c r="BU137" i="25"/>
  <c r="BT137" i="25"/>
  <c r="BR137" i="25"/>
  <c r="BQ137" i="25"/>
  <c r="G137" i="25"/>
  <c r="DR136" i="25"/>
  <c r="DQ136" i="25"/>
  <c r="DP136" i="25"/>
  <c r="DO136" i="25"/>
  <c r="DN136" i="25"/>
  <c r="DM136" i="25"/>
  <c r="DL136" i="25"/>
  <c r="DK136" i="25"/>
  <c r="DJ136" i="25"/>
  <c r="DG136" i="25"/>
  <c r="DE136" i="25"/>
  <c r="DD136" i="25"/>
  <c r="DC136" i="25"/>
  <c r="CW136" i="25"/>
  <c r="CV136" i="25"/>
  <c r="CU136" i="25"/>
  <c r="CT136" i="25"/>
  <c r="CL136" i="25"/>
  <c r="CK136" i="25"/>
  <c r="CC136" i="25"/>
  <c r="CD136" i="25" s="1"/>
  <c r="BX136" i="25"/>
  <c r="BW136" i="25"/>
  <c r="BV136" i="25"/>
  <c r="BU136" i="25"/>
  <c r="BT136" i="25"/>
  <c r="BR136" i="25"/>
  <c r="BQ136" i="25"/>
  <c r="G136" i="25"/>
  <c r="DR135" i="25"/>
  <c r="DQ135" i="25"/>
  <c r="DP135" i="25"/>
  <c r="DO135" i="25"/>
  <c r="DN135" i="25"/>
  <c r="DM135" i="25"/>
  <c r="DL135" i="25"/>
  <c r="CQ135" i="25" s="1"/>
  <c r="CR135" i="25" s="1"/>
  <c r="DK135" i="25"/>
  <c r="DJ135" i="25"/>
  <c r="DG135" i="25"/>
  <c r="DE135" i="25"/>
  <c r="DD135" i="25"/>
  <c r="DC135" i="25"/>
  <c r="CW135" i="25"/>
  <c r="CV135" i="25"/>
  <c r="CU135" i="25"/>
  <c r="DB135" i="25" s="1"/>
  <c r="CT135" i="25"/>
  <c r="CL135" i="25"/>
  <c r="CK135" i="25"/>
  <c r="CC135" i="25"/>
  <c r="CD135" i="25" s="1"/>
  <c r="BX135" i="25"/>
  <c r="BW135" i="25"/>
  <c r="BV135" i="25"/>
  <c r="BU135" i="25"/>
  <c r="BT135" i="25"/>
  <c r="BR135" i="25"/>
  <c r="BQ135" i="25"/>
  <c r="G135" i="25"/>
  <c r="DR134" i="25"/>
  <c r="DQ134" i="25"/>
  <c r="DP134" i="25"/>
  <c r="DO134" i="25"/>
  <c r="DN134" i="25"/>
  <c r="DM134" i="25"/>
  <c r="DL134" i="25"/>
  <c r="CQ134" i="25" s="1"/>
  <c r="CR134" i="25" s="1"/>
  <c r="DK134" i="25"/>
  <c r="DJ134" i="25"/>
  <c r="DG134" i="25"/>
  <c r="DE134" i="25"/>
  <c r="DF134" i="25" s="1"/>
  <c r="DD134" i="25"/>
  <c r="DC134" i="25"/>
  <c r="CW134" i="25"/>
  <c r="CV134" i="25"/>
  <c r="CU134" i="25"/>
  <c r="DB134" i="25" s="1"/>
  <c r="CT134" i="25"/>
  <c r="CL134" i="25"/>
  <c r="CK134" i="25"/>
  <c r="CC134" i="25"/>
  <c r="CD134" i="25" s="1"/>
  <c r="BX134" i="25"/>
  <c r="BW134" i="25"/>
  <c r="BV134" i="25"/>
  <c r="BU134" i="25"/>
  <c r="BT134" i="25"/>
  <c r="BR134" i="25"/>
  <c r="BQ134" i="25"/>
  <c r="G134" i="25"/>
  <c r="DR133" i="25"/>
  <c r="DQ133" i="25"/>
  <c r="DP133" i="25"/>
  <c r="DO133" i="25"/>
  <c r="DN133" i="25"/>
  <c r="DM133" i="25"/>
  <c r="DL133" i="25"/>
  <c r="DK133" i="25"/>
  <c r="DJ133" i="25"/>
  <c r="DG133" i="25"/>
  <c r="DE133" i="25"/>
  <c r="DD133" i="25"/>
  <c r="DC133" i="25"/>
  <c r="CW133" i="25"/>
  <c r="CV133" i="25"/>
  <c r="CU133" i="25"/>
  <c r="CT133" i="25"/>
  <c r="CL133" i="25"/>
  <c r="CK133" i="25"/>
  <c r="CC133" i="25"/>
  <c r="CD133" i="25" s="1"/>
  <c r="BX133" i="25"/>
  <c r="BW133" i="25"/>
  <c r="BV133" i="25"/>
  <c r="BU133" i="25"/>
  <c r="BT133" i="25"/>
  <c r="BR133" i="25"/>
  <c r="BQ133" i="25"/>
  <c r="G133" i="25"/>
  <c r="DR132" i="25"/>
  <c r="DQ132" i="25"/>
  <c r="DP132" i="25"/>
  <c r="DO132" i="25"/>
  <c r="DN132" i="25"/>
  <c r="DM132" i="25"/>
  <c r="DL132" i="25"/>
  <c r="CO132" i="25" s="1"/>
  <c r="DK132" i="25"/>
  <c r="DJ132" i="25"/>
  <c r="DG132" i="25"/>
  <c r="DE132" i="25"/>
  <c r="DD132" i="25"/>
  <c r="DC132" i="25"/>
  <c r="CW132" i="25"/>
  <c r="CV132" i="25"/>
  <c r="CU132" i="25"/>
  <c r="DB132" i="25" s="1"/>
  <c r="CT132" i="25"/>
  <c r="CL132" i="25"/>
  <c r="CK132" i="25"/>
  <c r="CC132" i="25"/>
  <c r="BX132" i="25"/>
  <c r="BW132" i="25"/>
  <c r="BV132" i="25"/>
  <c r="BU132" i="25"/>
  <c r="BT132" i="25"/>
  <c r="BR132" i="25"/>
  <c r="BQ132" i="25"/>
  <c r="G132" i="25"/>
  <c r="DR131" i="25"/>
  <c r="DQ131" i="25"/>
  <c r="DP131" i="25"/>
  <c r="DO131" i="25"/>
  <c r="DN131" i="25"/>
  <c r="DM131" i="25"/>
  <c r="DL131" i="25"/>
  <c r="CO131" i="25" s="1"/>
  <c r="DK131" i="25"/>
  <c r="DJ131" i="25"/>
  <c r="DG131" i="25"/>
  <c r="DE131" i="25"/>
  <c r="DD131" i="25"/>
  <c r="DC131" i="25"/>
  <c r="CW131" i="25"/>
  <c r="CV131" i="25"/>
  <c r="CU131" i="25"/>
  <c r="DB131" i="25" s="1"/>
  <c r="CT131" i="25"/>
  <c r="CL131" i="25"/>
  <c r="CK131" i="25"/>
  <c r="CC131" i="25"/>
  <c r="CD131" i="25" s="1"/>
  <c r="BX131" i="25"/>
  <c r="BW131" i="25"/>
  <c r="BV131" i="25"/>
  <c r="BU131" i="25"/>
  <c r="BT131" i="25"/>
  <c r="BR131" i="25"/>
  <c r="BQ131" i="25"/>
  <c r="G131" i="25"/>
  <c r="DR130" i="25"/>
  <c r="DQ130" i="25"/>
  <c r="DP130" i="25"/>
  <c r="DO130" i="25"/>
  <c r="DN130" i="25"/>
  <c r="DM130" i="25"/>
  <c r="DL130" i="25"/>
  <c r="CQ130" i="25" s="1"/>
  <c r="CR130" i="25" s="1"/>
  <c r="DK130" i="25"/>
  <c r="DJ130" i="25"/>
  <c r="DG130" i="25"/>
  <c r="DE130" i="25"/>
  <c r="DF130" i="25" s="1"/>
  <c r="DD130" i="25"/>
  <c r="DC130" i="25"/>
  <c r="CW130" i="25"/>
  <c r="CV130" i="25"/>
  <c r="CU130" i="25"/>
  <c r="DB130" i="25" s="1"/>
  <c r="CT130" i="25"/>
  <c r="CL130" i="25"/>
  <c r="CK130" i="25"/>
  <c r="CC130" i="25"/>
  <c r="CD130" i="25" s="1"/>
  <c r="BX130" i="25"/>
  <c r="BW130" i="25"/>
  <c r="BV130" i="25"/>
  <c r="BU130" i="25"/>
  <c r="BT130" i="25"/>
  <c r="BR130" i="25"/>
  <c r="BQ130" i="25"/>
  <c r="G130" i="25"/>
  <c r="DR129" i="25"/>
  <c r="DQ129" i="25"/>
  <c r="DP129" i="25"/>
  <c r="DO129" i="25"/>
  <c r="DN129" i="25"/>
  <c r="DM129" i="25"/>
  <c r="DL129" i="25"/>
  <c r="DK129" i="25"/>
  <c r="DJ129" i="25"/>
  <c r="DG129" i="25"/>
  <c r="DE129" i="25"/>
  <c r="DD129" i="25"/>
  <c r="DC129" i="25"/>
  <c r="CW129" i="25"/>
  <c r="CV129" i="25"/>
  <c r="CU129" i="25"/>
  <c r="CT129" i="25"/>
  <c r="CL129" i="25"/>
  <c r="CK129" i="25"/>
  <c r="CC129" i="25"/>
  <c r="CD129" i="25" s="1"/>
  <c r="BX129" i="25"/>
  <c r="BW129" i="25"/>
  <c r="BV129" i="25"/>
  <c r="BU129" i="25"/>
  <c r="BT129" i="25"/>
  <c r="BR129" i="25"/>
  <c r="BQ129" i="25"/>
  <c r="G129" i="25"/>
  <c r="DR128" i="25"/>
  <c r="DQ128" i="25"/>
  <c r="DP128" i="25"/>
  <c r="DO128" i="25"/>
  <c r="DN128" i="25"/>
  <c r="DM128" i="25"/>
  <c r="DL128" i="25"/>
  <c r="CO128" i="25" s="1"/>
  <c r="DK128" i="25"/>
  <c r="DJ128" i="25"/>
  <c r="DG128" i="25"/>
  <c r="DE128" i="25"/>
  <c r="DD128" i="25"/>
  <c r="DC128" i="25"/>
  <c r="CW128" i="25"/>
  <c r="CV128" i="25"/>
  <c r="CU128" i="25"/>
  <c r="DB128" i="25" s="1"/>
  <c r="CT128" i="25"/>
  <c r="CL128" i="25"/>
  <c r="CK128" i="25"/>
  <c r="CC128" i="25"/>
  <c r="BX128" i="25"/>
  <c r="BW128" i="25"/>
  <c r="BV128" i="25"/>
  <c r="BU128" i="25"/>
  <c r="BT128" i="25"/>
  <c r="BR128" i="25"/>
  <c r="BQ128" i="25"/>
  <c r="G128" i="25"/>
  <c r="DR127" i="25"/>
  <c r="DQ127" i="25"/>
  <c r="DP127" i="25"/>
  <c r="DO127" i="25"/>
  <c r="DN127" i="25"/>
  <c r="DM127" i="25"/>
  <c r="DL127" i="25"/>
  <c r="CQ127" i="25" s="1"/>
  <c r="CR127" i="25" s="1"/>
  <c r="DK127" i="25"/>
  <c r="DJ127" i="25"/>
  <c r="DG127" i="25"/>
  <c r="DE127" i="25"/>
  <c r="DD127" i="25"/>
  <c r="DC127" i="25"/>
  <c r="CW127" i="25"/>
  <c r="CV127" i="25"/>
  <c r="CU127" i="25"/>
  <c r="DB127" i="25" s="1"/>
  <c r="CT127" i="25"/>
  <c r="CL127" i="25"/>
  <c r="CK127" i="25"/>
  <c r="CC127" i="25"/>
  <c r="CD127" i="25" s="1"/>
  <c r="BX127" i="25"/>
  <c r="BW127" i="25"/>
  <c r="BV127" i="25"/>
  <c r="BU127" i="25"/>
  <c r="BT127" i="25"/>
  <c r="BR127" i="25"/>
  <c r="BQ127" i="25"/>
  <c r="G127" i="25"/>
  <c r="DR126" i="25"/>
  <c r="DQ126" i="25"/>
  <c r="DP126" i="25"/>
  <c r="DO126" i="25"/>
  <c r="DN126" i="25"/>
  <c r="DM126" i="25"/>
  <c r="DL126" i="25"/>
  <c r="CQ126" i="25" s="1"/>
  <c r="CR126" i="25" s="1"/>
  <c r="DK126" i="25"/>
  <c r="DJ126" i="25"/>
  <c r="DG126" i="25"/>
  <c r="DE126" i="25"/>
  <c r="DF126" i="25" s="1"/>
  <c r="DD126" i="25"/>
  <c r="DC126" i="25"/>
  <c r="CW126" i="25"/>
  <c r="CV126" i="25"/>
  <c r="CU126" i="25"/>
  <c r="DB126" i="25" s="1"/>
  <c r="CT126" i="25"/>
  <c r="CL126" i="25"/>
  <c r="CK126" i="25"/>
  <c r="CC126" i="25"/>
  <c r="CD126" i="25" s="1"/>
  <c r="BX126" i="25"/>
  <c r="BW126" i="25"/>
  <c r="BV126" i="25"/>
  <c r="BU126" i="25"/>
  <c r="BT126" i="25"/>
  <c r="BR126" i="25"/>
  <c r="BQ126" i="25"/>
  <c r="G126" i="25"/>
  <c r="DR125" i="25"/>
  <c r="DQ125" i="25"/>
  <c r="DP125" i="25"/>
  <c r="DO125" i="25"/>
  <c r="DN125" i="25"/>
  <c r="DM125" i="25"/>
  <c r="DL125" i="25"/>
  <c r="DK125" i="25"/>
  <c r="DJ125" i="25"/>
  <c r="DG125" i="25"/>
  <c r="DE125" i="25"/>
  <c r="DF125" i="25" s="1"/>
  <c r="DD125" i="25"/>
  <c r="DC125" i="25"/>
  <c r="CW125" i="25"/>
  <c r="CV125" i="25"/>
  <c r="CU125" i="25"/>
  <c r="CT125" i="25"/>
  <c r="CL125" i="25"/>
  <c r="CK125" i="25"/>
  <c r="CC125" i="25"/>
  <c r="CD125" i="25" s="1"/>
  <c r="BX125" i="25"/>
  <c r="BW125" i="25"/>
  <c r="BV125" i="25"/>
  <c r="BU125" i="25"/>
  <c r="BT125" i="25"/>
  <c r="BR125" i="25"/>
  <c r="BQ125" i="25"/>
  <c r="G125" i="25"/>
  <c r="DR124" i="25"/>
  <c r="DQ124" i="25"/>
  <c r="DP124" i="25"/>
  <c r="DO124" i="25"/>
  <c r="DN124" i="25"/>
  <c r="DM124" i="25"/>
  <c r="DL124" i="25"/>
  <c r="CO124" i="25" s="1"/>
  <c r="DK124" i="25"/>
  <c r="DJ124" i="25"/>
  <c r="DG124" i="25"/>
  <c r="DE124" i="25"/>
  <c r="DF124" i="25" s="1"/>
  <c r="DD124" i="25"/>
  <c r="DC124" i="25"/>
  <c r="CW124" i="25"/>
  <c r="CV124" i="25"/>
  <c r="CU124" i="25"/>
  <c r="DB124" i="25" s="1"/>
  <c r="CT124" i="25"/>
  <c r="CL124" i="25"/>
  <c r="CK124" i="25"/>
  <c r="CC124" i="25"/>
  <c r="BX124" i="25"/>
  <c r="BW124" i="25"/>
  <c r="BV124" i="25"/>
  <c r="BU124" i="25"/>
  <c r="BT124" i="25"/>
  <c r="BR124" i="25"/>
  <c r="BQ124" i="25"/>
  <c r="G124" i="25"/>
  <c r="DR123" i="25"/>
  <c r="DQ123" i="25"/>
  <c r="DP123" i="25"/>
  <c r="DO123" i="25"/>
  <c r="DN123" i="25"/>
  <c r="DM123" i="25"/>
  <c r="DL123" i="25"/>
  <c r="CQ123" i="25" s="1"/>
  <c r="CR123" i="25" s="1"/>
  <c r="DK123" i="25"/>
  <c r="DJ123" i="25"/>
  <c r="DG123" i="25"/>
  <c r="DE123" i="25"/>
  <c r="DD123" i="25"/>
  <c r="DC123" i="25"/>
  <c r="CW123" i="25"/>
  <c r="CV123" i="25"/>
  <c r="CU123" i="25"/>
  <c r="DB123" i="25" s="1"/>
  <c r="CT123" i="25"/>
  <c r="CL123" i="25"/>
  <c r="CK123" i="25"/>
  <c r="CC123" i="25"/>
  <c r="CD123" i="25" s="1"/>
  <c r="BX123" i="25"/>
  <c r="BW123" i="25"/>
  <c r="BV123" i="25"/>
  <c r="BU123" i="25"/>
  <c r="BT123" i="25"/>
  <c r="BR123" i="25"/>
  <c r="BQ123" i="25"/>
  <c r="G123" i="25"/>
  <c r="DR122" i="25"/>
  <c r="DQ122" i="25"/>
  <c r="DP122" i="25"/>
  <c r="DO122" i="25"/>
  <c r="DN122" i="25"/>
  <c r="DM122" i="25"/>
  <c r="DL122" i="25"/>
  <c r="CQ122" i="25" s="1"/>
  <c r="CR122" i="25" s="1"/>
  <c r="DK122" i="25"/>
  <c r="DJ122" i="25"/>
  <c r="DG122" i="25"/>
  <c r="DE122" i="25"/>
  <c r="DF122" i="25" s="1"/>
  <c r="DD122" i="25"/>
  <c r="DC122" i="25"/>
  <c r="CW122" i="25"/>
  <c r="CV122" i="25"/>
  <c r="CU122" i="25"/>
  <c r="DB122" i="25" s="1"/>
  <c r="CT122" i="25"/>
  <c r="CL122" i="25"/>
  <c r="CK122" i="25"/>
  <c r="CC122" i="25"/>
  <c r="CD122" i="25" s="1"/>
  <c r="BX122" i="25"/>
  <c r="BW122" i="25"/>
  <c r="BV122" i="25"/>
  <c r="BU122" i="25"/>
  <c r="BT122" i="25"/>
  <c r="BR122" i="25"/>
  <c r="BQ122" i="25"/>
  <c r="G122" i="25"/>
  <c r="DR121" i="25"/>
  <c r="DQ121" i="25"/>
  <c r="DP121" i="25"/>
  <c r="DO121" i="25"/>
  <c r="DN121" i="25"/>
  <c r="DM121" i="25"/>
  <c r="DL121" i="25"/>
  <c r="DK121" i="25"/>
  <c r="DJ121" i="25"/>
  <c r="DG121" i="25"/>
  <c r="DE121" i="25"/>
  <c r="DF121" i="25" s="1"/>
  <c r="DD121" i="25"/>
  <c r="DC121" i="25"/>
  <c r="CW121" i="25"/>
  <c r="CV121" i="25"/>
  <c r="CU121" i="25"/>
  <c r="CT121" i="25"/>
  <c r="CL121" i="25"/>
  <c r="CK121" i="25"/>
  <c r="CC121" i="25"/>
  <c r="CD121" i="25" s="1"/>
  <c r="BX121" i="25"/>
  <c r="BW121" i="25"/>
  <c r="BV121" i="25"/>
  <c r="BU121" i="25"/>
  <c r="BT121" i="25"/>
  <c r="BR121" i="25"/>
  <c r="BQ121" i="25"/>
  <c r="G121" i="25"/>
  <c r="DR120" i="25"/>
  <c r="DQ120" i="25"/>
  <c r="DP120" i="25"/>
  <c r="DO120" i="25"/>
  <c r="DN120" i="25"/>
  <c r="DM120" i="25"/>
  <c r="DL120" i="25"/>
  <c r="DK120" i="25"/>
  <c r="DJ120" i="25"/>
  <c r="DG120" i="25"/>
  <c r="DE120" i="25"/>
  <c r="DD120" i="25"/>
  <c r="DC120" i="25"/>
  <c r="CW120" i="25"/>
  <c r="CV120" i="25"/>
  <c r="CU120" i="25"/>
  <c r="DB120" i="25" s="1"/>
  <c r="CT120" i="25"/>
  <c r="CL120" i="25"/>
  <c r="CK120" i="25"/>
  <c r="CC120" i="25"/>
  <c r="BX120" i="25"/>
  <c r="BW120" i="25"/>
  <c r="BV120" i="25"/>
  <c r="BU120" i="25"/>
  <c r="BT120" i="25"/>
  <c r="BR120" i="25"/>
  <c r="BQ120" i="25"/>
  <c r="G120" i="25"/>
  <c r="DR119" i="25"/>
  <c r="DQ119" i="25"/>
  <c r="DP119" i="25"/>
  <c r="DO119" i="25"/>
  <c r="DN119" i="25"/>
  <c r="DM119" i="25"/>
  <c r="DL119" i="25"/>
  <c r="CQ119" i="25" s="1"/>
  <c r="CR119" i="25" s="1"/>
  <c r="DK119" i="25"/>
  <c r="DJ119" i="25"/>
  <c r="DG119" i="25"/>
  <c r="DE119" i="25"/>
  <c r="DD119" i="25"/>
  <c r="DC119" i="25"/>
  <c r="CW119" i="25"/>
  <c r="CV119" i="25"/>
  <c r="CU119" i="25"/>
  <c r="DB119" i="25" s="1"/>
  <c r="CT119" i="25"/>
  <c r="CL119" i="25"/>
  <c r="CK119" i="25"/>
  <c r="CC119" i="25"/>
  <c r="CD119" i="25" s="1"/>
  <c r="BX119" i="25"/>
  <c r="BW119" i="25"/>
  <c r="BV119" i="25"/>
  <c r="BU119" i="25"/>
  <c r="BT119" i="25"/>
  <c r="BR119" i="25"/>
  <c r="BQ119" i="25"/>
  <c r="G119" i="25"/>
  <c r="DR118" i="25"/>
  <c r="DQ118" i="25"/>
  <c r="DP118" i="25"/>
  <c r="DO118" i="25"/>
  <c r="DN118" i="25"/>
  <c r="DM118" i="25"/>
  <c r="DL118" i="25"/>
  <c r="CP118" i="25" s="1"/>
  <c r="DK118" i="25"/>
  <c r="DJ118" i="25"/>
  <c r="DG118" i="25"/>
  <c r="DE118" i="25"/>
  <c r="DF118" i="25" s="1"/>
  <c r="DD118" i="25"/>
  <c r="DC118" i="25"/>
  <c r="CW118" i="25"/>
  <c r="CV118" i="25"/>
  <c r="CU118" i="25"/>
  <c r="DB118" i="25" s="1"/>
  <c r="CT118" i="25"/>
  <c r="CL118" i="25"/>
  <c r="CK118" i="25"/>
  <c r="CC118" i="25"/>
  <c r="CD118" i="25" s="1"/>
  <c r="BX118" i="25"/>
  <c r="BW118" i="25"/>
  <c r="BV118" i="25"/>
  <c r="BU118" i="25"/>
  <c r="BT118" i="25"/>
  <c r="BR118" i="25"/>
  <c r="BQ118" i="25"/>
  <c r="G118" i="25"/>
  <c r="DR117" i="25"/>
  <c r="DQ117" i="25"/>
  <c r="DP117" i="25"/>
  <c r="DO117" i="25"/>
  <c r="DN117" i="25"/>
  <c r="DM117" i="25"/>
  <c r="DL117" i="25"/>
  <c r="CP117" i="25" s="1"/>
  <c r="DK117" i="25"/>
  <c r="DJ117" i="25"/>
  <c r="DG117" i="25"/>
  <c r="DE117" i="25"/>
  <c r="DD117" i="25"/>
  <c r="DC117" i="25"/>
  <c r="CW117" i="25"/>
  <c r="CV117" i="25"/>
  <c r="CU117" i="25"/>
  <c r="DB117" i="25" s="1"/>
  <c r="CT117" i="25"/>
  <c r="CL117" i="25"/>
  <c r="CK117" i="25"/>
  <c r="CC117" i="25"/>
  <c r="BX117" i="25"/>
  <c r="BW117" i="25"/>
  <c r="BV117" i="25"/>
  <c r="BU117" i="25"/>
  <c r="BT117" i="25"/>
  <c r="BR117" i="25"/>
  <c r="BQ117" i="25"/>
  <c r="G117" i="25"/>
  <c r="DR116" i="25"/>
  <c r="DQ116" i="25"/>
  <c r="DP116" i="25"/>
  <c r="DO116" i="25"/>
  <c r="DN116" i="25"/>
  <c r="DM116" i="25"/>
  <c r="DL116" i="25"/>
  <c r="CO116" i="25" s="1"/>
  <c r="DK116" i="25"/>
  <c r="DJ116" i="25"/>
  <c r="DG116" i="25"/>
  <c r="DE116" i="25"/>
  <c r="DF116" i="25" s="1"/>
  <c r="DD116" i="25"/>
  <c r="DC116" i="25"/>
  <c r="CW116" i="25"/>
  <c r="CV116" i="25"/>
  <c r="CU116" i="25"/>
  <c r="DB116" i="25" s="1"/>
  <c r="CT116" i="25"/>
  <c r="CL116" i="25"/>
  <c r="CK116" i="25"/>
  <c r="CC116" i="25"/>
  <c r="CD116" i="25" s="1"/>
  <c r="BX116" i="25"/>
  <c r="BW116" i="25"/>
  <c r="BV116" i="25"/>
  <c r="BU116" i="25"/>
  <c r="BT116" i="25"/>
  <c r="BR116" i="25"/>
  <c r="BQ116" i="25"/>
  <c r="G116" i="25"/>
  <c r="DR115" i="25"/>
  <c r="DQ115" i="25"/>
  <c r="DP115" i="25"/>
  <c r="DO115" i="25"/>
  <c r="DN115" i="25"/>
  <c r="DM115" i="25"/>
  <c r="DL115" i="25"/>
  <c r="DK115" i="25"/>
  <c r="DJ115" i="25"/>
  <c r="DG115" i="25"/>
  <c r="DE115" i="25"/>
  <c r="DD115" i="25"/>
  <c r="DC115" i="25"/>
  <c r="CW115" i="25"/>
  <c r="CV115" i="25"/>
  <c r="CU115" i="25"/>
  <c r="DB115" i="25" s="1"/>
  <c r="CT115" i="25"/>
  <c r="CL115" i="25"/>
  <c r="CK115" i="25"/>
  <c r="CC115" i="25"/>
  <c r="CD115" i="25" s="1"/>
  <c r="BX115" i="25"/>
  <c r="BW115" i="25"/>
  <c r="BV115" i="25"/>
  <c r="BU115" i="25"/>
  <c r="BT115" i="25"/>
  <c r="BR115" i="25"/>
  <c r="BQ115" i="25"/>
  <c r="G115" i="25"/>
  <c r="DR114" i="25"/>
  <c r="DQ114" i="25"/>
  <c r="DP114" i="25"/>
  <c r="DO114" i="25"/>
  <c r="DN114" i="25"/>
  <c r="DM114" i="25"/>
  <c r="DL114" i="25"/>
  <c r="CP114" i="25" s="1"/>
  <c r="DK114" i="25"/>
  <c r="DJ114" i="25"/>
  <c r="DG114" i="25"/>
  <c r="DE114" i="25"/>
  <c r="DD114" i="25"/>
  <c r="DC114" i="25"/>
  <c r="CW114" i="25"/>
  <c r="CV114" i="25"/>
  <c r="CU114" i="25"/>
  <c r="DB114" i="25" s="1"/>
  <c r="CT114" i="25"/>
  <c r="CL114" i="25"/>
  <c r="CK114" i="25"/>
  <c r="CC114" i="25"/>
  <c r="CD114" i="25" s="1"/>
  <c r="BX114" i="25"/>
  <c r="BW114" i="25"/>
  <c r="BV114" i="25"/>
  <c r="BU114" i="25"/>
  <c r="BT114" i="25"/>
  <c r="BR114" i="25"/>
  <c r="BQ114" i="25"/>
  <c r="G114" i="25"/>
  <c r="DR113" i="25"/>
  <c r="DQ113" i="25"/>
  <c r="DP113" i="25"/>
  <c r="DO113" i="25"/>
  <c r="DN113" i="25"/>
  <c r="DM113" i="25"/>
  <c r="DL113" i="25"/>
  <c r="CP113" i="25" s="1"/>
  <c r="DK113" i="25"/>
  <c r="DJ113" i="25"/>
  <c r="DG113" i="25"/>
  <c r="DE113" i="25"/>
  <c r="DD113" i="25"/>
  <c r="DC113" i="25"/>
  <c r="CW113" i="25"/>
  <c r="CV113" i="25"/>
  <c r="CU113" i="25"/>
  <c r="DB113" i="25" s="1"/>
  <c r="CT113" i="25"/>
  <c r="CL113" i="25"/>
  <c r="CK113" i="25"/>
  <c r="CC113" i="25"/>
  <c r="BX113" i="25"/>
  <c r="BW113" i="25"/>
  <c r="BV113" i="25"/>
  <c r="BU113" i="25"/>
  <c r="BT113" i="25"/>
  <c r="BR113" i="25"/>
  <c r="BQ113" i="25"/>
  <c r="G113" i="25"/>
  <c r="DR112" i="25"/>
  <c r="DQ112" i="25"/>
  <c r="DP112" i="25"/>
  <c r="DO112" i="25"/>
  <c r="DN112" i="25"/>
  <c r="DM112" i="25"/>
  <c r="DL112" i="25"/>
  <c r="DK112" i="25"/>
  <c r="DJ112" i="25"/>
  <c r="DG112" i="25"/>
  <c r="DE112" i="25"/>
  <c r="DF112" i="25" s="1"/>
  <c r="DD112" i="25"/>
  <c r="DC112" i="25"/>
  <c r="CW112" i="25"/>
  <c r="CV112" i="25"/>
  <c r="CU112" i="25"/>
  <c r="DB112" i="25" s="1"/>
  <c r="CT112" i="25"/>
  <c r="CL112" i="25"/>
  <c r="CK112" i="25"/>
  <c r="CC112" i="25"/>
  <c r="CD112" i="25" s="1"/>
  <c r="BX112" i="25"/>
  <c r="BW112" i="25"/>
  <c r="BV112" i="25"/>
  <c r="BU112" i="25"/>
  <c r="BT112" i="25"/>
  <c r="BR112" i="25"/>
  <c r="BQ112" i="25"/>
  <c r="G112" i="25"/>
  <c r="DR111" i="25"/>
  <c r="DQ111" i="25"/>
  <c r="DP111" i="25"/>
  <c r="DO111" i="25"/>
  <c r="DN111" i="25"/>
  <c r="DM111" i="25"/>
  <c r="DL111" i="25"/>
  <c r="CO111" i="25" s="1"/>
  <c r="DK111" i="25"/>
  <c r="DJ111" i="25"/>
  <c r="DG111" i="25"/>
  <c r="DE111" i="25"/>
  <c r="DD111" i="25"/>
  <c r="DC111" i="25"/>
  <c r="CW111" i="25"/>
  <c r="CV111" i="25"/>
  <c r="CU111" i="25"/>
  <c r="DB111" i="25" s="1"/>
  <c r="CT111" i="25"/>
  <c r="CL111" i="25"/>
  <c r="CK111" i="25"/>
  <c r="CC111" i="25"/>
  <c r="CD111" i="25" s="1"/>
  <c r="BX111" i="25"/>
  <c r="BW111" i="25"/>
  <c r="BV111" i="25"/>
  <c r="BU111" i="25"/>
  <c r="BT111" i="25"/>
  <c r="BR111" i="25"/>
  <c r="BQ111" i="25"/>
  <c r="G111" i="25"/>
  <c r="DR110" i="25"/>
  <c r="DQ110" i="25"/>
  <c r="DP110" i="25"/>
  <c r="DO110" i="25"/>
  <c r="DN110" i="25"/>
  <c r="DM110" i="25"/>
  <c r="DL110" i="25"/>
  <c r="CQ110" i="25" s="1"/>
  <c r="CR110" i="25" s="1"/>
  <c r="DK110" i="25"/>
  <c r="DJ110" i="25"/>
  <c r="DG110" i="25"/>
  <c r="DE110" i="25"/>
  <c r="DF110" i="25" s="1"/>
  <c r="DD110" i="25"/>
  <c r="DC110" i="25"/>
  <c r="CW110" i="25"/>
  <c r="CV110" i="25"/>
  <c r="CU110" i="25"/>
  <c r="CT110" i="25"/>
  <c r="CL110" i="25"/>
  <c r="CK110" i="25"/>
  <c r="CC110" i="25"/>
  <c r="CD110" i="25" s="1"/>
  <c r="BX110" i="25"/>
  <c r="BW110" i="25"/>
  <c r="BV110" i="25"/>
  <c r="BU110" i="25"/>
  <c r="BT110" i="25"/>
  <c r="BR110" i="25"/>
  <c r="BQ110" i="25"/>
  <c r="G110" i="25"/>
  <c r="DR109" i="25"/>
  <c r="DQ109" i="25"/>
  <c r="DP109" i="25"/>
  <c r="DO109" i="25"/>
  <c r="DN109" i="25"/>
  <c r="DM109" i="25"/>
  <c r="DL109" i="25"/>
  <c r="CQ109" i="25" s="1"/>
  <c r="CR109" i="25" s="1"/>
  <c r="DK109" i="25"/>
  <c r="DJ109" i="25"/>
  <c r="DG109" i="25"/>
  <c r="DE109" i="25"/>
  <c r="DD109" i="25"/>
  <c r="DC109" i="25"/>
  <c r="CW109" i="25"/>
  <c r="CV109" i="25"/>
  <c r="CU109" i="25"/>
  <c r="CT109" i="25"/>
  <c r="CL109" i="25"/>
  <c r="CK109" i="25"/>
  <c r="CC109" i="25"/>
  <c r="BX109" i="25"/>
  <c r="BW109" i="25"/>
  <c r="BV109" i="25"/>
  <c r="BU109" i="25"/>
  <c r="BT109" i="25"/>
  <c r="BR109" i="25"/>
  <c r="BQ109" i="25"/>
  <c r="G109" i="25"/>
  <c r="DR108" i="25"/>
  <c r="DQ108" i="25"/>
  <c r="DP108" i="25"/>
  <c r="DO108" i="25"/>
  <c r="DN108" i="25"/>
  <c r="DM108" i="25"/>
  <c r="DL108" i="25"/>
  <c r="DK108" i="25"/>
  <c r="DJ108" i="25"/>
  <c r="DG108" i="25"/>
  <c r="DE108" i="25"/>
  <c r="DD108" i="25"/>
  <c r="DC108" i="25"/>
  <c r="CW108" i="25"/>
  <c r="CV108" i="25"/>
  <c r="CU108" i="25"/>
  <c r="DB108" i="25" s="1"/>
  <c r="CT108" i="25"/>
  <c r="CL108" i="25"/>
  <c r="CK108" i="25"/>
  <c r="CC108" i="25"/>
  <c r="CD108" i="25" s="1"/>
  <c r="BX108" i="25"/>
  <c r="BW108" i="25"/>
  <c r="BV108" i="25"/>
  <c r="BU108" i="25"/>
  <c r="BT108" i="25"/>
  <c r="BR108" i="25"/>
  <c r="BQ108" i="25"/>
  <c r="G108" i="25"/>
  <c r="DR107" i="25"/>
  <c r="DQ107" i="25"/>
  <c r="DP107" i="25"/>
  <c r="DO107" i="25"/>
  <c r="DN107" i="25"/>
  <c r="DM107" i="25"/>
  <c r="DL107" i="25"/>
  <c r="CP107" i="25" s="1"/>
  <c r="DK107" i="25"/>
  <c r="DJ107" i="25"/>
  <c r="DG107" i="25"/>
  <c r="DE107" i="25"/>
  <c r="DD107" i="25"/>
  <c r="DC107" i="25"/>
  <c r="CW107" i="25"/>
  <c r="CV107" i="25"/>
  <c r="CU107" i="25"/>
  <c r="DB107" i="25" s="1"/>
  <c r="CT107" i="25"/>
  <c r="CL107" i="25"/>
  <c r="CK107" i="25"/>
  <c r="CC107" i="25"/>
  <c r="CD107" i="25" s="1"/>
  <c r="BX107" i="25"/>
  <c r="BW107" i="25"/>
  <c r="BV107" i="25"/>
  <c r="BU107" i="25"/>
  <c r="BT107" i="25"/>
  <c r="BR107" i="25"/>
  <c r="BQ107" i="25"/>
  <c r="G107" i="25"/>
  <c r="DR106" i="25"/>
  <c r="DQ106" i="25"/>
  <c r="DP106" i="25"/>
  <c r="DO106" i="25"/>
  <c r="DN106" i="25"/>
  <c r="DM106" i="25"/>
  <c r="DL106" i="25"/>
  <c r="CQ106" i="25" s="1"/>
  <c r="CR106" i="25" s="1"/>
  <c r="DK106" i="25"/>
  <c r="DJ106" i="25"/>
  <c r="DG106" i="25"/>
  <c r="DE106" i="25"/>
  <c r="DF106" i="25" s="1"/>
  <c r="DD106" i="25"/>
  <c r="DC106" i="25"/>
  <c r="CW106" i="25"/>
  <c r="CV106" i="25"/>
  <c r="CU106" i="25"/>
  <c r="CT106" i="25"/>
  <c r="CL106" i="25"/>
  <c r="CK106" i="25"/>
  <c r="CC106" i="25"/>
  <c r="CD106" i="25" s="1"/>
  <c r="BX106" i="25"/>
  <c r="BW106" i="25"/>
  <c r="BV106" i="25"/>
  <c r="BU106" i="25"/>
  <c r="BT106" i="25"/>
  <c r="BR106" i="25"/>
  <c r="BQ106" i="25"/>
  <c r="G106" i="25"/>
  <c r="DR105" i="25"/>
  <c r="DQ105" i="25"/>
  <c r="DP105" i="25"/>
  <c r="DO105" i="25"/>
  <c r="DN105" i="25"/>
  <c r="DM105" i="25"/>
  <c r="DL105" i="25"/>
  <c r="CQ105" i="25" s="1"/>
  <c r="CR105" i="25" s="1"/>
  <c r="DK105" i="25"/>
  <c r="DJ105" i="25"/>
  <c r="DG105" i="25"/>
  <c r="DE105" i="25"/>
  <c r="DD105" i="25"/>
  <c r="DC105" i="25"/>
  <c r="CW105" i="25"/>
  <c r="CV105" i="25"/>
  <c r="CU105" i="25"/>
  <c r="CT105" i="25"/>
  <c r="CL105" i="25"/>
  <c r="CK105" i="25"/>
  <c r="CC105" i="25"/>
  <c r="BX105" i="25"/>
  <c r="BW105" i="25"/>
  <c r="BV105" i="25"/>
  <c r="BU105" i="25"/>
  <c r="BT105" i="25"/>
  <c r="BR105" i="25"/>
  <c r="BQ105" i="25"/>
  <c r="G105" i="25"/>
  <c r="DR104" i="25"/>
  <c r="DQ104" i="25"/>
  <c r="DP104" i="25"/>
  <c r="DO104" i="25"/>
  <c r="DN104" i="25"/>
  <c r="DM104" i="25"/>
  <c r="DL104" i="25"/>
  <c r="CO104" i="25" s="1"/>
  <c r="DK104" i="25"/>
  <c r="DJ104" i="25"/>
  <c r="DG104" i="25"/>
  <c r="DE104" i="25"/>
  <c r="DD104" i="25"/>
  <c r="DC104" i="25"/>
  <c r="CW104" i="25"/>
  <c r="CV104" i="25"/>
  <c r="CU104" i="25"/>
  <c r="DB104" i="25" s="1"/>
  <c r="CT104" i="25"/>
  <c r="CL104" i="25"/>
  <c r="CK104" i="25"/>
  <c r="CC104" i="25"/>
  <c r="CD104" i="25" s="1"/>
  <c r="BX104" i="25"/>
  <c r="BW104" i="25"/>
  <c r="BV104" i="25"/>
  <c r="BU104" i="25"/>
  <c r="BT104" i="25"/>
  <c r="BR104" i="25"/>
  <c r="BQ104" i="25"/>
  <c r="G104" i="25"/>
  <c r="DR103" i="25"/>
  <c r="DQ103" i="25"/>
  <c r="DP103" i="25"/>
  <c r="DO103" i="25"/>
  <c r="DN103" i="25"/>
  <c r="DM103" i="25"/>
  <c r="DL103" i="25"/>
  <c r="CP103" i="25" s="1"/>
  <c r="DK103" i="25"/>
  <c r="DJ103" i="25"/>
  <c r="DG103" i="25"/>
  <c r="DE103" i="25"/>
  <c r="DD103" i="25"/>
  <c r="DC103" i="25"/>
  <c r="CW103" i="25"/>
  <c r="CV103" i="25"/>
  <c r="CU103" i="25"/>
  <c r="DB103" i="25" s="1"/>
  <c r="CT103" i="25"/>
  <c r="CL103" i="25"/>
  <c r="CK103" i="25"/>
  <c r="CC103" i="25"/>
  <c r="BX103" i="25"/>
  <c r="BW103" i="25"/>
  <c r="BV103" i="25"/>
  <c r="BU103" i="25"/>
  <c r="BT103" i="25"/>
  <c r="BR103" i="25"/>
  <c r="BQ103" i="25"/>
  <c r="G103" i="25"/>
  <c r="DR102" i="25"/>
  <c r="DQ102" i="25"/>
  <c r="DP102" i="25"/>
  <c r="DO102" i="25"/>
  <c r="DN102" i="25"/>
  <c r="DM102" i="25"/>
  <c r="DL102" i="25"/>
  <c r="CQ102" i="25" s="1"/>
  <c r="CR102" i="25" s="1"/>
  <c r="DK102" i="25"/>
  <c r="DJ102" i="25"/>
  <c r="DG102" i="25"/>
  <c r="DE102" i="25"/>
  <c r="DF102" i="25" s="1"/>
  <c r="DD102" i="25"/>
  <c r="DC102" i="25"/>
  <c r="CW102" i="25"/>
  <c r="CV102" i="25"/>
  <c r="CU102" i="25"/>
  <c r="CT102" i="25"/>
  <c r="CL102" i="25"/>
  <c r="CK102" i="25"/>
  <c r="CC102" i="25"/>
  <c r="CD102" i="25" s="1"/>
  <c r="BX102" i="25"/>
  <c r="BW102" i="25"/>
  <c r="BV102" i="25"/>
  <c r="BU102" i="25"/>
  <c r="BT102" i="25"/>
  <c r="BR102" i="25"/>
  <c r="BQ102" i="25"/>
  <c r="G102" i="25"/>
  <c r="DR101" i="25"/>
  <c r="DQ101" i="25"/>
  <c r="DP101" i="25"/>
  <c r="DO101" i="25"/>
  <c r="DN101" i="25"/>
  <c r="DM101" i="25"/>
  <c r="DL101" i="25"/>
  <c r="CQ101" i="25" s="1"/>
  <c r="CR101" i="25" s="1"/>
  <c r="DK101" i="25"/>
  <c r="DJ101" i="25"/>
  <c r="DG101" i="25"/>
  <c r="DE101" i="25"/>
  <c r="DD101" i="25"/>
  <c r="DC101" i="25"/>
  <c r="CW101" i="25"/>
  <c r="CV101" i="25"/>
  <c r="CU101" i="25"/>
  <c r="CT101" i="25"/>
  <c r="CL101" i="25"/>
  <c r="CK101" i="25"/>
  <c r="CC101" i="25"/>
  <c r="BX101" i="25"/>
  <c r="BW101" i="25"/>
  <c r="BV101" i="25"/>
  <c r="BU101" i="25"/>
  <c r="BT101" i="25"/>
  <c r="BR101" i="25"/>
  <c r="BQ101" i="25"/>
  <c r="G101" i="25"/>
  <c r="DR100" i="25"/>
  <c r="DQ100" i="25"/>
  <c r="DP100" i="25"/>
  <c r="DO100" i="25"/>
  <c r="DN100" i="25"/>
  <c r="DM100" i="25"/>
  <c r="DL100" i="25"/>
  <c r="CO100" i="25" s="1"/>
  <c r="DK100" i="25"/>
  <c r="DJ100" i="25"/>
  <c r="DG100" i="25"/>
  <c r="DE100" i="25"/>
  <c r="DD100" i="25"/>
  <c r="DC100" i="25"/>
  <c r="CW100" i="25"/>
  <c r="CV100" i="25"/>
  <c r="CU100" i="25"/>
  <c r="DB100" i="25" s="1"/>
  <c r="CT100" i="25"/>
  <c r="CL100" i="25"/>
  <c r="CK100" i="25"/>
  <c r="CC100" i="25"/>
  <c r="CD100" i="25" s="1"/>
  <c r="BX100" i="25"/>
  <c r="BW100" i="25"/>
  <c r="BV100" i="25"/>
  <c r="BU100" i="25"/>
  <c r="BT100" i="25"/>
  <c r="BR100" i="25"/>
  <c r="BQ100" i="25"/>
  <c r="G100" i="25"/>
  <c r="DR99" i="25"/>
  <c r="DQ99" i="25"/>
  <c r="DP99" i="25"/>
  <c r="DO99" i="25"/>
  <c r="DN99" i="25"/>
  <c r="DM99" i="25"/>
  <c r="DL99" i="25"/>
  <c r="CP99" i="25" s="1"/>
  <c r="DK99" i="25"/>
  <c r="DJ99" i="25"/>
  <c r="DG99" i="25"/>
  <c r="DE99" i="25"/>
  <c r="DD99" i="25"/>
  <c r="DC99" i="25"/>
  <c r="CW99" i="25"/>
  <c r="CV99" i="25"/>
  <c r="CU99" i="25"/>
  <c r="DB99" i="25" s="1"/>
  <c r="CT99" i="25"/>
  <c r="CL99" i="25"/>
  <c r="CK99" i="25"/>
  <c r="CC99" i="25"/>
  <c r="BX99" i="25"/>
  <c r="BW99" i="25"/>
  <c r="BV99" i="25"/>
  <c r="BU99" i="25"/>
  <c r="BT99" i="25"/>
  <c r="BR99" i="25"/>
  <c r="BQ99" i="25"/>
  <c r="G99" i="25"/>
  <c r="DR98" i="25"/>
  <c r="DQ98" i="25"/>
  <c r="DP98" i="25"/>
  <c r="DO98" i="25"/>
  <c r="DN98" i="25"/>
  <c r="DM98" i="25"/>
  <c r="DL98" i="25"/>
  <c r="CQ98" i="25" s="1"/>
  <c r="CR98" i="25" s="1"/>
  <c r="DK98" i="25"/>
  <c r="DJ98" i="25"/>
  <c r="DG98" i="25"/>
  <c r="DE98" i="25"/>
  <c r="DF98" i="25" s="1"/>
  <c r="DD98" i="25"/>
  <c r="DC98" i="25"/>
  <c r="CW98" i="25"/>
  <c r="CV98" i="25"/>
  <c r="CU98" i="25"/>
  <c r="CT98" i="25"/>
  <c r="CL98" i="25"/>
  <c r="CK98" i="25"/>
  <c r="CC98" i="25"/>
  <c r="CD98" i="25" s="1"/>
  <c r="BX98" i="25"/>
  <c r="BW98" i="25"/>
  <c r="BV98" i="25"/>
  <c r="BU98" i="25"/>
  <c r="BT98" i="25"/>
  <c r="BR98" i="25"/>
  <c r="BQ98" i="25"/>
  <c r="G98" i="25"/>
  <c r="DR97" i="25"/>
  <c r="DQ97" i="25"/>
  <c r="DP97" i="25"/>
  <c r="DO97" i="25"/>
  <c r="DN97" i="25"/>
  <c r="DM97" i="25"/>
  <c r="DL97" i="25"/>
  <c r="CQ97" i="25" s="1"/>
  <c r="CR97" i="25" s="1"/>
  <c r="DK97" i="25"/>
  <c r="DJ97" i="25"/>
  <c r="DG97" i="25"/>
  <c r="DE97" i="25"/>
  <c r="DD97" i="25"/>
  <c r="DC97" i="25"/>
  <c r="CW97" i="25"/>
  <c r="CV97" i="25"/>
  <c r="CU97" i="25"/>
  <c r="CT97" i="25"/>
  <c r="CL97" i="25"/>
  <c r="CK97" i="25"/>
  <c r="CC97" i="25"/>
  <c r="BX97" i="25"/>
  <c r="BW97" i="25"/>
  <c r="BV97" i="25"/>
  <c r="BU97" i="25"/>
  <c r="BT97" i="25"/>
  <c r="BR97" i="25"/>
  <c r="BQ97" i="25"/>
  <c r="G97" i="25"/>
  <c r="DR96" i="25"/>
  <c r="DQ96" i="25"/>
  <c r="DP96" i="25"/>
  <c r="DO96" i="25"/>
  <c r="DN96" i="25"/>
  <c r="DM96" i="25"/>
  <c r="DL96" i="25"/>
  <c r="CO96" i="25" s="1"/>
  <c r="DK96" i="25"/>
  <c r="DJ96" i="25"/>
  <c r="DG96" i="25"/>
  <c r="DE96" i="25"/>
  <c r="DD96" i="25"/>
  <c r="DC96" i="25"/>
  <c r="CW96" i="25"/>
  <c r="CV96" i="25"/>
  <c r="CU96" i="25"/>
  <c r="DB96" i="25" s="1"/>
  <c r="CT96" i="25"/>
  <c r="CL96" i="25"/>
  <c r="CK96" i="25"/>
  <c r="CC96" i="25"/>
  <c r="CD96" i="25" s="1"/>
  <c r="BX96" i="25"/>
  <c r="BW96" i="25"/>
  <c r="BV96" i="25"/>
  <c r="BU96" i="25"/>
  <c r="BT96" i="25"/>
  <c r="BR96" i="25"/>
  <c r="BQ96" i="25"/>
  <c r="G96" i="25"/>
  <c r="DR95" i="25"/>
  <c r="DQ95" i="25"/>
  <c r="DP95" i="25"/>
  <c r="DO95" i="25"/>
  <c r="DN95" i="25"/>
  <c r="DM95" i="25"/>
  <c r="DL95" i="25"/>
  <c r="CP95" i="25" s="1"/>
  <c r="DK95" i="25"/>
  <c r="DJ95" i="25"/>
  <c r="DG95" i="25"/>
  <c r="DE95" i="25"/>
  <c r="DF95" i="25" s="1"/>
  <c r="DD95" i="25"/>
  <c r="DC95" i="25"/>
  <c r="CW95" i="25"/>
  <c r="CV95" i="25"/>
  <c r="CU95" i="25"/>
  <c r="DB95" i="25" s="1"/>
  <c r="CT95" i="25"/>
  <c r="CL95" i="25"/>
  <c r="CK95" i="25"/>
  <c r="CC95" i="25"/>
  <c r="CD95" i="25" s="1"/>
  <c r="BX95" i="25"/>
  <c r="BW95" i="25"/>
  <c r="BV95" i="25"/>
  <c r="BU95" i="25"/>
  <c r="BT95" i="25"/>
  <c r="BR95" i="25"/>
  <c r="BQ95" i="25"/>
  <c r="G95" i="25"/>
  <c r="DR94" i="25"/>
  <c r="DQ94" i="25"/>
  <c r="DP94" i="25"/>
  <c r="DO94" i="25"/>
  <c r="DN94" i="25"/>
  <c r="DM94" i="25"/>
  <c r="DL94" i="25"/>
  <c r="CQ94" i="25" s="1"/>
  <c r="CR94" i="25" s="1"/>
  <c r="DK94" i="25"/>
  <c r="DJ94" i="25"/>
  <c r="DG94" i="25"/>
  <c r="DE94" i="25"/>
  <c r="DD94" i="25"/>
  <c r="DC94" i="25"/>
  <c r="CW94" i="25"/>
  <c r="CV94" i="25"/>
  <c r="CU94" i="25"/>
  <c r="CT94" i="25"/>
  <c r="CL94" i="25"/>
  <c r="CK94" i="25"/>
  <c r="CC94" i="25"/>
  <c r="CD94" i="25" s="1"/>
  <c r="BX94" i="25"/>
  <c r="BW94" i="25"/>
  <c r="BV94" i="25"/>
  <c r="BU94" i="25"/>
  <c r="BT94" i="25"/>
  <c r="BR94" i="25"/>
  <c r="BQ94" i="25"/>
  <c r="G94" i="25"/>
  <c r="DR93" i="25"/>
  <c r="DQ93" i="25"/>
  <c r="DP93" i="25"/>
  <c r="DO93" i="25"/>
  <c r="DN93" i="25"/>
  <c r="DM93" i="25"/>
  <c r="DL93" i="25"/>
  <c r="CQ93" i="25" s="1"/>
  <c r="CR93" i="25" s="1"/>
  <c r="DK93" i="25"/>
  <c r="DJ93" i="25"/>
  <c r="DG93" i="25"/>
  <c r="DE93" i="25"/>
  <c r="DD93" i="25"/>
  <c r="DC93" i="25"/>
  <c r="CW93" i="25"/>
  <c r="CV93" i="25"/>
  <c r="CU93" i="25"/>
  <c r="CT93" i="25"/>
  <c r="CL93" i="25"/>
  <c r="CK93" i="25"/>
  <c r="CC93" i="25"/>
  <c r="BX93" i="25"/>
  <c r="BW93" i="25"/>
  <c r="BV93" i="25"/>
  <c r="BU93" i="25"/>
  <c r="BT93" i="25"/>
  <c r="BR93" i="25"/>
  <c r="BQ93" i="25"/>
  <c r="G93" i="25"/>
  <c r="DR92" i="25"/>
  <c r="DQ92" i="25"/>
  <c r="DP92" i="25"/>
  <c r="DO92" i="25"/>
  <c r="DN92" i="25"/>
  <c r="DM92" i="25"/>
  <c r="DL92" i="25"/>
  <c r="CO92" i="25" s="1"/>
  <c r="DK92" i="25"/>
  <c r="DJ92" i="25"/>
  <c r="DG92" i="25"/>
  <c r="DE92" i="25"/>
  <c r="DD92" i="25"/>
  <c r="DC92" i="25"/>
  <c r="CW92" i="25"/>
  <c r="CV92" i="25"/>
  <c r="CU92" i="25"/>
  <c r="DB92" i="25" s="1"/>
  <c r="CT92" i="25"/>
  <c r="CL92" i="25"/>
  <c r="CK92" i="25"/>
  <c r="CC92" i="25"/>
  <c r="CD92" i="25" s="1"/>
  <c r="BX92" i="25"/>
  <c r="BW92" i="25"/>
  <c r="BV92" i="25"/>
  <c r="BU92" i="25"/>
  <c r="BT92" i="25"/>
  <c r="BR92" i="25"/>
  <c r="BQ92" i="25"/>
  <c r="G92" i="25"/>
  <c r="DR91" i="25"/>
  <c r="DQ91" i="25"/>
  <c r="DP91" i="25"/>
  <c r="DO91" i="25"/>
  <c r="DN91" i="25"/>
  <c r="DM91" i="25"/>
  <c r="DL91" i="25"/>
  <c r="CQ91" i="25" s="1"/>
  <c r="CR91" i="25" s="1"/>
  <c r="DK91" i="25"/>
  <c r="DJ91" i="25"/>
  <c r="DG91" i="25"/>
  <c r="DE91" i="25"/>
  <c r="DF91" i="25" s="1"/>
  <c r="DD91" i="25"/>
  <c r="DC91" i="25"/>
  <c r="CW91" i="25"/>
  <c r="CV91" i="25"/>
  <c r="CU91" i="25"/>
  <c r="DB91" i="25" s="1"/>
  <c r="CT91" i="25"/>
  <c r="CL91" i="25"/>
  <c r="CK91" i="25"/>
  <c r="CC91" i="25"/>
  <c r="CD91" i="25" s="1"/>
  <c r="BX91" i="25"/>
  <c r="BW91" i="25"/>
  <c r="BV91" i="25"/>
  <c r="BU91" i="25"/>
  <c r="BT91" i="25"/>
  <c r="BR91" i="25"/>
  <c r="BQ91" i="25"/>
  <c r="G91" i="25"/>
  <c r="DR90" i="25"/>
  <c r="DQ90" i="25"/>
  <c r="DP90" i="25"/>
  <c r="DO90" i="25"/>
  <c r="DN90" i="25"/>
  <c r="DM90" i="25"/>
  <c r="DL90" i="25"/>
  <c r="CQ90" i="25" s="1"/>
  <c r="CR90" i="25" s="1"/>
  <c r="DK90" i="25"/>
  <c r="DJ90" i="25"/>
  <c r="DG90" i="25"/>
  <c r="DE90" i="25"/>
  <c r="DF90" i="25" s="1"/>
  <c r="DD90" i="25"/>
  <c r="DC90" i="25"/>
  <c r="CW90" i="25"/>
  <c r="CV90" i="25"/>
  <c r="CU90" i="25"/>
  <c r="CT90" i="25"/>
  <c r="CL90" i="25"/>
  <c r="CK90" i="25"/>
  <c r="CC90" i="25"/>
  <c r="CD90" i="25" s="1"/>
  <c r="BX90" i="25"/>
  <c r="BW90" i="25"/>
  <c r="BV90" i="25"/>
  <c r="BU90" i="25"/>
  <c r="BT90" i="25"/>
  <c r="BR90" i="25"/>
  <c r="BQ90" i="25"/>
  <c r="G90" i="25"/>
  <c r="DR89" i="25"/>
  <c r="DQ89" i="25"/>
  <c r="DP89" i="25"/>
  <c r="DO89" i="25"/>
  <c r="DN89" i="25"/>
  <c r="DM89" i="25"/>
  <c r="DL89" i="25"/>
  <c r="CQ89" i="25" s="1"/>
  <c r="CR89" i="25" s="1"/>
  <c r="DK89" i="25"/>
  <c r="DJ89" i="25"/>
  <c r="DG89" i="25"/>
  <c r="DE89" i="25"/>
  <c r="DD89" i="25"/>
  <c r="DC89" i="25"/>
  <c r="CW89" i="25"/>
  <c r="CV89" i="25"/>
  <c r="CU89" i="25"/>
  <c r="CT89" i="25"/>
  <c r="CL89" i="25"/>
  <c r="CK89" i="25"/>
  <c r="CC89" i="25"/>
  <c r="BX89" i="25"/>
  <c r="BW89" i="25"/>
  <c r="BV89" i="25"/>
  <c r="BU89" i="25"/>
  <c r="BT89" i="25"/>
  <c r="BR89" i="25"/>
  <c r="BQ89" i="25"/>
  <c r="G89" i="25"/>
  <c r="DR88" i="25"/>
  <c r="DQ88" i="25"/>
  <c r="DP88" i="25"/>
  <c r="DO88" i="25"/>
  <c r="DN88" i="25"/>
  <c r="DM88" i="25"/>
  <c r="DL88" i="25"/>
  <c r="CO88" i="25" s="1"/>
  <c r="DK88" i="25"/>
  <c r="DJ88" i="25"/>
  <c r="DG88" i="25"/>
  <c r="DE88" i="25"/>
  <c r="DF88" i="25" s="1"/>
  <c r="DD88" i="25"/>
  <c r="DC88" i="25"/>
  <c r="CW88" i="25"/>
  <c r="CV88" i="25"/>
  <c r="CU88" i="25"/>
  <c r="DB88" i="25" s="1"/>
  <c r="CT88" i="25"/>
  <c r="CL88" i="25"/>
  <c r="CK88" i="25"/>
  <c r="CC88" i="25"/>
  <c r="CD88" i="25" s="1"/>
  <c r="BX88" i="25"/>
  <c r="BW88" i="25"/>
  <c r="BV88" i="25"/>
  <c r="BU88" i="25"/>
  <c r="BT88" i="25"/>
  <c r="BR88" i="25"/>
  <c r="BQ88" i="25"/>
  <c r="G88" i="25"/>
  <c r="DR87" i="25"/>
  <c r="DQ87" i="25"/>
  <c r="DP87" i="25"/>
  <c r="DO87" i="25"/>
  <c r="DN87" i="25"/>
  <c r="DM87" i="25"/>
  <c r="DL87" i="25"/>
  <c r="CQ87" i="25" s="1"/>
  <c r="CR87" i="25" s="1"/>
  <c r="DK87" i="25"/>
  <c r="DJ87" i="25"/>
  <c r="DG87" i="25"/>
  <c r="DE87" i="25"/>
  <c r="DF87" i="25" s="1"/>
  <c r="DD87" i="25"/>
  <c r="DC87" i="25"/>
  <c r="CW87" i="25"/>
  <c r="CV87" i="25"/>
  <c r="CU87" i="25"/>
  <c r="DB87" i="25" s="1"/>
  <c r="CT87" i="25"/>
  <c r="CL87" i="25"/>
  <c r="CK87" i="25"/>
  <c r="CC87" i="25"/>
  <c r="CD87" i="25" s="1"/>
  <c r="BX87" i="25"/>
  <c r="BW87" i="25"/>
  <c r="BV87" i="25"/>
  <c r="BU87" i="25"/>
  <c r="BT87" i="25"/>
  <c r="BR87" i="25"/>
  <c r="BQ87" i="25"/>
  <c r="G87" i="25"/>
  <c r="DR86" i="25"/>
  <c r="DQ86" i="25"/>
  <c r="DP86" i="25"/>
  <c r="DO86" i="25"/>
  <c r="DN86" i="25"/>
  <c r="DM86" i="25"/>
  <c r="DL86" i="25"/>
  <c r="CQ86" i="25" s="1"/>
  <c r="CR86" i="25" s="1"/>
  <c r="DK86" i="25"/>
  <c r="DJ86" i="25"/>
  <c r="DG86" i="25"/>
  <c r="DE86" i="25"/>
  <c r="DD86" i="25"/>
  <c r="DC86" i="25"/>
  <c r="CW86" i="25"/>
  <c r="CV86" i="25"/>
  <c r="CU86" i="25"/>
  <c r="CT86" i="25"/>
  <c r="CL86" i="25"/>
  <c r="CK86" i="25"/>
  <c r="CC86" i="25"/>
  <c r="CD86" i="25" s="1"/>
  <c r="BX86" i="25"/>
  <c r="BW86" i="25"/>
  <c r="BV86" i="25"/>
  <c r="BU86" i="25"/>
  <c r="BT86" i="25"/>
  <c r="BR86" i="25"/>
  <c r="BQ86" i="25"/>
  <c r="G86" i="25"/>
  <c r="DR85" i="25"/>
  <c r="DQ85" i="25"/>
  <c r="DP85" i="25"/>
  <c r="DO85" i="25"/>
  <c r="DN85" i="25"/>
  <c r="DM85" i="25"/>
  <c r="DL85" i="25"/>
  <c r="CQ85" i="25" s="1"/>
  <c r="CR85" i="25" s="1"/>
  <c r="DK85" i="25"/>
  <c r="DJ85" i="25"/>
  <c r="DG85" i="25"/>
  <c r="DE85" i="25"/>
  <c r="DD85" i="25"/>
  <c r="DC85" i="25"/>
  <c r="CW85" i="25"/>
  <c r="CV85" i="25"/>
  <c r="CU85" i="25"/>
  <c r="DB85" i="25" s="1"/>
  <c r="CT85" i="25"/>
  <c r="CL85" i="25"/>
  <c r="CK85" i="25"/>
  <c r="CC85" i="25"/>
  <c r="BX85" i="25"/>
  <c r="BW85" i="25"/>
  <c r="BV85" i="25"/>
  <c r="BU85" i="25"/>
  <c r="BT85" i="25"/>
  <c r="BR85" i="25"/>
  <c r="BQ85" i="25"/>
  <c r="G85" i="25"/>
  <c r="DR84" i="25"/>
  <c r="DQ84" i="25"/>
  <c r="DP84" i="25"/>
  <c r="DO84" i="25"/>
  <c r="DN84" i="25"/>
  <c r="DM84" i="25"/>
  <c r="DL84" i="25"/>
  <c r="CO84" i="25" s="1"/>
  <c r="DK84" i="25"/>
  <c r="DJ84" i="25"/>
  <c r="DG84" i="25"/>
  <c r="DE84" i="25"/>
  <c r="DF84" i="25" s="1"/>
  <c r="DD84" i="25"/>
  <c r="DC84" i="25"/>
  <c r="CW84" i="25"/>
  <c r="CV84" i="25"/>
  <c r="CU84" i="25"/>
  <c r="DB84" i="25" s="1"/>
  <c r="CT84" i="25"/>
  <c r="CL84" i="25"/>
  <c r="CK84" i="25"/>
  <c r="CC84" i="25"/>
  <c r="CD84" i="25" s="1"/>
  <c r="BX84" i="25"/>
  <c r="BW84" i="25"/>
  <c r="BV84" i="25"/>
  <c r="BU84" i="25"/>
  <c r="BT84" i="25"/>
  <c r="BR84" i="25"/>
  <c r="BQ84" i="25"/>
  <c r="G84" i="25"/>
  <c r="DR83" i="25"/>
  <c r="DQ83" i="25"/>
  <c r="DP83" i="25"/>
  <c r="DO83" i="25"/>
  <c r="DN83" i="25"/>
  <c r="DM83" i="25"/>
  <c r="DL83" i="25"/>
  <c r="CP83" i="25" s="1"/>
  <c r="DK83" i="25"/>
  <c r="DJ83" i="25"/>
  <c r="DG83" i="25"/>
  <c r="DE83" i="25"/>
  <c r="DF83" i="25" s="1"/>
  <c r="DD83" i="25"/>
  <c r="DC83" i="25"/>
  <c r="CW83" i="25"/>
  <c r="CV83" i="25"/>
  <c r="CU83" i="25"/>
  <c r="DB83" i="25" s="1"/>
  <c r="CT83" i="25"/>
  <c r="CL83" i="25"/>
  <c r="CK83" i="25"/>
  <c r="CC83" i="25"/>
  <c r="CD83" i="25" s="1"/>
  <c r="BX83" i="25"/>
  <c r="BW83" i="25"/>
  <c r="BV83" i="25"/>
  <c r="BU83" i="25"/>
  <c r="BT83" i="25"/>
  <c r="BR83" i="25"/>
  <c r="BQ83" i="25"/>
  <c r="G83" i="25"/>
  <c r="DR82" i="25"/>
  <c r="DQ82" i="25"/>
  <c r="DP82" i="25"/>
  <c r="DO82" i="25"/>
  <c r="DN82" i="25"/>
  <c r="DM82" i="25"/>
  <c r="DL82" i="25"/>
  <c r="CQ82" i="25" s="1"/>
  <c r="CR82" i="25" s="1"/>
  <c r="DK82" i="25"/>
  <c r="DJ82" i="25"/>
  <c r="DG82" i="25"/>
  <c r="DE82" i="25"/>
  <c r="DF82" i="25" s="1"/>
  <c r="DD82" i="25"/>
  <c r="DC82" i="25"/>
  <c r="CW82" i="25"/>
  <c r="CV82" i="25"/>
  <c r="CU82" i="25"/>
  <c r="CT82" i="25"/>
  <c r="CL82" i="25"/>
  <c r="CK82" i="25"/>
  <c r="CC82" i="25"/>
  <c r="CD82" i="25" s="1"/>
  <c r="BX82" i="25"/>
  <c r="BW82" i="25"/>
  <c r="BV82" i="25"/>
  <c r="BU82" i="25"/>
  <c r="BT82" i="25"/>
  <c r="BR82" i="25"/>
  <c r="BQ82" i="25"/>
  <c r="G82" i="25"/>
  <c r="DR81" i="25"/>
  <c r="DQ81" i="25"/>
  <c r="DP81" i="25"/>
  <c r="DO81" i="25"/>
  <c r="DN81" i="25"/>
  <c r="DM81" i="25"/>
  <c r="DL81" i="25"/>
  <c r="CQ81" i="25" s="1"/>
  <c r="CR81" i="25" s="1"/>
  <c r="DK81" i="25"/>
  <c r="DJ81" i="25"/>
  <c r="DG81" i="25"/>
  <c r="DE81" i="25"/>
  <c r="DD81" i="25"/>
  <c r="DC81" i="25"/>
  <c r="CW81" i="25"/>
  <c r="CV81" i="25"/>
  <c r="CU81" i="25"/>
  <c r="DB81" i="25" s="1"/>
  <c r="CT81" i="25"/>
  <c r="CL81" i="25"/>
  <c r="CK81" i="25"/>
  <c r="CC81" i="25"/>
  <c r="BX81" i="25"/>
  <c r="BW81" i="25"/>
  <c r="BV81" i="25"/>
  <c r="BU81" i="25"/>
  <c r="BT81" i="25"/>
  <c r="BR81" i="25"/>
  <c r="BQ81" i="25"/>
  <c r="G81" i="25"/>
  <c r="DR80" i="25"/>
  <c r="DQ80" i="25"/>
  <c r="DP80" i="25"/>
  <c r="DO80" i="25"/>
  <c r="DN80" i="25"/>
  <c r="DM80" i="25"/>
  <c r="DL80" i="25"/>
  <c r="CO80" i="25" s="1"/>
  <c r="DK80" i="25"/>
  <c r="DJ80" i="25"/>
  <c r="DG80" i="25"/>
  <c r="DE80" i="25"/>
  <c r="DD80" i="25"/>
  <c r="DC80" i="25"/>
  <c r="CW80" i="25"/>
  <c r="CV80" i="25"/>
  <c r="CU80" i="25"/>
  <c r="DB80" i="25" s="1"/>
  <c r="CT80" i="25"/>
  <c r="CL80" i="25"/>
  <c r="CK80" i="25"/>
  <c r="CC80" i="25"/>
  <c r="CD80" i="25" s="1"/>
  <c r="BX80" i="25"/>
  <c r="BW80" i="25"/>
  <c r="BV80" i="25"/>
  <c r="BU80" i="25"/>
  <c r="BT80" i="25"/>
  <c r="BR80" i="25"/>
  <c r="BQ80" i="25"/>
  <c r="G80" i="25"/>
  <c r="DR79" i="25"/>
  <c r="DQ79" i="25"/>
  <c r="DP79" i="25"/>
  <c r="DO79" i="25"/>
  <c r="DN79" i="25"/>
  <c r="DM79" i="25"/>
  <c r="DL79" i="25"/>
  <c r="CO79" i="25" s="1"/>
  <c r="DK79" i="25"/>
  <c r="DJ79" i="25"/>
  <c r="DG79" i="25"/>
  <c r="DE79" i="25"/>
  <c r="DF79" i="25" s="1"/>
  <c r="DD79" i="25"/>
  <c r="DC79" i="25"/>
  <c r="CW79" i="25"/>
  <c r="CV79" i="25"/>
  <c r="CU79" i="25"/>
  <c r="DB79" i="25" s="1"/>
  <c r="CT79" i="25"/>
  <c r="CL79" i="25"/>
  <c r="CK79" i="25"/>
  <c r="CC79" i="25"/>
  <c r="CD79" i="25" s="1"/>
  <c r="BX79" i="25"/>
  <c r="BW79" i="25"/>
  <c r="BV79" i="25"/>
  <c r="BU79" i="25"/>
  <c r="BT79" i="25"/>
  <c r="BR79" i="25"/>
  <c r="BQ79" i="25"/>
  <c r="G79" i="25"/>
  <c r="DR78" i="25"/>
  <c r="DQ78" i="25"/>
  <c r="DP78" i="25"/>
  <c r="DO78" i="25"/>
  <c r="DN78" i="25"/>
  <c r="DM78" i="25"/>
  <c r="DL78" i="25"/>
  <c r="CQ78" i="25" s="1"/>
  <c r="CR78" i="25" s="1"/>
  <c r="DK78" i="25"/>
  <c r="DJ78" i="25"/>
  <c r="DG78" i="25"/>
  <c r="DE78" i="25"/>
  <c r="DF78" i="25" s="1"/>
  <c r="DD78" i="25"/>
  <c r="DC78" i="25"/>
  <c r="CW78" i="25"/>
  <c r="CV78" i="25"/>
  <c r="CU78" i="25"/>
  <c r="CT78" i="25"/>
  <c r="CL78" i="25"/>
  <c r="CK78" i="25"/>
  <c r="CC78" i="25"/>
  <c r="CD78" i="25" s="1"/>
  <c r="BX78" i="25"/>
  <c r="BW78" i="25"/>
  <c r="BV78" i="25"/>
  <c r="BU78" i="25"/>
  <c r="BT78" i="25"/>
  <c r="BR78" i="25"/>
  <c r="BQ78" i="25"/>
  <c r="G78" i="25"/>
  <c r="DR77" i="25"/>
  <c r="DQ77" i="25"/>
  <c r="DP77" i="25"/>
  <c r="DO77" i="25"/>
  <c r="DN77" i="25"/>
  <c r="DM77" i="25"/>
  <c r="DL77" i="25"/>
  <c r="CQ77" i="25" s="1"/>
  <c r="CR77" i="25" s="1"/>
  <c r="DK77" i="25"/>
  <c r="DJ77" i="25"/>
  <c r="DG77" i="25"/>
  <c r="DE77" i="25"/>
  <c r="DD77" i="25"/>
  <c r="DC77" i="25"/>
  <c r="CW77" i="25"/>
  <c r="CV77" i="25"/>
  <c r="CU77" i="25"/>
  <c r="DB77" i="25" s="1"/>
  <c r="CT77" i="25"/>
  <c r="CL77" i="25"/>
  <c r="CK77" i="25"/>
  <c r="CC77" i="25"/>
  <c r="BX77" i="25"/>
  <c r="BW77" i="25"/>
  <c r="BV77" i="25"/>
  <c r="BU77" i="25"/>
  <c r="BT77" i="25"/>
  <c r="BR77" i="25"/>
  <c r="BQ77" i="25"/>
  <c r="G77" i="25"/>
  <c r="DR76" i="25"/>
  <c r="DQ76" i="25"/>
  <c r="DP76" i="25"/>
  <c r="DO76" i="25"/>
  <c r="DN76" i="25"/>
  <c r="DM76" i="25"/>
  <c r="DL76" i="25"/>
  <c r="CO76" i="25" s="1"/>
  <c r="DK76" i="25"/>
  <c r="DJ76" i="25"/>
  <c r="DG76" i="25"/>
  <c r="DE76" i="25"/>
  <c r="DD76" i="25"/>
  <c r="DC76" i="25"/>
  <c r="CW76" i="25"/>
  <c r="CV76" i="25"/>
  <c r="CU76" i="25"/>
  <c r="DB76" i="25" s="1"/>
  <c r="CT76" i="25"/>
  <c r="CL76" i="25"/>
  <c r="CK76" i="25"/>
  <c r="CC76" i="25"/>
  <c r="CD76" i="25" s="1"/>
  <c r="BX76" i="25"/>
  <c r="BW76" i="25"/>
  <c r="BV76" i="25"/>
  <c r="BU76" i="25"/>
  <c r="BT76" i="25"/>
  <c r="BR76" i="25"/>
  <c r="BQ76" i="25"/>
  <c r="G76" i="25"/>
  <c r="DR75" i="25"/>
  <c r="DQ75" i="25"/>
  <c r="DP75" i="25"/>
  <c r="DO75" i="25"/>
  <c r="DN75" i="25"/>
  <c r="DM75" i="25"/>
  <c r="DL75" i="25"/>
  <c r="CQ75" i="25" s="1"/>
  <c r="CR75" i="25" s="1"/>
  <c r="DK75" i="25"/>
  <c r="DJ75" i="25"/>
  <c r="DG75" i="25"/>
  <c r="DE75" i="25"/>
  <c r="DF75" i="25" s="1"/>
  <c r="DD75" i="25"/>
  <c r="DC75" i="25"/>
  <c r="CW75" i="25"/>
  <c r="CV75" i="25"/>
  <c r="CU75" i="25"/>
  <c r="DB75" i="25" s="1"/>
  <c r="CT75" i="25"/>
  <c r="CL75" i="25"/>
  <c r="CK75" i="25"/>
  <c r="CC75" i="25"/>
  <c r="CD75" i="25" s="1"/>
  <c r="BX75" i="25"/>
  <c r="BW75" i="25"/>
  <c r="BV75" i="25"/>
  <c r="BU75" i="25"/>
  <c r="BT75" i="25"/>
  <c r="BR75" i="25"/>
  <c r="BQ75" i="25"/>
  <c r="G75" i="25"/>
  <c r="DR74" i="25"/>
  <c r="DQ74" i="25"/>
  <c r="DP74" i="25"/>
  <c r="DO74" i="25"/>
  <c r="DN74" i="25"/>
  <c r="DM74" i="25"/>
  <c r="DL74" i="25"/>
  <c r="CP74" i="25" s="1"/>
  <c r="DK74" i="25"/>
  <c r="DJ74" i="25"/>
  <c r="DG74" i="25"/>
  <c r="DE74" i="25"/>
  <c r="DD74" i="25"/>
  <c r="DC74" i="25"/>
  <c r="CW74" i="25"/>
  <c r="CV74" i="25"/>
  <c r="CU74" i="25"/>
  <c r="CT74" i="25"/>
  <c r="CL74" i="25"/>
  <c r="CK74" i="25"/>
  <c r="CC74" i="25"/>
  <c r="CD74" i="25" s="1"/>
  <c r="BX74" i="25"/>
  <c r="BW74" i="25"/>
  <c r="BV74" i="25"/>
  <c r="BU74" i="25"/>
  <c r="BT74" i="25"/>
  <c r="BR74" i="25"/>
  <c r="BQ74" i="25"/>
  <c r="G74" i="25"/>
  <c r="DR73" i="25"/>
  <c r="DQ73" i="25"/>
  <c r="DP73" i="25"/>
  <c r="DO73" i="25"/>
  <c r="DN73" i="25"/>
  <c r="DM73" i="25"/>
  <c r="DL73" i="25"/>
  <c r="CQ73" i="25" s="1"/>
  <c r="CR73" i="25" s="1"/>
  <c r="DK73" i="25"/>
  <c r="DJ73" i="25"/>
  <c r="DG73" i="25"/>
  <c r="DE73" i="25"/>
  <c r="DD73" i="25"/>
  <c r="DC73" i="25"/>
  <c r="CW73" i="25"/>
  <c r="CV73" i="25"/>
  <c r="CU73" i="25"/>
  <c r="CT73" i="25"/>
  <c r="CL73" i="25"/>
  <c r="CK73" i="25"/>
  <c r="CC73" i="25"/>
  <c r="BX73" i="25"/>
  <c r="BW73" i="25"/>
  <c r="BV73" i="25"/>
  <c r="BU73" i="25"/>
  <c r="BT73" i="25"/>
  <c r="BR73" i="25"/>
  <c r="BQ73" i="25"/>
  <c r="G73" i="25"/>
  <c r="DR72" i="25"/>
  <c r="DQ72" i="25"/>
  <c r="DP72" i="25"/>
  <c r="DO72" i="25"/>
  <c r="DN72" i="25"/>
  <c r="DM72" i="25"/>
  <c r="DL72" i="25"/>
  <c r="CO72" i="25" s="1"/>
  <c r="DK72" i="25"/>
  <c r="DJ72" i="25"/>
  <c r="DG72" i="25"/>
  <c r="DE72" i="25"/>
  <c r="DF72" i="25" s="1"/>
  <c r="DD72" i="25"/>
  <c r="DC72" i="25"/>
  <c r="CW72" i="25"/>
  <c r="CV72" i="25"/>
  <c r="CU72" i="25"/>
  <c r="DB72" i="25" s="1"/>
  <c r="CT72" i="25"/>
  <c r="CL72" i="25"/>
  <c r="CK72" i="25"/>
  <c r="CC72" i="25"/>
  <c r="CD72" i="25" s="1"/>
  <c r="BX72" i="25"/>
  <c r="BW72" i="25"/>
  <c r="BV72" i="25"/>
  <c r="BU72" i="25"/>
  <c r="BT72" i="25"/>
  <c r="BR72" i="25"/>
  <c r="BQ72" i="25"/>
  <c r="G72" i="25"/>
  <c r="DR71" i="25"/>
  <c r="DQ71" i="25"/>
  <c r="DP71" i="25"/>
  <c r="DO71" i="25"/>
  <c r="DN71" i="25"/>
  <c r="DM71" i="25"/>
  <c r="DL71" i="25"/>
  <c r="CQ71" i="25" s="1"/>
  <c r="CR71" i="25" s="1"/>
  <c r="DK71" i="25"/>
  <c r="DJ71" i="25"/>
  <c r="DG71" i="25"/>
  <c r="DE71" i="25"/>
  <c r="DF71" i="25" s="1"/>
  <c r="DD71" i="25"/>
  <c r="DC71" i="25"/>
  <c r="CW71" i="25"/>
  <c r="CV71" i="25"/>
  <c r="CU71" i="25"/>
  <c r="DB71" i="25" s="1"/>
  <c r="CT71" i="25"/>
  <c r="CL71" i="25"/>
  <c r="CK71" i="25"/>
  <c r="CC71" i="25"/>
  <c r="CD71" i="25" s="1"/>
  <c r="BX71" i="25"/>
  <c r="BW71" i="25"/>
  <c r="BV71" i="25"/>
  <c r="BU71" i="25"/>
  <c r="BT71" i="25"/>
  <c r="BR71" i="25"/>
  <c r="BQ71" i="25"/>
  <c r="G71" i="25"/>
  <c r="DR70" i="25"/>
  <c r="DQ70" i="25"/>
  <c r="DP70" i="25"/>
  <c r="DO70" i="25"/>
  <c r="DN70" i="25"/>
  <c r="DM70" i="25"/>
  <c r="DL70" i="25"/>
  <c r="CP70" i="25" s="1"/>
  <c r="DK70" i="25"/>
  <c r="DJ70" i="25"/>
  <c r="DG70" i="25"/>
  <c r="DE70" i="25"/>
  <c r="DD70" i="25"/>
  <c r="DC70" i="25"/>
  <c r="CW70" i="25"/>
  <c r="CV70" i="25"/>
  <c r="CU70" i="25"/>
  <c r="DB70" i="25" s="1"/>
  <c r="CT70" i="25"/>
  <c r="CL70" i="25"/>
  <c r="CK70" i="25"/>
  <c r="CC70" i="25"/>
  <c r="CD70" i="25" s="1"/>
  <c r="BX70" i="25"/>
  <c r="BW70" i="25"/>
  <c r="BV70" i="25"/>
  <c r="BU70" i="25"/>
  <c r="BT70" i="25"/>
  <c r="BR70" i="25"/>
  <c r="BQ70" i="25"/>
  <c r="G70" i="25"/>
  <c r="DR69" i="25"/>
  <c r="DQ69" i="25"/>
  <c r="DP69" i="25"/>
  <c r="DO69" i="25"/>
  <c r="DN69" i="25"/>
  <c r="DM69" i="25"/>
  <c r="DL69" i="25"/>
  <c r="CQ69" i="25" s="1"/>
  <c r="CR69" i="25" s="1"/>
  <c r="DK69" i="25"/>
  <c r="DJ69" i="25"/>
  <c r="DG69" i="25"/>
  <c r="DE69" i="25"/>
  <c r="DD69" i="25"/>
  <c r="DC69" i="25"/>
  <c r="CW69" i="25"/>
  <c r="CV69" i="25"/>
  <c r="CU69" i="25"/>
  <c r="DB69" i="25" s="1"/>
  <c r="CT69" i="25"/>
  <c r="CL69" i="25"/>
  <c r="CK69" i="25"/>
  <c r="CC69" i="25"/>
  <c r="CD69" i="25" s="1"/>
  <c r="BX69" i="25"/>
  <c r="BW69" i="25"/>
  <c r="BV69" i="25"/>
  <c r="BU69" i="25"/>
  <c r="BT69" i="25"/>
  <c r="BR69" i="25"/>
  <c r="BQ69" i="25"/>
  <c r="G69" i="25"/>
  <c r="DR68" i="25"/>
  <c r="DQ68" i="25"/>
  <c r="DP68" i="25"/>
  <c r="DO68" i="25"/>
  <c r="DN68" i="25"/>
  <c r="DM68" i="25"/>
  <c r="DL68" i="25"/>
  <c r="CO68" i="25" s="1"/>
  <c r="DK68" i="25"/>
  <c r="DJ68" i="25"/>
  <c r="DG68" i="25"/>
  <c r="DE68" i="25"/>
  <c r="DD68" i="25"/>
  <c r="DC68" i="25"/>
  <c r="CW68" i="25"/>
  <c r="CV68" i="25"/>
  <c r="CU68" i="25"/>
  <c r="DB68" i="25" s="1"/>
  <c r="CT68" i="25"/>
  <c r="CL68" i="25"/>
  <c r="CK68" i="25"/>
  <c r="CC68" i="25"/>
  <c r="CD68" i="25" s="1"/>
  <c r="BX68" i="25"/>
  <c r="BW68" i="25"/>
  <c r="BV68" i="25"/>
  <c r="BU68" i="25"/>
  <c r="BT68" i="25"/>
  <c r="BR68" i="25"/>
  <c r="BQ68" i="25"/>
  <c r="G68" i="25"/>
  <c r="DR67" i="25"/>
  <c r="DQ67" i="25"/>
  <c r="DP67" i="25"/>
  <c r="DO67" i="25"/>
  <c r="DN67" i="25"/>
  <c r="DM67" i="25"/>
  <c r="DL67" i="25"/>
  <c r="CP67" i="25" s="1"/>
  <c r="DK67" i="25"/>
  <c r="DJ67" i="25"/>
  <c r="DG67" i="25"/>
  <c r="DE67" i="25"/>
  <c r="DD67" i="25"/>
  <c r="DC67" i="25"/>
  <c r="CW67" i="25"/>
  <c r="CV67" i="25"/>
  <c r="CU67" i="25"/>
  <c r="DB67" i="25" s="1"/>
  <c r="CT67" i="25"/>
  <c r="CL67" i="25"/>
  <c r="CK67" i="25"/>
  <c r="CC67" i="25"/>
  <c r="CD67" i="25" s="1"/>
  <c r="BX67" i="25"/>
  <c r="BW67" i="25"/>
  <c r="BV67" i="25"/>
  <c r="BU67" i="25"/>
  <c r="BT67" i="25"/>
  <c r="BR67" i="25"/>
  <c r="BQ67" i="25"/>
  <c r="G67" i="25"/>
  <c r="DR66" i="25"/>
  <c r="DQ66" i="25"/>
  <c r="DP66" i="25"/>
  <c r="DO66" i="25"/>
  <c r="DN66" i="25"/>
  <c r="DM66" i="25"/>
  <c r="DL66" i="25"/>
  <c r="CQ66" i="25" s="1"/>
  <c r="CR66" i="25" s="1"/>
  <c r="DK66" i="25"/>
  <c r="DJ66" i="25"/>
  <c r="DG66" i="25"/>
  <c r="DE66" i="25"/>
  <c r="DF66" i="25" s="1"/>
  <c r="DD66" i="25"/>
  <c r="DC66" i="25"/>
  <c r="CW66" i="25"/>
  <c r="CV66" i="25"/>
  <c r="CU66" i="25"/>
  <c r="DB66" i="25" s="1"/>
  <c r="CT66" i="25"/>
  <c r="CL66" i="25"/>
  <c r="CK66" i="25"/>
  <c r="CC66" i="25"/>
  <c r="CD66" i="25" s="1"/>
  <c r="BX66" i="25"/>
  <c r="BW66" i="25"/>
  <c r="BV66" i="25"/>
  <c r="BU66" i="25"/>
  <c r="BT66" i="25"/>
  <c r="BR66" i="25"/>
  <c r="BQ66" i="25"/>
  <c r="G66" i="25"/>
  <c r="DR65" i="25"/>
  <c r="DQ65" i="25"/>
  <c r="DP65" i="25"/>
  <c r="DO65" i="25"/>
  <c r="DN65" i="25"/>
  <c r="DM65" i="25"/>
  <c r="DL65" i="25"/>
  <c r="CO65" i="25" s="1"/>
  <c r="DK65" i="25"/>
  <c r="DJ65" i="25"/>
  <c r="DG65" i="25"/>
  <c r="DE65" i="25"/>
  <c r="DD65" i="25"/>
  <c r="DC65" i="25"/>
  <c r="CW65" i="25"/>
  <c r="CV65" i="25"/>
  <c r="CU65" i="25"/>
  <c r="DB65" i="25" s="1"/>
  <c r="CT65" i="25"/>
  <c r="CL65" i="25"/>
  <c r="CK65" i="25"/>
  <c r="CC65" i="25"/>
  <c r="CD65" i="25" s="1"/>
  <c r="BX65" i="25"/>
  <c r="BW65" i="25"/>
  <c r="BV65" i="25"/>
  <c r="BU65" i="25"/>
  <c r="BT65" i="25"/>
  <c r="BR65" i="25"/>
  <c r="BQ65" i="25"/>
  <c r="G65" i="25"/>
  <c r="DR64" i="25"/>
  <c r="DQ64" i="25"/>
  <c r="DP64" i="25"/>
  <c r="DO64" i="25"/>
  <c r="DN64" i="25"/>
  <c r="DM64" i="25"/>
  <c r="DL64" i="25"/>
  <c r="CQ64" i="25" s="1"/>
  <c r="CR64" i="25" s="1"/>
  <c r="DK64" i="25"/>
  <c r="DJ64" i="25"/>
  <c r="DG64" i="25"/>
  <c r="DE64" i="25"/>
  <c r="DF64" i="25" s="1"/>
  <c r="DD64" i="25"/>
  <c r="DC64" i="25"/>
  <c r="CW64" i="25"/>
  <c r="CV64" i="25"/>
  <c r="CU64" i="25"/>
  <c r="DB64" i="25" s="1"/>
  <c r="CT64" i="25"/>
  <c r="CL64" i="25"/>
  <c r="CK64" i="25"/>
  <c r="CC64" i="25"/>
  <c r="CD64" i="25" s="1"/>
  <c r="BX64" i="25"/>
  <c r="BW64" i="25"/>
  <c r="BV64" i="25"/>
  <c r="BU64" i="25"/>
  <c r="BT64" i="25"/>
  <c r="BR64" i="25"/>
  <c r="BQ64" i="25"/>
  <c r="G64" i="25"/>
  <c r="DR63" i="25"/>
  <c r="DQ63" i="25"/>
  <c r="DP63" i="25"/>
  <c r="DO63" i="25"/>
  <c r="DN63" i="25"/>
  <c r="DM63" i="25"/>
  <c r="DL63" i="25"/>
  <c r="CQ63" i="25" s="1"/>
  <c r="CR63" i="25" s="1"/>
  <c r="DK63" i="25"/>
  <c r="DJ63" i="25"/>
  <c r="DG63" i="25"/>
  <c r="DE63" i="25"/>
  <c r="DF63" i="25" s="1"/>
  <c r="DD63" i="25"/>
  <c r="DC63" i="25"/>
  <c r="CW63" i="25"/>
  <c r="CV63" i="25"/>
  <c r="CU63" i="25"/>
  <c r="DB63" i="25" s="1"/>
  <c r="CT63" i="25"/>
  <c r="CL63" i="25"/>
  <c r="CK63" i="25"/>
  <c r="CC63" i="25"/>
  <c r="CD63" i="25" s="1"/>
  <c r="BX63" i="25"/>
  <c r="BW63" i="25"/>
  <c r="BV63" i="25"/>
  <c r="BU63" i="25"/>
  <c r="BT63" i="25"/>
  <c r="BR63" i="25"/>
  <c r="BQ63" i="25"/>
  <c r="G63" i="25"/>
  <c r="DR62" i="25"/>
  <c r="DQ62" i="25"/>
  <c r="DP62" i="25"/>
  <c r="DO62" i="25"/>
  <c r="DM62" i="25"/>
  <c r="DL62" i="25"/>
  <c r="CP62" i="25" s="1"/>
  <c r="DK62" i="25"/>
  <c r="DJ62" i="25"/>
  <c r="DG62" i="25"/>
  <c r="DE62" i="25"/>
  <c r="DF62" i="25" s="1"/>
  <c r="DD62" i="25"/>
  <c r="DC62" i="25"/>
  <c r="CW62" i="25"/>
  <c r="CV62" i="25"/>
  <c r="CU62" i="25"/>
  <c r="DB62" i="25" s="1"/>
  <c r="CT62" i="25"/>
  <c r="CL62" i="25"/>
  <c r="CK62" i="25"/>
  <c r="CC62" i="25"/>
  <c r="CD62" i="25" s="1"/>
  <c r="BX62" i="25"/>
  <c r="BW62" i="25"/>
  <c r="BV62" i="25"/>
  <c r="BU62" i="25"/>
  <c r="BT62" i="25"/>
  <c r="BR62" i="25"/>
  <c r="BQ62" i="25"/>
  <c r="G62" i="25"/>
  <c r="DR61" i="25"/>
  <c r="DQ61" i="25"/>
  <c r="DP61" i="25"/>
  <c r="DO61" i="25"/>
  <c r="DN61" i="25"/>
  <c r="DM61" i="25"/>
  <c r="DL61" i="25"/>
  <c r="DK61" i="25"/>
  <c r="DJ61" i="25"/>
  <c r="DG61" i="25"/>
  <c r="DE61" i="25"/>
  <c r="DD61" i="25"/>
  <c r="DC61" i="25"/>
  <c r="CW61" i="25"/>
  <c r="CV61" i="25"/>
  <c r="CU61" i="25"/>
  <c r="DB61" i="25" s="1"/>
  <c r="CT61" i="25"/>
  <c r="CL61" i="25"/>
  <c r="CK61" i="25"/>
  <c r="CC61" i="25"/>
  <c r="CD61" i="25" s="1"/>
  <c r="BX61" i="25"/>
  <c r="BW61" i="25"/>
  <c r="BV61" i="25"/>
  <c r="BU61" i="25"/>
  <c r="BT61" i="25"/>
  <c r="BR61" i="25"/>
  <c r="BQ61" i="25"/>
  <c r="G61" i="25"/>
  <c r="DR60" i="25"/>
  <c r="DQ60" i="25"/>
  <c r="DP60" i="25"/>
  <c r="DO60" i="25"/>
  <c r="DN60" i="25"/>
  <c r="DM60" i="25"/>
  <c r="DL60" i="25"/>
  <c r="CP60" i="25" s="1"/>
  <c r="DK60" i="25"/>
  <c r="DJ60" i="25"/>
  <c r="DG60" i="25"/>
  <c r="DE60" i="25"/>
  <c r="DD60" i="25"/>
  <c r="DC60" i="25"/>
  <c r="CW60" i="25"/>
  <c r="CV60" i="25"/>
  <c r="CU60" i="25"/>
  <c r="DB60" i="25" s="1"/>
  <c r="CT60" i="25"/>
  <c r="CL60" i="25"/>
  <c r="CK60" i="25"/>
  <c r="CC60" i="25"/>
  <c r="CD60" i="25" s="1"/>
  <c r="BX60" i="25"/>
  <c r="BW60" i="25"/>
  <c r="BV60" i="25"/>
  <c r="BU60" i="25"/>
  <c r="BT60" i="25"/>
  <c r="BR60" i="25"/>
  <c r="BQ60" i="25"/>
  <c r="G60" i="25"/>
  <c r="DR59" i="25"/>
  <c r="DQ59" i="25"/>
  <c r="DP59" i="25"/>
  <c r="DO59" i="25"/>
  <c r="DN59" i="25"/>
  <c r="DM59" i="25"/>
  <c r="DL59" i="25"/>
  <c r="CP59" i="25" s="1"/>
  <c r="DK59" i="25"/>
  <c r="DJ59" i="25"/>
  <c r="DG59" i="25"/>
  <c r="DE59" i="25"/>
  <c r="DD59" i="25"/>
  <c r="DC59" i="25"/>
  <c r="CW59" i="25"/>
  <c r="CV59" i="25"/>
  <c r="CU59" i="25"/>
  <c r="DB59" i="25" s="1"/>
  <c r="CT59" i="25"/>
  <c r="CL59" i="25"/>
  <c r="CK59" i="25"/>
  <c r="CC59" i="25"/>
  <c r="BX59" i="25"/>
  <c r="BW59" i="25"/>
  <c r="BV59" i="25"/>
  <c r="BU59" i="25"/>
  <c r="BT59" i="25"/>
  <c r="BR59" i="25"/>
  <c r="BQ59" i="25"/>
  <c r="G59" i="25"/>
  <c r="DR58" i="25"/>
  <c r="DQ58" i="25"/>
  <c r="DP58" i="25"/>
  <c r="DO58" i="25"/>
  <c r="DN58" i="25"/>
  <c r="DM58" i="25"/>
  <c r="DL58" i="25"/>
  <c r="CP58" i="25" s="1"/>
  <c r="DK58" i="25"/>
  <c r="DJ58" i="25"/>
  <c r="DG58" i="25"/>
  <c r="DE58" i="25"/>
  <c r="DF58" i="25" s="1"/>
  <c r="DD58" i="25"/>
  <c r="DC58" i="25"/>
  <c r="CW58" i="25"/>
  <c r="CV58" i="25"/>
  <c r="CU58" i="25"/>
  <c r="DB58" i="25" s="1"/>
  <c r="CT58" i="25"/>
  <c r="CL58" i="25"/>
  <c r="CK58" i="25"/>
  <c r="CC58" i="25"/>
  <c r="CD58" i="25" s="1"/>
  <c r="BX58" i="25"/>
  <c r="BW58" i="25"/>
  <c r="BV58" i="25"/>
  <c r="BU58" i="25"/>
  <c r="BT58" i="25"/>
  <c r="BR58" i="25"/>
  <c r="BQ58" i="25"/>
  <c r="G58" i="25"/>
  <c r="DR57" i="25"/>
  <c r="DQ57" i="25"/>
  <c r="DP57" i="25"/>
  <c r="DO57" i="25"/>
  <c r="DN57" i="25"/>
  <c r="DM57" i="25"/>
  <c r="DL57" i="25"/>
  <c r="DK57" i="25"/>
  <c r="DJ57" i="25"/>
  <c r="DG57" i="25"/>
  <c r="DE57" i="25"/>
  <c r="DD57" i="25"/>
  <c r="DC57" i="25"/>
  <c r="CW57" i="25"/>
  <c r="CV57" i="25"/>
  <c r="CU57" i="25"/>
  <c r="DB57" i="25" s="1"/>
  <c r="CT57" i="25"/>
  <c r="CL57" i="25"/>
  <c r="CK57" i="25"/>
  <c r="CC57" i="25"/>
  <c r="CD57" i="25" s="1"/>
  <c r="BX57" i="25"/>
  <c r="BW57" i="25"/>
  <c r="BV57" i="25"/>
  <c r="BU57" i="25"/>
  <c r="BT57" i="25"/>
  <c r="BR57" i="25"/>
  <c r="BQ57" i="25"/>
  <c r="G57" i="25"/>
  <c r="DR56" i="25"/>
  <c r="DQ56" i="25"/>
  <c r="DP56" i="25"/>
  <c r="DO56" i="25"/>
  <c r="DN56" i="25"/>
  <c r="DM56" i="25"/>
  <c r="DL56" i="25"/>
  <c r="CP56" i="25" s="1"/>
  <c r="DK56" i="25"/>
  <c r="DJ56" i="25"/>
  <c r="DG56" i="25"/>
  <c r="DE56" i="25"/>
  <c r="DD56" i="25"/>
  <c r="DC56" i="25"/>
  <c r="CW56" i="25"/>
  <c r="CV56" i="25"/>
  <c r="CU56" i="25"/>
  <c r="DB56" i="25" s="1"/>
  <c r="CT56" i="25"/>
  <c r="CL56" i="25"/>
  <c r="CK56" i="25"/>
  <c r="CC56" i="25"/>
  <c r="CD56" i="25" s="1"/>
  <c r="BX56" i="25"/>
  <c r="BW56" i="25"/>
  <c r="BV56" i="25"/>
  <c r="BU56" i="25"/>
  <c r="BT56" i="25"/>
  <c r="BR56" i="25"/>
  <c r="BQ56" i="25"/>
  <c r="G56" i="25"/>
  <c r="DR55" i="25"/>
  <c r="DQ55" i="25"/>
  <c r="DP55" i="25"/>
  <c r="DO55" i="25"/>
  <c r="DN55" i="25"/>
  <c r="DM55" i="25"/>
  <c r="DL55" i="25"/>
  <c r="CP55" i="25" s="1"/>
  <c r="DK55" i="25"/>
  <c r="DJ55" i="25"/>
  <c r="DG55" i="25"/>
  <c r="DE55" i="25"/>
  <c r="DD55" i="25"/>
  <c r="DC55" i="25"/>
  <c r="CW55" i="25"/>
  <c r="CV55" i="25"/>
  <c r="CU55" i="25"/>
  <c r="DB55" i="25" s="1"/>
  <c r="CT55" i="25"/>
  <c r="CL55" i="25"/>
  <c r="CK55" i="25"/>
  <c r="CC55" i="25"/>
  <c r="BX55" i="25"/>
  <c r="BW55" i="25"/>
  <c r="BV55" i="25"/>
  <c r="BU55" i="25"/>
  <c r="BT55" i="25"/>
  <c r="BR55" i="25"/>
  <c r="BQ55" i="25"/>
  <c r="G55" i="25"/>
  <c r="DR54" i="25"/>
  <c r="DQ54" i="25"/>
  <c r="DP54" i="25"/>
  <c r="DO54" i="25"/>
  <c r="DN54" i="25"/>
  <c r="DM54" i="25"/>
  <c r="DL54" i="25"/>
  <c r="CP54" i="25" s="1"/>
  <c r="DK54" i="25"/>
  <c r="DJ54" i="25"/>
  <c r="DG54" i="25"/>
  <c r="DE54" i="25"/>
  <c r="DF54" i="25" s="1"/>
  <c r="DD54" i="25"/>
  <c r="DC54" i="25"/>
  <c r="CW54" i="25"/>
  <c r="CV54" i="25"/>
  <c r="CU54" i="25"/>
  <c r="DB54" i="25" s="1"/>
  <c r="CT54" i="25"/>
  <c r="CL54" i="25"/>
  <c r="CK54" i="25"/>
  <c r="CC54" i="25"/>
  <c r="CD54" i="25" s="1"/>
  <c r="BX54" i="25"/>
  <c r="BW54" i="25"/>
  <c r="BV54" i="25"/>
  <c r="BU54" i="25"/>
  <c r="BT54" i="25"/>
  <c r="BR54" i="25"/>
  <c r="BQ54" i="25"/>
  <c r="G54" i="25"/>
  <c r="DR53" i="25"/>
  <c r="DQ53" i="25"/>
  <c r="DP53" i="25"/>
  <c r="DO53" i="25"/>
  <c r="DN53" i="25"/>
  <c r="DM53" i="25"/>
  <c r="DL53" i="25"/>
  <c r="DK53" i="25"/>
  <c r="DJ53" i="25"/>
  <c r="DG53" i="25"/>
  <c r="DE53" i="25"/>
  <c r="DD53" i="25"/>
  <c r="DC53" i="25"/>
  <c r="CW53" i="25"/>
  <c r="CV53" i="25"/>
  <c r="CU53" i="25"/>
  <c r="DB53" i="25" s="1"/>
  <c r="CT53" i="25"/>
  <c r="CL53" i="25"/>
  <c r="CK53" i="25"/>
  <c r="CC53" i="25"/>
  <c r="CD53" i="25" s="1"/>
  <c r="BX53" i="25"/>
  <c r="BW53" i="25"/>
  <c r="BV53" i="25"/>
  <c r="BU53" i="25"/>
  <c r="BT53" i="25"/>
  <c r="BR53" i="25"/>
  <c r="BQ53" i="25"/>
  <c r="G53" i="25"/>
  <c r="DR52" i="25"/>
  <c r="DQ52" i="25"/>
  <c r="DP52" i="25"/>
  <c r="DO52" i="25"/>
  <c r="DN52" i="25"/>
  <c r="DM52" i="25"/>
  <c r="DL52" i="25"/>
  <c r="CP52" i="25" s="1"/>
  <c r="DK52" i="25"/>
  <c r="DJ52" i="25"/>
  <c r="DG52" i="25"/>
  <c r="DE52" i="25"/>
  <c r="DD52" i="25"/>
  <c r="DC52" i="25"/>
  <c r="CW52" i="25"/>
  <c r="CV52" i="25"/>
  <c r="CU52" i="25"/>
  <c r="DB52" i="25" s="1"/>
  <c r="CT52" i="25"/>
  <c r="CL52" i="25"/>
  <c r="CK52" i="25"/>
  <c r="CC52" i="25"/>
  <c r="CD52" i="25" s="1"/>
  <c r="BX52" i="25"/>
  <c r="BW52" i="25"/>
  <c r="BV52" i="25"/>
  <c r="BU52" i="25"/>
  <c r="BT52" i="25"/>
  <c r="BR52" i="25"/>
  <c r="BQ52" i="25"/>
  <c r="G52" i="25"/>
  <c r="DR51" i="25"/>
  <c r="DQ51" i="25"/>
  <c r="DP51" i="25"/>
  <c r="DO51" i="25"/>
  <c r="DN51" i="25"/>
  <c r="DM51" i="25"/>
  <c r="DL51" i="25"/>
  <c r="CP51" i="25" s="1"/>
  <c r="DK51" i="25"/>
  <c r="DJ51" i="25"/>
  <c r="DG51" i="25"/>
  <c r="DE51" i="25"/>
  <c r="DD51" i="25"/>
  <c r="DC51" i="25"/>
  <c r="CW51" i="25"/>
  <c r="CV51" i="25"/>
  <c r="CU51" i="25"/>
  <c r="DB51" i="25" s="1"/>
  <c r="CT51" i="25"/>
  <c r="CL51" i="25"/>
  <c r="CK51" i="25"/>
  <c r="CC51" i="25"/>
  <c r="BX51" i="25"/>
  <c r="BW51" i="25"/>
  <c r="BV51" i="25"/>
  <c r="BU51" i="25"/>
  <c r="BT51" i="25"/>
  <c r="BR51" i="25"/>
  <c r="BQ51" i="25"/>
  <c r="G51" i="25"/>
  <c r="DR50" i="25"/>
  <c r="DQ50" i="25"/>
  <c r="DP50" i="25"/>
  <c r="DO50" i="25"/>
  <c r="DN50" i="25"/>
  <c r="DM50" i="25"/>
  <c r="DL50" i="25"/>
  <c r="CP50" i="25" s="1"/>
  <c r="DK50" i="25"/>
  <c r="DJ50" i="25"/>
  <c r="DG50" i="25"/>
  <c r="DE50" i="25"/>
  <c r="DF50" i="25" s="1"/>
  <c r="DD50" i="25"/>
  <c r="DC50" i="25"/>
  <c r="CW50" i="25"/>
  <c r="CV50" i="25"/>
  <c r="CU50" i="25"/>
  <c r="DB50" i="25" s="1"/>
  <c r="CT50" i="25"/>
  <c r="CL50" i="25"/>
  <c r="CK50" i="25"/>
  <c r="CC50" i="25"/>
  <c r="CD50" i="25" s="1"/>
  <c r="BX50" i="25"/>
  <c r="BW50" i="25"/>
  <c r="BV50" i="25"/>
  <c r="BU50" i="25"/>
  <c r="BT50" i="25"/>
  <c r="BR50" i="25"/>
  <c r="BQ50" i="25"/>
  <c r="G50" i="25"/>
  <c r="DR49" i="25"/>
  <c r="DQ49" i="25"/>
  <c r="DP49" i="25"/>
  <c r="DO49" i="25"/>
  <c r="DN49" i="25"/>
  <c r="DM49" i="25"/>
  <c r="DL49" i="25"/>
  <c r="DK49" i="25"/>
  <c r="DJ49" i="25"/>
  <c r="DG49" i="25"/>
  <c r="DE49" i="25"/>
  <c r="DD49" i="25"/>
  <c r="DC49" i="25"/>
  <c r="CW49" i="25"/>
  <c r="CV49" i="25"/>
  <c r="CU49" i="25"/>
  <c r="DB49" i="25" s="1"/>
  <c r="CT49" i="25"/>
  <c r="CL49" i="25"/>
  <c r="CK49" i="25"/>
  <c r="CC49" i="25"/>
  <c r="CD49" i="25" s="1"/>
  <c r="BX49" i="25"/>
  <c r="BW49" i="25"/>
  <c r="BV49" i="25"/>
  <c r="BU49" i="25"/>
  <c r="BT49" i="25"/>
  <c r="BR49" i="25"/>
  <c r="BQ49" i="25"/>
  <c r="G49" i="25"/>
  <c r="DR48" i="25"/>
  <c r="DQ48" i="25"/>
  <c r="DP48" i="25"/>
  <c r="DO48" i="25"/>
  <c r="DN48" i="25"/>
  <c r="DM48" i="25"/>
  <c r="DL48" i="25"/>
  <c r="CP48" i="25" s="1"/>
  <c r="DK48" i="25"/>
  <c r="DJ48" i="25"/>
  <c r="DG48" i="25"/>
  <c r="DE48" i="25"/>
  <c r="DD48" i="25"/>
  <c r="DC48" i="25"/>
  <c r="CW48" i="25"/>
  <c r="CV48" i="25"/>
  <c r="CU48" i="25"/>
  <c r="DB48" i="25" s="1"/>
  <c r="CT48" i="25"/>
  <c r="CL48" i="25"/>
  <c r="CK48" i="25"/>
  <c r="CC48" i="25"/>
  <c r="CD48" i="25" s="1"/>
  <c r="BX48" i="25"/>
  <c r="BW48" i="25"/>
  <c r="BV48" i="25"/>
  <c r="BU48" i="25"/>
  <c r="BT48" i="25"/>
  <c r="BR48" i="25"/>
  <c r="BQ48" i="25"/>
  <c r="G48" i="25"/>
  <c r="DR47" i="25"/>
  <c r="DQ47" i="25"/>
  <c r="DP47" i="25"/>
  <c r="DO47" i="25"/>
  <c r="DN47" i="25"/>
  <c r="DM47" i="25"/>
  <c r="DL47" i="25"/>
  <c r="CP47" i="25" s="1"/>
  <c r="DK47" i="25"/>
  <c r="DJ47" i="25"/>
  <c r="DG47" i="25"/>
  <c r="DE47" i="25"/>
  <c r="DD47" i="25"/>
  <c r="DC47" i="25"/>
  <c r="CW47" i="25"/>
  <c r="CV47" i="25"/>
  <c r="CU47" i="25"/>
  <c r="DB47" i="25" s="1"/>
  <c r="CT47" i="25"/>
  <c r="CL47" i="25"/>
  <c r="CK47" i="25"/>
  <c r="CC47" i="25"/>
  <c r="BX47" i="25"/>
  <c r="BW47" i="25"/>
  <c r="BV47" i="25"/>
  <c r="BU47" i="25"/>
  <c r="BT47" i="25"/>
  <c r="BR47" i="25"/>
  <c r="BQ47" i="25"/>
  <c r="G47" i="25"/>
  <c r="DR46" i="25"/>
  <c r="DQ46" i="25"/>
  <c r="DP46" i="25"/>
  <c r="DO46" i="25"/>
  <c r="DN46" i="25"/>
  <c r="DM46" i="25"/>
  <c r="DL46" i="25"/>
  <c r="CP46" i="25" s="1"/>
  <c r="DK46" i="25"/>
  <c r="DJ46" i="25"/>
  <c r="DG46" i="25"/>
  <c r="DE46" i="25"/>
  <c r="DF46" i="25" s="1"/>
  <c r="DD46" i="25"/>
  <c r="DC46" i="25"/>
  <c r="CW46" i="25"/>
  <c r="CV46" i="25"/>
  <c r="CU46" i="25"/>
  <c r="DB46" i="25" s="1"/>
  <c r="CT46" i="25"/>
  <c r="CL46" i="25"/>
  <c r="CK46" i="25"/>
  <c r="CC46" i="25"/>
  <c r="CD46" i="25" s="1"/>
  <c r="BX46" i="25"/>
  <c r="BW46" i="25"/>
  <c r="BV46" i="25"/>
  <c r="BU46" i="25"/>
  <c r="BT46" i="25"/>
  <c r="BR46" i="25"/>
  <c r="BQ46" i="25"/>
  <c r="G46" i="25"/>
  <c r="DR45" i="25"/>
  <c r="DQ45" i="25"/>
  <c r="DP45" i="25"/>
  <c r="DO45" i="25"/>
  <c r="DN45" i="25"/>
  <c r="DM45" i="25"/>
  <c r="DL45" i="25"/>
  <c r="CP45" i="25" s="1"/>
  <c r="DK45" i="25"/>
  <c r="DJ45" i="25"/>
  <c r="DG45" i="25"/>
  <c r="DE45" i="25"/>
  <c r="DD45" i="25"/>
  <c r="DC45" i="25"/>
  <c r="CW45" i="25"/>
  <c r="CV45" i="25"/>
  <c r="CU45" i="25"/>
  <c r="DB45" i="25" s="1"/>
  <c r="CT45" i="25"/>
  <c r="CL45" i="25"/>
  <c r="CK45" i="25"/>
  <c r="CC45" i="25"/>
  <c r="CD45" i="25" s="1"/>
  <c r="BX45" i="25"/>
  <c r="BW45" i="25"/>
  <c r="BV45" i="25"/>
  <c r="BU45" i="25"/>
  <c r="BT45" i="25"/>
  <c r="BR45" i="25"/>
  <c r="BQ45" i="25"/>
  <c r="G45" i="25"/>
  <c r="DR44" i="25"/>
  <c r="DQ44" i="25"/>
  <c r="DP44" i="25"/>
  <c r="DO44" i="25"/>
  <c r="DN44" i="25"/>
  <c r="DM44" i="25"/>
  <c r="DL44" i="25"/>
  <c r="CP44" i="25" s="1"/>
  <c r="DK44" i="25"/>
  <c r="DJ44" i="25"/>
  <c r="DG44" i="25"/>
  <c r="DE44" i="25"/>
  <c r="DD44" i="25"/>
  <c r="DC44" i="25"/>
  <c r="CW44" i="25"/>
  <c r="CV44" i="25"/>
  <c r="CU44" i="25"/>
  <c r="DB44" i="25" s="1"/>
  <c r="CT44" i="25"/>
  <c r="CL44" i="25"/>
  <c r="CK44" i="25"/>
  <c r="CC44" i="25"/>
  <c r="BX44" i="25"/>
  <c r="BW44" i="25"/>
  <c r="BV44" i="25"/>
  <c r="BU44" i="25"/>
  <c r="BT44" i="25"/>
  <c r="BR44" i="25"/>
  <c r="BQ44" i="25"/>
  <c r="G44" i="25"/>
  <c r="DR43" i="25"/>
  <c r="DQ43" i="25"/>
  <c r="DP43" i="25"/>
  <c r="DO43" i="25"/>
  <c r="DN43" i="25"/>
  <c r="DM43" i="25"/>
  <c r="DL43" i="25"/>
  <c r="CP43" i="25" s="1"/>
  <c r="DK43" i="25"/>
  <c r="DJ43" i="25"/>
  <c r="DG43" i="25"/>
  <c r="DE43" i="25"/>
  <c r="DF43" i="25" s="1"/>
  <c r="DD43" i="25"/>
  <c r="DC43" i="25"/>
  <c r="CW43" i="25"/>
  <c r="CV43" i="25"/>
  <c r="CU43" i="25"/>
  <c r="DB43" i="25" s="1"/>
  <c r="CT43" i="25"/>
  <c r="CL43" i="25"/>
  <c r="CK43" i="25"/>
  <c r="CC43" i="25"/>
  <c r="CD43" i="25" s="1"/>
  <c r="BX43" i="25"/>
  <c r="BW43" i="25"/>
  <c r="BV43" i="25"/>
  <c r="BU43" i="25"/>
  <c r="BT43" i="25"/>
  <c r="BR43" i="25"/>
  <c r="BQ43" i="25"/>
  <c r="G43" i="25"/>
  <c r="DR42" i="25"/>
  <c r="DQ42" i="25"/>
  <c r="DP42" i="25"/>
  <c r="DO42" i="25"/>
  <c r="DN42" i="25"/>
  <c r="DM42" i="25"/>
  <c r="DL42" i="25"/>
  <c r="DK42" i="25"/>
  <c r="DJ42" i="25"/>
  <c r="DG42" i="25"/>
  <c r="DE42" i="25"/>
  <c r="DD42" i="25"/>
  <c r="DC42" i="25"/>
  <c r="CW42" i="25"/>
  <c r="CV42" i="25"/>
  <c r="CU42" i="25"/>
  <c r="DB42" i="25" s="1"/>
  <c r="CT42" i="25"/>
  <c r="CL42" i="25"/>
  <c r="CK42" i="25"/>
  <c r="CC42" i="25"/>
  <c r="CD42" i="25" s="1"/>
  <c r="BX42" i="25"/>
  <c r="BW42" i="25"/>
  <c r="BV42" i="25"/>
  <c r="BU42" i="25"/>
  <c r="BT42" i="25"/>
  <c r="BR42" i="25"/>
  <c r="BQ42" i="25"/>
  <c r="G42" i="25"/>
  <c r="DR41" i="25"/>
  <c r="DQ41" i="25"/>
  <c r="DP41" i="25"/>
  <c r="DO41" i="25"/>
  <c r="DN41" i="25"/>
  <c r="DM41" i="25"/>
  <c r="DL41" i="25"/>
  <c r="CQ41" i="25" s="1"/>
  <c r="CR41" i="25" s="1"/>
  <c r="DK41" i="25"/>
  <c r="DJ41" i="25"/>
  <c r="DG41" i="25"/>
  <c r="DE41" i="25"/>
  <c r="DD41" i="25"/>
  <c r="DC41" i="25"/>
  <c r="CW41" i="25"/>
  <c r="CV41" i="25"/>
  <c r="CU41" i="25"/>
  <c r="DB41" i="25" s="1"/>
  <c r="CT41" i="25"/>
  <c r="CL41" i="25"/>
  <c r="CK41" i="25"/>
  <c r="CC41" i="25"/>
  <c r="CD41" i="25" s="1"/>
  <c r="BX41" i="25"/>
  <c r="BW41" i="25"/>
  <c r="BV41" i="25"/>
  <c r="BU41" i="25"/>
  <c r="BT41" i="25"/>
  <c r="BR41" i="25"/>
  <c r="BQ41" i="25"/>
  <c r="G41" i="25"/>
  <c r="DR40" i="25"/>
  <c r="DQ40" i="25"/>
  <c r="DP40" i="25"/>
  <c r="DO40" i="25"/>
  <c r="DN40" i="25"/>
  <c r="DM40" i="25"/>
  <c r="DL40" i="25"/>
  <c r="CP40" i="25" s="1"/>
  <c r="DK40" i="25"/>
  <c r="DJ40" i="25"/>
  <c r="DG40" i="25"/>
  <c r="DE40" i="25"/>
  <c r="DD40" i="25"/>
  <c r="DC40" i="25"/>
  <c r="CW40" i="25"/>
  <c r="CV40" i="25"/>
  <c r="CU40" i="25"/>
  <c r="DB40" i="25" s="1"/>
  <c r="CT40" i="25"/>
  <c r="CL40" i="25"/>
  <c r="CK40" i="25"/>
  <c r="CC40" i="25"/>
  <c r="CD40" i="25" s="1"/>
  <c r="BX40" i="25"/>
  <c r="BW40" i="25"/>
  <c r="BV40" i="25"/>
  <c r="BU40" i="25"/>
  <c r="BT40" i="25"/>
  <c r="BR40" i="25"/>
  <c r="BQ40" i="25"/>
  <c r="G40" i="25"/>
  <c r="DR39" i="25"/>
  <c r="DQ39" i="25"/>
  <c r="DP39" i="25"/>
  <c r="DO39" i="25"/>
  <c r="DN39" i="25"/>
  <c r="DM39" i="25"/>
  <c r="DL39" i="25"/>
  <c r="CP39" i="25" s="1"/>
  <c r="DK39" i="25"/>
  <c r="DJ39" i="25"/>
  <c r="DG39" i="25"/>
  <c r="DE39" i="25"/>
  <c r="DF39" i="25" s="1"/>
  <c r="DD39" i="25"/>
  <c r="DC39" i="25"/>
  <c r="CW39" i="25"/>
  <c r="CV39" i="25"/>
  <c r="CU39" i="25"/>
  <c r="DB39" i="25" s="1"/>
  <c r="CT39" i="25"/>
  <c r="CL39" i="25"/>
  <c r="CK39" i="25"/>
  <c r="CC39" i="25"/>
  <c r="CD39" i="25" s="1"/>
  <c r="BX39" i="25"/>
  <c r="BW39" i="25"/>
  <c r="BV39" i="25"/>
  <c r="BU39" i="25"/>
  <c r="BT39" i="25"/>
  <c r="BR39" i="25"/>
  <c r="BQ39" i="25"/>
  <c r="G39" i="25"/>
  <c r="DR38" i="25"/>
  <c r="DQ38" i="25"/>
  <c r="DP38" i="25"/>
  <c r="DO38" i="25"/>
  <c r="DN38" i="25"/>
  <c r="DM38" i="25"/>
  <c r="DL38" i="25"/>
  <c r="DK38" i="25"/>
  <c r="DJ38" i="25"/>
  <c r="DG38" i="25"/>
  <c r="DE38" i="25"/>
  <c r="DD38" i="25"/>
  <c r="DC38" i="25"/>
  <c r="CW38" i="25"/>
  <c r="CV38" i="25"/>
  <c r="CU38" i="25"/>
  <c r="DB38" i="25" s="1"/>
  <c r="CT38" i="25"/>
  <c r="CL38" i="25"/>
  <c r="CK38" i="25"/>
  <c r="CC38" i="25"/>
  <c r="CD38" i="25" s="1"/>
  <c r="BX38" i="25"/>
  <c r="BW38" i="25"/>
  <c r="BV38" i="25"/>
  <c r="BU38" i="25"/>
  <c r="BT38" i="25"/>
  <c r="BR38" i="25"/>
  <c r="BQ38" i="25"/>
  <c r="G38" i="25"/>
  <c r="DR37" i="25"/>
  <c r="DQ37" i="25"/>
  <c r="DP37" i="25"/>
  <c r="DO37" i="25"/>
  <c r="DN37" i="25"/>
  <c r="DM37" i="25"/>
  <c r="DL37" i="25"/>
  <c r="CQ37" i="25" s="1"/>
  <c r="CR37" i="25" s="1"/>
  <c r="DK37" i="25"/>
  <c r="DJ37" i="25"/>
  <c r="DG37" i="25"/>
  <c r="DF37" i="25"/>
  <c r="DD37" i="25"/>
  <c r="DC37" i="25"/>
  <c r="CW37" i="25"/>
  <c r="CV37" i="25"/>
  <c r="CU37" i="25"/>
  <c r="DB37" i="25" s="1"/>
  <c r="CT37" i="25"/>
  <c r="CL37" i="25"/>
  <c r="CK37" i="25"/>
  <c r="CC37" i="25"/>
  <c r="CD37" i="25" s="1"/>
  <c r="BX37" i="25"/>
  <c r="BW37" i="25"/>
  <c r="BV37" i="25"/>
  <c r="BU37" i="25"/>
  <c r="BT37" i="25"/>
  <c r="BR37" i="25"/>
  <c r="BQ37" i="25"/>
  <c r="G37" i="25"/>
  <c r="DR36" i="25"/>
  <c r="DQ36" i="25"/>
  <c r="DP36" i="25"/>
  <c r="DO36" i="25"/>
  <c r="DN36" i="25"/>
  <c r="DM36" i="25"/>
  <c r="DL36" i="25"/>
  <c r="CQ36" i="25" s="1"/>
  <c r="CR36" i="25" s="1"/>
  <c r="DK36" i="25"/>
  <c r="DJ36" i="25"/>
  <c r="DG36" i="25"/>
  <c r="DE36" i="25"/>
  <c r="DF36" i="25" s="1"/>
  <c r="DD36" i="25"/>
  <c r="DC36" i="25"/>
  <c r="CW36" i="25"/>
  <c r="CV36" i="25"/>
  <c r="CU36" i="25"/>
  <c r="DB36" i="25" s="1"/>
  <c r="CT36" i="25"/>
  <c r="CL36" i="25"/>
  <c r="CK36" i="25"/>
  <c r="CC36" i="25"/>
  <c r="CD36" i="25" s="1"/>
  <c r="BX36" i="25"/>
  <c r="BW36" i="25"/>
  <c r="BV36" i="25"/>
  <c r="BU36" i="25"/>
  <c r="BT36" i="25"/>
  <c r="BR36" i="25"/>
  <c r="BQ36" i="25"/>
  <c r="G36" i="25"/>
  <c r="DR35" i="25"/>
  <c r="DQ35" i="25"/>
  <c r="DP35" i="25"/>
  <c r="DO35" i="25"/>
  <c r="DN35" i="25"/>
  <c r="DM35" i="25"/>
  <c r="DL35" i="25"/>
  <c r="CQ35" i="25" s="1"/>
  <c r="CR35" i="25" s="1"/>
  <c r="DK35" i="25"/>
  <c r="DJ35" i="25"/>
  <c r="DG35" i="25"/>
  <c r="DE35" i="25"/>
  <c r="DF35" i="25" s="1"/>
  <c r="DD35" i="25"/>
  <c r="DC35" i="25"/>
  <c r="CW35" i="25"/>
  <c r="CV35" i="25"/>
  <c r="CU35" i="25"/>
  <c r="DB35" i="25" s="1"/>
  <c r="CT35" i="25"/>
  <c r="CL35" i="25"/>
  <c r="CK35" i="25"/>
  <c r="CC35" i="25"/>
  <c r="CD35" i="25" s="1"/>
  <c r="BX35" i="25"/>
  <c r="BW35" i="25"/>
  <c r="BV35" i="25"/>
  <c r="BU35" i="25"/>
  <c r="BT35" i="25"/>
  <c r="BR35" i="25"/>
  <c r="BQ35" i="25"/>
  <c r="G35" i="25"/>
  <c r="DR34" i="25"/>
  <c r="DQ34" i="25"/>
  <c r="DP34" i="25"/>
  <c r="DO34" i="25"/>
  <c r="DN34" i="25"/>
  <c r="DM34" i="25"/>
  <c r="DL34" i="25"/>
  <c r="DK34" i="25"/>
  <c r="DJ34" i="25"/>
  <c r="DG34" i="25"/>
  <c r="DE34" i="25"/>
  <c r="DD34" i="25"/>
  <c r="DC34" i="25"/>
  <c r="CW34" i="25"/>
  <c r="CV34" i="25"/>
  <c r="CU34" i="25"/>
  <c r="DB34" i="25" s="1"/>
  <c r="CT34" i="25"/>
  <c r="CL34" i="25"/>
  <c r="CK34" i="25"/>
  <c r="CC34" i="25"/>
  <c r="CD34" i="25" s="1"/>
  <c r="BX34" i="25"/>
  <c r="BW34" i="25"/>
  <c r="BV34" i="25"/>
  <c r="BU34" i="25"/>
  <c r="BT34" i="25"/>
  <c r="BR34" i="25"/>
  <c r="BQ34" i="25"/>
  <c r="G34" i="25"/>
  <c r="DR33" i="25"/>
  <c r="DQ33" i="25"/>
  <c r="DP33" i="25"/>
  <c r="DO33" i="25"/>
  <c r="DN33" i="25"/>
  <c r="DM33" i="25"/>
  <c r="DL33" i="25"/>
  <c r="CP33" i="25" s="1"/>
  <c r="DK33" i="25"/>
  <c r="DJ33" i="25"/>
  <c r="DG33" i="25"/>
  <c r="DE33" i="25"/>
  <c r="DF33" i="25" s="1"/>
  <c r="DD33" i="25"/>
  <c r="DC33" i="25"/>
  <c r="CW33" i="25"/>
  <c r="CV33" i="25"/>
  <c r="CU33" i="25"/>
  <c r="DB33" i="25" s="1"/>
  <c r="CT33" i="25"/>
  <c r="CL33" i="25"/>
  <c r="CK33" i="25"/>
  <c r="CC33" i="25"/>
  <c r="CD33" i="25" s="1"/>
  <c r="BX33" i="25"/>
  <c r="BW33" i="25"/>
  <c r="BV33" i="25"/>
  <c r="BU33" i="25"/>
  <c r="BT33" i="25"/>
  <c r="BR33" i="25"/>
  <c r="BQ33" i="25"/>
  <c r="G33" i="25"/>
  <c r="DR32" i="25"/>
  <c r="DQ32" i="25"/>
  <c r="DP32" i="25"/>
  <c r="DO32" i="25"/>
  <c r="DN32" i="25"/>
  <c r="DM32" i="25"/>
  <c r="DL32" i="25"/>
  <c r="DK32" i="25"/>
  <c r="DJ32" i="25"/>
  <c r="DG32" i="25"/>
  <c r="DE32" i="25"/>
  <c r="DF32" i="25" s="1"/>
  <c r="DD32" i="25"/>
  <c r="DC32" i="25"/>
  <c r="CW32" i="25"/>
  <c r="CV32" i="25"/>
  <c r="CU32" i="25"/>
  <c r="DB32" i="25" s="1"/>
  <c r="CT32" i="25"/>
  <c r="CL32" i="25"/>
  <c r="CK32" i="25"/>
  <c r="CC32" i="25"/>
  <c r="CD32" i="25" s="1"/>
  <c r="BX32" i="25"/>
  <c r="BW32" i="25"/>
  <c r="BV32" i="25"/>
  <c r="BU32" i="25"/>
  <c r="BT32" i="25"/>
  <c r="BR32" i="25"/>
  <c r="BQ32" i="25"/>
  <c r="G32" i="25"/>
  <c r="DR31" i="25"/>
  <c r="DQ31" i="25"/>
  <c r="DP31" i="25"/>
  <c r="DO31" i="25"/>
  <c r="DN31" i="25"/>
  <c r="DM31" i="25"/>
  <c r="DL31" i="25"/>
  <c r="DK31" i="25"/>
  <c r="DJ31" i="25"/>
  <c r="DG31" i="25"/>
  <c r="DE31" i="25"/>
  <c r="DF31" i="25" s="1"/>
  <c r="DD31" i="25"/>
  <c r="DC31" i="25"/>
  <c r="CW31" i="25"/>
  <c r="CV31" i="25"/>
  <c r="CU31" i="25"/>
  <c r="DB31" i="25" s="1"/>
  <c r="CT31" i="25"/>
  <c r="CL31" i="25"/>
  <c r="CK31" i="25"/>
  <c r="CC31" i="25"/>
  <c r="CD31" i="25" s="1"/>
  <c r="BX31" i="25"/>
  <c r="BW31" i="25"/>
  <c r="BV31" i="25"/>
  <c r="BU31" i="25"/>
  <c r="BT31" i="25"/>
  <c r="BR31" i="25"/>
  <c r="BQ31" i="25"/>
  <c r="G31" i="25"/>
  <c r="DR30" i="25"/>
  <c r="DQ30" i="25"/>
  <c r="DP30" i="25"/>
  <c r="DO30" i="25"/>
  <c r="DN30" i="25"/>
  <c r="DM30" i="25"/>
  <c r="DL30" i="25"/>
  <c r="DK30" i="25"/>
  <c r="DJ30" i="25"/>
  <c r="DG30" i="25"/>
  <c r="DE30" i="25"/>
  <c r="DD30" i="25"/>
  <c r="DC30" i="25"/>
  <c r="CW30" i="25"/>
  <c r="CV30" i="25"/>
  <c r="CU30" i="25"/>
  <c r="DB30" i="25" s="1"/>
  <c r="CT30" i="25"/>
  <c r="CL30" i="25"/>
  <c r="CK30" i="25"/>
  <c r="CC30" i="25"/>
  <c r="CD30" i="25" s="1"/>
  <c r="BX30" i="25"/>
  <c r="BW30" i="25"/>
  <c r="BV30" i="25"/>
  <c r="BU30" i="25"/>
  <c r="BT30" i="25"/>
  <c r="BR30" i="25"/>
  <c r="BQ30" i="25"/>
  <c r="G30" i="25"/>
  <c r="DR29" i="25"/>
  <c r="DQ29" i="25"/>
  <c r="DP29" i="25"/>
  <c r="DO29" i="25"/>
  <c r="DN29" i="25"/>
  <c r="DM29" i="25"/>
  <c r="DL29" i="25"/>
  <c r="CP29" i="25" s="1"/>
  <c r="DK29" i="25"/>
  <c r="DJ29" i="25"/>
  <c r="DG29" i="25"/>
  <c r="DE29" i="25"/>
  <c r="DD29" i="25"/>
  <c r="DC29" i="25"/>
  <c r="CW29" i="25"/>
  <c r="CV29" i="25"/>
  <c r="CU29" i="25"/>
  <c r="DB29" i="25" s="1"/>
  <c r="CT29" i="25"/>
  <c r="CL29" i="25"/>
  <c r="CK29" i="25"/>
  <c r="CC29" i="25"/>
  <c r="CD29" i="25" s="1"/>
  <c r="BX29" i="25"/>
  <c r="BW29" i="25"/>
  <c r="BV29" i="25"/>
  <c r="BU29" i="25"/>
  <c r="BT29" i="25"/>
  <c r="BR29" i="25"/>
  <c r="BQ29" i="25"/>
  <c r="G29" i="25"/>
  <c r="DR28" i="25"/>
  <c r="DQ28" i="25"/>
  <c r="DP28" i="25"/>
  <c r="DO28" i="25"/>
  <c r="DN28" i="25"/>
  <c r="DM28" i="25"/>
  <c r="DL28" i="25"/>
  <c r="CO28" i="25" s="1"/>
  <c r="DK28" i="25"/>
  <c r="DJ28" i="25"/>
  <c r="DG28" i="25"/>
  <c r="DE28" i="25"/>
  <c r="DD28" i="25"/>
  <c r="DC28" i="25"/>
  <c r="CW28" i="25"/>
  <c r="CV28" i="25"/>
  <c r="CU28" i="25"/>
  <c r="DB28" i="25" s="1"/>
  <c r="CT28" i="25"/>
  <c r="CL28" i="25"/>
  <c r="CK28" i="25"/>
  <c r="CC28" i="25"/>
  <c r="CD28" i="25" s="1"/>
  <c r="BX28" i="25"/>
  <c r="BW28" i="25"/>
  <c r="BV28" i="25"/>
  <c r="BU28" i="25"/>
  <c r="BT28" i="25"/>
  <c r="BR28" i="25"/>
  <c r="BQ28" i="25"/>
  <c r="G28" i="25"/>
  <c r="DR27" i="25"/>
  <c r="DQ27" i="25"/>
  <c r="DP27" i="25"/>
  <c r="DO27" i="25"/>
  <c r="DN27" i="25"/>
  <c r="DM27" i="25"/>
  <c r="DL27" i="25"/>
  <c r="DK27" i="25"/>
  <c r="DJ27" i="25"/>
  <c r="DG27" i="25"/>
  <c r="DE27" i="25"/>
  <c r="DF27" i="25" s="1"/>
  <c r="DD27" i="25"/>
  <c r="DC27" i="25"/>
  <c r="CW27" i="25"/>
  <c r="CV27" i="25"/>
  <c r="CU27" i="25"/>
  <c r="DB27" i="25" s="1"/>
  <c r="CT27" i="25"/>
  <c r="CL27" i="25"/>
  <c r="CK27" i="25"/>
  <c r="CC27" i="25"/>
  <c r="CD27" i="25" s="1"/>
  <c r="BX27" i="25"/>
  <c r="BW27" i="25"/>
  <c r="BV27" i="25"/>
  <c r="BU27" i="25"/>
  <c r="BT27" i="25"/>
  <c r="BR27" i="25"/>
  <c r="BQ27" i="25"/>
  <c r="G27" i="25"/>
  <c r="DR26" i="25"/>
  <c r="DQ26" i="25"/>
  <c r="DP26" i="25"/>
  <c r="DO26" i="25"/>
  <c r="DN26" i="25"/>
  <c r="DM26" i="25"/>
  <c r="DL26" i="25"/>
  <c r="DK26" i="25"/>
  <c r="DJ26" i="25"/>
  <c r="DG26" i="25"/>
  <c r="DE26" i="25"/>
  <c r="DF26" i="25" s="1"/>
  <c r="DD26" i="25"/>
  <c r="DC26" i="25"/>
  <c r="CW26" i="25"/>
  <c r="CV26" i="25"/>
  <c r="CU26" i="25"/>
  <c r="DB26" i="25" s="1"/>
  <c r="CT26" i="25"/>
  <c r="CL26" i="25"/>
  <c r="CK26" i="25"/>
  <c r="CC26" i="25"/>
  <c r="CD26" i="25" s="1"/>
  <c r="BX26" i="25"/>
  <c r="BW26" i="25"/>
  <c r="BV26" i="25"/>
  <c r="BU26" i="25"/>
  <c r="BT26" i="25"/>
  <c r="BR26" i="25"/>
  <c r="BQ26" i="25"/>
  <c r="G26" i="25"/>
  <c r="DR25" i="25"/>
  <c r="DQ25" i="25"/>
  <c r="DP25" i="25"/>
  <c r="DO25" i="25"/>
  <c r="DN25" i="25"/>
  <c r="DM25" i="25"/>
  <c r="DL25" i="25"/>
  <c r="CO25" i="25" s="1"/>
  <c r="DK25" i="25"/>
  <c r="DJ25" i="25"/>
  <c r="DG25" i="25"/>
  <c r="DE25" i="25"/>
  <c r="DD25" i="25"/>
  <c r="DC25" i="25"/>
  <c r="CW25" i="25"/>
  <c r="CV25" i="25"/>
  <c r="CU25" i="25"/>
  <c r="DB25" i="25" s="1"/>
  <c r="CT25" i="25"/>
  <c r="CL25" i="25"/>
  <c r="CK25" i="25"/>
  <c r="CC25" i="25"/>
  <c r="CD25" i="25" s="1"/>
  <c r="BX25" i="25"/>
  <c r="BW25" i="25"/>
  <c r="BV25" i="25"/>
  <c r="BU25" i="25"/>
  <c r="BT25" i="25"/>
  <c r="BR25" i="25"/>
  <c r="BQ25" i="25"/>
  <c r="G25" i="25"/>
  <c r="DR24" i="25"/>
  <c r="DQ24" i="25"/>
  <c r="DP24" i="25"/>
  <c r="DO24" i="25"/>
  <c r="DN24" i="25"/>
  <c r="DM24" i="25"/>
  <c r="DL24" i="25"/>
  <c r="CQ24" i="25" s="1"/>
  <c r="CR24" i="25" s="1"/>
  <c r="DK24" i="25"/>
  <c r="DJ24" i="25"/>
  <c r="DG24" i="25"/>
  <c r="DE24" i="25"/>
  <c r="DD24" i="25"/>
  <c r="DC24" i="25"/>
  <c r="CW24" i="25"/>
  <c r="CV24" i="25"/>
  <c r="CU24" i="25"/>
  <c r="DB24" i="25" s="1"/>
  <c r="CT24" i="25"/>
  <c r="CL24" i="25"/>
  <c r="CK24" i="25"/>
  <c r="CC24" i="25"/>
  <c r="CD24" i="25" s="1"/>
  <c r="BX24" i="25"/>
  <c r="BW24" i="25"/>
  <c r="BV24" i="25"/>
  <c r="BU24" i="25"/>
  <c r="BT24" i="25"/>
  <c r="BR24" i="25"/>
  <c r="BQ24" i="25"/>
  <c r="G24" i="25"/>
  <c r="DR23" i="25"/>
  <c r="DQ23" i="25"/>
  <c r="DP23" i="25"/>
  <c r="DO23" i="25"/>
  <c r="DN23" i="25"/>
  <c r="DM23" i="25"/>
  <c r="DL23" i="25"/>
  <c r="CO23" i="25" s="1"/>
  <c r="DK23" i="25"/>
  <c r="DJ23" i="25"/>
  <c r="DG23" i="25"/>
  <c r="DE23" i="25"/>
  <c r="DF23" i="25" s="1"/>
  <c r="DD23" i="25"/>
  <c r="DC23" i="25"/>
  <c r="CW23" i="25"/>
  <c r="CV23" i="25"/>
  <c r="CU23" i="25"/>
  <c r="DB23" i="25" s="1"/>
  <c r="CT23" i="25"/>
  <c r="CL23" i="25"/>
  <c r="CK23" i="25"/>
  <c r="CC23" i="25"/>
  <c r="CD23" i="25" s="1"/>
  <c r="BX23" i="25"/>
  <c r="BW23" i="25"/>
  <c r="BV23" i="25"/>
  <c r="BU23" i="25"/>
  <c r="BT23" i="25"/>
  <c r="BR23" i="25"/>
  <c r="BQ23" i="25"/>
  <c r="G23" i="25"/>
  <c r="DR22" i="25"/>
  <c r="DQ22" i="25"/>
  <c r="DP22" i="25"/>
  <c r="DO22" i="25"/>
  <c r="DN22" i="25"/>
  <c r="DM22" i="25"/>
  <c r="DL22" i="25"/>
  <c r="DK22" i="25"/>
  <c r="DJ22" i="25"/>
  <c r="DG22" i="25"/>
  <c r="DE22" i="25"/>
  <c r="DF22" i="25" s="1"/>
  <c r="DD22" i="25"/>
  <c r="DC22" i="25"/>
  <c r="CW22" i="25"/>
  <c r="CV22" i="25"/>
  <c r="CU22" i="25"/>
  <c r="DB22" i="25" s="1"/>
  <c r="CT22" i="25"/>
  <c r="CL22" i="25"/>
  <c r="CK22" i="25"/>
  <c r="CC22" i="25"/>
  <c r="CD22" i="25" s="1"/>
  <c r="BX22" i="25"/>
  <c r="BW22" i="25"/>
  <c r="BV22" i="25"/>
  <c r="BU22" i="25"/>
  <c r="BT22" i="25"/>
  <c r="BR22" i="25"/>
  <c r="BQ22" i="25"/>
  <c r="G22" i="25"/>
  <c r="DR21" i="25"/>
  <c r="DQ21" i="25"/>
  <c r="DP21" i="25"/>
  <c r="DO21" i="25"/>
  <c r="DN21" i="25"/>
  <c r="DM21" i="25"/>
  <c r="DL21" i="25"/>
  <c r="CO21" i="25" s="1"/>
  <c r="DK21" i="25"/>
  <c r="DJ21" i="25"/>
  <c r="DG21" i="25"/>
  <c r="DE21" i="25"/>
  <c r="DD21" i="25"/>
  <c r="DC21" i="25"/>
  <c r="CW21" i="25"/>
  <c r="CV21" i="25"/>
  <c r="CU21" i="25"/>
  <c r="DB21" i="25" s="1"/>
  <c r="CT21" i="25"/>
  <c r="CL21" i="25"/>
  <c r="CK21" i="25"/>
  <c r="CC21" i="25"/>
  <c r="CD21" i="25" s="1"/>
  <c r="BX21" i="25"/>
  <c r="BW21" i="25"/>
  <c r="BV21" i="25"/>
  <c r="BU21" i="25"/>
  <c r="BT21" i="25"/>
  <c r="BR21" i="25"/>
  <c r="BQ21" i="25"/>
  <c r="G21" i="25"/>
  <c r="DR20" i="25"/>
  <c r="DQ20" i="25"/>
  <c r="DP20" i="25"/>
  <c r="DO20" i="25"/>
  <c r="DN20" i="25"/>
  <c r="DM20" i="25"/>
  <c r="DL20" i="25"/>
  <c r="CQ20" i="25" s="1"/>
  <c r="CR20" i="25" s="1"/>
  <c r="DK20" i="25"/>
  <c r="DJ20" i="25"/>
  <c r="DG20" i="25"/>
  <c r="DE20" i="25"/>
  <c r="DD20" i="25"/>
  <c r="DC20" i="25"/>
  <c r="CW20" i="25"/>
  <c r="CV20" i="25"/>
  <c r="CU20" i="25"/>
  <c r="DB20" i="25" s="1"/>
  <c r="CT20" i="25"/>
  <c r="CL20" i="25"/>
  <c r="CK20" i="25"/>
  <c r="CC20" i="25"/>
  <c r="CD20" i="25" s="1"/>
  <c r="BX20" i="25"/>
  <c r="BW20" i="25"/>
  <c r="BV20" i="25"/>
  <c r="BU20" i="25"/>
  <c r="BT20" i="25"/>
  <c r="BR20" i="25"/>
  <c r="BQ20" i="25"/>
  <c r="G20" i="25"/>
  <c r="DR19" i="25"/>
  <c r="DQ19" i="25"/>
  <c r="DP19" i="25"/>
  <c r="DO19" i="25"/>
  <c r="DN19" i="25"/>
  <c r="DM19" i="25"/>
  <c r="DL19" i="25"/>
  <c r="CQ19" i="25" s="1"/>
  <c r="CR19" i="25" s="1"/>
  <c r="DK19" i="25"/>
  <c r="DJ19" i="25"/>
  <c r="DG19" i="25"/>
  <c r="DE19" i="25"/>
  <c r="DF19" i="25" s="1"/>
  <c r="DD19" i="25"/>
  <c r="DC19" i="25"/>
  <c r="CW19" i="25"/>
  <c r="CV19" i="25"/>
  <c r="CU19" i="25"/>
  <c r="DB19" i="25" s="1"/>
  <c r="CT19" i="25"/>
  <c r="CL19" i="25"/>
  <c r="CK19" i="25"/>
  <c r="CC19" i="25"/>
  <c r="CD19" i="25" s="1"/>
  <c r="BX19" i="25"/>
  <c r="BW19" i="25"/>
  <c r="BV19" i="25"/>
  <c r="BU19" i="25"/>
  <c r="BT19" i="25"/>
  <c r="BR19" i="25"/>
  <c r="BQ19" i="25"/>
  <c r="G19" i="25"/>
  <c r="DR18" i="25"/>
  <c r="DQ18" i="25"/>
  <c r="DP18" i="25"/>
  <c r="DO18" i="25"/>
  <c r="DN18" i="25"/>
  <c r="DM18" i="25"/>
  <c r="DL18" i="25"/>
  <c r="CP18" i="25" s="1"/>
  <c r="DK18" i="25"/>
  <c r="DJ18" i="25"/>
  <c r="DG18" i="25"/>
  <c r="DE18" i="25"/>
  <c r="DD18" i="25"/>
  <c r="DC18" i="25"/>
  <c r="CW18" i="25"/>
  <c r="CV18" i="25"/>
  <c r="CU18" i="25"/>
  <c r="DB18" i="25" s="1"/>
  <c r="CT18" i="25"/>
  <c r="CL18" i="25"/>
  <c r="CK18" i="25"/>
  <c r="CC18" i="25"/>
  <c r="CD18" i="25" s="1"/>
  <c r="BX18" i="25"/>
  <c r="BW18" i="25"/>
  <c r="BV18" i="25"/>
  <c r="BU18" i="25"/>
  <c r="BT18" i="25"/>
  <c r="BR18" i="25"/>
  <c r="BQ18" i="25"/>
  <c r="G18" i="25"/>
  <c r="DR17" i="25"/>
  <c r="DQ17" i="25"/>
  <c r="DP17" i="25"/>
  <c r="DO17" i="25"/>
  <c r="DN17" i="25"/>
  <c r="DM17" i="25"/>
  <c r="DL17" i="25"/>
  <c r="CO17" i="25" s="1"/>
  <c r="DK17" i="25"/>
  <c r="DJ17" i="25"/>
  <c r="DG17" i="25"/>
  <c r="DE17" i="25"/>
  <c r="DF17" i="25" s="1"/>
  <c r="DD17" i="25"/>
  <c r="DC17" i="25"/>
  <c r="CW17" i="25"/>
  <c r="CV17" i="25"/>
  <c r="CU17" i="25"/>
  <c r="DB17" i="25" s="1"/>
  <c r="CT17" i="25"/>
  <c r="CL17" i="25"/>
  <c r="CK17" i="25"/>
  <c r="CC17" i="25"/>
  <c r="CD17" i="25" s="1"/>
  <c r="BX17" i="25"/>
  <c r="BW17" i="25"/>
  <c r="BV17" i="25"/>
  <c r="BU17" i="25"/>
  <c r="BT17" i="25"/>
  <c r="BR17" i="25"/>
  <c r="BQ17" i="25"/>
  <c r="G17" i="25"/>
  <c r="DR16" i="25"/>
  <c r="DQ16" i="25"/>
  <c r="DP16" i="25"/>
  <c r="DO16" i="25"/>
  <c r="DN16" i="25"/>
  <c r="DM16" i="25"/>
  <c r="DL16" i="25"/>
  <c r="CP16" i="25" s="1"/>
  <c r="DK16" i="25"/>
  <c r="DJ16" i="25"/>
  <c r="DG16" i="25"/>
  <c r="DE16" i="25"/>
  <c r="DF16" i="25" s="1"/>
  <c r="DD16" i="25"/>
  <c r="DC16" i="25"/>
  <c r="CW16" i="25"/>
  <c r="CV16" i="25"/>
  <c r="CU16" i="25"/>
  <c r="DB16" i="25" s="1"/>
  <c r="CT16" i="25"/>
  <c r="CL16" i="25"/>
  <c r="CK16" i="25"/>
  <c r="CC16" i="25"/>
  <c r="CD16" i="25" s="1"/>
  <c r="BX16" i="25"/>
  <c r="BW16" i="25"/>
  <c r="BV16" i="25"/>
  <c r="BU16" i="25"/>
  <c r="BT16" i="25"/>
  <c r="BR16" i="25"/>
  <c r="BQ16" i="25"/>
  <c r="G16" i="25"/>
  <c r="DR15" i="25"/>
  <c r="DQ15" i="25"/>
  <c r="DP15" i="25"/>
  <c r="DO15" i="25"/>
  <c r="DN15" i="25"/>
  <c r="DM15" i="25"/>
  <c r="DL15" i="25"/>
  <c r="CQ15" i="25" s="1"/>
  <c r="CR15" i="25" s="1"/>
  <c r="DK15" i="25"/>
  <c r="DJ15" i="25"/>
  <c r="DG15" i="25"/>
  <c r="DE15" i="25"/>
  <c r="DF15" i="25" s="1"/>
  <c r="DD15" i="25"/>
  <c r="DC15" i="25"/>
  <c r="CW15" i="25"/>
  <c r="CV15" i="25"/>
  <c r="CU15" i="25"/>
  <c r="DB15" i="25" s="1"/>
  <c r="CT15" i="25"/>
  <c r="CL15" i="25"/>
  <c r="CK15" i="25"/>
  <c r="CC15" i="25"/>
  <c r="CD15" i="25" s="1"/>
  <c r="BX15" i="25"/>
  <c r="BW15" i="25"/>
  <c r="BV15" i="25"/>
  <c r="BU15" i="25"/>
  <c r="BT15" i="25"/>
  <c r="BR15" i="25"/>
  <c r="BQ15" i="25"/>
  <c r="G15" i="25"/>
  <c r="DR14" i="25"/>
  <c r="DQ14" i="25"/>
  <c r="DP14" i="25"/>
  <c r="DO14" i="25"/>
  <c r="DN14" i="25"/>
  <c r="DM14" i="25"/>
  <c r="DL14" i="25"/>
  <c r="CP14" i="25" s="1"/>
  <c r="DK14" i="25"/>
  <c r="DJ14" i="25"/>
  <c r="DG14" i="25"/>
  <c r="DE14" i="25"/>
  <c r="DD14" i="25"/>
  <c r="DC14" i="25"/>
  <c r="CW14" i="25"/>
  <c r="CV14" i="25"/>
  <c r="CU14" i="25"/>
  <c r="DB14" i="25" s="1"/>
  <c r="CT14" i="25"/>
  <c r="CL14" i="25"/>
  <c r="CK14" i="25"/>
  <c r="CC14" i="25"/>
  <c r="CD14" i="25" s="1"/>
  <c r="BX14" i="25"/>
  <c r="BW14" i="25"/>
  <c r="BV14" i="25"/>
  <c r="BU14" i="25"/>
  <c r="BT14" i="25"/>
  <c r="BR14" i="25"/>
  <c r="BQ14" i="25"/>
  <c r="G14" i="25"/>
  <c r="DR13" i="25"/>
  <c r="DQ13" i="25"/>
  <c r="DP13" i="25"/>
  <c r="DO13" i="25"/>
  <c r="DN13" i="25"/>
  <c r="DM13" i="25"/>
  <c r="DL13" i="25"/>
  <c r="CO13" i="25" s="1"/>
  <c r="DK13" i="25"/>
  <c r="DJ13" i="25"/>
  <c r="DG13" i="25"/>
  <c r="DE13" i="25"/>
  <c r="DF13" i="25" s="1"/>
  <c r="DD13" i="25"/>
  <c r="DC13" i="25"/>
  <c r="CW13" i="25"/>
  <c r="CV13" i="25"/>
  <c r="CU13" i="25"/>
  <c r="DB13" i="25" s="1"/>
  <c r="CT13" i="25"/>
  <c r="CL13" i="25"/>
  <c r="CK13" i="25"/>
  <c r="CC13" i="25"/>
  <c r="CD13" i="25" s="1"/>
  <c r="BX13" i="25"/>
  <c r="BW13" i="25"/>
  <c r="BV13" i="25"/>
  <c r="BU13" i="25"/>
  <c r="BT13" i="25"/>
  <c r="BR13" i="25"/>
  <c r="BQ13" i="25"/>
  <c r="G13" i="25"/>
  <c r="DR12" i="25"/>
  <c r="DQ12" i="25"/>
  <c r="DP12" i="25"/>
  <c r="DO12" i="25"/>
  <c r="DN12" i="25"/>
  <c r="DM12" i="25"/>
  <c r="DL12" i="25"/>
  <c r="CQ12" i="25" s="1"/>
  <c r="CR12" i="25" s="1"/>
  <c r="DK12" i="25"/>
  <c r="DJ12" i="25"/>
  <c r="DG12" i="25"/>
  <c r="DE12" i="25"/>
  <c r="DD12" i="25"/>
  <c r="DC12" i="25"/>
  <c r="CW12" i="25"/>
  <c r="CV12" i="25"/>
  <c r="CU12" i="25"/>
  <c r="DB12" i="25" s="1"/>
  <c r="CT12" i="25"/>
  <c r="CL12" i="25"/>
  <c r="CK12" i="25"/>
  <c r="CC12" i="25"/>
  <c r="CD12" i="25" s="1"/>
  <c r="BX12" i="25"/>
  <c r="BW12" i="25"/>
  <c r="BV12" i="25"/>
  <c r="BU12" i="25"/>
  <c r="BT12" i="25"/>
  <c r="BR12" i="25"/>
  <c r="BQ12" i="25"/>
  <c r="G12" i="25"/>
  <c r="DR11" i="25"/>
  <c r="DQ11" i="25"/>
  <c r="DP11" i="25"/>
  <c r="DO11" i="25"/>
  <c r="DN11" i="25"/>
  <c r="DM11" i="25"/>
  <c r="DL11" i="25"/>
  <c r="CQ11" i="25" s="1"/>
  <c r="CR11" i="25" s="1"/>
  <c r="DK11" i="25"/>
  <c r="DJ11" i="25"/>
  <c r="DG11" i="25"/>
  <c r="DE11" i="25"/>
  <c r="DF11" i="25" s="1"/>
  <c r="DD11" i="25"/>
  <c r="DC11" i="25"/>
  <c r="CW11" i="25"/>
  <c r="CV11" i="25"/>
  <c r="CU11" i="25"/>
  <c r="DB11" i="25" s="1"/>
  <c r="CT11" i="25"/>
  <c r="CL11" i="25"/>
  <c r="CK11" i="25"/>
  <c r="CC11" i="25"/>
  <c r="CD11" i="25" s="1"/>
  <c r="BX11" i="25"/>
  <c r="BW11" i="25"/>
  <c r="BV11" i="25"/>
  <c r="BU11" i="25"/>
  <c r="BT11" i="25"/>
  <c r="BR11" i="25"/>
  <c r="BQ11" i="25"/>
  <c r="G11" i="25"/>
  <c r="DR10" i="25"/>
  <c r="DQ10" i="25"/>
  <c r="DP10" i="25"/>
  <c r="DO10" i="25"/>
  <c r="DN10" i="25"/>
  <c r="DM10" i="25"/>
  <c r="DL10" i="25"/>
  <c r="CP10" i="25" s="1"/>
  <c r="DK10" i="25"/>
  <c r="DJ10" i="25"/>
  <c r="DG10" i="25"/>
  <c r="DE10" i="25"/>
  <c r="DF10" i="25" s="1"/>
  <c r="DD10" i="25"/>
  <c r="DC10" i="25"/>
  <c r="CW10" i="25"/>
  <c r="CV10" i="25"/>
  <c r="CU10" i="25"/>
  <c r="DB10" i="25" s="1"/>
  <c r="CT10" i="25"/>
  <c r="CL10" i="25"/>
  <c r="CK10" i="25"/>
  <c r="CC10" i="25"/>
  <c r="CD10" i="25" s="1"/>
  <c r="BX10" i="25"/>
  <c r="BW10" i="25"/>
  <c r="BV10" i="25"/>
  <c r="BU10" i="25"/>
  <c r="BT10" i="25"/>
  <c r="BR10" i="25"/>
  <c r="BQ10" i="25"/>
  <c r="G10" i="25"/>
  <c r="DR9" i="25"/>
  <c r="DQ9" i="25"/>
  <c r="DP9" i="25"/>
  <c r="DO9" i="25"/>
  <c r="DN9" i="25"/>
  <c r="DM9" i="25"/>
  <c r="DL9" i="25"/>
  <c r="CO9" i="25" s="1"/>
  <c r="DK9" i="25"/>
  <c r="DJ9" i="25"/>
  <c r="DG9" i="25"/>
  <c r="DE9" i="25"/>
  <c r="DF9" i="25" s="1"/>
  <c r="DD9" i="25"/>
  <c r="DC9" i="25"/>
  <c r="CW9" i="25"/>
  <c r="CV9" i="25"/>
  <c r="CU9" i="25"/>
  <c r="DB9" i="25" s="1"/>
  <c r="CT9" i="25"/>
  <c r="CL9" i="25"/>
  <c r="CK9" i="25"/>
  <c r="CC9" i="25"/>
  <c r="CD9" i="25" s="1"/>
  <c r="BX9" i="25"/>
  <c r="BW9" i="25"/>
  <c r="BV9" i="25"/>
  <c r="BU9" i="25"/>
  <c r="BT9" i="25"/>
  <c r="BR9" i="25"/>
  <c r="BQ9" i="25"/>
  <c r="G9" i="25"/>
  <c r="DR8" i="25"/>
  <c r="DQ8" i="25"/>
  <c r="DP8" i="25"/>
  <c r="DO8" i="25"/>
  <c r="DN8" i="25"/>
  <c r="DM8" i="25"/>
  <c r="DL8" i="25"/>
  <c r="CP8" i="25" s="1"/>
  <c r="DK8" i="25"/>
  <c r="DJ8" i="25"/>
  <c r="DG8" i="25"/>
  <c r="DE8" i="25"/>
  <c r="DD8" i="25"/>
  <c r="DC8" i="25"/>
  <c r="CW8" i="25"/>
  <c r="CV8" i="25"/>
  <c r="CU8" i="25"/>
  <c r="DB8" i="25" s="1"/>
  <c r="CT8" i="25"/>
  <c r="CL8" i="25"/>
  <c r="CK8" i="25"/>
  <c r="CC8" i="25"/>
  <c r="BX8" i="25"/>
  <c r="BW8" i="25"/>
  <c r="BV8" i="25"/>
  <c r="BU8" i="25"/>
  <c r="BT8" i="25"/>
  <c r="BR8" i="25"/>
  <c r="BQ8" i="25"/>
  <c r="G8" i="25"/>
  <c r="K137" i="92"/>
  <c r="F364" i="92"/>
  <c r="C141" i="92"/>
  <c r="F366" i="92"/>
  <c r="D141" i="92"/>
  <c r="C77" i="92"/>
  <c r="G30" i="89"/>
  <c r="G29" i="89"/>
  <c r="E364" i="92"/>
  <c r="C166" i="92"/>
  <c r="H130" i="89"/>
  <c r="G44" i="89"/>
  <c r="G33" i="89"/>
  <c r="C137" i="92"/>
  <c r="H364" i="92"/>
  <c r="K142" i="92"/>
  <c r="G27" i="89"/>
  <c r="D139" i="92"/>
  <c r="K138" i="92"/>
  <c r="G32" i="89"/>
  <c r="D166" i="92"/>
  <c r="G366" i="92"/>
  <c r="L138" i="92"/>
  <c r="Q219" i="92"/>
  <c r="C182" i="92"/>
  <c r="L141" i="92"/>
  <c r="G364" i="92"/>
  <c r="G26" i="89"/>
  <c r="Q221" i="92"/>
  <c r="C140" i="92"/>
  <c r="E168" i="92"/>
  <c r="E184" i="92"/>
  <c r="C138" i="92"/>
  <c r="D77" i="92"/>
  <c r="J222" i="92"/>
  <c r="D138" i="92"/>
  <c r="D142" i="92"/>
  <c r="G31" i="89"/>
  <c r="C143" i="92"/>
  <c r="D366" i="92"/>
  <c r="C168" i="92"/>
  <c r="H115" i="89"/>
  <c r="C184" i="92"/>
  <c r="G36" i="89"/>
  <c r="D11" i="89"/>
  <c r="J221" i="92"/>
  <c r="G40" i="89"/>
  <c r="C75" i="92"/>
  <c r="E366" i="92"/>
  <c r="E182" i="92"/>
  <c r="D143" i="92"/>
  <c r="D168" i="92"/>
  <c r="H116" i="89"/>
  <c r="L139" i="92"/>
  <c r="Q220" i="92"/>
  <c r="H366" i="92"/>
  <c r="G28" i="89"/>
  <c r="J220" i="92"/>
  <c r="G43" i="89"/>
  <c r="D184" i="92"/>
  <c r="D22" i="89"/>
  <c r="K140" i="92"/>
  <c r="F166" i="92"/>
  <c r="H117" i="89"/>
  <c r="K141" i="92"/>
  <c r="G39" i="89"/>
  <c r="J219" i="92"/>
  <c r="K216" i="92"/>
  <c r="D182" i="92"/>
  <c r="L140" i="92"/>
  <c r="D75" i="92"/>
  <c r="R216" i="92"/>
  <c r="C142" i="92"/>
  <c r="E166" i="92"/>
  <c r="H129" i="89"/>
  <c r="C139" i="92"/>
  <c r="G35" i="89"/>
  <c r="D364" i="92"/>
  <c r="L142" i="92"/>
  <c r="D137" i="92"/>
  <c r="Q222" i="92"/>
  <c r="K139" i="92"/>
  <c r="L136" i="92"/>
  <c r="K136" i="92"/>
  <c r="F168" i="92"/>
  <c r="H131" i="89"/>
  <c r="H132" i="89" l="1"/>
  <c r="H26" i="89"/>
  <c r="DH128" i="25"/>
  <c r="DF128" i="25"/>
  <c r="DH132" i="25"/>
  <c r="DF132" i="25"/>
  <c r="DH136" i="25"/>
  <c r="DF136" i="25"/>
  <c r="DH138" i="25"/>
  <c r="DF138" i="25"/>
  <c r="DH140" i="25"/>
  <c r="DF140" i="25"/>
  <c r="DH142" i="25"/>
  <c r="DF142" i="25"/>
  <c r="DH146" i="25"/>
  <c r="DF146" i="25"/>
  <c r="DH148" i="25"/>
  <c r="DF148" i="25"/>
  <c r="DH150" i="25"/>
  <c r="DF150" i="25"/>
  <c r="DH152" i="25"/>
  <c r="DF152" i="25"/>
  <c r="DH154" i="25"/>
  <c r="DF154" i="25"/>
  <c r="DH156" i="25"/>
  <c r="DF156" i="25"/>
  <c r="DH158" i="25"/>
  <c r="DF158" i="25"/>
  <c r="DH160" i="25"/>
  <c r="DF160" i="25"/>
  <c r="DH164" i="25"/>
  <c r="DF164" i="25"/>
  <c r="DH166" i="25"/>
  <c r="DF166" i="25"/>
  <c r="DH170" i="25"/>
  <c r="DF170" i="25"/>
  <c r="DH173" i="25"/>
  <c r="DF173" i="25"/>
  <c r="DH188" i="25"/>
  <c r="DF188" i="25"/>
  <c r="DH174" i="25"/>
  <c r="DF174" i="25"/>
  <c r="DH176" i="25"/>
  <c r="DF176" i="25"/>
  <c r="DH189" i="25"/>
  <c r="DF189" i="25"/>
  <c r="DH194" i="25"/>
  <c r="DF194" i="25"/>
  <c r="DH198" i="25"/>
  <c r="DF198" i="25"/>
  <c r="DH210" i="25"/>
  <c r="DF210" i="25"/>
  <c r="DH515" i="25"/>
  <c r="DF515" i="25"/>
  <c r="DH524" i="25"/>
  <c r="DF524" i="25"/>
  <c r="DH529" i="25"/>
  <c r="DF529" i="25"/>
  <c r="DH70" i="25"/>
  <c r="DF70" i="25"/>
  <c r="DH76" i="25"/>
  <c r="DF76" i="25"/>
  <c r="DH94" i="25"/>
  <c r="DF94" i="25"/>
  <c r="DH108" i="25"/>
  <c r="DF108" i="25"/>
  <c r="DH114" i="25"/>
  <c r="DF114" i="25"/>
  <c r="DH120" i="25"/>
  <c r="DF120" i="25"/>
  <c r="DH8" i="25"/>
  <c r="DF8" i="25"/>
  <c r="DH12" i="25"/>
  <c r="DF12" i="25"/>
  <c r="DH14" i="25"/>
  <c r="DF14" i="25"/>
  <c r="DH18" i="25"/>
  <c r="DF18" i="25"/>
  <c r="DH20" i="25"/>
  <c r="DF20" i="25"/>
  <c r="DH24" i="25"/>
  <c r="DF24" i="25"/>
  <c r="DH28" i="25"/>
  <c r="DF28" i="25"/>
  <c r="DH30" i="25"/>
  <c r="DF30" i="25"/>
  <c r="DH34" i="25"/>
  <c r="DF34" i="25"/>
  <c r="DH38" i="25"/>
  <c r="DF38" i="25"/>
  <c r="DH40" i="25"/>
  <c r="DF40" i="25"/>
  <c r="DH42" i="25"/>
  <c r="DF42" i="25"/>
  <c r="DH44" i="25"/>
  <c r="DF44" i="25"/>
  <c r="DH48" i="25"/>
  <c r="DF48" i="25"/>
  <c r="DH52" i="25"/>
  <c r="DF52" i="25"/>
  <c r="DH56" i="25"/>
  <c r="DF56" i="25"/>
  <c r="DH60" i="25"/>
  <c r="DF60" i="25"/>
  <c r="DH520" i="25"/>
  <c r="DF520" i="25"/>
  <c r="DH522" i="25"/>
  <c r="DF522" i="25"/>
  <c r="DH536" i="25"/>
  <c r="DF536" i="25"/>
  <c r="DH538" i="25"/>
  <c r="DF538" i="25"/>
  <c r="DH540" i="25"/>
  <c r="DF540" i="25"/>
  <c r="DH80" i="25"/>
  <c r="DF80" i="25"/>
  <c r="DH100" i="25"/>
  <c r="DF100" i="25"/>
  <c r="DH505" i="25"/>
  <c r="DF505" i="25"/>
  <c r="DH507" i="25"/>
  <c r="DF507" i="25"/>
  <c r="DH511" i="25"/>
  <c r="DF511" i="25"/>
  <c r="DH518" i="25"/>
  <c r="DF518" i="25"/>
  <c r="DH527" i="25"/>
  <c r="DF527" i="25"/>
  <c r="DH532" i="25"/>
  <c r="DF532" i="25"/>
  <c r="DH534" i="25"/>
  <c r="DF534" i="25"/>
  <c r="DH68" i="25"/>
  <c r="DF68" i="25"/>
  <c r="DH74" i="25"/>
  <c r="DF74" i="25"/>
  <c r="DH92" i="25"/>
  <c r="DF92" i="25"/>
  <c r="DH213" i="25"/>
  <c r="DF213" i="25"/>
  <c r="DH215" i="25"/>
  <c r="DF215" i="25"/>
  <c r="DH217" i="25"/>
  <c r="DF217" i="25"/>
  <c r="DH219" i="25"/>
  <c r="DF219" i="25"/>
  <c r="DH221" i="25"/>
  <c r="DF221" i="25"/>
  <c r="DH239" i="25"/>
  <c r="DF239" i="25"/>
  <c r="DH241" i="25"/>
  <c r="DF241" i="25"/>
  <c r="DH243" i="25"/>
  <c r="DF243" i="25"/>
  <c r="DH247" i="25"/>
  <c r="DF247" i="25"/>
  <c r="DH249" i="25"/>
  <c r="DF249" i="25"/>
  <c r="DH251" i="25"/>
  <c r="DF251" i="25"/>
  <c r="DH253" i="25"/>
  <c r="DF253" i="25"/>
  <c r="DH255" i="25"/>
  <c r="DF255" i="25"/>
  <c r="DH257" i="25"/>
  <c r="DF257" i="25"/>
  <c r="DH259" i="25"/>
  <c r="DF259" i="25"/>
  <c r="DH263" i="25"/>
  <c r="DF263" i="25"/>
  <c r="DH267" i="25"/>
  <c r="DF267" i="25"/>
  <c r="DH275" i="25"/>
  <c r="DF275" i="25"/>
  <c r="DH287" i="25"/>
  <c r="DF287" i="25"/>
  <c r="DH291" i="25"/>
  <c r="DF291" i="25"/>
  <c r="DH293" i="25"/>
  <c r="DF293" i="25"/>
  <c r="DH295" i="25"/>
  <c r="DF295" i="25"/>
  <c r="DH297" i="25"/>
  <c r="DF297" i="25"/>
  <c r="DH299" i="25"/>
  <c r="DF299" i="25"/>
  <c r="DH303" i="25"/>
  <c r="DF303" i="25"/>
  <c r="DH305" i="25"/>
  <c r="DF305" i="25"/>
  <c r="DH307" i="25"/>
  <c r="DF307" i="25"/>
  <c r="DH313" i="25"/>
  <c r="DF313" i="25"/>
  <c r="DH319" i="25"/>
  <c r="DF319" i="25"/>
  <c r="DH323" i="25"/>
  <c r="DF323" i="25"/>
  <c r="DH331" i="25"/>
  <c r="DF331" i="25"/>
  <c r="DH336" i="25"/>
  <c r="DF336" i="25"/>
  <c r="DH340" i="25"/>
  <c r="DF340" i="25"/>
  <c r="DH342" i="25"/>
  <c r="DF342" i="25"/>
  <c r="DH206" i="25"/>
  <c r="DF206" i="25"/>
  <c r="DH346" i="25"/>
  <c r="DF346" i="25"/>
  <c r="DH348" i="25"/>
  <c r="DF348" i="25"/>
  <c r="DH350" i="25"/>
  <c r="DF350" i="25"/>
  <c r="DH352" i="25"/>
  <c r="DF352" i="25"/>
  <c r="DH354" i="25"/>
  <c r="DF354" i="25"/>
  <c r="DH356" i="25"/>
  <c r="DF356" i="25"/>
  <c r="DH358" i="25"/>
  <c r="DF358" i="25"/>
  <c r="DH364" i="25"/>
  <c r="DF364" i="25"/>
  <c r="DH366" i="25"/>
  <c r="DF366" i="25"/>
  <c r="DH376" i="25"/>
  <c r="DF376" i="25"/>
  <c r="DH388" i="25"/>
  <c r="DF388" i="25"/>
  <c r="DH525" i="25"/>
  <c r="DF525" i="25"/>
  <c r="DH86" i="25"/>
  <c r="DF86" i="25"/>
  <c r="DH96" i="25"/>
  <c r="DF96" i="25"/>
  <c r="DH65" i="25"/>
  <c r="DF65" i="25"/>
  <c r="DH67" i="25"/>
  <c r="DF67" i="25"/>
  <c r="DH69" i="25"/>
  <c r="DF69" i="25"/>
  <c r="DH73" i="25"/>
  <c r="DF73" i="25"/>
  <c r="DH77" i="25"/>
  <c r="DF77" i="25"/>
  <c r="DH81" i="25"/>
  <c r="DF81" i="25"/>
  <c r="DH85" i="25"/>
  <c r="DF85" i="25"/>
  <c r="DH89" i="25"/>
  <c r="DF89" i="25"/>
  <c r="DH93" i="25"/>
  <c r="DF93" i="25"/>
  <c r="DH97" i="25"/>
  <c r="DF97" i="25"/>
  <c r="DH99" i="25"/>
  <c r="DF99" i="25"/>
  <c r="DH101" i="25"/>
  <c r="DF101" i="25"/>
  <c r="DH103" i="25"/>
  <c r="DF103" i="25"/>
  <c r="DH105" i="25"/>
  <c r="DF105" i="25"/>
  <c r="DH107" i="25"/>
  <c r="DF107" i="25"/>
  <c r="DH109" i="25"/>
  <c r="DF109" i="25"/>
  <c r="DH111" i="25"/>
  <c r="DF111" i="25"/>
  <c r="DH113" i="25"/>
  <c r="DF113" i="25"/>
  <c r="DH115" i="25"/>
  <c r="DF115" i="25"/>
  <c r="DH117" i="25"/>
  <c r="DF117" i="25"/>
  <c r="DH119" i="25"/>
  <c r="DF119" i="25"/>
  <c r="DH123" i="25"/>
  <c r="DF123" i="25"/>
  <c r="DH127" i="25"/>
  <c r="DF127" i="25"/>
  <c r="DH129" i="25"/>
  <c r="DF129" i="25"/>
  <c r="DH131" i="25"/>
  <c r="DF131" i="25"/>
  <c r="DH133" i="25"/>
  <c r="DF133" i="25"/>
  <c r="DH135" i="25"/>
  <c r="DF135" i="25"/>
  <c r="DH139" i="25"/>
  <c r="DF139" i="25"/>
  <c r="DH143" i="25"/>
  <c r="DF143" i="25"/>
  <c r="DH159" i="25"/>
  <c r="DF159" i="25"/>
  <c r="DH163" i="25"/>
  <c r="DF163" i="25"/>
  <c r="DH165" i="25"/>
  <c r="DF165" i="25"/>
  <c r="DH207" i="25"/>
  <c r="DF207" i="25"/>
  <c r="DH184" i="25"/>
  <c r="DF184" i="25"/>
  <c r="DH185" i="25"/>
  <c r="DF185" i="25"/>
  <c r="DH187" i="25"/>
  <c r="DF187" i="25"/>
  <c r="DH177" i="25"/>
  <c r="DF177" i="25"/>
  <c r="DH191" i="25"/>
  <c r="DF191" i="25"/>
  <c r="DH182" i="25"/>
  <c r="DF182" i="25"/>
  <c r="DH195" i="25"/>
  <c r="DF195" i="25"/>
  <c r="DH514" i="25"/>
  <c r="DF514" i="25"/>
  <c r="DH516" i="25"/>
  <c r="DF516" i="25"/>
  <c r="DH104" i="25"/>
  <c r="DF104" i="25"/>
  <c r="DH21" i="25"/>
  <c r="DF21" i="25"/>
  <c r="DH25" i="25"/>
  <c r="DF25" i="25"/>
  <c r="DH29" i="25"/>
  <c r="DF29" i="25"/>
  <c r="DH41" i="25"/>
  <c r="DF41" i="25"/>
  <c r="DH45" i="25"/>
  <c r="DF45" i="25"/>
  <c r="DH47" i="25"/>
  <c r="DF47" i="25"/>
  <c r="DH49" i="25"/>
  <c r="DF49" i="25"/>
  <c r="DH51" i="25"/>
  <c r="DF51" i="25"/>
  <c r="DH53" i="25"/>
  <c r="DF53" i="25"/>
  <c r="DH55" i="25"/>
  <c r="DF55" i="25"/>
  <c r="DH57" i="25"/>
  <c r="DF57" i="25"/>
  <c r="DH59" i="25"/>
  <c r="DF59" i="25"/>
  <c r="DH61" i="25"/>
  <c r="DF61" i="25"/>
  <c r="DH528" i="25"/>
  <c r="DF528" i="25"/>
  <c r="DH539" i="25"/>
  <c r="DF539" i="25"/>
  <c r="DH541" i="25"/>
  <c r="DF541" i="25"/>
  <c r="DH543" i="25"/>
  <c r="DF543" i="25"/>
  <c r="DH508" i="25"/>
  <c r="DF508" i="25"/>
  <c r="DH512" i="25"/>
  <c r="DF512" i="25"/>
  <c r="DH519" i="25"/>
  <c r="DF519" i="25"/>
  <c r="DH533" i="25"/>
  <c r="DF533" i="25"/>
  <c r="DH344" i="25"/>
  <c r="DF344" i="25"/>
  <c r="DH171" i="25"/>
  <c r="DF171" i="25"/>
  <c r="DH214" i="25"/>
  <c r="DF214" i="25"/>
  <c r="DH216" i="25"/>
  <c r="DF216" i="25"/>
  <c r="DH218" i="25"/>
  <c r="DF218" i="25"/>
  <c r="DH220" i="25"/>
  <c r="DF220" i="25"/>
  <c r="DH222" i="25"/>
  <c r="DF222" i="25"/>
  <c r="DH224" i="25"/>
  <c r="DF224" i="25"/>
  <c r="DH226" i="25"/>
  <c r="DF226" i="25"/>
  <c r="DH228" i="25"/>
  <c r="DF228" i="25"/>
  <c r="DH230" i="25"/>
  <c r="DF230" i="25"/>
  <c r="DH232" i="25"/>
  <c r="DF232" i="25"/>
  <c r="DH234" i="25"/>
  <c r="DF234" i="25"/>
  <c r="DH236" i="25"/>
  <c r="DF236" i="25"/>
  <c r="DH238" i="25"/>
  <c r="DF238" i="25"/>
  <c r="DH244" i="25"/>
  <c r="DF244" i="25"/>
  <c r="DH246" i="25"/>
  <c r="DF246" i="25"/>
  <c r="DH248" i="25"/>
  <c r="DF248" i="25"/>
  <c r="DH250" i="25"/>
  <c r="DF250" i="25"/>
  <c r="DH252" i="25"/>
  <c r="DF252" i="25"/>
  <c r="DH254" i="25"/>
  <c r="DF254" i="25"/>
  <c r="DH258" i="25"/>
  <c r="DF258" i="25"/>
  <c r="DH262" i="25"/>
  <c r="DF262" i="25"/>
  <c r="DH264" i="25"/>
  <c r="DF264" i="25"/>
  <c r="DH268" i="25"/>
  <c r="DF268" i="25"/>
  <c r="DH270" i="25"/>
  <c r="DF270" i="25"/>
  <c r="DH272" i="25"/>
  <c r="DF272" i="25"/>
  <c r="DH274" i="25"/>
  <c r="DF274" i="25"/>
  <c r="DH276" i="25"/>
  <c r="DF276" i="25"/>
  <c r="DH278" i="25"/>
  <c r="DF278" i="25"/>
  <c r="DH280" i="25"/>
  <c r="DF280" i="25"/>
  <c r="DH282" i="25"/>
  <c r="DF282" i="25"/>
  <c r="DH288" i="25"/>
  <c r="DF288" i="25"/>
  <c r="DH292" i="25"/>
  <c r="DF292" i="25"/>
  <c r="DH294" i="25"/>
  <c r="DF294" i="25"/>
  <c r="DH302" i="25"/>
  <c r="DF302" i="25"/>
  <c r="DH304" i="25"/>
  <c r="DF304" i="25"/>
  <c r="DH308" i="25"/>
  <c r="DF308" i="25"/>
  <c r="DH318" i="25"/>
  <c r="DF318" i="25"/>
  <c r="DH322" i="25"/>
  <c r="DF322" i="25"/>
  <c r="DH324" i="25"/>
  <c r="DF324" i="25"/>
  <c r="DH326" i="25"/>
  <c r="DF326" i="25"/>
  <c r="DH330" i="25"/>
  <c r="DF330" i="25"/>
  <c r="DH335" i="25"/>
  <c r="DF335" i="25"/>
  <c r="DH341" i="25"/>
  <c r="DF341" i="25"/>
  <c r="DH343" i="25"/>
  <c r="DF343" i="25"/>
  <c r="DH359" i="25"/>
  <c r="DF359" i="25"/>
  <c r="DH361" i="25"/>
  <c r="DF361" i="25"/>
  <c r="DH363" i="25"/>
  <c r="DF363" i="25"/>
  <c r="DH365" i="25"/>
  <c r="DF365" i="25"/>
  <c r="DH369" i="25"/>
  <c r="DF369" i="25"/>
  <c r="DH371" i="25"/>
  <c r="DF371" i="25"/>
  <c r="DH375" i="25"/>
  <c r="DF375" i="25"/>
  <c r="DH381" i="25"/>
  <c r="DF381" i="25"/>
  <c r="DH383" i="25"/>
  <c r="DF383" i="25"/>
  <c r="DH389" i="25"/>
  <c r="DF389" i="25"/>
  <c r="DH517" i="25"/>
  <c r="DF517" i="25"/>
  <c r="DH526" i="25"/>
  <c r="DF526" i="25"/>
  <c r="CM388" i="25"/>
  <c r="CS388" i="25" s="1"/>
  <c r="BS115" i="25"/>
  <c r="BS131" i="25"/>
  <c r="BS138" i="25"/>
  <c r="CO159" i="25"/>
  <c r="CX81" i="25"/>
  <c r="CY81" i="25" s="1"/>
  <c r="CZ81" i="25" s="1"/>
  <c r="DA81" i="25" s="1"/>
  <c r="CX222" i="25"/>
  <c r="CY222" i="25" s="1"/>
  <c r="CZ222" i="25" s="1"/>
  <c r="DA222" i="25" s="1"/>
  <c r="CX253" i="25"/>
  <c r="CY253" i="25" s="1"/>
  <c r="CZ253" i="25" s="1"/>
  <c r="DA253" i="25" s="1"/>
  <c r="CQ385" i="25"/>
  <c r="CR385" i="25" s="1"/>
  <c r="BS544" i="25"/>
  <c r="CM318" i="25"/>
  <c r="CS318" i="25" s="1"/>
  <c r="BS367" i="25"/>
  <c r="CX380" i="25"/>
  <c r="CY380" i="25" s="1"/>
  <c r="CZ380" i="25" s="1"/>
  <c r="DA380" i="25" s="1"/>
  <c r="CX382" i="25"/>
  <c r="CY382" i="25" s="1"/>
  <c r="CZ382" i="25" s="1"/>
  <c r="DA382" i="25" s="1"/>
  <c r="BS383" i="25"/>
  <c r="CX509" i="25"/>
  <c r="CY509" i="25" s="1"/>
  <c r="CZ509" i="25" s="1"/>
  <c r="DA509" i="25" s="1"/>
  <c r="CX18" i="25"/>
  <c r="CY18" i="25" s="1"/>
  <c r="CZ18" i="25" s="1"/>
  <c r="DA18" i="25" s="1"/>
  <c r="BS221" i="25"/>
  <c r="DH317" i="25"/>
  <c r="CN353" i="25"/>
  <c r="CM371" i="25"/>
  <c r="CS371" i="25" s="1"/>
  <c r="CN379" i="25"/>
  <c r="N30" i="89"/>
  <c r="M30" i="89"/>
  <c r="L30" i="89"/>
  <c r="K30" i="89"/>
  <c r="J30" i="89"/>
  <c r="H30" i="89"/>
  <c r="I30" i="89" s="1"/>
  <c r="D68" i="89"/>
  <c r="O30" i="89"/>
  <c r="N42" i="89"/>
  <c r="M42" i="89"/>
  <c r="L42" i="89"/>
  <c r="K42" i="89"/>
  <c r="J42" i="89"/>
  <c r="H42" i="89"/>
  <c r="I42" i="89" s="1"/>
  <c r="O42" i="89"/>
  <c r="AG102" i="89"/>
  <c r="I116" i="89"/>
  <c r="O136" i="92"/>
  <c r="D23" i="89"/>
  <c r="M31" i="89"/>
  <c r="L31" i="89"/>
  <c r="K31" i="89"/>
  <c r="J31" i="89"/>
  <c r="D69" i="89"/>
  <c r="H31" i="89"/>
  <c r="I31" i="89" s="1"/>
  <c r="O31" i="89"/>
  <c r="N31" i="89"/>
  <c r="M43" i="89"/>
  <c r="L43" i="89"/>
  <c r="K43" i="89"/>
  <c r="J43" i="89"/>
  <c r="H43" i="89"/>
  <c r="I43" i="89" s="1"/>
  <c r="O43" i="89"/>
  <c r="N43" i="89"/>
  <c r="AU104" i="89"/>
  <c r="AG101" i="89"/>
  <c r="I129" i="89"/>
  <c r="L32" i="89"/>
  <c r="K32" i="89"/>
  <c r="J32" i="89"/>
  <c r="D70" i="89"/>
  <c r="E70" i="89" s="1"/>
  <c r="H32" i="89"/>
  <c r="I32" i="89" s="1"/>
  <c r="O32" i="89"/>
  <c r="N32" i="89"/>
  <c r="M32" i="89"/>
  <c r="L44" i="89"/>
  <c r="K44" i="89"/>
  <c r="J44" i="89"/>
  <c r="H44" i="89"/>
  <c r="I44" i="89" s="1"/>
  <c r="O44" i="89"/>
  <c r="N44" i="89"/>
  <c r="M44" i="89"/>
  <c r="F103" i="89"/>
  <c r="I117" i="89"/>
  <c r="I131" i="89"/>
  <c r="O135" i="92"/>
  <c r="G139" i="92"/>
  <c r="K33" i="89"/>
  <c r="D71" i="89"/>
  <c r="J33" i="89"/>
  <c r="H33" i="89"/>
  <c r="I33" i="89" s="1"/>
  <c r="O33" i="89"/>
  <c r="N33" i="89"/>
  <c r="M33" i="89"/>
  <c r="L33" i="89"/>
  <c r="K45" i="89"/>
  <c r="J45" i="89"/>
  <c r="H45" i="89"/>
  <c r="I45" i="89" s="1"/>
  <c r="O45" i="89"/>
  <c r="N45" i="89"/>
  <c r="M45" i="89"/>
  <c r="L45" i="89"/>
  <c r="F102" i="89"/>
  <c r="K219" i="92"/>
  <c r="K220" i="92"/>
  <c r="K221" i="92"/>
  <c r="K222" i="92"/>
  <c r="J26" i="89"/>
  <c r="I26" i="89"/>
  <c r="O26" i="89"/>
  <c r="N26" i="89"/>
  <c r="M26" i="89"/>
  <c r="L26" i="89"/>
  <c r="D56" i="89"/>
  <c r="K26" i="89"/>
  <c r="J34" i="89"/>
  <c r="H34" i="89"/>
  <c r="I34" i="89" s="1"/>
  <c r="O34" i="89"/>
  <c r="N34" i="89"/>
  <c r="M34" i="89"/>
  <c r="L34" i="89"/>
  <c r="D79" i="89"/>
  <c r="K34" i="89"/>
  <c r="J38" i="89"/>
  <c r="H38" i="89"/>
  <c r="I38" i="89" s="1"/>
  <c r="O38" i="89"/>
  <c r="N38" i="89"/>
  <c r="M38" i="89"/>
  <c r="L38" i="89"/>
  <c r="K38" i="89"/>
  <c r="F101" i="89"/>
  <c r="H104" i="89"/>
  <c r="G137" i="92"/>
  <c r="G138" i="92"/>
  <c r="H27" i="89"/>
  <c r="I27" i="89" s="1"/>
  <c r="O27" i="89"/>
  <c r="N27" i="89"/>
  <c r="M27" i="89"/>
  <c r="D57" i="89"/>
  <c r="L27" i="89"/>
  <c r="K27" i="89"/>
  <c r="J27" i="89"/>
  <c r="H35" i="89"/>
  <c r="I35" i="89" s="1"/>
  <c r="O35" i="89"/>
  <c r="N35" i="89"/>
  <c r="M35" i="89"/>
  <c r="D80" i="89"/>
  <c r="L35" i="89"/>
  <c r="K35" i="89"/>
  <c r="J35" i="89"/>
  <c r="H39" i="89"/>
  <c r="I39" i="89" s="1"/>
  <c r="O39" i="89"/>
  <c r="N39" i="89"/>
  <c r="M39" i="89"/>
  <c r="L39" i="89"/>
  <c r="K39" i="89"/>
  <c r="J39" i="89"/>
  <c r="T103" i="89"/>
  <c r="D140" i="92"/>
  <c r="R221" i="92"/>
  <c r="R222" i="92"/>
  <c r="R219" i="92"/>
  <c r="R220" i="92"/>
  <c r="H28" i="89"/>
  <c r="I28" i="89" s="1"/>
  <c r="O28" i="89"/>
  <c r="N28" i="89"/>
  <c r="D58" i="89"/>
  <c r="E58" i="89" s="1"/>
  <c r="M28" i="89"/>
  <c r="L28" i="89"/>
  <c r="K28" i="89"/>
  <c r="J28" i="89"/>
  <c r="H36" i="89"/>
  <c r="I36" i="89" s="1"/>
  <c r="O36" i="89"/>
  <c r="N36" i="89"/>
  <c r="D81" i="89"/>
  <c r="E81" i="89" s="1"/>
  <c r="M36" i="89"/>
  <c r="L36" i="89"/>
  <c r="K36" i="89"/>
  <c r="J36" i="89"/>
  <c r="H40" i="89"/>
  <c r="I40" i="89" s="1"/>
  <c r="O40" i="89"/>
  <c r="N40" i="89"/>
  <c r="M40" i="89"/>
  <c r="L40" i="89"/>
  <c r="K40" i="89"/>
  <c r="J40" i="89"/>
  <c r="T102" i="89"/>
  <c r="I115" i="89"/>
  <c r="H118" i="89"/>
  <c r="I130" i="89"/>
  <c r="O137" i="92"/>
  <c r="O29" i="89"/>
  <c r="D59" i="89"/>
  <c r="N29" i="89"/>
  <c r="M29" i="89"/>
  <c r="L29" i="89"/>
  <c r="K29" i="89"/>
  <c r="J29" i="89"/>
  <c r="H29" i="89"/>
  <c r="I29" i="89" s="1"/>
  <c r="O37" i="89"/>
  <c r="D82" i="89"/>
  <c r="N37" i="89"/>
  <c r="M37" i="89"/>
  <c r="L37" i="89"/>
  <c r="K37" i="89"/>
  <c r="J37" i="89"/>
  <c r="H37" i="89"/>
  <c r="I37" i="89" s="1"/>
  <c r="O41" i="89"/>
  <c r="N41" i="89"/>
  <c r="M41" i="89"/>
  <c r="L41" i="89"/>
  <c r="K41" i="89"/>
  <c r="J41" i="89"/>
  <c r="H41" i="89"/>
  <c r="I41" i="89" s="1"/>
  <c r="X104" i="89"/>
  <c r="T101" i="89"/>
  <c r="AG103" i="89"/>
  <c r="CQ28" i="25"/>
  <c r="CR28" i="25" s="1"/>
  <c r="CO107" i="25"/>
  <c r="CN174" i="25"/>
  <c r="CO271" i="25"/>
  <c r="CP330" i="25"/>
  <c r="CN335" i="25"/>
  <c r="CX316" i="25"/>
  <c r="CY316" i="25" s="1"/>
  <c r="CZ316" i="25" s="1"/>
  <c r="DA316" i="25" s="1"/>
  <c r="BS266" i="25"/>
  <c r="BS120" i="25"/>
  <c r="CN175" i="25"/>
  <c r="CO141" i="25"/>
  <c r="CM145" i="25"/>
  <c r="CS145" i="25" s="1"/>
  <c r="BS73" i="25"/>
  <c r="CX74" i="25"/>
  <c r="CY74" i="25" s="1"/>
  <c r="CZ74" i="25" s="1"/>
  <c r="DA74" i="25" s="1"/>
  <c r="BS228" i="25"/>
  <c r="CX241" i="25"/>
  <c r="CY241" i="25" s="1"/>
  <c r="CZ241" i="25" s="1"/>
  <c r="DA241" i="25" s="1"/>
  <c r="CX245" i="25"/>
  <c r="CY245" i="25" s="1"/>
  <c r="CZ245" i="25" s="1"/>
  <c r="DA245" i="25" s="1"/>
  <c r="BS48" i="25"/>
  <c r="BS50" i="25"/>
  <c r="BS52" i="25"/>
  <c r="BS56" i="25"/>
  <c r="BS60" i="25"/>
  <c r="BS124" i="25"/>
  <c r="CX173" i="25"/>
  <c r="CY173" i="25" s="1"/>
  <c r="CZ173" i="25" s="1"/>
  <c r="DA173" i="25" s="1"/>
  <c r="CP196" i="25"/>
  <c r="BS521" i="25"/>
  <c r="CN122" i="25"/>
  <c r="DH205" i="25"/>
  <c r="CO311" i="25"/>
  <c r="BS519" i="25"/>
  <c r="CP537" i="25"/>
  <c r="CM214" i="25"/>
  <c r="CS214" i="25" s="1"/>
  <c r="CM222" i="25"/>
  <c r="CS222" i="25" s="1"/>
  <c r="CN247" i="25"/>
  <c r="CX268" i="25"/>
  <c r="CY268" i="25" s="1"/>
  <c r="CZ268" i="25" s="1"/>
  <c r="DA268" i="25" s="1"/>
  <c r="CQ247" i="25"/>
  <c r="CR247" i="25" s="1"/>
  <c r="CN259" i="25"/>
  <c r="CX276" i="25"/>
  <c r="CY276" i="25" s="1"/>
  <c r="CZ276" i="25" s="1"/>
  <c r="DA276" i="25" s="1"/>
  <c r="CM197" i="25"/>
  <c r="CS197" i="25" s="1"/>
  <c r="CX212" i="25"/>
  <c r="CY212" i="25" s="1"/>
  <c r="CZ212" i="25" s="1"/>
  <c r="DA212" i="25" s="1"/>
  <c r="CO239" i="25"/>
  <c r="CX280" i="25"/>
  <c r="CY280" i="25" s="1"/>
  <c r="CZ280" i="25" s="1"/>
  <c r="DA280" i="25" s="1"/>
  <c r="CM316" i="25"/>
  <c r="CS316" i="25" s="1"/>
  <c r="CO24" i="25"/>
  <c r="DH78" i="25"/>
  <c r="BS185" i="25"/>
  <c r="CX188" i="25"/>
  <c r="CY188" i="25" s="1"/>
  <c r="CZ188" i="25" s="1"/>
  <c r="DA188" i="25" s="1"/>
  <c r="CX180" i="25"/>
  <c r="CY180" i="25" s="1"/>
  <c r="CZ180" i="25" s="1"/>
  <c r="DA180" i="25" s="1"/>
  <c r="CO196" i="25"/>
  <c r="CP247" i="25"/>
  <c r="CX290" i="25"/>
  <c r="CY290" i="25" s="1"/>
  <c r="CZ290" i="25" s="1"/>
  <c r="DA290" i="25" s="1"/>
  <c r="CX329" i="25"/>
  <c r="CY329" i="25" s="1"/>
  <c r="CZ329" i="25" s="1"/>
  <c r="DA329" i="25" s="1"/>
  <c r="CM533" i="25"/>
  <c r="CS533" i="25" s="1"/>
  <c r="CM537" i="25"/>
  <c r="CS537" i="25" s="1"/>
  <c r="CO162" i="25"/>
  <c r="CM276" i="25"/>
  <c r="CS276" i="25" s="1"/>
  <c r="BS366" i="25"/>
  <c r="CX26" i="25"/>
  <c r="CY26" i="25" s="1"/>
  <c r="CZ26" i="25" s="1"/>
  <c r="DA26" i="25" s="1"/>
  <c r="CX88" i="25"/>
  <c r="CY88" i="25" s="1"/>
  <c r="CZ88" i="25" s="1"/>
  <c r="DA88" i="25" s="1"/>
  <c r="BS89" i="25"/>
  <c r="DH98" i="25"/>
  <c r="CN142" i="25"/>
  <c r="BS150" i="25"/>
  <c r="BS152" i="25"/>
  <c r="CX153" i="25"/>
  <c r="CY153" i="25" s="1"/>
  <c r="CZ153" i="25" s="1"/>
  <c r="DA153" i="25" s="1"/>
  <c r="BS154" i="25"/>
  <c r="CQ459" i="25"/>
  <c r="CR459" i="25" s="1"/>
  <c r="CM200" i="25"/>
  <c r="CS200" i="25" s="1"/>
  <c r="CX322" i="25"/>
  <c r="CY322" i="25" s="1"/>
  <c r="CZ322" i="25" s="1"/>
  <c r="DA322" i="25" s="1"/>
  <c r="BS357" i="25"/>
  <c r="CX358" i="25"/>
  <c r="CY358" i="25" s="1"/>
  <c r="CZ358" i="25" s="1"/>
  <c r="DA358" i="25" s="1"/>
  <c r="CM70" i="25"/>
  <c r="CS70" i="25" s="1"/>
  <c r="CQ290" i="25"/>
  <c r="CR290" i="25" s="1"/>
  <c r="CX537" i="25"/>
  <c r="CY537" i="25" s="1"/>
  <c r="CZ537" i="25" s="1"/>
  <c r="DA537" i="25" s="1"/>
  <c r="CX541" i="25"/>
  <c r="CY541" i="25" s="1"/>
  <c r="CZ541" i="25" s="1"/>
  <c r="DA541" i="25" s="1"/>
  <c r="BS542" i="25"/>
  <c r="BS10" i="25"/>
  <c r="CX11" i="25"/>
  <c r="CY11" i="25" s="1"/>
  <c r="CZ11" i="25" s="1"/>
  <c r="DA11" i="25" s="1"/>
  <c r="BS29" i="25"/>
  <c r="CO91" i="25"/>
  <c r="CX94" i="25"/>
  <c r="CY94" i="25" s="1"/>
  <c r="CZ94" i="25" s="1"/>
  <c r="DA94" i="25" s="1"/>
  <c r="BS95" i="25"/>
  <c r="CX98" i="25"/>
  <c r="CY98" i="25" s="1"/>
  <c r="CZ98" i="25" s="1"/>
  <c r="DA98" i="25" s="1"/>
  <c r="CO122" i="25"/>
  <c r="BS248" i="25"/>
  <c r="CM300" i="25"/>
  <c r="CS300" i="25" s="1"/>
  <c r="CQ361" i="25"/>
  <c r="CR361" i="25" s="1"/>
  <c r="DH72" i="25"/>
  <c r="CP91" i="25"/>
  <c r="CX136" i="25"/>
  <c r="CY136" i="25" s="1"/>
  <c r="CZ136" i="25" s="1"/>
  <c r="DA136" i="25" s="1"/>
  <c r="CX148" i="25"/>
  <c r="CY148" i="25" s="1"/>
  <c r="CZ148" i="25" s="1"/>
  <c r="DA148" i="25" s="1"/>
  <c r="BS197" i="25"/>
  <c r="BS169" i="25"/>
  <c r="CX257" i="25"/>
  <c r="CY257" i="25" s="1"/>
  <c r="CZ257" i="25" s="1"/>
  <c r="DA257" i="25" s="1"/>
  <c r="CX259" i="25"/>
  <c r="CY259" i="25" s="1"/>
  <c r="CZ259" i="25" s="1"/>
  <c r="DA259" i="25" s="1"/>
  <c r="CM260" i="25"/>
  <c r="CS260" i="25" s="1"/>
  <c r="BS274" i="25"/>
  <c r="CO302" i="25"/>
  <c r="CM365" i="25"/>
  <c r="CS365" i="25" s="1"/>
  <c r="BS533" i="25"/>
  <c r="CP35" i="25"/>
  <c r="CX8" i="25"/>
  <c r="CY8" i="25" s="1"/>
  <c r="CZ8" i="25" s="1"/>
  <c r="DA8" i="25" s="1"/>
  <c r="CN24" i="25"/>
  <c r="CX38" i="25"/>
  <c r="CY38" i="25" s="1"/>
  <c r="CZ38" i="25" s="1"/>
  <c r="DA38" i="25" s="1"/>
  <c r="CM78" i="25"/>
  <c r="CS78" i="25" s="1"/>
  <c r="CN138" i="25"/>
  <c r="CQ159" i="25"/>
  <c r="CR159" i="25" s="1"/>
  <c r="CP165" i="25"/>
  <c r="CX166" i="25"/>
  <c r="CY166" i="25" s="1"/>
  <c r="CZ166" i="25" s="1"/>
  <c r="DA166" i="25" s="1"/>
  <c r="CM192" i="25"/>
  <c r="CS192" i="25" s="1"/>
  <c r="CN188" i="25"/>
  <c r="CX189" i="25"/>
  <c r="CY189" i="25" s="1"/>
  <c r="CZ189" i="25" s="1"/>
  <c r="DA189" i="25" s="1"/>
  <c r="BS237" i="25"/>
  <c r="DH242" i="25"/>
  <c r="CN249" i="25"/>
  <c r="DH301" i="25"/>
  <c r="BS307" i="25"/>
  <c r="DH316" i="25"/>
  <c r="BS318" i="25"/>
  <c r="CP340" i="25"/>
  <c r="CP371" i="25"/>
  <c r="CX385" i="25"/>
  <c r="CY385" i="25" s="1"/>
  <c r="CZ385" i="25" s="1"/>
  <c r="DA385" i="25" s="1"/>
  <c r="BS264" i="25"/>
  <c r="BS280" i="25"/>
  <c r="BS300" i="25"/>
  <c r="BS323" i="25"/>
  <c r="DH15" i="25"/>
  <c r="BS17" i="25"/>
  <c r="BS23" i="25"/>
  <c r="BS40" i="25"/>
  <c r="BS59" i="25"/>
  <c r="CX60" i="25"/>
  <c r="CY60" i="25" s="1"/>
  <c r="CZ60" i="25" s="1"/>
  <c r="DA60" i="25" s="1"/>
  <c r="BS61" i="25"/>
  <c r="CX62" i="25"/>
  <c r="CY62" i="25" s="1"/>
  <c r="CZ62" i="25" s="1"/>
  <c r="DA62" i="25" s="1"/>
  <c r="DH66" i="25"/>
  <c r="DH82" i="25"/>
  <c r="BS88" i="25"/>
  <c r="CX89" i="25"/>
  <c r="CY89" i="25" s="1"/>
  <c r="CZ89" i="25" s="1"/>
  <c r="DA89" i="25" s="1"/>
  <c r="CX106" i="25"/>
  <c r="CY106" i="25" s="1"/>
  <c r="CZ106" i="25" s="1"/>
  <c r="DA106" i="25" s="1"/>
  <c r="CO126" i="25"/>
  <c r="BS139" i="25"/>
  <c r="CO178" i="25"/>
  <c r="CX237" i="25"/>
  <c r="CY237" i="25" s="1"/>
  <c r="CZ237" i="25" s="1"/>
  <c r="DA237" i="25" s="1"/>
  <c r="BS238" i="25"/>
  <c r="CO275" i="25"/>
  <c r="CN278" i="25"/>
  <c r="CP311" i="25"/>
  <c r="BS315" i="25"/>
  <c r="DH370" i="25"/>
  <c r="CQ377" i="25"/>
  <c r="CR377" i="25" s="1"/>
  <c r="CX517" i="25"/>
  <c r="CY517" i="25" s="1"/>
  <c r="CZ517" i="25" s="1"/>
  <c r="DA517" i="25" s="1"/>
  <c r="CM536" i="25"/>
  <c r="CS536" i="25" s="1"/>
  <c r="CP21" i="25"/>
  <c r="CM134" i="25"/>
  <c r="CS134" i="25" s="1"/>
  <c r="CM148" i="25"/>
  <c r="CS148" i="25" s="1"/>
  <c r="CX205" i="25"/>
  <c r="CY205" i="25" s="1"/>
  <c r="CZ205" i="25" s="1"/>
  <c r="DA205" i="25" s="1"/>
  <c r="CX182" i="25"/>
  <c r="CY182" i="25" s="1"/>
  <c r="CZ182" i="25" s="1"/>
  <c r="DA182" i="25" s="1"/>
  <c r="CQ236" i="25"/>
  <c r="CR236" i="25" s="1"/>
  <c r="CM354" i="25"/>
  <c r="CS354" i="25" s="1"/>
  <c r="BS25" i="25"/>
  <c r="BS33" i="25"/>
  <c r="DH63" i="25"/>
  <c r="CX82" i="25"/>
  <c r="CY82" i="25" s="1"/>
  <c r="CZ82" i="25" s="1"/>
  <c r="DA82" i="25" s="1"/>
  <c r="BS92" i="25"/>
  <c r="CX97" i="25"/>
  <c r="CY97" i="25" s="1"/>
  <c r="CZ97" i="25" s="1"/>
  <c r="DA97" i="25" s="1"/>
  <c r="CN228" i="25"/>
  <c r="CN261" i="25"/>
  <c r="CO299" i="25"/>
  <c r="BS308" i="25"/>
  <c r="CP322" i="25"/>
  <c r="CO358" i="25"/>
  <c r="BS365" i="25"/>
  <c r="CM374" i="25"/>
  <c r="CS374" i="25" s="1"/>
  <c r="CX375" i="25"/>
  <c r="CY375" i="25" s="1"/>
  <c r="CZ375" i="25" s="1"/>
  <c r="DA375" i="25" s="1"/>
  <c r="CQ512" i="25"/>
  <c r="CR512" i="25" s="1"/>
  <c r="CO514" i="25"/>
  <c r="CX73" i="25"/>
  <c r="CY73" i="25" s="1"/>
  <c r="CZ73" i="25" s="1"/>
  <c r="DA73" i="25" s="1"/>
  <c r="BS76" i="25"/>
  <c r="CP79" i="25"/>
  <c r="CX101" i="25"/>
  <c r="CY101" i="25" s="1"/>
  <c r="CZ101" i="25" s="1"/>
  <c r="DA101" i="25" s="1"/>
  <c r="BS129" i="25"/>
  <c r="DH201" i="25"/>
  <c r="CX210" i="25"/>
  <c r="CY210" i="25" s="1"/>
  <c r="CZ210" i="25" s="1"/>
  <c r="DA210" i="25" s="1"/>
  <c r="CX171" i="25"/>
  <c r="CY171" i="25" s="1"/>
  <c r="CZ171" i="25" s="1"/>
  <c r="DA171" i="25" s="1"/>
  <c r="BS217" i="25"/>
  <c r="BS225" i="25"/>
  <c r="CO261" i="25"/>
  <c r="CN281" i="25"/>
  <c r="CX284" i="25"/>
  <c r="CY284" i="25" s="1"/>
  <c r="CZ284" i="25" s="1"/>
  <c r="DA284" i="25" s="1"/>
  <c r="BS287" i="25"/>
  <c r="CP299" i="25"/>
  <c r="CX313" i="25"/>
  <c r="CY313" i="25" s="1"/>
  <c r="CZ313" i="25" s="1"/>
  <c r="DA313" i="25" s="1"/>
  <c r="CX337" i="25"/>
  <c r="CY337" i="25" s="1"/>
  <c r="CZ337" i="25" s="1"/>
  <c r="DA337" i="25" s="1"/>
  <c r="CN343" i="25"/>
  <c r="CQ358" i="25"/>
  <c r="CR358" i="25" s="1"/>
  <c r="BY372" i="25"/>
  <c r="CP374" i="25"/>
  <c r="CX379" i="25"/>
  <c r="CY379" i="25" s="1"/>
  <c r="CZ379" i="25" s="1"/>
  <c r="DA379" i="25" s="1"/>
  <c r="CN538" i="25"/>
  <c r="CM76" i="25"/>
  <c r="CS76" i="25" s="1"/>
  <c r="BZ90" i="25"/>
  <c r="CN172" i="25"/>
  <c r="CN203" i="25"/>
  <c r="CO231" i="25"/>
  <c r="CQ324" i="25"/>
  <c r="CR324" i="25" s="1"/>
  <c r="CX530" i="25"/>
  <c r="CY530" i="25" s="1"/>
  <c r="CZ530" i="25" s="1"/>
  <c r="DA530" i="25" s="1"/>
  <c r="BS21" i="25"/>
  <c r="CX22" i="25"/>
  <c r="CY22" i="25" s="1"/>
  <c r="CZ22" i="25" s="1"/>
  <c r="DA22" i="25" s="1"/>
  <c r="CX28" i="25"/>
  <c r="CY28" i="25" s="1"/>
  <c r="CZ28" i="25" s="1"/>
  <c r="DA28" i="25" s="1"/>
  <c r="CX30" i="25"/>
  <c r="CY30" i="25" s="1"/>
  <c r="CZ30" i="25" s="1"/>
  <c r="DA30" i="25" s="1"/>
  <c r="CN30" i="25"/>
  <c r="BS31" i="25"/>
  <c r="BY51" i="25"/>
  <c r="CA51" i="25" s="1"/>
  <c r="CB51" i="25" s="1"/>
  <c r="BS83" i="25"/>
  <c r="CN96" i="25"/>
  <c r="CX108" i="25"/>
  <c r="CY108" i="25" s="1"/>
  <c r="CZ108" i="25" s="1"/>
  <c r="DA108" i="25" s="1"/>
  <c r="CP116" i="25"/>
  <c r="BS122" i="25"/>
  <c r="CO134" i="25"/>
  <c r="BS144" i="25"/>
  <c r="CX150" i="25"/>
  <c r="CY150" i="25" s="1"/>
  <c r="CZ150" i="25" s="1"/>
  <c r="DA150" i="25" s="1"/>
  <c r="BS151" i="25"/>
  <c r="CM157" i="25"/>
  <c r="CS157" i="25" s="1"/>
  <c r="BS159" i="25"/>
  <c r="CQ162" i="25"/>
  <c r="CR162" i="25" s="1"/>
  <c r="CN163" i="25"/>
  <c r="BS192" i="25"/>
  <c r="CP178" i="25"/>
  <c r="CN197" i="25"/>
  <c r="CX172" i="25"/>
  <c r="CY172" i="25" s="1"/>
  <c r="CZ172" i="25" s="1"/>
  <c r="DA172" i="25" s="1"/>
  <c r="CN213" i="25"/>
  <c r="BS220" i="25"/>
  <c r="CP239" i="25"/>
  <c r="BS241" i="25"/>
  <c r="CX242" i="25"/>
  <c r="CY242" i="25" s="1"/>
  <c r="CZ242" i="25" s="1"/>
  <c r="DA242" i="25" s="1"/>
  <c r="DH245" i="25"/>
  <c r="CX249" i="25"/>
  <c r="CY249" i="25" s="1"/>
  <c r="CZ249" i="25" s="1"/>
  <c r="DA249" i="25" s="1"/>
  <c r="BS250" i="25"/>
  <c r="CP251" i="25"/>
  <c r="CP260" i="25"/>
  <c r="CQ267" i="25"/>
  <c r="CR267" i="25" s="1"/>
  <c r="CN279" i="25"/>
  <c r="CO281" i="25"/>
  <c r="CN301" i="25"/>
  <c r="CP303" i="25"/>
  <c r="CX308" i="25"/>
  <c r="CY308" i="25" s="1"/>
  <c r="CZ308" i="25" s="1"/>
  <c r="DA308" i="25" s="1"/>
  <c r="BS309" i="25"/>
  <c r="BS311" i="25"/>
  <c r="DH312" i="25"/>
  <c r="CX340" i="25"/>
  <c r="CY340" i="25" s="1"/>
  <c r="CZ340" i="25" s="1"/>
  <c r="DA340" i="25" s="1"/>
  <c r="CM342" i="25"/>
  <c r="CS342" i="25" s="1"/>
  <c r="BS356" i="25"/>
  <c r="CM358" i="25"/>
  <c r="CS358" i="25" s="1"/>
  <c r="CQ366" i="25"/>
  <c r="CR366" i="25" s="1"/>
  <c r="BS382" i="25"/>
  <c r="CX383" i="25"/>
  <c r="CY383" i="25" s="1"/>
  <c r="CZ383" i="25" s="1"/>
  <c r="DA383" i="25" s="1"/>
  <c r="CX387" i="25"/>
  <c r="CY387" i="25" s="1"/>
  <c r="CZ387" i="25" s="1"/>
  <c r="DA387" i="25" s="1"/>
  <c r="CM505" i="25"/>
  <c r="CS505" i="25" s="1"/>
  <c r="BS507" i="25"/>
  <c r="CP516" i="25"/>
  <c r="BS529" i="25"/>
  <c r="CM534" i="25"/>
  <c r="CS534" i="25" s="1"/>
  <c r="CP536" i="25"/>
  <c r="CQ537" i="25"/>
  <c r="CR537" i="25" s="1"/>
  <c r="CM161" i="25"/>
  <c r="CS161" i="25" s="1"/>
  <c r="CN176" i="25"/>
  <c r="CM201" i="25"/>
  <c r="CS201" i="25" s="1"/>
  <c r="CN216" i="25"/>
  <c r="CO274" i="25"/>
  <c r="CO326" i="25"/>
  <c r="CN511" i="25"/>
  <c r="BS13" i="25"/>
  <c r="CX40" i="25"/>
  <c r="CY40" i="25" s="1"/>
  <c r="CZ40" i="25" s="1"/>
  <c r="DA40" i="25" s="1"/>
  <c r="CM43" i="25"/>
  <c r="CS43" i="25" s="1"/>
  <c r="BS45" i="25"/>
  <c r="CN53" i="25"/>
  <c r="BS68" i="25"/>
  <c r="CM137" i="25"/>
  <c r="CS137" i="25" s="1"/>
  <c r="CP161" i="25"/>
  <c r="CO164" i="25"/>
  <c r="CX165" i="25"/>
  <c r="CY165" i="25" s="1"/>
  <c r="CZ165" i="25" s="1"/>
  <c r="DA165" i="25" s="1"/>
  <c r="CQ176" i="25"/>
  <c r="CR176" i="25" s="1"/>
  <c r="CX194" i="25"/>
  <c r="CY194" i="25" s="1"/>
  <c r="CZ194" i="25" s="1"/>
  <c r="DA194" i="25" s="1"/>
  <c r="BY230" i="25"/>
  <c r="CA230" i="25" s="1"/>
  <c r="CX230" i="25"/>
  <c r="CY230" i="25" s="1"/>
  <c r="CZ230" i="25" s="1"/>
  <c r="DA230" i="25" s="1"/>
  <c r="CX248" i="25"/>
  <c r="CY248" i="25" s="1"/>
  <c r="CZ248" i="25" s="1"/>
  <c r="DA248" i="25" s="1"/>
  <c r="BS249" i="25"/>
  <c r="CN250" i="25"/>
  <c r="BZ274" i="25"/>
  <c r="CA274" i="25" s="1"/>
  <c r="BS279" i="25"/>
  <c r="CX318" i="25"/>
  <c r="CY318" i="25" s="1"/>
  <c r="CZ318" i="25" s="1"/>
  <c r="DA318" i="25" s="1"/>
  <c r="CQ323" i="25"/>
  <c r="CR323" i="25" s="1"/>
  <c r="CO335" i="25"/>
  <c r="BS341" i="25"/>
  <c r="BS348" i="25"/>
  <c r="CX349" i="25"/>
  <c r="CY349" i="25" s="1"/>
  <c r="CZ349" i="25" s="1"/>
  <c r="DA349" i="25" s="1"/>
  <c r="CO511" i="25"/>
  <c r="CX514" i="25"/>
  <c r="CY514" i="25" s="1"/>
  <c r="CZ514" i="25" s="1"/>
  <c r="DA514" i="25" s="1"/>
  <c r="BS515" i="25"/>
  <c r="BS517" i="25"/>
  <c r="CX522" i="25"/>
  <c r="CY522" i="25" s="1"/>
  <c r="CZ522" i="25" s="1"/>
  <c r="DA522" i="25" s="1"/>
  <c r="CO529" i="25"/>
  <c r="CQ541" i="25"/>
  <c r="CR541" i="25" s="1"/>
  <c r="CX542" i="25"/>
  <c r="CY542" i="25" s="1"/>
  <c r="CZ542" i="25" s="1"/>
  <c r="DA542" i="25" s="1"/>
  <c r="CN20" i="25"/>
  <c r="CP23" i="25"/>
  <c r="DH26" i="25"/>
  <c r="CN28" i="25"/>
  <c r="CO36" i="25"/>
  <c r="CO46" i="25"/>
  <c r="CN61" i="25"/>
  <c r="CX63" i="25"/>
  <c r="CY63" i="25" s="1"/>
  <c r="CZ63" i="25" s="1"/>
  <c r="DA63" i="25" s="1"/>
  <c r="CX72" i="25"/>
  <c r="CY72" i="25" s="1"/>
  <c r="CZ72" i="25" s="1"/>
  <c r="DA72" i="25" s="1"/>
  <c r="CQ83" i="25"/>
  <c r="CR83" i="25" s="1"/>
  <c r="CO95" i="25"/>
  <c r="CM160" i="25"/>
  <c r="CS160" i="25" s="1"/>
  <c r="CM179" i="25"/>
  <c r="CS179" i="25" s="1"/>
  <c r="DH193" i="25"/>
  <c r="CM218" i="25"/>
  <c r="CS218" i="25" s="1"/>
  <c r="CQ335" i="25"/>
  <c r="CR335" i="25" s="1"/>
  <c r="DH338" i="25"/>
  <c r="CN340" i="25"/>
  <c r="CO355" i="25"/>
  <c r="CM517" i="25"/>
  <c r="CS517" i="25" s="1"/>
  <c r="CO20" i="25"/>
  <c r="CQ23" i="25"/>
  <c r="CR23" i="25" s="1"/>
  <c r="CP28" i="25"/>
  <c r="CN31" i="25"/>
  <c r="BS32" i="25"/>
  <c r="CO35" i="25"/>
  <c r="DH36" i="25"/>
  <c r="CX78" i="25"/>
  <c r="CY78" i="25" s="1"/>
  <c r="CZ78" i="25" s="1"/>
  <c r="DA78" i="25" s="1"/>
  <c r="BS85" i="25"/>
  <c r="CQ95" i="25"/>
  <c r="CR95" i="25" s="1"/>
  <c r="CM106" i="25"/>
  <c r="CS106" i="25" s="1"/>
  <c r="BS108" i="25"/>
  <c r="CX118" i="25"/>
  <c r="CY118" i="25" s="1"/>
  <c r="CZ118" i="25" s="1"/>
  <c r="DA118" i="25" s="1"/>
  <c r="DH124" i="25"/>
  <c r="BS135" i="25"/>
  <c r="CP139" i="25"/>
  <c r="BS143" i="25"/>
  <c r="CP150" i="25"/>
  <c r="CQ179" i="25"/>
  <c r="CR179" i="25" s="1"/>
  <c r="BS190" i="25"/>
  <c r="CO189" i="25"/>
  <c r="BS240" i="25"/>
  <c r="CX255" i="25"/>
  <c r="CY255" i="25" s="1"/>
  <c r="CZ255" i="25" s="1"/>
  <c r="DA255" i="25" s="1"/>
  <c r="CM273" i="25"/>
  <c r="CS273" i="25" s="1"/>
  <c r="CN306" i="25"/>
  <c r="CX320" i="25"/>
  <c r="CY320" i="25" s="1"/>
  <c r="CZ320" i="25" s="1"/>
  <c r="DA320" i="25" s="1"/>
  <c r="CX326" i="25"/>
  <c r="CY326" i="25" s="1"/>
  <c r="CZ326" i="25" s="1"/>
  <c r="DA326" i="25" s="1"/>
  <c r="CO334" i="25"/>
  <c r="CX336" i="25"/>
  <c r="CY336" i="25" s="1"/>
  <c r="CZ336" i="25" s="1"/>
  <c r="DA336" i="25" s="1"/>
  <c r="CO340" i="25"/>
  <c r="CX361" i="25"/>
  <c r="CY361" i="25" s="1"/>
  <c r="CZ361" i="25" s="1"/>
  <c r="DA361" i="25" s="1"/>
  <c r="CM372" i="25"/>
  <c r="CS372" i="25" s="1"/>
  <c r="CN386" i="25"/>
  <c r="BS387" i="25"/>
  <c r="CX516" i="25"/>
  <c r="CY516" i="25" s="1"/>
  <c r="CZ516" i="25" s="1"/>
  <c r="DA516" i="25" s="1"/>
  <c r="CQ517" i="25"/>
  <c r="CR517" i="25" s="1"/>
  <c r="BS530" i="25"/>
  <c r="BS532" i="25"/>
  <c r="CQ533" i="25"/>
  <c r="CR533" i="25" s="1"/>
  <c r="BY75" i="25"/>
  <c r="CA75" i="25" s="1"/>
  <c r="CB75" i="25" s="1"/>
  <c r="CF75" i="25" s="1"/>
  <c r="CG75" i="25" s="1"/>
  <c r="CJ75" i="25" s="1"/>
  <c r="CN528" i="25"/>
  <c r="BS538" i="25"/>
  <c r="CM12" i="25"/>
  <c r="CS12" i="25" s="1"/>
  <c r="CX15" i="25"/>
  <c r="CY15" i="25" s="1"/>
  <c r="CZ15" i="25" s="1"/>
  <c r="DA15" i="25" s="1"/>
  <c r="DH17" i="25"/>
  <c r="CM19" i="25"/>
  <c r="CS19" i="25" s="1"/>
  <c r="DH22" i="25"/>
  <c r="CP25" i="25"/>
  <c r="BS27" i="25"/>
  <c r="DH32" i="25"/>
  <c r="CM34" i="25"/>
  <c r="CS34" i="25" s="1"/>
  <c r="CM44" i="25"/>
  <c r="CS44" i="25" s="1"/>
  <c r="CX65" i="25"/>
  <c r="CY65" i="25" s="1"/>
  <c r="CZ65" i="25" s="1"/>
  <c r="DA65" i="25" s="1"/>
  <c r="CX90" i="25"/>
  <c r="CY90" i="25" s="1"/>
  <c r="CZ90" i="25" s="1"/>
  <c r="DA90" i="25" s="1"/>
  <c r="CO99" i="25"/>
  <c r="CN101" i="25"/>
  <c r="CX104" i="25"/>
  <c r="CY104" i="25" s="1"/>
  <c r="CZ104" i="25" s="1"/>
  <c r="DA104" i="25" s="1"/>
  <c r="BS105" i="25"/>
  <c r="CX115" i="25"/>
  <c r="CY115" i="25" s="1"/>
  <c r="CZ115" i="25" s="1"/>
  <c r="DA115" i="25" s="1"/>
  <c r="BS116" i="25"/>
  <c r="CX129" i="25"/>
  <c r="CY129" i="25" s="1"/>
  <c r="CZ129" i="25" s="1"/>
  <c r="DA129" i="25" s="1"/>
  <c r="CX161" i="25"/>
  <c r="CY161" i="25" s="1"/>
  <c r="CZ161" i="25" s="1"/>
  <c r="DA161" i="25" s="1"/>
  <c r="CM162" i="25"/>
  <c r="CS162" i="25" s="1"/>
  <c r="BS191" i="25"/>
  <c r="CX183" i="25"/>
  <c r="CY183" i="25" s="1"/>
  <c r="CZ183" i="25" s="1"/>
  <c r="DA183" i="25" s="1"/>
  <c r="BS194" i="25"/>
  <c r="CM265" i="25"/>
  <c r="CS265" i="25" s="1"/>
  <c r="CP268" i="25"/>
  <c r="CX271" i="25"/>
  <c r="CY271" i="25" s="1"/>
  <c r="CZ271" i="25" s="1"/>
  <c r="DA271" i="25" s="1"/>
  <c r="CP282" i="25"/>
  <c r="BS290" i="25"/>
  <c r="CN329" i="25"/>
  <c r="CX330" i="25"/>
  <c r="CY330" i="25" s="1"/>
  <c r="CZ330" i="25" s="1"/>
  <c r="DA330" i="25" s="1"/>
  <c r="CX335" i="25"/>
  <c r="CY335" i="25" s="1"/>
  <c r="CZ335" i="25" s="1"/>
  <c r="DA335" i="25" s="1"/>
  <c r="BS342" i="25"/>
  <c r="CP343" i="25"/>
  <c r="CX206" i="25"/>
  <c r="CY206" i="25" s="1"/>
  <c r="CZ206" i="25" s="1"/>
  <c r="DA206" i="25" s="1"/>
  <c r="CN348" i="25"/>
  <c r="CM350" i="25"/>
  <c r="CS350" i="25" s="1"/>
  <c r="CP354" i="25"/>
  <c r="CN364" i="25"/>
  <c r="BS512" i="25"/>
  <c r="BS518" i="25"/>
  <c r="CP528" i="25"/>
  <c r="CQ532" i="25"/>
  <c r="CR532" i="25" s="1"/>
  <c r="DH112" i="25"/>
  <c r="DH315" i="25"/>
  <c r="DH332" i="25"/>
  <c r="CX12" i="25"/>
  <c r="CY12" i="25" s="1"/>
  <c r="CZ12" i="25" s="1"/>
  <c r="DA12" i="25" s="1"/>
  <c r="CX24" i="25"/>
  <c r="CY24" i="25" s="1"/>
  <c r="CZ24" i="25" s="1"/>
  <c r="DA24" i="25" s="1"/>
  <c r="CM27" i="25"/>
  <c r="CS27" i="25" s="1"/>
  <c r="CX67" i="25"/>
  <c r="CY67" i="25" s="1"/>
  <c r="CZ67" i="25" s="1"/>
  <c r="DA67" i="25" s="1"/>
  <c r="BS69" i="25"/>
  <c r="CX86" i="25"/>
  <c r="CY86" i="25" s="1"/>
  <c r="CZ86" i="25" s="1"/>
  <c r="DA86" i="25" s="1"/>
  <c r="BS87" i="25"/>
  <c r="CQ92" i="25"/>
  <c r="CR92" i="25" s="1"/>
  <c r="CP101" i="25"/>
  <c r="DH161" i="25"/>
  <c r="CP387" i="25"/>
  <c r="CQ387" i="25"/>
  <c r="CR387" i="25" s="1"/>
  <c r="CO77" i="25"/>
  <c r="CM87" i="25"/>
  <c r="CS87" i="25" s="1"/>
  <c r="CO112" i="25"/>
  <c r="CM112" i="25"/>
  <c r="CS112" i="25" s="1"/>
  <c r="CQ202" i="25"/>
  <c r="CR202" i="25" s="1"/>
  <c r="CP202" i="25"/>
  <c r="CO202" i="25"/>
  <c r="CP286" i="25"/>
  <c r="CM286" i="25"/>
  <c r="CS286" i="25" s="1"/>
  <c r="BZ9" i="25"/>
  <c r="BY59" i="25"/>
  <c r="CA59" i="25" s="1"/>
  <c r="CB59" i="25" s="1"/>
  <c r="CO59" i="25"/>
  <c r="BS72" i="25"/>
  <c r="CP77" i="25"/>
  <c r="CO87" i="25"/>
  <c r="DH271" i="25"/>
  <c r="CO12" i="25"/>
  <c r="CO15" i="25"/>
  <c r="CN19" i="25"/>
  <c r="CN29" i="25"/>
  <c r="CX32" i="25"/>
  <c r="CY32" i="25" s="1"/>
  <c r="CZ32" i="25" s="1"/>
  <c r="DA32" i="25" s="1"/>
  <c r="CQ59" i="25"/>
  <c r="CR59" i="25" s="1"/>
  <c r="CX66" i="25"/>
  <c r="CY66" i="25" s="1"/>
  <c r="CZ66" i="25" s="1"/>
  <c r="DA66" i="25" s="1"/>
  <c r="CM72" i="25"/>
  <c r="CS72" i="25" s="1"/>
  <c r="CP73" i="25"/>
  <c r="BS100" i="25"/>
  <c r="CN105" i="25"/>
  <c r="CO120" i="25"/>
  <c r="CP120" i="25"/>
  <c r="DH121" i="25"/>
  <c r="DH179" i="25"/>
  <c r="DH240" i="25"/>
  <c r="CQ507" i="25"/>
  <c r="CR507" i="25" s="1"/>
  <c r="CO507" i="25"/>
  <c r="CP12" i="25"/>
  <c r="CP19" i="25"/>
  <c r="CP24" i="25"/>
  <c r="CP27" i="25"/>
  <c r="CN32" i="25"/>
  <c r="CO44" i="25"/>
  <c r="CO54" i="25"/>
  <c r="CX57" i="25"/>
  <c r="CY57" i="25" s="1"/>
  <c r="CZ57" i="25" s="1"/>
  <c r="DA57" i="25" s="1"/>
  <c r="DH64" i="25"/>
  <c r="CO71" i="25"/>
  <c r="CQ72" i="25"/>
  <c r="CR72" i="25" s="1"/>
  <c r="CQ76" i="25"/>
  <c r="CR76" i="25" s="1"/>
  <c r="CO83" i="25"/>
  <c r="CM89" i="25"/>
  <c r="CS89" i="25" s="1"/>
  <c r="CN97" i="25"/>
  <c r="CO105" i="25"/>
  <c r="CM236" i="25"/>
  <c r="CS236" i="25" s="1"/>
  <c r="DH9" i="25"/>
  <c r="CX13" i="25"/>
  <c r="CY13" i="25" s="1"/>
  <c r="CZ13" i="25" s="1"/>
  <c r="DA13" i="25" s="1"/>
  <c r="BS14" i="25"/>
  <c r="CM18" i="25"/>
  <c r="CS18" i="25" s="1"/>
  <c r="BS26" i="25"/>
  <c r="CQ27" i="25"/>
  <c r="CR27" i="25" s="1"/>
  <c r="BS35" i="25"/>
  <c r="BS36" i="25"/>
  <c r="CM36" i="25"/>
  <c r="CS36" i="25" s="1"/>
  <c r="DH37" i="25"/>
  <c r="CM38" i="25"/>
  <c r="CS38" i="25" s="1"/>
  <c r="CM42" i="25"/>
  <c r="CS42" i="25" s="1"/>
  <c r="CQ44" i="25"/>
  <c r="CR44" i="25" s="1"/>
  <c r="CX46" i="25"/>
  <c r="CY46" i="25" s="1"/>
  <c r="CZ46" i="25" s="1"/>
  <c r="DA46" i="25" s="1"/>
  <c r="CX50" i="25"/>
  <c r="CY50" i="25" s="1"/>
  <c r="CZ50" i="25" s="1"/>
  <c r="DA50" i="25" s="1"/>
  <c r="BS51" i="25"/>
  <c r="BY58" i="25"/>
  <c r="CA58" i="25" s="1"/>
  <c r="CP71" i="25"/>
  <c r="BZ86" i="25"/>
  <c r="CP86" i="25"/>
  <c r="CM91" i="25"/>
  <c r="CS91" i="25" s="1"/>
  <c r="CM95" i="25"/>
  <c r="CS95" i="25" s="1"/>
  <c r="BS96" i="25"/>
  <c r="CM99" i="25"/>
  <c r="CS99" i="25" s="1"/>
  <c r="BZ102" i="25"/>
  <c r="CM102" i="25"/>
  <c r="CS102" i="25" s="1"/>
  <c r="BS104" i="25"/>
  <c r="CP115" i="25"/>
  <c r="CO115" i="25"/>
  <c r="CO238" i="25"/>
  <c r="CN238" i="25"/>
  <c r="CP206" i="25"/>
  <c r="CQ206" i="25"/>
  <c r="CR206" i="25" s="1"/>
  <c r="CO206" i="25"/>
  <c r="DH345" i="25"/>
  <c r="BZ369" i="25"/>
  <c r="CA369" i="25" s="1"/>
  <c r="CB369" i="25" s="1"/>
  <c r="CF369" i="25" s="1"/>
  <c r="CG369" i="25" s="1"/>
  <c r="CJ369" i="25" s="1"/>
  <c r="BY369" i="25"/>
  <c r="BZ39" i="25"/>
  <c r="BY43" i="25"/>
  <c r="CA43" i="25" s="1"/>
  <c r="CO43" i="25"/>
  <c r="CX56" i="25"/>
  <c r="CY56" i="25" s="1"/>
  <c r="CZ56" i="25" s="1"/>
  <c r="DA56" i="25" s="1"/>
  <c r="BS57" i="25"/>
  <c r="CX58" i="25"/>
  <c r="CY58" i="25" s="1"/>
  <c r="CZ58" i="25" s="1"/>
  <c r="DA58" i="25" s="1"/>
  <c r="BZ70" i="25"/>
  <c r="CQ96" i="25"/>
  <c r="CR96" i="25" s="1"/>
  <c r="CQ99" i="25"/>
  <c r="CR99" i="25" s="1"/>
  <c r="CQ107" i="25"/>
  <c r="CR107" i="25" s="1"/>
  <c r="CO108" i="25"/>
  <c r="CQ108" i="25"/>
  <c r="CR108" i="25" s="1"/>
  <c r="BZ112" i="25"/>
  <c r="DH144" i="25"/>
  <c r="CX298" i="25"/>
  <c r="CY298" i="25" s="1"/>
  <c r="CZ298" i="25" s="1"/>
  <c r="DA298" i="25" s="1"/>
  <c r="CP298" i="25"/>
  <c r="CO298" i="25"/>
  <c r="CX113" i="25"/>
  <c r="CY113" i="25" s="1"/>
  <c r="CZ113" i="25" s="1"/>
  <c r="DA113" i="25" s="1"/>
  <c r="CP123" i="25"/>
  <c r="CX125" i="25"/>
  <c r="CY125" i="25" s="1"/>
  <c r="CZ125" i="25" s="1"/>
  <c r="DA125" i="25" s="1"/>
  <c r="CX130" i="25"/>
  <c r="CY130" i="25" s="1"/>
  <c r="CZ130" i="25" s="1"/>
  <c r="DA130" i="25" s="1"/>
  <c r="CQ132" i="25"/>
  <c r="CR132" i="25" s="1"/>
  <c r="CX140" i="25"/>
  <c r="CY140" i="25" s="1"/>
  <c r="CZ140" i="25" s="1"/>
  <c r="DA140" i="25" s="1"/>
  <c r="CO142" i="25"/>
  <c r="CQ150" i="25"/>
  <c r="CR150" i="25" s="1"/>
  <c r="BS158" i="25"/>
  <c r="BS161" i="25"/>
  <c r="BS165" i="25"/>
  <c r="CQ166" i="25"/>
  <c r="CR166" i="25" s="1"/>
  <c r="CX167" i="25"/>
  <c r="CY167" i="25" s="1"/>
  <c r="CZ167" i="25" s="1"/>
  <c r="DA167" i="25" s="1"/>
  <c r="BZ208" i="25"/>
  <c r="CA208" i="25" s="1"/>
  <c r="CB208" i="25" s="1"/>
  <c r="CF208" i="25" s="1"/>
  <c r="CG208" i="25" s="1"/>
  <c r="CJ208" i="25" s="1"/>
  <c r="BS179" i="25"/>
  <c r="BS175" i="25"/>
  <c r="BS178" i="25"/>
  <c r="CP198" i="25"/>
  <c r="BS203" i="25"/>
  <c r="CM216" i="25"/>
  <c r="CS216" i="25" s="1"/>
  <c r="BY219" i="25"/>
  <c r="CM219" i="25"/>
  <c r="CS219" i="25" s="1"/>
  <c r="CQ232" i="25"/>
  <c r="CR232" i="25" s="1"/>
  <c r="CN246" i="25"/>
  <c r="CX258" i="25"/>
  <c r="CY258" i="25" s="1"/>
  <c r="CZ258" i="25" s="1"/>
  <c r="DA258" i="25" s="1"/>
  <c r="BS259" i="25"/>
  <c r="CX264" i="25"/>
  <c r="CY264" i="25" s="1"/>
  <c r="CZ264" i="25" s="1"/>
  <c r="DA264" i="25" s="1"/>
  <c r="CM266" i="25"/>
  <c r="CS266" i="25" s="1"/>
  <c r="CM271" i="25"/>
  <c r="CS271" i="25" s="1"/>
  <c r="BS278" i="25"/>
  <c r="BS282" i="25"/>
  <c r="CQ291" i="25"/>
  <c r="CR291" i="25" s="1"/>
  <c r="CX295" i="25"/>
  <c r="CY295" i="25" s="1"/>
  <c r="CZ295" i="25" s="1"/>
  <c r="DA295" i="25" s="1"/>
  <c r="CN297" i="25"/>
  <c r="CM304" i="25"/>
  <c r="CS304" i="25" s="1"/>
  <c r="CX305" i="25"/>
  <c r="CY305" i="25" s="1"/>
  <c r="CZ305" i="25" s="1"/>
  <c r="DA305" i="25" s="1"/>
  <c r="BS321" i="25"/>
  <c r="CN330" i="25"/>
  <c r="BS335" i="25"/>
  <c r="CP338" i="25"/>
  <c r="BS352" i="25"/>
  <c r="BS361" i="25"/>
  <c r="BS363" i="25"/>
  <c r="CO366" i="25"/>
  <c r="CP370" i="25"/>
  <c r="BS385" i="25"/>
  <c r="CO386" i="25"/>
  <c r="DH509" i="25"/>
  <c r="BS511" i="25"/>
  <c r="CP512" i="25"/>
  <c r="CP515" i="25"/>
  <c r="BZ516" i="25"/>
  <c r="CQ521" i="25"/>
  <c r="CR521" i="25" s="1"/>
  <c r="BS524" i="25"/>
  <c r="CX536" i="25"/>
  <c r="CY536" i="25" s="1"/>
  <c r="CZ536" i="25" s="1"/>
  <c r="DA536" i="25" s="1"/>
  <c r="CX110" i="25"/>
  <c r="CY110" i="25" s="1"/>
  <c r="CZ110" i="25" s="1"/>
  <c r="DA110" i="25" s="1"/>
  <c r="BY145" i="25"/>
  <c r="CA145" i="25" s="1"/>
  <c r="CO160" i="25"/>
  <c r="DH162" i="25"/>
  <c r="CX163" i="25"/>
  <c r="CY163" i="25" s="1"/>
  <c r="CZ163" i="25" s="1"/>
  <c r="DA163" i="25" s="1"/>
  <c r="BY192" i="25"/>
  <c r="BS459" i="25"/>
  <c r="BS344" i="25"/>
  <c r="CM240" i="25"/>
  <c r="CS240" i="25" s="1"/>
  <c r="BZ244" i="25"/>
  <c r="CA244" i="25" s="1"/>
  <c r="CB244" i="25" s="1"/>
  <c r="CO244" i="25"/>
  <c r="CO253" i="25"/>
  <c r="CX254" i="25"/>
  <c r="CY254" i="25" s="1"/>
  <c r="CZ254" i="25" s="1"/>
  <c r="DA254" i="25" s="1"/>
  <c r="CX260" i="25"/>
  <c r="CY260" i="25" s="1"/>
  <c r="CZ260" i="25" s="1"/>
  <c r="DA260" i="25" s="1"/>
  <c r="BS261" i="25"/>
  <c r="CX267" i="25"/>
  <c r="CY267" i="25" s="1"/>
  <c r="CZ267" i="25" s="1"/>
  <c r="DA267" i="25" s="1"/>
  <c r="CX279" i="25"/>
  <c r="CY279" i="25" s="1"/>
  <c r="CZ279" i="25" s="1"/>
  <c r="DA279" i="25" s="1"/>
  <c r="BY281" i="25"/>
  <c r="CM281" i="25"/>
  <c r="CS281" i="25" s="1"/>
  <c r="CM282" i="25"/>
  <c r="CS282" i="25" s="1"/>
  <c r="BS284" i="25"/>
  <c r="BY285" i="25"/>
  <c r="CX288" i="25"/>
  <c r="CY288" i="25" s="1"/>
  <c r="CZ288" i="25" s="1"/>
  <c r="DA288" i="25" s="1"/>
  <c r="CM290" i="25"/>
  <c r="CS290" i="25" s="1"/>
  <c r="CX294" i="25"/>
  <c r="CY294" i="25" s="1"/>
  <c r="CZ294" i="25" s="1"/>
  <c r="DA294" i="25" s="1"/>
  <c r="BS303" i="25"/>
  <c r="CX323" i="25"/>
  <c r="CY323" i="25" s="1"/>
  <c r="CZ323" i="25" s="1"/>
  <c r="DA323" i="25" s="1"/>
  <c r="BS329" i="25"/>
  <c r="CO336" i="25"/>
  <c r="BS345" i="25"/>
  <c r="BS379" i="25"/>
  <c r="BY380" i="25"/>
  <c r="BY385" i="25"/>
  <c r="CX518" i="25"/>
  <c r="CY518" i="25" s="1"/>
  <c r="CZ518" i="25" s="1"/>
  <c r="DA518" i="25" s="1"/>
  <c r="CN529" i="25"/>
  <c r="BY532" i="25"/>
  <c r="CA532" i="25" s="1"/>
  <c r="CB532" i="25" s="1"/>
  <c r="BY538" i="25"/>
  <c r="CA538" i="25" s="1"/>
  <c r="CB538" i="25" s="1"/>
  <c r="CF538" i="25" s="1"/>
  <c r="CG538" i="25" s="1"/>
  <c r="CJ538" i="25" s="1"/>
  <c r="BY121" i="25"/>
  <c r="CA121" i="25" s="1"/>
  <c r="CX123" i="25"/>
  <c r="CY123" i="25" s="1"/>
  <c r="CZ123" i="25" s="1"/>
  <c r="DA123" i="25" s="1"/>
  <c r="CX124" i="25"/>
  <c r="CY124" i="25" s="1"/>
  <c r="CZ124" i="25" s="1"/>
  <c r="DA124" i="25" s="1"/>
  <c r="BS128" i="25"/>
  <c r="CX132" i="25"/>
  <c r="CY132" i="25" s="1"/>
  <c r="CZ132" i="25" s="1"/>
  <c r="DA132" i="25" s="1"/>
  <c r="BS155" i="25"/>
  <c r="CX156" i="25"/>
  <c r="CY156" i="25" s="1"/>
  <c r="CZ156" i="25" s="1"/>
  <c r="DA156" i="25" s="1"/>
  <c r="CP160" i="25"/>
  <c r="CX190" i="25"/>
  <c r="CY190" i="25" s="1"/>
  <c r="CZ190" i="25" s="1"/>
  <c r="DA190" i="25" s="1"/>
  <c r="BS176" i="25"/>
  <c r="CX198" i="25"/>
  <c r="CY198" i="25" s="1"/>
  <c r="CZ198" i="25" s="1"/>
  <c r="DA198" i="25" s="1"/>
  <c r="CM169" i="25"/>
  <c r="CS169" i="25" s="1"/>
  <c r="BS213" i="25"/>
  <c r="BY229" i="25"/>
  <c r="CA229" i="25" s="1"/>
  <c r="CB229" i="25" s="1"/>
  <c r="CX232" i="25"/>
  <c r="CY232" i="25" s="1"/>
  <c r="CZ232" i="25" s="1"/>
  <c r="DA232" i="25" s="1"/>
  <c r="BZ240" i="25"/>
  <c r="CA240" i="25" s="1"/>
  <c r="CB240" i="25" s="1"/>
  <c r="CF240" i="25" s="1"/>
  <c r="CG240" i="25" s="1"/>
  <c r="CJ240" i="25" s="1"/>
  <c r="BZ249" i="25"/>
  <c r="CA249" i="25" s="1"/>
  <c r="CB249" i="25" s="1"/>
  <c r="CF249" i="25" s="1"/>
  <c r="CG249" i="25" s="1"/>
  <c r="CJ249" i="25" s="1"/>
  <c r="BS270" i="25"/>
  <c r="BS277" i="25"/>
  <c r="CX291" i="25"/>
  <c r="CY291" i="25" s="1"/>
  <c r="CZ291" i="25" s="1"/>
  <c r="DA291" i="25" s="1"/>
  <c r="CX297" i="25"/>
  <c r="CY297" i="25" s="1"/>
  <c r="CZ297" i="25" s="1"/>
  <c r="DA297" i="25" s="1"/>
  <c r="BS349" i="25"/>
  <c r="BS510" i="25"/>
  <c r="BS513" i="25"/>
  <c r="CX515" i="25"/>
  <c r="CY515" i="25" s="1"/>
  <c r="CZ515" i="25" s="1"/>
  <c r="DA515" i="25" s="1"/>
  <c r="CM120" i="25"/>
  <c r="CS120" i="25" s="1"/>
  <c r="CM207" i="25"/>
  <c r="CS207" i="25" s="1"/>
  <c r="CM202" i="25"/>
  <c r="CS202" i="25" s="1"/>
  <c r="CM234" i="25"/>
  <c r="CS234" i="25" s="1"/>
  <c r="CN507" i="25"/>
  <c r="CX524" i="25"/>
  <c r="CY524" i="25" s="1"/>
  <c r="CZ524" i="25" s="1"/>
  <c r="DA524" i="25" s="1"/>
  <c r="CQ529" i="25"/>
  <c r="CR529" i="25" s="1"/>
  <c r="CQ531" i="25"/>
  <c r="CR531" i="25" s="1"/>
  <c r="BY111" i="25"/>
  <c r="CA111" i="25" s="1"/>
  <c r="CM115" i="25"/>
  <c r="CS115" i="25" s="1"/>
  <c r="BS123" i="25"/>
  <c r="CX131" i="25"/>
  <c r="CY131" i="25" s="1"/>
  <c r="CZ131" i="25" s="1"/>
  <c r="DA131" i="25" s="1"/>
  <c r="CM136" i="25"/>
  <c r="CS136" i="25" s="1"/>
  <c r="BS137" i="25"/>
  <c r="CM143" i="25"/>
  <c r="CS143" i="25" s="1"/>
  <c r="CX144" i="25"/>
  <c r="CY144" i="25" s="1"/>
  <c r="CZ144" i="25" s="1"/>
  <c r="DA144" i="25" s="1"/>
  <c r="CM150" i="25"/>
  <c r="CS150" i="25" s="1"/>
  <c r="CM159" i="25"/>
  <c r="CS159" i="25" s="1"/>
  <c r="BS167" i="25"/>
  <c r="CM185" i="25"/>
  <c r="CS185" i="25" s="1"/>
  <c r="CQ188" i="25"/>
  <c r="CR188" i="25" s="1"/>
  <c r="CO176" i="25"/>
  <c r="CP213" i="25"/>
  <c r="BY224" i="25"/>
  <c r="CM233" i="25"/>
  <c r="CS233" i="25" s="1"/>
  <c r="CM235" i="25"/>
  <c r="CS235" i="25" s="1"/>
  <c r="BS242" i="25"/>
  <c r="CX244" i="25"/>
  <c r="CY244" i="25" s="1"/>
  <c r="CZ244" i="25" s="1"/>
  <c r="DA244" i="25" s="1"/>
  <c r="CP252" i="25"/>
  <c r="BS257" i="25"/>
  <c r="CP261" i="25"/>
  <c r="BY267" i="25"/>
  <c r="CP267" i="25"/>
  <c r="CO273" i="25"/>
  <c r="CN275" i="25"/>
  <c r="DH284" i="25"/>
  <c r="CX287" i="25"/>
  <c r="CY287" i="25" s="1"/>
  <c r="CZ287" i="25" s="1"/>
  <c r="DA287" i="25" s="1"/>
  <c r="BS288" i="25"/>
  <c r="CM295" i="25"/>
  <c r="CS295" i="25" s="1"/>
  <c r="CP305" i="25"/>
  <c r="CX306" i="25"/>
  <c r="CY306" i="25" s="1"/>
  <c r="CZ306" i="25" s="1"/>
  <c r="DA306" i="25" s="1"/>
  <c r="CN307" i="25"/>
  <c r="BS313" i="25"/>
  <c r="CX321" i="25"/>
  <c r="CY321" i="25" s="1"/>
  <c r="CZ321" i="25" s="1"/>
  <c r="DA321" i="25" s="1"/>
  <c r="BS322" i="25"/>
  <c r="CN332" i="25"/>
  <c r="BS343" i="25"/>
  <c r="CM355" i="25"/>
  <c r="CS355" i="25" s="1"/>
  <c r="BS371" i="25"/>
  <c r="DH379" i="25"/>
  <c r="CM381" i="25"/>
  <c r="CS381" i="25" s="1"/>
  <c r="BY513" i="25"/>
  <c r="CA513" i="25" s="1"/>
  <c r="CM516" i="25"/>
  <c r="CS516" i="25" s="1"/>
  <c r="DH523" i="25"/>
  <c r="BZ527" i="25"/>
  <c r="CX538" i="25"/>
  <c r="CY538" i="25" s="1"/>
  <c r="CZ538" i="25" s="1"/>
  <c r="DA538" i="25" s="1"/>
  <c r="CN539" i="25"/>
  <c r="BS110" i="25"/>
  <c r="CX111" i="25"/>
  <c r="CY111" i="25" s="1"/>
  <c r="CZ111" i="25" s="1"/>
  <c r="DA111" i="25" s="1"/>
  <c r="CX116" i="25"/>
  <c r="CY116" i="25" s="1"/>
  <c r="CZ116" i="25" s="1"/>
  <c r="DA116" i="25" s="1"/>
  <c r="CM124" i="25"/>
  <c r="CS124" i="25" s="1"/>
  <c r="BS127" i="25"/>
  <c r="CM144" i="25"/>
  <c r="CS144" i="25" s="1"/>
  <c r="BZ159" i="25"/>
  <c r="CN159" i="25"/>
  <c r="CN205" i="25"/>
  <c r="CX170" i="25"/>
  <c r="CY170" i="25" s="1"/>
  <c r="CZ170" i="25" s="1"/>
  <c r="DA170" i="25" s="1"/>
  <c r="CP185" i="25"/>
  <c r="CX191" i="25"/>
  <c r="CY191" i="25" s="1"/>
  <c r="CZ191" i="25" s="1"/>
  <c r="DA191" i="25" s="1"/>
  <c r="CO194" i="25"/>
  <c r="CX195" i="25"/>
  <c r="CY195" i="25" s="1"/>
  <c r="CZ195" i="25" s="1"/>
  <c r="DA195" i="25" s="1"/>
  <c r="DH199" i="25"/>
  <c r="BS204" i="25"/>
  <c r="BY218" i="25"/>
  <c r="BS219" i="25"/>
  <c r="CM220" i="25"/>
  <c r="CS220" i="25" s="1"/>
  <c r="BS223" i="25"/>
  <c r="CN263" i="25"/>
  <c r="BZ305" i="25"/>
  <c r="CA305" i="25" s="1"/>
  <c r="CO307" i="25"/>
  <c r="DH310" i="25"/>
  <c r="BZ331" i="25"/>
  <c r="CA331" i="25" s="1"/>
  <c r="CB331" i="25" s="1"/>
  <c r="CF331" i="25" s="1"/>
  <c r="CG331" i="25" s="1"/>
  <c r="CJ331" i="25" s="1"/>
  <c r="CP331" i="25"/>
  <c r="CM338" i="25"/>
  <c r="CS338" i="25" s="1"/>
  <c r="BY339" i="25"/>
  <c r="BY364" i="25"/>
  <c r="CN370" i="25"/>
  <c r="CX377" i="25"/>
  <c r="CY377" i="25" s="1"/>
  <c r="CZ377" i="25" s="1"/>
  <c r="DA377" i="25" s="1"/>
  <c r="BS378" i="25"/>
  <c r="CO381" i="25"/>
  <c r="BS386" i="25"/>
  <c r="CO506" i="25"/>
  <c r="CM512" i="25"/>
  <c r="CS512" i="25" s="1"/>
  <c r="CO522" i="25"/>
  <c r="CP539" i="25"/>
  <c r="DH542" i="25"/>
  <c r="CO123" i="25"/>
  <c r="CQ124" i="25"/>
  <c r="CR124" i="25" s="1"/>
  <c r="CM132" i="25"/>
  <c r="CS132" i="25" s="1"/>
  <c r="BY153" i="25"/>
  <c r="CA153" i="25" s="1"/>
  <c r="CP166" i="25"/>
  <c r="CM184" i="25"/>
  <c r="CS184" i="25" s="1"/>
  <c r="CX177" i="25"/>
  <c r="CY177" i="25" s="1"/>
  <c r="CZ177" i="25" s="1"/>
  <c r="DA177" i="25" s="1"/>
  <c r="BS193" i="25"/>
  <c r="CO198" i="25"/>
  <c r="BZ211" i="25"/>
  <c r="CA211" i="25" s="1"/>
  <c r="BZ212" i="25"/>
  <c r="CA212" i="25" s="1"/>
  <c r="CB212" i="25" s="1"/>
  <c r="CF212" i="25" s="1"/>
  <c r="CG212" i="25" s="1"/>
  <c r="CJ212" i="25" s="1"/>
  <c r="CQ220" i="25"/>
  <c r="CR220" i="25" s="1"/>
  <c r="CM232" i="25"/>
  <c r="CS232" i="25" s="1"/>
  <c r="BY235" i="25"/>
  <c r="CN257" i="25"/>
  <c r="CQ263" i="25"/>
  <c r="CR263" i="25" s="1"/>
  <c r="CM294" i="25"/>
  <c r="CS294" i="25" s="1"/>
  <c r="BZ301" i="25"/>
  <c r="CA301" i="25" s="1"/>
  <c r="CP307" i="25"/>
  <c r="BY322" i="25"/>
  <c r="CA322" i="25" s="1"/>
  <c r="CO338" i="25"/>
  <c r="BZ343" i="25"/>
  <c r="BY358" i="25"/>
  <c r="CM366" i="25"/>
  <c r="CS366" i="25" s="1"/>
  <c r="CO370" i="25"/>
  <c r="CP381" i="25"/>
  <c r="CP506" i="25"/>
  <c r="CO521" i="25"/>
  <c r="CQ539" i="25"/>
  <c r="CR539" i="25" s="1"/>
  <c r="DH13" i="25"/>
  <c r="BZ14" i="25"/>
  <c r="CX14" i="25"/>
  <c r="CY14" i="25" s="1"/>
  <c r="CZ14" i="25" s="1"/>
  <c r="DA14" i="25" s="1"/>
  <c r="BS20" i="25"/>
  <c r="CX20" i="25"/>
  <c r="CY20" i="25" s="1"/>
  <c r="CZ20" i="25" s="1"/>
  <c r="DA20" i="25" s="1"/>
  <c r="BS22" i="25"/>
  <c r="BS24" i="25"/>
  <c r="CO27" i="25"/>
  <c r="CQ31" i="25"/>
  <c r="CR31" i="25" s="1"/>
  <c r="CX43" i="25"/>
  <c r="CY43" i="25" s="1"/>
  <c r="CZ43" i="25" s="1"/>
  <c r="DA43" i="25" s="1"/>
  <c r="BS44" i="25"/>
  <c r="BZ45" i="25"/>
  <c r="CM45" i="25"/>
  <c r="CS45" i="25" s="1"/>
  <c r="BS46" i="25"/>
  <c r="CQ47" i="25"/>
  <c r="CR47" i="25" s="1"/>
  <c r="CQ51" i="25"/>
  <c r="CR51" i="25" s="1"/>
  <c r="CQ52" i="25"/>
  <c r="CR52" i="25" s="1"/>
  <c r="BS54" i="25"/>
  <c r="CO55" i="25"/>
  <c r="CQ56" i="25"/>
  <c r="CR56" i="25" s="1"/>
  <c r="CN57" i="25"/>
  <c r="CQ60" i="25"/>
  <c r="CR60" i="25" s="1"/>
  <c r="BS62" i="25"/>
  <c r="CX64" i="25"/>
  <c r="CY64" i="25" s="1"/>
  <c r="CZ64" i="25" s="1"/>
  <c r="DA64" i="25" s="1"/>
  <c r="BS78" i="25"/>
  <c r="BZ8" i="25"/>
  <c r="CX9" i="25"/>
  <c r="CY9" i="25" s="1"/>
  <c r="CZ9" i="25" s="1"/>
  <c r="DA9" i="25" s="1"/>
  <c r="CX10" i="25"/>
  <c r="CY10" i="25" s="1"/>
  <c r="CZ10" i="25" s="1"/>
  <c r="DA10" i="25" s="1"/>
  <c r="BS11" i="25"/>
  <c r="BZ24" i="25"/>
  <c r="BY26" i="25"/>
  <c r="CA26" i="25" s="1"/>
  <c r="CX33" i="25"/>
  <c r="CY33" i="25" s="1"/>
  <c r="CZ33" i="25" s="1"/>
  <c r="DA33" i="25" s="1"/>
  <c r="BY35" i="25"/>
  <c r="CA35" i="25" s="1"/>
  <c r="CE35" i="25" s="1"/>
  <c r="CH35" i="25" s="1"/>
  <c r="CI35" i="25" s="1"/>
  <c r="BZ38" i="25"/>
  <c r="BS39" i="25"/>
  <c r="BY44" i="25"/>
  <c r="CA44" i="25" s="1"/>
  <c r="CB44" i="25" s="1"/>
  <c r="CQ45" i="25"/>
  <c r="CR45" i="25" s="1"/>
  <c r="BY47" i="25"/>
  <c r="CA47" i="25" s="1"/>
  <c r="CB47" i="25" s="1"/>
  <c r="BY55" i="25"/>
  <c r="CA55" i="25" s="1"/>
  <c r="CB55" i="25" s="1"/>
  <c r="CQ55" i="25"/>
  <c r="CR55" i="25" s="1"/>
  <c r="BY61" i="25"/>
  <c r="CA61" i="25" s="1"/>
  <c r="CX68" i="25"/>
  <c r="CY68" i="25" s="1"/>
  <c r="CZ68" i="25" s="1"/>
  <c r="DA68" i="25" s="1"/>
  <c r="CN70" i="25"/>
  <c r="BS71" i="25"/>
  <c r="CM13" i="25"/>
  <c r="CS13" i="25" s="1"/>
  <c r="CX16" i="25"/>
  <c r="CY16" i="25" s="1"/>
  <c r="CZ16" i="25" s="1"/>
  <c r="DA16" i="25" s="1"/>
  <c r="BS18" i="25"/>
  <c r="BY20" i="25"/>
  <c r="CA20" i="25" s="1"/>
  <c r="CB20" i="25" s="1"/>
  <c r="CF20" i="25" s="1"/>
  <c r="CG20" i="25" s="1"/>
  <c r="CJ20" i="25" s="1"/>
  <c r="BY22" i="25"/>
  <c r="CA22" i="25" s="1"/>
  <c r="BZ29" i="25"/>
  <c r="BS34" i="25"/>
  <c r="BS41" i="25"/>
  <c r="BS43" i="25"/>
  <c r="BZ62" i="25"/>
  <c r="CP13" i="25"/>
  <c r="CM14" i="25"/>
  <c r="CS14" i="25" s="1"/>
  <c r="CM17" i="25"/>
  <c r="CS17" i="25" s="1"/>
  <c r="CP20" i="25"/>
  <c r="BY46" i="25"/>
  <c r="CA46" i="25" s="1"/>
  <c r="CE46" i="25" s="1"/>
  <c r="CH46" i="25" s="1"/>
  <c r="CI46" i="25" s="1"/>
  <c r="BY54" i="25"/>
  <c r="CA54" i="25" s="1"/>
  <c r="BS63" i="25"/>
  <c r="BY80" i="25"/>
  <c r="CA80" i="25" s="1"/>
  <c r="CE80" i="25" s="1"/>
  <c r="CH80" i="25" s="1"/>
  <c r="CI80" i="25" s="1"/>
  <c r="CM10" i="25"/>
  <c r="CS10" i="25" s="1"/>
  <c r="CQ13" i="25"/>
  <c r="CR13" i="25" s="1"/>
  <c r="CP15" i="25"/>
  <c r="BS16" i="25"/>
  <c r="CP17" i="25"/>
  <c r="CM31" i="25"/>
  <c r="CS31" i="25" s="1"/>
  <c r="CM33" i="25"/>
  <c r="CS33" i="25" s="1"/>
  <c r="CX36" i="25"/>
  <c r="CY36" i="25" s="1"/>
  <c r="CZ36" i="25" s="1"/>
  <c r="DA36" i="25" s="1"/>
  <c r="BS47" i="25"/>
  <c r="BY50" i="25"/>
  <c r="CA50" i="25" s="1"/>
  <c r="CE50" i="25" s="1"/>
  <c r="CH50" i="25" s="1"/>
  <c r="CI50" i="25" s="1"/>
  <c r="CX51" i="25"/>
  <c r="CY51" i="25" s="1"/>
  <c r="CZ51" i="25" s="1"/>
  <c r="DA51" i="25" s="1"/>
  <c r="CM57" i="25"/>
  <c r="CS57" i="25" s="1"/>
  <c r="CN63" i="25"/>
  <c r="CM64" i="25"/>
  <c r="CS64" i="25" s="1"/>
  <c r="CP65" i="25"/>
  <c r="BZ66" i="25"/>
  <c r="CQ67" i="25"/>
  <c r="CR67" i="25" s="1"/>
  <c r="CN68" i="25"/>
  <c r="CN72" i="25"/>
  <c r="BY9" i="25"/>
  <c r="CA9" i="25" s="1"/>
  <c r="CE9" i="25" s="1"/>
  <c r="CH9" i="25" s="1"/>
  <c r="CI9" i="25" s="1"/>
  <c r="CN10" i="25"/>
  <c r="CQ16" i="25"/>
  <c r="CR16" i="25" s="1"/>
  <c r="CX27" i="25"/>
  <c r="CY27" i="25" s="1"/>
  <c r="CZ27" i="25" s="1"/>
  <c r="DA27" i="25" s="1"/>
  <c r="BS28" i="25"/>
  <c r="BS30" i="25"/>
  <c r="BZ31" i="25"/>
  <c r="CO31" i="25"/>
  <c r="CO32" i="25"/>
  <c r="CQ33" i="25"/>
  <c r="CR33" i="25" s="1"/>
  <c r="CX34" i="25"/>
  <c r="CY34" i="25" s="1"/>
  <c r="CZ34" i="25" s="1"/>
  <c r="DA34" i="25" s="1"/>
  <c r="BS37" i="25"/>
  <c r="CX39" i="25"/>
  <c r="CY39" i="25" s="1"/>
  <c r="CZ39" i="25" s="1"/>
  <c r="DA39" i="25" s="1"/>
  <c r="CM47" i="25"/>
  <c r="CS47" i="25" s="1"/>
  <c r="CM48" i="25"/>
  <c r="CS48" i="25" s="1"/>
  <c r="CM51" i="25"/>
  <c r="CS51" i="25" s="1"/>
  <c r="BS55" i="25"/>
  <c r="CP63" i="25"/>
  <c r="CQ65" i="25"/>
  <c r="CR65" i="25" s="1"/>
  <c r="CP68" i="25"/>
  <c r="CP69" i="25"/>
  <c r="CP72" i="25"/>
  <c r="DB73" i="25"/>
  <c r="BS74" i="25"/>
  <c r="CP75" i="25"/>
  <c r="CN13" i="25"/>
  <c r="BZ18" i="25"/>
  <c r="CN23" i="25"/>
  <c r="CN27" i="25"/>
  <c r="BZ28" i="25"/>
  <c r="CP31" i="25"/>
  <c r="CQ32" i="25"/>
  <c r="CR32" i="25" s="1"/>
  <c r="DH33" i="25"/>
  <c r="CO47" i="25"/>
  <c r="CQ48" i="25"/>
  <c r="CR48" i="25" s="1"/>
  <c r="CN49" i="25"/>
  <c r="CO51" i="25"/>
  <c r="CM52" i="25"/>
  <c r="CS52" i="25" s="1"/>
  <c r="CM55" i="25"/>
  <c r="CS55" i="25" s="1"/>
  <c r="CM56" i="25"/>
  <c r="CS56" i="25" s="1"/>
  <c r="CM60" i="25"/>
  <c r="CS60" i="25" s="1"/>
  <c r="BY71" i="25"/>
  <c r="CA71" i="25" s="1"/>
  <c r="CB71" i="25" s="1"/>
  <c r="CF71" i="25" s="1"/>
  <c r="CG71" i="25" s="1"/>
  <c r="CJ71" i="25" s="1"/>
  <c r="CM81" i="25"/>
  <c r="CS81" i="25" s="1"/>
  <c r="DH88" i="25"/>
  <c r="CP90" i="25"/>
  <c r="BZ103" i="25"/>
  <c r="CQ103" i="25"/>
  <c r="CR103" i="25" s="1"/>
  <c r="CX107" i="25"/>
  <c r="CY107" i="25" s="1"/>
  <c r="CZ107" i="25" s="1"/>
  <c r="DA107" i="25" s="1"/>
  <c r="CM109" i="25"/>
  <c r="CS109" i="25" s="1"/>
  <c r="DH110" i="25"/>
  <c r="CP111" i="25"/>
  <c r="CN112" i="25"/>
  <c r="DH118" i="25"/>
  <c r="CP119" i="25"/>
  <c r="CM121" i="25"/>
  <c r="CS121" i="25" s="1"/>
  <c r="BY130" i="25"/>
  <c r="CA130" i="25" s="1"/>
  <c r="CN135" i="25"/>
  <c r="BY137" i="25"/>
  <c r="CA137" i="25" s="1"/>
  <c r="CX138" i="25"/>
  <c r="CY138" i="25" s="1"/>
  <c r="CZ138" i="25" s="1"/>
  <c r="DA138" i="25" s="1"/>
  <c r="BY141" i="25"/>
  <c r="CA141" i="25" s="1"/>
  <c r="CQ146" i="25"/>
  <c r="CR146" i="25" s="1"/>
  <c r="BY149" i="25"/>
  <c r="CA149" i="25" s="1"/>
  <c r="DH151" i="25"/>
  <c r="BZ152" i="25"/>
  <c r="CQ154" i="25"/>
  <c r="CR154" i="25" s="1"/>
  <c r="CN155" i="25"/>
  <c r="CM158" i="25"/>
  <c r="CS158" i="25" s="1"/>
  <c r="CP209" i="25"/>
  <c r="CM209" i="25"/>
  <c r="CS209" i="25" s="1"/>
  <c r="DH84" i="25"/>
  <c r="DH87" i="25"/>
  <c r="BZ89" i="25"/>
  <c r="DH90" i="25"/>
  <c r="BY92" i="25"/>
  <c r="CA92" i="25" s="1"/>
  <c r="CB92" i="25" s="1"/>
  <c r="CF92" i="25" s="1"/>
  <c r="CG92" i="25" s="1"/>
  <c r="CJ92" i="25" s="1"/>
  <c r="BY99" i="25"/>
  <c r="CA99" i="25" s="1"/>
  <c r="CB99" i="25" s="1"/>
  <c r="CX105" i="25"/>
  <c r="CY105" i="25" s="1"/>
  <c r="CZ105" i="25" s="1"/>
  <c r="DA105" i="25" s="1"/>
  <c r="CO109" i="25"/>
  <c r="CQ111" i="25"/>
  <c r="CR111" i="25" s="1"/>
  <c r="CP112" i="25"/>
  <c r="CX114" i="25"/>
  <c r="CY114" i="25" s="1"/>
  <c r="CZ114" i="25" s="1"/>
  <c r="DA114" i="25" s="1"/>
  <c r="CO127" i="25"/>
  <c r="CP128" i="25"/>
  <c r="BY134" i="25"/>
  <c r="CA134" i="25" s="1"/>
  <c r="CP135" i="25"/>
  <c r="CM139" i="25"/>
  <c r="CS139" i="25" s="1"/>
  <c r="CO149" i="25"/>
  <c r="BZ153" i="25"/>
  <c r="DH155" i="25"/>
  <c r="BY164" i="25"/>
  <c r="CA164" i="25" s="1"/>
  <c r="CB164" i="25" s="1"/>
  <c r="CF164" i="25" s="1"/>
  <c r="CG164" i="25" s="1"/>
  <c r="CJ164" i="25" s="1"/>
  <c r="CO188" i="25"/>
  <c r="BS187" i="25"/>
  <c r="BY200" i="25"/>
  <c r="CO172" i="25"/>
  <c r="CM172" i="25"/>
  <c r="CS172" i="25" s="1"/>
  <c r="CX77" i="25"/>
  <c r="CY77" i="25" s="1"/>
  <c r="CZ77" i="25" s="1"/>
  <c r="DA77" i="25" s="1"/>
  <c r="BS79" i="25"/>
  <c r="BS80" i="25"/>
  <c r="BZ82" i="25"/>
  <c r="BZ85" i="25"/>
  <c r="CX87" i="25"/>
  <c r="CY87" i="25" s="1"/>
  <c r="CZ87" i="25" s="1"/>
  <c r="DA87" i="25" s="1"/>
  <c r="DH91" i="25"/>
  <c r="CX93" i="25"/>
  <c r="CY93" i="25" s="1"/>
  <c r="CZ93" i="25" s="1"/>
  <c r="DA93" i="25" s="1"/>
  <c r="BS101" i="25"/>
  <c r="CM105" i="25"/>
  <c r="CS105" i="25" s="1"/>
  <c r="BS106" i="25"/>
  <c r="CM108" i="25"/>
  <c r="CS108" i="25" s="1"/>
  <c r="CP109" i="25"/>
  <c r="CQ112" i="25"/>
  <c r="CR112" i="25" s="1"/>
  <c r="CM117" i="25"/>
  <c r="CS117" i="25" s="1"/>
  <c r="BZ118" i="25"/>
  <c r="BS121" i="25"/>
  <c r="CP127" i="25"/>
  <c r="BY135" i="25"/>
  <c r="CA135" i="25" s="1"/>
  <c r="CB135" i="25" s="1"/>
  <c r="CF135" i="25" s="1"/>
  <c r="CG135" i="25" s="1"/>
  <c r="CJ135" i="25" s="1"/>
  <c r="CN139" i="25"/>
  <c r="BS142" i="25"/>
  <c r="BY157" i="25"/>
  <c r="CA157" i="25" s="1"/>
  <c r="CQ161" i="25"/>
  <c r="CR161" i="25" s="1"/>
  <c r="BZ162" i="25"/>
  <c r="BS163" i="25"/>
  <c r="CM163" i="25"/>
  <c r="CS163" i="25" s="1"/>
  <c r="CX168" i="25"/>
  <c r="CY168" i="25" s="1"/>
  <c r="CZ168" i="25" s="1"/>
  <c r="DA168" i="25" s="1"/>
  <c r="BS205" i="25"/>
  <c r="BS170" i="25"/>
  <c r="BS173" i="25"/>
  <c r="CO192" i="25"/>
  <c r="CQ185" i="25"/>
  <c r="CR185" i="25" s="1"/>
  <c r="BZ187" i="25"/>
  <c r="CA187" i="25" s="1"/>
  <c r="BS174" i="25"/>
  <c r="CX174" i="25"/>
  <c r="CY174" i="25" s="1"/>
  <c r="CZ174" i="25" s="1"/>
  <c r="DA174" i="25" s="1"/>
  <c r="CM178" i="25"/>
  <c r="CS178" i="25" s="1"/>
  <c r="CN459" i="25"/>
  <c r="CM182" i="25"/>
  <c r="CS182" i="25" s="1"/>
  <c r="BS186" i="25"/>
  <c r="CM193" i="25"/>
  <c r="CS193" i="25" s="1"/>
  <c r="BY196" i="25"/>
  <c r="CM196" i="25"/>
  <c r="CS196" i="25" s="1"/>
  <c r="BS199" i="25"/>
  <c r="CX201" i="25"/>
  <c r="CY201" i="25" s="1"/>
  <c r="CZ201" i="25" s="1"/>
  <c r="DA201" i="25" s="1"/>
  <c r="CX202" i="25"/>
  <c r="CY202" i="25" s="1"/>
  <c r="CZ202" i="25" s="1"/>
  <c r="DA202" i="25" s="1"/>
  <c r="BS212" i="25"/>
  <c r="BZ115" i="25"/>
  <c r="BS119" i="25"/>
  <c r="CX119" i="25"/>
  <c r="CY119" i="25" s="1"/>
  <c r="CZ119" i="25" s="1"/>
  <c r="DA119" i="25" s="1"/>
  <c r="BZ200" i="25"/>
  <c r="CA200" i="25" s="1"/>
  <c r="CB200" i="25" s="1"/>
  <c r="CX83" i="25"/>
  <c r="CY83" i="25" s="1"/>
  <c r="CZ83" i="25" s="1"/>
  <c r="DA83" i="25" s="1"/>
  <c r="CX91" i="25"/>
  <c r="CY91" i="25" s="1"/>
  <c r="CZ91" i="25" s="1"/>
  <c r="DA91" i="25" s="1"/>
  <c r="BZ97" i="25"/>
  <c r="CX103" i="25"/>
  <c r="CY103" i="25" s="1"/>
  <c r="CZ103" i="25" s="1"/>
  <c r="DA103" i="25" s="1"/>
  <c r="BY107" i="25"/>
  <c r="CA107" i="25" s="1"/>
  <c r="CB107" i="25" s="1"/>
  <c r="CF107" i="25" s="1"/>
  <c r="CG107" i="25" s="1"/>
  <c r="CJ107" i="25" s="1"/>
  <c r="BS132" i="25"/>
  <c r="CX146" i="25"/>
  <c r="CY146" i="25" s="1"/>
  <c r="CZ146" i="25" s="1"/>
  <c r="DA146" i="25" s="1"/>
  <c r="BS147" i="25"/>
  <c r="CX154" i="25"/>
  <c r="CY154" i="25" s="1"/>
  <c r="CZ154" i="25" s="1"/>
  <c r="DA154" i="25" s="1"/>
  <c r="CX158" i="25"/>
  <c r="CY158" i="25" s="1"/>
  <c r="CZ158" i="25" s="1"/>
  <c r="DA158" i="25" s="1"/>
  <c r="CM167" i="25"/>
  <c r="CS167" i="25" s="1"/>
  <c r="CO173" i="25"/>
  <c r="BS184" i="25"/>
  <c r="CM187" i="25"/>
  <c r="CS187" i="25" s="1"/>
  <c r="CO174" i="25"/>
  <c r="BS177" i="25"/>
  <c r="BY178" i="25"/>
  <c r="CM183" i="25"/>
  <c r="CS183" i="25" s="1"/>
  <c r="BS182" i="25"/>
  <c r="BY186" i="25"/>
  <c r="CP186" i="25"/>
  <c r="BS195" i="25"/>
  <c r="BS201" i="25"/>
  <c r="BS209" i="25"/>
  <c r="CO344" i="25"/>
  <c r="CP344" i="25"/>
  <c r="BS172" i="25"/>
  <c r="CQ212" i="25"/>
  <c r="CR212" i="25" s="1"/>
  <c r="BS75" i="25"/>
  <c r="BZ78" i="25"/>
  <c r="CQ79" i="25"/>
  <c r="CR79" i="25" s="1"/>
  <c r="BZ81" i="25"/>
  <c r="BS84" i="25"/>
  <c r="CM85" i="25"/>
  <c r="CS85" i="25" s="1"/>
  <c r="CP87" i="25"/>
  <c r="CN89" i="25"/>
  <c r="BS90" i="25"/>
  <c r="BY94" i="25"/>
  <c r="CA94" i="25" s="1"/>
  <c r="BZ96" i="25"/>
  <c r="CM104" i="25"/>
  <c r="CS104" i="25" s="1"/>
  <c r="CP105" i="25"/>
  <c r="DH106" i="25"/>
  <c r="CX109" i="25"/>
  <c r="CY109" i="25" s="1"/>
  <c r="CZ109" i="25" s="1"/>
  <c r="DA109" i="25" s="1"/>
  <c r="CM111" i="25"/>
  <c r="CS111" i="25" s="1"/>
  <c r="BS112" i="25"/>
  <c r="CQ115" i="25"/>
  <c r="CR115" i="25" s="1"/>
  <c r="CX117" i="25"/>
  <c r="CY117" i="25" s="1"/>
  <c r="CZ117" i="25" s="1"/>
  <c r="DA117" i="25" s="1"/>
  <c r="BZ119" i="25"/>
  <c r="CN120" i="25"/>
  <c r="DH125" i="25"/>
  <c r="CX127" i="25"/>
  <c r="CY127" i="25" s="1"/>
  <c r="CZ127" i="25" s="1"/>
  <c r="DA127" i="25" s="1"/>
  <c r="BS130" i="25"/>
  <c r="CP131" i="25"/>
  <c r="CP132" i="25"/>
  <c r="CX135" i="25"/>
  <c r="CY135" i="25" s="1"/>
  <c r="CZ135" i="25" s="1"/>
  <c r="DA135" i="25" s="1"/>
  <c r="BS136" i="25"/>
  <c r="BS141" i="25"/>
  <c r="CP142" i="25"/>
  <c r="BS146" i="25"/>
  <c r="CQ147" i="25"/>
  <c r="CR147" i="25" s="1"/>
  <c r="CX157" i="25"/>
  <c r="CY157" i="25" s="1"/>
  <c r="CZ157" i="25" s="1"/>
  <c r="DA157" i="25" s="1"/>
  <c r="CX159" i="25"/>
  <c r="CY159" i="25" s="1"/>
  <c r="CZ159" i="25" s="1"/>
  <c r="DA159" i="25" s="1"/>
  <c r="CX160" i="25"/>
  <c r="CY160" i="25" s="1"/>
  <c r="CZ160" i="25" s="1"/>
  <c r="DA160" i="25" s="1"/>
  <c r="CX164" i="25"/>
  <c r="CY164" i="25" s="1"/>
  <c r="CZ164" i="25" s="1"/>
  <c r="DA164" i="25" s="1"/>
  <c r="BS166" i="25"/>
  <c r="CX208" i="25"/>
  <c r="CY208" i="25" s="1"/>
  <c r="CZ208" i="25" s="1"/>
  <c r="DA208" i="25" s="1"/>
  <c r="CP173" i="25"/>
  <c r="CP174" i="25"/>
  <c r="BY183" i="25"/>
  <c r="BY211" i="25"/>
  <c r="CP204" i="25"/>
  <c r="CQ204" i="25"/>
  <c r="CR204" i="25" s="1"/>
  <c r="CP82" i="25"/>
  <c r="CO89" i="25"/>
  <c r="CM93" i="25"/>
  <c r="CS93" i="25" s="1"/>
  <c r="BS99" i="25"/>
  <c r="CX102" i="25"/>
  <c r="CY102" i="25" s="1"/>
  <c r="CZ102" i="25" s="1"/>
  <c r="DA102" i="25" s="1"/>
  <c r="BS103" i="25"/>
  <c r="BZ104" i="25"/>
  <c r="CN111" i="25"/>
  <c r="BZ114" i="25"/>
  <c r="CN119" i="25"/>
  <c r="CX121" i="25"/>
  <c r="CY121" i="25" s="1"/>
  <c r="CZ121" i="25" s="1"/>
  <c r="DA121" i="25" s="1"/>
  <c r="CQ131" i="25"/>
  <c r="CR131" i="25" s="1"/>
  <c r="BY142" i="25"/>
  <c r="CA142" i="25" s="1"/>
  <c r="CB142" i="25" s="1"/>
  <c r="CF142" i="25" s="1"/>
  <c r="CG142" i="25" s="1"/>
  <c r="CJ142" i="25" s="1"/>
  <c r="CN146" i="25"/>
  <c r="CM154" i="25"/>
  <c r="CS154" i="25" s="1"/>
  <c r="BY168" i="25"/>
  <c r="CA168" i="25" s="1"/>
  <c r="CB168" i="25" s="1"/>
  <c r="CF168" i="25" s="1"/>
  <c r="CG168" i="25" s="1"/>
  <c r="CJ168" i="25" s="1"/>
  <c r="BY179" i="25"/>
  <c r="BY180" i="25"/>
  <c r="BS189" i="25"/>
  <c r="CX204" i="25"/>
  <c r="CY204" i="25" s="1"/>
  <c r="CZ204" i="25" s="1"/>
  <c r="DA204" i="25" s="1"/>
  <c r="CP215" i="25"/>
  <c r="CQ215" i="25"/>
  <c r="CR215" i="25" s="1"/>
  <c r="CO215" i="25"/>
  <c r="CP89" i="25"/>
  <c r="CM90" i="25"/>
  <c r="CS90" i="25" s="1"/>
  <c r="CO93" i="25"/>
  <c r="CM110" i="25"/>
  <c r="CS110" i="25" s="1"/>
  <c r="CO119" i="25"/>
  <c r="BZ125" i="25"/>
  <c r="CX133" i="25"/>
  <c r="CY133" i="25" s="1"/>
  <c r="CZ133" i="25" s="1"/>
  <c r="DA133" i="25" s="1"/>
  <c r="BS140" i="25"/>
  <c r="CO146" i="25"/>
  <c r="CM151" i="25"/>
  <c r="CS151" i="25" s="1"/>
  <c r="CX152" i="25"/>
  <c r="CY152" i="25" s="1"/>
  <c r="CZ152" i="25" s="1"/>
  <c r="DA152" i="25" s="1"/>
  <c r="CM155" i="25"/>
  <c r="CS155" i="25" s="1"/>
  <c r="CX162" i="25"/>
  <c r="CY162" i="25" s="1"/>
  <c r="CZ162" i="25" s="1"/>
  <c r="DA162" i="25" s="1"/>
  <c r="CP180" i="25"/>
  <c r="DH175" i="25"/>
  <c r="CN194" i="25"/>
  <c r="CQ197" i="25"/>
  <c r="CR197" i="25" s="1"/>
  <c r="CM199" i="25"/>
  <c r="CS199" i="25" s="1"/>
  <c r="CQ201" i="25"/>
  <c r="CR201" i="25" s="1"/>
  <c r="CX169" i="25"/>
  <c r="CY169" i="25" s="1"/>
  <c r="CZ169" i="25" s="1"/>
  <c r="DA169" i="25" s="1"/>
  <c r="BS210" i="25"/>
  <c r="CO320" i="25"/>
  <c r="CP320" i="25"/>
  <c r="CM204" i="25"/>
  <c r="CS204" i="25" s="1"/>
  <c r="CO213" i="25"/>
  <c r="BS215" i="25"/>
  <c r="BS216" i="25"/>
  <c r="CX225" i="25"/>
  <c r="CY225" i="25" s="1"/>
  <c r="CZ225" i="25" s="1"/>
  <c r="DA225" i="25" s="1"/>
  <c r="BS226" i="25"/>
  <c r="BY231" i="25"/>
  <c r="CM231" i="25"/>
  <c r="CS231" i="25" s="1"/>
  <c r="CO249" i="25"/>
  <c r="BZ251" i="25"/>
  <c r="CA251" i="25" s="1"/>
  <c r="CB251" i="25" s="1"/>
  <c r="CF251" i="25" s="1"/>
  <c r="CG251" i="25" s="1"/>
  <c r="CJ251" i="25" s="1"/>
  <c r="CQ252" i="25"/>
  <c r="CR252" i="25" s="1"/>
  <c r="CX256" i="25"/>
  <c r="CY256" i="25" s="1"/>
  <c r="CZ256" i="25" s="1"/>
  <c r="DA256" i="25" s="1"/>
  <c r="BS258" i="25"/>
  <c r="CP259" i="25"/>
  <c r="DH261" i="25"/>
  <c r="BS263" i="25"/>
  <c r="CX275" i="25"/>
  <c r="CY275" i="25" s="1"/>
  <c r="CZ275" i="25" s="1"/>
  <c r="DA275" i="25" s="1"/>
  <c r="CQ279" i="25"/>
  <c r="CR279" i="25" s="1"/>
  <c r="BY289" i="25"/>
  <c r="CO294" i="25"/>
  <c r="BS295" i="25"/>
  <c r="CN300" i="25"/>
  <c r="CO339" i="25"/>
  <c r="CP339" i="25"/>
  <c r="BY350" i="25"/>
  <c r="BZ350" i="25"/>
  <c r="CA350" i="25" s="1"/>
  <c r="CM215" i="25"/>
  <c r="CS215" i="25" s="1"/>
  <c r="CP249" i="25"/>
  <c r="CO270" i="25"/>
  <c r="CP294" i="25"/>
  <c r="DH314" i="25"/>
  <c r="CN209" i="25"/>
  <c r="BS214" i="25"/>
  <c r="BY215" i="25"/>
  <c r="BY216" i="25"/>
  <c r="CX217" i="25"/>
  <c r="CY217" i="25" s="1"/>
  <c r="CZ217" i="25" s="1"/>
  <c r="DA217" i="25" s="1"/>
  <c r="BS218" i="25"/>
  <c r="BZ219" i="25"/>
  <c r="CX221" i="25"/>
  <c r="CY221" i="25" s="1"/>
  <c r="CZ221" i="25" s="1"/>
  <c r="DA221" i="25" s="1"/>
  <c r="CQ231" i="25"/>
  <c r="CR231" i="25" s="1"/>
  <c r="CX233" i="25"/>
  <c r="CY233" i="25" s="1"/>
  <c r="CZ233" i="25" s="1"/>
  <c r="DA233" i="25" s="1"/>
  <c r="CP238" i="25"/>
  <c r="CP240" i="25"/>
  <c r="CN241" i="25"/>
  <c r="CM242" i="25"/>
  <c r="CS242" i="25" s="1"/>
  <c r="BS243" i="25"/>
  <c r="CP244" i="25"/>
  <c r="BS245" i="25"/>
  <c r="CX246" i="25"/>
  <c r="CY246" i="25" s="1"/>
  <c r="CZ246" i="25" s="1"/>
  <c r="DA246" i="25" s="1"/>
  <c r="CX251" i="25"/>
  <c r="CY251" i="25" s="1"/>
  <c r="CZ251" i="25" s="1"/>
  <c r="DA251" i="25" s="1"/>
  <c r="BS256" i="25"/>
  <c r="CO257" i="25"/>
  <c r="BZ258" i="25"/>
  <c r="CA258" i="25" s="1"/>
  <c r="CN258" i="25"/>
  <c r="CX261" i="25"/>
  <c r="CY261" i="25" s="1"/>
  <c r="CZ261" i="25" s="1"/>
  <c r="DA261" i="25" s="1"/>
  <c r="BY263" i="25"/>
  <c r="CO263" i="25"/>
  <c r="CM264" i="25"/>
  <c r="CS264" i="25" s="1"/>
  <c r="CP265" i="25"/>
  <c r="DH266" i="25"/>
  <c r="CP270" i="25"/>
  <c r="CP271" i="25"/>
  <c r="CM277" i="25"/>
  <c r="CS277" i="25" s="1"/>
  <c r="BZ278" i="25"/>
  <c r="CA278" i="25" s="1"/>
  <c r="CB278" i="25" s="1"/>
  <c r="CF278" i="25" s="1"/>
  <c r="CG278" i="25" s="1"/>
  <c r="CJ278" i="25" s="1"/>
  <c r="CP278" i="25"/>
  <c r="DH279" i="25"/>
  <c r="CO295" i="25"/>
  <c r="BS296" i="25"/>
  <c r="CM296" i="25"/>
  <c r="CS296" i="25" s="1"/>
  <c r="CP297" i="25"/>
  <c r="CQ298" i="25"/>
  <c r="CR298" i="25" s="1"/>
  <c r="DH298" i="25"/>
  <c r="DH300" i="25"/>
  <c r="CP302" i="25"/>
  <c r="DH306" i="25"/>
  <c r="CQ325" i="25"/>
  <c r="CR325" i="25" s="1"/>
  <c r="CN325" i="25"/>
  <c r="DH329" i="25"/>
  <c r="DH334" i="25"/>
  <c r="BS211" i="25"/>
  <c r="CX344" i="25"/>
  <c r="CY344" i="25" s="1"/>
  <c r="CZ344" i="25" s="1"/>
  <c r="DA344" i="25" s="1"/>
  <c r="CX203" i="25"/>
  <c r="CY203" i="25" s="1"/>
  <c r="CZ203" i="25" s="1"/>
  <c r="DA203" i="25" s="1"/>
  <c r="BS171" i="25"/>
  <c r="BS222" i="25"/>
  <c r="CO223" i="25"/>
  <c r="BZ226" i="25"/>
  <c r="CA226" i="25" s="1"/>
  <c r="CQ228" i="25"/>
  <c r="CR228" i="25" s="1"/>
  <c r="BS236" i="25"/>
  <c r="CQ240" i="25"/>
  <c r="CR240" i="25" s="1"/>
  <c r="CO242" i="25"/>
  <c r="BZ243" i="25"/>
  <c r="CA243" i="25" s="1"/>
  <c r="CM243" i="25"/>
  <c r="CS243" i="25" s="1"/>
  <c r="CX252" i="25"/>
  <c r="CY252" i="25" s="1"/>
  <c r="CZ252" i="25" s="1"/>
  <c r="DA252" i="25" s="1"/>
  <c r="BS254" i="25"/>
  <c r="CN255" i="25"/>
  <c r="CM256" i="25"/>
  <c r="CS256" i="25" s="1"/>
  <c r="CP257" i="25"/>
  <c r="BS262" i="25"/>
  <c r="BY265" i="25"/>
  <c r="BY273" i="25"/>
  <c r="CX273" i="25"/>
  <c r="CY273" i="25" s="1"/>
  <c r="CZ273" i="25" s="1"/>
  <c r="DA273" i="25" s="1"/>
  <c r="CX274" i="25"/>
  <c r="CY274" i="25" s="1"/>
  <c r="CZ274" i="25" s="1"/>
  <c r="DA274" i="25" s="1"/>
  <c r="CO277" i="25"/>
  <c r="CX282" i="25"/>
  <c r="CY282" i="25" s="1"/>
  <c r="CZ282" i="25" s="1"/>
  <c r="DA282" i="25" s="1"/>
  <c r="CM287" i="25"/>
  <c r="CS287" i="25" s="1"/>
  <c r="CM289" i="25"/>
  <c r="CS289" i="25" s="1"/>
  <c r="CP295" i="25"/>
  <c r="CP296" i="25"/>
  <c r="DH296" i="25"/>
  <c r="CX300" i="25"/>
  <c r="CY300" i="25" s="1"/>
  <c r="CZ300" i="25" s="1"/>
  <c r="DA300" i="25" s="1"/>
  <c r="BY309" i="25"/>
  <c r="BZ313" i="25"/>
  <c r="DH353" i="25"/>
  <c r="CP380" i="25"/>
  <c r="CO380" i="25"/>
  <c r="CM380" i="25"/>
  <c r="CS380" i="25" s="1"/>
  <c r="CM226" i="25"/>
  <c r="CS226" i="25" s="1"/>
  <c r="BS227" i="25"/>
  <c r="CP242" i="25"/>
  <c r="BZ245" i="25"/>
  <c r="CA245" i="25" s="1"/>
  <c r="CE245" i="25" s="1"/>
  <c r="CH245" i="25" s="1"/>
  <c r="CI245" i="25" s="1"/>
  <c r="CP245" i="25"/>
  <c r="BS251" i="25"/>
  <c r="CO255" i="25"/>
  <c r="CP256" i="25"/>
  <c r="BS260" i="25"/>
  <c r="CX266" i="25"/>
  <c r="CY266" i="25" s="1"/>
  <c r="CZ266" i="25" s="1"/>
  <c r="DA266" i="25" s="1"/>
  <c r="BS268" i="25"/>
  <c r="CM269" i="25"/>
  <c r="CS269" i="25" s="1"/>
  <c r="CX272" i="25"/>
  <c r="CY272" i="25" s="1"/>
  <c r="CZ272" i="25" s="1"/>
  <c r="DA272" i="25" s="1"/>
  <c r="BY277" i="25"/>
  <c r="CN287" i="25"/>
  <c r="CX293" i="25"/>
  <c r="CY293" i="25" s="1"/>
  <c r="CZ293" i="25" s="1"/>
  <c r="DA293" i="25" s="1"/>
  <c r="CX301" i="25"/>
  <c r="CY301" i="25" s="1"/>
  <c r="CZ301" i="25" s="1"/>
  <c r="DA301" i="25" s="1"/>
  <c r="BS305" i="25"/>
  <c r="BZ306" i="25"/>
  <c r="CA306" i="25" s="1"/>
  <c r="CE306" i="25" s="1"/>
  <c r="CH306" i="25" s="1"/>
  <c r="CI306" i="25" s="1"/>
  <c r="CQ310" i="25"/>
  <c r="CR310" i="25" s="1"/>
  <c r="CO310" i="25"/>
  <c r="CN314" i="25"/>
  <c r="CQ314" i="25"/>
  <c r="CR314" i="25" s="1"/>
  <c r="CO314" i="25"/>
  <c r="CQ321" i="25"/>
  <c r="CR321" i="25" s="1"/>
  <c r="CP321" i="25"/>
  <c r="CO375" i="25"/>
  <c r="CP375" i="25"/>
  <c r="CN375" i="25"/>
  <c r="CM375" i="25"/>
  <c r="CS375" i="25" s="1"/>
  <c r="CX213" i="25"/>
  <c r="CY213" i="25" s="1"/>
  <c r="CZ213" i="25" s="1"/>
  <c r="DA213" i="25" s="1"/>
  <c r="CX220" i="25"/>
  <c r="CY220" i="25" s="1"/>
  <c r="CZ220" i="25" s="1"/>
  <c r="DA220" i="25" s="1"/>
  <c r="BY223" i="25"/>
  <c r="CA223" i="25" s="1"/>
  <c r="CE223" i="25" s="1"/>
  <c r="CH223" i="25" s="1"/>
  <c r="CI223" i="25" s="1"/>
  <c r="BZ236" i="25"/>
  <c r="CA236" i="25" s="1"/>
  <c r="CB236" i="25" s="1"/>
  <c r="CP255" i="25"/>
  <c r="BZ262" i="25"/>
  <c r="CA262" i="25" s="1"/>
  <c r="BZ269" i="25"/>
  <c r="CA269" i="25" s="1"/>
  <c r="CO283" i="25"/>
  <c r="CO287" i="25"/>
  <c r="CQ327" i="25"/>
  <c r="CR327" i="25" s="1"/>
  <c r="CP327" i="25"/>
  <c r="CO327" i="25"/>
  <c r="DH328" i="25"/>
  <c r="DH373" i="25"/>
  <c r="CX223" i="25"/>
  <c r="CY223" i="25" s="1"/>
  <c r="CZ223" i="25" s="1"/>
  <c r="DA223" i="25" s="1"/>
  <c r="BS224" i="25"/>
  <c r="BY227" i="25"/>
  <c r="BS229" i="25"/>
  <c r="CX231" i="25"/>
  <c r="CY231" i="25" s="1"/>
  <c r="CZ231" i="25" s="1"/>
  <c r="DA231" i="25" s="1"/>
  <c r="BS232" i="25"/>
  <c r="BS233" i="25"/>
  <c r="BS235" i="25"/>
  <c r="CX239" i="25"/>
  <c r="CY239" i="25" s="1"/>
  <c r="CZ239" i="25" s="1"/>
  <c r="DA239" i="25" s="1"/>
  <c r="CX240" i="25"/>
  <c r="CY240" i="25" s="1"/>
  <c r="CZ240" i="25" s="1"/>
  <c r="DA240" i="25" s="1"/>
  <c r="BS246" i="25"/>
  <c r="CM246" i="25"/>
  <c r="CS246" i="25" s="1"/>
  <c r="CX247" i="25"/>
  <c r="CY247" i="25" s="1"/>
  <c r="CZ247" i="25" s="1"/>
  <c r="DA247" i="25" s="1"/>
  <c r="CN252" i="25"/>
  <c r="CN267" i="25"/>
  <c r="BZ268" i="25"/>
  <c r="CA268" i="25" s="1"/>
  <c r="CB268" i="25" s="1"/>
  <c r="CX270" i="25"/>
  <c r="CY270" i="25" s="1"/>
  <c r="CZ270" i="25" s="1"/>
  <c r="DA270" i="25" s="1"/>
  <c r="BS273" i="25"/>
  <c r="CX278" i="25"/>
  <c r="CY278" i="25" s="1"/>
  <c r="CZ278" i="25" s="1"/>
  <c r="DA278" i="25" s="1"/>
  <c r="BZ282" i="25"/>
  <c r="CA282" i="25" s="1"/>
  <c r="CE282" i="25" s="1"/>
  <c r="CH282" i="25" s="1"/>
  <c r="CI282" i="25" s="1"/>
  <c r="BS286" i="25"/>
  <c r="CQ287" i="25"/>
  <c r="CR287" i="25" s="1"/>
  <c r="CX296" i="25"/>
  <c r="CY296" i="25" s="1"/>
  <c r="CZ296" i="25" s="1"/>
  <c r="DA296" i="25" s="1"/>
  <c r="BS299" i="25"/>
  <c r="CQ301" i="25"/>
  <c r="CR301" i="25" s="1"/>
  <c r="CM301" i="25"/>
  <c r="CS301" i="25" s="1"/>
  <c r="CX302" i="25"/>
  <c r="CY302" i="25" s="1"/>
  <c r="CZ302" i="25" s="1"/>
  <c r="DA302" i="25" s="1"/>
  <c r="CQ306" i="25"/>
  <c r="CR306" i="25" s="1"/>
  <c r="CP306" i="25"/>
  <c r="CM308" i="25"/>
  <c r="CS308" i="25" s="1"/>
  <c r="CN310" i="25"/>
  <c r="DH367" i="25"/>
  <c r="BZ300" i="25"/>
  <c r="CA300" i="25" s="1"/>
  <c r="CB300" i="25" s="1"/>
  <c r="CF300" i="25" s="1"/>
  <c r="CG300" i="25" s="1"/>
  <c r="CJ300" i="25" s="1"/>
  <c r="CM305" i="25"/>
  <c r="CS305" i="25" s="1"/>
  <c r="BZ308" i="25"/>
  <c r="CA308" i="25" s="1"/>
  <c r="CB308" i="25" s="1"/>
  <c r="CF308" i="25" s="1"/>
  <c r="CG308" i="25" s="1"/>
  <c r="CJ308" i="25" s="1"/>
  <c r="BZ315" i="25"/>
  <c r="BZ317" i="25"/>
  <c r="DH320" i="25"/>
  <c r="BZ324" i="25"/>
  <c r="CA324" i="25" s="1"/>
  <c r="CB324" i="25" s="1"/>
  <c r="CF324" i="25" s="1"/>
  <c r="CG324" i="25" s="1"/>
  <c r="CJ324" i="25" s="1"/>
  <c r="DH325" i="25"/>
  <c r="DH327" i="25"/>
  <c r="CN331" i="25"/>
  <c r="BS332" i="25"/>
  <c r="CM334" i="25"/>
  <c r="CS334" i="25" s="1"/>
  <c r="BZ335" i="25"/>
  <c r="DH337" i="25"/>
  <c r="CX339" i="25"/>
  <c r="CY339" i="25" s="1"/>
  <c r="CZ339" i="25" s="1"/>
  <c r="DA339" i="25" s="1"/>
  <c r="BY343" i="25"/>
  <c r="CA343" i="25" s="1"/>
  <c r="CB343" i="25" s="1"/>
  <c r="CF343" i="25" s="1"/>
  <c r="CG343" i="25" s="1"/>
  <c r="CJ343" i="25" s="1"/>
  <c r="BZ206" i="25"/>
  <c r="DH347" i="25"/>
  <c r="CX352" i="25"/>
  <c r="CY352" i="25" s="1"/>
  <c r="CZ352" i="25" s="1"/>
  <c r="DA352" i="25" s="1"/>
  <c r="BS353" i="25"/>
  <c r="BZ355" i="25"/>
  <c r="CA355" i="25" s="1"/>
  <c r="CE355" i="25" s="1"/>
  <c r="CH355" i="25" s="1"/>
  <c r="CI355" i="25" s="1"/>
  <c r="CQ356" i="25"/>
  <c r="CR356" i="25" s="1"/>
  <c r="CX357" i="25"/>
  <c r="CY357" i="25" s="1"/>
  <c r="CZ357" i="25" s="1"/>
  <c r="DA357" i="25" s="1"/>
  <c r="CO361" i="25"/>
  <c r="CQ362" i="25"/>
  <c r="CR362" i="25" s="1"/>
  <c r="CX363" i="25"/>
  <c r="CY363" i="25" s="1"/>
  <c r="CZ363" i="25" s="1"/>
  <c r="DA363" i="25" s="1"/>
  <c r="CX364" i="25"/>
  <c r="CY364" i="25" s="1"/>
  <c r="CZ364" i="25" s="1"/>
  <c r="DA364" i="25" s="1"/>
  <c r="BZ367" i="25"/>
  <c r="CA367" i="25" s="1"/>
  <c r="CB367" i="25" s="1"/>
  <c r="CF367" i="25" s="1"/>
  <c r="CG367" i="25" s="1"/>
  <c r="CJ367" i="25" s="1"/>
  <c r="CM367" i="25"/>
  <c r="CS367" i="25" s="1"/>
  <c r="CX369" i="25"/>
  <c r="CY369" i="25" s="1"/>
  <c r="CZ369" i="25" s="1"/>
  <c r="DA369" i="25" s="1"/>
  <c r="BS370" i="25"/>
  <c r="BS373" i="25"/>
  <c r="CO374" i="25"/>
  <c r="BS375" i="25"/>
  <c r="CP377" i="25"/>
  <c r="CQ378" i="25"/>
  <c r="CR378" i="25" s="1"/>
  <c r="BZ387" i="25"/>
  <c r="CA387" i="25" s="1"/>
  <c r="CB387" i="25" s="1"/>
  <c r="CM387" i="25"/>
  <c r="CS387" i="25" s="1"/>
  <c r="BS389" i="25"/>
  <c r="CX505" i="25"/>
  <c r="CY505" i="25" s="1"/>
  <c r="CZ505" i="25" s="1"/>
  <c r="DA505" i="25" s="1"/>
  <c r="BZ508" i="25"/>
  <c r="CX508" i="25"/>
  <c r="CY508" i="25" s="1"/>
  <c r="CZ508" i="25" s="1"/>
  <c r="DA508" i="25" s="1"/>
  <c r="CM514" i="25"/>
  <c r="CS514" i="25" s="1"/>
  <c r="CM515" i="25"/>
  <c r="CS515" i="25" s="1"/>
  <c r="CN516" i="25"/>
  <c r="BZ517" i="25"/>
  <c r="CN517" i="25"/>
  <c r="BY520" i="25"/>
  <c r="CA520" i="25" s="1"/>
  <c r="CB520" i="25" s="1"/>
  <c r="BS527" i="25"/>
  <c r="CO528" i="25"/>
  <c r="BS531" i="25"/>
  <c r="CO532" i="25"/>
  <c r="CX534" i="25"/>
  <c r="CY534" i="25" s="1"/>
  <c r="CZ534" i="25" s="1"/>
  <c r="DA534" i="25" s="1"/>
  <c r="BS535" i="25"/>
  <c r="CP540" i="25"/>
  <c r="CP541" i="25"/>
  <c r="CX544" i="25"/>
  <c r="CY544" i="25" s="1"/>
  <c r="CZ544" i="25" s="1"/>
  <c r="DA544" i="25" s="1"/>
  <c r="CN311" i="25"/>
  <c r="BS312" i="25"/>
  <c r="CM312" i="25"/>
  <c r="CS312" i="25" s="1"/>
  <c r="BZ325" i="25"/>
  <c r="BZ330" i="25"/>
  <c r="CO330" i="25"/>
  <c r="CQ331" i="25"/>
  <c r="CR331" i="25" s="1"/>
  <c r="CP332" i="25"/>
  <c r="CP334" i="25"/>
  <c r="CN342" i="25"/>
  <c r="CO343" i="25"/>
  <c r="BZ347" i="25"/>
  <c r="CA347" i="25" s="1"/>
  <c r="CB347" i="25" s="1"/>
  <c r="CF347" i="25" s="1"/>
  <c r="CG347" i="25" s="1"/>
  <c r="CJ347" i="25" s="1"/>
  <c r="CX347" i="25"/>
  <c r="CY347" i="25" s="1"/>
  <c r="CZ347" i="25" s="1"/>
  <c r="DA347" i="25" s="1"/>
  <c r="CX348" i="25"/>
  <c r="CY348" i="25" s="1"/>
  <c r="CZ348" i="25" s="1"/>
  <c r="DA348" i="25" s="1"/>
  <c r="BY354" i="25"/>
  <c r="BS359" i="25"/>
  <c r="CM360" i="25"/>
  <c r="CS360" i="25" s="1"/>
  <c r="CQ373" i="25"/>
  <c r="CR373" i="25" s="1"/>
  <c r="BZ377" i="25"/>
  <c r="CA377" i="25" s="1"/>
  <c r="CB377" i="25" s="1"/>
  <c r="CF377" i="25" s="1"/>
  <c r="CG377" i="25" s="1"/>
  <c r="CJ377" i="25" s="1"/>
  <c r="BS380" i="25"/>
  <c r="BS381" i="25"/>
  <c r="CQ386" i="25"/>
  <c r="CR386" i="25" s="1"/>
  <c r="BZ389" i="25"/>
  <c r="CA389" i="25" s="1"/>
  <c r="CM389" i="25"/>
  <c r="CS389" i="25" s="1"/>
  <c r="BS506" i="25"/>
  <c r="CX511" i="25"/>
  <c r="CY511" i="25" s="1"/>
  <c r="CZ511" i="25" s="1"/>
  <c r="DA511" i="25" s="1"/>
  <c r="CX512" i="25"/>
  <c r="CY512" i="25" s="1"/>
  <c r="CZ512" i="25" s="1"/>
  <c r="DA512" i="25" s="1"/>
  <c r="CN512" i="25"/>
  <c r="CQ516" i="25"/>
  <c r="CR516" i="25" s="1"/>
  <c r="BY519" i="25"/>
  <c r="CA519" i="25" s="1"/>
  <c r="CE519" i="25" s="1"/>
  <c r="CH519" i="25" s="1"/>
  <c r="CI519" i="25" s="1"/>
  <c r="CX525" i="25"/>
  <c r="CY525" i="25" s="1"/>
  <c r="CZ525" i="25" s="1"/>
  <c r="DA525" i="25" s="1"/>
  <c r="CQ527" i="25"/>
  <c r="CR527" i="25" s="1"/>
  <c r="CX529" i="25"/>
  <c r="CY529" i="25" s="1"/>
  <c r="CZ529" i="25" s="1"/>
  <c r="DA529" i="25" s="1"/>
  <c r="BZ531" i="25"/>
  <c r="CM531" i="25"/>
  <c r="CS531" i="25" s="1"/>
  <c r="CX533" i="25"/>
  <c r="CY533" i="25" s="1"/>
  <c r="CZ533" i="25" s="1"/>
  <c r="DA533" i="25" s="1"/>
  <c r="BS534" i="25"/>
  <c r="BS536" i="25"/>
  <c r="CN380" i="25"/>
  <c r="CM530" i="25"/>
  <c r="CS530" i="25" s="1"/>
  <c r="CN327" i="25"/>
  <c r="BS328" i="25"/>
  <c r="CQ336" i="25"/>
  <c r="CR336" i="25" s="1"/>
  <c r="BS337" i="25"/>
  <c r="BY351" i="25"/>
  <c r="CX362" i="25"/>
  <c r="CY362" i="25" s="1"/>
  <c r="CZ362" i="25" s="1"/>
  <c r="DA362" i="25" s="1"/>
  <c r="CM364" i="25"/>
  <c r="CS364" i="25" s="1"/>
  <c r="CO508" i="25"/>
  <c r="CN525" i="25"/>
  <c r="BS526" i="25"/>
  <c r="CM526" i="25"/>
  <c r="CS526" i="25" s="1"/>
  <c r="CN530" i="25"/>
  <c r="CX540" i="25"/>
  <c r="CY540" i="25" s="1"/>
  <c r="CZ540" i="25" s="1"/>
  <c r="DA540" i="25" s="1"/>
  <c r="DB542" i="25"/>
  <c r="BS306" i="25"/>
  <c r="CX309" i="25"/>
  <c r="CY309" i="25" s="1"/>
  <c r="CZ309" i="25" s="1"/>
  <c r="DA309" i="25" s="1"/>
  <c r="CN309" i="25"/>
  <c r="BS310" i="25"/>
  <c r="BS314" i="25"/>
  <c r="CM321" i="25"/>
  <c r="CS321" i="25" s="1"/>
  <c r="CO323" i="25"/>
  <c r="BS324" i="25"/>
  <c r="CX332" i="25"/>
  <c r="CY332" i="25" s="1"/>
  <c r="CZ332" i="25" s="1"/>
  <c r="DA332" i="25" s="1"/>
  <c r="CM337" i="25"/>
  <c r="CS337" i="25" s="1"/>
  <c r="CX342" i="25"/>
  <c r="CY342" i="25" s="1"/>
  <c r="CZ342" i="25" s="1"/>
  <c r="DA342" i="25" s="1"/>
  <c r="BY346" i="25"/>
  <c r="BS347" i="25"/>
  <c r="CX350" i="25"/>
  <c r="CY350" i="25" s="1"/>
  <c r="CZ350" i="25" s="1"/>
  <c r="DA350" i="25" s="1"/>
  <c r="CX353" i="25"/>
  <c r="CY353" i="25" s="1"/>
  <c r="CZ353" i="25" s="1"/>
  <c r="DA353" i="25" s="1"/>
  <c r="CX360" i="25"/>
  <c r="CY360" i="25" s="1"/>
  <c r="CZ360" i="25" s="1"/>
  <c r="DA360" i="25" s="1"/>
  <c r="BS362" i="25"/>
  <c r="BZ364" i="25"/>
  <c r="CA364" i="25" s="1"/>
  <c r="CX365" i="25"/>
  <c r="CY365" i="25" s="1"/>
  <c r="CZ365" i="25" s="1"/>
  <c r="DA365" i="25" s="1"/>
  <c r="CX366" i="25"/>
  <c r="CY366" i="25" s="1"/>
  <c r="CZ366" i="25" s="1"/>
  <c r="DA366" i="25" s="1"/>
  <c r="CX367" i="25"/>
  <c r="CY367" i="25" s="1"/>
  <c r="CZ367" i="25" s="1"/>
  <c r="DA367" i="25" s="1"/>
  <c r="BZ372" i="25"/>
  <c r="CA372" i="25" s="1"/>
  <c r="DH372" i="25"/>
  <c r="BY376" i="25"/>
  <c r="CX376" i="25"/>
  <c r="CY376" i="25" s="1"/>
  <c r="CZ376" i="25" s="1"/>
  <c r="DA376" i="25" s="1"/>
  <c r="BS377" i="25"/>
  <c r="CM383" i="25"/>
  <c r="CS383" i="25" s="1"/>
  <c r="BY507" i="25"/>
  <c r="CA507" i="25" s="1"/>
  <c r="CB507" i="25" s="1"/>
  <c r="CF507" i="25" s="1"/>
  <c r="CG507" i="25" s="1"/>
  <c r="CJ507" i="25" s="1"/>
  <c r="CP508" i="25"/>
  <c r="CX510" i="25"/>
  <c r="CY510" i="25" s="1"/>
  <c r="CZ510" i="25" s="1"/>
  <c r="DA510" i="25" s="1"/>
  <c r="CO525" i="25"/>
  <c r="CP526" i="25"/>
  <c r="CO530" i="25"/>
  <c r="CO538" i="25"/>
  <c r="BS539" i="25"/>
  <c r="CN543" i="25"/>
  <c r="BS319" i="25"/>
  <c r="CP324" i="25"/>
  <c r="CM325" i="25"/>
  <c r="CS325" i="25" s="1"/>
  <c r="CP337" i="25"/>
  <c r="DH339" i="25"/>
  <c r="CX341" i="25"/>
  <c r="CY341" i="25" s="1"/>
  <c r="CZ341" i="25" s="1"/>
  <c r="DA341" i="25" s="1"/>
  <c r="CX343" i="25"/>
  <c r="CY343" i="25" s="1"/>
  <c r="CZ343" i="25" s="1"/>
  <c r="DA343" i="25" s="1"/>
  <c r="CN347" i="25"/>
  <c r="CO348" i="25"/>
  <c r="BS355" i="25"/>
  <c r="CX359" i="25"/>
  <c r="CY359" i="25" s="1"/>
  <c r="CZ359" i="25" s="1"/>
  <c r="DA359" i="25" s="1"/>
  <c r="BZ362" i="25"/>
  <c r="CA362" i="25" s="1"/>
  <c r="CB362" i="25" s="1"/>
  <c r="CO362" i="25"/>
  <c r="BZ363" i="25"/>
  <c r="CA363" i="25" s="1"/>
  <c r="CB363" i="25" s="1"/>
  <c r="BZ371" i="25"/>
  <c r="CA371" i="25" s="1"/>
  <c r="BS374" i="25"/>
  <c r="CM378" i="25"/>
  <c r="CS378" i="25" s="1"/>
  <c r="BY383" i="25"/>
  <c r="DB514" i="25"/>
  <c r="CX519" i="25"/>
  <c r="CY519" i="25" s="1"/>
  <c r="CZ519" i="25" s="1"/>
  <c r="DA519" i="25" s="1"/>
  <c r="BY525" i="25"/>
  <c r="CA525" i="25" s="1"/>
  <c r="CB525" i="25" s="1"/>
  <c r="CF525" i="25" s="1"/>
  <c r="CG525" i="25" s="1"/>
  <c r="CJ525" i="25" s="1"/>
  <c r="CP525" i="25"/>
  <c r="BS528" i="25"/>
  <c r="CX528" i="25"/>
  <c r="CY528" i="25" s="1"/>
  <c r="CZ528" i="25" s="1"/>
  <c r="DA528" i="25" s="1"/>
  <c r="CP530" i="25"/>
  <c r="BZ533" i="25"/>
  <c r="BZ536" i="25"/>
  <c r="CP538" i="25"/>
  <c r="BZ541" i="25"/>
  <c r="CM541" i="25"/>
  <c r="CS541" i="25" s="1"/>
  <c r="CP543" i="25"/>
  <c r="DH544" i="25"/>
  <c r="BZ326" i="25"/>
  <c r="CA326" i="25" s="1"/>
  <c r="BZ328" i="25"/>
  <c r="CA328" i="25" s="1"/>
  <c r="CQ347" i="25"/>
  <c r="CR347" i="25" s="1"/>
  <c r="CP348" i="25"/>
  <c r="CM349" i="25"/>
  <c r="CS349" i="25" s="1"/>
  <c r="CN361" i="25"/>
  <c r="CN377" i="25"/>
  <c r="CP378" i="25"/>
  <c r="BZ505" i="25"/>
  <c r="BY529" i="25"/>
  <c r="CA529" i="25" s="1"/>
  <c r="CB529" i="25" s="1"/>
  <c r="CM540" i="25"/>
  <c r="CS540" i="25" s="1"/>
  <c r="CQ542" i="25"/>
  <c r="CR542" i="25" s="1"/>
  <c r="CQ543" i="25"/>
  <c r="CR543" i="25" s="1"/>
  <c r="CM8" i="25"/>
  <c r="CS8" i="25" s="1"/>
  <c r="CN8" i="25"/>
  <c r="CQ8" i="25"/>
  <c r="CR8" i="25" s="1"/>
  <c r="DH16" i="25"/>
  <c r="CQ17" i="25"/>
  <c r="CR17" i="25" s="1"/>
  <c r="CN22" i="25"/>
  <c r="CN26" i="25"/>
  <c r="BY30" i="25"/>
  <c r="CA30" i="25" s="1"/>
  <c r="CM30" i="25"/>
  <c r="CS30" i="25" s="1"/>
  <c r="CP36" i="25"/>
  <c r="CM37" i="25"/>
  <c r="CS37" i="25" s="1"/>
  <c r="CM39" i="25"/>
  <c r="CS39" i="25" s="1"/>
  <c r="BY45" i="25"/>
  <c r="CA45" i="25" s="1"/>
  <c r="CB45" i="25" s="1"/>
  <c r="CF45" i="25" s="1"/>
  <c r="CG45" i="25" s="1"/>
  <c r="CJ45" i="25" s="1"/>
  <c r="CX49" i="25"/>
  <c r="CY49" i="25" s="1"/>
  <c r="CZ49" i="25" s="1"/>
  <c r="DA49" i="25" s="1"/>
  <c r="CX53" i="25"/>
  <c r="CY53" i="25" s="1"/>
  <c r="CZ53" i="25" s="1"/>
  <c r="DA53" i="25" s="1"/>
  <c r="BZ58" i="25"/>
  <c r="CM62" i="25"/>
  <c r="CS62" i="25" s="1"/>
  <c r="BZ64" i="25"/>
  <c r="CN66" i="25"/>
  <c r="BZ72" i="25"/>
  <c r="BY74" i="25"/>
  <c r="CA74" i="25" s="1"/>
  <c r="CQ80" i="25"/>
  <c r="CR80" i="25" s="1"/>
  <c r="CN81" i="25"/>
  <c r="BS82" i="25"/>
  <c r="BZ94" i="25"/>
  <c r="CO8" i="25"/>
  <c r="BY8" i="25"/>
  <c r="CA8" i="25" s="1"/>
  <c r="CB8" i="25" s="1"/>
  <c r="BZ12" i="25"/>
  <c r="BY18" i="25"/>
  <c r="CA18" i="25" s="1"/>
  <c r="DH19" i="25"/>
  <c r="BZ20" i="25"/>
  <c r="CM22" i="25"/>
  <c r="CS22" i="25" s="1"/>
  <c r="DH23" i="25"/>
  <c r="CM26" i="25"/>
  <c r="CS26" i="25" s="1"/>
  <c r="DH27" i="25"/>
  <c r="CN34" i="25"/>
  <c r="BZ37" i="25"/>
  <c r="CN37" i="25"/>
  <c r="BY38" i="25"/>
  <c r="CA38" i="25" s="1"/>
  <c r="CO39" i="25"/>
  <c r="BZ40" i="25"/>
  <c r="CM40" i="25"/>
  <c r="CS40" i="25" s="1"/>
  <c r="BZ42" i="25"/>
  <c r="BZ50" i="25"/>
  <c r="BZ54" i="25"/>
  <c r="CM58" i="25"/>
  <c r="CS58" i="25" s="1"/>
  <c r="BZ59" i="25"/>
  <c r="CX59" i="25"/>
  <c r="CY59" i="25" s="1"/>
  <c r="CZ59" i="25" s="1"/>
  <c r="DA59" i="25" s="1"/>
  <c r="CO62" i="25"/>
  <c r="CO64" i="25"/>
  <c r="BS65" i="25"/>
  <c r="CP66" i="25"/>
  <c r="CM67" i="25"/>
  <c r="CS67" i="25" s="1"/>
  <c r="CQ68" i="25"/>
  <c r="CR68" i="25" s="1"/>
  <c r="CM74" i="25"/>
  <c r="CS74" i="25" s="1"/>
  <c r="CN76" i="25"/>
  <c r="CP78" i="25"/>
  <c r="DH79" i="25"/>
  <c r="BY81" i="25"/>
  <c r="CA81" i="25" s="1"/>
  <c r="CB81" i="25" s="1"/>
  <c r="CO81" i="25"/>
  <c r="BY82" i="25"/>
  <c r="CA82" i="25" s="1"/>
  <c r="BY84" i="25"/>
  <c r="CA84" i="25" s="1"/>
  <c r="CE84" i="25" s="1"/>
  <c r="CH84" i="25" s="1"/>
  <c r="CI84" i="25" s="1"/>
  <c r="CN85" i="25"/>
  <c r="BS86" i="25"/>
  <c r="BS9" i="25"/>
  <c r="CP9" i="25"/>
  <c r="CQ9" i="25"/>
  <c r="CR9" i="25" s="1"/>
  <c r="CO16" i="25"/>
  <c r="BS8" i="25"/>
  <c r="BZ11" i="25"/>
  <c r="CM11" i="25"/>
  <c r="CS11" i="25" s="1"/>
  <c r="DH11" i="25"/>
  <c r="CN14" i="25"/>
  <c r="BS15" i="25"/>
  <c r="BZ16" i="25"/>
  <c r="CN18" i="25"/>
  <c r="BS19" i="25"/>
  <c r="CX19" i="25"/>
  <c r="CY19" i="25" s="1"/>
  <c r="CZ19" i="25" s="1"/>
  <c r="DA19" i="25" s="1"/>
  <c r="CX21" i="25"/>
  <c r="CY21" i="25" s="1"/>
  <c r="CZ21" i="25" s="1"/>
  <c r="DA21" i="25" s="1"/>
  <c r="CP22" i="25"/>
  <c r="BZ23" i="25"/>
  <c r="CM23" i="25"/>
  <c r="CS23" i="25" s="1"/>
  <c r="CX23" i="25"/>
  <c r="CY23" i="25" s="1"/>
  <c r="CZ23" i="25" s="1"/>
  <c r="DA23" i="25" s="1"/>
  <c r="CX25" i="25"/>
  <c r="CY25" i="25" s="1"/>
  <c r="CZ25" i="25" s="1"/>
  <c r="DA25" i="25" s="1"/>
  <c r="CP26" i="25"/>
  <c r="BZ27" i="25"/>
  <c r="CX29" i="25"/>
  <c r="CY29" i="25" s="1"/>
  <c r="CZ29" i="25" s="1"/>
  <c r="DA29" i="25" s="1"/>
  <c r="BZ30" i="25"/>
  <c r="CX31" i="25"/>
  <c r="CY31" i="25" s="1"/>
  <c r="CZ31" i="25" s="1"/>
  <c r="DA31" i="25" s="1"/>
  <c r="BZ33" i="25"/>
  <c r="CN33" i="25"/>
  <c r="CQ39" i="25"/>
  <c r="CR39" i="25" s="1"/>
  <c r="CO40" i="25"/>
  <c r="BZ41" i="25"/>
  <c r="CM41" i="25"/>
  <c r="CS41" i="25" s="1"/>
  <c r="CX47" i="25"/>
  <c r="CY47" i="25" s="1"/>
  <c r="CZ47" i="25" s="1"/>
  <c r="DA47" i="25" s="1"/>
  <c r="CX48" i="25"/>
  <c r="CY48" i="25" s="1"/>
  <c r="CZ48" i="25" s="1"/>
  <c r="DA48" i="25" s="1"/>
  <c r="BS49" i="25"/>
  <c r="CM50" i="25"/>
  <c r="CS50" i="25" s="1"/>
  <c r="CX52" i="25"/>
  <c r="CY52" i="25" s="1"/>
  <c r="CZ52" i="25" s="1"/>
  <c r="DA52" i="25" s="1"/>
  <c r="BS53" i="25"/>
  <c r="CM54" i="25"/>
  <c r="CS54" i="25" s="1"/>
  <c r="BZ55" i="25"/>
  <c r="CX55" i="25"/>
  <c r="CY55" i="25" s="1"/>
  <c r="CZ55" i="25" s="1"/>
  <c r="DA55" i="25" s="1"/>
  <c r="CO58" i="25"/>
  <c r="CM59" i="25"/>
  <c r="CS59" i="25" s="1"/>
  <c r="CM61" i="25"/>
  <c r="CS61" i="25" s="1"/>
  <c r="CQ62" i="25"/>
  <c r="CR62" i="25" s="1"/>
  <c r="CP64" i="25"/>
  <c r="BY65" i="25"/>
  <c r="CA65" i="25" s="1"/>
  <c r="CB65" i="25" s="1"/>
  <c r="CF65" i="25" s="1"/>
  <c r="CG65" i="25" s="1"/>
  <c r="CJ65" i="25" s="1"/>
  <c r="CM65" i="25"/>
  <c r="CS65" i="25" s="1"/>
  <c r="BZ67" i="25"/>
  <c r="CO67" i="25"/>
  <c r="BZ69" i="25"/>
  <c r="CM69" i="25"/>
  <c r="CS69" i="25" s="1"/>
  <c r="CX69" i="25"/>
  <c r="CY69" i="25" s="1"/>
  <c r="CZ69" i="25" s="1"/>
  <c r="DA69" i="25" s="1"/>
  <c r="CX71" i="25"/>
  <c r="CY71" i="25" s="1"/>
  <c r="CZ71" i="25" s="1"/>
  <c r="DA71" i="25" s="1"/>
  <c r="CM73" i="25"/>
  <c r="CS73" i="25" s="1"/>
  <c r="CX75" i="25"/>
  <c r="CY75" i="25" s="1"/>
  <c r="CZ75" i="25" s="1"/>
  <c r="DA75" i="25" s="1"/>
  <c r="DH75" i="25"/>
  <c r="BZ76" i="25"/>
  <c r="CP76" i="25"/>
  <c r="CM77" i="25"/>
  <c r="CS77" i="25" s="1"/>
  <c r="CX79" i="25"/>
  <c r="CY79" i="25" s="1"/>
  <c r="CZ79" i="25" s="1"/>
  <c r="DA79" i="25" s="1"/>
  <c r="CP81" i="25"/>
  <c r="CQ84" i="25"/>
  <c r="CR84" i="25" s="1"/>
  <c r="BY85" i="25"/>
  <c r="CA85" i="25" s="1"/>
  <c r="CB85" i="25" s="1"/>
  <c r="CO85" i="25"/>
  <c r="BY86" i="25"/>
  <c r="CA86" i="25" s="1"/>
  <c r="CQ88" i="25"/>
  <c r="CR88" i="25" s="1"/>
  <c r="BY89" i="25"/>
  <c r="CA89" i="25" s="1"/>
  <c r="CB89" i="25" s="1"/>
  <c r="BZ10" i="25"/>
  <c r="CN11" i="25"/>
  <c r="CM21" i="25"/>
  <c r="CS21" i="25" s="1"/>
  <c r="CM25" i="25"/>
  <c r="CS25" i="25" s="1"/>
  <c r="BZ35" i="25"/>
  <c r="CN35" i="25"/>
  <c r="BY40" i="25"/>
  <c r="CA40" i="25" s="1"/>
  <c r="CB40" i="25" s="1"/>
  <c r="CF40" i="25" s="1"/>
  <c r="CG40" i="25" s="1"/>
  <c r="CJ40" i="25" s="1"/>
  <c r="CQ40" i="25"/>
  <c r="CR40" i="25" s="1"/>
  <c r="BY41" i="25"/>
  <c r="CA41" i="25" s="1"/>
  <c r="CB41" i="25" s="1"/>
  <c r="CF41" i="25" s="1"/>
  <c r="CG41" i="25" s="1"/>
  <c r="CJ41" i="25" s="1"/>
  <c r="CN42" i="25"/>
  <c r="BZ46" i="25"/>
  <c r="CO50" i="25"/>
  <c r="BZ51" i="25"/>
  <c r="BZ60" i="25"/>
  <c r="BZ61" i="25"/>
  <c r="CN65" i="25"/>
  <c r="CN69" i="25"/>
  <c r="CM71" i="25"/>
  <c r="CS71" i="25" s="1"/>
  <c r="CN73" i="25"/>
  <c r="CN77" i="25"/>
  <c r="CX80" i="25"/>
  <c r="CY80" i="25" s="1"/>
  <c r="CZ80" i="25" s="1"/>
  <c r="DA80" i="25" s="1"/>
  <c r="CM82" i="25"/>
  <c r="CS82" i="25" s="1"/>
  <c r="DH83" i="25"/>
  <c r="CP85" i="25"/>
  <c r="CM86" i="25"/>
  <c r="CS86" i="25" s="1"/>
  <c r="CN91" i="25"/>
  <c r="CO11" i="25"/>
  <c r="BZ13" i="25"/>
  <c r="CM15" i="25"/>
  <c r="CS15" i="25" s="1"/>
  <c r="CX17" i="25"/>
  <c r="CY17" i="25" s="1"/>
  <c r="CZ17" i="25" s="1"/>
  <c r="DA17" i="25" s="1"/>
  <c r="BZ19" i="25"/>
  <c r="BZ21" i="25"/>
  <c r="CN21" i="25"/>
  <c r="BZ22" i="25"/>
  <c r="BZ25" i="25"/>
  <c r="CN25" i="25"/>
  <c r="BZ26" i="25"/>
  <c r="CM29" i="25"/>
  <c r="CS29" i="25" s="1"/>
  <c r="BY31" i="25"/>
  <c r="CA31" i="25" s="1"/>
  <c r="CE31" i="25" s="1"/>
  <c r="CH31" i="25" s="1"/>
  <c r="CI31" i="25" s="1"/>
  <c r="BZ32" i="25"/>
  <c r="CM32" i="25"/>
  <c r="CS32" i="25" s="1"/>
  <c r="BY34" i="25"/>
  <c r="CA34" i="25" s="1"/>
  <c r="CM35" i="25"/>
  <c r="CS35" i="25" s="1"/>
  <c r="CX35" i="25"/>
  <c r="CY35" i="25" s="1"/>
  <c r="CZ35" i="25" s="1"/>
  <c r="DA35" i="25" s="1"/>
  <c r="CX37" i="25"/>
  <c r="CY37" i="25" s="1"/>
  <c r="CZ37" i="25" s="1"/>
  <c r="DA37" i="25" s="1"/>
  <c r="BY39" i="25"/>
  <c r="CA39" i="25" s="1"/>
  <c r="CE39" i="25" s="1"/>
  <c r="CH39" i="25" s="1"/>
  <c r="CI39" i="25" s="1"/>
  <c r="CX42" i="25"/>
  <c r="CY42" i="25" s="1"/>
  <c r="CZ42" i="25" s="1"/>
  <c r="DA42" i="25" s="1"/>
  <c r="CX44" i="25"/>
  <c r="CY44" i="25" s="1"/>
  <c r="CZ44" i="25" s="1"/>
  <c r="DA44" i="25" s="1"/>
  <c r="CX45" i="25"/>
  <c r="CY45" i="25" s="1"/>
  <c r="CZ45" i="25" s="1"/>
  <c r="DA45" i="25" s="1"/>
  <c r="CM46" i="25"/>
  <c r="CS46" i="25" s="1"/>
  <c r="BZ47" i="25"/>
  <c r="CM49" i="25"/>
  <c r="CS49" i="25" s="1"/>
  <c r="CQ50" i="25"/>
  <c r="CR50" i="25" s="1"/>
  <c r="CM53" i="25"/>
  <c r="CS53" i="25" s="1"/>
  <c r="BZ56" i="25"/>
  <c r="BZ57" i="25"/>
  <c r="BY60" i="25"/>
  <c r="CA60" i="25" s="1"/>
  <c r="CB60" i="25" s="1"/>
  <c r="CF60" i="25" s="1"/>
  <c r="CG60" i="25" s="1"/>
  <c r="CJ60" i="25" s="1"/>
  <c r="BY62" i="25"/>
  <c r="CA62" i="25" s="1"/>
  <c r="CE62" i="25" s="1"/>
  <c r="CH62" i="25" s="1"/>
  <c r="CI62" i="25" s="1"/>
  <c r="BZ65" i="25"/>
  <c r="BS66" i="25"/>
  <c r="CO69" i="25"/>
  <c r="BZ73" i="25"/>
  <c r="CO73" i="25"/>
  <c r="CO75" i="25"/>
  <c r="BZ77" i="25"/>
  <c r="CM83" i="25"/>
  <c r="CS83" i="25" s="1"/>
  <c r="BZ91" i="25"/>
  <c r="CN38" i="25"/>
  <c r="BZ43" i="25"/>
  <c r="BZ44" i="25"/>
  <c r="BZ48" i="25"/>
  <c r="BZ49" i="25"/>
  <c r="BZ52" i="25"/>
  <c r="BZ53" i="25"/>
  <c r="BY56" i="25"/>
  <c r="CA56" i="25" s="1"/>
  <c r="CB56" i="25" s="1"/>
  <c r="CF56" i="25" s="1"/>
  <c r="CG56" i="25" s="1"/>
  <c r="CJ56" i="25" s="1"/>
  <c r="CX84" i="25"/>
  <c r="CY84" i="25" s="1"/>
  <c r="CZ84" i="25" s="1"/>
  <c r="DA84" i="25" s="1"/>
  <c r="CP11" i="25"/>
  <c r="BS12" i="25"/>
  <c r="BZ15" i="25"/>
  <c r="CN17" i="25"/>
  <c r="CO19" i="25"/>
  <c r="CQ21" i="25"/>
  <c r="CR21" i="25" s="1"/>
  <c r="CQ25" i="25"/>
  <c r="CR25" i="25" s="1"/>
  <c r="CQ29" i="25"/>
  <c r="CR29" i="25" s="1"/>
  <c r="CP32" i="25"/>
  <c r="BZ34" i="25"/>
  <c r="BZ36" i="25"/>
  <c r="CN36" i="25"/>
  <c r="BS38" i="25"/>
  <c r="CX41" i="25"/>
  <c r="CY41" i="25" s="1"/>
  <c r="CZ41" i="25" s="1"/>
  <c r="DA41" i="25" s="1"/>
  <c r="BS42" i="25"/>
  <c r="BY48" i="25"/>
  <c r="CA48" i="25" s="1"/>
  <c r="CB48" i="25" s="1"/>
  <c r="CF48" i="25" s="1"/>
  <c r="CG48" i="25" s="1"/>
  <c r="CJ48" i="25" s="1"/>
  <c r="BY52" i="25"/>
  <c r="CA52" i="25" s="1"/>
  <c r="CB52" i="25" s="1"/>
  <c r="CF52" i="25" s="1"/>
  <c r="CG52" i="25" s="1"/>
  <c r="CJ52" i="25" s="1"/>
  <c r="CX54" i="25"/>
  <c r="CY54" i="25" s="1"/>
  <c r="CZ54" i="25" s="1"/>
  <c r="DA54" i="25" s="1"/>
  <c r="BS58" i="25"/>
  <c r="CX61" i="25"/>
  <c r="CY61" i="25" s="1"/>
  <c r="CZ61" i="25" s="1"/>
  <c r="DA61" i="25" s="1"/>
  <c r="BZ63" i="25"/>
  <c r="BS64" i="25"/>
  <c r="BY66" i="25"/>
  <c r="CA66" i="25" s="1"/>
  <c r="CB66" i="25" s="1"/>
  <c r="CF66" i="25" s="1"/>
  <c r="CG66" i="25" s="1"/>
  <c r="CJ66" i="25" s="1"/>
  <c r="BZ68" i="25"/>
  <c r="CM68" i="25"/>
  <c r="CS68" i="25" s="1"/>
  <c r="BS70" i="25"/>
  <c r="CX70" i="25"/>
  <c r="CY70" i="25" s="1"/>
  <c r="CZ70" i="25" s="1"/>
  <c r="DA70" i="25" s="1"/>
  <c r="CX76" i="25"/>
  <c r="CY76" i="25" s="1"/>
  <c r="CZ76" i="25" s="1"/>
  <c r="DA76" i="25" s="1"/>
  <c r="BY78" i="25"/>
  <c r="CA78" i="25" s="1"/>
  <c r="BS81" i="25"/>
  <c r="CX85" i="25"/>
  <c r="CY85" i="25" s="1"/>
  <c r="CZ85" i="25" s="1"/>
  <c r="DA85" i="25" s="1"/>
  <c r="CN87" i="25"/>
  <c r="BY88" i="25"/>
  <c r="CA88" i="25" s="1"/>
  <c r="CE88" i="25" s="1"/>
  <c r="CH88" i="25" s="1"/>
  <c r="CI88" i="25" s="1"/>
  <c r="BZ92" i="25"/>
  <c r="CN92" i="25"/>
  <c r="BY93" i="25"/>
  <c r="CA93" i="25" s="1"/>
  <c r="CB93" i="25" s="1"/>
  <c r="CN93" i="25"/>
  <c r="BS94" i="25"/>
  <c r="DH95" i="25"/>
  <c r="CP97" i="25"/>
  <c r="BZ98" i="25"/>
  <c r="CM98" i="25"/>
  <c r="CS98" i="25" s="1"/>
  <c r="BZ99" i="25"/>
  <c r="CX99" i="25"/>
  <c r="CY99" i="25" s="1"/>
  <c r="CZ99" i="25" s="1"/>
  <c r="DA99" i="25" s="1"/>
  <c r="CX100" i="25"/>
  <c r="CY100" i="25" s="1"/>
  <c r="CZ100" i="25" s="1"/>
  <c r="DA100" i="25" s="1"/>
  <c r="CO103" i="25"/>
  <c r="BY108" i="25"/>
  <c r="CA108" i="25" s="1"/>
  <c r="CE108" i="25" s="1"/>
  <c r="CH108" i="25" s="1"/>
  <c r="CI108" i="25" s="1"/>
  <c r="CN108" i="25"/>
  <c r="BZ109" i="25"/>
  <c r="CN109" i="25"/>
  <c r="BS111" i="25"/>
  <c r="CM114" i="25"/>
  <c r="CS114" i="25" s="1"/>
  <c r="CQ120" i="25"/>
  <c r="CR120" i="25" s="1"/>
  <c r="CN126" i="25"/>
  <c r="BY129" i="25"/>
  <c r="CA129" i="25" s="1"/>
  <c r="BZ130" i="25"/>
  <c r="CN132" i="25"/>
  <c r="BZ133" i="25"/>
  <c r="CN134" i="25"/>
  <c r="CO135" i="25"/>
  <c r="CP138" i="25"/>
  <c r="CQ143" i="25"/>
  <c r="CR143" i="25" s="1"/>
  <c r="CX147" i="25"/>
  <c r="CY147" i="25" s="1"/>
  <c r="CZ147" i="25" s="1"/>
  <c r="DA147" i="25" s="1"/>
  <c r="BY150" i="25"/>
  <c r="CA150" i="25" s="1"/>
  <c r="CB150" i="25" s="1"/>
  <c r="CF150" i="25" s="1"/>
  <c r="CG150" i="25" s="1"/>
  <c r="CJ150" i="25" s="1"/>
  <c r="DB150" i="25"/>
  <c r="CP158" i="25"/>
  <c r="CN165" i="25"/>
  <c r="BZ168" i="25"/>
  <c r="CO168" i="25"/>
  <c r="BY205" i="25"/>
  <c r="CM205" i="25"/>
  <c r="CS205" i="25" s="1"/>
  <c r="CM208" i="25"/>
  <c r="CS208" i="25" s="1"/>
  <c r="CX185" i="25"/>
  <c r="CY185" i="25" s="1"/>
  <c r="CZ185" i="25" s="1"/>
  <c r="DA185" i="25" s="1"/>
  <c r="CX175" i="25"/>
  <c r="CY175" i="25" s="1"/>
  <c r="CZ175" i="25" s="1"/>
  <c r="DA175" i="25" s="1"/>
  <c r="DH102" i="25"/>
  <c r="DH116" i="25"/>
  <c r="CQ138" i="25"/>
  <c r="CR138" i="25" s="1"/>
  <c r="DH147" i="25"/>
  <c r="BZ148" i="25"/>
  <c r="CQ158" i="25"/>
  <c r="CR158" i="25" s="1"/>
  <c r="DH167" i="25"/>
  <c r="CP168" i="25"/>
  <c r="CO208" i="25"/>
  <c r="BZ184" i="25"/>
  <c r="CA184" i="25" s="1"/>
  <c r="BY90" i="25"/>
  <c r="CA90" i="25" s="1"/>
  <c r="BS91" i="25"/>
  <c r="CP93" i="25"/>
  <c r="CM94" i="25"/>
  <c r="CS94" i="25" s="1"/>
  <c r="CX95" i="25"/>
  <c r="CY95" i="25" s="1"/>
  <c r="CZ95" i="25" s="1"/>
  <c r="DA95" i="25" s="1"/>
  <c r="CX96" i="25"/>
  <c r="CY96" i="25" s="1"/>
  <c r="CZ96" i="25" s="1"/>
  <c r="DA96" i="25" s="1"/>
  <c r="BY104" i="25"/>
  <c r="CA104" i="25" s="1"/>
  <c r="CE104" i="25" s="1"/>
  <c r="CH104" i="25" s="1"/>
  <c r="CI104" i="25" s="1"/>
  <c r="CN104" i="25"/>
  <c r="BZ105" i="25"/>
  <c r="BS107" i="25"/>
  <c r="BZ110" i="25"/>
  <c r="BZ111" i="25"/>
  <c r="CM113" i="25"/>
  <c r="CS113" i="25" s="1"/>
  <c r="BY114" i="25"/>
  <c r="CA114" i="25" s="1"/>
  <c r="CM118" i="25"/>
  <c r="CS118" i="25" s="1"/>
  <c r="CN124" i="25"/>
  <c r="CM130" i="25"/>
  <c r="CS130" i="25" s="1"/>
  <c r="CO145" i="25"/>
  <c r="BY146" i="25"/>
  <c r="CA146" i="25" s="1"/>
  <c r="CB146" i="25" s="1"/>
  <c r="CF146" i="25" s="1"/>
  <c r="CG146" i="25" s="1"/>
  <c r="CJ146" i="25" s="1"/>
  <c r="CM147" i="25"/>
  <c r="CS147" i="25" s="1"/>
  <c r="BZ151" i="25"/>
  <c r="CN151" i="25"/>
  <c r="CM153" i="25"/>
  <c r="CS153" i="25" s="1"/>
  <c r="CN154" i="25"/>
  <c r="BZ156" i="25"/>
  <c r="CQ165" i="25"/>
  <c r="CR165" i="25" s="1"/>
  <c r="CP205" i="25"/>
  <c r="CN170" i="25"/>
  <c r="CP208" i="25"/>
  <c r="CN179" i="25"/>
  <c r="BZ192" i="25"/>
  <c r="CA192" i="25" s="1"/>
  <c r="CB192" i="25" s="1"/>
  <c r="CF192" i="25" s="1"/>
  <c r="CG192" i="25" s="1"/>
  <c r="CJ192" i="25" s="1"/>
  <c r="BY185" i="25"/>
  <c r="CM180" i="25"/>
  <c r="CS180" i="25" s="1"/>
  <c r="BZ178" i="25"/>
  <c r="CA178" i="25" s="1"/>
  <c r="CB178" i="25" s="1"/>
  <c r="CF178" i="25" s="1"/>
  <c r="CG178" i="25" s="1"/>
  <c r="CJ178" i="25" s="1"/>
  <c r="BZ93" i="25"/>
  <c r="CP94" i="25"/>
  <c r="BZ95" i="25"/>
  <c r="BS97" i="25"/>
  <c r="BZ100" i="25"/>
  <c r="CM100" i="25"/>
  <c r="CS100" i="25" s="1"/>
  <c r="CM101" i="25"/>
  <c r="CS101" i="25" s="1"/>
  <c r="BY103" i="25"/>
  <c r="CA103" i="25" s="1"/>
  <c r="CB103" i="25" s="1"/>
  <c r="CQ104" i="25"/>
  <c r="CR104" i="25" s="1"/>
  <c r="BZ113" i="25"/>
  <c r="BS114" i="25"/>
  <c r="BY115" i="25"/>
  <c r="CA115" i="25" s="1"/>
  <c r="CB115" i="25" s="1"/>
  <c r="CF115" i="25" s="1"/>
  <c r="CG115" i="25" s="1"/>
  <c r="CJ115" i="25" s="1"/>
  <c r="CM116" i="25"/>
  <c r="CS116" i="25" s="1"/>
  <c r="CM119" i="25"/>
  <c r="CS119" i="25" s="1"/>
  <c r="BZ122" i="25"/>
  <c r="CM122" i="25"/>
  <c r="CS122" i="25" s="1"/>
  <c r="CP124" i="25"/>
  <c r="CX128" i="25"/>
  <c r="CY128" i="25" s="1"/>
  <c r="CZ128" i="25" s="1"/>
  <c r="DA128" i="25" s="1"/>
  <c r="BZ129" i="25"/>
  <c r="CN130" i="25"/>
  <c r="CN131" i="25"/>
  <c r="BS133" i="25"/>
  <c r="BS134" i="25"/>
  <c r="CQ139" i="25"/>
  <c r="CR139" i="25" s="1"/>
  <c r="BZ141" i="25"/>
  <c r="CX142" i="25"/>
  <c r="CY142" i="25" s="1"/>
  <c r="CZ142" i="25" s="1"/>
  <c r="DA142" i="25" s="1"/>
  <c r="CX143" i="25"/>
  <c r="CY143" i="25" s="1"/>
  <c r="CZ143" i="25" s="1"/>
  <c r="DA143" i="25" s="1"/>
  <c r="BZ144" i="25"/>
  <c r="BZ147" i="25"/>
  <c r="CN147" i="25"/>
  <c r="BS149" i="25"/>
  <c r="CX149" i="25"/>
  <c r="CY149" i="25" s="1"/>
  <c r="CZ149" i="25" s="1"/>
  <c r="DA149" i="25" s="1"/>
  <c r="CQ151" i="25"/>
  <c r="CR151" i="25" s="1"/>
  <c r="CO153" i="25"/>
  <c r="BY154" i="25"/>
  <c r="CA154" i="25" s="1"/>
  <c r="CB154" i="25" s="1"/>
  <c r="CF154" i="25" s="1"/>
  <c r="CG154" i="25" s="1"/>
  <c r="CJ154" i="25" s="1"/>
  <c r="CO154" i="25"/>
  <c r="CX155" i="25"/>
  <c r="CY155" i="25" s="1"/>
  <c r="CZ155" i="25" s="1"/>
  <c r="DA155" i="25" s="1"/>
  <c r="BS157" i="25"/>
  <c r="BS162" i="25"/>
  <c r="CQ205" i="25"/>
  <c r="CR205" i="25" s="1"/>
  <c r="CO170" i="25"/>
  <c r="CX207" i="25"/>
  <c r="CY207" i="25" s="1"/>
  <c r="CZ207" i="25" s="1"/>
  <c r="DA207" i="25" s="1"/>
  <c r="CP179" i="25"/>
  <c r="CN173" i="25"/>
  <c r="CP192" i="25"/>
  <c r="CN185" i="25"/>
  <c r="BS188" i="25"/>
  <c r="BZ180" i="25"/>
  <c r="CA180" i="25" s="1"/>
  <c r="CB180" i="25" s="1"/>
  <c r="CF180" i="25" s="1"/>
  <c r="CG180" i="25" s="1"/>
  <c r="CJ180" i="25" s="1"/>
  <c r="CO180" i="25"/>
  <c r="BY175" i="25"/>
  <c r="CM175" i="25"/>
  <c r="CS175" i="25" s="1"/>
  <c r="CX176" i="25"/>
  <c r="CY176" i="25" s="1"/>
  <c r="CZ176" i="25" s="1"/>
  <c r="DA176" i="25" s="1"/>
  <c r="CX92" i="25"/>
  <c r="CY92" i="25" s="1"/>
  <c r="CZ92" i="25" s="1"/>
  <c r="DA92" i="25" s="1"/>
  <c r="BY100" i="25"/>
  <c r="CA100" i="25" s="1"/>
  <c r="CE100" i="25" s="1"/>
  <c r="CH100" i="25" s="1"/>
  <c r="CI100" i="25" s="1"/>
  <c r="CN100" i="25"/>
  <c r="BZ101" i="25"/>
  <c r="BZ106" i="25"/>
  <c r="BZ107" i="25"/>
  <c r="BZ116" i="25"/>
  <c r="BY118" i="25"/>
  <c r="CA118" i="25" s="1"/>
  <c r="CX120" i="25"/>
  <c r="CY120" i="25" s="1"/>
  <c r="CZ120" i="25" s="1"/>
  <c r="DA120" i="25" s="1"/>
  <c r="BS125" i="25"/>
  <c r="BS126" i="25"/>
  <c r="CM128" i="25"/>
  <c r="CS128" i="25" s="1"/>
  <c r="CO130" i="25"/>
  <c r="BY131" i="25"/>
  <c r="CA131" i="25" s="1"/>
  <c r="CB131" i="25" s="1"/>
  <c r="CF131" i="25" s="1"/>
  <c r="CG131" i="25" s="1"/>
  <c r="CJ131" i="25" s="1"/>
  <c r="BZ137" i="25"/>
  <c r="BS148" i="25"/>
  <c r="BZ164" i="25"/>
  <c r="BZ166" i="25"/>
  <c r="BS168" i="25"/>
  <c r="BZ170" i="25"/>
  <c r="CP170" i="25"/>
  <c r="BY208" i="25"/>
  <c r="CX184" i="25"/>
  <c r="CY184" i="25" s="1"/>
  <c r="CZ184" i="25" s="1"/>
  <c r="DA184" i="25" s="1"/>
  <c r="BS93" i="25"/>
  <c r="CM97" i="25"/>
  <c r="CS97" i="25" s="1"/>
  <c r="CQ100" i="25"/>
  <c r="CR100" i="25" s="1"/>
  <c r="CO101" i="25"/>
  <c r="BS102" i="25"/>
  <c r="CD103" i="25"/>
  <c r="CM107" i="25"/>
  <c r="CS107" i="25" s="1"/>
  <c r="BS109" i="25"/>
  <c r="CX112" i="25"/>
  <c r="CY112" i="25" s="1"/>
  <c r="CZ112" i="25" s="1"/>
  <c r="DA112" i="25" s="1"/>
  <c r="CQ116" i="25"/>
  <c r="CR116" i="25" s="1"/>
  <c r="BS118" i="25"/>
  <c r="CN128" i="25"/>
  <c r="BY133" i="25"/>
  <c r="CA133" i="25" s="1"/>
  <c r="BZ134" i="25"/>
  <c r="CM141" i="25"/>
  <c r="CS141" i="25" s="1"/>
  <c r="BS145" i="25"/>
  <c r="CX145" i="25"/>
  <c r="CY145" i="25" s="1"/>
  <c r="CZ145" i="25" s="1"/>
  <c r="DA145" i="25" s="1"/>
  <c r="BZ149" i="25"/>
  <c r="BZ155" i="25"/>
  <c r="BS156" i="25"/>
  <c r="BZ157" i="25"/>
  <c r="CN162" i="25"/>
  <c r="BS208" i="25"/>
  <c r="BZ173" i="25"/>
  <c r="CX187" i="25"/>
  <c r="CY187" i="25" s="1"/>
  <c r="CZ187" i="25" s="1"/>
  <c r="DA187" i="25" s="1"/>
  <c r="CQ175" i="25"/>
  <c r="CR175" i="25" s="1"/>
  <c r="CO190" i="25"/>
  <c r="CN190" i="25"/>
  <c r="CM190" i="25"/>
  <c r="CS190" i="25" s="1"/>
  <c r="BY119" i="25"/>
  <c r="CA119" i="25" s="1"/>
  <c r="CB119" i="25" s="1"/>
  <c r="CF119" i="25" s="1"/>
  <c r="CG119" i="25" s="1"/>
  <c r="CJ119" i="25" s="1"/>
  <c r="BZ121" i="25"/>
  <c r="BZ126" i="25"/>
  <c r="CN158" i="25"/>
  <c r="BY96" i="25"/>
  <c r="CA96" i="25" s="1"/>
  <c r="CE96" i="25" s="1"/>
  <c r="CH96" i="25" s="1"/>
  <c r="CI96" i="25" s="1"/>
  <c r="CO97" i="25"/>
  <c r="BS98" i="25"/>
  <c r="CD99" i="25"/>
  <c r="CM103" i="25"/>
  <c r="CS103" i="25" s="1"/>
  <c r="BZ108" i="25"/>
  <c r="CM126" i="25"/>
  <c r="CS126" i="25" s="1"/>
  <c r="CQ128" i="25"/>
  <c r="CR128" i="25" s="1"/>
  <c r="BZ136" i="25"/>
  <c r="CO137" i="25"/>
  <c r="BY138" i="25"/>
  <c r="CA138" i="25" s="1"/>
  <c r="CX139" i="25"/>
  <c r="CY139" i="25" s="1"/>
  <c r="CZ139" i="25" s="1"/>
  <c r="DA139" i="25" s="1"/>
  <c r="BZ140" i="25"/>
  <c r="BZ143" i="25"/>
  <c r="CN143" i="25"/>
  <c r="BZ145" i="25"/>
  <c r="BY148" i="25"/>
  <c r="CA148" i="25" s="1"/>
  <c r="CM149" i="25"/>
  <c r="CS149" i="25" s="1"/>
  <c r="CN150" i="25"/>
  <c r="CX151" i="25"/>
  <c r="CY151" i="25" s="1"/>
  <c r="CZ151" i="25" s="1"/>
  <c r="DA151" i="25" s="1"/>
  <c r="BS153" i="25"/>
  <c r="CQ155" i="25"/>
  <c r="CR155" i="25" s="1"/>
  <c r="CO157" i="25"/>
  <c r="BY158" i="25"/>
  <c r="CA158" i="25" s="1"/>
  <c r="CO158" i="25"/>
  <c r="CP164" i="25"/>
  <c r="CM165" i="25"/>
  <c r="CS165" i="25" s="1"/>
  <c r="CM168" i="25"/>
  <c r="CS168" i="25" s="1"/>
  <c r="BS207" i="25"/>
  <c r="CX179" i="25"/>
  <c r="CY179" i="25" s="1"/>
  <c r="CZ179" i="25" s="1"/>
  <c r="DA179" i="25" s="1"/>
  <c r="CX192" i="25"/>
  <c r="CY192" i="25" s="1"/>
  <c r="CZ192" i="25" s="1"/>
  <c r="DA192" i="25" s="1"/>
  <c r="BS180" i="25"/>
  <c r="DB178" i="25"/>
  <c r="CP189" i="25"/>
  <c r="CX186" i="25"/>
  <c r="CY186" i="25" s="1"/>
  <c r="CZ186" i="25" s="1"/>
  <c r="DA186" i="25" s="1"/>
  <c r="CX200" i="25"/>
  <c r="CY200" i="25" s="1"/>
  <c r="CZ200" i="25" s="1"/>
  <c r="DA200" i="25" s="1"/>
  <c r="CN200" i="25"/>
  <c r="CM227" i="25"/>
  <c r="CS227" i="25" s="1"/>
  <c r="BZ228" i="25"/>
  <c r="CA228" i="25" s="1"/>
  <c r="CB228" i="25" s="1"/>
  <c r="CX228" i="25"/>
  <c r="CY228" i="25" s="1"/>
  <c r="CZ228" i="25" s="1"/>
  <c r="DA228" i="25" s="1"/>
  <c r="BY233" i="25"/>
  <c r="CN240" i="25"/>
  <c r="CQ241" i="25"/>
  <c r="CR241" i="25" s="1"/>
  <c r="CO248" i="25"/>
  <c r="CN248" i="25"/>
  <c r="CP248" i="25"/>
  <c r="BY190" i="25"/>
  <c r="BS183" i="25"/>
  <c r="CX193" i="25"/>
  <c r="CY193" i="25" s="1"/>
  <c r="CZ193" i="25" s="1"/>
  <c r="DA193" i="25" s="1"/>
  <c r="BY197" i="25"/>
  <c r="BS198" i="25"/>
  <c r="CX199" i="25"/>
  <c r="CY199" i="25" s="1"/>
  <c r="CZ199" i="25" s="1"/>
  <c r="DA199" i="25" s="1"/>
  <c r="CO200" i="25"/>
  <c r="CX209" i="25"/>
  <c r="CY209" i="25" s="1"/>
  <c r="CZ209" i="25" s="1"/>
  <c r="DA209" i="25" s="1"/>
  <c r="CQ344" i="25"/>
  <c r="CR344" i="25" s="1"/>
  <c r="CP203" i="25"/>
  <c r="BZ213" i="25"/>
  <c r="CM213" i="25"/>
  <c r="CS213" i="25" s="1"/>
  <c r="CO216" i="25"/>
  <c r="CO219" i="25"/>
  <c r="BZ220" i="25"/>
  <c r="CN220" i="25"/>
  <c r="BZ223" i="25"/>
  <c r="CX224" i="25"/>
  <c r="CY224" i="25" s="1"/>
  <c r="CZ224" i="25" s="1"/>
  <c r="DA224" i="25" s="1"/>
  <c r="CN224" i="25"/>
  <c r="CO227" i="25"/>
  <c r="BY228" i="25"/>
  <c r="CM228" i="25"/>
  <c r="CS228" i="25" s="1"/>
  <c r="BY234" i="25"/>
  <c r="CX234" i="25"/>
  <c r="CY234" i="25" s="1"/>
  <c r="CZ234" i="25" s="1"/>
  <c r="DA234" i="25" s="1"/>
  <c r="CX235" i="25"/>
  <c r="CY235" i="25" s="1"/>
  <c r="CZ235" i="25" s="1"/>
  <c r="DA235" i="25" s="1"/>
  <c r="CX236" i="25"/>
  <c r="CY236" i="25" s="1"/>
  <c r="CZ236" i="25" s="1"/>
  <c r="DA236" i="25" s="1"/>
  <c r="CN236" i="25"/>
  <c r="BS239" i="25"/>
  <c r="BZ242" i="25"/>
  <c r="CA242" i="25" s="1"/>
  <c r="CB242" i="25" s="1"/>
  <c r="CF242" i="25" s="1"/>
  <c r="CG242" i="25" s="1"/>
  <c r="CJ242" i="25" s="1"/>
  <c r="CN242" i="25"/>
  <c r="CM244" i="25"/>
  <c r="CS244" i="25" s="1"/>
  <c r="CQ245" i="25"/>
  <c r="CR245" i="25" s="1"/>
  <c r="DH459" i="25"/>
  <c r="CM186" i="25"/>
  <c r="CS186" i="25" s="1"/>
  <c r="CM195" i="25"/>
  <c r="CS195" i="25" s="1"/>
  <c r="BS196" i="25"/>
  <c r="CN198" i="25"/>
  <c r="CP200" i="25"/>
  <c r="BS202" i="25"/>
  <c r="CM211" i="25"/>
  <c r="CS211" i="25" s="1"/>
  <c r="CQ203" i="25"/>
  <c r="CR203" i="25" s="1"/>
  <c r="BY213" i="25"/>
  <c r="CA213" i="25" s="1"/>
  <c r="BY214" i="25"/>
  <c r="CX214" i="25"/>
  <c r="CY214" i="25" s="1"/>
  <c r="CZ214" i="25" s="1"/>
  <c r="DA214" i="25" s="1"/>
  <c r="CQ216" i="25"/>
  <c r="CR216" i="25" s="1"/>
  <c r="BZ218" i="25"/>
  <c r="CQ219" i="25"/>
  <c r="CR219" i="25" s="1"/>
  <c r="BY220" i="25"/>
  <c r="CM223" i="25"/>
  <c r="CS223" i="25" s="1"/>
  <c r="BZ224" i="25"/>
  <c r="CA224" i="25" s="1"/>
  <c r="CB224" i="25" s="1"/>
  <c r="CM224" i="25"/>
  <c r="CS224" i="25" s="1"/>
  <c r="CQ227" i="25"/>
  <c r="CR227" i="25" s="1"/>
  <c r="CO228" i="25"/>
  <c r="CM229" i="25"/>
  <c r="CS229" i="25" s="1"/>
  <c r="CM230" i="25"/>
  <c r="CS230" i="25" s="1"/>
  <c r="BS231" i="25"/>
  <c r="BZ235" i="25"/>
  <c r="CA235" i="25" s="1"/>
  <c r="CE235" i="25" s="1"/>
  <c r="CH235" i="25" s="1"/>
  <c r="CI235" i="25" s="1"/>
  <c r="CX243" i="25"/>
  <c r="CY243" i="25" s="1"/>
  <c r="CZ243" i="25" s="1"/>
  <c r="DA243" i="25" s="1"/>
  <c r="BZ247" i="25"/>
  <c r="CA247" i="25" s="1"/>
  <c r="CB247" i="25" s="1"/>
  <c r="CF247" i="25" s="1"/>
  <c r="CG247" i="25" s="1"/>
  <c r="CJ247" i="25" s="1"/>
  <c r="DB183" i="25"/>
  <c r="CX459" i="25"/>
  <c r="CY459" i="25" s="1"/>
  <c r="CZ459" i="25" s="1"/>
  <c r="DA459" i="25" s="1"/>
  <c r="BZ186" i="25"/>
  <c r="CA186" i="25" s="1"/>
  <c r="CB186" i="25" s="1"/>
  <c r="CF186" i="25" s="1"/>
  <c r="CG186" i="25" s="1"/>
  <c r="CJ186" i="25" s="1"/>
  <c r="CO186" i="25"/>
  <c r="BY193" i="25"/>
  <c r="BS200" i="25"/>
  <c r="CQ200" i="25"/>
  <c r="CR200" i="25" s="1"/>
  <c r="BY201" i="25"/>
  <c r="CN211" i="25"/>
  <c r="BY172" i="25"/>
  <c r="BZ171" i="25"/>
  <c r="CA171" i="25" s="1"/>
  <c r="CB171" i="25" s="1"/>
  <c r="CF171" i="25" s="1"/>
  <c r="CG171" i="25" s="1"/>
  <c r="CJ171" i="25" s="1"/>
  <c r="CM217" i="25"/>
  <c r="CS217" i="25" s="1"/>
  <c r="CX215" i="25"/>
  <c r="CY215" i="25" s="1"/>
  <c r="CZ215" i="25" s="1"/>
  <c r="DA215" i="25" s="1"/>
  <c r="CX218" i="25"/>
  <c r="CY218" i="25" s="1"/>
  <c r="CZ218" i="25" s="1"/>
  <c r="DA218" i="25" s="1"/>
  <c r="CM221" i="25"/>
  <c r="CS221" i="25" s="1"/>
  <c r="BZ222" i="25"/>
  <c r="CQ223" i="25"/>
  <c r="CR223" i="25" s="1"/>
  <c r="CQ224" i="25"/>
  <c r="CR224" i="25" s="1"/>
  <c r="BZ225" i="25"/>
  <c r="CA225" i="25" s="1"/>
  <c r="CB225" i="25" s="1"/>
  <c r="CM225" i="25"/>
  <c r="CS225" i="25" s="1"/>
  <c r="BZ231" i="25"/>
  <c r="CA231" i="25" s="1"/>
  <c r="CE231" i="25" s="1"/>
  <c r="CH231" i="25" s="1"/>
  <c r="CI231" i="25" s="1"/>
  <c r="CN232" i="25"/>
  <c r="BS234" i="25"/>
  <c r="CO235" i="25"/>
  <c r="BY236" i="25"/>
  <c r="CM237" i="25"/>
  <c r="CS237" i="25" s="1"/>
  <c r="BY243" i="25"/>
  <c r="CQ248" i="25"/>
  <c r="CR248" i="25" s="1"/>
  <c r="DH190" i="25"/>
  <c r="BZ183" i="25"/>
  <c r="CA183" i="25" s="1"/>
  <c r="CB183" i="25" s="1"/>
  <c r="CF183" i="25" s="1"/>
  <c r="CG183" i="25" s="1"/>
  <c r="CJ183" i="25" s="1"/>
  <c r="CO183" i="25"/>
  <c r="BY459" i="25"/>
  <c r="CN193" i="25"/>
  <c r="CP194" i="25"/>
  <c r="CD200" i="25"/>
  <c r="BZ169" i="25"/>
  <c r="CA169" i="25" s="1"/>
  <c r="CB169" i="25" s="1"/>
  <c r="CF169" i="25" s="1"/>
  <c r="CG169" i="25" s="1"/>
  <c r="CJ169" i="25" s="1"/>
  <c r="CO169" i="25"/>
  <c r="BY204" i="25"/>
  <c r="BY212" i="25"/>
  <c r="CM212" i="25"/>
  <c r="CS212" i="25" s="1"/>
  <c r="BY221" i="25"/>
  <c r="BY225" i="25"/>
  <c r="BY226" i="25"/>
  <c r="BZ232" i="25"/>
  <c r="CA232" i="25" s="1"/>
  <c r="CB232" i="25" s="1"/>
  <c r="CQ235" i="25"/>
  <c r="CR235" i="25" s="1"/>
  <c r="CX178" i="25"/>
  <c r="CY178" i="25" s="1"/>
  <c r="CZ178" i="25" s="1"/>
  <c r="DA178" i="25" s="1"/>
  <c r="CP183" i="25"/>
  <c r="CM459" i="25"/>
  <c r="CS459" i="25" s="1"/>
  <c r="CN189" i="25"/>
  <c r="CQ193" i="25"/>
  <c r="CR193" i="25" s="1"/>
  <c r="BZ195" i="25"/>
  <c r="CA195" i="25" s="1"/>
  <c r="BZ196" i="25"/>
  <c r="CA196" i="25" s="1"/>
  <c r="CB196" i="25" s="1"/>
  <c r="CF196" i="25" s="1"/>
  <c r="CG196" i="25" s="1"/>
  <c r="CJ196" i="25" s="1"/>
  <c r="CX196" i="25"/>
  <c r="CY196" i="25" s="1"/>
  <c r="CZ196" i="25" s="1"/>
  <c r="DA196" i="25" s="1"/>
  <c r="CN196" i="25"/>
  <c r="DH197" i="25"/>
  <c r="CP169" i="25"/>
  <c r="CQ209" i="25"/>
  <c r="CR209" i="25" s="1"/>
  <c r="DH172" i="25"/>
  <c r="BZ203" i="25"/>
  <c r="CA203" i="25" s="1"/>
  <c r="CM203" i="25"/>
  <c r="CS203" i="25" s="1"/>
  <c r="BZ215" i="25"/>
  <c r="CX216" i="25"/>
  <c r="CY216" i="25" s="1"/>
  <c r="CZ216" i="25" s="1"/>
  <c r="DA216" i="25" s="1"/>
  <c r="CX219" i="25"/>
  <c r="CY219" i="25" s="1"/>
  <c r="CZ219" i="25" s="1"/>
  <c r="DA219" i="25" s="1"/>
  <c r="BY222" i="25"/>
  <c r="CX226" i="25"/>
  <c r="CY226" i="25" s="1"/>
  <c r="CZ226" i="25" s="1"/>
  <c r="DA226" i="25" s="1"/>
  <c r="CX227" i="25"/>
  <c r="CY227" i="25" s="1"/>
  <c r="CZ227" i="25" s="1"/>
  <c r="DA227" i="25" s="1"/>
  <c r="CX229" i="25"/>
  <c r="CY229" i="25" s="1"/>
  <c r="CZ229" i="25" s="1"/>
  <c r="DA229" i="25" s="1"/>
  <c r="BS230" i="25"/>
  <c r="BY232" i="25"/>
  <c r="BZ238" i="25"/>
  <c r="CA238" i="25" s="1"/>
  <c r="CX238" i="25"/>
  <c r="CY238" i="25" s="1"/>
  <c r="CZ238" i="25" s="1"/>
  <c r="DA238" i="25" s="1"/>
  <c r="BY240" i="25"/>
  <c r="CP243" i="25"/>
  <c r="CD244" i="25"/>
  <c r="BY245" i="25"/>
  <c r="DB250" i="25"/>
  <c r="CX197" i="25"/>
  <c r="CY197" i="25" s="1"/>
  <c r="CZ197" i="25" s="1"/>
  <c r="DA197" i="25" s="1"/>
  <c r="BY210" i="25"/>
  <c r="CX211" i="25"/>
  <c r="CY211" i="25" s="1"/>
  <c r="CZ211" i="25" s="1"/>
  <c r="DA211" i="25" s="1"/>
  <c r="BY203" i="25"/>
  <c r="BZ216" i="25"/>
  <c r="BZ227" i="25"/>
  <c r="CA227" i="25" s="1"/>
  <c r="CB227" i="25" s="1"/>
  <c r="CF227" i="25" s="1"/>
  <c r="CG227" i="25" s="1"/>
  <c r="CJ227" i="25" s="1"/>
  <c r="BZ233" i="25"/>
  <c r="CA233" i="25" s="1"/>
  <c r="CB233" i="25" s="1"/>
  <c r="CP246" i="25"/>
  <c r="BY247" i="25"/>
  <c r="CO251" i="25"/>
  <c r="BZ253" i="25"/>
  <c r="CA253" i="25" s="1"/>
  <c r="CB253" i="25" s="1"/>
  <c r="CF253" i="25" s="1"/>
  <c r="CG253" i="25" s="1"/>
  <c r="CJ253" i="25" s="1"/>
  <c r="CN253" i="25"/>
  <c r="BZ256" i="25"/>
  <c r="CA256" i="25" s="1"/>
  <c r="CB256" i="25" s="1"/>
  <c r="CF256" i="25" s="1"/>
  <c r="CG256" i="25" s="1"/>
  <c r="CJ256" i="25" s="1"/>
  <c r="DH256" i="25"/>
  <c r="CN260" i="25"/>
  <c r="DH260" i="25"/>
  <c r="BZ265" i="25"/>
  <c r="CA265" i="25" s="1"/>
  <c r="CB265" i="25" s="1"/>
  <c r="BZ266" i="25"/>
  <c r="CA266" i="25" s="1"/>
  <c r="BZ267" i="25"/>
  <c r="CA267" i="25" s="1"/>
  <c r="CB267" i="25" s="1"/>
  <c r="CF267" i="25" s="1"/>
  <c r="CG267" i="25" s="1"/>
  <c r="CJ267" i="25" s="1"/>
  <c r="BS269" i="25"/>
  <c r="BS271" i="25"/>
  <c r="BZ272" i="25"/>
  <c r="CA272" i="25" s="1"/>
  <c r="CN273" i="25"/>
  <c r="CP275" i="25"/>
  <c r="CN277" i="25"/>
  <c r="CP279" i="25"/>
  <c r="CM280" i="25"/>
  <c r="CS280" i="25" s="1"/>
  <c r="BS281" i="25"/>
  <c r="CX281" i="25"/>
  <c r="CY281" i="25" s="1"/>
  <c r="CZ281" i="25" s="1"/>
  <c r="DA281" i="25" s="1"/>
  <c r="CQ282" i="25"/>
  <c r="CR282" i="25" s="1"/>
  <c r="CN283" i="25"/>
  <c r="CX283" i="25"/>
  <c r="CY283" i="25" s="1"/>
  <c r="CZ283" i="25" s="1"/>
  <c r="DA283" i="25" s="1"/>
  <c r="BZ286" i="25"/>
  <c r="CA286" i="25" s="1"/>
  <c r="CE286" i="25" s="1"/>
  <c r="CH286" i="25" s="1"/>
  <c r="CI286" i="25" s="1"/>
  <c r="CQ286" i="25"/>
  <c r="CR286" i="25" s="1"/>
  <c r="BY291" i="25"/>
  <c r="CP291" i="25"/>
  <c r="BS293" i="25"/>
  <c r="CN298" i="25"/>
  <c r="CP301" i="25"/>
  <c r="CN302" i="25"/>
  <c r="CO303" i="25"/>
  <c r="CX304" i="25"/>
  <c r="CY304" i="25" s="1"/>
  <c r="CZ304" i="25" s="1"/>
  <c r="DA304" i="25" s="1"/>
  <c r="CN305" i="25"/>
  <c r="BZ309" i="25"/>
  <c r="CA309" i="25" s="1"/>
  <c r="DH309" i="25"/>
  <c r="BZ311" i="25"/>
  <c r="CX315" i="25"/>
  <c r="CY315" i="25" s="1"/>
  <c r="CZ315" i="25" s="1"/>
  <c r="DA315" i="25" s="1"/>
  <c r="BZ319" i="25"/>
  <c r="CX250" i="25"/>
  <c r="CY250" i="25" s="1"/>
  <c r="CZ250" i="25" s="1"/>
  <c r="DA250" i="25" s="1"/>
  <c r="BS252" i="25"/>
  <c r="CP253" i="25"/>
  <c r="BS255" i="25"/>
  <c r="CN256" i="25"/>
  <c r="CO259" i="25"/>
  <c r="CQ260" i="25"/>
  <c r="CR260" i="25" s="1"/>
  <c r="CM262" i="25"/>
  <c r="CS262" i="25" s="1"/>
  <c r="BZ263" i="25"/>
  <c r="CA263" i="25" s="1"/>
  <c r="CB263" i="25" s="1"/>
  <c r="CF263" i="25" s="1"/>
  <c r="CG263" i="25" s="1"/>
  <c r="CJ263" i="25" s="1"/>
  <c r="CX263" i="25"/>
  <c r="CY263" i="25" s="1"/>
  <c r="CZ263" i="25" s="1"/>
  <c r="DA263" i="25" s="1"/>
  <c r="CX269" i="25"/>
  <c r="CY269" i="25" s="1"/>
  <c r="CZ269" i="25" s="1"/>
  <c r="DA269" i="25" s="1"/>
  <c r="CN271" i="25"/>
  <c r="BY274" i="25"/>
  <c r="CN274" i="25"/>
  <c r="BY278" i="25"/>
  <c r="CM278" i="25"/>
  <c r="CS278" i="25" s="1"/>
  <c r="BZ281" i="25"/>
  <c r="CA281" i="25" s="1"/>
  <c r="CB281" i="25" s="1"/>
  <c r="CP283" i="25"/>
  <c r="CM284" i="25"/>
  <c r="CS284" i="25" s="1"/>
  <c r="BS285" i="25"/>
  <c r="CX285" i="25"/>
  <c r="CY285" i="25" s="1"/>
  <c r="CZ285" i="25" s="1"/>
  <c r="DA285" i="25" s="1"/>
  <c r="CN285" i="25"/>
  <c r="BS292" i="25"/>
  <c r="BS294" i="25"/>
  <c r="CN296" i="25"/>
  <c r="BS297" i="25"/>
  <c r="BS301" i="25"/>
  <c r="BS304" i="25"/>
  <c r="CO306" i="25"/>
  <c r="BY308" i="25"/>
  <c r="CN308" i="25"/>
  <c r="BY312" i="25"/>
  <c r="CA312" i="25" s="1"/>
  <c r="CB312" i="25" s="1"/>
  <c r="CF312" i="25" s="1"/>
  <c r="CG312" i="25" s="1"/>
  <c r="CJ312" i="25" s="1"/>
  <c r="CN312" i="25"/>
  <c r="CQ315" i="25"/>
  <c r="CR315" i="25" s="1"/>
  <c r="CP315" i="25"/>
  <c r="CO315" i="25"/>
  <c r="BZ252" i="25"/>
  <c r="CA252" i="25" s="1"/>
  <c r="CE252" i="25" s="1"/>
  <c r="CH252" i="25" s="1"/>
  <c r="CI252" i="25" s="1"/>
  <c r="BZ259" i="25"/>
  <c r="CA259" i="25" s="1"/>
  <c r="CB259" i="25" s="1"/>
  <c r="CF259" i="25" s="1"/>
  <c r="CG259" i="25" s="1"/>
  <c r="CJ259" i="25" s="1"/>
  <c r="BZ290" i="25"/>
  <c r="CA290" i="25" s="1"/>
  <c r="CE290" i="25" s="1"/>
  <c r="CH290" i="25" s="1"/>
  <c r="CI290" i="25" s="1"/>
  <c r="CO293" i="25"/>
  <c r="BY304" i="25"/>
  <c r="CP308" i="25"/>
  <c r="CP319" i="25"/>
  <c r="CO319" i="25"/>
  <c r="CM252" i="25"/>
  <c r="CS252" i="25" s="1"/>
  <c r="BZ254" i="25"/>
  <c r="CA254" i="25" s="1"/>
  <c r="CN254" i="25"/>
  <c r="CQ256" i="25"/>
  <c r="CR256" i="25" s="1"/>
  <c r="CN269" i="25"/>
  <c r="BS276" i="25"/>
  <c r="BZ284" i="25"/>
  <c r="CA284" i="25" s="1"/>
  <c r="BZ285" i="25"/>
  <c r="CA285" i="25" s="1"/>
  <c r="CB285" i="25" s="1"/>
  <c r="CX286" i="25"/>
  <c r="CY286" i="25" s="1"/>
  <c r="CZ286" i="25" s="1"/>
  <c r="DA286" i="25" s="1"/>
  <c r="CN294" i="25"/>
  <c r="BZ295" i="25"/>
  <c r="CA295" i="25" s="1"/>
  <c r="CB295" i="25" s="1"/>
  <c r="CF295" i="25" s="1"/>
  <c r="CG295" i="25" s="1"/>
  <c r="CJ295" i="25" s="1"/>
  <c r="CN295" i="25"/>
  <c r="BZ296" i="25"/>
  <c r="CA296" i="25" s="1"/>
  <c r="CB296" i="25" s="1"/>
  <c r="BZ297" i="25"/>
  <c r="CA297" i="25" s="1"/>
  <c r="CP300" i="25"/>
  <c r="BY301" i="25"/>
  <c r="BZ304" i="25"/>
  <c r="CA304" i="25" s="1"/>
  <c r="CB304" i="25" s="1"/>
  <c r="CF304" i="25" s="1"/>
  <c r="CG304" i="25" s="1"/>
  <c r="CJ304" i="25" s="1"/>
  <c r="CN304" i="25"/>
  <c r="CD307" i="25"/>
  <c r="BY313" i="25"/>
  <c r="CA313" i="25" s="1"/>
  <c r="BZ257" i="25"/>
  <c r="CA257" i="25" s="1"/>
  <c r="CB257" i="25" s="1"/>
  <c r="CF257" i="25" s="1"/>
  <c r="CG257" i="25" s="1"/>
  <c r="CJ257" i="25" s="1"/>
  <c r="DB257" i="25"/>
  <c r="BZ261" i="25"/>
  <c r="CA261" i="25" s="1"/>
  <c r="CB261" i="25" s="1"/>
  <c r="CF261" i="25" s="1"/>
  <c r="CG261" i="25" s="1"/>
  <c r="CJ261" i="25" s="1"/>
  <c r="DB261" i="25"/>
  <c r="CX262" i="25"/>
  <c r="CY262" i="25" s="1"/>
  <c r="CZ262" i="25" s="1"/>
  <c r="DA262" i="25" s="1"/>
  <c r="BZ264" i="25"/>
  <c r="CA264" i="25" s="1"/>
  <c r="CE264" i="25" s="1"/>
  <c r="CH264" i="25" s="1"/>
  <c r="CI264" i="25" s="1"/>
  <c r="CX265" i="25"/>
  <c r="CY265" i="25" s="1"/>
  <c r="CZ265" i="25" s="1"/>
  <c r="DA265" i="25" s="1"/>
  <c r="CN265" i="25"/>
  <c r="BS267" i="25"/>
  <c r="CO269" i="25"/>
  <c r="BS272" i="25"/>
  <c r="CQ274" i="25"/>
  <c r="CR274" i="25" s="1"/>
  <c r="BS275" i="25"/>
  <c r="CM275" i="25"/>
  <c r="CS275" i="25" s="1"/>
  <c r="CQ278" i="25"/>
  <c r="CR278" i="25" s="1"/>
  <c r="CM279" i="25"/>
  <c r="CS279" i="25" s="1"/>
  <c r="CM285" i="25"/>
  <c r="CS285" i="25" s="1"/>
  <c r="BS289" i="25"/>
  <c r="CN289" i="25"/>
  <c r="BS291" i="25"/>
  <c r="BZ292" i="25"/>
  <c r="CA292" i="25" s="1"/>
  <c r="CM297" i="25"/>
  <c r="CS297" i="25" s="1"/>
  <c r="CX299" i="25"/>
  <c r="CY299" i="25" s="1"/>
  <c r="CZ299" i="25" s="1"/>
  <c r="DA299" i="25" s="1"/>
  <c r="CD303" i="25"/>
  <c r="CP304" i="25"/>
  <c r="BY305" i="25"/>
  <c r="CX307" i="25"/>
  <c r="CY307" i="25" s="1"/>
  <c r="CZ307" i="25" s="1"/>
  <c r="DA307" i="25" s="1"/>
  <c r="CM309" i="25"/>
  <c r="CS309" i="25" s="1"/>
  <c r="DH311" i="25"/>
  <c r="CX312" i="25"/>
  <c r="CY312" i="25" s="1"/>
  <c r="CZ312" i="25" s="1"/>
  <c r="DA312" i="25" s="1"/>
  <c r="CN315" i="25"/>
  <c r="DH321" i="25"/>
  <c r="BZ246" i="25"/>
  <c r="CA246" i="25" s="1"/>
  <c r="BS247" i="25"/>
  <c r="BZ248" i="25"/>
  <c r="CA248" i="25" s="1"/>
  <c r="CB248" i="25" s="1"/>
  <c r="CF248" i="25" s="1"/>
  <c r="CG248" i="25" s="1"/>
  <c r="CJ248" i="25" s="1"/>
  <c r="CM248" i="25"/>
  <c r="CS248" i="25" s="1"/>
  <c r="BS253" i="25"/>
  <c r="BZ255" i="25"/>
  <c r="CA255" i="25" s="1"/>
  <c r="CB255" i="25" s="1"/>
  <c r="CF255" i="25" s="1"/>
  <c r="CG255" i="25" s="1"/>
  <c r="CJ255" i="25" s="1"/>
  <c r="DB258" i="25"/>
  <c r="BZ260" i="25"/>
  <c r="CA260" i="25" s="1"/>
  <c r="CB260" i="25" s="1"/>
  <c r="CF260" i="25" s="1"/>
  <c r="CG260" i="25" s="1"/>
  <c r="CJ260" i="25" s="1"/>
  <c r="CN264" i="25"/>
  <c r="BS265" i="25"/>
  <c r="CP269" i="25"/>
  <c r="BZ270" i="25"/>
  <c r="CA270" i="25" s="1"/>
  <c r="CE270" i="25" s="1"/>
  <c r="CH270" i="25" s="1"/>
  <c r="CI270" i="25" s="1"/>
  <c r="BY272" i="25"/>
  <c r="BZ273" i="25"/>
  <c r="CA273" i="25" s="1"/>
  <c r="DB273" i="25"/>
  <c r="BZ277" i="25"/>
  <c r="CA277" i="25" s="1"/>
  <c r="BY282" i="25"/>
  <c r="BS283" i="25"/>
  <c r="DH283" i="25"/>
  <c r="CX292" i="25"/>
  <c r="CY292" i="25" s="1"/>
  <c r="CZ292" i="25" s="1"/>
  <c r="DA292" i="25" s="1"/>
  <c r="BS302" i="25"/>
  <c r="CX303" i="25"/>
  <c r="CY303" i="25" s="1"/>
  <c r="CZ303" i="25" s="1"/>
  <c r="DA303" i="25" s="1"/>
  <c r="BZ307" i="25"/>
  <c r="CA307" i="25" s="1"/>
  <c r="CB307" i="25" s="1"/>
  <c r="CP309" i="25"/>
  <c r="CX311" i="25"/>
  <c r="CY311" i="25" s="1"/>
  <c r="CZ311" i="25" s="1"/>
  <c r="DA311" i="25" s="1"/>
  <c r="CM319" i="25"/>
  <c r="CS319" i="25" s="1"/>
  <c r="BZ250" i="25"/>
  <c r="CA250" i="25" s="1"/>
  <c r="CN251" i="25"/>
  <c r="DB268" i="25"/>
  <c r="CM283" i="25"/>
  <c r="CS283" i="25" s="1"/>
  <c r="BY287" i="25"/>
  <c r="BZ289" i="25"/>
  <c r="CA289" i="25" s="1"/>
  <c r="CB289" i="25" s="1"/>
  <c r="BZ291" i="25"/>
  <c r="CA291" i="25" s="1"/>
  <c r="CB291" i="25" s="1"/>
  <c r="BZ303" i="25"/>
  <c r="CA303" i="25" s="1"/>
  <c r="CB303" i="25" s="1"/>
  <c r="CN303" i="25"/>
  <c r="CN313" i="25"/>
  <c r="CM313" i="25"/>
  <c r="CS313" i="25" s="1"/>
  <c r="CQ319" i="25"/>
  <c r="CR319" i="25" s="1"/>
  <c r="BS316" i="25"/>
  <c r="CQ320" i="25"/>
  <c r="CR320" i="25" s="1"/>
  <c r="BS326" i="25"/>
  <c r="BY332" i="25"/>
  <c r="BS334" i="25"/>
  <c r="CX334" i="25"/>
  <c r="CY334" i="25" s="1"/>
  <c r="CZ334" i="25" s="1"/>
  <c r="DA334" i="25" s="1"/>
  <c r="BZ337" i="25"/>
  <c r="CA337" i="25" s="1"/>
  <c r="BS338" i="25"/>
  <c r="CX338" i="25"/>
  <c r="CY338" i="25" s="1"/>
  <c r="CZ338" i="25" s="1"/>
  <c r="DA338" i="25" s="1"/>
  <c r="CQ339" i="25"/>
  <c r="CR339" i="25" s="1"/>
  <c r="BS340" i="25"/>
  <c r="CO342" i="25"/>
  <c r="BZ345" i="25"/>
  <c r="CA345" i="25" s="1"/>
  <c r="CM345" i="25"/>
  <c r="CS345" i="25" s="1"/>
  <c r="BZ346" i="25"/>
  <c r="CA346" i="25" s="1"/>
  <c r="CM346" i="25"/>
  <c r="CS346" i="25" s="1"/>
  <c r="CQ348" i="25"/>
  <c r="CR348" i="25" s="1"/>
  <c r="CM352" i="25"/>
  <c r="CS352" i="25" s="1"/>
  <c r="CM361" i="25"/>
  <c r="CS361" i="25" s="1"/>
  <c r="BS368" i="25"/>
  <c r="CX371" i="25"/>
  <c r="CY371" i="25" s="1"/>
  <c r="CZ371" i="25" s="1"/>
  <c r="DA371" i="25" s="1"/>
  <c r="CN372" i="25"/>
  <c r="CQ382" i="25"/>
  <c r="CR382" i="25" s="1"/>
  <c r="BZ383" i="25"/>
  <c r="CA383" i="25" s="1"/>
  <c r="CB383" i="25" s="1"/>
  <c r="CF383" i="25" s="1"/>
  <c r="CG383" i="25" s="1"/>
  <c r="CJ383" i="25" s="1"/>
  <c r="BY316" i="25"/>
  <c r="CA316" i="25" s="1"/>
  <c r="CB316" i="25" s="1"/>
  <c r="CF316" i="25" s="1"/>
  <c r="CG316" i="25" s="1"/>
  <c r="CJ316" i="25" s="1"/>
  <c r="BZ339" i="25"/>
  <c r="CA339" i="25" s="1"/>
  <c r="CB339" i="25" s="1"/>
  <c r="CF339" i="25" s="1"/>
  <c r="CG339" i="25" s="1"/>
  <c r="CJ339" i="25" s="1"/>
  <c r="BZ340" i="25"/>
  <c r="CP342" i="25"/>
  <c r="CN346" i="25"/>
  <c r="CN349" i="25"/>
  <c r="CM351" i="25"/>
  <c r="CS351" i="25" s="1"/>
  <c r="BY352" i="25"/>
  <c r="CN352" i="25"/>
  <c r="CP352" i="25"/>
  <c r="BZ357" i="25"/>
  <c r="CA357" i="25" s="1"/>
  <c r="CB357" i="25" s="1"/>
  <c r="CF357" i="25" s="1"/>
  <c r="CG357" i="25" s="1"/>
  <c r="CJ357" i="25" s="1"/>
  <c r="BZ365" i="25"/>
  <c r="CA365" i="25" s="1"/>
  <c r="BZ366" i="25"/>
  <c r="CA366" i="25" s="1"/>
  <c r="CB366" i="25" s="1"/>
  <c r="CF366" i="25" s="1"/>
  <c r="CG366" i="25" s="1"/>
  <c r="CJ366" i="25" s="1"/>
  <c r="BY366" i="25"/>
  <c r="CN369" i="25"/>
  <c r="CO369" i="25"/>
  <c r="CP372" i="25"/>
  <c r="BY377" i="25"/>
  <c r="DH380" i="25"/>
  <c r="CM384" i="25"/>
  <c r="CS384" i="25" s="1"/>
  <c r="CO384" i="25"/>
  <c r="BZ310" i="25"/>
  <c r="CA310" i="25" s="1"/>
  <c r="CE310" i="25" s="1"/>
  <c r="CH310" i="25" s="1"/>
  <c r="CI310" i="25" s="1"/>
  <c r="CX310" i="25"/>
  <c r="CY310" i="25" s="1"/>
  <c r="CZ310" i="25" s="1"/>
  <c r="DA310" i="25" s="1"/>
  <c r="BZ312" i="25"/>
  <c r="BZ316" i="25"/>
  <c r="CN316" i="25"/>
  <c r="BY317" i="25"/>
  <c r="CA317" i="25" s="1"/>
  <c r="CB317" i="25" s="1"/>
  <c r="CO318" i="25"/>
  <c r="CP325" i="25"/>
  <c r="BY326" i="25"/>
  <c r="BY328" i="25"/>
  <c r="CN328" i="25"/>
  <c r="BZ332" i="25"/>
  <c r="CA332" i="25" s="1"/>
  <c r="BZ334" i="25"/>
  <c r="CA334" i="25" s="1"/>
  <c r="BS336" i="25"/>
  <c r="BZ338" i="25"/>
  <c r="BY342" i="25"/>
  <c r="CA342" i="25" s="1"/>
  <c r="CO346" i="25"/>
  <c r="BY347" i="25"/>
  <c r="DH349" i="25"/>
  <c r="CN351" i="25"/>
  <c r="CQ352" i="25"/>
  <c r="CR352" i="25" s="1"/>
  <c r="BZ354" i="25"/>
  <c r="CA354" i="25" s="1"/>
  <c r="CX354" i="25"/>
  <c r="CY354" i="25" s="1"/>
  <c r="CZ354" i="25" s="1"/>
  <c r="DA354" i="25" s="1"/>
  <c r="CN366" i="25"/>
  <c r="BY368" i="25"/>
  <c r="CM369" i="25"/>
  <c r="CS369" i="25" s="1"/>
  <c r="CM373" i="25"/>
  <c r="CS373" i="25" s="1"/>
  <c r="CX374" i="25"/>
  <c r="CY374" i="25" s="1"/>
  <c r="CZ374" i="25" s="1"/>
  <c r="DA374" i="25" s="1"/>
  <c r="CQ375" i="25"/>
  <c r="CR375" i="25" s="1"/>
  <c r="CM376" i="25"/>
  <c r="CS376" i="25" s="1"/>
  <c r="CM385" i="25"/>
  <c r="CS385" i="25" s="1"/>
  <c r="CX386" i="25"/>
  <c r="CY386" i="25" s="1"/>
  <c r="CZ386" i="25" s="1"/>
  <c r="DA386" i="25" s="1"/>
  <c r="BZ314" i="25"/>
  <c r="CM314" i="25"/>
  <c r="CS314" i="25" s="1"/>
  <c r="CX314" i="25"/>
  <c r="CY314" i="25" s="1"/>
  <c r="CZ314" i="25" s="1"/>
  <c r="DA314" i="25" s="1"/>
  <c r="BZ318" i="25"/>
  <c r="CP318" i="25"/>
  <c r="BY319" i="25"/>
  <c r="CA319" i="25" s="1"/>
  <c r="CB319" i="25" s="1"/>
  <c r="CF319" i="25" s="1"/>
  <c r="CG319" i="25" s="1"/>
  <c r="CJ319" i="25" s="1"/>
  <c r="CX319" i="25"/>
  <c r="CY319" i="25" s="1"/>
  <c r="CZ319" i="25" s="1"/>
  <c r="DA319" i="25" s="1"/>
  <c r="BZ321" i="25"/>
  <c r="CA321" i="25" s="1"/>
  <c r="CX324" i="25"/>
  <c r="CY324" i="25" s="1"/>
  <c r="CZ324" i="25" s="1"/>
  <c r="DA324" i="25" s="1"/>
  <c r="CN326" i="25"/>
  <c r="CP328" i="25"/>
  <c r="BY329" i="25"/>
  <c r="CM329" i="25"/>
  <c r="CS329" i="25" s="1"/>
  <c r="DB329" i="25"/>
  <c r="BS331" i="25"/>
  <c r="CX331" i="25"/>
  <c r="CY331" i="25" s="1"/>
  <c r="CZ331" i="25" s="1"/>
  <c r="DA331" i="25" s="1"/>
  <c r="CN334" i="25"/>
  <c r="BZ336" i="25"/>
  <c r="CN336" i="25"/>
  <c r="CN338" i="25"/>
  <c r="BS339" i="25"/>
  <c r="BS206" i="25"/>
  <c r="CN206" i="25"/>
  <c r="CX345" i="25"/>
  <c r="CY345" i="25" s="1"/>
  <c r="CZ345" i="25" s="1"/>
  <c r="DA345" i="25" s="1"/>
  <c r="CP347" i="25"/>
  <c r="CP355" i="25"/>
  <c r="CN355" i="25"/>
  <c r="CX356" i="25"/>
  <c r="CY356" i="25" s="1"/>
  <c r="CZ356" i="25" s="1"/>
  <c r="DA356" i="25" s="1"/>
  <c r="CM362" i="25"/>
  <c r="CS362" i="25" s="1"/>
  <c r="BS364" i="25"/>
  <c r="CP369" i="25"/>
  <c r="CM370" i="25"/>
  <c r="CS370" i="25" s="1"/>
  <c r="CX370" i="25"/>
  <c r="CY370" i="25" s="1"/>
  <c r="CZ370" i="25" s="1"/>
  <c r="DA370" i="25" s="1"/>
  <c r="BS372" i="25"/>
  <c r="CN373" i="25"/>
  <c r="BY374" i="25"/>
  <c r="CN376" i="25"/>
  <c r="CM377" i="25"/>
  <c r="CS377" i="25" s="1"/>
  <c r="CX378" i="25"/>
  <c r="CY378" i="25" s="1"/>
  <c r="CZ378" i="25" s="1"/>
  <c r="DA378" i="25" s="1"/>
  <c r="BZ385" i="25"/>
  <c r="CA385" i="25" s="1"/>
  <c r="CB385" i="25" s="1"/>
  <c r="CF385" i="25" s="1"/>
  <c r="CG385" i="25" s="1"/>
  <c r="CJ385" i="25" s="1"/>
  <c r="BZ509" i="25"/>
  <c r="CX317" i="25"/>
  <c r="CY317" i="25" s="1"/>
  <c r="CZ317" i="25" s="1"/>
  <c r="DA317" i="25" s="1"/>
  <c r="BS320" i="25"/>
  <c r="CO322" i="25"/>
  <c r="BY324" i="25"/>
  <c r="CX325" i="25"/>
  <c r="CY325" i="25" s="1"/>
  <c r="CZ325" i="25" s="1"/>
  <c r="DA325" i="25" s="1"/>
  <c r="CP326" i="25"/>
  <c r="BS327" i="25"/>
  <c r="CX327" i="25"/>
  <c r="CY327" i="25" s="1"/>
  <c r="CZ327" i="25" s="1"/>
  <c r="DA327" i="25" s="1"/>
  <c r="CO329" i="25"/>
  <c r="BS330" i="25"/>
  <c r="BY335" i="25"/>
  <c r="CA335" i="25" s="1"/>
  <c r="CB335" i="25" s="1"/>
  <c r="CF335" i="25" s="1"/>
  <c r="CG335" i="25" s="1"/>
  <c r="CJ335" i="25" s="1"/>
  <c r="CN339" i="25"/>
  <c r="BZ341" i="25"/>
  <c r="CA341" i="25" s="1"/>
  <c r="CM341" i="25"/>
  <c r="CS341" i="25" s="1"/>
  <c r="CX346" i="25"/>
  <c r="CY346" i="25" s="1"/>
  <c r="CZ346" i="25" s="1"/>
  <c r="DA346" i="25" s="1"/>
  <c r="CM348" i="25"/>
  <c r="CS348" i="25" s="1"/>
  <c r="BS350" i="25"/>
  <c r="CM356" i="25"/>
  <c r="CS356" i="25" s="1"/>
  <c r="CM359" i="25"/>
  <c r="CS359" i="25" s="1"/>
  <c r="DB361" i="25"/>
  <c r="BY363" i="25"/>
  <c r="CX368" i="25"/>
  <c r="CY368" i="25" s="1"/>
  <c r="CZ368" i="25" s="1"/>
  <c r="DA368" i="25" s="1"/>
  <c r="CN368" i="25"/>
  <c r="BS369" i="25"/>
  <c r="CX372" i="25"/>
  <c r="CY372" i="25" s="1"/>
  <c r="CZ372" i="25" s="1"/>
  <c r="DA372" i="25" s="1"/>
  <c r="BZ378" i="25"/>
  <c r="CA378" i="25" s="1"/>
  <c r="CB378" i="25" s="1"/>
  <c r="CF378" i="25" s="1"/>
  <c r="CG378" i="25" s="1"/>
  <c r="CJ378" i="25" s="1"/>
  <c r="CN378" i="25"/>
  <c r="CM382" i="25"/>
  <c r="CS382" i="25" s="1"/>
  <c r="CO383" i="25"/>
  <c r="CN383" i="25"/>
  <c r="BS384" i="25"/>
  <c r="BY386" i="25"/>
  <c r="BY387" i="25"/>
  <c r="BY320" i="25"/>
  <c r="CA320" i="25" s="1"/>
  <c r="CB320" i="25" s="1"/>
  <c r="CF320" i="25" s="1"/>
  <c r="CG320" i="25" s="1"/>
  <c r="CJ320" i="25" s="1"/>
  <c r="CM320" i="25"/>
  <c r="CS320" i="25" s="1"/>
  <c r="BS325" i="25"/>
  <c r="BZ327" i="25"/>
  <c r="CA327" i="25" s="1"/>
  <c r="CB327" i="25" s="1"/>
  <c r="CF327" i="25" s="1"/>
  <c r="CG327" i="25" s="1"/>
  <c r="CJ327" i="25" s="1"/>
  <c r="CX328" i="25"/>
  <c r="CY328" i="25" s="1"/>
  <c r="CZ328" i="25" s="1"/>
  <c r="DA328" i="25" s="1"/>
  <c r="CP329" i="25"/>
  <c r="BY330" i="25"/>
  <c r="CA330" i="25" s="1"/>
  <c r="CE330" i="25" s="1"/>
  <c r="CH330" i="25" s="1"/>
  <c r="CI330" i="25" s="1"/>
  <c r="BZ342" i="25"/>
  <c r="BS346" i="25"/>
  <c r="BY348" i="25"/>
  <c r="BS351" i="25"/>
  <c r="CX351" i="25"/>
  <c r="CY351" i="25" s="1"/>
  <c r="CZ351" i="25" s="1"/>
  <c r="DA351" i="25" s="1"/>
  <c r="CP351" i="25"/>
  <c r="CO351" i="25"/>
  <c r="CN356" i="25"/>
  <c r="CO356" i="25"/>
  <c r="BZ358" i="25"/>
  <c r="CA358" i="25" s="1"/>
  <c r="CB358" i="25" s="1"/>
  <c r="CP359" i="25"/>
  <c r="BZ361" i="25"/>
  <c r="CA361" i="25" s="1"/>
  <c r="CE361" i="25" s="1"/>
  <c r="CH361" i="25" s="1"/>
  <c r="CI361" i="25" s="1"/>
  <c r="BY361" i="25"/>
  <c r="CN382" i="25"/>
  <c r="DH506" i="25"/>
  <c r="DB325" i="25"/>
  <c r="BZ329" i="25"/>
  <c r="CA329" i="25" s="1"/>
  <c r="DB346" i="25"/>
  <c r="CQ359" i="25"/>
  <c r="CR359" i="25" s="1"/>
  <c r="BZ379" i="25"/>
  <c r="CA379" i="25" s="1"/>
  <c r="CB379" i="25" s="1"/>
  <c r="CF379" i="25" s="1"/>
  <c r="CG379" i="25" s="1"/>
  <c r="CJ379" i="25" s="1"/>
  <c r="CP382" i="25"/>
  <c r="DB505" i="25"/>
  <c r="CO509" i="25"/>
  <c r="CP509" i="25"/>
  <c r="CM509" i="25"/>
  <c r="CS509" i="25" s="1"/>
  <c r="CN513" i="25"/>
  <c r="BZ514" i="25"/>
  <c r="BY517" i="25"/>
  <c r="CA517" i="25" s="1"/>
  <c r="CB517" i="25" s="1"/>
  <c r="BZ518" i="25"/>
  <c r="CP522" i="25"/>
  <c r="BS523" i="25"/>
  <c r="BS525" i="25"/>
  <c r="BY533" i="25"/>
  <c r="CA533" i="25" s="1"/>
  <c r="CB533" i="25" s="1"/>
  <c r="CF533" i="25" s="1"/>
  <c r="CG533" i="25" s="1"/>
  <c r="CJ533" i="25" s="1"/>
  <c r="BY535" i="25"/>
  <c r="CA535" i="25" s="1"/>
  <c r="BZ540" i="25"/>
  <c r="BS543" i="25"/>
  <c r="BZ381" i="25"/>
  <c r="CA381" i="25" s="1"/>
  <c r="CB381" i="25" s="1"/>
  <c r="CF381" i="25" s="1"/>
  <c r="CG381" i="25" s="1"/>
  <c r="CJ381" i="25" s="1"/>
  <c r="CX384" i="25"/>
  <c r="CY384" i="25" s="1"/>
  <c r="CZ384" i="25" s="1"/>
  <c r="DA384" i="25" s="1"/>
  <c r="BY389" i="25"/>
  <c r="BS505" i="25"/>
  <c r="BZ507" i="25"/>
  <c r="CP507" i="25"/>
  <c r="BS508" i="25"/>
  <c r="CM508" i="25"/>
  <c r="CS508" i="25" s="1"/>
  <c r="BZ510" i="25"/>
  <c r="CM510" i="25"/>
  <c r="CS510" i="25" s="1"/>
  <c r="CO513" i="25"/>
  <c r="BZ515" i="25"/>
  <c r="CN515" i="25"/>
  <c r="BS516" i="25"/>
  <c r="DH521" i="25"/>
  <c r="BZ523" i="25"/>
  <c r="CM523" i="25"/>
  <c r="CS523" i="25" s="1"/>
  <c r="CM524" i="25"/>
  <c r="CS524" i="25" s="1"/>
  <c r="DH531" i="25"/>
  <c r="CX535" i="25"/>
  <c r="CY535" i="25" s="1"/>
  <c r="CZ535" i="25" s="1"/>
  <c r="DA535" i="25" s="1"/>
  <c r="BY536" i="25"/>
  <c r="CA536" i="25" s="1"/>
  <c r="BS537" i="25"/>
  <c r="BZ538" i="25"/>
  <c r="CX539" i="25"/>
  <c r="CY539" i="25" s="1"/>
  <c r="CZ539" i="25" s="1"/>
  <c r="DA539" i="25" s="1"/>
  <c r="BZ543" i="25"/>
  <c r="CX389" i="25"/>
  <c r="CY389" i="25" s="1"/>
  <c r="CZ389" i="25" s="1"/>
  <c r="DA389" i="25" s="1"/>
  <c r="BY505" i="25"/>
  <c r="CA505" i="25" s="1"/>
  <c r="CX506" i="25"/>
  <c r="CY506" i="25" s="1"/>
  <c r="CZ506" i="25" s="1"/>
  <c r="DA506" i="25" s="1"/>
  <c r="BY508" i="25"/>
  <c r="CA508" i="25" s="1"/>
  <c r="CB508" i="25" s="1"/>
  <c r="CN508" i="25"/>
  <c r="CO510" i="25"/>
  <c r="CP513" i="25"/>
  <c r="BY514" i="25"/>
  <c r="CA514" i="25" s="1"/>
  <c r="BY515" i="25"/>
  <c r="CA515" i="25" s="1"/>
  <c r="CB515" i="25" s="1"/>
  <c r="CF515" i="25" s="1"/>
  <c r="CG515" i="25" s="1"/>
  <c r="CJ515" i="25" s="1"/>
  <c r="CO515" i="25"/>
  <c r="BY516" i="25"/>
  <c r="CA516" i="25" s="1"/>
  <c r="CB516" i="25" s="1"/>
  <c r="BY518" i="25"/>
  <c r="CA518" i="25" s="1"/>
  <c r="CB518" i="25" s="1"/>
  <c r="CF518" i="25" s="1"/>
  <c r="CG518" i="25" s="1"/>
  <c r="CJ518" i="25" s="1"/>
  <c r="CX520" i="25"/>
  <c r="CY520" i="25" s="1"/>
  <c r="CZ520" i="25" s="1"/>
  <c r="DA520" i="25" s="1"/>
  <c r="CN523" i="25"/>
  <c r="BY524" i="25"/>
  <c r="CA524" i="25" s="1"/>
  <c r="CB524" i="25" s="1"/>
  <c r="CF524" i="25" s="1"/>
  <c r="CG524" i="25" s="1"/>
  <c r="CJ524" i="25" s="1"/>
  <c r="CQ524" i="25"/>
  <c r="CR524" i="25" s="1"/>
  <c r="CX526" i="25"/>
  <c r="CY526" i="25" s="1"/>
  <c r="CZ526" i="25" s="1"/>
  <c r="DA526" i="25" s="1"/>
  <c r="CX527" i="25"/>
  <c r="CY527" i="25" s="1"/>
  <c r="CZ527" i="25" s="1"/>
  <c r="DA527" i="25" s="1"/>
  <c r="DH530" i="25"/>
  <c r="CN534" i="25"/>
  <c r="DH537" i="25"/>
  <c r="CM539" i="25"/>
  <c r="CS539" i="25" s="1"/>
  <c r="CD542" i="25"/>
  <c r="CP510" i="25"/>
  <c r="BZ511" i="25"/>
  <c r="CQ513" i="25"/>
  <c r="CR513" i="25" s="1"/>
  <c r="BZ537" i="25"/>
  <c r="BZ539" i="25"/>
  <c r="BZ544" i="25"/>
  <c r="CX388" i="25"/>
  <c r="CY388" i="25" s="1"/>
  <c r="CZ388" i="25" s="1"/>
  <c r="DA388" i="25" s="1"/>
  <c r="CP505" i="25"/>
  <c r="BZ524" i="25"/>
  <c r="BZ526" i="25"/>
  <c r="CX531" i="25"/>
  <c r="CY531" i="25" s="1"/>
  <c r="CZ531" i="25" s="1"/>
  <c r="DA531" i="25" s="1"/>
  <c r="CX532" i="25"/>
  <c r="CY532" i="25" s="1"/>
  <c r="CZ532" i="25" s="1"/>
  <c r="DA532" i="25" s="1"/>
  <c r="CN537" i="25"/>
  <c r="BS540" i="25"/>
  <c r="BY542" i="25"/>
  <c r="CA542" i="25" s="1"/>
  <c r="CB542" i="25" s="1"/>
  <c r="CN542" i="25"/>
  <c r="CM544" i="25"/>
  <c r="CS544" i="25" s="1"/>
  <c r="CM353" i="25"/>
  <c r="CS353" i="25" s="1"/>
  <c r="BS358" i="25"/>
  <c r="BY371" i="25"/>
  <c r="CX373" i="25"/>
  <c r="CY373" i="25" s="1"/>
  <c r="CZ373" i="25" s="1"/>
  <c r="DA373" i="25" s="1"/>
  <c r="BZ375" i="25"/>
  <c r="CA375" i="25" s="1"/>
  <c r="BZ380" i="25"/>
  <c r="CA380" i="25" s="1"/>
  <c r="CX381" i="25"/>
  <c r="CY381" i="25" s="1"/>
  <c r="CZ381" i="25" s="1"/>
  <c r="DA381" i="25" s="1"/>
  <c r="BY384" i="25"/>
  <c r="CM386" i="25"/>
  <c r="CS386" i="25" s="1"/>
  <c r="BS388" i="25"/>
  <c r="BZ506" i="25"/>
  <c r="CN506" i="25"/>
  <c r="CX507" i="25"/>
  <c r="CY507" i="25" s="1"/>
  <c r="CZ507" i="25" s="1"/>
  <c r="DA507" i="25" s="1"/>
  <c r="BS509" i="25"/>
  <c r="DH510" i="25"/>
  <c r="BY511" i="25"/>
  <c r="CA511" i="25" s="1"/>
  <c r="CB511" i="25" s="1"/>
  <c r="CF511" i="25" s="1"/>
  <c r="CG511" i="25" s="1"/>
  <c r="CJ511" i="25" s="1"/>
  <c r="CQ511" i="25"/>
  <c r="CR511" i="25" s="1"/>
  <c r="BZ512" i="25"/>
  <c r="CN519" i="25"/>
  <c r="BY521" i="25"/>
  <c r="CA521" i="25" s="1"/>
  <c r="CE521" i="25" s="1"/>
  <c r="CH521" i="25" s="1"/>
  <c r="CI521" i="25" s="1"/>
  <c r="CM521" i="25"/>
  <c r="CS521" i="25" s="1"/>
  <c r="BS522" i="25"/>
  <c r="CX523" i="25"/>
  <c r="CY523" i="25" s="1"/>
  <c r="CZ523" i="25" s="1"/>
  <c r="DA523" i="25" s="1"/>
  <c r="CN526" i="25"/>
  <c r="BZ530" i="25"/>
  <c r="DB530" i="25"/>
  <c r="BZ535" i="25"/>
  <c r="CM535" i="25"/>
  <c r="CS535" i="25" s="1"/>
  <c r="BY541" i="25"/>
  <c r="CA541" i="25" s="1"/>
  <c r="CB541" i="25" s="1"/>
  <c r="CF541" i="25" s="1"/>
  <c r="CG541" i="25" s="1"/>
  <c r="CJ541" i="25" s="1"/>
  <c r="CO542" i="25"/>
  <c r="BY509" i="25"/>
  <c r="CA509" i="25" s="1"/>
  <c r="BZ513" i="25"/>
  <c r="CX513" i="25"/>
  <c r="CY513" i="25" s="1"/>
  <c r="CZ513" i="25" s="1"/>
  <c r="DA513" i="25" s="1"/>
  <c r="BS514" i="25"/>
  <c r="BZ519" i="25"/>
  <c r="BZ520" i="25"/>
  <c r="CM527" i="25"/>
  <c r="CS527" i="25" s="1"/>
  <c r="BY528" i="25"/>
  <c r="CA528" i="25" s="1"/>
  <c r="CB528" i="25" s="1"/>
  <c r="CF528" i="25" s="1"/>
  <c r="CG528" i="25" s="1"/>
  <c r="CJ528" i="25" s="1"/>
  <c r="BZ529" i="25"/>
  <c r="BZ532" i="25"/>
  <c r="CM532" i="25"/>
  <c r="CS532" i="25" s="1"/>
  <c r="BZ534" i="25"/>
  <c r="BY540" i="25"/>
  <c r="CA540" i="25" s="1"/>
  <c r="BS541" i="25"/>
  <c r="CX543" i="25"/>
  <c r="CY543" i="25" s="1"/>
  <c r="CZ543" i="25" s="1"/>
  <c r="DA543" i="25" s="1"/>
  <c r="CO10" i="25"/>
  <c r="DH10" i="25"/>
  <c r="BY14" i="25"/>
  <c r="CA14" i="25" s="1"/>
  <c r="BZ17" i="25"/>
  <c r="BY17" i="25"/>
  <c r="CA17" i="25" s="1"/>
  <c r="CB17" i="25" s="1"/>
  <c r="CF17" i="25" s="1"/>
  <c r="CG17" i="25" s="1"/>
  <c r="CJ17" i="25" s="1"/>
  <c r="BY10" i="25"/>
  <c r="CA10" i="25" s="1"/>
  <c r="BY15" i="25"/>
  <c r="CA15" i="25" s="1"/>
  <c r="CN16" i="25"/>
  <c r="CM16" i="25"/>
  <c r="CS16" i="25" s="1"/>
  <c r="CM9" i="25"/>
  <c r="CS9" i="25" s="1"/>
  <c r="BY11" i="25"/>
  <c r="CA11" i="25" s="1"/>
  <c r="CQ14" i="25"/>
  <c r="CR14" i="25" s="1"/>
  <c r="CO14" i="25"/>
  <c r="CQ10" i="25"/>
  <c r="CR10" i="25" s="1"/>
  <c r="BY13" i="25"/>
  <c r="CA13" i="25" s="1"/>
  <c r="CB13" i="25" s="1"/>
  <c r="CF13" i="25" s="1"/>
  <c r="CG13" i="25" s="1"/>
  <c r="CJ13" i="25" s="1"/>
  <c r="BY16" i="25"/>
  <c r="CA16" i="25" s="1"/>
  <c r="CB16" i="25" s="1"/>
  <c r="CF16" i="25" s="1"/>
  <c r="CG16" i="25" s="1"/>
  <c r="CJ16" i="25" s="1"/>
  <c r="CD8" i="25"/>
  <c r="CN9" i="25"/>
  <c r="BY12" i="25"/>
  <c r="CA12" i="25" s="1"/>
  <c r="CB12" i="25" s="1"/>
  <c r="CF12" i="25" s="1"/>
  <c r="CG12" i="25" s="1"/>
  <c r="CJ12" i="25" s="1"/>
  <c r="CN12" i="25"/>
  <c r="CN15" i="25"/>
  <c r="CO18" i="25"/>
  <c r="CO22" i="25"/>
  <c r="CO26" i="25"/>
  <c r="CO30" i="25"/>
  <c r="CO34" i="25"/>
  <c r="CO38" i="25"/>
  <c r="BY42" i="25"/>
  <c r="CA42" i="25" s="1"/>
  <c r="CO42" i="25"/>
  <c r="CQ43" i="25"/>
  <c r="CR43" i="25" s="1"/>
  <c r="CQ46" i="25"/>
  <c r="CR46" i="25" s="1"/>
  <c r="BY49" i="25"/>
  <c r="CA49" i="25" s="1"/>
  <c r="CO49" i="25"/>
  <c r="BY53" i="25"/>
  <c r="CA53" i="25" s="1"/>
  <c r="CO53" i="25"/>
  <c r="CQ54" i="25"/>
  <c r="CR54" i="25" s="1"/>
  <c r="BY57" i="25"/>
  <c r="CA57" i="25" s="1"/>
  <c r="CO57" i="25"/>
  <c r="CQ58" i="25"/>
  <c r="CR58" i="25" s="1"/>
  <c r="CO61" i="25"/>
  <c r="CN64" i="25"/>
  <c r="BY67" i="25"/>
  <c r="CA67" i="25" s="1"/>
  <c r="CB67" i="25" s="1"/>
  <c r="CF67" i="25" s="1"/>
  <c r="CG67" i="25" s="1"/>
  <c r="CJ67" i="25" s="1"/>
  <c r="BY72" i="25"/>
  <c r="CA72" i="25" s="1"/>
  <c r="CD73" i="25"/>
  <c r="CN84" i="25"/>
  <c r="CM84" i="25"/>
  <c r="CS84" i="25" s="1"/>
  <c r="CP30" i="25"/>
  <c r="DH31" i="25"/>
  <c r="CP34" i="25"/>
  <c r="DH35" i="25"/>
  <c r="CP38" i="25"/>
  <c r="DH39" i="25"/>
  <c r="CN41" i="25"/>
  <c r="CP42" i="25"/>
  <c r="DH43" i="25"/>
  <c r="CD44" i="25"/>
  <c r="CN45" i="25"/>
  <c r="DH46" i="25"/>
  <c r="CD47" i="25"/>
  <c r="CN48" i="25"/>
  <c r="CP49" i="25"/>
  <c r="DH50" i="25"/>
  <c r="CD51" i="25"/>
  <c r="CN52" i="25"/>
  <c r="CP53" i="25"/>
  <c r="DH54" i="25"/>
  <c r="CD55" i="25"/>
  <c r="CN56" i="25"/>
  <c r="CP57" i="25"/>
  <c r="DH58" i="25"/>
  <c r="CD59" i="25"/>
  <c r="CN60" i="25"/>
  <c r="CP61" i="25"/>
  <c r="DH62" i="25"/>
  <c r="CM63" i="25"/>
  <c r="CS63" i="25" s="1"/>
  <c r="BY64" i="25"/>
  <c r="CA64" i="25" s="1"/>
  <c r="BS67" i="25"/>
  <c r="BY70" i="25"/>
  <c r="CA70" i="25" s="1"/>
  <c r="CQ74" i="25"/>
  <c r="CR74" i="25" s="1"/>
  <c r="CO74" i="25"/>
  <c r="CN74" i="25"/>
  <c r="BS77" i="25"/>
  <c r="CD77" i="25"/>
  <c r="BZ83" i="25"/>
  <c r="BY83" i="25"/>
  <c r="CA83" i="25" s="1"/>
  <c r="CB83" i="25" s="1"/>
  <c r="CF83" i="25" s="1"/>
  <c r="CG83" i="25" s="1"/>
  <c r="CJ83" i="25" s="1"/>
  <c r="CQ18" i="25"/>
  <c r="CR18" i="25" s="1"/>
  <c r="CM20" i="25"/>
  <c r="CS20" i="25" s="1"/>
  <c r="BY21" i="25"/>
  <c r="CA21" i="25" s="1"/>
  <c r="CB21" i="25" s="1"/>
  <c r="CF21" i="25" s="1"/>
  <c r="CG21" i="25" s="1"/>
  <c r="CJ21" i="25" s="1"/>
  <c r="CQ22" i="25"/>
  <c r="CR22" i="25" s="1"/>
  <c r="CM24" i="25"/>
  <c r="CS24" i="25" s="1"/>
  <c r="BY25" i="25"/>
  <c r="CA25" i="25" s="1"/>
  <c r="CB25" i="25" s="1"/>
  <c r="CF25" i="25" s="1"/>
  <c r="CG25" i="25" s="1"/>
  <c r="CJ25" i="25" s="1"/>
  <c r="CQ26" i="25"/>
  <c r="CR26" i="25" s="1"/>
  <c r="CM28" i="25"/>
  <c r="CS28" i="25" s="1"/>
  <c r="BY29" i="25"/>
  <c r="CA29" i="25" s="1"/>
  <c r="CB29" i="25" s="1"/>
  <c r="CF29" i="25" s="1"/>
  <c r="CG29" i="25" s="1"/>
  <c r="CJ29" i="25" s="1"/>
  <c r="CO29" i="25"/>
  <c r="CQ30" i="25"/>
  <c r="CR30" i="25" s="1"/>
  <c r="BY33" i="25"/>
  <c r="CA33" i="25" s="1"/>
  <c r="CB33" i="25" s="1"/>
  <c r="CF33" i="25" s="1"/>
  <c r="CG33" i="25" s="1"/>
  <c r="CJ33" i="25" s="1"/>
  <c r="CO33" i="25"/>
  <c r="CQ34" i="25"/>
  <c r="CR34" i="25" s="1"/>
  <c r="BY37" i="25"/>
  <c r="CA37" i="25" s="1"/>
  <c r="CB37" i="25" s="1"/>
  <c r="CF37" i="25" s="1"/>
  <c r="CG37" i="25" s="1"/>
  <c r="CJ37" i="25" s="1"/>
  <c r="CO37" i="25"/>
  <c r="CQ38" i="25"/>
  <c r="CR38" i="25" s="1"/>
  <c r="CO41" i="25"/>
  <c r="CQ42" i="25"/>
  <c r="CR42" i="25" s="1"/>
  <c r="CO45" i="25"/>
  <c r="CO48" i="25"/>
  <c r="CQ49" i="25"/>
  <c r="CR49" i="25" s="1"/>
  <c r="CO52" i="25"/>
  <c r="CQ53" i="25"/>
  <c r="CR53" i="25" s="1"/>
  <c r="CO56" i="25"/>
  <c r="CQ57" i="25"/>
  <c r="CR57" i="25" s="1"/>
  <c r="CO60" i="25"/>
  <c r="CQ61" i="25"/>
  <c r="CR61" i="25" s="1"/>
  <c r="DH71" i="25"/>
  <c r="BY73" i="25"/>
  <c r="CA73" i="25" s="1"/>
  <c r="CB73" i="25" s="1"/>
  <c r="CN80" i="25"/>
  <c r="CM80" i="25"/>
  <c r="CS80" i="25" s="1"/>
  <c r="CP37" i="25"/>
  <c r="CN40" i="25"/>
  <c r="CP41" i="25"/>
  <c r="CN44" i="25"/>
  <c r="CN47" i="25"/>
  <c r="CN51" i="25"/>
  <c r="CN55" i="25"/>
  <c r="CN59" i="25"/>
  <c r="BY63" i="25"/>
  <c r="CA63" i="25" s="1"/>
  <c r="CO63" i="25"/>
  <c r="CM66" i="25"/>
  <c r="CS66" i="25" s="1"/>
  <c r="CN67" i="25"/>
  <c r="CQ70" i="25"/>
  <c r="CR70" i="25" s="1"/>
  <c r="CO70" i="25"/>
  <c r="CN71" i="25"/>
  <c r="BZ75" i="25"/>
  <c r="BY77" i="25"/>
  <c r="CA77" i="25" s="1"/>
  <c r="CB77" i="25" s="1"/>
  <c r="BZ79" i="25"/>
  <c r="BY79" i="25"/>
  <c r="CA79" i="25" s="1"/>
  <c r="CB79" i="25" s="1"/>
  <c r="CF79" i="25" s="1"/>
  <c r="CG79" i="25" s="1"/>
  <c r="CJ79" i="25" s="1"/>
  <c r="BY24" i="25"/>
  <c r="CA24" i="25" s="1"/>
  <c r="CB24" i="25" s="1"/>
  <c r="CF24" i="25" s="1"/>
  <c r="CG24" i="25" s="1"/>
  <c r="CJ24" i="25" s="1"/>
  <c r="BY28" i="25"/>
  <c r="CA28" i="25" s="1"/>
  <c r="CB28" i="25" s="1"/>
  <c r="CF28" i="25" s="1"/>
  <c r="CG28" i="25" s="1"/>
  <c r="CJ28" i="25" s="1"/>
  <c r="BY32" i="25"/>
  <c r="CA32" i="25" s="1"/>
  <c r="CB32" i="25" s="1"/>
  <c r="CF32" i="25" s="1"/>
  <c r="CG32" i="25" s="1"/>
  <c r="CJ32" i="25" s="1"/>
  <c r="BY36" i="25"/>
  <c r="CA36" i="25" s="1"/>
  <c r="CB36" i="25" s="1"/>
  <c r="CF36" i="25" s="1"/>
  <c r="CG36" i="25" s="1"/>
  <c r="CJ36" i="25" s="1"/>
  <c r="BY68" i="25"/>
  <c r="CA68" i="25" s="1"/>
  <c r="BY69" i="25"/>
  <c r="CA69" i="25" s="1"/>
  <c r="CB69" i="25" s="1"/>
  <c r="CF69" i="25" s="1"/>
  <c r="CG69" i="25" s="1"/>
  <c r="CJ69" i="25" s="1"/>
  <c r="DB74" i="25"/>
  <c r="BY76" i="25"/>
  <c r="CA76" i="25" s="1"/>
  <c r="CN88" i="25"/>
  <c r="CM88" i="25"/>
  <c r="CS88" i="25" s="1"/>
  <c r="CN39" i="25"/>
  <c r="CN43" i="25"/>
  <c r="CN46" i="25"/>
  <c r="CN50" i="25"/>
  <c r="CN54" i="25"/>
  <c r="CN58" i="25"/>
  <c r="CN62" i="25"/>
  <c r="CO66" i="25"/>
  <c r="BZ71" i="25"/>
  <c r="CM79" i="25"/>
  <c r="CS79" i="25" s="1"/>
  <c r="CN79" i="25"/>
  <c r="BZ87" i="25"/>
  <c r="BY87" i="25"/>
  <c r="CA87" i="25" s="1"/>
  <c r="CB87" i="25" s="1"/>
  <c r="CF87" i="25" s="1"/>
  <c r="CG87" i="25" s="1"/>
  <c r="CJ87" i="25" s="1"/>
  <c r="BY19" i="25"/>
  <c r="CA19" i="25" s="1"/>
  <c r="BY23" i="25"/>
  <c r="CA23" i="25" s="1"/>
  <c r="BY27" i="25"/>
  <c r="CA27" i="25" s="1"/>
  <c r="BZ74" i="25"/>
  <c r="CM75" i="25"/>
  <c r="CS75" i="25" s="1"/>
  <c r="CN75" i="25"/>
  <c r="DB78" i="25"/>
  <c r="BZ80" i="25"/>
  <c r="CP80" i="25"/>
  <c r="DB82" i="25"/>
  <c r="CN83" i="25"/>
  <c r="BZ84" i="25"/>
  <c r="CP84" i="25"/>
  <c r="DB86" i="25"/>
  <c r="BZ88" i="25"/>
  <c r="CP88" i="25"/>
  <c r="DB90" i="25"/>
  <c r="CP92" i="25"/>
  <c r="DB94" i="25"/>
  <c r="CN95" i="25"/>
  <c r="CP96" i="25"/>
  <c r="DB98" i="25"/>
  <c r="CN99" i="25"/>
  <c r="CP100" i="25"/>
  <c r="DB102" i="25"/>
  <c r="CN103" i="25"/>
  <c r="CP104" i="25"/>
  <c r="DB106" i="25"/>
  <c r="CN107" i="25"/>
  <c r="CP108" i="25"/>
  <c r="DB110" i="25"/>
  <c r="BY112" i="25"/>
  <c r="CA112" i="25" s="1"/>
  <c r="BS113" i="25"/>
  <c r="BS117" i="25"/>
  <c r="DB121" i="25"/>
  <c r="BY122" i="25"/>
  <c r="CA122" i="25" s="1"/>
  <c r="BY125" i="25"/>
  <c r="CA125" i="25" s="1"/>
  <c r="CX126" i="25"/>
  <c r="CY126" i="25" s="1"/>
  <c r="CZ126" i="25" s="1"/>
  <c r="DA126" i="25" s="1"/>
  <c r="DH134" i="25"/>
  <c r="BY136" i="25"/>
  <c r="CA136" i="25" s="1"/>
  <c r="CX137" i="25"/>
  <c r="CY137" i="25" s="1"/>
  <c r="CZ137" i="25" s="1"/>
  <c r="DA137" i="25" s="1"/>
  <c r="BZ139" i="25"/>
  <c r="DH141" i="25"/>
  <c r="CQ148" i="25"/>
  <c r="CR148" i="25" s="1"/>
  <c r="CP148" i="25"/>
  <c r="CO148" i="25"/>
  <c r="CN148" i="25"/>
  <c r="BY91" i="25"/>
  <c r="CA91" i="25" s="1"/>
  <c r="CB91" i="25" s="1"/>
  <c r="CF91" i="25" s="1"/>
  <c r="CG91" i="25" s="1"/>
  <c r="CJ91" i="25" s="1"/>
  <c r="BY95" i="25"/>
  <c r="CA95" i="25" s="1"/>
  <c r="CB95" i="25" s="1"/>
  <c r="CF95" i="25" s="1"/>
  <c r="CG95" i="25" s="1"/>
  <c r="CJ95" i="25" s="1"/>
  <c r="CQ121" i="25"/>
  <c r="CR121" i="25" s="1"/>
  <c r="CO121" i="25"/>
  <c r="CN121" i="25"/>
  <c r="CD128" i="25"/>
  <c r="CQ129" i="25"/>
  <c r="CR129" i="25" s="1"/>
  <c r="CP129" i="25"/>
  <c r="CO129" i="25"/>
  <c r="CN129" i="25"/>
  <c r="CD143" i="25"/>
  <c r="CQ152" i="25"/>
  <c r="CR152" i="25" s="1"/>
  <c r="CP152" i="25"/>
  <c r="CO152" i="25"/>
  <c r="CN152" i="25"/>
  <c r="CQ156" i="25"/>
  <c r="CR156" i="25" s="1"/>
  <c r="CP156" i="25"/>
  <c r="CO156" i="25"/>
  <c r="CN156" i="25"/>
  <c r="CN78" i="25"/>
  <c r="CD81" i="25"/>
  <c r="CN82" i="25"/>
  <c r="CD85" i="25"/>
  <c r="CN86" i="25"/>
  <c r="CD89" i="25"/>
  <c r="DB89" i="25"/>
  <c r="CN90" i="25"/>
  <c r="CD93" i="25"/>
  <c r="DB93" i="25"/>
  <c r="CN94" i="25"/>
  <c r="CD97" i="25"/>
  <c r="DB97" i="25"/>
  <c r="CN98" i="25"/>
  <c r="CD101" i="25"/>
  <c r="DB101" i="25"/>
  <c r="CN102" i="25"/>
  <c r="CD105" i="25"/>
  <c r="DB105" i="25"/>
  <c r="CN106" i="25"/>
  <c r="CD109" i="25"/>
  <c r="DB109" i="25"/>
  <c r="CN110" i="25"/>
  <c r="BY113" i="25"/>
  <c r="CA113" i="25" s="1"/>
  <c r="CB113" i="25" s="1"/>
  <c r="CD113" i="25"/>
  <c r="CN113" i="25"/>
  <c r="CN114" i="25"/>
  <c r="CN115" i="25"/>
  <c r="BY116" i="25"/>
  <c r="CA116" i="25" s="1"/>
  <c r="CB116" i="25" s="1"/>
  <c r="CF116" i="25" s="1"/>
  <c r="CG116" i="25" s="1"/>
  <c r="CJ116" i="25" s="1"/>
  <c r="CN116" i="25"/>
  <c r="BY117" i="25"/>
  <c r="CA117" i="25" s="1"/>
  <c r="CB117" i="25" s="1"/>
  <c r="CD117" i="25"/>
  <c r="CN117" i="25"/>
  <c r="CN118" i="25"/>
  <c r="CD120" i="25"/>
  <c r="CP121" i="25"/>
  <c r="BZ124" i="25"/>
  <c r="BY126" i="25"/>
  <c r="CA126" i="25" s="1"/>
  <c r="CD132" i="25"/>
  <c r="CQ133" i="25"/>
  <c r="CR133" i="25" s="1"/>
  <c r="CP133" i="25"/>
  <c r="CO133" i="25"/>
  <c r="CN133" i="25"/>
  <c r="DB144" i="25"/>
  <c r="BZ160" i="25"/>
  <c r="DB177" i="25"/>
  <c r="DB199" i="25"/>
  <c r="CO78" i="25"/>
  <c r="CO82" i="25"/>
  <c r="CO86" i="25"/>
  <c r="CO90" i="25"/>
  <c r="CO94" i="25"/>
  <c r="BY98" i="25"/>
  <c r="CA98" i="25" s="1"/>
  <c r="CO98" i="25"/>
  <c r="BY102" i="25"/>
  <c r="CA102" i="25" s="1"/>
  <c r="CO102" i="25"/>
  <c r="BY106" i="25"/>
  <c r="CA106" i="25" s="1"/>
  <c r="CO106" i="25"/>
  <c r="BY110" i="25"/>
  <c r="CA110" i="25" s="1"/>
  <c r="CO110" i="25"/>
  <c r="CO114" i="25"/>
  <c r="CO118" i="25"/>
  <c r="CQ125" i="25"/>
  <c r="CR125" i="25" s="1"/>
  <c r="CO125" i="25"/>
  <c r="CN125" i="25"/>
  <c r="CM129" i="25"/>
  <c r="CS129" i="25" s="1"/>
  <c r="DB136" i="25"/>
  <c r="CQ140" i="25"/>
  <c r="CR140" i="25" s="1"/>
  <c r="CP140" i="25"/>
  <c r="CO140" i="25"/>
  <c r="CN140" i="25"/>
  <c r="DH145" i="25"/>
  <c r="CP98" i="25"/>
  <c r="CP102" i="25"/>
  <c r="CP106" i="25"/>
  <c r="CP110" i="25"/>
  <c r="BZ120" i="25"/>
  <c r="BY120" i="25"/>
  <c r="CA120" i="25" s="1"/>
  <c r="CB120" i="25" s="1"/>
  <c r="CM125" i="25"/>
  <c r="CS125" i="25" s="1"/>
  <c r="BZ128" i="25"/>
  <c r="CM133" i="25"/>
  <c r="CS133" i="25" s="1"/>
  <c r="CX134" i="25"/>
  <c r="CY134" i="25" s="1"/>
  <c r="CZ134" i="25" s="1"/>
  <c r="DA134" i="25" s="1"/>
  <c r="DH137" i="25"/>
  <c r="BY140" i="25"/>
  <c r="CA140" i="25" s="1"/>
  <c r="CX141" i="25"/>
  <c r="CY141" i="25" s="1"/>
  <c r="CZ141" i="25" s="1"/>
  <c r="DA141" i="25" s="1"/>
  <c r="CD147" i="25"/>
  <c r="BY152" i="25"/>
  <c r="CA152" i="25" s="1"/>
  <c r="CM152" i="25"/>
  <c r="CS152" i="25" s="1"/>
  <c r="BY156" i="25"/>
  <c r="CA156" i="25" s="1"/>
  <c r="CM156" i="25"/>
  <c r="CS156" i="25" s="1"/>
  <c r="CM92" i="25"/>
  <c r="CS92" i="25" s="1"/>
  <c r="CM96" i="25"/>
  <c r="CS96" i="25" s="1"/>
  <c r="BY97" i="25"/>
  <c r="CA97" i="25" s="1"/>
  <c r="BY101" i="25"/>
  <c r="CA101" i="25" s="1"/>
  <c r="CB101" i="25" s="1"/>
  <c r="BY105" i="25"/>
  <c r="CA105" i="25" s="1"/>
  <c r="CB105" i="25" s="1"/>
  <c r="BY109" i="25"/>
  <c r="CA109" i="25" s="1"/>
  <c r="CB109" i="25" s="1"/>
  <c r="CQ114" i="25"/>
  <c r="CR114" i="25" s="1"/>
  <c r="CQ118" i="25"/>
  <c r="CR118" i="25" s="1"/>
  <c r="CX122" i="25"/>
  <c r="CY122" i="25" s="1"/>
  <c r="CZ122" i="25" s="1"/>
  <c r="DA122" i="25" s="1"/>
  <c r="DH122" i="25"/>
  <c r="BY123" i="25"/>
  <c r="CA123" i="25" s="1"/>
  <c r="CB123" i="25" s="1"/>
  <c r="CF123" i="25" s="1"/>
  <c r="CG123" i="25" s="1"/>
  <c r="CJ123" i="25" s="1"/>
  <c r="BZ123" i="25"/>
  <c r="CN123" i="25"/>
  <c r="CM123" i="25"/>
  <c r="CS123" i="25" s="1"/>
  <c r="CP125" i="25"/>
  <c r="DB129" i="25"/>
  <c r="BZ132" i="25"/>
  <c r="CD139" i="25"/>
  <c r="CM140" i="25"/>
  <c r="CS140" i="25" s="1"/>
  <c r="DB148" i="25"/>
  <c r="DH149" i="25"/>
  <c r="DH153" i="25"/>
  <c r="DH157" i="25"/>
  <c r="BZ161" i="25"/>
  <c r="DB182" i="25"/>
  <c r="CQ113" i="25"/>
  <c r="CR113" i="25" s="1"/>
  <c r="CO113" i="25"/>
  <c r="CQ117" i="25"/>
  <c r="CR117" i="25" s="1"/>
  <c r="CO117" i="25"/>
  <c r="DB133" i="25"/>
  <c r="CQ144" i="25"/>
  <c r="CR144" i="25" s="1"/>
  <c r="CP144" i="25"/>
  <c r="CO144" i="25"/>
  <c r="CN144" i="25"/>
  <c r="CD151" i="25"/>
  <c r="DB152" i="25"/>
  <c r="CD155" i="25"/>
  <c r="DB156" i="25"/>
  <c r="CD159" i="25"/>
  <c r="BY163" i="25"/>
  <c r="CA163" i="25" s="1"/>
  <c r="BZ163" i="25"/>
  <c r="BZ174" i="25"/>
  <c r="CA174" i="25" s="1"/>
  <c r="CB174" i="25" s="1"/>
  <c r="BY174" i="25"/>
  <c r="BZ117" i="25"/>
  <c r="CD124" i="25"/>
  <c r="DB125" i="25"/>
  <c r="DH126" i="25"/>
  <c r="BY127" i="25"/>
  <c r="CA127" i="25" s="1"/>
  <c r="CB127" i="25" s="1"/>
  <c r="CF127" i="25" s="1"/>
  <c r="CG127" i="25" s="1"/>
  <c r="CJ127" i="25" s="1"/>
  <c r="BZ127" i="25"/>
  <c r="CN127" i="25"/>
  <c r="CM127" i="25"/>
  <c r="CS127" i="25" s="1"/>
  <c r="DH130" i="25"/>
  <c r="CQ136" i="25"/>
  <c r="CR136" i="25" s="1"/>
  <c r="CP136" i="25"/>
  <c r="CO136" i="25"/>
  <c r="CN136" i="25"/>
  <c r="DB140" i="25"/>
  <c r="BY144" i="25"/>
  <c r="CA144" i="25" s="1"/>
  <c r="CD166" i="25"/>
  <c r="BZ131" i="25"/>
  <c r="BZ135" i="25"/>
  <c r="CN137" i="25"/>
  <c r="BZ138" i="25"/>
  <c r="CN141" i="25"/>
  <c r="BZ142" i="25"/>
  <c r="CN145" i="25"/>
  <c r="BZ146" i="25"/>
  <c r="CN149" i="25"/>
  <c r="BZ150" i="25"/>
  <c r="CN153" i="25"/>
  <c r="BZ154" i="25"/>
  <c r="CN157" i="25"/>
  <c r="BZ158" i="25"/>
  <c r="BY165" i="25"/>
  <c r="CA165" i="25" s="1"/>
  <c r="BZ165" i="25"/>
  <c r="BZ207" i="25"/>
  <c r="CA207" i="25" s="1"/>
  <c r="CQ191" i="25"/>
  <c r="CR191" i="25" s="1"/>
  <c r="CP191" i="25"/>
  <c r="CO191" i="25"/>
  <c r="CN191" i="25"/>
  <c r="BZ202" i="25"/>
  <c r="CA202" i="25" s="1"/>
  <c r="CB202" i="25" s="1"/>
  <c r="BY202" i="25"/>
  <c r="DH209" i="25"/>
  <c r="CP171" i="25"/>
  <c r="CO171" i="25"/>
  <c r="CN171" i="25"/>
  <c r="CM171" i="25"/>
  <c r="CS171" i="25" s="1"/>
  <c r="CQ171" i="25"/>
  <c r="CR171" i="25" s="1"/>
  <c r="CP122" i="25"/>
  <c r="CP126" i="25"/>
  <c r="CP130" i="25"/>
  <c r="CP134" i="25"/>
  <c r="CP137" i="25"/>
  <c r="CP141" i="25"/>
  <c r="CP145" i="25"/>
  <c r="CP149" i="25"/>
  <c r="CP153" i="25"/>
  <c r="CP157" i="25"/>
  <c r="BY160" i="25"/>
  <c r="CA160" i="25" s="1"/>
  <c r="CB160" i="25" s="1"/>
  <c r="CQ163" i="25"/>
  <c r="CR163" i="25" s="1"/>
  <c r="CO163" i="25"/>
  <c r="BS164" i="25"/>
  <c r="CM164" i="25"/>
  <c r="CS164" i="25" s="1"/>
  <c r="CN164" i="25"/>
  <c r="BY170" i="25"/>
  <c r="CA170" i="25" s="1"/>
  <c r="CB170" i="25" s="1"/>
  <c r="BY173" i="25"/>
  <c r="DH178" i="25"/>
  <c r="CD176" i="25"/>
  <c r="BZ191" i="25"/>
  <c r="CA191" i="25" s="1"/>
  <c r="BZ189" i="25"/>
  <c r="CA189" i="25" s="1"/>
  <c r="CB189" i="25" s="1"/>
  <c r="BY189" i="25"/>
  <c r="DH186" i="25"/>
  <c r="CD194" i="25"/>
  <c r="BS160" i="25"/>
  <c r="BY162" i="25"/>
  <c r="CA162" i="25" s="1"/>
  <c r="CB162" i="25" s="1"/>
  <c r="CD162" i="25"/>
  <c r="BY166" i="25"/>
  <c r="CA166" i="25" s="1"/>
  <c r="CB166" i="25" s="1"/>
  <c r="DB167" i="25"/>
  <c r="BZ188" i="25"/>
  <c r="CA188" i="25" s="1"/>
  <c r="CB188" i="25" s="1"/>
  <c r="BY188" i="25"/>
  <c r="DB187" i="25"/>
  <c r="CM191" i="25"/>
  <c r="CS191" i="25" s="1"/>
  <c r="BZ198" i="25"/>
  <c r="CA198" i="25" s="1"/>
  <c r="CB198" i="25" s="1"/>
  <c r="BY198" i="25"/>
  <c r="BZ167" i="25"/>
  <c r="BY167" i="25"/>
  <c r="CA167" i="25" s="1"/>
  <c r="DB207" i="25"/>
  <c r="DB184" i="25"/>
  <c r="DH180" i="25"/>
  <c r="CQ177" i="25"/>
  <c r="CR177" i="25" s="1"/>
  <c r="CP177" i="25"/>
  <c r="CO177" i="25"/>
  <c r="CN177" i="25"/>
  <c r="CQ182" i="25"/>
  <c r="CR182" i="25" s="1"/>
  <c r="CP182" i="25"/>
  <c r="CO182" i="25"/>
  <c r="CN182" i="25"/>
  <c r="DB195" i="25"/>
  <c r="CQ199" i="25"/>
  <c r="CR199" i="25" s="1"/>
  <c r="CP199" i="25"/>
  <c r="CO199" i="25"/>
  <c r="CN199" i="25"/>
  <c r="CD202" i="25"/>
  <c r="BZ209" i="25"/>
  <c r="CA209" i="25" s="1"/>
  <c r="BZ344" i="25"/>
  <c r="CA344" i="25" s="1"/>
  <c r="CM245" i="25"/>
  <c r="CS245" i="25" s="1"/>
  <c r="CN245" i="25"/>
  <c r="BY124" i="25"/>
  <c r="CA124" i="25" s="1"/>
  <c r="CB124" i="25" s="1"/>
  <c r="BY128" i="25"/>
  <c r="CA128" i="25" s="1"/>
  <c r="CB128" i="25" s="1"/>
  <c r="CM131" i="25"/>
  <c r="CS131" i="25" s="1"/>
  <c r="BY132" i="25"/>
  <c r="CA132" i="25" s="1"/>
  <c r="CB132" i="25" s="1"/>
  <c r="CM135" i="25"/>
  <c r="CS135" i="25" s="1"/>
  <c r="CM138" i="25"/>
  <c r="CS138" i="25" s="1"/>
  <c r="BY139" i="25"/>
  <c r="CA139" i="25" s="1"/>
  <c r="CB139" i="25" s="1"/>
  <c r="CM142" i="25"/>
  <c r="CS142" i="25" s="1"/>
  <c r="BY143" i="25"/>
  <c r="CA143" i="25" s="1"/>
  <c r="CB143" i="25" s="1"/>
  <c r="CO143" i="25"/>
  <c r="CM146" i="25"/>
  <c r="CS146" i="25" s="1"/>
  <c r="BY147" i="25"/>
  <c r="CA147" i="25" s="1"/>
  <c r="CB147" i="25" s="1"/>
  <c r="CO147" i="25"/>
  <c r="BY151" i="25"/>
  <c r="CA151" i="25" s="1"/>
  <c r="CB151" i="25" s="1"/>
  <c r="CO151" i="25"/>
  <c r="BY155" i="25"/>
  <c r="CA155" i="25" s="1"/>
  <c r="CB155" i="25" s="1"/>
  <c r="CO155" i="25"/>
  <c r="BY159" i="25"/>
  <c r="CA159" i="25" s="1"/>
  <c r="CB159" i="25" s="1"/>
  <c r="CN160" i="25"/>
  <c r="BY161" i="25"/>
  <c r="CA161" i="25" s="1"/>
  <c r="CN161" i="25"/>
  <c r="DB163" i="25"/>
  <c r="CN166" i="25"/>
  <c r="CM166" i="25"/>
  <c r="CS166" i="25" s="1"/>
  <c r="DH168" i="25"/>
  <c r="DH208" i="25"/>
  <c r="DH192" i="25"/>
  <c r="CD174" i="25"/>
  <c r="BZ177" i="25"/>
  <c r="CA177" i="25" s="1"/>
  <c r="DB191" i="25"/>
  <c r="DH200" i="25"/>
  <c r="DH169" i="25"/>
  <c r="CD160" i="25"/>
  <c r="CQ187" i="25"/>
  <c r="CR187" i="25" s="1"/>
  <c r="CP187" i="25"/>
  <c r="CO187" i="25"/>
  <c r="CN187" i="25"/>
  <c r="BZ176" i="25"/>
  <c r="CA176" i="25" s="1"/>
  <c r="CB176" i="25" s="1"/>
  <c r="BY176" i="25"/>
  <c r="DH183" i="25"/>
  <c r="CD189" i="25"/>
  <c r="BZ182" i="25"/>
  <c r="CA182" i="25" s="1"/>
  <c r="BZ194" i="25"/>
  <c r="CA194" i="25" s="1"/>
  <c r="CB194" i="25" s="1"/>
  <c r="BY194" i="25"/>
  <c r="BZ199" i="25"/>
  <c r="CA199" i="25" s="1"/>
  <c r="CQ167" i="25"/>
  <c r="CR167" i="25" s="1"/>
  <c r="CP167" i="25"/>
  <c r="CO167" i="25"/>
  <c r="CN167" i="25"/>
  <c r="CD170" i="25"/>
  <c r="CQ207" i="25"/>
  <c r="CR207" i="25" s="1"/>
  <c r="CP207" i="25"/>
  <c r="CO207" i="25"/>
  <c r="CN207" i="25"/>
  <c r="CD173" i="25"/>
  <c r="CQ184" i="25"/>
  <c r="CR184" i="25" s="1"/>
  <c r="CP184" i="25"/>
  <c r="CO184" i="25"/>
  <c r="CN184" i="25"/>
  <c r="CD188" i="25"/>
  <c r="CM177" i="25"/>
  <c r="CS177" i="25" s="1"/>
  <c r="CQ195" i="25"/>
  <c r="CR195" i="25" s="1"/>
  <c r="CP195" i="25"/>
  <c r="CO195" i="25"/>
  <c r="CN195" i="25"/>
  <c r="DH196" i="25"/>
  <c r="CD198" i="25"/>
  <c r="CN168" i="25"/>
  <c r="BZ205" i="25"/>
  <c r="CA205" i="25" s="1"/>
  <c r="CN208" i="25"/>
  <c r="BZ179" i="25"/>
  <c r="CA179" i="25" s="1"/>
  <c r="CN192" i="25"/>
  <c r="BZ185" i="25"/>
  <c r="CA185" i="25" s="1"/>
  <c r="CN180" i="25"/>
  <c r="BZ175" i="25"/>
  <c r="CA175" i="25" s="1"/>
  <c r="CP175" i="25"/>
  <c r="CN178" i="25"/>
  <c r="BZ190" i="25"/>
  <c r="CA190" i="25" s="1"/>
  <c r="CP190" i="25"/>
  <c r="CN183" i="25"/>
  <c r="BZ459" i="25"/>
  <c r="CP459" i="25"/>
  <c r="CN186" i="25"/>
  <c r="BZ193" i="25"/>
  <c r="CA193" i="25" s="1"/>
  <c r="CP193" i="25"/>
  <c r="BZ197" i="25"/>
  <c r="CA197" i="25" s="1"/>
  <c r="CP197" i="25"/>
  <c r="BZ201" i="25"/>
  <c r="CA201" i="25" s="1"/>
  <c r="CP201" i="25"/>
  <c r="DH202" i="25"/>
  <c r="CN169" i="25"/>
  <c r="DH211" i="25"/>
  <c r="BZ204" i="25"/>
  <c r="CA204" i="25" s="1"/>
  <c r="CB204" i="25" s="1"/>
  <c r="DH204" i="25"/>
  <c r="CN344" i="25"/>
  <c r="BZ172" i="25"/>
  <c r="CA172" i="25" s="1"/>
  <c r="CQ172" i="25"/>
  <c r="CR172" i="25" s="1"/>
  <c r="CP172" i="25"/>
  <c r="CP212" i="25"/>
  <c r="CN212" i="25"/>
  <c r="BZ221" i="25"/>
  <c r="CQ226" i="25"/>
  <c r="CR226" i="25" s="1"/>
  <c r="CP226" i="25"/>
  <c r="CO226" i="25"/>
  <c r="CN226" i="25"/>
  <c r="BZ229" i="25"/>
  <c r="BZ230" i="25"/>
  <c r="DH231" i="25"/>
  <c r="CD233" i="25"/>
  <c r="BZ239" i="25"/>
  <c r="CA239" i="25" s="1"/>
  <c r="CN239" i="25"/>
  <c r="CM239" i="25"/>
  <c r="CS239" i="25" s="1"/>
  <c r="CD203" i="25"/>
  <c r="BZ214" i="25"/>
  <c r="BZ217" i="25"/>
  <c r="BY217" i="25"/>
  <c r="DH223" i="25"/>
  <c r="CD225" i="25"/>
  <c r="DB230" i="25"/>
  <c r="CM170" i="25"/>
  <c r="CS170" i="25" s="1"/>
  <c r="BY207" i="25"/>
  <c r="CM173" i="25"/>
  <c r="CS173" i="25" s="1"/>
  <c r="BY184" i="25"/>
  <c r="CM188" i="25"/>
  <c r="CS188" i="25" s="1"/>
  <c r="BY187" i="25"/>
  <c r="CM174" i="25"/>
  <c r="CS174" i="25" s="1"/>
  <c r="BY177" i="25"/>
  <c r="CM176" i="25"/>
  <c r="CS176" i="25" s="1"/>
  <c r="BY191" i="25"/>
  <c r="CM189" i="25"/>
  <c r="CS189" i="25" s="1"/>
  <c r="BY182" i="25"/>
  <c r="CM194" i="25"/>
  <c r="CS194" i="25" s="1"/>
  <c r="BY195" i="25"/>
  <c r="CM198" i="25"/>
  <c r="CS198" i="25" s="1"/>
  <c r="BY199" i="25"/>
  <c r="BY169" i="25"/>
  <c r="CD210" i="25"/>
  <c r="CM210" i="25"/>
  <c r="CS210" i="25" s="1"/>
  <c r="CQ211" i="25"/>
  <c r="CR211" i="25" s="1"/>
  <c r="BY209" i="25"/>
  <c r="CO209" i="25"/>
  <c r="DB222" i="25"/>
  <c r="CQ230" i="25"/>
  <c r="CR230" i="25" s="1"/>
  <c r="CP230" i="25"/>
  <c r="CO230" i="25"/>
  <c r="CN230" i="25"/>
  <c r="BZ234" i="25"/>
  <c r="CA234" i="25" s="1"/>
  <c r="DH235" i="25"/>
  <c r="CD237" i="25"/>
  <c r="CN202" i="25"/>
  <c r="CN210" i="25"/>
  <c r="CD204" i="25"/>
  <c r="CN204" i="25"/>
  <c r="DB172" i="25"/>
  <c r="DH212" i="25"/>
  <c r="BY171" i="25"/>
  <c r="CD213" i="25"/>
  <c r="DB218" i="25"/>
  <c r="BZ241" i="25"/>
  <c r="CA241" i="25" s="1"/>
  <c r="CP210" i="25"/>
  <c r="DH203" i="25"/>
  <c r="DB214" i="25"/>
  <c r="CD221" i="25"/>
  <c r="CQ222" i="25"/>
  <c r="CR222" i="25" s="1"/>
  <c r="CP222" i="25"/>
  <c r="CO222" i="25"/>
  <c r="CN222" i="25"/>
  <c r="DH227" i="25"/>
  <c r="CD229" i="25"/>
  <c r="DB234" i="25"/>
  <c r="BY238" i="25"/>
  <c r="CN201" i="25"/>
  <c r="CQ210" i="25"/>
  <c r="CR210" i="25" s="1"/>
  <c r="BY344" i="25"/>
  <c r="CD217" i="25"/>
  <c r="CQ218" i="25"/>
  <c r="CR218" i="25" s="1"/>
  <c r="CP218" i="25"/>
  <c r="CO218" i="25"/>
  <c r="CN218" i="25"/>
  <c r="CQ234" i="25"/>
  <c r="CR234" i="25" s="1"/>
  <c r="CP234" i="25"/>
  <c r="CO234" i="25"/>
  <c r="CN234" i="25"/>
  <c r="DB239" i="25"/>
  <c r="BZ210" i="25"/>
  <c r="CA210" i="25" s="1"/>
  <c r="CO211" i="25"/>
  <c r="CM344" i="25"/>
  <c r="CS344" i="25" s="1"/>
  <c r="CQ214" i="25"/>
  <c r="CR214" i="25" s="1"/>
  <c r="CP214" i="25"/>
  <c r="CO214" i="25"/>
  <c r="CN214" i="25"/>
  <c r="DB226" i="25"/>
  <c r="BZ237" i="25"/>
  <c r="CA237" i="25" s="1"/>
  <c r="CB237" i="25" s="1"/>
  <c r="BY237" i="25"/>
  <c r="CN215" i="25"/>
  <c r="CP216" i="25"/>
  <c r="CN219" i="25"/>
  <c r="CP220" i="25"/>
  <c r="CN223" i="25"/>
  <c r="CP224" i="25"/>
  <c r="DH225" i="25"/>
  <c r="CN227" i="25"/>
  <c r="CP228" i="25"/>
  <c r="DH229" i="25"/>
  <c r="CN231" i="25"/>
  <c r="CP232" i="25"/>
  <c r="DH233" i="25"/>
  <c r="CN235" i="25"/>
  <c r="CP236" i="25"/>
  <c r="DH237" i="25"/>
  <c r="CM241" i="25"/>
  <c r="CS241" i="25" s="1"/>
  <c r="BY244" i="25"/>
  <c r="DB217" i="25"/>
  <c r="DB221" i="25"/>
  <c r="DB225" i="25"/>
  <c r="DB229" i="25"/>
  <c r="DB233" i="25"/>
  <c r="DB237" i="25"/>
  <c r="CP241" i="25"/>
  <c r="CD216" i="25"/>
  <c r="CN217" i="25"/>
  <c r="CD220" i="25"/>
  <c r="CN221" i="25"/>
  <c r="CD224" i="25"/>
  <c r="CN225" i="25"/>
  <c r="CD228" i="25"/>
  <c r="CN229" i="25"/>
  <c r="CD232" i="25"/>
  <c r="CN233" i="25"/>
  <c r="CD236" i="25"/>
  <c r="CN237" i="25"/>
  <c r="CQ238" i="25"/>
  <c r="CR238" i="25" s="1"/>
  <c r="BY239" i="25"/>
  <c r="BY242" i="25"/>
  <c r="CN243" i="25"/>
  <c r="CO217" i="25"/>
  <c r="CO221" i="25"/>
  <c r="CO225" i="25"/>
  <c r="CO229" i="25"/>
  <c r="CO233" i="25"/>
  <c r="CO237" i="25"/>
  <c r="CP217" i="25"/>
  <c r="CP221" i="25"/>
  <c r="CP225" i="25"/>
  <c r="CP229" i="25"/>
  <c r="CP233" i="25"/>
  <c r="CP237" i="25"/>
  <c r="CM238" i="25"/>
  <c r="CS238" i="25" s="1"/>
  <c r="BS244" i="25"/>
  <c r="CN244" i="25"/>
  <c r="BY241" i="25"/>
  <c r="CO243" i="25"/>
  <c r="CM247" i="25"/>
  <c r="CS247" i="25" s="1"/>
  <c r="BY248" i="25"/>
  <c r="CM251" i="25"/>
  <c r="CS251" i="25" s="1"/>
  <c r="BY252" i="25"/>
  <c r="CM255" i="25"/>
  <c r="CS255" i="25" s="1"/>
  <c r="BY256" i="25"/>
  <c r="CM259" i="25"/>
  <c r="CS259" i="25" s="1"/>
  <c r="BY260" i="25"/>
  <c r="CM263" i="25"/>
  <c r="CS263" i="25" s="1"/>
  <c r="BY264" i="25"/>
  <c r="CO264" i="25"/>
  <c r="CQ265" i="25"/>
  <c r="CR265" i="25" s="1"/>
  <c r="CM267" i="25"/>
  <c r="CS267" i="25" s="1"/>
  <c r="DH273" i="25"/>
  <c r="CQ288" i="25"/>
  <c r="CR288" i="25" s="1"/>
  <c r="CP288" i="25"/>
  <c r="CO288" i="25"/>
  <c r="CN288" i="25"/>
  <c r="CD296" i="25"/>
  <c r="DB262" i="25"/>
  <c r="CP264" i="25"/>
  <c r="DH265" i="25"/>
  <c r="DB266" i="25"/>
  <c r="DH269" i="25"/>
  <c r="BZ271" i="25"/>
  <c r="CA271" i="25" s="1"/>
  <c r="CB271" i="25" s="1"/>
  <c r="BY271" i="25"/>
  <c r="DB276" i="25"/>
  <c r="BZ279" i="25"/>
  <c r="CA279" i="25" s="1"/>
  <c r="CB279" i="25" s="1"/>
  <c r="BZ283" i="25"/>
  <c r="CA283" i="25" s="1"/>
  <c r="CB283" i="25" s="1"/>
  <c r="BZ288" i="25"/>
  <c r="CA288" i="25" s="1"/>
  <c r="CX289" i="25"/>
  <c r="CY289" i="25" s="1"/>
  <c r="CZ289" i="25" s="1"/>
  <c r="DA289" i="25" s="1"/>
  <c r="CM250" i="25"/>
  <c r="CS250" i="25" s="1"/>
  <c r="BY251" i="25"/>
  <c r="CM254" i="25"/>
  <c r="CS254" i="25" s="1"/>
  <c r="BY255" i="25"/>
  <c r="CM258" i="25"/>
  <c r="CS258" i="25" s="1"/>
  <c r="BY259" i="25"/>
  <c r="BY269" i="25"/>
  <c r="CQ272" i="25"/>
  <c r="CR272" i="25" s="1"/>
  <c r="CP272" i="25"/>
  <c r="CO272" i="25"/>
  <c r="CN272" i="25"/>
  <c r="CD287" i="25"/>
  <c r="CM288" i="25"/>
  <c r="CS288" i="25" s="1"/>
  <c r="BZ293" i="25"/>
  <c r="CA293" i="25" s="1"/>
  <c r="BY293" i="25"/>
  <c r="CN293" i="25"/>
  <c r="CM293" i="25"/>
  <c r="CS293" i="25" s="1"/>
  <c r="CN262" i="25"/>
  <c r="CD265" i="25"/>
  <c r="CN266" i="25"/>
  <c r="BY268" i="25"/>
  <c r="CD275" i="25"/>
  <c r="DH277" i="25"/>
  <c r="DB280" i="25"/>
  <c r="DB284" i="25"/>
  <c r="CD291" i="25"/>
  <c r="BZ294" i="25"/>
  <c r="CA294" i="25" s="1"/>
  <c r="BY294" i="25"/>
  <c r="BY298" i="25"/>
  <c r="BZ298" i="25"/>
  <c r="CA298" i="25" s="1"/>
  <c r="BY246" i="25"/>
  <c r="CO246" i="25"/>
  <c r="CM249" i="25"/>
  <c r="CS249" i="25" s="1"/>
  <c r="BY250" i="25"/>
  <c r="CO250" i="25"/>
  <c r="CM253" i="25"/>
  <c r="CS253" i="25" s="1"/>
  <c r="BY254" i="25"/>
  <c r="CO254" i="25"/>
  <c r="CM257" i="25"/>
  <c r="CS257" i="25" s="1"/>
  <c r="BY258" i="25"/>
  <c r="CO258" i="25"/>
  <c r="CM261" i="25"/>
  <c r="CS261" i="25" s="1"/>
  <c r="BY262" i="25"/>
  <c r="CO262" i="25"/>
  <c r="BY266" i="25"/>
  <c r="CO266" i="25"/>
  <c r="CD268" i="25"/>
  <c r="CM268" i="25"/>
  <c r="CS268" i="25" s="1"/>
  <c r="CN270" i="25"/>
  <c r="CM270" i="25"/>
  <c r="CS270" i="25" s="1"/>
  <c r="CM272" i="25"/>
  <c r="CS272" i="25" s="1"/>
  <c r="DH281" i="25"/>
  <c r="DH285" i="25"/>
  <c r="DB288" i="25"/>
  <c r="CP250" i="25"/>
  <c r="CP254" i="25"/>
  <c r="CP258" i="25"/>
  <c r="CP262" i="25"/>
  <c r="CP266" i="25"/>
  <c r="CN268" i="25"/>
  <c r="BZ276" i="25"/>
  <c r="CA276" i="25" s="1"/>
  <c r="CQ276" i="25"/>
  <c r="CR276" i="25" s="1"/>
  <c r="CP276" i="25"/>
  <c r="CO276" i="25"/>
  <c r="CN276" i="25"/>
  <c r="BZ287" i="25"/>
  <c r="CA287" i="25" s="1"/>
  <c r="CB287" i="25" s="1"/>
  <c r="DH289" i="25"/>
  <c r="CM291" i="25"/>
  <c r="CS291" i="25" s="1"/>
  <c r="CN291" i="25"/>
  <c r="BY249" i="25"/>
  <c r="BY253" i="25"/>
  <c r="BY257" i="25"/>
  <c r="BY261" i="25"/>
  <c r="DB272" i="25"/>
  <c r="BZ275" i="25"/>
  <c r="CA275" i="25" s="1"/>
  <c r="CB275" i="25" s="1"/>
  <c r="CX277" i="25"/>
  <c r="CY277" i="25" s="1"/>
  <c r="CZ277" i="25" s="1"/>
  <c r="DA277" i="25" s="1"/>
  <c r="CD279" i="25"/>
  <c r="CD283" i="25"/>
  <c r="CQ268" i="25"/>
  <c r="CR268" i="25" s="1"/>
  <c r="BY270" i="25"/>
  <c r="CD271" i="25"/>
  <c r="BZ280" i="25"/>
  <c r="CA280" i="25" s="1"/>
  <c r="CQ280" i="25"/>
  <c r="CR280" i="25" s="1"/>
  <c r="CP280" i="25"/>
  <c r="CO280" i="25"/>
  <c r="CN280" i="25"/>
  <c r="CQ284" i="25"/>
  <c r="CR284" i="25" s="1"/>
  <c r="CP284" i="25"/>
  <c r="CO284" i="25"/>
  <c r="CN284" i="25"/>
  <c r="CP273" i="25"/>
  <c r="CP277" i="25"/>
  <c r="CP281" i="25"/>
  <c r="CP285" i="25"/>
  <c r="DH286" i="25"/>
  <c r="CP289" i="25"/>
  <c r="DH290" i="25"/>
  <c r="CM292" i="25"/>
  <c r="CS292" i="25" s="1"/>
  <c r="BY296" i="25"/>
  <c r="DB297" i="25"/>
  <c r="BY276" i="25"/>
  <c r="BY280" i="25"/>
  <c r="BY284" i="25"/>
  <c r="CQ285" i="25"/>
  <c r="CR285" i="25" s="1"/>
  <c r="BY288" i="25"/>
  <c r="CQ289" i="25"/>
  <c r="CR289" i="25" s="1"/>
  <c r="BY292" i="25"/>
  <c r="CN292" i="25"/>
  <c r="BY295" i="25"/>
  <c r="BY300" i="25"/>
  <c r="BZ302" i="25"/>
  <c r="CA302" i="25" s="1"/>
  <c r="BY302" i="25"/>
  <c r="BZ299" i="25"/>
  <c r="CA299" i="25" s="1"/>
  <c r="CB299" i="25" s="1"/>
  <c r="CF299" i="25" s="1"/>
  <c r="CG299" i="25" s="1"/>
  <c r="CJ299" i="25" s="1"/>
  <c r="BY299" i="25"/>
  <c r="CM274" i="25"/>
  <c r="CS274" i="25" s="1"/>
  <c r="BY275" i="25"/>
  <c r="BY279" i="25"/>
  <c r="BY283" i="25"/>
  <c r="CD281" i="25"/>
  <c r="CN282" i="25"/>
  <c r="CD285" i="25"/>
  <c r="CN286" i="25"/>
  <c r="CD289" i="25"/>
  <c r="CN290" i="25"/>
  <c r="CQ293" i="25"/>
  <c r="CR293" i="25" s="1"/>
  <c r="BY297" i="25"/>
  <c r="CN299" i="25"/>
  <c r="CM299" i="25"/>
  <c r="CS299" i="25" s="1"/>
  <c r="BY286" i="25"/>
  <c r="CO286" i="25"/>
  <c r="BY290" i="25"/>
  <c r="CO290" i="25"/>
  <c r="CQ292" i="25"/>
  <c r="CR292" i="25" s="1"/>
  <c r="CO292" i="25"/>
  <c r="BS298" i="25"/>
  <c r="CO297" i="25"/>
  <c r="CO301" i="25"/>
  <c r="CO305" i="25"/>
  <c r="CO309" i="25"/>
  <c r="CO313" i="25"/>
  <c r="BS317" i="25"/>
  <c r="CN318" i="25"/>
  <c r="CQ317" i="25"/>
  <c r="CR317" i="25" s="1"/>
  <c r="BY318" i="25"/>
  <c r="CA318" i="25" s="1"/>
  <c r="CN323" i="25"/>
  <c r="CM323" i="25"/>
  <c r="CS323" i="25" s="1"/>
  <c r="BY325" i="25"/>
  <c r="CA325" i="25" s="1"/>
  <c r="CO296" i="25"/>
  <c r="CO300" i="25"/>
  <c r="CM303" i="25"/>
  <c r="CS303" i="25" s="1"/>
  <c r="CO304" i="25"/>
  <c r="CM307" i="25"/>
  <c r="CS307" i="25" s="1"/>
  <c r="CO308" i="25"/>
  <c r="CQ309" i="25"/>
  <c r="CR309" i="25" s="1"/>
  <c r="CM311" i="25"/>
  <c r="CS311" i="25" s="1"/>
  <c r="CO312" i="25"/>
  <c r="CQ313" i="25"/>
  <c r="CR313" i="25" s="1"/>
  <c r="CM315" i="25"/>
  <c r="CS315" i="25" s="1"/>
  <c r="CO316" i="25"/>
  <c r="CN319" i="25"/>
  <c r="CN321" i="25"/>
  <c r="CN322" i="25"/>
  <c r="CM322" i="25"/>
  <c r="CS322" i="25" s="1"/>
  <c r="CP312" i="25"/>
  <c r="CP316" i="25"/>
  <c r="CD317" i="25"/>
  <c r="CM317" i="25"/>
  <c r="CS317" i="25" s="1"/>
  <c r="BZ322" i="25"/>
  <c r="CM298" i="25"/>
  <c r="CS298" i="25" s="1"/>
  <c r="CM302" i="25"/>
  <c r="CS302" i="25" s="1"/>
  <c r="BY303" i="25"/>
  <c r="CM306" i="25"/>
  <c r="CS306" i="25" s="1"/>
  <c r="BY307" i="25"/>
  <c r="CM310" i="25"/>
  <c r="CS310" i="25" s="1"/>
  <c r="BY311" i="25"/>
  <c r="CA311" i="25" s="1"/>
  <c r="CB311" i="25" s="1"/>
  <c r="CF311" i="25" s="1"/>
  <c r="CG311" i="25" s="1"/>
  <c r="CJ311" i="25" s="1"/>
  <c r="BY315" i="25"/>
  <c r="CA315" i="25" s="1"/>
  <c r="CB315" i="25" s="1"/>
  <c r="CF315" i="25" s="1"/>
  <c r="CG315" i="25" s="1"/>
  <c r="CJ315" i="25" s="1"/>
  <c r="CN317" i="25"/>
  <c r="BY321" i="25"/>
  <c r="CO317" i="25"/>
  <c r="BY306" i="25"/>
  <c r="BY310" i="25"/>
  <c r="BY314" i="25"/>
  <c r="CA314" i="25" s="1"/>
  <c r="BZ320" i="25"/>
  <c r="CN324" i="25"/>
  <c r="CM324" i="25"/>
  <c r="CS324" i="25" s="1"/>
  <c r="CN320" i="25"/>
  <c r="BZ323" i="25"/>
  <c r="CA323" i="25" s="1"/>
  <c r="CB323" i="25" s="1"/>
  <c r="CF323" i="25" s="1"/>
  <c r="CG323" i="25" s="1"/>
  <c r="CJ323" i="25" s="1"/>
  <c r="BY323" i="25"/>
  <c r="CM326" i="25"/>
  <c r="CS326" i="25" s="1"/>
  <c r="BY327" i="25"/>
  <c r="CQ328" i="25"/>
  <c r="CR328" i="25" s="1"/>
  <c r="CM330" i="25"/>
  <c r="CS330" i="25" s="1"/>
  <c r="BY331" i="25"/>
  <c r="CQ332" i="25"/>
  <c r="CR332" i="25" s="1"/>
  <c r="CM335" i="25"/>
  <c r="CS335" i="25" s="1"/>
  <c r="BY336" i="25"/>
  <c r="CA336" i="25" s="1"/>
  <c r="CB336" i="25" s="1"/>
  <c r="CF336" i="25" s="1"/>
  <c r="CG336" i="25" s="1"/>
  <c r="CJ336" i="25" s="1"/>
  <c r="CQ337" i="25"/>
  <c r="CR337" i="25" s="1"/>
  <c r="CM339" i="25"/>
  <c r="CS339" i="25" s="1"/>
  <c r="BY340" i="25"/>
  <c r="CA340" i="25" s="1"/>
  <c r="CB340" i="25" s="1"/>
  <c r="CQ341" i="25"/>
  <c r="CR341" i="25" s="1"/>
  <c r="CM343" i="25"/>
  <c r="CS343" i="25" s="1"/>
  <c r="BY206" i="25"/>
  <c r="CA206" i="25" s="1"/>
  <c r="CB206" i="25" s="1"/>
  <c r="CQ345" i="25"/>
  <c r="CR345" i="25" s="1"/>
  <c r="CM347" i="25"/>
  <c r="CS347" i="25" s="1"/>
  <c r="BZ348" i="25"/>
  <c r="CA348" i="25" s="1"/>
  <c r="CB348" i="25" s="1"/>
  <c r="CF348" i="25" s="1"/>
  <c r="CG348" i="25" s="1"/>
  <c r="CJ348" i="25" s="1"/>
  <c r="DB349" i="25"/>
  <c r="BZ352" i="25"/>
  <c r="CA352" i="25" s="1"/>
  <c r="CB352" i="25" s="1"/>
  <c r="CF352" i="25" s="1"/>
  <c r="CG352" i="25" s="1"/>
  <c r="CJ352" i="25" s="1"/>
  <c r="CX355" i="25"/>
  <c r="CY355" i="25" s="1"/>
  <c r="CZ355" i="25" s="1"/>
  <c r="DA355" i="25" s="1"/>
  <c r="CQ357" i="25"/>
  <c r="CR357" i="25" s="1"/>
  <c r="CP357" i="25"/>
  <c r="CO357" i="25"/>
  <c r="CN357" i="25"/>
  <c r="CN354" i="25"/>
  <c r="CQ354" i="25"/>
  <c r="CR354" i="25" s="1"/>
  <c r="BY355" i="25"/>
  <c r="CD356" i="25"/>
  <c r="CQ353" i="25"/>
  <c r="CR353" i="25" s="1"/>
  <c r="CP353" i="25"/>
  <c r="CO353" i="25"/>
  <c r="BS354" i="25"/>
  <c r="BZ360" i="25"/>
  <c r="CA360" i="25" s="1"/>
  <c r="BY360" i="25"/>
  <c r="DH360" i="25"/>
  <c r="CO321" i="25"/>
  <c r="CO325" i="25"/>
  <c r="CM328" i="25"/>
  <c r="CS328" i="25" s="1"/>
  <c r="CM332" i="25"/>
  <c r="CS332" i="25" s="1"/>
  <c r="BY334" i="25"/>
  <c r="BY338" i="25"/>
  <c r="CA338" i="25" s="1"/>
  <c r="CQ349" i="25"/>
  <c r="CR349" i="25" s="1"/>
  <c r="CP349" i="25"/>
  <c r="CO349" i="25"/>
  <c r="CN350" i="25"/>
  <c r="CQ350" i="25"/>
  <c r="CR350" i="25" s="1"/>
  <c r="CN337" i="25"/>
  <c r="CD340" i="25"/>
  <c r="CN341" i="25"/>
  <c r="CD206" i="25"/>
  <c r="CN345" i="25"/>
  <c r="CP346" i="25"/>
  <c r="CO350" i="25"/>
  <c r="DH351" i="25"/>
  <c r="DH355" i="25"/>
  <c r="BZ356" i="25"/>
  <c r="CA356" i="25" s="1"/>
  <c r="CB356" i="25" s="1"/>
  <c r="BY356" i="25"/>
  <c r="CM357" i="25"/>
  <c r="CS357" i="25" s="1"/>
  <c r="DH357" i="25"/>
  <c r="CM327" i="25"/>
  <c r="CS327" i="25" s="1"/>
  <c r="CM331" i="25"/>
  <c r="CS331" i="25" s="1"/>
  <c r="CM336" i="25"/>
  <c r="CS336" i="25" s="1"/>
  <c r="BY337" i="25"/>
  <c r="CM340" i="25"/>
  <c r="CS340" i="25" s="1"/>
  <c r="BY341" i="25"/>
  <c r="CO341" i="25"/>
  <c r="CM206" i="25"/>
  <c r="CS206" i="25" s="1"/>
  <c r="BY345" i="25"/>
  <c r="CO345" i="25"/>
  <c r="CP350" i="25"/>
  <c r="BZ353" i="25"/>
  <c r="CA353" i="25" s="1"/>
  <c r="BY353" i="25"/>
  <c r="BZ359" i="25"/>
  <c r="CA359" i="25" s="1"/>
  <c r="DH362" i="25"/>
  <c r="BZ349" i="25"/>
  <c r="CA349" i="25" s="1"/>
  <c r="BY349" i="25"/>
  <c r="BZ351" i="25"/>
  <c r="CA351" i="25" s="1"/>
  <c r="DB353" i="25"/>
  <c r="DB354" i="25"/>
  <c r="CN360" i="25"/>
  <c r="CN365" i="25"/>
  <c r="DB368" i="25"/>
  <c r="BY357" i="25"/>
  <c r="CO360" i="25"/>
  <c r="BY362" i="25"/>
  <c r="CD363" i="25"/>
  <c r="CM363" i="25"/>
  <c r="CS363" i="25" s="1"/>
  <c r="CQ364" i="25"/>
  <c r="CR364" i="25" s="1"/>
  <c r="BY365" i="25"/>
  <c r="CO365" i="25"/>
  <c r="DH368" i="25"/>
  <c r="BZ374" i="25"/>
  <c r="CA374" i="25" s="1"/>
  <c r="CB374" i="25" s="1"/>
  <c r="CD376" i="25"/>
  <c r="CD382" i="25"/>
  <c r="CD358" i="25"/>
  <c r="CN358" i="25"/>
  <c r="CN363" i="25"/>
  <c r="CP365" i="25"/>
  <c r="CO367" i="25"/>
  <c r="CN367" i="25"/>
  <c r="CM368" i="25"/>
  <c r="CS368" i="25" s="1"/>
  <c r="DH374" i="25"/>
  <c r="BZ376" i="25"/>
  <c r="CA376" i="25" s="1"/>
  <c r="CB376" i="25" s="1"/>
  <c r="DB376" i="25"/>
  <c r="DH382" i="25"/>
  <c r="CP363" i="25"/>
  <c r="CD370" i="25"/>
  <c r="BZ382" i="25"/>
  <c r="CA382" i="25" s="1"/>
  <c r="CB382" i="25" s="1"/>
  <c r="BY382" i="25"/>
  <c r="BY359" i="25"/>
  <c r="BS360" i="25"/>
  <c r="CQ363" i="25"/>
  <c r="CR363" i="25" s="1"/>
  <c r="BY367" i="25"/>
  <c r="BZ368" i="25"/>
  <c r="CA368" i="25" s="1"/>
  <c r="CQ368" i="25"/>
  <c r="CR368" i="25" s="1"/>
  <c r="CP368" i="25"/>
  <c r="BZ370" i="25"/>
  <c r="CA370" i="25" s="1"/>
  <c r="CB370" i="25" s="1"/>
  <c r="BY370" i="25"/>
  <c r="BY379" i="25"/>
  <c r="CQ360" i="25"/>
  <c r="CR360" i="25" s="1"/>
  <c r="BZ373" i="25"/>
  <c r="CA373" i="25" s="1"/>
  <c r="DH378" i="25"/>
  <c r="CO379" i="25"/>
  <c r="CQ379" i="25"/>
  <c r="CR379" i="25" s="1"/>
  <c r="CP379" i="25"/>
  <c r="BY381" i="25"/>
  <c r="CN359" i="25"/>
  <c r="CD362" i="25"/>
  <c r="CN362" i="25"/>
  <c r="CP364" i="25"/>
  <c r="CQ367" i="25"/>
  <c r="CR367" i="25" s="1"/>
  <c r="CQ371" i="25"/>
  <c r="CR371" i="25" s="1"/>
  <c r="CO371" i="25"/>
  <c r="CN371" i="25"/>
  <c r="DB373" i="25"/>
  <c r="DH377" i="25"/>
  <c r="CM379" i="25"/>
  <c r="CS379" i="25" s="1"/>
  <c r="DB384" i="25"/>
  <c r="DH385" i="25"/>
  <c r="CP383" i="25"/>
  <c r="DH384" i="25"/>
  <c r="BZ388" i="25"/>
  <c r="CA388" i="25" s="1"/>
  <c r="CB388" i="25" s="1"/>
  <c r="BY388" i="25"/>
  <c r="CQ372" i="25"/>
  <c r="CR372" i="25" s="1"/>
  <c r="BY373" i="25"/>
  <c r="CO373" i="25"/>
  <c r="CO376" i="25"/>
  <c r="BY378" i="25"/>
  <c r="CQ383" i="25"/>
  <c r="CR383" i="25" s="1"/>
  <c r="CD374" i="25"/>
  <c r="CN374" i="25"/>
  <c r="CQ380" i="25"/>
  <c r="CR380" i="25" s="1"/>
  <c r="CQ384" i="25"/>
  <c r="CR384" i="25" s="1"/>
  <c r="CP384" i="25"/>
  <c r="CN384" i="25"/>
  <c r="CP385" i="25"/>
  <c r="CN385" i="25"/>
  <c r="BY375" i="25"/>
  <c r="BS376" i="25"/>
  <c r="DB380" i="25"/>
  <c r="CN381" i="25"/>
  <c r="CD388" i="25"/>
  <c r="CQ376" i="25"/>
  <c r="CR376" i="25" s="1"/>
  <c r="BZ384" i="25"/>
  <c r="CA384" i="25" s="1"/>
  <c r="CD386" i="25"/>
  <c r="BZ386" i="25"/>
  <c r="CA386" i="25" s="1"/>
  <c r="CB386" i="25" s="1"/>
  <c r="DH386" i="25"/>
  <c r="CP386" i="25"/>
  <c r="DH387" i="25"/>
  <c r="DB388" i="25"/>
  <c r="CN389" i="25"/>
  <c r="CQ505" i="25"/>
  <c r="CR505" i="25" s="1"/>
  <c r="CM507" i="25"/>
  <c r="CS507" i="25" s="1"/>
  <c r="CQ509" i="25"/>
  <c r="CR509" i="25" s="1"/>
  <c r="CM511" i="25"/>
  <c r="CS511" i="25" s="1"/>
  <c r="BY512" i="25"/>
  <c r="CA512" i="25" s="1"/>
  <c r="CB512" i="25" s="1"/>
  <c r="CF512" i="25" s="1"/>
  <c r="CG512" i="25" s="1"/>
  <c r="CJ512" i="25" s="1"/>
  <c r="DH513" i="25"/>
  <c r="CD517" i="25"/>
  <c r="CQ518" i="25"/>
  <c r="CR518" i="25" s="1"/>
  <c r="CQ519" i="25"/>
  <c r="CR519" i="25" s="1"/>
  <c r="CQ520" i="25"/>
  <c r="CR520" i="25" s="1"/>
  <c r="CN520" i="25"/>
  <c r="BY522" i="25"/>
  <c r="CA522" i="25" s="1"/>
  <c r="CB522" i="25" s="1"/>
  <c r="CF522" i="25" s="1"/>
  <c r="CG522" i="25" s="1"/>
  <c r="CJ522" i="25" s="1"/>
  <c r="CO389" i="25"/>
  <c r="CN514" i="25"/>
  <c r="BS520" i="25"/>
  <c r="CX521" i="25"/>
  <c r="CY521" i="25" s="1"/>
  <c r="CZ521" i="25" s="1"/>
  <c r="DA521" i="25" s="1"/>
  <c r="CD387" i="25"/>
  <c r="CN388" i="25"/>
  <c r="CP389" i="25"/>
  <c r="CM506" i="25"/>
  <c r="CS506" i="25" s="1"/>
  <c r="DB518" i="25"/>
  <c r="CO388" i="25"/>
  <c r="CN510" i="25"/>
  <c r="CM513" i="25"/>
  <c r="CS513" i="25" s="1"/>
  <c r="CP514" i="25"/>
  <c r="CD516" i="25"/>
  <c r="CO517" i="25"/>
  <c r="CM518" i="25"/>
  <c r="CS518" i="25" s="1"/>
  <c r="CM520" i="25"/>
  <c r="CS520" i="25" s="1"/>
  <c r="BZ521" i="25"/>
  <c r="CN521" i="25"/>
  <c r="CN387" i="25"/>
  <c r="CP388" i="25"/>
  <c r="BY506" i="25"/>
  <c r="CA506" i="25" s="1"/>
  <c r="BY510" i="25"/>
  <c r="CA510" i="25" s="1"/>
  <c r="CN518" i="25"/>
  <c r="CD520" i="25"/>
  <c r="CO520" i="25"/>
  <c r="CO387" i="25"/>
  <c r="CN505" i="25"/>
  <c r="CD508" i="25"/>
  <c r="CN509" i="25"/>
  <c r="CO518" i="25"/>
  <c r="CM519" i="25"/>
  <c r="CS519" i="25" s="1"/>
  <c r="CP520" i="25"/>
  <c r="CP518" i="25"/>
  <c r="CO519" i="25"/>
  <c r="CN522" i="25"/>
  <c r="CM522" i="25"/>
  <c r="CS522" i="25" s="1"/>
  <c r="BZ522" i="25"/>
  <c r="BZ525" i="25"/>
  <c r="BZ528" i="25"/>
  <c r="BY534" i="25"/>
  <c r="CA534" i="25" s="1"/>
  <c r="CQ535" i="25"/>
  <c r="CR535" i="25" s="1"/>
  <c r="CN541" i="25"/>
  <c r="BZ542" i="25"/>
  <c r="DB544" i="25"/>
  <c r="CN524" i="25"/>
  <c r="CN527" i="25"/>
  <c r="CD529" i="25"/>
  <c r="BY530" i="25"/>
  <c r="CA530" i="25" s="1"/>
  <c r="CD532" i="25"/>
  <c r="CN533" i="25"/>
  <c r="CP534" i="25"/>
  <c r="DH535" i="25"/>
  <c r="BY537" i="25"/>
  <c r="CA537" i="25" s="1"/>
  <c r="DB523" i="25"/>
  <c r="CO524" i="25"/>
  <c r="CD526" i="25"/>
  <c r="DB526" i="25"/>
  <c r="BY527" i="25"/>
  <c r="CA527" i="25" s="1"/>
  <c r="CO527" i="25"/>
  <c r="CM529" i="25"/>
  <c r="CS529" i="25" s="1"/>
  <c r="CO533" i="25"/>
  <c r="CQ534" i="25"/>
  <c r="CR534" i="25" s="1"/>
  <c r="CN536" i="25"/>
  <c r="CD539" i="25"/>
  <c r="CN540" i="25"/>
  <c r="CD543" i="25"/>
  <c r="CN544" i="25"/>
  <c r="CN532" i="25"/>
  <c r="CO536" i="25"/>
  <c r="CO540" i="25"/>
  <c r="CM543" i="25"/>
  <c r="CS543" i="25" s="1"/>
  <c r="BY544" i="25"/>
  <c r="CA544" i="25" s="1"/>
  <c r="CO544" i="25"/>
  <c r="CP544" i="25"/>
  <c r="BY523" i="25"/>
  <c r="CA523" i="25" s="1"/>
  <c r="CO523" i="25"/>
  <c r="CM525" i="25"/>
  <c r="CS525" i="25" s="1"/>
  <c r="BY526" i="25"/>
  <c r="CA526" i="25" s="1"/>
  <c r="CB526" i="25" s="1"/>
  <c r="CO526" i="25"/>
  <c r="CM528" i="25"/>
  <c r="CS528" i="25" s="1"/>
  <c r="CN531" i="25"/>
  <c r="CD534" i="25"/>
  <c r="CN535" i="25"/>
  <c r="CM538" i="25"/>
  <c r="CS538" i="25" s="1"/>
  <c r="BY539" i="25"/>
  <c r="CA539" i="25" s="1"/>
  <c r="CB539" i="25" s="1"/>
  <c r="CM542" i="25"/>
  <c r="CS542" i="25" s="1"/>
  <c r="BY543" i="25"/>
  <c r="CA543" i="25" s="1"/>
  <c r="CB543" i="25" s="1"/>
  <c r="CP523" i="25"/>
  <c r="BY531" i="25"/>
  <c r="CA531" i="25" s="1"/>
  <c r="CO531" i="25"/>
  <c r="CO535" i="25"/>
  <c r="CA459" i="25" l="1"/>
  <c r="CE459" i="25" s="1"/>
  <c r="CH459" i="25" s="1"/>
  <c r="CI459" i="25" s="1"/>
  <c r="CA222" i="25"/>
  <c r="CA173" i="25"/>
  <c r="CB173" i="25" s="1"/>
  <c r="CF173" i="25" s="1"/>
  <c r="CG173" i="25" s="1"/>
  <c r="CJ173" i="25" s="1"/>
  <c r="CA221" i="25"/>
  <c r="CB221" i="25" s="1"/>
  <c r="CF221" i="25" s="1"/>
  <c r="CG221" i="25" s="1"/>
  <c r="CJ221" i="25" s="1"/>
  <c r="CA217" i="25"/>
  <c r="CB217" i="25" s="1"/>
  <c r="CF217" i="25" s="1"/>
  <c r="CG217" i="25" s="1"/>
  <c r="CJ217" i="25" s="1"/>
  <c r="CA218" i="25"/>
  <c r="CB218" i="25" s="1"/>
  <c r="CF218" i="25" s="1"/>
  <c r="CG218" i="25" s="1"/>
  <c r="CJ218" i="25" s="1"/>
  <c r="CA219" i="25"/>
  <c r="CE219" i="25" s="1"/>
  <c r="CH219" i="25" s="1"/>
  <c r="CI219" i="25" s="1"/>
  <c r="CA216" i="25"/>
  <c r="CB216" i="25" s="1"/>
  <c r="CF216" i="25" s="1"/>
  <c r="CG216" i="25" s="1"/>
  <c r="CJ216" i="25" s="1"/>
  <c r="CA214" i="25"/>
  <c r="CB214" i="25" s="1"/>
  <c r="CF214" i="25" s="1"/>
  <c r="CG214" i="25" s="1"/>
  <c r="CJ214" i="25" s="1"/>
  <c r="CA215" i="25"/>
  <c r="CE215" i="25" s="1"/>
  <c r="CH215" i="25" s="1"/>
  <c r="CI215" i="25" s="1"/>
  <c r="CA220" i="25"/>
  <c r="CB220" i="25" s="1"/>
  <c r="CF220" i="25" s="1"/>
  <c r="CG220" i="25" s="1"/>
  <c r="CJ220" i="25" s="1"/>
  <c r="CF59" i="25"/>
  <c r="CG59" i="25" s="1"/>
  <c r="CJ59" i="25" s="1"/>
  <c r="CF47" i="25"/>
  <c r="CG47" i="25" s="1"/>
  <c r="CJ47" i="25" s="1"/>
  <c r="CB46" i="25"/>
  <c r="CF46" i="25" s="1"/>
  <c r="CG46" i="25" s="1"/>
  <c r="CJ46" i="25" s="1"/>
  <c r="CE47" i="25"/>
  <c r="CH47" i="25" s="1"/>
  <c r="CI47" i="25" s="1"/>
  <c r="CE59" i="25"/>
  <c r="CH59" i="25" s="1"/>
  <c r="CI59" i="25" s="1"/>
  <c r="CE65" i="25"/>
  <c r="CH65" i="25" s="1"/>
  <c r="CI65" i="25" s="1"/>
  <c r="CB235" i="25"/>
  <c r="CF235" i="25" s="1"/>
  <c r="CG235" i="25" s="1"/>
  <c r="CJ235" i="25" s="1"/>
  <c r="CF224" i="25"/>
  <c r="CG224" i="25" s="1"/>
  <c r="CJ224" i="25" s="1"/>
  <c r="CE224" i="25"/>
  <c r="CH224" i="25" s="1"/>
  <c r="CI224" i="25" s="1"/>
  <c r="CB80" i="25"/>
  <c r="CF80" i="25" s="1"/>
  <c r="CG80" i="25" s="1"/>
  <c r="CJ80" i="25" s="1"/>
  <c r="CE278" i="25"/>
  <c r="CH278" i="25" s="1"/>
  <c r="CI278" i="25" s="1"/>
  <c r="CE71" i="25"/>
  <c r="CH71" i="25" s="1"/>
  <c r="CI71" i="25" s="1"/>
  <c r="CE92" i="25"/>
  <c r="CH92" i="25" s="1"/>
  <c r="CI92" i="25" s="1"/>
  <c r="CE511" i="25"/>
  <c r="CH511" i="25" s="1"/>
  <c r="CI511" i="25" s="1"/>
  <c r="CE55" i="25"/>
  <c r="CH55" i="25" s="1"/>
  <c r="CI55" i="25" s="1"/>
  <c r="CF55" i="25"/>
  <c r="CG55" i="25" s="1"/>
  <c r="CJ55" i="25" s="1"/>
  <c r="CB9" i="25"/>
  <c r="CF9" i="25" s="1"/>
  <c r="CG9" i="25" s="1"/>
  <c r="CJ9" i="25" s="1"/>
  <c r="CB270" i="25"/>
  <c r="CF270" i="25" s="1"/>
  <c r="CG270" i="25" s="1"/>
  <c r="CJ270" i="25" s="1"/>
  <c r="CE75" i="25"/>
  <c r="CH75" i="25" s="1"/>
  <c r="CI75" i="25" s="1"/>
  <c r="CE48" i="25"/>
  <c r="CH48" i="25" s="1"/>
  <c r="CI48" i="25" s="1"/>
  <c r="CE369" i="25"/>
  <c r="CH369" i="25" s="1"/>
  <c r="CI369" i="25" s="1"/>
  <c r="CE347" i="25"/>
  <c r="CH347" i="25" s="1"/>
  <c r="CI347" i="25" s="1"/>
  <c r="CF99" i="25"/>
  <c r="CG99" i="25" s="1"/>
  <c r="CJ99" i="25" s="1"/>
  <c r="CE99" i="25"/>
  <c r="CH99" i="25" s="1"/>
  <c r="CI99" i="25" s="1"/>
  <c r="CB223" i="25"/>
  <c r="CF223" i="25" s="1"/>
  <c r="CG223" i="25" s="1"/>
  <c r="CJ223" i="25" s="1"/>
  <c r="CB306" i="25"/>
  <c r="CF306" i="25" s="1"/>
  <c r="CG306" i="25" s="1"/>
  <c r="CJ306" i="25" s="1"/>
  <c r="CE119" i="25"/>
  <c r="CH119" i="25" s="1"/>
  <c r="CI119" i="25" s="1"/>
  <c r="CE324" i="25"/>
  <c r="CH324" i="25" s="1"/>
  <c r="CI324" i="25" s="1"/>
  <c r="CB88" i="25"/>
  <c r="CF88" i="25" s="1"/>
  <c r="CG88" i="25" s="1"/>
  <c r="CJ88" i="25" s="1"/>
  <c r="CE255" i="25"/>
  <c r="CH255" i="25" s="1"/>
  <c r="CI255" i="25" s="1"/>
  <c r="CB108" i="25"/>
  <c r="CF108" i="25" s="1"/>
  <c r="CG108" i="25" s="1"/>
  <c r="CJ108" i="25" s="1"/>
  <c r="CE20" i="25"/>
  <c r="CH20" i="25" s="1"/>
  <c r="CI20" i="25" s="1"/>
  <c r="CE115" i="25"/>
  <c r="CH115" i="25" s="1"/>
  <c r="CI115" i="25" s="1"/>
  <c r="CE188" i="25"/>
  <c r="CH188" i="25" s="1"/>
  <c r="CI188" i="25" s="1"/>
  <c r="CE131" i="25"/>
  <c r="CH131" i="25" s="1"/>
  <c r="CI131" i="25" s="1"/>
  <c r="CE60" i="25"/>
  <c r="CH60" i="25" s="1"/>
  <c r="CI60" i="25" s="1"/>
  <c r="CE524" i="25"/>
  <c r="CH524" i="25" s="1"/>
  <c r="CI524" i="25" s="1"/>
  <c r="CB290" i="25"/>
  <c r="CF290" i="25" s="1"/>
  <c r="CG290" i="25" s="1"/>
  <c r="CJ290" i="25" s="1"/>
  <c r="CB355" i="25"/>
  <c r="CF355" i="25" s="1"/>
  <c r="CG355" i="25" s="1"/>
  <c r="CJ355" i="25" s="1"/>
  <c r="CE387" i="25"/>
  <c r="CH387" i="25" s="1"/>
  <c r="CI387" i="25" s="1"/>
  <c r="CF387" i="25"/>
  <c r="CG387" i="25" s="1"/>
  <c r="CJ387" i="25" s="1"/>
  <c r="CE247" i="25"/>
  <c r="CH247" i="25" s="1"/>
  <c r="CI247" i="25" s="1"/>
  <c r="CB252" i="25"/>
  <c r="CF252" i="25" s="1"/>
  <c r="CG252" i="25" s="1"/>
  <c r="CJ252" i="25" s="1"/>
  <c r="CF362" i="25"/>
  <c r="CG362" i="25" s="1"/>
  <c r="CJ362" i="25" s="1"/>
  <c r="CF232" i="25"/>
  <c r="CG232" i="25" s="1"/>
  <c r="CJ232" i="25" s="1"/>
  <c r="CE232" i="25"/>
  <c r="CH232" i="25" s="1"/>
  <c r="CI232" i="25" s="1"/>
  <c r="CE267" i="25"/>
  <c r="CH267" i="25" s="1"/>
  <c r="CI267" i="25" s="1"/>
  <c r="CF529" i="25"/>
  <c r="CG529" i="25" s="1"/>
  <c r="CJ529" i="25" s="1"/>
  <c r="CE228" i="25"/>
  <c r="CH228" i="25" s="1"/>
  <c r="CI228" i="25" s="1"/>
  <c r="CB96" i="25"/>
  <c r="CF96" i="25" s="1"/>
  <c r="CG96" i="25" s="1"/>
  <c r="CJ96" i="25" s="1"/>
  <c r="CB330" i="25"/>
  <c r="CF330" i="25" s="1"/>
  <c r="CG330" i="25" s="1"/>
  <c r="CJ330" i="25" s="1"/>
  <c r="CB286" i="25"/>
  <c r="CF286" i="25" s="1"/>
  <c r="CG286" i="25" s="1"/>
  <c r="CJ286" i="25" s="1"/>
  <c r="CF228" i="25"/>
  <c r="CG228" i="25" s="1"/>
  <c r="CJ228" i="25" s="1"/>
  <c r="CF151" i="25"/>
  <c r="CG151" i="25" s="1"/>
  <c r="CJ151" i="25" s="1"/>
  <c r="CE174" i="25"/>
  <c r="CH174" i="25" s="1"/>
  <c r="CI174" i="25" s="1"/>
  <c r="CE529" i="25"/>
  <c r="CH529" i="25" s="1"/>
  <c r="CI529" i="25" s="1"/>
  <c r="CF166" i="25"/>
  <c r="CG166" i="25" s="1"/>
  <c r="CJ166" i="25" s="1"/>
  <c r="CE200" i="25"/>
  <c r="CH200" i="25" s="1"/>
  <c r="CI200" i="25" s="1"/>
  <c r="CF200" i="25"/>
  <c r="CG200" i="25" s="1"/>
  <c r="CJ200" i="25" s="1"/>
  <c r="CE541" i="25"/>
  <c r="CH541" i="25" s="1"/>
  <c r="CI541" i="25" s="1"/>
  <c r="CE362" i="25"/>
  <c r="CH362" i="25" s="1"/>
  <c r="CI362" i="25" s="1"/>
  <c r="CE251" i="25"/>
  <c r="CH251" i="25" s="1"/>
  <c r="CI251" i="25" s="1"/>
  <c r="CE107" i="25"/>
  <c r="CH107" i="25" s="1"/>
  <c r="CI107" i="25" s="1"/>
  <c r="CE366" i="25"/>
  <c r="CH366" i="25" s="1"/>
  <c r="CI366" i="25" s="1"/>
  <c r="CE142" i="25"/>
  <c r="CH142" i="25" s="1"/>
  <c r="CI142" i="25" s="1"/>
  <c r="CF303" i="25"/>
  <c r="CG303" i="25" s="1"/>
  <c r="CJ303" i="25" s="1"/>
  <c r="CE378" i="25"/>
  <c r="CH378" i="25" s="1"/>
  <c r="CI378" i="25" s="1"/>
  <c r="CE358" i="25"/>
  <c r="CH358" i="25" s="1"/>
  <c r="CI358" i="25" s="1"/>
  <c r="CE343" i="25"/>
  <c r="CH343" i="25" s="1"/>
  <c r="CI343" i="25" s="1"/>
  <c r="CF358" i="25"/>
  <c r="CG358" i="25" s="1"/>
  <c r="CJ358" i="25" s="1"/>
  <c r="CF77" i="25"/>
  <c r="CG77" i="25" s="1"/>
  <c r="CJ77" i="25" s="1"/>
  <c r="CB100" i="25"/>
  <c r="CF100" i="25" s="1"/>
  <c r="CG100" i="25" s="1"/>
  <c r="CJ100" i="25" s="1"/>
  <c r="CE533" i="25"/>
  <c r="CH533" i="25" s="1"/>
  <c r="CI533" i="25" s="1"/>
  <c r="CF147" i="25"/>
  <c r="CG147" i="25" s="1"/>
  <c r="CJ147" i="25" s="1"/>
  <c r="CE320" i="25"/>
  <c r="CH320" i="25" s="1"/>
  <c r="CI320" i="25" s="1"/>
  <c r="CE248" i="25"/>
  <c r="CH248" i="25" s="1"/>
  <c r="CI248" i="25" s="1"/>
  <c r="CF517" i="25"/>
  <c r="CG517" i="25" s="1"/>
  <c r="CJ517" i="25" s="1"/>
  <c r="CE517" i="25"/>
  <c r="CH517" i="25" s="1"/>
  <c r="CI517" i="25" s="1"/>
  <c r="CE319" i="25"/>
  <c r="CH319" i="25" s="1"/>
  <c r="CI319" i="25" s="1"/>
  <c r="CE331" i="25"/>
  <c r="CH331" i="25" s="1"/>
  <c r="CI331" i="25" s="1"/>
  <c r="CE263" i="25"/>
  <c r="CH263" i="25" s="1"/>
  <c r="CI263" i="25" s="1"/>
  <c r="CE240" i="25"/>
  <c r="CH240" i="25" s="1"/>
  <c r="CI240" i="25" s="1"/>
  <c r="CE260" i="25"/>
  <c r="CH260" i="25" s="1"/>
  <c r="CI260" i="25" s="1"/>
  <c r="CB84" i="25"/>
  <c r="CF84" i="25" s="1"/>
  <c r="CG84" i="25" s="1"/>
  <c r="CJ84" i="25" s="1"/>
  <c r="CB231" i="25"/>
  <c r="CF231" i="25" s="1"/>
  <c r="CG231" i="25" s="1"/>
  <c r="CJ231" i="25" s="1"/>
  <c r="CF244" i="25"/>
  <c r="CG244" i="25" s="1"/>
  <c r="CJ244" i="25" s="1"/>
  <c r="CE244" i="25"/>
  <c r="CH244" i="25" s="1"/>
  <c r="CI244" i="25" s="1"/>
  <c r="CF516" i="25"/>
  <c r="CG516" i="25" s="1"/>
  <c r="CJ516" i="25" s="1"/>
  <c r="CF194" i="25"/>
  <c r="CG194" i="25" s="1"/>
  <c r="CJ194" i="25" s="1"/>
  <c r="CE295" i="25"/>
  <c r="CH295" i="25" s="1"/>
  <c r="CI295" i="25" s="1"/>
  <c r="CE515" i="25"/>
  <c r="CH515" i="25" s="1"/>
  <c r="CI515" i="25" s="1"/>
  <c r="CF132" i="25"/>
  <c r="CG132" i="25" s="1"/>
  <c r="CJ132" i="25" s="1"/>
  <c r="CB264" i="25"/>
  <c r="CF264" i="25" s="1"/>
  <c r="CG264" i="25" s="1"/>
  <c r="CJ264" i="25" s="1"/>
  <c r="CE67" i="25"/>
  <c r="CH67" i="25" s="1"/>
  <c r="CI67" i="25" s="1"/>
  <c r="CB521" i="25"/>
  <c r="CF521" i="25" s="1"/>
  <c r="CG521" i="25" s="1"/>
  <c r="CJ521" i="25" s="1"/>
  <c r="CF291" i="25"/>
  <c r="CG291" i="25" s="1"/>
  <c r="CJ291" i="25" s="1"/>
  <c r="CE291" i="25"/>
  <c r="CH291" i="25" s="1"/>
  <c r="CI291" i="25" s="1"/>
  <c r="CE367" i="25"/>
  <c r="CH367" i="25" s="1"/>
  <c r="CI367" i="25" s="1"/>
  <c r="CF143" i="25"/>
  <c r="CG143" i="25" s="1"/>
  <c r="CJ143" i="25" s="1"/>
  <c r="CE525" i="25"/>
  <c r="CH525" i="25" s="1"/>
  <c r="CI525" i="25" s="1"/>
  <c r="CE377" i="25"/>
  <c r="CH377" i="25" s="1"/>
  <c r="CI377" i="25" s="1"/>
  <c r="CF155" i="25"/>
  <c r="CG155" i="25" s="1"/>
  <c r="CJ155" i="25" s="1"/>
  <c r="CE150" i="25"/>
  <c r="CH150" i="25" s="1"/>
  <c r="CI150" i="25" s="1"/>
  <c r="CB35" i="25"/>
  <c r="CF35" i="25" s="1"/>
  <c r="CG35" i="25" s="1"/>
  <c r="CJ35" i="25" s="1"/>
  <c r="CE51" i="25"/>
  <c r="CH51" i="25" s="1"/>
  <c r="CI51" i="25" s="1"/>
  <c r="E68" i="89"/>
  <c r="E89" i="89" s="1"/>
  <c r="M89" i="89"/>
  <c r="O89" i="89"/>
  <c r="E79" i="89"/>
  <c r="G89" i="89" s="1"/>
  <c r="K89" i="89"/>
  <c r="E56" i="89"/>
  <c r="C89" i="89" s="1"/>
  <c r="O90" i="89"/>
  <c r="E80" i="89"/>
  <c r="G90" i="89" s="1"/>
  <c r="E57" i="89"/>
  <c r="C90" i="89" s="1"/>
  <c r="K90" i="89"/>
  <c r="E71" i="89"/>
  <c r="E91" i="89" s="1"/>
  <c r="M91" i="89"/>
  <c r="E82" i="89"/>
  <c r="G91" i="89" s="1"/>
  <c r="O91" i="89"/>
  <c r="E59" i="89"/>
  <c r="C91" i="89" s="1"/>
  <c r="K91" i="89"/>
  <c r="M90" i="89"/>
  <c r="E69" i="89"/>
  <c r="E90" i="89" s="1"/>
  <c r="CF89" i="25"/>
  <c r="CG89" i="25" s="1"/>
  <c r="CJ89" i="25" s="1"/>
  <c r="CB274" i="25"/>
  <c r="CF274" i="25" s="1"/>
  <c r="CG274" i="25" s="1"/>
  <c r="CJ274" i="25" s="1"/>
  <c r="CE274" i="25"/>
  <c r="CH274" i="25" s="1"/>
  <c r="CI274" i="25" s="1"/>
  <c r="CE507" i="25"/>
  <c r="CH507" i="25" s="1"/>
  <c r="CI507" i="25" s="1"/>
  <c r="CB39" i="25"/>
  <c r="CF39" i="25" s="1"/>
  <c r="CG39" i="25" s="1"/>
  <c r="CJ39" i="25" s="1"/>
  <c r="CE381" i="25"/>
  <c r="CH381" i="25" s="1"/>
  <c r="CI381" i="25" s="1"/>
  <c r="CE169" i="25"/>
  <c r="CH169" i="25" s="1"/>
  <c r="CI169" i="25" s="1"/>
  <c r="CF85" i="25"/>
  <c r="CG85" i="25" s="1"/>
  <c r="CJ85" i="25" s="1"/>
  <c r="CB104" i="25"/>
  <c r="CF104" i="25" s="1"/>
  <c r="CG104" i="25" s="1"/>
  <c r="CJ104" i="25" s="1"/>
  <c r="CF508" i="25"/>
  <c r="CG508" i="25" s="1"/>
  <c r="CJ508" i="25" s="1"/>
  <c r="CF202" i="25"/>
  <c r="CG202" i="25" s="1"/>
  <c r="CJ202" i="25" s="1"/>
  <c r="CE146" i="25"/>
  <c r="CH146" i="25" s="1"/>
  <c r="CI146" i="25" s="1"/>
  <c r="CE83" i="25"/>
  <c r="CH83" i="25" s="1"/>
  <c r="CI83" i="25" s="1"/>
  <c r="CF542" i="25"/>
  <c r="CG542" i="25" s="1"/>
  <c r="CJ542" i="25" s="1"/>
  <c r="CE256" i="25"/>
  <c r="CH256" i="25" s="1"/>
  <c r="CI256" i="25" s="1"/>
  <c r="CE45" i="25"/>
  <c r="CH45" i="25" s="1"/>
  <c r="CI45" i="25" s="1"/>
  <c r="CE528" i="25"/>
  <c r="CH528" i="25" s="1"/>
  <c r="CI528" i="25" s="1"/>
  <c r="CF160" i="25"/>
  <c r="CG160" i="25" s="1"/>
  <c r="CJ160" i="25" s="1"/>
  <c r="CF159" i="25"/>
  <c r="CG159" i="25" s="1"/>
  <c r="CJ159" i="25" s="1"/>
  <c r="CE532" i="25"/>
  <c r="CH532" i="25" s="1"/>
  <c r="CI532" i="25" s="1"/>
  <c r="CE171" i="25"/>
  <c r="CH171" i="25" s="1"/>
  <c r="CI171" i="25" s="1"/>
  <c r="CF8" i="25"/>
  <c r="CG8" i="25" s="1"/>
  <c r="CJ8" i="25" s="1"/>
  <c r="CF225" i="25"/>
  <c r="CG225" i="25" s="1"/>
  <c r="CJ225" i="25" s="1"/>
  <c r="CE40" i="25"/>
  <c r="CH40" i="25" s="1"/>
  <c r="CI40" i="25" s="1"/>
  <c r="CF532" i="25"/>
  <c r="CG532" i="25" s="1"/>
  <c r="CJ532" i="25" s="1"/>
  <c r="CE8" i="25"/>
  <c r="CH8" i="25" s="1"/>
  <c r="CI8" i="25" s="1"/>
  <c r="CB513" i="25"/>
  <c r="CF513" i="25" s="1"/>
  <c r="CG513" i="25" s="1"/>
  <c r="CJ513" i="25" s="1"/>
  <c r="CE513" i="25"/>
  <c r="CH513" i="25" s="1"/>
  <c r="CI513" i="25" s="1"/>
  <c r="CB111" i="25"/>
  <c r="CF111" i="25" s="1"/>
  <c r="CG111" i="25" s="1"/>
  <c r="CJ111" i="25" s="1"/>
  <c r="CE111" i="25"/>
  <c r="CH111" i="25" s="1"/>
  <c r="CI111" i="25" s="1"/>
  <c r="CE374" i="25"/>
  <c r="CH374" i="25" s="1"/>
  <c r="CI374" i="25" s="1"/>
  <c r="CB361" i="25"/>
  <c r="CF361" i="25" s="1"/>
  <c r="CG361" i="25" s="1"/>
  <c r="CJ361" i="25" s="1"/>
  <c r="CE339" i="25"/>
  <c r="CH339" i="25" s="1"/>
  <c r="CI339" i="25" s="1"/>
  <c r="CE271" i="25"/>
  <c r="CH271" i="25" s="1"/>
  <c r="CI271" i="25" s="1"/>
  <c r="CB245" i="25"/>
  <c r="CF245" i="25" s="1"/>
  <c r="CG245" i="25" s="1"/>
  <c r="CJ245" i="25" s="1"/>
  <c r="CF81" i="25"/>
  <c r="CG81" i="25" s="1"/>
  <c r="CJ81" i="25" s="1"/>
  <c r="CE335" i="25"/>
  <c r="CH335" i="25" s="1"/>
  <c r="CI335" i="25" s="1"/>
  <c r="CE227" i="25"/>
  <c r="CH227" i="25" s="1"/>
  <c r="CI227" i="25" s="1"/>
  <c r="CE135" i="25"/>
  <c r="CH135" i="25" s="1"/>
  <c r="CI135" i="25" s="1"/>
  <c r="CF109" i="25"/>
  <c r="CG109" i="25" s="1"/>
  <c r="CJ109" i="25" s="1"/>
  <c r="CB31" i="25"/>
  <c r="CF31" i="25" s="1"/>
  <c r="CG31" i="25" s="1"/>
  <c r="CJ31" i="25" s="1"/>
  <c r="CF526" i="25"/>
  <c r="CG526" i="25" s="1"/>
  <c r="CJ526" i="25" s="1"/>
  <c r="CB282" i="25"/>
  <c r="CF282" i="25" s="1"/>
  <c r="CG282" i="25" s="1"/>
  <c r="CJ282" i="25" s="1"/>
  <c r="CF73" i="25"/>
  <c r="CG73" i="25" s="1"/>
  <c r="CJ73" i="25" s="1"/>
  <c r="CF51" i="25"/>
  <c r="CG51" i="25" s="1"/>
  <c r="CJ51" i="25" s="1"/>
  <c r="CE56" i="25"/>
  <c r="CH56" i="25" s="1"/>
  <c r="CI56" i="25" s="1"/>
  <c r="CF388" i="25"/>
  <c r="CG388" i="25" s="1"/>
  <c r="CJ388" i="25" s="1"/>
  <c r="CF139" i="25"/>
  <c r="CG139" i="25" s="1"/>
  <c r="CJ139" i="25" s="1"/>
  <c r="CF363" i="25"/>
  <c r="CG363" i="25" s="1"/>
  <c r="CJ363" i="25" s="1"/>
  <c r="CF233" i="25"/>
  <c r="CG233" i="25" s="1"/>
  <c r="CJ233" i="25" s="1"/>
  <c r="CF101" i="25"/>
  <c r="CG101" i="25" s="1"/>
  <c r="CJ101" i="25" s="1"/>
  <c r="CE154" i="25"/>
  <c r="CH154" i="25" s="1"/>
  <c r="CI154" i="25" s="1"/>
  <c r="CE518" i="25"/>
  <c r="CH518" i="25" s="1"/>
  <c r="CI518" i="25" s="1"/>
  <c r="CF229" i="25"/>
  <c r="CG229" i="25" s="1"/>
  <c r="CJ229" i="25" s="1"/>
  <c r="CF287" i="25"/>
  <c r="CG287" i="25" s="1"/>
  <c r="CJ287" i="25" s="1"/>
  <c r="CF198" i="25"/>
  <c r="CG198" i="25" s="1"/>
  <c r="CJ198" i="25" s="1"/>
  <c r="CE385" i="25"/>
  <c r="CH385" i="25" s="1"/>
  <c r="CI385" i="25" s="1"/>
  <c r="CE170" i="25"/>
  <c r="CH170" i="25" s="1"/>
  <c r="CI170" i="25" s="1"/>
  <c r="CF117" i="25"/>
  <c r="CG117" i="25" s="1"/>
  <c r="CJ117" i="25" s="1"/>
  <c r="CF236" i="25"/>
  <c r="CG236" i="25" s="1"/>
  <c r="CJ236" i="25" s="1"/>
  <c r="CE52" i="25"/>
  <c r="CH52" i="25" s="1"/>
  <c r="CI52" i="25" s="1"/>
  <c r="CB50" i="25"/>
  <c r="CF50" i="25" s="1"/>
  <c r="CG50" i="25" s="1"/>
  <c r="CJ50" i="25" s="1"/>
  <c r="CE538" i="25"/>
  <c r="CH538" i="25" s="1"/>
  <c r="CI538" i="25" s="1"/>
  <c r="CF237" i="25"/>
  <c r="CG237" i="25" s="1"/>
  <c r="CJ237" i="25" s="1"/>
  <c r="CE204" i="25"/>
  <c r="CH204" i="25" s="1"/>
  <c r="CI204" i="25" s="1"/>
  <c r="CF113" i="25"/>
  <c r="CG113" i="25" s="1"/>
  <c r="CJ113" i="25" s="1"/>
  <c r="CB62" i="25"/>
  <c r="CF62" i="25" s="1"/>
  <c r="CG62" i="25" s="1"/>
  <c r="CJ62" i="25" s="1"/>
  <c r="CE103" i="25"/>
  <c r="CH103" i="25" s="1"/>
  <c r="CI103" i="25" s="1"/>
  <c r="CE327" i="25"/>
  <c r="CH327" i="25" s="1"/>
  <c r="CI327" i="25" s="1"/>
  <c r="CB310" i="25"/>
  <c r="CF310" i="25" s="1"/>
  <c r="CG310" i="25" s="1"/>
  <c r="CJ310" i="25" s="1"/>
  <c r="CE236" i="25"/>
  <c r="CH236" i="25" s="1"/>
  <c r="CI236" i="25" s="1"/>
  <c r="CB519" i="25"/>
  <c r="CF519" i="25" s="1"/>
  <c r="CG519" i="25" s="1"/>
  <c r="CJ519" i="25" s="1"/>
  <c r="CE212" i="25"/>
  <c r="CH212" i="25" s="1"/>
  <c r="CI212" i="25" s="1"/>
  <c r="CF105" i="25"/>
  <c r="CG105" i="25" s="1"/>
  <c r="CJ105" i="25" s="1"/>
  <c r="CE44" i="25"/>
  <c r="CH44" i="25" s="1"/>
  <c r="CI44" i="25" s="1"/>
  <c r="CF44" i="25"/>
  <c r="CG44" i="25" s="1"/>
  <c r="CJ44" i="25" s="1"/>
  <c r="CF376" i="25"/>
  <c r="CG376" i="25" s="1"/>
  <c r="CJ376" i="25" s="1"/>
  <c r="CE303" i="25"/>
  <c r="CH303" i="25" s="1"/>
  <c r="CI303" i="25" s="1"/>
  <c r="CE189" i="25"/>
  <c r="CH189" i="25" s="1"/>
  <c r="CI189" i="25" s="1"/>
  <c r="CE91" i="25"/>
  <c r="CH91" i="25" s="1"/>
  <c r="CI91" i="25" s="1"/>
  <c r="CE17" i="25"/>
  <c r="CH17" i="25" s="1"/>
  <c r="CI17" i="25" s="1"/>
  <c r="CE542" i="25"/>
  <c r="CH542" i="25" s="1"/>
  <c r="CI542" i="25" s="1"/>
  <c r="CE348" i="25"/>
  <c r="CH348" i="25" s="1"/>
  <c r="CI348" i="25" s="1"/>
  <c r="CF285" i="25"/>
  <c r="CG285" i="25" s="1"/>
  <c r="CJ285" i="25" s="1"/>
  <c r="CF162" i="25"/>
  <c r="CG162" i="25" s="1"/>
  <c r="CJ162" i="25" s="1"/>
  <c r="CF307" i="25"/>
  <c r="CG307" i="25" s="1"/>
  <c r="CJ307" i="25" s="1"/>
  <c r="CE259" i="25"/>
  <c r="CH259" i="25" s="1"/>
  <c r="CI259" i="25" s="1"/>
  <c r="CB203" i="25"/>
  <c r="CF203" i="25" s="1"/>
  <c r="CG203" i="25" s="1"/>
  <c r="CJ203" i="25" s="1"/>
  <c r="CE203" i="25"/>
  <c r="CH203" i="25" s="1"/>
  <c r="CI203" i="25" s="1"/>
  <c r="CB138" i="25"/>
  <c r="CF138" i="25" s="1"/>
  <c r="CG138" i="25" s="1"/>
  <c r="CJ138" i="25" s="1"/>
  <c r="CE138" i="25"/>
  <c r="CH138" i="25" s="1"/>
  <c r="CI138" i="25" s="1"/>
  <c r="CB213" i="25"/>
  <c r="CF213" i="25" s="1"/>
  <c r="CG213" i="25" s="1"/>
  <c r="CJ213" i="25" s="1"/>
  <c r="CE213" i="25"/>
  <c r="CH213" i="25" s="1"/>
  <c r="CI213" i="25" s="1"/>
  <c r="CB158" i="25"/>
  <c r="CF158" i="25" s="1"/>
  <c r="CG158" i="25" s="1"/>
  <c r="CJ158" i="25" s="1"/>
  <c r="CE158" i="25"/>
  <c r="CH158" i="25" s="1"/>
  <c r="CI158" i="25" s="1"/>
  <c r="CE516" i="25"/>
  <c r="CH516" i="25" s="1"/>
  <c r="CI516" i="25" s="1"/>
  <c r="CE196" i="25"/>
  <c r="CH196" i="25" s="1"/>
  <c r="CI196" i="25" s="1"/>
  <c r="CF539" i="25"/>
  <c r="CG539" i="25" s="1"/>
  <c r="CJ539" i="25" s="1"/>
  <c r="CE383" i="25"/>
  <c r="CH383" i="25" s="1"/>
  <c r="CI383" i="25" s="1"/>
  <c r="CE352" i="25"/>
  <c r="CH352" i="25" s="1"/>
  <c r="CI352" i="25" s="1"/>
  <c r="CF271" i="25"/>
  <c r="CG271" i="25" s="1"/>
  <c r="CJ271" i="25" s="1"/>
  <c r="CE164" i="25"/>
  <c r="CH164" i="25" s="1"/>
  <c r="CI164" i="25" s="1"/>
  <c r="CE522" i="25"/>
  <c r="CH522" i="25" s="1"/>
  <c r="CI522" i="25" s="1"/>
  <c r="CE539" i="25"/>
  <c r="CH539" i="25" s="1"/>
  <c r="CI539" i="25" s="1"/>
  <c r="CF382" i="25"/>
  <c r="CG382" i="25" s="1"/>
  <c r="CJ382" i="25" s="1"/>
  <c r="CF317" i="25"/>
  <c r="CG317" i="25" s="1"/>
  <c r="CJ317" i="25" s="1"/>
  <c r="CF283" i="25"/>
  <c r="CG283" i="25" s="1"/>
  <c r="CJ283" i="25" s="1"/>
  <c r="CF103" i="25"/>
  <c r="CG103" i="25" s="1"/>
  <c r="CJ103" i="25" s="1"/>
  <c r="CE388" i="25"/>
  <c r="CH388" i="25" s="1"/>
  <c r="CI388" i="25" s="1"/>
  <c r="CE357" i="25"/>
  <c r="CH357" i="25" s="1"/>
  <c r="CI357" i="25" s="1"/>
  <c r="CF275" i="25"/>
  <c r="CG275" i="25" s="1"/>
  <c r="CJ275" i="25" s="1"/>
  <c r="CE370" i="25"/>
  <c r="CH370" i="25" s="1"/>
  <c r="CI370" i="25" s="1"/>
  <c r="CE249" i="25"/>
  <c r="CH249" i="25" s="1"/>
  <c r="CI249" i="25" s="1"/>
  <c r="CE21" i="25"/>
  <c r="CH21" i="25" s="1"/>
  <c r="CI21" i="25" s="1"/>
  <c r="CE168" i="25"/>
  <c r="CH168" i="25" s="1"/>
  <c r="CI168" i="25" s="1"/>
  <c r="CF188" i="25"/>
  <c r="CG188" i="25" s="1"/>
  <c r="CJ188" i="25" s="1"/>
  <c r="CE77" i="25"/>
  <c r="CH77" i="25" s="1"/>
  <c r="CI77" i="25" s="1"/>
  <c r="CE33" i="25"/>
  <c r="CH33" i="25" s="1"/>
  <c r="CI33" i="25" s="1"/>
  <c r="CE543" i="25"/>
  <c r="CH543" i="25" s="1"/>
  <c r="CI543" i="25" s="1"/>
  <c r="CF206" i="25"/>
  <c r="CG206" i="25" s="1"/>
  <c r="CJ206" i="25" s="1"/>
  <c r="CE139" i="25"/>
  <c r="CH139" i="25" s="1"/>
  <c r="CI139" i="25" s="1"/>
  <c r="CE12" i="25"/>
  <c r="CH12" i="25" s="1"/>
  <c r="CI12" i="25" s="1"/>
  <c r="CE16" i="25"/>
  <c r="CH16" i="25" s="1"/>
  <c r="CI16" i="25" s="1"/>
  <c r="CE508" i="25"/>
  <c r="CH508" i="25" s="1"/>
  <c r="CI508" i="25" s="1"/>
  <c r="CE307" i="25"/>
  <c r="CH307" i="25" s="1"/>
  <c r="CI307" i="25" s="1"/>
  <c r="CB353" i="25"/>
  <c r="CF353" i="25" s="1"/>
  <c r="CG353" i="25" s="1"/>
  <c r="CJ353" i="25" s="1"/>
  <c r="CE353" i="25"/>
  <c r="CH353" i="25" s="1"/>
  <c r="CI353" i="25" s="1"/>
  <c r="CB199" i="25"/>
  <c r="CF199" i="25" s="1"/>
  <c r="CG199" i="25" s="1"/>
  <c r="CJ199" i="25" s="1"/>
  <c r="CE199" i="25"/>
  <c r="CH199" i="25" s="1"/>
  <c r="CI199" i="25" s="1"/>
  <c r="CB64" i="25"/>
  <c r="CF64" i="25" s="1"/>
  <c r="CG64" i="25" s="1"/>
  <c r="CJ64" i="25" s="1"/>
  <c r="CE64" i="25"/>
  <c r="CH64" i="25" s="1"/>
  <c r="CI64" i="25" s="1"/>
  <c r="CB349" i="25"/>
  <c r="CF349" i="25" s="1"/>
  <c r="CG349" i="25" s="1"/>
  <c r="CJ349" i="25" s="1"/>
  <c r="CE349" i="25"/>
  <c r="CH349" i="25" s="1"/>
  <c r="CI349" i="25" s="1"/>
  <c r="CB191" i="25"/>
  <c r="CF191" i="25" s="1"/>
  <c r="CG191" i="25" s="1"/>
  <c r="CJ191" i="25" s="1"/>
  <c r="CE191" i="25"/>
  <c r="CH191" i="25" s="1"/>
  <c r="CI191" i="25" s="1"/>
  <c r="CB97" i="25"/>
  <c r="CF97" i="25" s="1"/>
  <c r="CG97" i="25" s="1"/>
  <c r="CJ97" i="25" s="1"/>
  <c r="CE97" i="25"/>
  <c r="CH97" i="25" s="1"/>
  <c r="CI97" i="25" s="1"/>
  <c r="CB152" i="25"/>
  <c r="CF152" i="25" s="1"/>
  <c r="CG152" i="25" s="1"/>
  <c r="CJ152" i="25" s="1"/>
  <c r="CE152" i="25"/>
  <c r="CH152" i="25" s="1"/>
  <c r="CI152" i="25" s="1"/>
  <c r="CE384" i="25"/>
  <c r="CH384" i="25" s="1"/>
  <c r="CI384" i="25" s="1"/>
  <c r="CB384" i="25"/>
  <c r="CF384" i="25" s="1"/>
  <c r="CG384" i="25" s="1"/>
  <c r="CJ384" i="25" s="1"/>
  <c r="CB172" i="25"/>
  <c r="CF172" i="25" s="1"/>
  <c r="CG172" i="25" s="1"/>
  <c r="CJ172" i="25" s="1"/>
  <c r="CE172" i="25"/>
  <c r="CH172" i="25" s="1"/>
  <c r="CI172" i="25" s="1"/>
  <c r="CB182" i="25"/>
  <c r="CF182" i="25" s="1"/>
  <c r="CG182" i="25" s="1"/>
  <c r="CJ182" i="25" s="1"/>
  <c r="CE182" i="25"/>
  <c r="CH182" i="25" s="1"/>
  <c r="CI182" i="25" s="1"/>
  <c r="CB177" i="25"/>
  <c r="CF177" i="25" s="1"/>
  <c r="CG177" i="25" s="1"/>
  <c r="CJ177" i="25" s="1"/>
  <c r="CE177" i="25"/>
  <c r="CH177" i="25" s="1"/>
  <c r="CI177" i="25" s="1"/>
  <c r="CB344" i="25"/>
  <c r="CF344" i="25" s="1"/>
  <c r="CG344" i="25" s="1"/>
  <c r="CJ344" i="25" s="1"/>
  <c r="CE344" i="25"/>
  <c r="CH344" i="25" s="1"/>
  <c r="CI344" i="25" s="1"/>
  <c r="CB144" i="25"/>
  <c r="CF144" i="25" s="1"/>
  <c r="CG144" i="25" s="1"/>
  <c r="CJ144" i="25" s="1"/>
  <c r="CE144" i="25"/>
  <c r="CH144" i="25" s="1"/>
  <c r="CI144" i="25" s="1"/>
  <c r="CB288" i="25"/>
  <c r="CF288" i="25" s="1"/>
  <c r="CG288" i="25" s="1"/>
  <c r="CJ288" i="25" s="1"/>
  <c r="CE288" i="25"/>
  <c r="CH288" i="25" s="1"/>
  <c r="CI288" i="25" s="1"/>
  <c r="CB10" i="25"/>
  <c r="CF10" i="25" s="1"/>
  <c r="CG10" i="25" s="1"/>
  <c r="CJ10" i="25" s="1"/>
  <c r="CE10" i="25"/>
  <c r="CH10" i="25" s="1"/>
  <c r="CI10" i="25" s="1"/>
  <c r="CE318" i="25"/>
  <c r="CH318" i="25" s="1"/>
  <c r="CI318" i="25" s="1"/>
  <c r="CB318" i="25"/>
  <c r="CF318" i="25" s="1"/>
  <c r="CG318" i="25" s="1"/>
  <c r="CJ318" i="25" s="1"/>
  <c r="CB534" i="25"/>
  <c r="CF534" i="25" s="1"/>
  <c r="CG534" i="25" s="1"/>
  <c r="CJ534" i="25" s="1"/>
  <c r="CE534" i="25"/>
  <c r="CH534" i="25" s="1"/>
  <c r="CI534" i="25" s="1"/>
  <c r="CB506" i="25"/>
  <c r="CF506" i="25" s="1"/>
  <c r="CG506" i="25" s="1"/>
  <c r="CJ506" i="25" s="1"/>
  <c r="CE506" i="25"/>
  <c r="CH506" i="25" s="1"/>
  <c r="CI506" i="25" s="1"/>
  <c r="CB359" i="25"/>
  <c r="CF359" i="25" s="1"/>
  <c r="CG359" i="25" s="1"/>
  <c r="CJ359" i="25" s="1"/>
  <c r="CE359" i="25"/>
  <c r="CH359" i="25" s="1"/>
  <c r="CI359" i="25" s="1"/>
  <c r="CB210" i="25"/>
  <c r="CF210" i="25" s="1"/>
  <c r="CG210" i="25" s="1"/>
  <c r="CJ210" i="25" s="1"/>
  <c r="CE210" i="25"/>
  <c r="CH210" i="25" s="1"/>
  <c r="CI210" i="25" s="1"/>
  <c r="CE19" i="25"/>
  <c r="CH19" i="25" s="1"/>
  <c r="CI19" i="25" s="1"/>
  <c r="CB19" i="25"/>
  <c r="CF19" i="25" s="1"/>
  <c r="CG19" i="25" s="1"/>
  <c r="CJ19" i="25" s="1"/>
  <c r="CB106" i="25"/>
  <c r="CF106" i="25" s="1"/>
  <c r="CG106" i="25" s="1"/>
  <c r="CJ106" i="25" s="1"/>
  <c r="CE106" i="25"/>
  <c r="CH106" i="25" s="1"/>
  <c r="CI106" i="25" s="1"/>
  <c r="CB234" i="25"/>
  <c r="CF234" i="25" s="1"/>
  <c r="CG234" i="25" s="1"/>
  <c r="CJ234" i="25" s="1"/>
  <c r="CE234" i="25"/>
  <c r="CH234" i="25" s="1"/>
  <c r="CI234" i="25" s="1"/>
  <c r="CB207" i="25"/>
  <c r="CF207" i="25" s="1"/>
  <c r="CG207" i="25" s="1"/>
  <c r="CJ207" i="25" s="1"/>
  <c r="CE207" i="25"/>
  <c r="CH207" i="25" s="1"/>
  <c r="CI207" i="25" s="1"/>
  <c r="CB156" i="25"/>
  <c r="CF156" i="25" s="1"/>
  <c r="CG156" i="25" s="1"/>
  <c r="CJ156" i="25" s="1"/>
  <c r="CE156" i="25"/>
  <c r="CH156" i="25" s="1"/>
  <c r="CI156" i="25" s="1"/>
  <c r="CB334" i="25"/>
  <c r="CF334" i="25" s="1"/>
  <c r="CG334" i="25" s="1"/>
  <c r="CJ334" i="25" s="1"/>
  <c r="CE334" i="25"/>
  <c r="CH334" i="25" s="1"/>
  <c r="CI334" i="25" s="1"/>
  <c r="CE175" i="25"/>
  <c r="CH175" i="25" s="1"/>
  <c r="CI175" i="25" s="1"/>
  <c r="CB175" i="25"/>
  <c r="CF175" i="25" s="1"/>
  <c r="CG175" i="25" s="1"/>
  <c r="CJ175" i="25" s="1"/>
  <c r="CB187" i="25"/>
  <c r="CF187" i="25" s="1"/>
  <c r="CG187" i="25" s="1"/>
  <c r="CJ187" i="25" s="1"/>
  <c r="CE187" i="25"/>
  <c r="CH187" i="25" s="1"/>
  <c r="CI187" i="25" s="1"/>
  <c r="CE145" i="25"/>
  <c r="CH145" i="25" s="1"/>
  <c r="CI145" i="25" s="1"/>
  <c r="CB145" i="25"/>
  <c r="CF145" i="25" s="1"/>
  <c r="CG145" i="25" s="1"/>
  <c r="CJ145" i="25" s="1"/>
  <c r="CE54" i="25"/>
  <c r="CH54" i="25" s="1"/>
  <c r="CI54" i="25" s="1"/>
  <c r="CB54" i="25"/>
  <c r="CF54" i="25" s="1"/>
  <c r="CG54" i="25" s="1"/>
  <c r="CJ54" i="25" s="1"/>
  <c r="CE526" i="25"/>
  <c r="CH526" i="25" s="1"/>
  <c r="CI526" i="25" s="1"/>
  <c r="CF543" i="25"/>
  <c r="CG543" i="25" s="1"/>
  <c r="CJ543" i="25" s="1"/>
  <c r="CB527" i="25"/>
  <c r="CF527" i="25" s="1"/>
  <c r="CG527" i="25" s="1"/>
  <c r="CJ527" i="25" s="1"/>
  <c r="CE527" i="25"/>
  <c r="CH527" i="25" s="1"/>
  <c r="CI527" i="25" s="1"/>
  <c r="CE512" i="25"/>
  <c r="CH512" i="25" s="1"/>
  <c r="CI512" i="25" s="1"/>
  <c r="CE379" i="25"/>
  <c r="CH379" i="25" s="1"/>
  <c r="CI379" i="25" s="1"/>
  <c r="CE364" i="25"/>
  <c r="CH364" i="25" s="1"/>
  <c r="CI364" i="25" s="1"/>
  <c r="CB364" i="25"/>
  <c r="CF364" i="25" s="1"/>
  <c r="CG364" i="25" s="1"/>
  <c r="CJ364" i="25" s="1"/>
  <c r="CE314" i="25"/>
  <c r="CH314" i="25" s="1"/>
  <c r="CI314" i="25" s="1"/>
  <c r="CB314" i="25"/>
  <c r="CF314" i="25" s="1"/>
  <c r="CG314" i="25" s="1"/>
  <c r="CJ314" i="25" s="1"/>
  <c r="CE206" i="25"/>
  <c r="CH206" i="25" s="1"/>
  <c r="CI206" i="25" s="1"/>
  <c r="CE305" i="25"/>
  <c r="CH305" i="25" s="1"/>
  <c r="CI305" i="25" s="1"/>
  <c r="CB305" i="25"/>
  <c r="CF305" i="25" s="1"/>
  <c r="CG305" i="25" s="1"/>
  <c r="CJ305" i="25" s="1"/>
  <c r="CE315" i="25"/>
  <c r="CH315" i="25" s="1"/>
  <c r="CI315" i="25" s="1"/>
  <c r="CE317" i="25"/>
  <c r="CH317" i="25" s="1"/>
  <c r="CI317" i="25" s="1"/>
  <c r="CE279" i="25"/>
  <c r="CH279" i="25" s="1"/>
  <c r="CI279" i="25" s="1"/>
  <c r="CB258" i="25"/>
  <c r="CF258" i="25" s="1"/>
  <c r="CG258" i="25" s="1"/>
  <c r="CJ258" i="25" s="1"/>
  <c r="CE258" i="25"/>
  <c r="CH258" i="25" s="1"/>
  <c r="CI258" i="25" s="1"/>
  <c r="CE275" i="25"/>
  <c r="CH275" i="25" s="1"/>
  <c r="CI275" i="25" s="1"/>
  <c r="CE257" i="25"/>
  <c r="CH257" i="25" s="1"/>
  <c r="CI257" i="25" s="1"/>
  <c r="CE211" i="25"/>
  <c r="CH211" i="25" s="1"/>
  <c r="CI211" i="25" s="1"/>
  <c r="CB211" i="25"/>
  <c r="CF211" i="25" s="1"/>
  <c r="CG211" i="25" s="1"/>
  <c r="CJ211" i="25" s="1"/>
  <c r="CE193" i="25"/>
  <c r="CH193" i="25" s="1"/>
  <c r="CI193" i="25" s="1"/>
  <c r="CB193" i="25"/>
  <c r="CF193" i="25" s="1"/>
  <c r="CG193" i="25" s="1"/>
  <c r="CJ193" i="25" s="1"/>
  <c r="CE159" i="25"/>
  <c r="CH159" i="25" s="1"/>
  <c r="CI159" i="25" s="1"/>
  <c r="CE151" i="25"/>
  <c r="CH151" i="25" s="1"/>
  <c r="CI151" i="25" s="1"/>
  <c r="CB98" i="25"/>
  <c r="CF98" i="25" s="1"/>
  <c r="CG98" i="25" s="1"/>
  <c r="CJ98" i="25" s="1"/>
  <c r="CE98" i="25"/>
  <c r="CH98" i="25" s="1"/>
  <c r="CI98" i="25" s="1"/>
  <c r="CE78" i="25"/>
  <c r="CH78" i="25" s="1"/>
  <c r="CI78" i="25" s="1"/>
  <c r="CB78" i="25"/>
  <c r="CF78" i="25" s="1"/>
  <c r="CG78" i="25" s="1"/>
  <c r="CJ78" i="25" s="1"/>
  <c r="CE127" i="25"/>
  <c r="CH127" i="25" s="1"/>
  <c r="CI127" i="25" s="1"/>
  <c r="CE120" i="25"/>
  <c r="CH120" i="25" s="1"/>
  <c r="CI120" i="25" s="1"/>
  <c r="CE265" i="25"/>
  <c r="CH265" i="25" s="1"/>
  <c r="CI265" i="25" s="1"/>
  <c r="CE143" i="25"/>
  <c r="CH143" i="25" s="1"/>
  <c r="CI143" i="25" s="1"/>
  <c r="CB148" i="25"/>
  <c r="CF148" i="25" s="1"/>
  <c r="CG148" i="25" s="1"/>
  <c r="CJ148" i="25" s="1"/>
  <c r="CE148" i="25"/>
  <c r="CH148" i="25" s="1"/>
  <c r="CI148" i="25" s="1"/>
  <c r="CE87" i="25"/>
  <c r="CH87" i="25" s="1"/>
  <c r="CI87" i="25" s="1"/>
  <c r="CE30" i="25"/>
  <c r="CH30" i="25" s="1"/>
  <c r="CI30" i="25" s="1"/>
  <c r="CB30" i="25"/>
  <c r="CF30" i="25" s="1"/>
  <c r="CG30" i="25" s="1"/>
  <c r="CJ30" i="25" s="1"/>
  <c r="CE81" i="25"/>
  <c r="CH81" i="25" s="1"/>
  <c r="CI81" i="25" s="1"/>
  <c r="CE43" i="25"/>
  <c r="CH43" i="25" s="1"/>
  <c r="CI43" i="25" s="1"/>
  <c r="CB43" i="25"/>
  <c r="CF43" i="25" s="1"/>
  <c r="CG43" i="25" s="1"/>
  <c r="CJ43" i="25" s="1"/>
  <c r="CB239" i="25"/>
  <c r="CF239" i="25" s="1"/>
  <c r="CG239" i="25" s="1"/>
  <c r="CJ239" i="25" s="1"/>
  <c r="CE239" i="25"/>
  <c r="CH239" i="25" s="1"/>
  <c r="CI239" i="25" s="1"/>
  <c r="CB342" i="25"/>
  <c r="CF342" i="25" s="1"/>
  <c r="CG342" i="25" s="1"/>
  <c r="CJ342" i="25" s="1"/>
  <c r="CE342" i="25"/>
  <c r="CH342" i="25" s="1"/>
  <c r="CI342" i="25" s="1"/>
  <c r="CE363" i="25"/>
  <c r="CH363" i="25" s="1"/>
  <c r="CI363" i="25" s="1"/>
  <c r="CB293" i="25"/>
  <c r="CF293" i="25" s="1"/>
  <c r="CG293" i="25" s="1"/>
  <c r="CJ293" i="25" s="1"/>
  <c r="CE293" i="25"/>
  <c r="CH293" i="25" s="1"/>
  <c r="CI293" i="25" s="1"/>
  <c r="CE302" i="25"/>
  <c r="CH302" i="25" s="1"/>
  <c r="CI302" i="25" s="1"/>
  <c r="CB302" i="25"/>
  <c r="CF302" i="25" s="1"/>
  <c r="CG302" i="25" s="1"/>
  <c r="CJ302" i="25" s="1"/>
  <c r="CF281" i="25"/>
  <c r="CG281" i="25" s="1"/>
  <c r="CJ281" i="25" s="1"/>
  <c r="CB254" i="25"/>
  <c r="CF254" i="25" s="1"/>
  <c r="CG254" i="25" s="1"/>
  <c r="CJ254" i="25" s="1"/>
  <c r="CE254" i="25"/>
  <c r="CH254" i="25" s="1"/>
  <c r="CI254" i="25" s="1"/>
  <c r="CE298" i="25"/>
  <c r="CH298" i="25" s="1"/>
  <c r="CI298" i="25" s="1"/>
  <c r="CB298" i="25"/>
  <c r="CF298" i="25" s="1"/>
  <c r="CG298" i="25" s="1"/>
  <c r="CJ298" i="25" s="1"/>
  <c r="CB272" i="25"/>
  <c r="CF272" i="25" s="1"/>
  <c r="CG272" i="25" s="1"/>
  <c r="CJ272" i="25" s="1"/>
  <c r="CE272" i="25"/>
  <c r="CH272" i="25" s="1"/>
  <c r="CI272" i="25" s="1"/>
  <c r="CE296" i="25"/>
  <c r="CH296" i="25" s="1"/>
  <c r="CI296" i="25" s="1"/>
  <c r="CB195" i="25"/>
  <c r="CF195" i="25" s="1"/>
  <c r="CG195" i="25" s="1"/>
  <c r="CJ195" i="25" s="1"/>
  <c r="CE195" i="25"/>
  <c r="CH195" i="25" s="1"/>
  <c r="CI195" i="25" s="1"/>
  <c r="CF176" i="25"/>
  <c r="CG176" i="25" s="1"/>
  <c r="CJ176" i="25" s="1"/>
  <c r="CB209" i="25"/>
  <c r="CF209" i="25" s="1"/>
  <c r="CG209" i="25" s="1"/>
  <c r="CJ209" i="25" s="1"/>
  <c r="CE209" i="25"/>
  <c r="CH209" i="25" s="1"/>
  <c r="CI209" i="25" s="1"/>
  <c r="CE178" i="25"/>
  <c r="CH178" i="25" s="1"/>
  <c r="CI178" i="25" s="1"/>
  <c r="CE176" i="25"/>
  <c r="CH176" i="25" s="1"/>
  <c r="CI176" i="25" s="1"/>
  <c r="CE165" i="25"/>
  <c r="CH165" i="25" s="1"/>
  <c r="CI165" i="25" s="1"/>
  <c r="CB165" i="25"/>
  <c r="CF165" i="25" s="1"/>
  <c r="CG165" i="25" s="1"/>
  <c r="CJ165" i="25" s="1"/>
  <c r="CB110" i="25"/>
  <c r="CF110" i="25" s="1"/>
  <c r="CG110" i="25" s="1"/>
  <c r="CJ110" i="25" s="1"/>
  <c r="CE110" i="25"/>
  <c r="CH110" i="25" s="1"/>
  <c r="CI110" i="25" s="1"/>
  <c r="CE128" i="25"/>
  <c r="CH128" i="25" s="1"/>
  <c r="CI128" i="25" s="1"/>
  <c r="CB112" i="25"/>
  <c r="CF112" i="25" s="1"/>
  <c r="CG112" i="25" s="1"/>
  <c r="CJ112" i="25" s="1"/>
  <c r="CE112" i="25"/>
  <c r="CH112" i="25" s="1"/>
  <c r="CI112" i="25" s="1"/>
  <c r="CE117" i="25"/>
  <c r="CH117" i="25" s="1"/>
  <c r="CI117" i="25" s="1"/>
  <c r="CE23" i="25"/>
  <c r="CH23" i="25" s="1"/>
  <c r="CI23" i="25" s="1"/>
  <c r="CB23" i="25"/>
  <c r="CF23" i="25" s="1"/>
  <c r="CG23" i="25" s="1"/>
  <c r="CJ23" i="25" s="1"/>
  <c r="CE101" i="25"/>
  <c r="CH101" i="25" s="1"/>
  <c r="CI101" i="25" s="1"/>
  <c r="CE113" i="25"/>
  <c r="CH113" i="25" s="1"/>
  <c r="CI113" i="25" s="1"/>
  <c r="CB70" i="25"/>
  <c r="CF70" i="25" s="1"/>
  <c r="CG70" i="25" s="1"/>
  <c r="CJ70" i="25" s="1"/>
  <c r="CE70" i="25"/>
  <c r="CH70" i="25" s="1"/>
  <c r="CI70" i="25" s="1"/>
  <c r="CE105" i="25"/>
  <c r="CH105" i="25" s="1"/>
  <c r="CI105" i="25" s="1"/>
  <c r="CE57" i="25"/>
  <c r="CH57" i="25" s="1"/>
  <c r="CI57" i="25" s="1"/>
  <c r="CB57" i="25"/>
  <c r="CF57" i="25" s="1"/>
  <c r="CG57" i="25" s="1"/>
  <c r="CJ57" i="25" s="1"/>
  <c r="CE49" i="25"/>
  <c r="CH49" i="25" s="1"/>
  <c r="CI49" i="25" s="1"/>
  <c r="CB49" i="25"/>
  <c r="CF49" i="25" s="1"/>
  <c r="CG49" i="25" s="1"/>
  <c r="CJ49" i="25" s="1"/>
  <c r="CE42" i="25"/>
  <c r="CH42" i="25" s="1"/>
  <c r="CI42" i="25" s="1"/>
  <c r="CB42" i="25"/>
  <c r="CF42" i="25" s="1"/>
  <c r="CG42" i="25" s="1"/>
  <c r="CJ42" i="25" s="1"/>
  <c r="CE93" i="25"/>
  <c r="CH93" i="25" s="1"/>
  <c r="CI93" i="25" s="1"/>
  <c r="CE73" i="25"/>
  <c r="CH73" i="25" s="1"/>
  <c r="CI73" i="25" s="1"/>
  <c r="CB14" i="25"/>
  <c r="CF14" i="25" s="1"/>
  <c r="CG14" i="25" s="1"/>
  <c r="CJ14" i="25" s="1"/>
  <c r="CE14" i="25"/>
  <c r="CH14" i="25" s="1"/>
  <c r="CI14" i="25" s="1"/>
  <c r="CB380" i="25"/>
  <c r="CF380" i="25" s="1"/>
  <c r="CG380" i="25" s="1"/>
  <c r="CJ380" i="25" s="1"/>
  <c r="CE380" i="25"/>
  <c r="CH380" i="25" s="1"/>
  <c r="CI380" i="25" s="1"/>
  <c r="CE328" i="25"/>
  <c r="CH328" i="25" s="1"/>
  <c r="CI328" i="25" s="1"/>
  <c r="CB328" i="25"/>
  <c r="CF328" i="25" s="1"/>
  <c r="CG328" i="25" s="1"/>
  <c r="CJ328" i="25" s="1"/>
  <c r="CE27" i="25"/>
  <c r="CH27" i="25" s="1"/>
  <c r="CI27" i="25" s="1"/>
  <c r="CB27" i="25"/>
  <c r="CF27" i="25" s="1"/>
  <c r="CG27" i="25" s="1"/>
  <c r="CJ27" i="25" s="1"/>
  <c r="CE509" i="25"/>
  <c r="CH509" i="25" s="1"/>
  <c r="CI509" i="25" s="1"/>
  <c r="CB509" i="25"/>
  <c r="CF509" i="25" s="1"/>
  <c r="CG509" i="25" s="1"/>
  <c r="CJ509" i="25" s="1"/>
  <c r="CE530" i="25"/>
  <c r="CH530" i="25" s="1"/>
  <c r="CI530" i="25" s="1"/>
  <c r="CB530" i="25"/>
  <c r="CF530" i="25" s="1"/>
  <c r="CG530" i="25" s="1"/>
  <c r="CJ530" i="25" s="1"/>
  <c r="CB514" i="25"/>
  <c r="CF514" i="25" s="1"/>
  <c r="CG514" i="25" s="1"/>
  <c r="CJ514" i="25" s="1"/>
  <c r="CE514" i="25"/>
  <c r="CH514" i="25" s="1"/>
  <c r="CI514" i="25" s="1"/>
  <c r="CE389" i="25"/>
  <c r="CH389" i="25" s="1"/>
  <c r="CI389" i="25" s="1"/>
  <c r="CB389" i="25"/>
  <c r="CF389" i="25" s="1"/>
  <c r="CG389" i="25" s="1"/>
  <c r="CJ389" i="25" s="1"/>
  <c r="CB375" i="25"/>
  <c r="CF375" i="25" s="1"/>
  <c r="CG375" i="25" s="1"/>
  <c r="CJ375" i="25" s="1"/>
  <c r="CE375" i="25"/>
  <c r="CH375" i="25" s="1"/>
  <c r="CI375" i="25" s="1"/>
  <c r="CB371" i="25"/>
  <c r="CF371" i="25" s="1"/>
  <c r="CG371" i="25" s="1"/>
  <c r="CJ371" i="25" s="1"/>
  <c r="CE371" i="25"/>
  <c r="CH371" i="25" s="1"/>
  <c r="CI371" i="25" s="1"/>
  <c r="CB365" i="25"/>
  <c r="CF365" i="25" s="1"/>
  <c r="CG365" i="25" s="1"/>
  <c r="CJ365" i="25" s="1"/>
  <c r="CE365" i="25"/>
  <c r="CH365" i="25" s="1"/>
  <c r="CI365" i="25" s="1"/>
  <c r="CF374" i="25"/>
  <c r="CG374" i="25" s="1"/>
  <c r="CJ374" i="25" s="1"/>
  <c r="CB329" i="25"/>
  <c r="CF329" i="25" s="1"/>
  <c r="CG329" i="25" s="1"/>
  <c r="CJ329" i="25" s="1"/>
  <c r="CE329" i="25"/>
  <c r="CH329" i="25" s="1"/>
  <c r="CI329" i="25" s="1"/>
  <c r="CE356" i="25"/>
  <c r="CH356" i="25" s="1"/>
  <c r="CI356" i="25" s="1"/>
  <c r="CE376" i="25"/>
  <c r="CH376" i="25" s="1"/>
  <c r="CI376" i="25" s="1"/>
  <c r="CE336" i="25"/>
  <c r="CH336" i="25" s="1"/>
  <c r="CI336" i="25" s="1"/>
  <c r="CF289" i="25"/>
  <c r="CG289" i="25" s="1"/>
  <c r="CJ289" i="25" s="1"/>
  <c r="CE299" i="25"/>
  <c r="CH299" i="25" s="1"/>
  <c r="CI299" i="25" s="1"/>
  <c r="CB284" i="25"/>
  <c r="CF284" i="25" s="1"/>
  <c r="CG284" i="25" s="1"/>
  <c r="CJ284" i="25" s="1"/>
  <c r="CE284" i="25"/>
  <c r="CH284" i="25" s="1"/>
  <c r="CI284" i="25" s="1"/>
  <c r="CB280" i="25"/>
  <c r="CF280" i="25" s="1"/>
  <c r="CG280" i="25" s="1"/>
  <c r="CJ280" i="25" s="1"/>
  <c r="CE280" i="25"/>
  <c r="CH280" i="25" s="1"/>
  <c r="CI280" i="25" s="1"/>
  <c r="CF268" i="25"/>
  <c r="CG268" i="25" s="1"/>
  <c r="CJ268" i="25" s="1"/>
  <c r="CE289" i="25"/>
  <c r="CH289" i="25" s="1"/>
  <c r="CI289" i="25" s="1"/>
  <c r="CF265" i="25"/>
  <c r="CG265" i="25" s="1"/>
  <c r="CJ265" i="25" s="1"/>
  <c r="CE238" i="25"/>
  <c r="CH238" i="25" s="1"/>
  <c r="CI238" i="25" s="1"/>
  <c r="CB238" i="25"/>
  <c r="CF238" i="25" s="1"/>
  <c r="CG238" i="25" s="1"/>
  <c r="CJ238" i="25" s="1"/>
  <c r="CE185" i="25"/>
  <c r="CH185" i="25" s="1"/>
  <c r="CI185" i="25" s="1"/>
  <c r="CB185" i="25"/>
  <c r="CF185" i="25" s="1"/>
  <c r="CG185" i="25" s="1"/>
  <c r="CJ185" i="25" s="1"/>
  <c r="CE192" i="25"/>
  <c r="CH192" i="25" s="1"/>
  <c r="CI192" i="25" s="1"/>
  <c r="CF128" i="25"/>
  <c r="CG128" i="25" s="1"/>
  <c r="CJ128" i="25" s="1"/>
  <c r="CE157" i="25"/>
  <c r="CH157" i="25" s="1"/>
  <c r="CI157" i="25" s="1"/>
  <c r="CB157" i="25"/>
  <c r="CF157" i="25" s="1"/>
  <c r="CG157" i="25" s="1"/>
  <c r="CJ157" i="25" s="1"/>
  <c r="CE141" i="25"/>
  <c r="CH141" i="25" s="1"/>
  <c r="CI141" i="25" s="1"/>
  <c r="CB141" i="25"/>
  <c r="CF141" i="25" s="1"/>
  <c r="CG141" i="25" s="1"/>
  <c r="CJ141" i="25" s="1"/>
  <c r="CE126" i="25"/>
  <c r="CH126" i="25" s="1"/>
  <c r="CI126" i="25" s="1"/>
  <c r="CB126" i="25"/>
  <c r="CF126" i="25" s="1"/>
  <c r="CG126" i="25" s="1"/>
  <c r="CJ126" i="25" s="1"/>
  <c r="CE194" i="25"/>
  <c r="CH194" i="25" s="1"/>
  <c r="CI194" i="25" s="1"/>
  <c r="CB163" i="25"/>
  <c r="CF163" i="25" s="1"/>
  <c r="CG163" i="25" s="1"/>
  <c r="CJ163" i="25" s="1"/>
  <c r="CE163" i="25"/>
  <c r="CH163" i="25" s="1"/>
  <c r="CI163" i="25" s="1"/>
  <c r="CE166" i="25"/>
  <c r="CH166" i="25" s="1"/>
  <c r="CI166" i="25" s="1"/>
  <c r="CE124" i="25"/>
  <c r="CH124" i="25" s="1"/>
  <c r="CI124" i="25" s="1"/>
  <c r="CB94" i="25"/>
  <c r="CF94" i="25" s="1"/>
  <c r="CG94" i="25" s="1"/>
  <c r="CJ94" i="25" s="1"/>
  <c r="CE94" i="25"/>
  <c r="CH94" i="25" s="1"/>
  <c r="CI94" i="25" s="1"/>
  <c r="CE147" i="25"/>
  <c r="CH147" i="25" s="1"/>
  <c r="CI147" i="25" s="1"/>
  <c r="CB125" i="25"/>
  <c r="CF125" i="25" s="1"/>
  <c r="CG125" i="25" s="1"/>
  <c r="CJ125" i="25" s="1"/>
  <c r="CE125" i="25"/>
  <c r="CH125" i="25" s="1"/>
  <c r="CI125" i="25" s="1"/>
  <c r="CE253" i="25"/>
  <c r="CH253" i="25" s="1"/>
  <c r="CI253" i="25" s="1"/>
  <c r="CE85" i="25"/>
  <c r="CH85" i="25" s="1"/>
  <c r="CI85" i="25" s="1"/>
  <c r="CE95" i="25"/>
  <c r="CH95" i="25" s="1"/>
  <c r="CI95" i="25" s="1"/>
  <c r="CE34" i="25"/>
  <c r="CH34" i="25" s="1"/>
  <c r="CI34" i="25" s="1"/>
  <c r="CB34" i="25"/>
  <c r="CF34" i="25" s="1"/>
  <c r="CG34" i="25" s="1"/>
  <c r="CJ34" i="25" s="1"/>
  <c r="CE22" i="25"/>
  <c r="CH22" i="25" s="1"/>
  <c r="CI22" i="25" s="1"/>
  <c r="CB22" i="25"/>
  <c r="CF22" i="25" s="1"/>
  <c r="CG22" i="25" s="1"/>
  <c r="CJ22" i="25" s="1"/>
  <c r="CE72" i="25"/>
  <c r="CH72" i="25" s="1"/>
  <c r="CI72" i="25" s="1"/>
  <c r="CB72" i="25"/>
  <c r="CF72" i="25" s="1"/>
  <c r="CG72" i="25" s="1"/>
  <c r="CJ72" i="25" s="1"/>
  <c r="CE58" i="25"/>
  <c r="CH58" i="25" s="1"/>
  <c r="CI58" i="25" s="1"/>
  <c r="CB58" i="25"/>
  <c r="CF58" i="25" s="1"/>
  <c r="CG58" i="25" s="1"/>
  <c r="CJ58" i="25" s="1"/>
  <c r="CE41" i="25"/>
  <c r="CH41" i="25" s="1"/>
  <c r="CI41" i="25" s="1"/>
  <c r="CE337" i="25"/>
  <c r="CH337" i="25" s="1"/>
  <c r="CI337" i="25" s="1"/>
  <c r="CB337" i="25"/>
  <c r="CF337" i="25" s="1"/>
  <c r="CG337" i="25" s="1"/>
  <c r="CJ337" i="25" s="1"/>
  <c r="CE535" i="25"/>
  <c r="CH535" i="25" s="1"/>
  <c r="CI535" i="25" s="1"/>
  <c r="CB535" i="25"/>
  <c r="CF535" i="25" s="1"/>
  <c r="CG535" i="25" s="1"/>
  <c r="CJ535" i="25" s="1"/>
  <c r="CF386" i="25"/>
  <c r="CG386" i="25" s="1"/>
  <c r="CJ386" i="25" s="1"/>
  <c r="CE520" i="25"/>
  <c r="CH520" i="25" s="1"/>
  <c r="CI520" i="25" s="1"/>
  <c r="CB373" i="25"/>
  <c r="CF373" i="25" s="1"/>
  <c r="CG373" i="25" s="1"/>
  <c r="CJ373" i="25" s="1"/>
  <c r="CE373" i="25"/>
  <c r="CH373" i="25" s="1"/>
  <c r="CI373" i="25" s="1"/>
  <c r="CF370" i="25"/>
  <c r="CG370" i="25" s="1"/>
  <c r="CJ370" i="25" s="1"/>
  <c r="CF356" i="25"/>
  <c r="CG356" i="25" s="1"/>
  <c r="CJ356" i="25" s="1"/>
  <c r="CB350" i="25"/>
  <c r="CF350" i="25" s="1"/>
  <c r="CG350" i="25" s="1"/>
  <c r="CJ350" i="25" s="1"/>
  <c r="CE350" i="25"/>
  <c r="CH350" i="25" s="1"/>
  <c r="CI350" i="25" s="1"/>
  <c r="CE309" i="25"/>
  <c r="CH309" i="25" s="1"/>
  <c r="CI309" i="25" s="1"/>
  <c r="CB309" i="25"/>
  <c r="CF309" i="25" s="1"/>
  <c r="CG309" i="25" s="1"/>
  <c r="CJ309" i="25" s="1"/>
  <c r="CE301" i="25"/>
  <c r="CH301" i="25" s="1"/>
  <c r="CI301" i="25" s="1"/>
  <c r="CB301" i="25"/>
  <c r="CF301" i="25" s="1"/>
  <c r="CG301" i="25" s="1"/>
  <c r="CJ301" i="25" s="1"/>
  <c r="CE316" i="25"/>
  <c r="CH316" i="25" s="1"/>
  <c r="CI316" i="25" s="1"/>
  <c r="CE311" i="25"/>
  <c r="CH311" i="25" s="1"/>
  <c r="CI311" i="25" s="1"/>
  <c r="CE277" i="25"/>
  <c r="CH277" i="25" s="1"/>
  <c r="CI277" i="25" s="1"/>
  <c r="CB277" i="25"/>
  <c r="CF277" i="25" s="1"/>
  <c r="CG277" i="25" s="1"/>
  <c r="CJ277" i="25" s="1"/>
  <c r="CB250" i="25"/>
  <c r="CF250" i="25" s="1"/>
  <c r="CG250" i="25" s="1"/>
  <c r="CJ250" i="25" s="1"/>
  <c r="CE250" i="25"/>
  <c r="CH250" i="25" s="1"/>
  <c r="CI250" i="25" s="1"/>
  <c r="CB222" i="25"/>
  <c r="CF222" i="25" s="1"/>
  <c r="CG222" i="25" s="1"/>
  <c r="CJ222" i="25" s="1"/>
  <c r="CE222" i="25"/>
  <c r="CH222" i="25" s="1"/>
  <c r="CI222" i="25" s="1"/>
  <c r="CE201" i="25"/>
  <c r="CH201" i="25" s="1"/>
  <c r="CI201" i="25" s="1"/>
  <c r="CB201" i="25"/>
  <c r="CF201" i="25" s="1"/>
  <c r="CG201" i="25" s="1"/>
  <c r="CJ201" i="25" s="1"/>
  <c r="CE198" i="25"/>
  <c r="CH198" i="25" s="1"/>
  <c r="CI198" i="25" s="1"/>
  <c r="CE208" i="25"/>
  <c r="CH208" i="25" s="1"/>
  <c r="CI208" i="25" s="1"/>
  <c r="CE161" i="25"/>
  <c r="CH161" i="25" s="1"/>
  <c r="CI161" i="25" s="1"/>
  <c r="CB161" i="25"/>
  <c r="CF161" i="25" s="1"/>
  <c r="CG161" i="25" s="1"/>
  <c r="CJ161" i="25" s="1"/>
  <c r="CF124" i="25"/>
  <c r="CG124" i="25" s="1"/>
  <c r="CJ124" i="25" s="1"/>
  <c r="CE202" i="25"/>
  <c r="CH202" i="25" s="1"/>
  <c r="CI202" i="25" s="1"/>
  <c r="CE186" i="25"/>
  <c r="CH186" i="25" s="1"/>
  <c r="CI186" i="25" s="1"/>
  <c r="CE122" i="25"/>
  <c r="CH122" i="25" s="1"/>
  <c r="CI122" i="25" s="1"/>
  <c r="CB122" i="25"/>
  <c r="CF122" i="25" s="1"/>
  <c r="CG122" i="25" s="1"/>
  <c r="CJ122" i="25" s="1"/>
  <c r="CF93" i="25"/>
  <c r="CG93" i="25" s="1"/>
  <c r="CJ93" i="25" s="1"/>
  <c r="CF174" i="25"/>
  <c r="CG174" i="25" s="1"/>
  <c r="CJ174" i="25" s="1"/>
  <c r="CE155" i="25"/>
  <c r="CH155" i="25" s="1"/>
  <c r="CI155" i="25" s="1"/>
  <c r="CE123" i="25"/>
  <c r="CH123" i="25" s="1"/>
  <c r="CI123" i="25" s="1"/>
  <c r="CE69" i="25"/>
  <c r="CH69" i="25" s="1"/>
  <c r="CI69" i="25" s="1"/>
  <c r="CE89" i="25"/>
  <c r="CH89" i="25" s="1"/>
  <c r="CI89" i="25" s="1"/>
  <c r="CE29" i="25"/>
  <c r="CH29" i="25" s="1"/>
  <c r="CI29" i="25" s="1"/>
  <c r="CE66" i="25"/>
  <c r="CH66" i="25" s="1"/>
  <c r="CI66" i="25" s="1"/>
  <c r="CE28" i="25"/>
  <c r="CH28" i="25" s="1"/>
  <c r="CI28" i="25" s="1"/>
  <c r="CE13" i="25"/>
  <c r="CH13" i="25" s="1"/>
  <c r="CI13" i="25" s="1"/>
  <c r="CB140" i="25"/>
  <c r="CF140" i="25" s="1"/>
  <c r="CG140" i="25" s="1"/>
  <c r="CJ140" i="25" s="1"/>
  <c r="CE140" i="25"/>
  <c r="CH140" i="25" s="1"/>
  <c r="CI140" i="25" s="1"/>
  <c r="CE76" i="25"/>
  <c r="CH76" i="25" s="1"/>
  <c r="CI76" i="25" s="1"/>
  <c r="CB76" i="25"/>
  <c r="CF76" i="25" s="1"/>
  <c r="CG76" i="25" s="1"/>
  <c r="CJ76" i="25" s="1"/>
  <c r="CB540" i="25"/>
  <c r="CF540" i="25" s="1"/>
  <c r="CG540" i="25" s="1"/>
  <c r="CJ540" i="25" s="1"/>
  <c r="CE540" i="25"/>
  <c r="CH540" i="25" s="1"/>
  <c r="CI540" i="25" s="1"/>
  <c r="CE531" i="25"/>
  <c r="CH531" i="25" s="1"/>
  <c r="CI531" i="25" s="1"/>
  <c r="CB531" i="25"/>
  <c r="CF531" i="25" s="1"/>
  <c r="CG531" i="25" s="1"/>
  <c r="CJ531" i="25" s="1"/>
  <c r="CE505" i="25"/>
  <c r="CH505" i="25" s="1"/>
  <c r="CI505" i="25" s="1"/>
  <c r="CB505" i="25"/>
  <c r="CF505" i="25" s="1"/>
  <c r="CG505" i="25" s="1"/>
  <c r="CJ505" i="25" s="1"/>
  <c r="CB325" i="25"/>
  <c r="CF325" i="25" s="1"/>
  <c r="CG325" i="25" s="1"/>
  <c r="CJ325" i="25" s="1"/>
  <c r="CE325" i="25"/>
  <c r="CH325" i="25" s="1"/>
  <c r="CI325" i="25" s="1"/>
  <c r="CB354" i="25"/>
  <c r="CF354" i="25" s="1"/>
  <c r="CG354" i="25" s="1"/>
  <c r="CJ354" i="25" s="1"/>
  <c r="CE354" i="25"/>
  <c r="CH354" i="25" s="1"/>
  <c r="CI354" i="25" s="1"/>
  <c r="CE341" i="25"/>
  <c r="CH341" i="25" s="1"/>
  <c r="CI341" i="25" s="1"/>
  <c r="CB341" i="25"/>
  <c r="CF341" i="25" s="1"/>
  <c r="CG341" i="25" s="1"/>
  <c r="CJ341" i="25" s="1"/>
  <c r="CE332" i="25"/>
  <c r="CH332" i="25" s="1"/>
  <c r="CI332" i="25" s="1"/>
  <c r="CB332" i="25"/>
  <c r="CF332" i="25" s="1"/>
  <c r="CG332" i="25" s="1"/>
  <c r="CJ332" i="25" s="1"/>
  <c r="CE323" i="25"/>
  <c r="CH323" i="25" s="1"/>
  <c r="CI323" i="25" s="1"/>
  <c r="CE300" i="25"/>
  <c r="CH300" i="25" s="1"/>
  <c r="CI300" i="25" s="1"/>
  <c r="CE292" i="25"/>
  <c r="CH292" i="25" s="1"/>
  <c r="CI292" i="25" s="1"/>
  <c r="CB292" i="25"/>
  <c r="CF292" i="25" s="1"/>
  <c r="CG292" i="25" s="1"/>
  <c r="CJ292" i="25" s="1"/>
  <c r="CE308" i="25"/>
  <c r="CH308" i="25" s="1"/>
  <c r="CI308" i="25" s="1"/>
  <c r="CB266" i="25"/>
  <c r="CF266" i="25" s="1"/>
  <c r="CG266" i="25" s="1"/>
  <c r="CJ266" i="25" s="1"/>
  <c r="CE266" i="25"/>
  <c r="CH266" i="25" s="1"/>
  <c r="CI266" i="25" s="1"/>
  <c r="CE294" i="25"/>
  <c r="CH294" i="25" s="1"/>
  <c r="CI294" i="25" s="1"/>
  <c r="CB294" i="25"/>
  <c r="CF294" i="25" s="1"/>
  <c r="CG294" i="25" s="1"/>
  <c r="CJ294" i="25" s="1"/>
  <c r="CE243" i="25"/>
  <c r="CH243" i="25" s="1"/>
  <c r="CI243" i="25" s="1"/>
  <c r="CB243" i="25"/>
  <c r="CF243" i="25" s="1"/>
  <c r="CG243" i="25" s="1"/>
  <c r="CJ243" i="25" s="1"/>
  <c r="CF279" i="25"/>
  <c r="CG279" i="25" s="1"/>
  <c r="CJ279" i="25" s="1"/>
  <c r="CE242" i="25"/>
  <c r="CH242" i="25" s="1"/>
  <c r="CI242" i="25" s="1"/>
  <c r="CB241" i="25"/>
  <c r="CF241" i="25" s="1"/>
  <c r="CG241" i="25" s="1"/>
  <c r="CJ241" i="25" s="1"/>
  <c r="CE241" i="25"/>
  <c r="CH241" i="25" s="1"/>
  <c r="CI241" i="25" s="1"/>
  <c r="CB230" i="25"/>
  <c r="CF230" i="25" s="1"/>
  <c r="CG230" i="25" s="1"/>
  <c r="CJ230" i="25" s="1"/>
  <c r="CE230" i="25"/>
  <c r="CH230" i="25" s="1"/>
  <c r="CI230" i="25" s="1"/>
  <c r="CE179" i="25"/>
  <c r="CH179" i="25" s="1"/>
  <c r="CI179" i="25" s="1"/>
  <c r="CB179" i="25"/>
  <c r="CF179" i="25" s="1"/>
  <c r="CG179" i="25" s="1"/>
  <c r="CJ179" i="25" s="1"/>
  <c r="CE180" i="25"/>
  <c r="CH180" i="25" s="1"/>
  <c r="CI180" i="25" s="1"/>
  <c r="CE153" i="25"/>
  <c r="CH153" i="25" s="1"/>
  <c r="CI153" i="25" s="1"/>
  <c r="CB153" i="25"/>
  <c r="CF153" i="25" s="1"/>
  <c r="CG153" i="25" s="1"/>
  <c r="CJ153" i="25" s="1"/>
  <c r="CE137" i="25"/>
  <c r="CH137" i="25" s="1"/>
  <c r="CI137" i="25" s="1"/>
  <c r="CB137" i="25"/>
  <c r="CF137" i="25" s="1"/>
  <c r="CG137" i="25" s="1"/>
  <c r="CJ137" i="25" s="1"/>
  <c r="CE162" i="25"/>
  <c r="CH162" i="25" s="1"/>
  <c r="CI162" i="25" s="1"/>
  <c r="CB118" i="25"/>
  <c r="CF118" i="25" s="1"/>
  <c r="CG118" i="25" s="1"/>
  <c r="CJ118" i="25" s="1"/>
  <c r="CE118" i="25"/>
  <c r="CH118" i="25" s="1"/>
  <c r="CI118" i="25" s="1"/>
  <c r="CB90" i="25"/>
  <c r="CF90" i="25" s="1"/>
  <c r="CG90" i="25" s="1"/>
  <c r="CJ90" i="25" s="1"/>
  <c r="CE90" i="25"/>
  <c r="CH90" i="25" s="1"/>
  <c r="CI90" i="25" s="1"/>
  <c r="CB133" i="25"/>
  <c r="CF133" i="25" s="1"/>
  <c r="CG133" i="25" s="1"/>
  <c r="CJ133" i="25" s="1"/>
  <c r="CE133" i="25"/>
  <c r="CH133" i="25" s="1"/>
  <c r="CI133" i="25" s="1"/>
  <c r="CE74" i="25"/>
  <c r="CH74" i="25" s="1"/>
  <c r="CI74" i="25" s="1"/>
  <c r="CB74" i="25"/>
  <c r="CF74" i="25" s="1"/>
  <c r="CG74" i="25" s="1"/>
  <c r="CJ74" i="25" s="1"/>
  <c r="CE24" i="25"/>
  <c r="CH24" i="25" s="1"/>
  <c r="CI24" i="25" s="1"/>
  <c r="CE11" i="25"/>
  <c r="CH11" i="25" s="1"/>
  <c r="CI11" i="25" s="1"/>
  <c r="CB11" i="25"/>
  <c r="CF11" i="25" s="1"/>
  <c r="CG11" i="25" s="1"/>
  <c r="CJ11" i="25" s="1"/>
  <c r="CE32" i="25"/>
  <c r="CH32" i="25" s="1"/>
  <c r="CI32" i="25" s="1"/>
  <c r="CE322" i="25"/>
  <c r="CH322" i="25" s="1"/>
  <c r="CI322" i="25" s="1"/>
  <c r="CB322" i="25"/>
  <c r="CF322" i="25" s="1"/>
  <c r="CG322" i="25" s="1"/>
  <c r="CJ322" i="25" s="1"/>
  <c r="CE345" i="25"/>
  <c r="CH345" i="25" s="1"/>
  <c r="CI345" i="25" s="1"/>
  <c r="CB345" i="25"/>
  <c r="CF345" i="25" s="1"/>
  <c r="CG345" i="25" s="1"/>
  <c r="CJ345" i="25" s="1"/>
  <c r="CE130" i="25"/>
  <c r="CH130" i="25" s="1"/>
  <c r="CI130" i="25" s="1"/>
  <c r="CB130" i="25"/>
  <c r="CF130" i="25" s="1"/>
  <c r="CG130" i="25" s="1"/>
  <c r="CJ130" i="25" s="1"/>
  <c r="CE132" i="25"/>
  <c r="CH132" i="25" s="1"/>
  <c r="CI132" i="25" s="1"/>
  <c r="CE523" i="25"/>
  <c r="CH523" i="25" s="1"/>
  <c r="CI523" i="25" s="1"/>
  <c r="CB523" i="25"/>
  <c r="CF523" i="25" s="1"/>
  <c r="CG523" i="25" s="1"/>
  <c r="CJ523" i="25" s="1"/>
  <c r="CB536" i="25"/>
  <c r="CF536" i="25" s="1"/>
  <c r="CG536" i="25" s="1"/>
  <c r="CJ536" i="25" s="1"/>
  <c r="CE536" i="25"/>
  <c r="CH536" i="25" s="1"/>
  <c r="CI536" i="25" s="1"/>
  <c r="CE537" i="25"/>
  <c r="CH537" i="25" s="1"/>
  <c r="CI537" i="25" s="1"/>
  <c r="CB537" i="25"/>
  <c r="CF537" i="25" s="1"/>
  <c r="CG537" i="25" s="1"/>
  <c r="CJ537" i="25" s="1"/>
  <c r="CE386" i="25"/>
  <c r="CH386" i="25" s="1"/>
  <c r="CI386" i="25" s="1"/>
  <c r="CB360" i="25"/>
  <c r="CF360" i="25" s="1"/>
  <c r="CG360" i="25" s="1"/>
  <c r="CJ360" i="25" s="1"/>
  <c r="CE360" i="25"/>
  <c r="CH360" i="25" s="1"/>
  <c r="CI360" i="25" s="1"/>
  <c r="CE368" i="25"/>
  <c r="CH368" i="25" s="1"/>
  <c r="CI368" i="25" s="1"/>
  <c r="CB368" i="25"/>
  <c r="CF368" i="25" s="1"/>
  <c r="CG368" i="25" s="1"/>
  <c r="CJ368" i="25" s="1"/>
  <c r="CB346" i="25"/>
  <c r="CF346" i="25" s="1"/>
  <c r="CG346" i="25" s="1"/>
  <c r="CJ346" i="25" s="1"/>
  <c r="CE346" i="25"/>
  <c r="CH346" i="25" s="1"/>
  <c r="CI346" i="25" s="1"/>
  <c r="CB338" i="25"/>
  <c r="CF338" i="25" s="1"/>
  <c r="CG338" i="25" s="1"/>
  <c r="CJ338" i="25" s="1"/>
  <c r="CE338" i="25"/>
  <c r="CH338" i="25" s="1"/>
  <c r="CI338" i="25" s="1"/>
  <c r="CE321" i="25"/>
  <c r="CH321" i="25" s="1"/>
  <c r="CI321" i="25" s="1"/>
  <c r="CB321" i="25"/>
  <c r="CF321" i="25" s="1"/>
  <c r="CG321" i="25" s="1"/>
  <c r="CJ321" i="25" s="1"/>
  <c r="CF340" i="25"/>
  <c r="CG340" i="25" s="1"/>
  <c r="CJ340" i="25" s="1"/>
  <c r="CE297" i="25"/>
  <c r="CH297" i="25" s="1"/>
  <c r="CI297" i="25" s="1"/>
  <c r="CB297" i="25"/>
  <c r="CF297" i="25" s="1"/>
  <c r="CG297" i="25" s="1"/>
  <c r="CJ297" i="25" s="1"/>
  <c r="CE340" i="25"/>
  <c r="CH340" i="25" s="1"/>
  <c r="CI340" i="25" s="1"/>
  <c r="CE312" i="25"/>
  <c r="CH312" i="25" s="1"/>
  <c r="CI312" i="25" s="1"/>
  <c r="CE304" i="25"/>
  <c r="CH304" i="25" s="1"/>
  <c r="CI304" i="25" s="1"/>
  <c r="CE273" i="25"/>
  <c r="CH273" i="25" s="1"/>
  <c r="CI273" i="25" s="1"/>
  <c r="CB273" i="25"/>
  <c r="CF273" i="25" s="1"/>
  <c r="CG273" i="25" s="1"/>
  <c r="CJ273" i="25" s="1"/>
  <c r="CE283" i="25"/>
  <c r="CH283" i="25" s="1"/>
  <c r="CI283" i="25" s="1"/>
  <c r="CB262" i="25"/>
  <c r="CF262" i="25" s="1"/>
  <c r="CG262" i="25" s="1"/>
  <c r="CJ262" i="25" s="1"/>
  <c r="CE262" i="25"/>
  <c r="CH262" i="25" s="1"/>
  <c r="CI262" i="25" s="1"/>
  <c r="CB246" i="25"/>
  <c r="CF246" i="25" s="1"/>
  <c r="CG246" i="25" s="1"/>
  <c r="CJ246" i="25" s="1"/>
  <c r="CE246" i="25"/>
  <c r="CH246" i="25" s="1"/>
  <c r="CI246" i="25" s="1"/>
  <c r="CB276" i="25"/>
  <c r="CF276" i="25" s="1"/>
  <c r="CG276" i="25" s="1"/>
  <c r="CJ276" i="25" s="1"/>
  <c r="CE276" i="25"/>
  <c r="CH276" i="25" s="1"/>
  <c r="CI276" i="25" s="1"/>
  <c r="CE287" i="25"/>
  <c r="CH287" i="25" s="1"/>
  <c r="CI287" i="25" s="1"/>
  <c r="CE268" i="25"/>
  <c r="CH268" i="25" s="1"/>
  <c r="CI268" i="25" s="1"/>
  <c r="CE229" i="25"/>
  <c r="CH229" i="25" s="1"/>
  <c r="CI229" i="25" s="1"/>
  <c r="CE237" i="25"/>
  <c r="CH237" i="25" s="1"/>
  <c r="CI237" i="25" s="1"/>
  <c r="CE225" i="25"/>
  <c r="CH225" i="25" s="1"/>
  <c r="CI225" i="25" s="1"/>
  <c r="CF204" i="25"/>
  <c r="CG204" i="25" s="1"/>
  <c r="CJ204" i="25" s="1"/>
  <c r="CE197" i="25"/>
  <c r="CH197" i="25" s="1"/>
  <c r="CI197" i="25" s="1"/>
  <c r="CB197" i="25"/>
  <c r="CF197" i="25" s="1"/>
  <c r="CG197" i="25" s="1"/>
  <c r="CJ197" i="25" s="1"/>
  <c r="CE190" i="25"/>
  <c r="CH190" i="25" s="1"/>
  <c r="CI190" i="25" s="1"/>
  <c r="CB190" i="25"/>
  <c r="CF190" i="25" s="1"/>
  <c r="CG190" i="25" s="1"/>
  <c r="CJ190" i="25" s="1"/>
  <c r="CF170" i="25"/>
  <c r="CG170" i="25" s="1"/>
  <c r="CJ170" i="25" s="1"/>
  <c r="CB136" i="25"/>
  <c r="CF136" i="25" s="1"/>
  <c r="CG136" i="25" s="1"/>
  <c r="CJ136" i="25" s="1"/>
  <c r="CE136" i="25"/>
  <c r="CH136" i="25" s="1"/>
  <c r="CI136" i="25" s="1"/>
  <c r="CB102" i="25"/>
  <c r="CF102" i="25" s="1"/>
  <c r="CG102" i="25" s="1"/>
  <c r="CJ102" i="25" s="1"/>
  <c r="CE102" i="25"/>
  <c r="CH102" i="25" s="1"/>
  <c r="CI102" i="25" s="1"/>
  <c r="CB86" i="25"/>
  <c r="CF86" i="25" s="1"/>
  <c r="CG86" i="25" s="1"/>
  <c r="CJ86" i="25" s="1"/>
  <c r="CE86" i="25"/>
  <c r="CH86" i="25" s="1"/>
  <c r="CI86" i="25" s="1"/>
  <c r="CF120" i="25"/>
  <c r="CG120" i="25" s="1"/>
  <c r="CJ120" i="25" s="1"/>
  <c r="CE116" i="25"/>
  <c r="CH116" i="25" s="1"/>
  <c r="CI116" i="25" s="1"/>
  <c r="CB129" i="25"/>
  <c r="CF129" i="25" s="1"/>
  <c r="CG129" i="25" s="1"/>
  <c r="CJ129" i="25" s="1"/>
  <c r="CE129" i="25"/>
  <c r="CH129" i="25" s="1"/>
  <c r="CI129" i="25" s="1"/>
  <c r="CE68" i="25"/>
  <c r="CH68" i="25" s="1"/>
  <c r="CI68" i="25" s="1"/>
  <c r="CB68" i="25"/>
  <c r="CF68" i="25" s="1"/>
  <c r="CG68" i="25" s="1"/>
  <c r="CJ68" i="25" s="1"/>
  <c r="CE61" i="25"/>
  <c r="CH61" i="25" s="1"/>
  <c r="CI61" i="25" s="1"/>
  <c r="CB61" i="25"/>
  <c r="CF61" i="25" s="1"/>
  <c r="CG61" i="25" s="1"/>
  <c r="CJ61" i="25" s="1"/>
  <c r="CE53" i="25"/>
  <c r="CH53" i="25" s="1"/>
  <c r="CI53" i="25" s="1"/>
  <c r="CB53" i="25"/>
  <c r="CF53" i="25" s="1"/>
  <c r="CG53" i="25" s="1"/>
  <c r="CJ53" i="25" s="1"/>
  <c r="CE38" i="25"/>
  <c r="CH38" i="25" s="1"/>
  <c r="CI38" i="25" s="1"/>
  <c r="CB38" i="25"/>
  <c r="CF38" i="25" s="1"/>
  <c r="CG38" i="25" s="1"/>
  <c r="CJ38" i="25" s="1"/>
  <c r="CE26" i="25"/>
  <c r="CH26" i="25" s="1"/>
  <c r="CI26" i="25" s="1"/>
  <c r="CB26" i="25"/>
  <c r="CF26" i="25" s="1"/>
  <c r="CG26" i="25" s="1"/>
  <c r="CJ26" i="25" s="1"/>
  <c r="CE37" i="25"/>
  <c r="CH37" i="25" s="1"/>
  <c r="CI37" i="25" s="1"/>
  <c r="CE15" i="25"/>
  <c r="CH15" i="25" s="1"/>
  <c r="CI15" i="25" s="1"/>
  <c r="CB15" i="25"/>
  <c r="CF15" i="25" s="1"/>
  <c r="CG15" i="25" s="1"/>
  <c r="CJ15" i="25" s="1"/>
  <c r="CE167" i="25"/>
  <c r="CH167" i="25" s="1"/>
  <c r="CI167" i="25" s="1"/>
  <c r="CB167" i="25"/>
  <c r="CF167" i="25" s="1"/>
  <c r="CG167" i="25" s="1"/>
  <c r="CJ167" i="25" s="1"/>
  <c r="CB63" i="25"/>
  <c r="CF63" i="25" s="1"/>
  <c r="CG63" i="25" s="1"/>
  <c r="CJ63" i="25" s="1"/>
  <c r="CE63" i="25"/>
  <c r="CH63" i="25" s="1"/>
  <c r="CI63" i="25" s="1"/>
  <c r="CB544" i="25"/>
  <c r="CF544" i="25" s="1"/>
  <c r="CG544" i="25" s="1"/>
  <c r="CJ544" i="25" s="1"/>
  <c r="CE544" i="25"/>
  <c r="CH544" i="25" s="1"/>
  <c r="CI544" i="25" s="1"/>
  <c r="CB510" i="25"/>
  <c r="CF510" i="25" s="1"/>
  <c r="CG510" i="25" s="1"/>
  <c r="CJ510" i="25" s="1"/>
  <c r="CE510" i="25"/>
  <c r="CH510" i="25" s="1"/>
  <c r="CI510" i="25" s="1"/>
  <c r="CF520" i="25"/>
  <c r="CG520" i="25" s="1"/>
  <c r="CJ520" i="25" s="1"/>
  <c r="CE372" i="25"/>
  <c r="CH372" i="25" s="1"/>
  <c r="CI372" i="25" s="1"/>
  <c r="CB372" i="25"/>
  <c r="CF372" i="25" s="1"/>
  <c r="CG372" i="25" s="1"/>
  <c r="CJ372" i="25" s="1"/>
  <c r="CE382" i="25"/>
  <c r="CH382" i="25" s="1"/>
  <c r="CI382" i="25" s="1"/>
  <c r="CE351" i="25"/>
  <c r="CH351" i="25" s="1"/>
  <c r="CI351" i="25" s="1"/>
  <c r="CB351" i="25"/>
  <c r="CF351" i="25" s="1"/>
  <c r="CG351" i="25" s="1"/>
  <c r="CJ351" i="25" s="1"/>
  <c r="CB326" i="25"/>
  <c r="CF326" i="25" s="1"/>
  <c r="CG326" i="25" s="1"/>
  <c r="CJ326" i="25" s="1"/>
  <c r="CE326" i="25"/>
  <c r="CH326" i="25" s="1"/>
  <c r="CI326" i="25" s="1"/>
  <c r="CF296" i="25"/>
  <c r="CG296" i="25" s="1"/>
  <c r="CJ296" i="25" s="1"/>
  <c r="CE313" i="25"/>
  <c r="CH313" i="25" s="1"/>
  <c r="CI313" i="25" s="1"/>
  <c r="CB313" i="25"/>
  <c r="CF313" i="25" s="1"/>
  <c r="CG313" i="25" s="1"/>
  <c r="CJ313" i="25" s="1"/>
  <c r="CE269" i="25"/>
  <c r="CH269" i="25" s="1"/>
  <c r="CI269" i="25" s="1"/>
  <c r="CB269" i="25"/>
  <c r="CF269" i="25" s="1"/>
  <c r="CG269" i="25" s="1"/>
  <c r="CJ269" i="25" s="1"/>
  <c r="CE285" i="25"/>
  <c r="CH285" i="25" s="1"/>
  <c r="CI285" i="25" s="1"/>
  <c r="CE281" i="25"/>
  <c r="CH281" i="25" s="1"/>
  <c r="CI281" i="25" s="1"/>
  <c r="CE261" i="25"/>
  <c r="CH261" i="25" s="1"/>
  <c r="CI261" i="25" s="1"/>
  <c r="CE233" i="25"/>
  <c r="CH233" i="25" s="1"/>
  <c r="CI233" i="25" s="1"/>
  <c r="CB226" i="25"/>
  <c r="CF226" i="25" s="1"/>
  <c r="CG226" i="25" s="1"/>
  <c r="CJ226" i="25" s="1"/>
  <c r="CE226" i="25"/>
  <c r="CH226" i="25" s="1"/>
  <c r="CI226" i="25" s="1"/>
  <c r="CE205" i="25"/>
  <c r="CH205" i="25" s="1"/>
  <c r="CI205" i="25" s="1"/>
  <c r="CB205" i="25"/>
  <c r="CF205" i="25" s="1"/>
  <c r="CG205" i="25" s="1"/>
  <c r="CJ205" i="25" s="1"/>
  <c r="CB184" i="25"/>
  <c r="CF184" i="25" s="1"/>
  <c r="CG184" i="25" s="1"/>
  <c r="CJ184" i="25" s="1"/>
  <c r="CE184" i="25"/>
  <c r="CH184" i="25" s="1"/>
  <c r="CI184" i="25" s="1"/>
  <c r="CE160" i="25"/>
  <c r="CH160" i="25" s="1"/>
  <c r="CI160" i="25" s="1"/>
  <c r="CE149" i="25"/>
  <c r="CH149" i="25" s="1"/>
  <c r="CI149" i="25" s="1"/>
  <c r="CB149" i="25"/>
  <c r="CF149" i="25" s="1"/>
  <c r="CG149" i="25" s="1"/>
  <c r="CJ149" i="25" s="1"/>
  <c r="CE134" i="25"/>
  <c r="CH134" i="25" s="1"/>
  <c r="CI134" i="25" s="1"/>
  <c r="CB134" i="25"/>
  <c r="CF134" i="25" s="1"/>
  <c r="CG134" i="25" s="1"/>
  <c r="CJ134" i="25" s="1"/>
  <c r="CF189" i="25"/>
  <c r="CG189" i="25" s="1"/>
  <c r="CJ189" i="25" s="1"/>
  <c r="CE183" i="25"/>
  <c r="CH183" i="25" s="1"/>
  <c r="CI183" i="25" s="1"/>
  <c r="CB114" i="25"/>
  <c r="CF114" i="25" s="1"/>
  <c r="CG114" i="25" s="1"/>
  <c r="CJ114" i="25" s="1"/>
  <c r="CE114" i="25"/>
  <c r="CH114" i="25" s="1"/>
  <c r="CI114" i="25" s="1"/>
  <c r="CB82" i="25"/>
  <c r="CF82" i="25" s="1"/>
  <c r="CG82" i="25" s="1"/>
  <c r="CJ82" i="25" s="1"/>
  <c r="CE82" i="25"/>
  <c r="CH82" i="25" s="1"/>
  <c r="CI82" i="25" s="1"/>
  <c r="CB121" i="25"/>
  <c r="CF121" i="25" s="1"/>
  <c r="CG121" i="25" s="1"/>
  <c r="CJ121" i="25" s="1"/>
  <c r="CE121" i="25"/>
  <c r="CH121" i="25" s="1"/>
  <c r="CI121" i="25" s="1"/>
  <c r="CE18" i="25"/>
  <c r="CH18" i="25" s="1"/>
  <c r="CI18" i="25" s="1"/>
  <c r="CB18" i="25"/>
  <c r="CF18" i="25" s="1"/>
  <c r="CG18" i="25" s="1"/>
  <c r="CJ18" i="25" s="1"/>
  <c r="CE79" i="25"/>
  <c r="CH79" i="25" s="1"/>
  <c r="CI79" i="25" s="1"/>
  <c r="CE109" i="25"/>
  <c r="CH109" i="25" s="1"/>
  <c r="CI109" i="25" s="1"/>
  <c r="CE25" i="25"/>
  <c r="CH25" i="25" s="1"/>
  <c r="CI25" i="25" s="1"/>
  <c r="CE36" i="25"/>
  <c r="CH36" i="25" s="1"/>
  <c r="CI36" i="25" s="1"/>
  <c r="CB459" i="25" l="1"/>
  <c r="CF459" i="25" s="1"/>
  <c r="CG459" i="25" s="1"/>
  <c r="CJ459" i="25" s="1"/>
  <c r="CE218" i="25"/>
  <c r="CH218" i="25" s="1"/>
  <c r="CI218" i="25" s="1"/>
  <c r="CE217" i="25"/>
  <c r="CH217" i="25" s="1"/>
  <c r="CI217" i="25" s="1"/>
  <c r="CE221" i="25"/>
  <c r="CH221" i="25" s="1"/>
  <c r="CI221" i="25" s="1"/>
  <c r="CB219" i="25"/>
  <c r="CF219" i="25" s="1"/>
  <c r="CG219" i="25" s="1"/>
  <c r="CJ219" i="25" s="1"/>
  <c r="CE216" i="25"/>
  <c r="CH216" i="25" s="1"/>
  <c r="CI216" i="25" s="1"/>
  <c r="CE214" i="25"/>
  <c r="CH214" i="25" s="1"/>
  <c r="CI214" i="25" s="1"/>
  <c r="CE173" i="25"/>
  <c r="CH173" i="25" s="1"/>
  <c r="CI173" i="25" s="1"/>
  <c r="CE220" i="25"/>
  <c r="CH220" i="25" s="1"/>
  <c r="CI220" i="25" s="1"/>
  <c r="CB215" i="25"/>
  <c r="CF215" i="25" s="1"/>
  <c r="CG215" i="25" s="1"/>
  <c r="CJ215"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Mee Mee Thaw</author>
    <author>BJ</author>
    <author>acer</author>
    <author>Administrator</author>
    <author>HPA-UKAID</author>
  </authors>
  <commentList>
    <comment ref="B14" authorId="0" shapeId="0" xr:uid="{95AD915F-BD7D-4EF1-9F79-6484875DC402}">
      <text>
        <r>
          <rPr>
            <b/>
            <sz val="9"/>
            <color indexed="81"/>
            <rFont val="Tahoma"/>
            <family val="2"/>
          </rPr>
          <t>Mee Mee Thaw:</t>
        </r>
        <r>
          <rPr>
            <sz val="9"/>
            <color indexed="81"/>
            <rFont val="Tahoma"/>
            <family val="2"/>
          </rPr>
          <t xml:space="preserve">
KBC, Q3</t>
        </r>
      </text>
    </comment>
    <comment ref="C14" authorId="0" shapeId="0" xr:uid="{00000000-0006-0000-0200-000004000000}">
      <text>
        <r>
          <rPr>
            <b/>
            <sz val="9"/>
            <color indexed="81"/>
            <rFont val="Tahoma"/>
            <family val="2"/>
          </rPr>
          <t>Mee Mee Thaw:</t>
        </r>
        <r>
          <rPr>
            <sz val="9"/>
            <color indexed="81"/>
            <rFont val="Tahoma"/>
            <family val="2"/>
          </rPr>
          <t xml:space="preserve">
KBC, Q3</t>
        </r>
      </text>
    </comment>
    <comment ref="B18" authorId="0" shapeId="0" xr:uid="{37C7EEA9-4909-4C3D-8B1E-7E81E3172F16}">
      <text>
        <r>
          <rPr>
            <b/>
            <sz val="9"/>
            <color indexed="81"/>
            <rFont val="Tahoma"/>
            <family val="2"/>
          </rPr>
          <t>Mee Mee Thaw:</t>
        </r>
        <r>
          <rPr>
            <sz val="9"/>
            <color indexed="81"/>
            <rFont val="Tahoma"/>
            <family val="2"/>
          </rPr>
          <t xml:space="preserve">
KBC, Q3</t>
        </r>
      </text>
    </comment>
    <comment ref="W36" authorId="1" shapeId="0" xr:uid="{8DFA7DD2-4AC7-442A-A55A-0485A307AC0D}">
      <text>
        <r>
          <rPr>
            <sz val="9"/>
            <color indexed="81"/>
            <rFont val="Tahoma"/>
            <family val="2"/>
          </rPr>
          <t xml:space="preserve">KMSS WASH;
handpump with tower
</t>
        </r>
      </text>
    </comment>
    <comment ref="BL36" authorId="1" shapeId="0" xr:uid="{92D289DF-089B-48D1-B81A-8810E71C037C}">
      <text>
        <r>
          <rPr>
            <sz val="9"/>
            <color indexed="81"/>
            <rFont val="Tahoma"/>
            <family val="2"/>
          </rPr>
          <t xml:space="preserve">WASH KMSS:
 distributed per wonmen 
(13-50age)
</t>
        </r>
      </text>
    </comment>
    <comment ref="H37" authorId="0" shapeId="0" xr:uid="{00000000-0006-0000-0200-000001000000}">
      <text>
        <r>
          <rPr>
            <b/>
            <sz val="9"/>
            <color indexed="81"/>
            <rFont val="Tahoma"/>
            <family val="2"/>
          </rPr>
          <t>Mee Mee Thaw:</t>
        </r>
        <r>
          <rPr>
            <sz val="9"/>
            <color indexed="81"/>
            <rFont val="Tahoma"/>
            <family val="2"/>
          </rPr>
          <t xml:space="preserve">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r>
      </text>
    </comment>
    <comment ref="X44" authorId="1" shapeId="0" xr:uid="{231CE53A-B0D6-4941-8FBA-2D8B40E0E900}">
      <text>
        <r>
          <rPr>
            <sz val="9"/>
            <color indexed="81"/>
            <rFont val="Tahoma"/>
            <family val="2"/>
          </rPr>
          <t xml:space="preserve">KMSS WASH;
deep tube well
</t>
        </r>
      </text>
    </comment>
    <comment ref="B47" authorId="0" shapeId="0" xr:uid="{83E6D93F-3757-4ABB-ADF8-293962A0425C}">
      <text>
        <r>
          <rPr>
            <b/>
            <sz val="9"/>
            <color indexed="81"/>
            <rFont val="Tahoma"/>
            <family val="2"/>
          </rPr>
          <t>Mee Mee Thaw:</t>
        </r>
        <r>
          <rPr>
            <sz val="9"/>
            <color indexed="81"/>
            <rFont val="Tahoma"/>
            <family val="2"/>
          </rPr>
          <t xml:space="preserve">
KBC, Q3</t>
        </r>
      </text>
    </comment>
    <comment ref="X48" authorId="1" shapeId="0" xr:uid="{777E1AB2-E8C6-4A8B-B840-1EF278847BF8}">
      <text>
        <r>
          <rPr>
            <sz val="9"/>
            <color indexed="81"/>
            <rFont val="Tahoma"/>
            <family val="2"/>
          </rPr>
          <t xml:space="preserve">KMSS WASH;
Tube well
</t>
        </r>
      </text>
    </comment>
    <comment ref="H51" authorId="0" shapeId="0" xr:uid="{00000000-0006-0000-0200-000002000000}">
      <text>
        <r>
          <rPr>
            <b/>
            <sz val="9"/>
            <color indexed="81"/>
            <rFont val="Tahoma"/>
            <family val="2"/>
          </rPr>
          <t>Mee Mee Thaw:</t>
        </r>
        <r>
          <rPr>
            <sz val="9"/>
            <color indexed="81"/>
            <rFont val="Tahoma"/>
            <family val="2"/>
          </rPr>
          <t xml:space="preserve">
Combination of BTP 1,2,3</t>
        </r>
      </text>
    </comment>
    <comment ref="AA54" authorId="1" shapeId="0" xr:uid="{4DB5EEF5-B6ED-4167-994C-F4E18FEF8F41}">
      <text>
        <r>
          <rPr>
            <sz val="9"/>
            <color indexed="81"/>
            <rFont val="Tahoma"/>
            <family val="2"/>
          </rPr>
          <t xml:space="preserve">KMSS WASH;
GFS
</t>
        </r>
      </text>
    </comment>
    <comment ref="B70" authorId="0" shapeId="0" xr:uid="{17C00B1F-40D9-4E88-B45A-0B150818C100}">
      <text>
        <r>
          <rPr>
            <b/>
            <sz val="9"/>
            <color indexed="81"/>
            <rFont val="Tahoma"/>
            <family val="2"/>
          </rPr>
          <t>Mee Mee Thaw:</t>
        </r>
        <r>
          <rPr>
            <sz val="9"/>
            <color indexed="81"/>
            <rFont val="Tahoma"/>
            <family val="2"/>
          </rPr>
          <t xml:space="preserve">
KBC, Q3</t>
        </r>
      </text>
    </comment>
    <comment ref="C70" authorId="0" shapeId="0" xr:uid="{00000000-0006-0000-0200-000005000000}">
      <text>
        <r>
          <rPr>
            <b/>
            <sz val="9"/>
            <color indexed="81"/>
            <rFont val="Tahoma"/>
            <family val="2"/>
          </rPr>
          <t>Mee Mee Thaw:</t>
        </r>
        <r>
          <rPr>
            <sz val="9"/>
            <color indexed="81"/>
            <rFont val="Tahoma"/>
            <family val="2"/>
          </rPr>
          <t xml:space="preserve">
KBC, Q3</t>
        </r>
      </text>
    </comment>
    <comment ref="X76" authorId="1" shapeId="0" xr:uid="{34E96470-387A-408F-99A9-9F3937207953}">
      <text>
        <r>
          <rPr>
            <sz val="9"/>
            <color indexed="81"/>
            <rFont val="Tahoma"/>
            <family val="2"/>
          </rPr>
          <t xml:space="preserve">KMSS WASH;
Tube well
</t>
        </r>
      </text>
    </comment>
    <comment ref="W78" authorId="2" shapeId="0" xr:uid="{24D007F8-5F30-4999-BFB8-A615CB06B9A4}">
      <text>
        <r>
          <rPr>
            <b/>
            <sz val="9"/>
            <color indexed="81"/>
            <rFont val="Tahoma"/>
            <family val="2"/>
          </rPr>
          <t>acer:</t>
        </r>
        <r>
          <rPr>
            <sz val="9"/>
            <color indexed="81"/>
            <rFont val="Tahoma"/>
            <family val="2"/>
          </rPr>
          <t xml:space="preserve">
handpump</t>
        </r>
      </text>
    </comment>
    <comment ref="H84" authorId="0" shapeId="0" xr:uid="{00000000-0006-0000-0200-000003000000}">
      <text>
        <r>
          <rPr>
            <b/>
            <sz val="9"/>
            <color indexed="81"/>
            <rFont val="Tahoma"/>
            <family val="2"/>
          </rPr>
          <t>Mee Mee Thaw:</t>
        </r>
        <r>
          <rPr>
            <sz val="9"/>
            <color indexed="81"/>
            <rFont val="Tahoma"/>
            <family val="2"/>
          </rPr>
          <t xml:space="preserve">
combination of Loi je lisu 1+2+3+4</t>
        </r>
      </text>
    </comment>
    <comment ref="C101" authorId="3" shapeId="0" xr:uid="{B6807914-A867-411A-930A-D75BE64F95CB}">
      <text>
        <r>
          <rPr>
            <b/>
            <sz val="9"/>
            <color indexed="81"/>
            <rFont val="Tahoma"/>
            <family val="2"/>
          </rPr>
          <t>Administrator:</t>
        </r>
        <r>
          <rPr>
            <sz val="9"/>
            <color indexed="81"/>
            <rFont val="Tahoma"/>
            <family val="2"/>
          </rPr>
          <t xml:space="preserve">
in Q1-2019, KMSS started covered</t>
        </r>
      </text>
    </comment>
    <comment ref="W104" authorId="2" shapeId="0" xr:uid="{788BFC40-042E-43A1-B4F6-B0EAFFD3C7F4}">
      <text>
        <r>
          <rPr>
            <b/>
            <sz val="9"/>
            <color indexed="81"/>
            <rFont val="Tahoma"/>
            <family val="2"/>
          </rPr>
          <t>acer:</t>
        </r>
        <r>
          <rPr>
            <sz val="9"/>
            <color indexed="81"/>
            <rFont val="Tahoma"/>
            <family val="2"/>
          </rPr>
          <t xml:space="preserve">
handpump</t>
        </r>
      </text>
    </comment>
    <comment ref="H143" authorId="3" shapeId="0" xr:uid="{4A73E561-B8F6-4BF9-A25B-F8A19E73E91E}">
      <text>
        <r>
          <rPr>
            <b/>
            <sz val="9"/>
            <color indexed="81"/>
            <rFont val="Tahoma"/>
            <family val="2"/>
          </rPr>
          <t>Administrator:</t>
        </r>
        <r>
          <rPr>
            <sz val="9"/>
            <color indexed="81"/>
            <rFont val="Tahoma"/>
            <family val="2"/>
          </rPr>
          <t xml:space="preserve">
this camp will be relocate and KMSS have the plan to stop WASH implementation activities on April 2019</t>
        </r>
      </text>
    </comment>
    <comment ref="B148" authorId="0" shapeId="0" xr:uid="{2CBAA3A6-C698-4AB2-BD64-51BB775DE87F}">
      <text>
        <r>
          <rPr>
            <b/>
            <sz val="9"/>
            <color indexed="81"/>
            <rFont val="Tahoma"/>
            <family val="2"/>
          </rPr>
          <t>Mee Mee Thaw:</t>
        </r>
        <r>
          <rPr>
            <sz val="9"/>
            <color indexed="81"/>
            <rFont val="Tahoma"/>
            <family val="2"/>
          </rPr>
          <t xml:space="preserve">
KBC, Q3</t>
        </r>
      </text>
    </comment>
    <comment ref="C149" authorId="3" shapeId="0" xr:uid="{35BB544C-904F-4DBB-8ABE-CDFA8525B59F}">
      <text>
        <r>
          <rPr>
            <b/>
            <sz val="9"/>
            <color indexed="81"/>
            <rFont val="Tahoma"/>
            <family val="2"/>
          </rPr>
          <t>Administrator:</t>
        </r>
        <r>
          <rPr>
            <sz val="9"/>
            <color indexed="81"/>
            <rFont val="Tahoma"/>
            <family val="2"/>
          </rPr>
          <t xml:space="preserve">
KMSS reported in Q1-2019</t>
        </r>
      </text>
    </comment>
    <comment ref="B164" authorId="0" shapeId="0" xr:uid="{20B4A0C7-95DC-45BA-8746-F89513923D32}">
      <text>
        <r>
          <rPr>
            <b/>
            <sz val="9"/>
            <color indexed="81"/>
            <rFont val="Tahoma"/>
            <family val="2"/>
          </rPr>
          <t>Mee Mee Thaw:</t>
        </r>
        <r>
          <rPr>
            <sz val="9"/>
            <color indexed="81"/>
            <rFont val="Tahoma"/>
            <family val="2"/>
          </rPr>
          <t xml:space="preserve">
KBC, Q3</t>
        </r>
      </text>
    </comment>
    <comment ref="H172" authorId="3" shapeId="0" xr:uid="{E8982B89-56A8-485C-B406-F7300B511C18}">
      <text>
        <r>
          <rPr>
            <b/>
            <sz val="9"/>
            <color indexed="81"/>
            <rFont val="Tahoma"/>
            <family val="2"/>
          </rPr>
          <t>Administrator:</t>
        </r>
        <r>
          <rPr>
            <sz val="9"/>
            <color indexed="81"/>
            <rFont val="Tahoma"/>
            <family val="2"/>
          </rPr>
          <t xml:space="preserve">
Ku Lar Te?</t>
        </r>
      </text>
    </comment>
    <comment ref="H199" authorId="3" shapeId="0" xr:uid="{E3388A27-1610-4893-8087-9B96C827ADA5}">
      <text>
        <r>
          <rPr>
            <b/>
            <sz val="9"/>
            <color indexed="81"/>
            <rFont val="Tahoma"/>
            <family val="2"/>
          </rPr>
          <t>Administrator:</t>
        </r>
        <r>
          <rPr>
            <sz val="9"/>
            <color indexed="81"/>
            <rFont val="Tahoma"/>
            <family val="2"/>
          </rPr>
          <t xml:space="preserve">
Ka Yin or Ka Nyin</t>
        </r>
      </text>
    </comment>
    <comment ref="BJ206" authorId="3" shapeId="0" xr:uid="{6C3508D8-81A9-417F-B2C0-AF2593CAD325}">
      <text>
        <r>
          <rPr>
            <b/>
            <sz val="9"/>
            <color indexed="81"/>
            <rFont val="Tahoma"/>
            <family val="2"/>
          </rPr>
          <t>Administrator:</t>
        </r>
        <r>
          <rPr>
            <sz val="9"/>
            <color indexed="81"/>
            <rFont val="Tahoma"/>
            <family val="2"/>
          </rPr>
          <t xml:space="preserve">
need to be confirmed</t>
        </r>
      </text>
    </comment>
    <comment ref="H296" authorId="3" shapeId="0" xr:uid="{EA5820C7-BA20-4FEA-90A6-ACC952EDE365}">
      <text>
        <r>
          <rPr>
            <b/>
            <sz val="9"/>
            <color indexed="81"/>
            <rFont val="Tahoma"/>
            <family val="2"/>
          </rPr>
          <t>Administrator:</t>
        </r>
        <r>
          <rPr>
            <sz val="9"/>
            <color indexed="81"/>
            <rFont val="Tahoma"/>
            <family val="2"/>
          </rPr>
          <t xml:space="preserve">
Taw Tan or Taw Kan??</t>
        </r>
      </text>
    </comment>
    <comment ref="H314" authorId="3" shapeId="0" xr:uid="{834B9D71-23B0-41A5-A563-0B42D091809C}">
      <text>
        <r>
          <rPr>
            <b/>
            <sz val="9"/>
            <color indexed="81"/>
            <rFont val="Tahoma"/>
            <family val="2"/>
          </rPr>
          <t>Administrator:</t>
        </r>
        <r>
          <rPr>
            <sz val="9"/>
            <color indexed="81"/>
            <rFont val="Tahoma"/>
            <family val="2"/>
          </rPr>
          <t xml:space="preserve">
Baw Du Pha (IDP in host families)</t>
        </r>
      </text>
    </comment>
    <comment ref="H396" authorId="3" shapeId="0" xr:uid="{2FE0CED2-C102-43FB-9C22-D83946E6AE65}">
      <text>
        <r>
          <rPr>
            <b/>
            <sz val="9"/>
            <color indexed="81"/>
            <rFont val="Tahoma"/>
            <family val="2"/>
          </rPr>
          <t>Administrator:</t>
        </r>
        <r>
          <rPr>
            <sz val="9"/>
            <color indexed="81"/>
            <rFont val="Tahoma"/>
            <family val="2"/>
          </rPr>
          <t xml:space="preserve">
VT?</t>
        </r>
      </text>
    </comment>
    <comment ref="H397" authorId="3" shapeId="0" xr:uid="{F5B558A8-9133-4B11-8679-EF79605A9CC1}">
      <text>
        <r>
          <rPr>
            <b/>
            <sz val="9"/>
            <color indexed="81"/>
            <rFont val="Tahoma"/>
            <family val="2"/>
          </rPr>
          <t>Administrator:</t>
        </r>
        <r>
          <rPr>
            <sz val="9"/>
            <color indexed="81"/>
            <rFont val="Tahoma"/>
            <family val="2"/>
          </rPr>
          <t xml:space="preserve">
VT?</t>
        </r>
      </text>
    </comment>
    <comment ref="H406" authorId="3" shapeId="0" xr:uid="{428B2370-90BA-46FA-AE94-7FFAFC53F1EA}">
      <text>
        <r>
          <rPr>
            <b/>
            <sz val="9"/>
            <color indexed="81"/>
            <rFont val="Tahoma"/>
            <family val="2"/>
          </rPr>
          <t>Administrator:</t>
        </r>
        <r>
          <rPr>
            <sz val="9"/>
            <color indexed="81"/>
            <rFont val="Tahoma"/>
            <family val="2"/>
          </rPr>
          <t xml:space="preserve">
VT? 2 Pi Pin Yin</t>
        </r>
      </text>
    </comment>
    <comment ref="H412" authorId="3" shapeId="0" xr:uid="{A388D47D-298E-4FB1-8AAD-1DBDAF381111}">
      <text>
        <r>
          <rPr>
            <b/>
            <sz val="9"/>
            <color indexed="81"/>
            <rFont val="Tahoma"/>
            <family val="2"/>
          </rPr>
          <t>Administrator:</t>
        </r>
        <r>
          <rPr>
            <sz val="9"/>
            <color indexed="81"/>
            <rFont val="Tahoma"/>
            <family val="2"/>
          </rPr>
          <t xml:space="preserve">
Sin Baw Kaing?</t>
        </r>
      </text>
    </comment>
    <comment ref="H414" authorId="3" shapeId="0" xr:uid="{8B1563A9-0727-4387-A19D-C5366DBB0859}">
      <text>
        <r>
          <rPr>
            <b/>
            <sz val="9"/>
            <color indexed="81"/>
            <rFont val="Tahoma"/>
            <family val="2"/>
          </rPr>
          <t>Administrator:</t>
        </r>
        <r>
          <rPr>
            <sz val="9"/>
            <color indexed="81"/>
            <rFont val="Tahoma"/>
            <family val="2"/>
          </rPr>
          <t xml:space="preserve">
Ywar Haung or Ywar Thit</t>
        </r>
      </text>
    </comment>
    <comment ref="H448" authorId="3" shapeId="0" xr:uid="{A9FBAFA3-B792-48B5-A2C0-4B0A4961E784}">
      <text>
        <r>
          <rPr>
            <b/>
            <sz val="9"/>
            <color indexed="81"/>
            <rFont val="Tahoma"/>
            <family val="2"/>
          </rPr>
          <t>Administrator:</t>
        </r>
        <r>
          <rPr>
            <sz val="9"/>
            <color indexed="81"/>
            <rFont val="Tahoma"/>
            <family val="2"/>
          </rPr>
          <t xml:space="preserve">
VT? 2 HPC in kyauktaw</t>
        </r>
      </text>
    </comment>
    <comment ref="H471" authorId="3" shapeId="0" xr:uid="{70DA1D8A-4EB1-4F51-9A8C-9EDA3EF81536}">
      <text>
        <r>
          <rPr>
            <b/>
            <sz val="9"/>
            <color indexed="81"/>
            <rFont val="Tahoma"/>
            <family val="2"/>
          </rPr>
          <t>Administrator:</t>
        </r>
        <r>
          <rPr>
            <sz val="9"/>
            <color indexed="81"/>
            <rFont val="Tahoma"/>
            <family val="2"/>
          </rPr>
          <t xml:space="preserve">
Ywar haung or Ywar Thit</t>
        </r>
      </text>
    </comment>
    <comment ref="B505" authorId="3" shapeId="0" xr:uid="{DE33B255-C68E-4994-9E76-BC1067F336BE}">
      <text>
        <r>
          <rPr>
            <b/>
            <sz val="9"/>
            <color indexed="81"/>
            <rFont val="Tahoma"/>
            <family val="2"/>
          </rPr>
          <t>Administrator:</t>
        </r>
        <r>
          <rPr>
            <sz val="9"/>
            <color indexed="81"/>
            <rFont val="Tahoma"/>
            <family val="2"/>
          </rPr>
          <t xml:space="preserve">
SCI, in q4 2018</t>
        </r>
      </text>
    </comment>
    <comment ref="C505" authorId="3" shapeId="0" xr:uid="{4A4B8022-684C-4B58-AB4D-A1F74D184870}">
      <text>
        <r>
          <rPr>
            <b/>
            <sz val="9"/>
            <color indexed="81"/>
            <rFont val="Tahoma"/>
            <family val="2"/>
          </rPr>
          <t>Administrator:</t>
        </r>
        <r>
          <rPr>
            <sz val="9"/>
            <color indexed="81"/>
            <rFont val="Tahoma"/>
            <family val="2"/>
          </rPr>
          <t xml:space="preserve">
SCI, in q4 2018</t>
        </r>
      </text>
    </comment>
    <comment ref="B513" authorId="3" shapeId="0" xr:uid="{74BB5BEE-2DEE-43FE-ABC3-C93E5DAA5038}">
      <text>
        <r>
          <rPr>
            <b/>
            <sz val="9"/>
            <color indexed="81"/>
            <rFont val="Tahoma"/>
            <family val="2"/>
          </rPr>
          <t>Administrator:</t>
        </r>
        <r>
          <rPr>
            <sz val="9"/>
            <color indexed="81"/>
            <rFont val="Tahoma"/>
            <family val="2"/>
          </rPr>
          <t xml:space="preserve">
SCI, in q4 2018</t>
        </r>
      </text>
    </comment>
    <comment ref="C513" authorId="3" shapeId="0" xr:uid="{C02744C0-B61B-44F5-AE7F-AA2D113CB38E}">
      <text>
        <r>
          <rPr>
            <b/>
            <sz val="9"/>
            <color indexed="81"/>
            <rFont val="Tahoma"/>
            <family val="2"/>
          </rPr>
          <t>Administrator:</t>
        </r>
        <r>
          <rPr>
            <sz val="9"/>
            <color indexed="81"/>
            <rFont val="Tahoma"/>
            <family val="2"/>
          </rPr>
          <t xml:space="preserve">
SCI, in q4 2018</t>
        </r>
      </text>
    </comment>
    <comment ref="B514" authorId="3" shapeId="0" xr:uid="{8BE38766-4F0D-47B7-AF94-07CA1697F3A8}">
      <text>
        <r>
          <rPr>
            <b/>
            <sz val="9"/>
            <color indexed="81"/>
            <rFont val="Tahoma"/>
            <family val="2"/>
          </rPr>
          <t>Administrator:</t>
        </r>
        <r>
          <rPr>
            <sz val="9"/>
            <color indexed="81"/>
            <rFont val="Tahoma"/>
            <family val="2"/>
          </rPr>
          <t xml:space="preserve">
SCI, in q4 2018</t>
        </r>
      </text>
    </comment>
    <comment ref="C514" authorId="3" shapeId="0" xr:uid="{E8E7A04F-0A26-4D5A-8BFF-0228301D06FB}">
      <text>
        <r>
          <rPr>
            <b/>
            <sz val="9"/>
            <color indexed="81"/>
            <rFont val="Tahoma"/>
            <family val="2"/>
          </rPr>
          <t>Administrator:</t>
        </r>
        <r>
          <rPr>
            <sz val="9"/>
            <color indexed="81"/>
            <rFont val="Tahoma"/>
            <family val="2"/>
          </rPr>
          <t xml:space="preserve">
SCI, in q4 2018</t>
        </r>
      </text>
    </comment>
    <comment ref="B517" authorId="3" shapeId="0" xr:uid="{F5FF53AE-01A3-4C28-8F6E-82FA9D014C66}">
      <text>
        <r>
          <rPr>
            <b/>
            <sz val="9"/>
            <color indexed="81"/>
            <rFont val="Tahoma"/>
            <family val="2"/>
          </rPr>
          <t>Administrator:</t>
        </r>
        <r>
          <rPr>
            <sz val="9"/>
            <color indexed="81"/>
            <rFont val="Tahoma"/>
            <family val="2"/>
          </rPr>
          <t xml:space="preserve">
SCI, in q4 2018</t>
        </r>
      </text>
    </comment>
    <comment ref="C517" authorId="3" shapeId="0" xr:uid="{9EF230C6-6A62-46DE-8D94-6267D6F84A96}">
      <text>
        <r>
          <rPr>
            <b/>
            <sz val="9"/>
            <color indexed="81"/>
            <rFont val="Tahoma"/>
            <family val="2"/>
          </rPr>
          <t>Administrator:</t>
        </r>
        <r>
          <rPr>
            <sz val="9"/>
            <color indexed="81"/>
            <rFont val="Tahoma"/>
            <family val="2"/>
          </rPr>
          <t xml:space="preserve">
SCI, in q4 2018</t>
        </r>
      </text>
    </comment>
    <comment ref="B518" authorId="3" shapeId="0" xr:uid="{2E1E108D-B15C-45AE-A77F-FDACEF0D7EBE}">
      <text>
        <r>
          <rPr>
            <b/>
            <sz val="9"/>
            <color indexed="81"/>
            <rFont val="Tahoma"/>
            <family val="2"/>
          </rPr>
          <t>Administrator:</t>
        </r>
        <r>
          <rPr>
            <sz val="9"/>
            <color indexed="81"/>
            <rFont val="Tahoma"/>
            <family val="2"/>
          </rPr>
          <t xml:space="preserve">
SCI, in q4 2018</t>
        </r>
      </text>
    </comment>
    <comment ref="C518" authorId="3" shapeId="0" xr:uid="{855F8962-DD69-4A8A-92A7-476D80ED1334}">
      <text>
        <r>
          <rPr>
            <b/>
            <sz val="9"/>
            <color indexed="81"/>
            <rFont val="Tahoma"/>
            <family val="2"/>
          </rPr>
          <t>Administrator:</t>
        </r>
        <r>
          <rPr>
            <sz val="9"/>
            <color indexed="81"/>
            <rFont val="Tahoma"/>
            <family val="2"/>
          </rPr>
          <t xml:space="preserve">
SCI, in q4 2018</t>
        </r>
      </text>
    </comment>
    <comment ref="B529" authorId="3" shapeId="0" xr:uid="{48310B62-6FB1-4965-9D50-CC186B6B5590}">
      <text>
        <r>
          <rPr>
            <b/>
            <sz val="9"/>
            <color indexed="81"/>
            <rFont val="Tahoma"/>
            <family val="2"/>
          </rPr>
          <t>Administrator:</t>
        </r>
        <r>
          <rPr>
            <sz val="9"/>
            <color indexed="81"/>
            <rFont val="Tahoma"/>
            <family val="2"/>
          </rPr>
          <t xml:space="preserve">
SCI, in q4 2018</t>
        </r>
      </text>
    </comment>
    <comment ref="C529" authorId="3" shapeId="0" xr:uid="{6DE73E93-602A-4343-B9A4-F3BDBB9ADF3C}">
      <text>
        <r>
          <rPr>
            <b/>
            <sz val="9"/>
            <color indexed="81"/>
            <rFont val="Tahoma"/>
            <family val="2"/>
          </rPr>
          <t>Administrator:</t>
        </r>
        <r>
          <rPr>
            <sz val="9"/>
            <color indexed="81"/>
            <rFont val="Tahoma"/>
            <family val="2"/>
          </rPr>
          <t xml:space="preserve">
SCI, in q4 2018</t>
        </r>
      </text>
    </comment>
    <comment ref="B530" authorId="3" shapeId="0" xr:uid="{F2459990-01DD-4865-AE60-C768535F73DD}">
      <text>
        <r>
          <rPr>
            <b/>
            <sz val="9"/>
            <color indexed="81"/>
            <rFont val="Tahoma"/>
            <family val="2"/>
          </rPr>
          <t>Administrator:</t>
        </r>
        <r>
          <rPr>
            <sz val="9"/>
            <color indexed="81"/>
            <rFont val="Tahoma"/>
            <family val="2"/>
          </rPr>
          <t xml:space="preserve">
SCI, in q4 2018</t>
        </r>
      </text>
    </comment>
    <comment ref="C530" authorId="3" shapeId="0" xr:uid="{90A4C33C-DA4F-4EC3-8C27-E2E882C08F5A}">
      <text>
        <r>
          <rPr>
            <b/>
            <sz val="9"/>
            <color indexed="81"/>
            <rFont val="Tahoma"/>
            <family val="2"/>
          </rPr>
          <t>Administrator:</t>
        </r>
        <r>
          <rPr>
            <sz val="9"/>
            <color indexed="81"/>
            <rFont val="Tahoma"/>
            <family val="2"/>
          </rPr>
          <t xml:space="preserve">
SCI, in q4 2018</t>
        </r>
      </text>
    </comment>
    <comment ref="B536" authorId="3" shapeId="0" xr:uid="{A6F5F261-523E-4997-ACCF-023E7DE43A7C}">
      <text>
        <r>
          <rPr>
            <b/>
            <sz val="9"/>
            <color indexed="81"/>
            <rFont val="Tahoma"/>
            <family val="2"/>
          </rPr>
          <t>Administrator:</t>
        </r>
        <r>
          <rPr>
            <sz val="9"/>
            <color indexed="81"/>
            <rFont val="Tahoma"/>
            <family val="2"/>
          </rPr>
          <t xml:space="preserve">
SCI, in q4 2018</t>
        </r>
      </text>
    </comment>
    <comment ref="C536" authorId="3" shapeId="0" xr:uid="{868D8C23-A722-458F-A307-06D5005D0AAF}">
      <text>
        <r>
          <rPr>
            <b/>
            <sz val="9"/>
            <color indexed="81"/>
            <rFont val="Tahoma"/>
            <family val="2"/>
          </rPr>
          <t>Administrator:</t>
        </r>
        <r>
          <rPr>
            <sz val="9"/>
            <color indexed="81"/>
            <rFont val="Tahoma"/>
            <family val="2"/>
          </rPr>
          <t xml:space="preserve">
SCI, in q4 2018</t>
        </r>
      </text>
    </comment>
    <comment ref="B554" authorId="3" shapeId="0" xr:uid="{18F64A7C-3AB1-4971-9C15-5FEC20A3FCC6}">
      <text>
        <r>
          <rPr>
            <b/>
            <sz val="9"/>
            <color indexed="81"/>
            <rFont val="Tahoma"/>
            <family val="2"/>
          </rPr>
          <t>Administrator:</t>
        </r>
        <r>
          <rPr>
            <sz val="9"/>
            <color indexed="81"/>
            <rFont val="Tahoma"/>
            <family val="2"/>
          </rPr>
          <t xml:space="preserve">
Q1:SI</t>
        </r>
      </text>
    </comment>
    <comment ref="C554" authorId="3" shapeId="0" xr:uid="{81EFA3F9-9D1E-4AAE-ACDD-587418D413B4}">
      <text>
        <r>
          <rPr>
            <b/>
            <sz val="9"/>
            <color indexed="81"/>
            <rFont val="Tahoma"/>
            <family val="2"/>
          </rPr>
          <t>Administrator:</t>
        </r>
        <r>
          <rPr>
            <sz val="9"/>
            <color indexed="81"/>
            <rFont val="Tahoma"/>
            <family val="2"/>
          </rPr>
          <t xml:space="preserve">
Q1:SI</t>
        </r>
      </text>
    </comment>
    <comment ref="I555" authorId="3" shapeId="0" xr:uid="{388BF4B2-99A5-4CC5-9EDA-D3083A78D2EB}">
      <text>
        <r>
          <rPr>
            <b/>
            <sz val="9"/>
            <color indexed="81"/>
            <rFont val="Tahoma"/>
            <family val="2"/>
          </rPr>
          <t>Administrator:</t>
        </r>
        <r>
          <rPr>
            <sz val="9"/>
            <color indexed="81"/>
            <rFont val="Tahoma"/>
            <family val="2"/>
          </rPr>
          <t xml:space="preserve">
need to confirm</t>
        </r>
      </text>
    </comment>
    <comment ref="H592" authorId="3" shapeId="0" xr:uid="{43830DF3-1102-4E52-B9FA-7BD3B6A7AF8E}">
      <text>
        <r>
          <rPr>
            <b/>
            <sz val="9"/>
            <color indexed="81"/>
            <rFont val="Tahoma"/>
            <family val="2"/>
          </rPr>
          <t>Administrator:</t>
        </r>
        <r>
          <rPr>
            <sz val="9"/>
            <color indexed="81"/>
            <rFont val="Tahoma"/>
            <family val="2"/>
          </rPr>
          <t xml:space="preserve">
from shan</t>
        </r>
      </text>
    </comment>
    <comment ref="H593" authorId="3" shapeId="0" xr:uid="{5648BA7C-A001-48A9-852B-1F8F3A7678DD}">
      <text>
        <r>
          <rPr>
            <b/>
            <sz val="9"/>
            <color indexed="81"/>
            <rFont val="Tahoma"/>
            <family val="2"/>
          </rPr>
          <t>Administrator:</t>
        </r>
        <r>
          <rPr>
            <sz val="9"/>
            <color indexed="81"/>
            <rFont val="Tahoma"/>
            <family val="2"/>
          </rPr>
          <t xml:space="preserve">
from shan</t>
        </r>
      </text>
    </comment>
    <comment ref="H594" authorId="3" shapeId="0" xr:uid="{7E1ECD53-F8C7-4F71-A7A0-33DA6CE3125F}">
      <text>
        <r>
          <rPr>
            <b/>
            <sz val="9"/>
            <color indexed="81"/>
            <rFont val="Tahoma"/>
            <family val="2"/>
          </rPr>
          <t>Administrator:</t>
        </r>
        <r>
          <rPr>
            <sz val="9"/>
            <color indexed="81"/>
            <rFont val="Tahoma"/>
            <family val="2"/>
          </rPr>
          <t xml:space="preserve">
from shan</t>
        </r>
      </text>
    </comment>
    <comment ref="M603" authorId="3" shapeId="0" xr:uid="{308780BE-0C35-4A33-B701-03396B78BD0B}">
      <text>
        <r>
          <rPr>
            <b/>
            <sz val="9"/>
            <color indexed="81"/>
            <rFont val="Tahoma"/>
            <family val="2"/>
          </rPr>
          <t>Administrator:</t>
        </r>
        <r>
          <rPr>
            <sz val="9"/>
            <color indexed="81"/>
            <rFont val="Tahoma"/>
            <family val="2"/>
          </rPr>
          <t xml:space="preserve">
There have two schools; Primary and Middle</t>
        </r>
      </text>
    </comment>
    <comment ref="H611" authorId="3" shapeId="0" xr:uid="{157DB110-2F31-4512-961C-299EC867EA72}">
      <text>
        <r>
          <rPr>
            <b/>
            <sz val="9"/>
            <color indexed="81"/>
            <rFont val="Tahoma"/>
            <family val="2"/>
          </rPr>
          <t>Administrator:</t>
        </r>
        <r>
          <rPr>
            <sz val="9"/>
            <color indexed="81"/>
            <rFont val="Tahoma"/>
            <family val="2"/>
          </rPr>
          <t xml:space="preserve">
from shan</t>
        </r>
      </text>
    </comment>
    <comment ref="K645" authorId="3" shapeId="0" xr:uid="{CFF212D2-6D29-4073-A927-CE2386A163B9}">
      <text>
        <r>
          <rPr>
            <b/>
            <sz val="9"/>
            <color indexed="81"/>
            <rFont val="Tahoma"/>
            <family val="2"/>
          </rPr>
          <t>Administrator:</t>
        </r>
        <r>
          <rPr>
            <sz val="9"/>
            <color indexed="81"/>
            <rFont val="Tahoma"/>
            <family val="2"/>
          </rPr>
          <t xml:space="preserve">
the same project start and end period</t>
        </r>
      </text>
    </comment>
    <comment ref="D661" authorId="3" shapeId="0" xr:uid="{70351A9E-FE6B-4AA3-96EA-BAC09E9A9EC2}">
      <text>
        <r>
          <rPr>
            <b/>
            <sz val="9"/>
            <color indexed="81"/>
            <rFont val="Tahoma"/>
            <family val="2"/>
          </rPr>
          <t>Administrator:</t>
        </r>
        <r>
          <rPr>
            <sz val="9"/>
            <color indexed="81"/>
            <rFont val="Tahoma"/>
            <family val="2"/>
          </rPr>
          <t xml:space="preserve">
Two different donors</t>
        </r>
      </text>
    </comment>
    <comment ref="H661" authorId="3" shapeId="0" xr:uid="{C40934EF-E0AF-4F21-A2E4-95DF7B465D3C}">
      <text>
        <r>
          <rPr>
            <b/>
            <sz val="9"/>
            <color indexed="81"/>
            <rFont val="Tahoma"/>
            <family val="2"/>
          </rPr>
          <t>Administrator:</t>
        </r>
        <r>
          <rPr>
            <sz val="9"/>
            <color indexed="81"/>
            <rFont val="Tahoma"/>
            <family val="2"/>
          </rPr>
          <t xml:space="preserve">
Sut Chyai + Zupra + Da Wei + Lawt Awng + Hka Brawng + Ban Dang + Htai Ra Yang (7 Wards)</t>
        </r>
      </text>
    </comment>
    <comment ref="M661" authorId="3" shapeId="0" xr:uid="{31ED1E22-58CC-49E6-BDF3-9C1CB6CC018A}">
      <text>
        <r>
          <rPr>
            <b/>
            <sz val="9"/>
            <color indexed="81"/>
            <rFont val="Tahoma"/>
            <family val="2"/>
          </rPr>
          <t>Administrator:</t>
        </r>
        <r>
          <rPr>
            <sz val="9"/>
            <color indexed="81"/>
            <rFont val="Tahoma"/>
            <family val="2"/>
          </rPr>
          <t xml:space="preserve">
There have 6 schools; 5 primary and 1 Middle</t>
        </r>
      </text>
    </comment>
    <comment ref="AJ661" authorId="3" shapeId="0" xr:uid="{9F8BD600-37AB-4583-9E67-A622E1DE9461}">
      <text>
        <r>
          <rPr>
            <b/>
            <sz val="9"/>
            <color indexed="81"/>
            <rFont val="Tahoma"/>
            <family val="2"/>
          </rPr>
          <t>Administrator:</t>
        </r>
        <r>
          <rPr>
            <sz val="9"/>
            <color indexed="81"/>
            <rFont val="Tahoma"/>
            <family val="2"/>
          </rPr>
          <t xml:space="preserve">
Chlorination one off </t>
        </r>
      </text>
    </comment>
    <comment ref="AL661" authorId="3" shapeId="0" xr:uid="{3D94646A-EA77-4B95-A52C-1C2217028BD5}">
      <text>
        <r>
          <rPr>
            <b/>
            <sz val="9"/>
            <color indexed="81"/>
            <rFont val="Tahoma"/>
            <family val="2"/>
          </rPr>
          <t>Administrator:</t>
        </r>
        <r>
          <rPr>
            <sz val="9"/>
            <color indexed="81"/>
            <rFont val="Tahoma"/>
            <family val="2"/>
          </rPr>
          <t xml:space="preserve">
Ceramic Water Filter distribution and water hygiene </t>
        </r>
      </text>
    </comment>
    <comment ref="AQ661" authorId="3" shapeId="0" xr:uid="{443A160A-D522-425C-84E7-3CC635AE1C19}">
      <text>
        <r>
          <rPr>
            <b/>
            <sz val="9"/>
            <color indexed="81"/>
            <rFont val="Tahoma"/>
            <family val="2"/>
          </rPr>
          <t>Administrator:</t>
        </r>
        <r>
          <rPr>
            <sz val="9"/>
            <color indexed="81"/>
            <rFont val="Tahoma"/>
            <family val="2"/>
          </rPr>
          <t xml:space="preserve">
HH level latrine constructed by community</t>
        </r>
      </text>
    </comment>
    <comment ref="AQ703" authorId="4" shapeId="0" xr:uid="{1171CD87-3CB6-4D09-8BD0-1A25E5743A8B}">
      <text>
        <r>
          <rPr>
            <b/>
            <sz val="9"/>
            <color indexed="81"/>
            <rFont val="宋体"/>
            <family val="3"/>
            <charset val="134"/>
          </rPr>
          <t>HPA-UKAID:</t>
        </r>
        <r>
          <rPr>
            <sz val="9"/>
            <color indexed="81"/>
            <rFont val="宋体"/>
            <family val="3"/>
            <charset val="134"/>
          </rPr>
          <t xml:space="preserve">
constructed by villagers themselves</t>
        </r>
      </text>
    </comment>
    <comment ref="B706" authorId="3" shapeId="0" xr:uid="{ABD53894-CE95-4C33-9ABB-709E283B7883}">
      <text>
        <r>
          <rPr>
            <b/>
            <sz val="9"/>
            <color indexed="81"/>
            <rFont val="Tahoma"/>
            <family val="2"/>
          </rPr>
          <t>Administrator:</t>
        </r>
        <r>
          <rPr>
            <sz val="9"/>
            <color indexed="81"/>
            <rFont val="Tahoma"/>
            <family val="2"/>
          </rPr>
          <t xml:space="preserve">
Q1: SCI,Metta
</t>
        </r>
      </text>
    </comment>
    <comment ref="C706" authorId="3" shapeId="0" xr:uid="{C822329D-327E-4D1B-A858-BB3B73F05B56}">
      <text>
        <r>
          <rPr>
            <b/>
            <sz val="9"/>
            <color indexed="81"/>
            <rFont val="Tahoma"/>
            <family val="2"/>
          </rPr>
          <t>Administrator:</t>
        </r>
        <r>
          <rPr>
            <sz val="9"/>
            <color indexed="81"/>
            <rFont val="Tahoma"/>
            <family val="2"/>
          </rPr>
          <t xml:space="preserve">
Q1: SCI,Metta
</t>
        </r>
      </text>
    </comment>
    <comment ref="AG715" authorId="4" shapeId="0" xr:uid="{1AC2CA48-899E-47E9-A71C-65F3DA3988E2}">
      <text>
        <r>
          <rPr>
            <b/>
            <sz val="9"/>
            <color indexed="81"/>
            <rFont val="宋体"/>
            <family val="3"/>
            <charset val="134"/>
          </rPr>
          <t>HPA-UKAID:</t>
        </r>
        <r>
          <rPr>
            <sz val="9"/>
            <color indexed="81"/>
            <rFont val="宋体"/>
            <family val="3"/>
            <charset val="134"/>
          </rPr>
          <t xml:space="preserve">
Village health committee was set up in each village</t>
        </r>
      </text>
    </comment>
    <comment ref="AQ715" authorId="4" shapeId="0" xr:uid="{8BB79F9D-11FD-46EE-8542-13801DD2D504}">
      <text>
        <r>
          <rPr>
            <b/>
            <sz val="9"/>
            <color indexed="81"/>
            <rFont val="宋体"/>
            <family val="3"/>
            <charset val="134"/>
          </rPr>
          <t>HPA-UKAID:</t>
        </r>
        <r>
          <rPr>
            <sz val="9"/>
            <color indexed="81"/>
            <rFont val="宋体"/>
            <family val="3"/>
            <charset val="134"/>
          </rPr>
          <t xml:space="preserve">
constructed by villagers themselves</t>
        </r>
      </text>
    </comment>
    <comment ref="BF715" authorId="4" shapeId="0" xr:uid="{A6121F5F-A1AE-4245-A322-FD3B622B0C12}">
      <text>
        <r>
          <rPr>
            <b/>
            <sz val="9"/>
            <color indexed="81"/>
            <rFont val="宋体"/>
            <family val="3"/>
            <charset val="134"/>
          </rPr>
          <t>HPA-UKAID:</t>
        </r>
        <r>
          <rPr>
            <sz val="9"/>
            <color indexed="81"/>
            <rFont val="宋体"/>
            <family val="3"/>
            <charset val="134"/>
          </rPr>
          <t xml:space="preserve">
same place, located next to the latrines</t>
        </r>
      </text>
    </comment>
    <comment ref="AQ716" authorId="4" shapeId="0" xr:uid="{5C557481-28DA-428D-8E5C-C991D9046C6F}">
      <text>
        <r>
          <rPr>
            <b/>
            <sz val="9"/>
            <color indexed="81"/>
            <rFont val="宋体"/>
            <family val="3"/>
            <charset val="134"/>
          </rPr>
          <t>HPA-UKAID:</t>
        </r>
        <r>
          <rPr>
            <sz val="9"/>
            <color indexed="81"/>
            <rFont val="宋体"/>
            <family val="3"/>
            <charset val="134"/>
          </rPr>
          <t xml:space="preserve">
constructed by villagers themselves</t>
        </r>
      </text>
    </comment>
    <comment ref="B718" authorId="3" shapeId="0" xr:uid="{85F522ED-EB1D-45FA-8A51-B453E9C88D5B}">
      <text>
        <r>
          <rPr>
            <b/>
            <sz val="9"/>
            <color indexed="81"/>
            <rFont val="Tahoma"/>
            <family val="2"/>
          </rPr>
          <t>Administrator:</t>
        </r>
        <r>
          <rPr>
            <sz val="9"/>
            <color indexed="81"/>
            <rFont val="Tahoma"/>
            <family val="2"/>
          </rPr>
          <t xml:space="preserve">
Q1: SCI,Metta
</t>
        </r>
      </text>
    </comment>
    <comment ref="C718" authorId="3" shapeId="0" xr:uid="{B163466A-260B-4066-9C22-48D36439055E}">
      <text>
        <r>
          <rPr>
            <b/>
            <sz val="9"/>
            <color indexed="81"/>
            <rFont val="Tahoma"/>
            <family val="2"/>
          </rPr>
          <t>Administrator:</t>
        </r>
        <r>
          <rPr>
            <sz val="9"/>
            <color indexed="81"/>
            <rFont val="Tahoma"/>
            <family val="2"/>
          </rPr>
          <t xml:space="preserve">
Q1: SCI,Metta
</t>
        </r>
      </text>
    </comment>
    <comment ref="B726" authorId="3" shapeId="0" xr:uid="{9A207B9D-94A2-4658-A029-65D96536E8D2}">
      <text>
        <r>
          <rPr>
            <b/>
            <sz val="9"/>
            <color indexed="81"/>
            <rFont val="Tahoma"/>
            <family val="2"/>
          </rPr>
          <t>Administrator:</t>
        </r>
        <r>
          <rPr>
            <sz val="9"/>
            <color indexed="81"/>
            <rFont val="Tahoma"/>
            <family val="2"/>
          </rPr>
          <t xml:space="preserve">
Q1: SCI,Metta
</t>
        </r>
      </text>
    </comment>
    <comment ref="C726" authorId="3" shapeId="0" xr:uid="{B73D86C8-BA0D-4A00-A94B-550F194230C5}">
      <text>
        <r>
          <rPr>
            <b/>
            <sz val="9"/>
            <color indexed="81"/>
            <rFont val="Tahoma"/>
            <family val="2"/>
          </rPr>
          <t>Administrator:</t>
        </r>
        <r>
          <rPr>
            <sz val="9"/>
            <color indexed="81"/>
            <rFont val="Tahoma"/>
            <family val="2"/>
          </rPr>
          <t xml:space="preserve">
Q1: SCI,Metta
</t>
        </r>
      </text>
    </comment>
    <comment ref="B727" authorId="3" shapeId="0" xr:uid="{C3905C15-4515-414B-A486-AD8D3ECDC552}">
      <text>
        <r>
          <rPr>
            <b/>
            <sz val="9"/>
            <color indexed="81"/>
            <rFont val="Tahoma"/>
            <family val="2"/>
          </rPr>
          <t>Administrator:</t>
        </r>
        <r>
          <rPr>
            <sz val="9"/>
            <color indexed="81"/>
            <rFont val="Tahoma"/>
            <family val="2"/>
          </rPr>
          <t xml:space="preserve">
Q1: Metta</t>
        </r>
      </text>
    </comment>
    <comment ref="C727" authorId="3" shapeId="0" xr:uid="{D8FDCCF6-DCF8-45E4-A9B5-2B0256242AD2}">
      <text>
        <r>
          <rPr>
            <b/>
            <sz val="9"/>
            <color indexed="81"/>
            <rFont val="Tahoma"/>
            <family val="2"/>
          </rPr>
          <t>Administrator:</t>
        </r>
        <r>
          <rPr>
            <sz val="9"/>
            <color indexed="81"/>
            <rFont val="Tahoma"/>
            <family val="2"/>
          </rPr>
          <t xml:space="preserve">
Q1: Metta</t>
        </r>
      </text>
    </comment>
    <comment ref="B731" authorId="3" shapeId="0" xr:uid="{73D1D422-BB2A-45A3-8B80-AC1ED0F5E47E}">
      <text>
        <r>
          <rPr>
            <b/>
            <sz val="9"/>
            <color indexed="81"/>
            <rFont val="Tahoma"/>
            <family val="2"/>
          </rPr>
          <t>Administrator:</t>
        </r>
        <r>
          <rPr>
            <sz val="9"/>
            <color indexed="81"/>
            <rFont val="Tahoma"/>
            <family val="2"/>
          </rPr>
          <t xml:space="preserve">
Q1: KMSS,Metta
</t>
        </r>
      </text>
    </comment>
    <comment ref="C731" authorId="3" shapeId="0" xr:uid="{9AEFF99C-B087-4006-B991-732E22FEDF5F}">
      <text>
        <r>
          <rPr>
            <b/>
            <sz val="9"/>
            <color indexed="81"/>
            <rFont val="Tahoma"/>
            <family val="2"/>
          </rPr>
          <t>Administrator:</t>
        </r>
        <r>
          <rPr>
            <sz val="9"/>
            <color indexed="81"/>
            <rFont val="Tahoma"/>
            <family val="2"/>
          </rPr>
          <t xml:space="preserve">
Q1: KMSS,Metta
</t>
        </r>
      </text>
    </comment>
    <comment ref="AQ741" authorId="4" shapeId="0" xr:uid="{0E66FF0D-B845-4811-8ADD-2D4432849D7B}">
      <text>
        <r>
          <rPr>
            <b/>
            <sz val="9"/>
            <color indexed="81"/>
            <rFont val="宋体"/>
            <family val="3"/>
            <charset val="134"/>
          </rPr>
          <t>HPA-UKAID:</t>
        </r>
        <r>
          <rPr>
            <sz val="9"/>
            <color indexed="81"/>
            <rFont val="宋体"/>
            <family val="3"/>
            <charset val="134"/>
          </rPr>
          <t xml:space="preserve">
constructed by villagers themselves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38" authorId="0" shapeId="0" xr:uid="{FB5DB95C-99A9-4270-BCBC-C0D651025F36}">
      <text>
        <r>
          <rPr>
            <b/>
            <sz val="9"/>
            <color indexed="81"/>
            <rFont val="Tahoma"/>
            <family val="2"/>
          </rPr>
          <t>Administrator:</t>
        </r>
        <r>
          <rPr>
            <sz val="9"/>
            <color indexed="81"/>
            <rFont val="Tahoma"/>
            <family val="2"/>
          </rPr>
          <t xml:space="preserve">
Bigest number of the quarters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<sst xmlns="http://schemas.openxmlformats.org/spreadsheetml/2006/main" count="22910" uniqueCount="3376">
  <si>
    <t>V1</t>
  </si>
  <si>
    <t>V2</t>
  </si>
  <si>
    <t>V3</t>
  </si>
  <si>
    <t>V4</t>
  </si>
  <si>
    <t>V5</t>
  </si>
  <si>
    <t>V7</t>
  </si>
  <si>
    <t>V8</t>
  </si>
  <si>
    <t>x1</t>
  </si>
  <si>
    <t>x2</t>
  </si>
  <si>
    <t>x4</t>
  </si>
  <si>
    <t>x5</t>
  </si>
  <si>
    <t>x6</t>
  </si>
  <si>
    <t>x7</t>
  </si>
  <si>
    <t>x8</t>
  </si>
  <si>
    <t>x9</t>
  </si>
  <si>
    <t>x10</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</si>
  <si>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</si>
  <si>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</si>
  <si>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</si>
  <si>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</si>
  <si>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</si>
  <si>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</si>
  <si>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</si>
  <si>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</si>
  <si>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</si>
  <si>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</si>
  <si>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</si>
  <si>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</si>
  <si>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</si>
  <si>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</si>
  <si>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</si>
  <si>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</si>
  <si>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</si>
  <si>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</si>
  <si>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</si>
  <si>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</si>
  <si>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</si>
  <si>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</si>
  <si>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</si>
  <si>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</si>
  <si>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</si>
  <si>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</si>
  <si>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</si>
  <si>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</si>
  <si>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</si>
  <si>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</si>
  <si>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</si>
  <si>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</si>
  <si>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</si>
  <si>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</si>
  <si>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</si>
  <si>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</si>
  <si>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</si>
  <si>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</si>
  <si>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 Work days (approx) lost in this site due to access restrictions</t>
  </si>
  <si>
    <t>Yes/No</t>
  </si>
  <si>
    <t>V11</t>
  </si>
  <si>
    <t>%</t>
  </si>
  <si>
    <t>V12</t>
  </si>
  <si>
    <t>HRP 1 (improved sources)</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</si>
  <si>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</si>
  <si>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</si>
  <si>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</si>
  <si>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</si>
  <si>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</si>
  <si>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</si>
  <si>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</si>
  <si>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</si>
  <si>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N/A</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</si>
  <si>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</si>
  <si>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</si>
  <si>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</si>
  <si>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</si>
  <si>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</si>
  <si>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</si>
  <si>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</si>
  <si>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</si>
  <si>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</si>
  <si>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</si>
  <si>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</si>
  <si>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</si>
  <si>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</si>
  <si>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</si>
  <si>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</si>
  <si>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</si>
  <si>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with access to functional sanitation facilities</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</si>
  <si>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</si>
  <si>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</si>
  <si>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</si>
  <si>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</si>
  <si>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</si>
  <si>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</si>
  <si>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</si>
  <si>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</si>
  <si>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</si>
  <si>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</si>
  <si>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</si>
  <si>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</si>
  <si>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</si>
  <si>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</si>
  <si>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</si>
  <si>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</si>
  <si>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</si>
  <si>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</si>
  <si>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</si>
  <si>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</si>
  <si>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</si>
  <si>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</si>
  <si>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</si>
  <si>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</si>
  <si>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</si>
  <si>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</si>
  <si>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</si>
  <si>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</si>
  <si>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</si>
  <si>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</si>
  <si>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</si>
  <si>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</si>
  <si>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</si>
  <si>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</si>
  <si>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</si>
  <si>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</si>
  <si>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</si>
  <si>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</si>
  <si>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</si>
  <si>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</si>
  <si>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</si>
  <si>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</si>
  <si>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</si>
  <si>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</si>
  <si>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</si>
  <si>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</si>
  <si>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</si>
  <si>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</si>
  <si>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</si>
  <si>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</si>
  <si>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</si>
  <si>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</si>
  <si>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</si>
  <si>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</si>
  <si>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</si>
  <si>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</si>
  <si>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</si>
  <si>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</si>
  <si>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</si>
  <si>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</si>
  <si>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</si>
  <si>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</si>
  <si>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</si>
  <si>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</si>
  <si>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</si>
  <si>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</si>
  <si>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</si>
  <si>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</si>
  <si>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</si>
  <si>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</si>
  <si>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</si>
  <si>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</si>
  <si>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</si>
  <si>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</si>
  <si>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</si>
  <si>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</si>
  <si>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</si>
  <si>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</si>
  <si>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</si>
  <si>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</si>
  <si>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</si>
  <si>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</si>
  <si>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</si>
  <si>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</si>
  <si>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</si>
  <si>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</si>
  <si>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</si>
  <si>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</si>
  <si>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</si>
  <si>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</si>
  <si>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</si>
  <si>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</si>
  <si>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</si>
  <si>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</si>
  <si>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</si>
  <si>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</si>
  <si>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</si>
  <si>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</si>
  <si>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</si>
  <si>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</si>
  <si>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</si>
  <si>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</si>
  <si>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</si>
  <si>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</si>
  <si>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</si>
  <si>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</si>
  <si>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</si>
  <si>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</si>
  <si>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</si>
  <si>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</si>
  <si>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</si>
  <si>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</si>
  <si>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</si>
  <si>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</si>
  <si>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</si>
  <si>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</si>
  <si>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</si>
  <si>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</si>
  <si>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</si>
  <si>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</si>
  <si>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</si>
  <si>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</si>
  <si>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</si>
  <si>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</si>
  <si>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</si>
  <si>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</si>
  <si>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</si>
  <si>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</si>
  <si>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</si>
  <si>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</si>
  <si>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</si>
  <si>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</si>
  <si>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</si>
  <si>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</si>
  <si>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</si>
  <si>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</si>
  <si>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</si>
  <si>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</si>
  <si>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</si>
  <si>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</si>
  <si>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</si>
  <si>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</si>
  <si>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</si>
  <si>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</si>
  <si>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</si>
  <si>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</si>
  <si>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</si>
  <si>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</si>
  <si>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</si>
  <si>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</si>
  <si>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</si>
  <si>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</si>
  <si>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</si>
  <si>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</si>
  <si>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</si>
  <si>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</si>
  <si>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</si>
  <si>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</si>
  <si>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</si>
  <si>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</si>
  <si>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</si>
  <si>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</si>
  <si>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</si>
  <si>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</si>
  <si>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</si>
  <si>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</si>
  <si>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</si>
  <si>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</si>
  <si>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</si>
  <si>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</si>
  <si>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</si>
  <si>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</si>
  <si>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</si>
  <si>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</si>
  <si>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</si>
  <si>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</si>
  <si>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</si>
  <si>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</si>
  <si>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</si>
  <si>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</si>
  <si>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</si>
  <si>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</si>
  <si>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</si>
  <si>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</si>
  <si>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</si>
  <si>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</si>
  <si>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</si>
  <si>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</si>
  <si>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</si>
  <si>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</si>
  <si>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</si>
  <si>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</si>
  <si>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</si>
  <si>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</si>
  <si>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</si>
  <si>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</si>
  <si>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</si>
  <si>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</si>
  <si>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</si>
  <si>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</si>
  <si>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</si>
  <si>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</si>
  <si>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</si>
  <si>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</si>
  <si>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</si>
  <si>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</si>
  <si>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</si>
  <si>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</si>
  <si>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</si>
  <si>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</si>
  <si>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</si>
  <si>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</si>
  <si>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</si>
  <si>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</si>
  <si>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</si>
  <si>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</si>
  <si>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</si>
  <si>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</si>
  <si>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</si>
  <si>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</si>
  <si>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</si>
  <si>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</si>
  <si>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</si>
  <si>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</si>
  <si>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</si>
  <si>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</si>
  <si>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</si>
  <si>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</si>
  <si>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</si>
  <si>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</si>
  <si>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</si>
  <si>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</si>
  <si>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</si>
  <si>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</si>
  <si>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</si>
  <si>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</si>
  <si>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</si>
  <si>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</si>
  <si>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</si>
  <si>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</si>
  <si>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</si>
  <si>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</si>
  <si>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</si>
  <si>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</si>
  <si>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</si>
  <si>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</si>
  <si>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</si>
  <si>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</si>
  <si>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</si>
  <si>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</si>
  <si>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</si>
  <si>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</si>
  <si>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</si>
  <si>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</si>
  <si>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</si>
  <si>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</si>
  <si>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</si>
  <si>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</si>
  <si>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</si>
  <si>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</si>
  <si>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</si>
  <si>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</si>
  <si>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</si>
  <si>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</si>
  <si>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</si>
  <si>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</si>
  <si>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</si>
  <si>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</si>
  <si>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</si>
  <si>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</si>
  <si>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</si>
  <si>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</si>
  <si>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</si>
  <si>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</si>
  <si>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</si>
  <si>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</si>
  <si>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</si>
  <si>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</si>
  <si>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</si>
  <si>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</si>
  <si>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</si>
  <si>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</si>
  <si>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</si>
  <si>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</si>
  <si>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</si>
  <si>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</si>
  <si>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</si>
  <si>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</si>
  <si>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</si>
  <si>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</si>
  <si>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</si>
  <si>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</si>
  <si>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</si>
  <si>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</si>
  <si>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</si>
  <si>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</si>
  <si>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</si>
  <si>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</si>
  <si>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</si>
  <si>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</si>
  <si>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</si>
  <si>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</si>
  <si>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</si>
  <si>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</si>
  <si>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</si>
  <si>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</si>
  <si>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</si>
  <si>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</si>
  <si>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</si>
  <si>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</si>
  <si>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</si>
  <si>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</si>
  <si>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</si>
  <si>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</si>
  <si>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</si>
  <si>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</si>
  <si>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</si>
  <si>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</si>
  <si>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</si>
  <si>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</si>
  <si>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</si>
  <si>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</si>
  <si>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</si>
  <si>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</si>
  <si>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</si>
  <si>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</si>
  <si>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</si>
  <si>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</si>
  <si>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</si>
  <si>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</si>
  <si>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</si>
  <si>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</si>
  <si>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</si>
  <si>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</si>
  <si>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</si>
  <si>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</si>
  <si>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</si>
  <si>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</si>
  <si>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</si>
  <si>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</si>
  <si>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</si>
  <si>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</si>
  <si>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</si>
  <si>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</si>
  <si>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</si>
  <si>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</si>
  <si>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</si>
  <si>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</si>
  <si>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</si>
  <si>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</si>
  <si>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</si>
  <si>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</si>
  <si>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</si>
  <si>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</si>
  <si>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</si>
  <si>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</si>
  <si>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</si>
  <si>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</si>
  <si>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</si>
  <si>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</si>
  <si>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</si>
  <si>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</si>
  <si>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</si>
  <si>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</si>
  <si>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</si>
  <si>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</si>
  <si>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</si>
  <si>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</si>
  <si>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</si>
  <si>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</si>
  <si>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</si>
  <si>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</si>
  <si>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</si>
  <si>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</si>
  <si>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</si>
  <si>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</si>
  <si>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</si>
  <si>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</si>
  <si>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</si>
  <si>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</si>
  <si>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</si>
  <si>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</si>
  <si>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</si>
  <si>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</si>
  <si>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</si>
  <si>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</si>
  <si>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</si>
  <si>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</si>
  <si>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</si>
  <si>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</si>
  <si>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</si>
  <si>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</si>
  <si>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</si>
  <si>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</si>
  <si>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</si>
  <si>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</si>
  <si>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</si>
  <si>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</si>
  <si>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</si>
  <si>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</si>
  <si>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</si>
  <si>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</si>
  <si>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</si>
  <si>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</si>
  <si>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</si>
  <si>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</si>
  <si>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</si>
  <si>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</si>
  <si>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</si>
  <si>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</si>
  <si>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</si>
  <si>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</si>
  <si>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</si>
  <si>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</si>
  <si>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</si>
  <si>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</si>
  <si>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</si>
  <si>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</si>
  <si>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</si>
  <si>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</si>
  <si>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</si>
  <si>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</si>
  <si>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</si>
  <si>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</si>
  <si>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</si>
  <si>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</si>
  <si>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</si>
  <si>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</si>
  <si>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</si>
  <si>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</si>
  <si>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</si>
  <si>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</si>
  <si>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</si>
  <si>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</si>
  <si>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</si>
  <si>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</si>
  <si>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</si>
  <si>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</si>
  <si>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</si>
  <si>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</si>
  <si>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</si>
  <si>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</si>
  <si>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</si>
  <si>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</si>
  <si>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</si>
  <si>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</si>
  <si>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</si>
  <si>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</si>
  <si>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</si>
  <si>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</si>
  <si>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</si>
  <si>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</si>
  <si>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</si>
  <si>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</si>
  <si>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</si>
  <si>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</si>
  <si>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</si>
  <si>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</si>
  <si>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</si>
  <si>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</si>
  <si>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</si>
  <si>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</si>
  <si>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</si>
  <si>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</si>
  <si>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</si>
  <si>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</si>
  <si>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</si>
  <si>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</si>
  <si>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</si>
  <si>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</si>
  <si>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</si>
  <si>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</si>
  <si>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</si>
  <si>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</si>
  <si>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</si>
  <si>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</si>
  <si>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</si>
  <si>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</si>
  <si>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</si>
  <si>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</si>
  <si>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</si>
  <si>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</si>
  <si>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</si>
  <si>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</si>
  <si>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</si>
  <si>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</si>
  <si>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</si>
  <si>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</si>
  <si>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</si>
  <si>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</si>
  <si>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</si>
  <si>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</si>
  <si>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</si>
  <si>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</si>
  <si>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</si>
  <si>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</si>
  <si>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</si>
  <si>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</si>
  <si>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</si>
  <si>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</si>
  <si>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</si>
  <si>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</si>
  <si>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</si>
  <si>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</si>
  <si>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</si>
  <si>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</si>
  <si>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</si>
  <si>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</si>
  <si>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</si>
  <si>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</si>
  <si>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</si>
  <si>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</si>
  <si>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</si>
  <si>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</si>
  <si>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</si>
  <si>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</si>
  <si>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</si>
  <si>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</si>
  <si>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</si>
  <si>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</si>
  <si>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</si>
  <si>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</si>
  <si>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</si>
  <si>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</si>
  <si>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</si>
  <si>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</si>
  <si>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</si>
  <si>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</si>
  <si>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</si>
  <si>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</si>
  <si>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</si>
  <si>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</si>
  <si>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</si>
  <si>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</si>
  <si>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</si>
  <si>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</si>
  <si>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</si>
  <si>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</si>
  <si>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</si>
  <si>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</si>
  <si>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</si>
  <si>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</si>
  <si>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</si>
  <si>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</si>
  <si>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</si>
  <si>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</si>
  <si>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</si>
  <si>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</si>
  <si>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</si>
  <si>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</si>
  <si>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</si>
  <si>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</si>
  <si>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</si>
  <si>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</si>
  <si>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</si>
  <si>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</si>
  <si>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</si>
  <si>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</si>
  <si>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</si>
  <si>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</si>
  <si>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</si>
  <si>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</si>
  <si>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</si>
  <si>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</si>
  <si>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</si>
  <si>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</si>
  <si>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</si>
  <si>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</si>
  <si>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</si>
  <si>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</si>
  <si>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</si>
  <si>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</si>
  <si>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</si>
  <si>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</si>
  <si>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</si>
  <si>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</si>
  <si>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</si>
  <si>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</si>
  <si>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</si>
  <si>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</si>
  <si>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</si>
  <si>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</si>
  <si>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</si>
  <si>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</si>
  <si>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</si>
  <si>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</si>
  <si>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</si>
  <si>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</si>
  <si>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</si>
  <si>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</si>
  <si>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</si>
  <si>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</si>
  <si>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</si>
  <si>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</si>
  <si>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</si>
  <si>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</si>
  <si>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</si>
  <si>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</si>
  <si>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</si>
  <si>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</si>
  <si>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</si>
  <si>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</si>
  <si>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</si>
  <si>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</si>
  <si>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</si>
  <si>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</si>
  <si>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</si>
  <si>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</si>
  <si>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</si>
  <si>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</si>
  <si>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</si>
  <si>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</si>
  <si>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</si>
  <si>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</si>
  <si>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</si>
  <si>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</si>
  <si>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</si>
  <si>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</si>
  <si>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</si>
  <si>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</si>
  <si>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</si>
  <si>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</si>
  <si>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</si>
  <si>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</si>
  <si>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</si>
  <si>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</si>
  <si>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</si>
  <si>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</si>
  <si>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</si>
  <si>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</si>
  <si>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</si>
  <si>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</si>
  <si>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</si>
  <si>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</si>
  <si>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</si>
  <si>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</si>
  <si>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</si>
  <si>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</si>
  <si>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</si>
  <si>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</si>
  <si>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</si>
  <si>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</si>
  <si>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</si>
  <si>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</si>
  <si>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</si>
  <si>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</si>
  <si>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</si>
  <si>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</si>
  <si>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</si>
  <si>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</si>
  <si>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</si>
  <si>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</si>
  <si>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</si>
  <si>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</si>
  <si>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</si>
  <si>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</si>
  <si>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</si>
  <si>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</si>
  <si>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</si>
  <si>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</si>
  <si>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</si>
  <si>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</si>
  <si>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</si>
  <si>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</si>
  <si>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</si>
  <si>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</si>
  <si>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</si>
  <si>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</si>
  <si>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</si>
  <si>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</si>
  <si>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</si>
  <si>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</si>
  <si>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</si>
  <si>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</si>
  <si>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</si>
  <si>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</si>
  <si>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</si>
  <si>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</si>
  <si>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</si>
  <si>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</si>
  <si>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</si>
  <si>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</si>
  <si>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</si>
  <si>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</si>
  <si>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</si>
  <si>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</si>
  <si>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</si>
  <si>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</si>
  <si>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</si>
  <si>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</si>
  <si>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</si>
  <si>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</si>
  <si>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</si>
  <si>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</si>
  <si>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</si>
  <si>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</si>
  <si>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</si>
  <si>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</si>
  <si>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</si>
  <si>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</si>
  <si>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</si>
  <si>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</si>
  <si>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</si>
  <si>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</si>
  <si>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</si>
  <si>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</si>
  <si>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</si>
  <si>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</si>
  <si>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</si>
  <si>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</si>
  <si>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</si>
  <si>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</si>
  <si>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</si>
  <si>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</si>
  <si>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</si>
  <si>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</si>
  <si>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</si>
  <si>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</si>
  <si>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</si>
  <si>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</si>
  <si>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</si>
  <si>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</si>
  <si>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</si>
  <si>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</si>
  <si>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</si>
  <si>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</si>
  <si>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</si>
  <si>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</si>
  <si>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</si>
  <si>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</si>
  <si>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</si>
  <si>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</si>
  <si>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</si>
  <si>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</si>
  <si>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</si>
  <si>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</si>
  <si>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</si>
  <si>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</si>
  <si>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</si>
  <si>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</si>
  <si>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</si>
  <si>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</si>
  <si>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</si>
  <si>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</si>
  <si>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</si>
  <si>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</si>
  <si>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</si>
  <si>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</si>
  <si>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</si>
  <si>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</si>
  <si>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</si>
  <si>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</si>
  <si>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</si>
  <si>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</si>
  <si>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</si>
  <si>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</si>
  <si>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</si>
  <si>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</si>
  <si>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</si>
  <si>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</si>
  <si>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</si>
  <si>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</si>
  <si>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</si>
  <si>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</si>
  <si>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</si>
  <si>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</si>
  <si>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</si>
  <si>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</si>
  <si>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</si>
  <si>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</si>
  <si>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</si>
  <si>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</si>
  <si>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</si>
  <si>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</si>
  <si>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</si>
  <si>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</si>
  <si>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</si>
  <si>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</si>
  <si>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</si>
  <si>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</si>
  <si>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</si>
  <si>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</si>
  <si>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</si>
  <si>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</si>
  <si>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</si>
  <si>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</si>
  <si>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</si>
  <si>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</si>
  <si>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</si>
  <si>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</si>
  <si>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</si>
  <si>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</si>
  <si>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</si>
  <si>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</si>
  <si>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</si>
  <si>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</si>
  <si>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</si>
  <si>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</si>
  <si>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</si>
  <si>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</si>
  <si>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</si>
  <si>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</si>
  <si>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</si>
  <si>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</si>
  <si>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</si>
  <si>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</si>
  <si>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</si>
  <si>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</si>
  <si>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</si>
  <si>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</si>
  <si>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</si>
  <si>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</si>
  <si>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</si>
  <si>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</si>
  <si>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</si>
  <si>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</si>
  <si>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</si>
  <si>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</si>
  <si>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</si>
  <si>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</si>
  <si>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</si>
  <si>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</si>
  <si>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</si>
  <si>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</si>
  <si>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</si>
  <si>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</si>
  <si>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</si>
  <si>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</si>
  <si>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</si>
  <si>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</si>
  <si>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</si>
  <si>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</si>
  <si>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</si>
  <si>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</si>
  <si>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</si>
  <si>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</si>
  <si>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</si>
  <si>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</si>
  <si>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</si>
  <si>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</si>
  <si>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</si>
  <si>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</si>
  <si>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</si>
  <si>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</si>
  <si>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</si>
  <si>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</si>
  <si>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</si>
  <si>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</si>
  <si>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</si>
  <si>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</si>
  <si>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</si>
  <si>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</si>
  <si>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</si>
  <si>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</si>
  <si>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</si>
  <si>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</si>
  <si>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</si>
  <si>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</si>
  <si>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</si>
  <si>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</si>
  <si>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</si>
  <si>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</si>
  <si>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</si>
  <si>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</si>
  <si>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</si>
  <si>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</si>
  <si>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</si>
  <si>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</si>
  <si>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</si>
  <si>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</si>
  <si>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</si>
  <si>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</si>
  <si>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</si>
  <si>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</si>
  <si>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</si>
  <si>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</si>
  <si>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</si>
  <si>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</si>
  <si>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</si>
  <si>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</si>
  <si>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</si>
  <si>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</si>
  <si>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</si>
  <si>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</si>
  <si>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</si>
  <si>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</si>
  <si>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</si>
  <si>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</si>
  <si>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</si>
  <si>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</si>
  <si>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</si>
  <si>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</si>
  <si>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</si>
  <si>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</si>
  <si>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</si>
  <si>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</si>
  <si>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</si>
  <si>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</si>
  <si>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</si>
  <si>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</si>
  <si>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</si>
  <si>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</si>
  <si>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</si>
  <si>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</si>
  <si>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</si>
  <si>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</si>
  <si>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</si>
  <si>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</si>
  <si>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</si>
  <si>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</si>
  <si>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</si>
  <si>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</si>
  <si>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</si>
  <si>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</si>
  <si>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</si>
  <si>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</si>
  <si>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</si>
  <si>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</si>
  <si>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</si>
  <si>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</si>
  <si>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</si>
  <si>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</si>
  <si>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</si>
  <si>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</si>
  <si>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</si>
  <si>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</si>
  <si>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</si>
  <si>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</si>
  <si>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</si>
  <si>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</si>
  <si>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</si>
  <si>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</si>
  <si>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</si>
  <si>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</si>
  <si>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</si>
  <si>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</si>
  <si>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</si>
  <si>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</si>
  <si>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</si>
  <si>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</si>
  <si>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</si>
  <si>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</si>
  <si>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</si>
  <si>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</si>
  <si>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</si>
  <si>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</si>
  <si>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</si>
  <si>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</si>
  <si>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</si>
  <si>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</si>
  <si>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</si>
  <si>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</si>
  <si>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</si>
  <si>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</si>
  <si>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</si>
  <si>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</si>
  <si>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</si>
  <si>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</si>
  <si>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</si>
  <si>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</si>
  <si>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</si>
  <si>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</si>
  <si>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</si>
  <si>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</si>
  <si>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</si>
  <si>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</si>
  <si>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</si>
  <si>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</si>
  <si>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</si>
  <si>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</si>
  <si>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</si>
  <si>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</si>
  <si>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</si>
  <si>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</si>
  <si>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</si>
  <si>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</si>
  <si>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</si>
  <si>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</si>
  <si>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</si>
  <si>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</si>
  <si>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</si>
  <si>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</si>
  <si>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</si>
  <si>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</si>
  <si>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</si>
  <si>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</si>
  <si>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</si>
  <si>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</si>
  <si>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</si>
  <si>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</si>
  <si>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</si>
  <si>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</si>
  <si>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</si>
  <si>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</si>
  <si>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</si>
  <si>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</si>
  <si>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</si>
  <si>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</si>
  <si>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</si>
  <si>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</si>
  <si>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</si>
  <si>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</si>
  <si>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</si>
  <si>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</si>
  <si>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</si>
  <si>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</si>
  <si>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</si>
  <si>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</si>
  <si>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</si>
  <si>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</si>
  <si>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</si>
  <si>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</si>
  <si>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</si>
  <si>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</si>
  <si>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</si>
  <si>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</si>
  <si>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</si>
  <si>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</si>
  <si>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</si>
  <si>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</si>
  <si>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</si>
  <si>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</si>
  <si>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</si>
  <si>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</si>
  <si>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</si>
  <si>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</si>
  <si>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</si>
  <si>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</si>
  <si>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</si>
  <si>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</si>
  <si>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</si>
  <si>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</si>
  <si>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</si>
  <si>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</si>
  <si>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</si>
  <si>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</si>
  <si>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</si>
  <si>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</si>
  <si>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</si>
  <si>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</si>
  <si>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</si>
  <si>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</si>
  <si>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</si>
  <si>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</si>
  <si>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</si>
  <si>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</si>
  <si>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</si>
  <si>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</si>
  <si>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</si>
  <si>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</si>
  <si>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</si>
  <si>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</si>
  <si>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</si>
  <si>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</si>
  <si>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</si>
  <si>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</si>
  <si>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</si>
  <si>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</si>
  <si>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</si>
  <si>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</si>
  <si>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</si>
  <si>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</si>
  <si>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</si>
  <si>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</si>
  <si>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</si>
  <si>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</si>
  <si>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</si>
  <si>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</si>
  <si>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</si>
  <si>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</si>
  <si>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</si>
  <si>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</si>
  <si>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</si>
  <si>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</si>
  <si>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</si>
  <si>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</si>
  <si>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</si>
  <si>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</si>
  <si>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</si>
  <si>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</si>
  <si>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</si>
  <si>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</si>
  <si>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</si>
  <si>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</si>
  <si>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</si>
  <si>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</si>
  <si>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</si>
  <si>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</si>
  <si>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</si>
  <si>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</si>
  <si>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</si>
  <si>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</si>
  <si>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</si>
  <si>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</si>
  <si>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</si>
  <si>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</si>
  <si>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</si>
  <si>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</si>
  <si>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</si>
  <si>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</si>
  <si>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</si>
  <si>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</si>
  <si>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</si>
  <si>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</si>
  <si>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</si>
  <si>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</si>
  <si>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</si>
  <si>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</si>
  <si>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</si>
  <si>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</si>
  <si>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</si>
  <si>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</si>
  <si>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</si>
  <si>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</si>
  <si>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</si>
  <si>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</si>
  <si>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</si>
  <si>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</si>
  <si>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</si>
  <si>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</si>
  <si>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</si>
  <si>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</si>
  <si>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</si>
  <si>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</si>
  <si>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</si>
  <si>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</si>
  <si>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</si>
  <si>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</si>
  <si>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</si>
  <si>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</si>
  <si>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</si>
  <si>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</si>
  <si>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</si>
  <si>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</si>
  <si>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</si>
  <si>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</si>
  <si>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</si>
  <si>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</si>
  <si>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</si>
  <si>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</si>
  <si>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</si>
  <si>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</si>
  <si>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</si>
  <si>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</si>
  <si>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</si>
  <si>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</si>
  <si>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</si>
  <si>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</si>
  <si>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</si>
  <si>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</si>
  <si>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</si>
  <si>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</si>
  <si>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</si>
  <si>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</si>
  <si>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</si>
  <si>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</si>
  <si>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</si>
  <si>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</si>
  <si>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</si>
  <si>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</si>
  <si>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</si>
  <si>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</si>
  <si>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</si>
  <si>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</si>
  <si>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</si>
  <si>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</si>
  <si>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</si>
  <si>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</si>
  <si>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</si>
  <si>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</si>
  <si>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</si>
  <si>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</si>
  <si>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</si>
  <si>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</si>
  <si>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</si>
  <si>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</si>
  <si>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</si>
  <si>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</si>
  <si>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</si>
  <si>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</si>
  <si>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</si>
  <si>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</si>
  <si>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</si>
  <si>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</si>
  <si>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</si>
  <si>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</si>
  <si>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</si>
  <si>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</si>
  <si>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</si>
  <si>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</si>
  <si>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</si>
  <si>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</si>
  <si>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</si>
  <si>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</si>
  <si>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</si>
  <si>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</si>
  <si>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</si>
  <si>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</si>
  <si>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</si>
  <si>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</si>
  <si>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</si>
  <si>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</si>
  <si>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</si>
  <si>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</si>
  <si>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</si>
  <si>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</si>
  <si>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</si>
  <si>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</si>
  <si>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</si>
  <si>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</si>
  <si>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</si>
  <si>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</si>
  <si>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</si>
  <si>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</si>
  <si>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</si>
  <si>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</si>
  <si>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</si>
  <si>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</si>
  <si>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</si>
  <si>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</si>
  <si>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</si>
  <si>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</si>
  <si>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</si>
  <si>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</si>
  <si>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</si>
  <si>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</si>
  <si>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</si>
  <si>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</si>
  <si>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</si>
  <si>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</si>
  <si>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</si>
  <si>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</si>
  <si>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</si>
  <si>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</si>
  <si>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</si>
  <si>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</si>
  <si>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</si>
  <si>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</si>
  <si>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</si>
  <si>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</si>
  <si>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</si>
  <si>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</si>
  <si>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</si>
  <si>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</si>
  <si>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</si>
  <si>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</si>
  <si>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</si>
  <si>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</si>
  <si>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</si>
  <si>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</si>
  <si>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</si>
  <si>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</si>
  <si>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</si>
  <si>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</si>
  <si>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</si>
  <si>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</si>
  <si>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</si>
  <si>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</si>
  <si>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</si>
  <si>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</si>
  <si>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</si>
  <si>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</si>
  <si>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</si>
  <si>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</si>
  <si>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</si>
  <si>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</si>
  <si>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</si>
  <si>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</si>
  <si>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</si>
  <si>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</si>
  <si>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</si>
  <si>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</si>
  <si>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</si>
  <si>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</si>
  <si>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</si>
  <si>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</si>
  <si>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</si>
  <si>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</si>
  <si>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</si>
  <si>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</si>
  <si>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</si>
  <si>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</si>
  <si>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</si>
  <si>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</si>
  <si>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</si>
  <si>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</si>
  <si>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</si>
  <si>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</si>
  <si>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</si>
  <si>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</si>
  <si>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</si>
  <si>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</si>
  <si>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</si>
  <si>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</si>
  <si>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</si>
  <si>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</si>
  <si>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</si>
  <si>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</si>
  <si>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</si>
  <si>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</si>
  <si>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</si>
  <si>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</si>
  <si>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</si>
  <si>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</si>
  <si>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</si>
  <si>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</si>
  <si>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</si>
  <si>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</si>
  <si>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</si>
  <si>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</si>
  <si>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</si>
  <si>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</si>
  <si>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</si>
  <si>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</si>
  <si>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</si>
  <si>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</si>
  <si>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</si>
  <si>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</si>
  <si>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</si>
  <si>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</si>
  <si>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</si>
  <si>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</si>
  <si>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</si>
  <si>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</si>
  <si>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</si>
  <si>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</si>
  <si>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</si>
  <si>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</si>
  <si>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</si>
  <si>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</si>
  <si>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</si>
  <si>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</si>
  <si>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</si>
  <si>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</si>
  <si>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</si>
  <si>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</si>
  <si>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</si>
  <si>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</si>
  <si>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</si>
  <si>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</si>
  <si>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</si>
  <si>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</si>
  <si>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</si>
  <si>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</si>
  <si>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</si>
  <si>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</si>
  <si>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</si>
  <si>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</si>
  <si>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</si>
  <si>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</si>
  <si>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</si>
  <si>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</si>
  <si>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</si>
  <si>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</si>
  <si>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</si>
  <si>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</si>
  <si>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</si>
  <si>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</si>
  <si>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</si>
  <si>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</si>
  <si>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</si>
  <si>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</si>
  <si>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</si>
  <si>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</si>
  <si>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</si>
  <si>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</si>
  <si>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</si>
  <si>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</si>
  <si>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</si>
  <si>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</si>
  <si>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</si>
  <si>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</si>
  <si>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</si>
  <si>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</si>
  <si>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</si>
  <si>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</si>
  <si>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</si>
  <si>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</si>
  <si>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</si>
  <si>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</si>
  <si>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</si>
  <si>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</si>
  <si>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</si>
  <si>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</si>
  <si>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</si>
  <si>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</si>
  <si>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</si>
  <si>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</si>
  <si>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</si>
  <si>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</si>
  <si>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</si>
  <si>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</si>
  <si>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</si>
  <si>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</si>
  <si>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</si>
  <si>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</si>
  <si>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</si>
  <si>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</si>
  <si>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</si>
  <si>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</si>
  <si>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</si>
  <si>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</si>
  <si>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</si>
  <si>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</si>
  <si>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</si>
  <si>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</si>
  <si>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</si>
  <si>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</si>
  <si>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</si>
  <si>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</si>
  <si>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</si>
  <si>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</si>
  <si>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</si>
  <si>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</si>
  <si>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</si>
  <si>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</si>
  <si>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</si>
  <si>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</si>
  <si>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</si>
  <si>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</si>
  <si>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</si>
  <si>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</si>
  <si>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</si>
  <si>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</si>
  <si>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</si>
  <si>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</si>
  <si>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</si>
  <si>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</si>
  <si>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</si>
  <si>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</si>
  <si>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</si>
  <si>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</si>
  <si>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</si>
  <si>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</si>
  <si>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</si>
  <si>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</si>
  <si>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</si>
  <si>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</si>
  <si>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</si>
  <si>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</si>
  <si>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</si>
  <si>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</si>
  <si>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</si>
  <si>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</si>
  <si>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</si>
  <si>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</si>
  <si>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</si>
  <si>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</si>
  <si>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</si>
  <si>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</si>
  <si>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</si>
  <si>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</si>
  <si>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</si>
  <si>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</si>
  <si>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</si>
  <si>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</si>
  <si>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</si>
  <si>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</si>
  <si>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</si>
  <si>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</si>
  <si>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</si>
  <si>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</si>
  <si>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</si>
  <si>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</si>
  <si>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</si>
  <si>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</si>
  <si>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</si>
  <si>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</si>
  <si>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</si>
  <si>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</si>
  <si>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</si>
  <si>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</si>
  <si>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</si>
  <si>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</si>
  <si>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</si>
  <si>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</si>
  <si>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</si>
  <si>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</si>
  <si>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</si>
  <si>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</si>
  <si>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</si>
  <si>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</si>
  <si>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</si>
  <si>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</si>
  <si>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</si>
  <si>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</si>
  <si>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</si>
  <si>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</si>
  <si>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</si>
  <si>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</si>
  <si>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</si>
  <si>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</si>
  <si>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</si>
  <si>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</si>
  <si>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</si>
  <si>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</si>
  <si>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</si>
  <si>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</si>
  <si>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</si>
  <si>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</si>
  <si>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</si>
  <si>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</si>
  <si>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</si>
  <si>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</si>
  <si>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</si>
  <si>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</si>
  <si>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</si>
  <si>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</si>
  <si>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</si>
  <si>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</si>
  <si>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</si>
  <si>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</si>
  <si>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</si>
  <si>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</si>
  <si>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</si>
  <si>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</si>
  <si>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</si>
  <si>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</si>
  <si>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</si>
  <si>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</si>
  <si>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</si>
  <si>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</si>
  <si>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</si>
  <si>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</si>
  <si>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</si>
  <si>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</si>
  <si>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</si>
  <si>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</si>
  <si>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</si>
  <si>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</si>
  <si>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</si>
  <si>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</si>
  <si>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</si>
  <si>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</si>
  <si>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</si>
  <si>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</si>
  <si>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</si>
  <si>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</si>
  <si>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</si>
  <si>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</si>
  <si>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</si>
  <si>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</si>
  <si>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</si>
  <si>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</si>
  <si>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</si>
  <si>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</si>
  <si>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</si>
  <si>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</si>
  <si>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</si>
  <si>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</si>
  <si>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</si>
  <si>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</si>
  <si>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</si>
  <si>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</si>
  <si>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</si>
  <si>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</si>
  <si>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</si>
  <si>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</si>
  <si>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</si>
  <si>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</si>
  <si>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</si>
  <si>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</si>
  <si>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</si>
  <si>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</si>
  <si>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 HH received Sanitary Pads</t>
  </si>
  <si>
    <t># HH received soaps</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</si>
  <si>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</si>
  <si>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</si>
  <si>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</si>
  <si>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</si>
  <si>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</si>
  <si>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</si>
  <si>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</si>
  <si>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</si>
  <si>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</si>
  <si>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</si>
  <si>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</si>
  <si>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</si>
  <si>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</si>
  <si>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</si>
  <si>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</si>
  <si>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</si>
  <si>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</si>
  <si>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</si>
  <si>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</si>
  <si>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</si>
  <si>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</si>
  <si>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</si>
  <si>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</si>
  <si>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</si>
  <si>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</si>
  <si>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</si>
  <si>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</si>
  <si>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</si>
  <si>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</si>
  <si>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</si>
  <si>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</si>
  <si>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</si>
  <si>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</si>
  <si>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Robert -Middle school</t>
  </si>
  <si>
    <t>Target</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</si>
  <si>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</si>
  <si>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</si>
  <si>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</si>
  <si>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</si>
  <si>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</si>
  <si>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</si>
  <si>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</si>
  <si>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</si>
  <si>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</si>
  <si>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</si>
  <si>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</si>
  <si>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</si>
  <si>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</si>
  <si>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</si>
  <si>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</si>
  <si>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</si>
  <si>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</si>
  <si>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</si>
  <si>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</si>
  <si>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</si>
  <si>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</si>
  <si>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</si>
  <si>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</si>
  <si>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</si>
  <si>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</si>
  <si>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</si>
  <si>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</si>
  <si>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</si>
  <si>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</si>
  <si>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</si>
  <si>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</si>
  <si>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</si>
  <si>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</si>
  <si>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</si>
  <si>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</si>
  <si>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</si>
  <si>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</si>
  <si>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</si>
  <si>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</si>
  <si>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</si>
  <si>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</si>
  <si>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</si>
  <si>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</si>
  <si>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</si>
  <si>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</si>
  <si>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</si>
  <si>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</si>
  <si>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</si>
  <si>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</si>
  <si>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</si>
  <si>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</si>
  <si>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</si>
  <si>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</si>
  <si>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</si>
  <si>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</si>
  <si>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</si>
  <si>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</si>
  <si>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</si>
  <si>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</si>
  <si>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</si>
  <si>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</si>
  <si>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</si>
  <si>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</si>
  <si>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</si>
  <si>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</si>
  <si>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</si>
  <si>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</si>
  <si>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</si>
  <si>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</si>
  <si>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</si>
  <si>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</si>
  <si>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</si>
  <si>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</si>
  <si>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</si>
  <si>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</si>
  <si>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</si>
  <si>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</si>
  <si>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</si>
  <si>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</si>
  <si>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</si>
  <si>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</si>
  <si>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</si>
  <si>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</si>
  <si>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</si>
  <si>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</si>
  <si>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</si>
  <si>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</si>
  <si>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</si>
  <si>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</si>
  <si>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</si>
  <si>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</si>
  <si>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</si>
  <si>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</si>
  <si>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</si>
  <si>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</si>
  <si>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</si>
  <si>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</si>
  <si>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</si>
  <si>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</si>
  <si>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</si>
  <si>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</si>
  <si>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</si>
  <si>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</si>
  <si>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</si>
  <si>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</si>
  <si>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</si>
  <si>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</si>
  <si>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</si>
  <si>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</si>
  <si>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</si>
  <si>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</si>
  <si>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</si>
  <si>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</si>
  <si>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</si>
  <si>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</si>
  <si>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</si>
  <si>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</si>
  <si>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</si>
  <si>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</si>
  <si>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</si>
  <si>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</si>
  <si>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</si>
  <si>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</si>
  <si>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</si>
  <si>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</si>
  <si>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</si>
  <si>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</si>
  <si>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</si>
  <si>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</si>
  <si>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</si>
  <si>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</si>
  <si>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</si>
  <si>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</si>
  <si>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</si>
  <si>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</si>
  <si>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</si>
  <si>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</si>
  <si>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</si>
  <si>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</si>
  <si>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</si>
  <si>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</si>
  <si>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</si>
  <si>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</si>
  <si>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</si>
  <si>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</si>
  <si>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</si>
  <si>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</si>
  <si>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</si>
  <si>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</si>
  <si>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</si>
  <si>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</si>
  <si>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</si>
  <si>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</si>
  <si>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</si>
  <si>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</si>
  <si>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</si>
  <si>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</si>
  <si>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</si>
  <si>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</si>
  <si>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</si>
  <si>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</si>
  <si>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</si>
  <si>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</si>
  <si>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</si>
  <si>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</si>
  <si>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</si>
  <si>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</si>
  <si>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</si>
  <si>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</si>
  <si>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</si>
  <si>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</si>
  <si>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</si>
  <si>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</si>
  <si>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</si>
  <si>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</si>
  <si>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</si>
  <si>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</si>
  <si>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</si>
  <si>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</si>
  <si>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</si>
  <si>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</si>
  <si>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</si>
  <si>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</si>
  <si>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</si>
  <si>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</si>
  <si>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</si>
  <si>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</si>
  <si>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</si>
  <si>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</si>
  <si>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</si>
  <si>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</si>
  <si>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</si>
  <si>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</si>
  <si>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</si>
  <si>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</si>
  <si>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</si>
  <si>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</si>
  <si>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</si>
  <si>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</si>
  <si>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</si>
  <si>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</si>
  <si>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</si>
  <si>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</si>
  <si>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</si>
  <si>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</si>
  <si>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</si>
  <si>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</si>
  <si>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</si>
  <si>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</si>
  <si>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</si>
  <si>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</si>
  <si>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</si>
  <si>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</si>
  <si>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</si>
  <si>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</si>
  <si>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</si>
  <si>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</si>
  <si>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</si>
  <si>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</si>
  <si>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</si>
  <si>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</si>
  <si>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</si>
  <si>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</si>
  <si>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</si>
  <si>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</si>
  <si>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</si>
  <si>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</si>
  <si>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</si>
  <si>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</si>
  <si>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</si>
  <si>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</si>
  <si>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</si>
  <si>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</si>
  <si>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</si>
  <si>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</si>
  <si>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</si>
  <si>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</si>
  <si>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</si>
  <si>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Gap%</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</si>
  <si>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</si>
  <si>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</si>
  <si>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</si>
  <si>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</si>
  <si>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</si>
  <si>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</si>
  <si>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</si>
  <si>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</si>
  <si>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</si>
  <si>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</si>
  <si>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Coverage%</t>
  </si>
  <si>
    <t>Total population</t>
  </si>
  <si>
    <t>Total</t>
  </si>
  <si>
    <t>Kachin 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</si>
  <si>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</si>
  <si>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</si>
  <si>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</si>
  <si>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</si>
  <si>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</si>
  <si>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</si>
  <si>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</si>
  <si>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</si>
  <si>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</si>
  <si>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</si>
  <si>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</si>
  <si>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</si>
  <si>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</si>
  <si>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</si>
  <si>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</si>
  <si>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</si>
  <si>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</si>
  <si>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</si>
  <si>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</si>
  <si>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</si>
  <si>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Gap in active camps / township</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</si>
  <si>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</si>
  <si>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</si>
  <si>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</si>
  <si>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</si>
  <si>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</si>
  <si>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</si>
  <si>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</si>
  <si>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</si>
  <si>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</si>
  <si>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</si>
  <si>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KBC, Metta</t>
  </si>
  <si>
    <t># latrines (target)</t>
  </si>
  <si>
    <t># latrines desludged</t>
  </si>
  <si>
    <t># in GCA (20:1)</t>
  </si>
  <si>
    <t># in NGCA (20:1)</t>
  </si>
  <si>
    <t>HRP target</t>
  </si>
  <si>
    <t>No Test</t>
  </si>
  <si>
    <t>Tested</t>
  </si>
  <si>
    <t>HHs</t>
  </si>
  <si>
    <t>Pops</t>
  </si>
  <si>
    <t>% WATER GAP</t>
  </si>
  <si>
    <t>% LATRINE GAP</t>
  </si>
  <si>
    <t>% HYGIENE GAP</t>
  </si>
  <si>
    <t>WinE</t>
  </si>
  <si>
    <t xml:space="preserve"> # of hand washing stations for TLS</t>
  </si>
  <si>
    <t xml:space="preserve"> # of latrines in TLS (schools)</t>
  </si>
  <si>
    <t>GAP</t>
  </si>
  <si>
    <t>Latrines handed over</t>
  </si>
  <si>
    <t>Latrines not handed over</t>
  </si>
  <si>
    <t>%equitable and continuous access to sufficient quantity of safe drinking and domestic water's GAP</t>
  </si>
  <si>
    <t>% of Latrine Gap</t>
  </si>
  <si>
    <t>Functioning</t>
  </si>
  <si>
    <t>Desludging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</si>
  <si>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</si>
  <si>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</si>
  <si>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</si>
  <si>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</si>
  <si>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</si>
  <si>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</si>
  <si>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</si>
  <si>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</si>
  <si>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</si>
  <si>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</si>
  <si>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</si>
  <si>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</si>
  <si>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</si>
  <si>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</si>
  <si>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</si>
  <si>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</si>
  <si>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</si>
  <si>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</si>
  <si>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</si>
  <si>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</si>
  <si>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</si>
  <si>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</si>
  <si>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</si>
  <si>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</si>
  <si>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</si>
  <si>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</si>
  <si>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</si>
  <si>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</si>
  <si>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</si>
  <si>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</si>
  <si>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</si>
  <si>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</si>
  <si>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</si>
  <si>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</si>
  <si>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</si>
  <si>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</si>
  <si>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</si>
  <si>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</si>
  <si>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</si>
  <si>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</si>
  <si>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</si>
  <si>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</si>
  <si>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</si>
  <si>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</si>
  <si>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V39</t>
  </si>
  <si>
    <t>Number of paid camp based WASH skilled labor</t>
  </si>
  <si>
    <t>V40</t>
  </si>
  <si>
    <t>Number of paid camp based WASH unskilled labor</t>
  </si>
  <si>
    <t>စခန္းအတြင္း အဖြဲ႕အစည္းမွ အခေၾကးေငြျဖင့္ခန္႔ထားေသာ (က်ြမ္းက်င္) WASH ၀န္ထမ္း အေရအတြက္</t>
  </si>
  <si>
    <t># Water points in TLS</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</si>
  <si>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</si>
  <si>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</si>
  <si>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</si>
  <si>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</si>
  <si>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</si>
  <si>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</si>
  <si>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</si>
  <si>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</si>
  <si>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</si>
  <si>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</si>
  <si>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</si>
  <si>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</si>
  <si>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</si>
  <si>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</si>
  <si>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</si>
  <si>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</si>
  <si>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</si>
  <si>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</si>
  <si>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</si>
  <si>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</si>
  <si>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</si>
  <si>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National</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</si>
  <si>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</si>
  <si>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</si>
  <si>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</si>
  <si>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</si>
  <si>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</si>
  <si>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</si>
  <si>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</si>
  <si>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</si>
  <si>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</si>
  <si>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</si>
  <si>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</si>
  <si>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</si>
  <si>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</si>
  <si>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</si>
  <si>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</si>
  <si>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</si>
  <si>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</si>
  <si>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DFID/HARP,LDS</t>
  </si>
  <si>
    <t>9/30/2020,9/30/18</t>
  </si>
  <si>
    <t>Pang Hkawn Yang</t>
  </si>
  <si>
    <t>Lone Khin Catholic Church</t>
  </si>
  <si>
    <t>Momauk IDP new Extension camp
(Alen Kawng Lawk)</t>
  </si>
  <si>
    <t>Namatee AG</t>
  </si>
  <si>
    <t>Mohyin</t>
  </si>
  <si>
    <t>Zupra</t>
  </si>
  <si>
    <t>Ban Dang</t>
  </si>
  <si>
    <t>Sut Chyai</t>
  </si>
  <si>
    <t>Da Wei</t>
  </si>
  <si>
    <t>Htai Ra Yang</t>
  </si>
  <si>
    <t>Lawt Awng</t>
  </si>
  <si>
    <t>30/06/2019</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</si>
  <si>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</si>
  <si>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</si>
  <si>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</si>
  <si>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</si>
  <si>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</si>
  <si>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</si>
  <si>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</si>
  <si>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</si>
  <si>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</si>
  <si>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</si>
  <si>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</si>
  <si>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</si>
  <si>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</si>
  <si>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</si>
  <si>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</si>
  <si>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</si>
  <si>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</si>
  <si>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</si>
  <si>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</si>
  <si>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</si>
  <si>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</si>
  <si>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</si>
  <si>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</si>
  <si>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</si>
  <si>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</si>
  <si>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</si>
  <si>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</si>
  <si>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</si>
  <si>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</si>
  <si>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</si>
  <si>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</si>
  <si>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</si>
  <si>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</si>
  <si>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</si>
  <si>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</si>
  <si>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</si>
  <si>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</si>
  <si>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</si>
  <si>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</si>
  <si>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</si>
  <si>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</si>
  <si>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</si>
  <si>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</si>
  <si>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</si>
  <si>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</si>
  <si>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</si>
  <si>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</si>
  <si>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</si>
  <si>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</si>
  <si>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</si>
  <si>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</si>
  <si>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</si>
  <si>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</si>
  <si>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</si>
  <si>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</si>
  <si>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</si>
  <si>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</si>
  <si>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</si>
  <si>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</si>
  <si>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</si>
  <si>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</si>
  <si>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</si>
  <si>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</si>
  <si>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</si>
  <si>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</si>
  <si>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</si>
  <si>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</si>
  <si>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</si>
  <si>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</si>
  <si>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</si>
  <si>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</si>
  <si>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</si>
  <si>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</si>
  <si>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</si>
  <si>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</si>
  <si>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</si>
  <si>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</si>
  <si>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</si>
  <si>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</si>
  <si>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</si>
  <si>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KBC, Metta, SI</t>
  </si>
  <si>
    <t>KBC, KMSS, Shalom</t>
  </si>
  <si>
    <t>KBC, KMSS</t>
  </si>
  <si>
    <t>KBC, KMSS, Metta, Shalom</t>
  </si>
  <si>
    <t>Malteser, MHDO</t>
  </si>
  <si>
    <t>only camp</t>
  </si>
  <si>
    <t>only village</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</si>
  <si>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</si>
  <si>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</si>
  <si>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</si>
  <si>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</si>
  <si>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</si>
  <si>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</si>
  <si>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</si>
  <si>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</si>
  <si>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</si>
  <si>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</si>
  <si>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</si>
  <si>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</si>
  <si>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</si>
  <si>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</si>
  <si>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</si>
  <si>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</si>
  <si>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</si>
  <si>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</si>
  <si>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</si>
  <si>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</si>
  <si>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</si>
  <si>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</si>
  <si>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</si>
  <si>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</si>
  <si>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</si>
  <si>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</si>
  <si>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</si>
  <si>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</si>
  <si>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</si>
  <si>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</si>
  <si>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</si>
  <si>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</si>
  <si>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</si>
  <si>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</si>
  <si>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</si>
  <si>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</si>
  <si>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</si>
  <si>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</si>
  <si>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</si>
  <si>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</si>
  <si>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</si>
  <si>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</si>
  <si>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</si>
  <si>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</si>
  <si>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</si>
  <si>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</si>
  <si>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</si>
  <si>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</si>
  <si>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</si>
  <si>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</si>
  <si>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</si>
  <si>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</si>
  <si>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</si>
  <si>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</si>
  <si>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</si>
  <si>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</si>
  <si>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</si>
  <si>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</si>
  <si>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</si>
  <si>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</si>
  <si>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</si>
  <si>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</si>
  <si>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</si>
  <si>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</si>
  <si>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</si>
  <si>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</si>
  <si>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</si>
  <si>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</si>
  <si>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</si>
  <si>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</si>
  <si>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</si>
  <si>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</si>
  <si>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</si>
  <si>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</si>
  <si>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</si>
  <si>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</si>
  <si>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</si>
  <si>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</si>
  <si>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</si>
  <si>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</si>
  <si>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</si>
  <si>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</si>
  <si>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</si>
  <si>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</si>
  <si>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</si>
  <si>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</si>
  <si>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</si>
  <si>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</si>
  <si>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</si>
  <si>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</si>
  <si>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</si>
  <si>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</si>
  <si>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</si>
  <si>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</si>
  <si>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</si>
  <si>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</si>
  <si>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</si>
  <si>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</si>
  <si>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</si>
  <si>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</si>
  <si>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</si>
  <si>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</si>
  <si>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</si>
  <si>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</si>
  <si>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</si>
  <si>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</si>
  <si>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</si>
  <si>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</si>
  <si>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</si>
  <si>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KBC,KMSS</t>
  </si>
  <si>
    <t>V41</t>
  </si>
  <si>
    <t>2018_Q3</t>
  </si>
  <si>
    <t>2018_Q4</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</si>
  <si>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</si>
  <si>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</si>
  <si>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</si>
  <si>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</si>
  <si>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</si>
  <si>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</si>
  <si>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</si>
  <si>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</si>
  <si>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</si>
  <si>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</si>
  <si>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</si>
  <si>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</si>
  <si>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</si>
  <si>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</si>
  <si>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</si>
  <si>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</si>
  <si>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</si>
  <si>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</si>
  <si>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</si>
  <si>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</si>
  <si>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</si>
  <si>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</si>
  <si>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</si>
  <si>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</si>
  <si>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</si>
  <si>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</si>
  <si>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</si>
  <si>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</si>
  <si>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</si>
  <si>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</si>
  <si>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</si>
  <si>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</si>
  <si>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</si>
  <si>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</si>
  <si>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</si>
  <si>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</si>
  <si>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</si>
  <si>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</si>
  <si>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</si>
  <si>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</si>
  <si>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</si>
  <si>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</si>
  <si>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</si>
  <si>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</si>
  <si>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</si>
  <si>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</si>
  <si>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</si>
  <si>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</si>
  <si>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</si>
  <si>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</si>
  <si>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</si>
  <si>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</si>
  <si>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</si>
  <si>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</si>
  <si>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</si>
  <si>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</si>
  <si>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</si>
  <si>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ECHO, OFDA, MHF</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</si>
  <si>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</si>
  <si>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</si>
  <si>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</si>
  <si>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</si>
  <si>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</si>
  <si>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</si>
  <si>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</si>
  <si>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</si>
  <si>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</si>
  <si>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</si>
  <si>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</si>
  <si>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</si>
  <si>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</si>
  <si>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</si>
  <si>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09/30/2020, 1/30/2019</t>
  </si>
  <si>
    <t>OXSI (SI)</t>
  </si>
  <si>
    <t xml:space="preserve"> # of hand washing stations with sufficient soap</t>
  </si>
  <si>
    <t>Plan/GFFO</t>
  </si>
  <si>
    <t>Khaung Doke Khar 1</t>
  </si>
  <si>
    <t>Khaung Doke Khar 2 (Hmanzi)</t>
  </si>
  <si>
    <t>Phwe Yar Kone (Say Tha Mar Gyi)</t>
  </si>
  <si>
    <t>CCCM_2018Dec</t>
  </si>
  <si>
    <t>Agritural Compound (KBC) Total</t>
  </si>
  <si>
    <t>Aung Thar Church Total</t>
  </si>
  <si>
    <t>Htoi San Church Total</t>
  </si>
  <si>
    <t>IDP Boarding School, A Len Bum Total</t>
  </si>
  <si>
    <t>Kachin Su Baptist Church (ECCD) Total</t>
  </si>
  <si>
    <t>Khar Nan (1) Baptist Church Total</t>
  </si>
  <si>
    <t>Lisu Boarding-House Total</t>
  </si>
  <si>
    <t>Man Bung Catholic compound Total</t>
  </si>
  <si>
    <t>Mandalay Monestry Total</t>
  </si>
  <si>
    <t>Mansi Baptist Church Total</t>
  </si>
  <si>
    <t>Momauk Baptist Church Total</t>
  </si>
  <si>
    <t>Mu-yin Baptist Church Total</t>
  </si>
  <si>
    <t>Nant Hlaing Church Total</t>
  </si>
  <si>
    <t>Shwe Gu Baptist Church Total</t>
  </si>
  <si>
    <t>Shwe Gu Catholic Church Total</t>
  </si>
  <si>
    <t>Woi Chyai (Mong Lai) Total</t>
  </si>
  <si>
    <t>Woi Chyai host families Total</t>
  </si>
  <si>
    <t>Yoe Kyi Monastery Total</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</si>
  <si>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</si>
  <si>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</si>
  <si>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</si>
  <si>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</si>
  <si>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</si>
  <si>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</si>
  <si>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</si>
  <si>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</si>
  <si>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</si>
  <si>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</si>
  <si>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</si>
  <si>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</si>
  <si>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</si>
  <si>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</si>
  <si>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</si>
  <si>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</si>
  <si>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</si>
  <si>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</si>
  <si>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</si>
  <si>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</si>
  <si>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</si>
  <si>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</si>
  <si>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</si>
  <si>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</si>
  <si>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</si>
  <si>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</si>
  <si>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</si>
  <si>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HRP1: Percentage of women, men, boys and girls benefitting from safe/improved drinking water, meeting demand for domestic purposes, at minimum/agreed standards</t>
  </si>
  <si>
    <t xml:space="preserve">Water boating or water trucking
</t>
  </si>
  <si>
    <t>Aim for dry season is 7.5 liters/person/day minimum</t>
  </si>
  <si>
    <t>HRP 1 (unimproved sources)</t>
  </si>
  <si>
    <t>HRP  (unimproved sources)</t>
  </si>
  <si>
    <t>Water points fully handed over  (managed by families / small group of families with repairs by WASH/camp committees)</t>
  </si>
  <si>
    <t># of water sources tested for contamination during the reporting period</t>
  </si>
  <si>
    <t># of water sources treated (ie shock chlorination) due to contamination during the reporting period</t>
  </si>
  <si>
    <t># of households tested for contamination during the reporting period</t>
  </si>
  <si>
    <t>HRP 2 (latrine X 20 ppl)</t>
  </si>
  <si>
    <t>HRP 2 (latrine X 6 ppl)</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</si>
  <si>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</si>
  <si>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</si>
  <si>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</si>
  <si>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</si>
  <si>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</si>
  <si>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</si>
  <si>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HRP 2 (Latrine X 20 ppl)</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</si>
  <si>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</si>
  <si>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</si>
  <si>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</si>
  <si>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</si>
  <si>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</si>
  <si>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</si>
  <si>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</si>
  <si>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</si>
  <si>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</si>
  <si>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</si>
  <si>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</si>
  <si>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</si>
  <si>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</si>
  <si>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</si>
  <si>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</si>
  <si>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</si>
  <si>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</si>
  <si>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</si>
  <si>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</si>
  <si>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</si>
  <si>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</si>
  <si>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</si>
  <si>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</si>
  <si>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</si>
  <si>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</si>
  <si>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</si>
  <si>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</si>
  <si>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HRP 3 (11ks / HH / Qtr)</t>
  </si>
  <si>
    <t>V60</t>
  </si>
  <si>
    <t>Number of households that received standard amount of sanitary pads for this quarter</t>
  </si>
  <si>
    <t>HRP 3 (45 sanitary pads / menstrating age female / HH / quater)</t>
  </si>
  <si>
    <t>V61</t>
  </si>
  <si>
    <t>V62</t>
  </si>
  <si>
    <t>V63</t>
  </si>
  <si>
    <t>2019 HRP Calculation</t>
  </si>
  <si>
    <t xml:space="preserve">HRP 2019 Indicators </t>
  </si>
  <si>
    <t>Percentage of women, men, boys and girls benefitting from safe/improved drinking water, meeting demand for domestic purposes, at minimum/agreed standards</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</si>
  <si>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</si>
  <si>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Percentage of people per safe/improved water source</t>
  </si>
  <si>
    <t>Percentage of targeted women, men, boys and girls benefitting from a functional excreta disposal system, reducing safety/public health/environmental risks</t>
  </si>
  <si>
    <t xml:space="preserve"># of male hygiene promoters
# of female hygiene promoters
# of households that received standard amount of soap for this quarter
# of households that received standard amount of sanitary pads for this quarter
</t>
  </si>
  <si>
    <t>Percentage of HH per hygiene promoter
Percentage of HH coverage</t>
  </si>
  <si>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</si>
  <si>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</si>
  <si>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</si>
  <si>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</si>
  <si>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</si>
  <si>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</si>
  <si>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</si>
  <si>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</si>
  <si>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</si>
  <si>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</si>
  <si>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</si>
  <si>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</si>
  <si>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</si>
  <si>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</si>
  <si>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</si>
  <si>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</si>
  <si>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</si>
  <si>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</si>
  <si>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</si>
  <si>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</si>
  <si>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boating or water trucking</t>
  </si>
  <si>
    <t>#_Water points fully handed over</t>
  </si>
  <si>
    <t>#_Water sources tested for contamination</t>
  </si>
  <si>
    <t>#_Water sources treated</t>
  </si>
  <si>
    <t>#_Household water samples tested for contamination</t>
  </si>
  <si>
    <t>#_Household received remediation action due to contamination</t>
  </si>
  <si>
    <t>#_male hygiene promoters</t>
  </si>
  <si>
    <t>#_female hygiene promoters</t>
  </si>
  <si>
    <t>#_households that received standard amount of soap for this quarter</t>
  </si>
  <si>
    <t>#_households that received standard amount of sanitary pads for this quarter</t>
  </si>
  <si>
    <t>#_Hygiene Promotion activities (sessions) in TLS?</t>
  </si>
  <si>
    <t xml:space="preserve">Hygiene
Comments </t>
  </si>
  <si>
    <t>Camp figures is needed to align with CCCM</t>
  </si>
  <si>
    <t>Site information</t>
  </si>
  <si>
    <t>Project Duration</t>
  </si>
  <si>
    <t>WASH Partner &amp; Donor information</t>
  </si>
  <si>
    <t>2019_Q1</t>
  </si>
  <si>
    <t>2019_Q2</t>
  </si>
  <si>
    <t>2019_Q3</t>
  </si>
  <si>
    <t>2019_Q4</t>
  </si>
  <si>
    <t>Total # of Functioning latrine</t>
  </si>
  <si>
    <t># of Functioning latrine</t>
  </si>
  <si>
    <t>2019 HRP Indicators</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</si>
  <si>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</si>
  <si>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</si>
  <si>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</si>
  <si>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</si>
  <si>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</si>
  <si>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</si>
  <si>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</si>
  <si>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</si>
  <si>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</si>
  <si>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</si>
  <si>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</si>
  <si>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</si>
  <si>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</si>
  <si>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</si>
  <si>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</si>
  <si>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</si>
  <si>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</si>
  <si>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</si>
  <si>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</si>
  <si>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</si>
  <si>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</si>
  <si>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</si>
  <si>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</si>
  <si>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</si>
  <si>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</si>
  <si>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</si>
  <si>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</si>
  <si>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</si>
  <si>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</si>
  <si>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</si>
  <si>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</si>
  <si>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</si>
  <si>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</si>
  <si>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</si>
  <si>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</si>
  <si>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</si>
  <si>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</si>
  <si>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</si>
  <si>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</si>
  <si>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</si>
  <si>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</si>
  <si>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</si>
  <si>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</si>
  <si>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</si>
  <si>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</si>
  <si>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</si>
  <si>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</si>
  <si>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</si>
  <si>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</si>
  <si>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</si>
  <si>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</si>
  <si>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</si>
  <si>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</si>
  <si>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Water sources tested for contamination during reporting period</t>
  </si>
  <si>
    <t>Water sources treated  during reporting period</t>
  </si>
  <si>
    <t>Household water samples tested for contamination  during reporting period</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</si>
  <si>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</si>
  <si>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</si>
  <si>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</si>
  <si>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</si>
  <si>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</si>
  <si>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</si>
  <si>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</si>
  <si>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</si>
  <si>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</si>
  <si>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</si>
  <si>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</si>
  <si>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</si>
  <si>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</si>
  <si>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</si>
  <si>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</si>
  <si>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</si>
  <si>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</si>
  <si>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</si>
  <si>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</si>
  <si>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</si>
  <si>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</si>
  <si>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</si>
  <si>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</si>
  <si>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</si>
  <si>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</si>
  <si>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</si>
  <si>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</si>
  <si>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</si>
  <si>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</si>
  <si>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child friendly latrines</t>
  </si>
  <si>
    <t xml:space="preserve">Constructed/Existing disabled &amp; elderly friendly latrines </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</si>
  <si>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</si>
  <si>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</si>
  <si>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</si>
  <si>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</si>
  <si>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</si>
  <si>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water distribution system from river or natural spring</t>
  </si>
  <si>
    <t>#_Constructed/Existing hand washing stations at TLS</t>
  </si>
  <si>
    <t>#_Constructed/Existing child friendly latrines</t>
  </si>
  <si>
    <t xml:space="preserve">#_Constructed/Existing disabled &amp; elderly friendly latrines </t>
  </si>
  <si>
    <t>#_Constructed/Existing latrines in TLS</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</si>
  <si>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</si>
  <si>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</si>
  <si>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</si>
  <si>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</si>
  <si>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</si>
  <si>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</si>
  <si>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</si>
  <si>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</si>
  <si>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</si>
  <si>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</si>
  <si>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</si>
  <si>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</si>
  <si>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</si>
  <si>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</si>
  <si>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</si>
  <si>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</si>
  <si>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</si>
  <si>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</si>
  <si>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</si>
  <si>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</si>
  <si>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</si>
  <si>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</si>
  <si>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</si>
  <si>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</si>
  <si>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</si>
  <si>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</si>
  <si>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</si>
  <si>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</si>
  <si>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</si>
  <si>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</si>
  <si>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</si>
  <si>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</si>
  <si>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</si>
  <si>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</si>
  <si>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</si>
  <si>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</si>
  <si>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</si>
  <si>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</si>
  <si>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</si>
  <si>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</si>
  <si>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</si>
  <si>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</si>
  <si>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</si>
  <si>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</si>
  <si>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</si>
  <si>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</si>
  <si>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</si>
  <si>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</si>
  <si>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</si>
  <si>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</si>
  <si>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</si>
  <si>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</si>
  <si>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</si>
  <si>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</si>
  <si>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</si>
  <si>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</si>
  <si>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</si>
  <si>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</si>
  <si>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</si>
  <si>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</si>
  <si>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</si>
  <si>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</si>
  <si>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</si>
  <si>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</si>
  <si>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</si>
  <si>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</si>
  <si>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</si>
  <si>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</si>
  <si>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Household received corrective action due to contamination  in reporting period</t>
  </si>
  <si>
    <t># of households that received water treatment activities (ie P&amp;G/aqua tabs with hygiene promotion) due to water contamination during the reporting period</t>
  </si>
  <si>
    <t xml:space="preserve">Constructed/Existing hand washing stations at TLS and CFS </t>
  </si>
  <si>
    <t xml:space="preserve"># of handwashing stations constructed at temporary learing spacse and Child Friendly Spaces
</t>
  </si>
  <si>
    <t xml:space="preserve">Number of water points in TLS and CFS 
</t>
  </si>
  <si>
    <t xml:space="preserve">number of waterpoints constructed or rehabilitated in temporary learing spacse and Child Friendly Spaces
</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</si>
  <si>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</si>
  <si>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</si>
  <si>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</si>
  <si>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</si>
  <si>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</si>
  <si>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</si>
  <si>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</si>
  <si>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</si>
  <si>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</si>
  <si>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 xml:space="preserve">Constructed/Existing latrines in TLS and CFS </t>
  </si>
  <si>
    <t>Kachin/Shan</t>
  </si>
  <si>
    <t>HHs targeted (i.e. 89% in Rakhine) who received soap at least once in the reporting quarter (Soap means: a pack of soaps as provided in a standard Hygiene Kit )</t>
  </si>
  <si>
    <t>HHs targeted (i.e. 89% of HHs in Rakhine) who received sanitary pads at least once in the reporting quarter (sanitary pads mean: a pack of sanitary pads as provided in a standard Hygiene Kit.)</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</si>
  <si>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</si>
  <si>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</si>
  <si>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</si>
  <si>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</si>
  <si>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</si>
  <si>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</si>
  <si>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</si>
  <si>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</si>
  <si>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</si>
  <si>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</si>
  <si>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</si>
  <si>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</si>
  <si>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</si>
  <si>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</si>
  <si>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</si>
  <si>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</si>
  <si>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</si>
  <si>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</si>
  <si>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</si>
  <si>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</si>
  <si>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</si>
  <si>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</si>
  <si>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</si>
  <si>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</si>
  <si>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</si>
  <si>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</si>
  <si>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</si>
  <si>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</si>
  <si>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</si>
  <si>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</si>
  <si>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</si>
  <si>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</si>
  <si>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V20, 23, 24, 27, 30, 31, 32</t>
  </si>
  <si>
    <t xml:space="preserve"># Constructed/Existing protected hand dug well
# Constructed tube wells/boreholes/handpumps by WASH agency
# Constructed water tube-wells/boreholes/handpumps by Non-cluster partners
# Constructed/existing of water storage tank with gravity fed reticulation system
# Water boating or water trucking
# Constructed/Existing protected/fenced ponds
# Constructed water distribution system from river
</t>
  </si>
  <si>
    <t>Percentage of targeted women, men, boys and girls benefitting from timely/adequate/tailored personal hygiene items and receiving appropriate/ community tailored messages that enable health seeking behavior</t>
  </si>
  <si>
    <t>V61, 62, 63, 64</t>
  </si>
  <si>
    <r>
      <t>Constructed/Existing latrines in TLS and</t>
    </r>
    <r>
      <rPr>
        <sz val="10"/>
        <color rgb="FFFF0000"/>
        <rFont val="Corbel"/>
        <family val="2"/>
      </rPr>
      <t xml:space="preserve"> CFS </t>
    </r>
  </si>
  <si>
    <r>
      <t>အိမ္သာလွဴထားေသာ ပုဂၢလိက/အျခားအလွဴရွင္မ်ား/အဖြဲ့အစည္းမ်ား</t>
    </r>
    <r>
      <rPr>
        <sz val="8"/>
        <rFont val="Zawgyi-One"/>
        <family val="2"/>
      </rPr>
      <t>၏ အမည္</t>
    </r>
  </si>
  <si>
    <t>#_students at TLS_CFS</t>
  </si>
  <si>
    <t>#_committes/technicians trained and maintaining the water points</t>
  </si>
  <si>
    <t xml:space="preserve">#_of water points in TLS and CFS </t>
  </si>
  <si>
    <t>Name of Non-Cluster partner who constructed latrines</t>
  </si>
  <si>
    <t>% of students reached by HP activities</t>
  </si>
  <si>
    <t>% Household received corrective actions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</si>
  <si>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</si>
  <si>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</si>
  <si>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</si>
  <si>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</si>
  <si>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</si>
  <si>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</si>
  <si>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</si>
  <si>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</si>
  <si>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</si>
  <si>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</si>
  <si>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Water boating or water trucking</t>
  </si>
  <si>
    <t>(1 cm3=1000 liters)</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</si>
  <si>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</si>
  <si>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</si>
  <si>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</si>
  <si>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</si>
  <si>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</si>
  <si>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</si>
  <si>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</si>
  <si>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 students access to functioning school latrines</t>
  </si>
  <si>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</si>
  <si>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</si>
  <si>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</si>
  <si>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</si>
  <si>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</si>
  <si>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</si>
  <si>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</si>
  <si>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</si>
  <si>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</si>
  <si>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</si>
  <si>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</si>
  <si>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</si>
  <si>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Provision of Hygiene Promotion activities (sessions?) in TLS and CFS during the reporting period</t>
  </si>
  <si>
    <t xml:space="preserve"> HRP1</t>
  </si>
  <si>
    <t xml:space="preserve"> HRP2</t>
  </si>
  <si>
    <t xml:space="preserve"> HRP3</t>
  </si>
  <si>
    <t>Number of  women, men, boys and girls benefitting from safe/improved drinking water, meeting demand for domestic purposes, at minimum/agreed standards</t>
  </si>
  <si>
    <t>Number of targeted women, men, boys and girls benefitting from a functional excreta disposal system, reducing safety/public health/environmental risks</t>
  </si>
  <si>
    <t>Number of targeted women, men, boys and girls benefitting from timely/adequate/tailored personal hygiene items and receiving appropriate/ community tailored messages that enable health seeking behavior</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</si>
  <si>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</si>
  <si>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</si>
  <si>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</si>
  <si>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</si>
  <si>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IOM</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</si>
  <si>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</si>
  <si>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</si>
  <si>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</si>
  <si>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</si>
  <si>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</si>
  <si>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</si>
  <si>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</si>
  <si>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</si>
  <si>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</si>
  <si>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</si>
  <si>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</si>
  <si>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</si>
  <si>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</si>
  <si>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</si>
  <si>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</si>
  <si>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</si>
  <si>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</si>
  <si>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</si>
  <si>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</si>
  <si>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</si>
  <si>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</si>
  <si>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</si>
  <si>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</si>
  <si>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</si>
  <si>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</si>
  <si>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</si>
  <si>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</si>
  <si>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</si>
  <si>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</si>
  <si>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</si>
  <si>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</si>
  <si>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</si>
  <si>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</si>
  <si>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</si>
  <si>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</si>
  <si>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</si>
  <si>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</si>
  <si>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Nil</t>
  </si>
  <si>
    <t>Kar Hpi Chaung</t>
  </si>
  <si>
    <t>U Gar Hton</t>
  </si>
  <si>
    <t>Ma La Kyun</t>
  </si>
  <si>
    <t>Dway Cha</t>
  </si>
  <si>
    <t>MHF,EU</t>
  </si>
  <si>
    <t>1-March-2019
1-March-2019</t>
  </si>
  <si>
    <t>31-July-2019
31-Oct-2019</t>
  </si>
  <si>
    <t>During this time, the contamination at the water sources are not too serious relative to the usual Sittwe camps WASH situation (34%)
 but HH level contamination is higher than the water source(71%). Additionally, there are many private handpumps (around 120) which are owned by IDPs, some of which were built by other organisations then privatised - there are maintained by households themselves and we monitor the water quality but water treatment depends on the consultation and agreement, which was mostly accepted, but some households would not alow treatment (shock chlorination).</t>
  </si>
  <si>
    <t>Around 18302.2</t>
  </si>
  <si>
    <t>There have been some overflowing latrines in the camp and there are still challenges to cover all the latrine pits due to a high rate of theft/vandalism. The government provided 240 latrines which will be at high risk of flooding during the rainy season. DRC plans to repair 150 latrines and to construct 23 new latrines for people with disabilities (PwD).</t>
  </si>
  <si>
    <t>RDC distributed 2259 kits based on needs identified by PDM (toothpaste,shampoo, 
 jerry cans), and plans to conduct WASH in schools hygiene promotion sessions. According to the PDM results, the amount of sanitary pads is not enough for much female family members, so DRC is trying to identify funding to provide female hygiene kits.</t>
  </si>
  <si>
    <t>During this time, the contamination at the water sources are not too serious relative to the usual Sittwe camps situation (27% were low risk and medium risk and were treated by shock chlorination)
 but HH level contamination is higher than the water source (86%were low risk,medium risk and high risk). Same issue with private handpumps as in OTG-S.</t>
  </si>
  <si>
    <t>There has been a problem with overflowing latrine pits in the camp due to desludging capacity, and DRC is still having challenges to cover all the latrine pits (due to a hgh rate of theft and vandalism of the concrete covers). Overflowing of latrine pits is likely to be a challenge during the rainy season. DRC plans to repair 50 latrines and construct 12 adult latrines and 10 latrines for people with disabilities (PwD).</t>
  </si>
  <si>
    <t>400 household kits (jerry cans, shampoo, toothpaste)
were distributed in repsonse to a PDM. DRC plans to conduct WASH in schools hygiene promotion sessions. According to the PDM result, the amount of sanitary pads is not enough for most female family members, so DRC is trying to identify funding to cover this gap.</t>
  </si>
  <si>
    <t>YinYeKan</t>
  </si>
  <si>
    <t>OhnHnanChaung</t>
  </si>
  <si>
    <t>ThonePetChaing</t>
  </si>
  <si>
    <t>MiGyaungTet</t>
  </si>
  <si>
    <t>KaLarChaung</t>
  </si>
  <si>
    <t>PyunTo</t>
  </si>
  <si>
    <t>Sar Pyin</t>
  </si>
  <si>
    <t>Nga Khu Chaung</t>
  </si>
  <si>
    <t>Tha Yet Cho</t>
  </si>
  <si>
    <t>Tha Yet</t>
  </si>
  <si>
    <t>NgweTwinDway</t>
  </si>
  <si>
    <t>NgaWetSway</t>
  </si>
  <si>
    <t>HlaKhaing</t>
  </si>
  <si>
    <t>MinPauk</t>
  </si>
  <si>
    <t>Pyein Chaung (ngwe Twin Dway tract)</t>
  </si>
  <si>
    <t>MRCS</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</si>
  <si>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</si>
  <si>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</si>
  <si>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</si>
  <si>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</si>
  <si>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</si>
  <si>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</si>
  <si>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</si>
  <si>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</si>
  <si>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</si>
  <si>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</si>
  <si>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</si>
  <si>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</si>
  <si>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</si>
  <si>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</si>
  <si>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</si>
  <si>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</si>
  <si>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</si>
  <si>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</si>
  <si>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</si>
  <si>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</si>
  <si>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</si>
  <si>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</si>
  <si>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</si>
  <si>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</si>
  <si>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</si>
  <si>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</si>
  <si>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</si>
  <si>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</si>
  <si>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</si>
  <si>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</si>
  <si>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</si>
  <si>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</si>
  <si>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</si>
  <si>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</si>
  <si>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</si>
  <si>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</si>
  <si>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</si>
  <si>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</si>
  <si>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</si>
  <si>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</si>
  <si>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</si>
  <si>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</si>
  <si>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</si>
  <si>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</si>
  <si>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</si>
  <si>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</si>
  <si>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</si>
  <si>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</si>
  <si>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</si>
  <si>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</si>
  <si>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</si>
  <si>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</si>
  <si>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</si>
  <si>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</si>
  <si>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</si>
  <si>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</si>
  <si>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</si>
  <si>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</si>
  <si>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</si>
  <si>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OXSI(Oxfam), MA_UK</t>
  </si>
  <si>
    <t>45 meters cube storage planned to be installed in the next months</t>
  </si>
  <si>
    <t>the HHs use to have bathing place inside the shelter or as shelter extension</t>
  </si>
  <si>
    <t>28/02/2018 and 28/02/2019, 01/07/2018, 01/10/2018</t>
  </si>
  <si>
    <t>28/02/2019 and 28/02/2020, 30/06/2019, 30/09/2019</t>
  </si>
  <si>
    <t>SI does not deliver treated water to ANY village, only CWF and HP sessions</t>
  </si>
  <si>
    <t>HHs latrines distributed in 2017 after Mora cyclone</t>
  </si>
  <si>
    <t>SI does not deliver treated water in NC1, pilot on istallation of sand pond filter in 1 pond + distribution of HH filters</t>
  </si>
  <si>
    <t>no drainage possible since NC1 is under the level of the sea</t>
  </si>
  <si>
    <t>no drainage possible since NC2 is under the level of the sea</t>
  </si>
  <si>
    <t xml:space="preserve"> -   </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</si>
  <si>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</si>
  <si>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</si>
  <si>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</si>
  <si>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</si>
  <si>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</si>
  <si>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</si>
  <si>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</si>
  <si>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</si>
  <si>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</si>
  <si>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</si>
  <si>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</si>
  <si>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</si>
  <si>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</si>
  <si>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</si>
  <si>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</si>
  <si>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</si>
  <si>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</si>
  <si>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</si>
  <si>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</si>
  <si>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Pond Rehabilition</t>
  </si>
  <si>
    <t>ECHO, OFDA</t>
  </si>
  <si>
    <t>01/01/2018, 01/07/2018</t>
  </si>
  <si>
    <t>28-02-2019, 30/06/2019</t>
  </si>
  <si>
    <t>we put combine data information for AD 2000 &amp; AD ext</t>
  </si>
  <si>
    <t>we put combine data information for all lisu camps.</t>
  </si>
  <si>
    <t>WHH-AA / USAID</t>
  </si>
  <si>
    <t xml:space="preserve">Water shortage in summer and inadequate water </t>
  </si>
  <si>
    <t xml:space="preserve">IDP received hygiene icentive items; body soap 6 pcs, laundry soap 30 pcs and detergant powder 15 pcs from HE Session, its about 3 months covered. </t>
  </si>
  <si>
    <t>UNICEF, WHH(AA)</t>
  </si>
  <si>
    <t>1/2/19,1/10/18</t>
  </si>
  <si>
    <t>31/1/20,30/9/20</t>
  </si>
  <si>
    <t>ေရႏႈတ္ေျမာင္းတူးရန္ အစီစဥ္ရွိသည္။</t>
  </si>
  <si>
    <t>GFFO</t>
  </si>
  <si>
    <t>most of the lartines are needed to repair</t>
  </si>
  <si>
    <t>Drinking water problem</t>
  </si>
  <si>
    <t>GFFO, (UNICEF, WHH(AA))</t>
  </si>
  <si>
    <t>12/1/2017,(1/2/19,1/10/18)</t>
  </si>
  <si>
    <t>11/30/2019,(31/1/20,30/9/20)</t>
  </si>
  <si>
    <t>31-3-2019 / 30-Nov-2019</t>
  </si>
  <si>
    <t>31-3-2019</t>
  </si>
  <si>
    <t>Metta, KMSS</t>
  </si>
  <si>
    <t>WHH-AA, UNIUCEF</t>
  </si>
  <si>
    <t>12/1/2018,10/1/2018</t>
  </si>
  <si>
    <t>11.30/2019,9/30/2020</t>
  </si>
  <si>
    <t>1-Jan-2019 / 1-Dec-2018</t>
  </si>
  <si>
    <t>WHH-AA, UNICEF</t>
  </si>
  <si>
    <t>10/1/2018, 12/1/2018</t>
  </si>
  <si>
    <t>9/30/2020, 11/30/2019</t>
  </si>
  <si>
    <t>Shan (North) Total</t>
  </si>
  <si>
    <t>Hpai Kawng Mare Total</t>
  </si>
  <si>
    <t>Kutkai downtown (KBC Church) Total</t>
  </si>
  <si>
    <t>Kutkai downtown (RC Church) Total</t>
  </si>
  <si>
    <t>Lisu Church Namtu Total</t>
  </si>
  <si>
    <t>Mandung - Jinghpaw Total</t>
  </si>
  <si>
    <t>Muse Baptist Church Total</t>
  </si>
  <si>
    <t>Nam Sa Larp Total</t>
  </si>
  <si>
    <t>Nam Tu Baptist Total</t>
  </si>
  <si>
    <t>Pan Ta Pyae Total</t>
  </si>
  <si>
    <t>Boe Taw monastery</t>
  </si>
  <si>
    <t>Man Li</t>
  </si>
  <si>
    <t>Sasana 2500 monastery</t>
  </si>
  <si>
    <t>German (AA/BMZ)</t>
  </si>
  <si>
    <t>Baw Du Pha Village (IDP in host families)</t>
  </si>
  <si>
    <t>UMCOR</t>
  </si>
  <si>
    <t>NiDin</t>
  </si>
  <si>
    <t>OXSI (OXFAM)</t>
  </si>
  <si>
    <t>IDP only</t>
  </si>
  <si>
    <t>Village + New IDPs</t>
  </si>
  <si>
    <t>camp + village + new IDP</t>
  </si>
  <si>
    <t>only new IDP</t>
  </si>
  <si>
    <t>Northern Rakhine</t>
  </si>
  <si>
    <t>Central Rakhine</t>
  </si>
  <si>
    <t xml:space="preserve"> #_students at TLS_CFS</t>
  </si>
  <si>
    <t xml:space="preserve"> # People received regular supply of hygiene items</t>
  </si>
  <si>
    <t># People access to Handwashing Station</t>
  </si>
  <si>
    <t xml:space="preserve"> # People access to Handwashing Station</t>
  </si>
  <si>
    <t>Targeted population provided with sanitation or hygiene kits or key hygiene items</t>
  </si>
  <si>
    <t>Targeted population in humanitarian situations accessing appropriate hygiene education in schools, temporary learning spaces and other child friendly spaces</t>
  </si>
  <si>
    <t xml:space="preserve"> # people reached by regular dedicated hygiene promotion</t>
  </si>
  <si>
    <t>GCA (500:1)</t>
  </si>
  <si>
    <t>NGCA (500:1)</t>
  </si>
  <si>
    <t>Temporary location_Town</t>
  </si>
  <si>
    <t>New Temporary Site</t>
  </si>
  <si>
    <t>Count of Warter quality test done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</si>
  <si>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</si>
  <si>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</si>
  <si>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</si>
  <si>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</si>
  <si>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</si>
  <si>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</si>
  <si>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</si>
  <si>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</si>
  <si>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</si>
  <si>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</si>
  <si>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</si>
  <si>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</si>
  <si>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</si>
  <si>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</si>
  <si>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</si>
  <si>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</si>
  <si>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</si>
  <si>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</si>
  <si>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</si>
  <si>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</si>
  <si>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Plan/GFFO,ADRA/CANADA ,UNICEF</t>
  </si>
  <si>
    <t>1/4/19,12/1/2018</t>
  </si>
  <si>
    <t>7/31/19,31/3/2019</t>
  </si>
  <si>
    <t>Sum of #_households that received standard amount of soap for this quarter</t>
  </si>
  <si>
    <t>Sum of #_households that received standard amount of sanitary pads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</si>
  <si>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</si>
  <si>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</si>
  <si>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</si>
  <si>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#_of water points in TLS and CFS </t>
  </si>
  <si>
    <t xml:space="preserve"> #_Constructed/Existing latrines in TLS</t>
  </si>
  <si>
    <t xml:space="preserve"> #_Constructed/Existing hand washing stations at TLS</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</si>
  <si>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</si>
  <si>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</si>
  <si>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</si>
  <si>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</si>
  <si>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</si>
  <si>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</si>
  <si>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</si>
  <si>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</si>
  <si>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</si>
  <si>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</si>
  <si>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</si>
  <si>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</si>
  <si>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</si>
  <si>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</si>
  <si>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</si>
  <si>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</si>
  <si>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</si>
  <si>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</si>
  <si>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</si>
  <si>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</si>
  <si>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</si>
  <si>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</si>
  <si>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</si>
  <si>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DFID/HARP, EU</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</si>
  <si>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</si>
  <si>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</si>
  <si>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</si>
  <si>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</si>
  <si>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</si>
  <si>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</si>
  <si>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</si>
  <si>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</si>
  <si>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</si>
  <si>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</si>
  <si>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</si>
  <si>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</si>
  <si>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</si>
  <si>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</si>
  <si>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</si>
  <si>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</si>
  <si>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</si>
  <si>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</si>
  <si>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KBC, KMSS, Metta, WPN</t>
  </si>
  <si>
    <t>KBC, Metta, KMSS, SI, WPN</t>
  </si>
  <si>
    <t>SCI, SI</t>
  </si>
  <si>
    <t>DRC,OXSI (SI),OXSI(Oxfam), MA_UK</t>
  </si>
  <si>
    <t>MHDO, Unicef</t>
  </si>
  <si>
    <t>GIZ, SCI, SI</t>
  </si>
  <si>
    <t>ACF, OXSI (Oxfam), OXSI (SI)</t>
  </si>
  <si>
    <t>MHDO, Unicef, WFP</t>
  </si>
  <si>
    <t>DFID(HARP)/UNICEF</t>
  </si>
  <si>
    <t>DFID(HARP)</t>
  </si>
  <si>
    <t># of People adopt basic personal and community hygiene practices</t>
  </si>
  <si>
    <t># of people access to functioning  sanitation facilities</t>
  </si>
  <si>
    <t># of people Equitable and continuous access to sufficient quantity of domestic water</t>
  </si>
  <si>
    <t>Sites with TLS</t>
  </si>
  <si>
    <t>Count of Sites with TLS</t>
  </si>
  <si>
    <t>Northern Shan</t>
  </si>
  <si>
    <t>Oxfam/ ICRC</t>
  </si>
  <si>
    <t>Chruch</t>
  </si>
  <si>
    <t>Shalom &amp; Chruch</t>
  </si>
  <si>
    <t>Unicef &amp; World vision</t>
  </si>
  <si>
    <t>KBC &amp; World vision</t>
  </si>
  <si>
    <t>UNHCR &amp; World vision</t>
  </si>
  <si>
    <t>remove from db, ipds moved to lawa rc church</t>
  </si>
  <si>
    <t>HH
(Rakhine-CCCM as of 31st Jan 2019)
(Kachin/Shan-CCCM as of 31st March 2019)</t>
  </si>
  <si>
    <t>Pop
(Rakhine-CCCM as of 31st Jan 2019)
(Kachin/Shan-CCCM as of 31st March 2019)</t>
  </si>
  <si>
    <t>CCCM_2019Jan</t>
  </si>
  <si>
    <t xml:space="preserve"># Constructed latrines (cluster semi-permanent design for protracted sites; cluster emergency design for new displacement sites) by WASH agency
# Constructed latrines by Non-Cluster partner 
</t>
  </si>
  <si>
    <t>V42, 43</t>
  </si>
  <si>
    <r>
      <t xml:space="preserve">Camp:20PPL:1
Village: 6 PPL:1
</t>
    </r>
    <r>
      <rPr>
        <sz val="12"/>
        <color theme="1"/>
        <rFont val="Gill Sans MT"/>
        <family val="2"/>
      </rPr>
      <t xml:space="preserve">
</t>
    </r>
  </si>
  <si>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</si>
  <si>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</si>
  <si>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</si>
  <si>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</si>
  <si>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Ah Htet Thin Pone Tan</t>
  </si>
  <si>
    <t>Yoe Ta Yote</t>
  </si>
  <si>
    <t>Sin Thi Pein Hne Taw (Sin Tae)</t>
  </si>
  <si>
    <t>MRCS, PLAN, RI</t>
  </si>
  <si>
    <t>MRCS,others</t>
  </si>
  <si>
    <t>Kan Sauk</t>
  </si>
  <si>
    <t>Taung Min Ku Lar</t>
  </si>
  <si>
    <t>Kyun Taw</t>
  </si>
  <si>
    <t>MRCS,Others</t>
  </si>
  <si>
    <t>Say Oe Kya ( Host+ Displaced)</t>
  </si>
  <si>
    <t>Thay Kan Gwa Sone ( Host)</t>
  </si>
  <si>
    <t>Zay Di Taung  ( Host + Displaced)</t>
  </si>
  <si>
    <t>UNICEF/ UNHCR/UNFPA</t>
  </si>
  <si>
    <t>MRCS,UNICEF</t>
  </si>
  <si>
    <t>MRCS,Others,ACF</t>
  </si>
  <si>
    <t>Pan Myaung (Aung Mingalar Monastery)</t>
  </si>
  <si>
    <t>Gye Kyaung</t>
  </si>
  <si>
    <t>Win Zar</t>
  </si>
  <si>
    <t>Others</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</si>
  <si>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</si>
  <si>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</si>
  <si>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</si>
  <si>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</si>
  <si>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</si>
  <si>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</si>
  <si>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</si>
  <si>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</si>
  <si>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</si>
  <si>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</si>
  <si>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</si>
  <si>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</si>
  <si>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</si>
  <si>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</si>
  <si>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</si>
  <si>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</si>
  <si>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</si>
  <si>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</si>
  <si>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</si>
  <si>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</si>
  <si>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</si>
  <si>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</si>
  <si>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</si>
  <si>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</si>
  <si>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</si>
  <si>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</si>
  <si>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</si>
  <si>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</si>
  <si>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</si>
  <si>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</si>
  <si>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</si>
  <si>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</si>
  <si>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</si>
  <si>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</si>
  <si>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</si>
  <si>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</si>
  <si>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</si>
  <si>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</si>
  <si>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</si>
  <si>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</si>
  <si>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</si>
  <si>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</si>
  <si>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</si>
  <si>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</si>
  <si>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</si>
  <si>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</si>
  <si>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</si>
  <si>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</si>
  <si>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MRCS, Others</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</si>
  <si>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</si>
  <si>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</si>
  <si>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</si>
  <si>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</si>
  <si>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</si>
  <si>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</si>
  <si>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</si>
  <si>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</si>
  <si>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</si>
  <si>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Shaw Me (primary school)</t>
  </si>
  <si>
    <t>Tin Nyo (Primary school)</t>
  </si>
  <si>
    <t>MRCS, PLAN, RI,Others</t>
  </si>
  <si>
    <t>others</t>
  </si>
  <si>
    <t>MRCS,Others,UNICEF/ACF</t>
  </si>
  <si>
    <t>UNICEF,Others</t>
  </si>
  <si>
    <t>CARE,Others</t>
  </si>
  <si>
    <t>Others/ WVI</t>
  </si>
  <si>
    <t>Others,MRCS</t>
  </si>
  <si>
    <t>MRCS, ACF</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</si>
  <si>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</si>
  <si>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</si>
  <si>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</si>
  <si>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</si>
  <si>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</si>
  <si>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</si>
  <si>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</si>
  <si>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</si>
  <si>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</si>
  <si>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</si>
  <si>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</si>
  <si>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</si>
  <si>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</si>
  <si>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</si>
  <si>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</si>
  <si>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</si>
  <si>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</si>
  <si>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</si>
  <si>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</si>
  <si>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</si>
  <si>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</si>
  <si>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</si>
  <si>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</si>
  <si>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</si>
  <si>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Ywa Thit</t>
  </si>
  <si>
    <t>Teik Tu Pauk</t>
  </si>
  <si>
    <t>Kan Thar Yar</t>
  </si>
  <si>
    <t>Shwe Baho+Sein P M</t>
  </si>
  <si>
    <t>Tat U Chaung (West)</t>
  </si>
  <si>
    <t>WVI</t>
  </si>
  <si>
    <t>Zay Di Taung (Rakhine)</t>
  </si>
  <si>
    <t>Bar Ri Zar</t>
  </si>
  <si>
    <t>Tat U Chaung</t>
  </si>
  <si>
    <t>Pyar Pyin Thein Tan</t>
  </si>
  <si>
    <t>Sum of #_Water sources tested for contamination2</t>
  </si>
  <si>
    <t>Count of #_Water sources tested for contamination</t>
  </si>
  <si>
    <t>Sum of #_Household water samples tested for contamination2</t>
  </si>
  <si>
    <t>Count of #_Household water samples tested for contamination</t>
  </si>
  <si>
    <t>Sum of #_Household received remediation action due to contamination</t>
  </si>
  <si>
    <t>Sum of #_Water sources treated</t>
  </si>
  <si>
    <t># Tested</t>
  </si>
  <si>
    <t xml:space="preserve"> # Treated</t>
  </si>
  <si>
    <t>No test</t>
  </si>
  <si>
    <t xml:space="preserve"> # Tested</t>
  </si>
  <si>
    <t xml:space="preserve"> # Household received remediation action</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</si>
  <si>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</si>
  <si>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</si>
  <si>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</si>
  <si>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</si>
  <si>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</si>
  <si>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</si>
  <si>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KMSS,Metta</t>
  </si>
  <si>
    <t>UNICEF,ADRA(CANADA)</t>
  </si>
  <si>
    <t>4/1/2019,5/1/2019</t>
  </si>
  <si>
    <t>7/31/2019,1/31/2020</t>
  </si>
  <si>
    <t>7/31/2019,31/1/2020</t>
  </si>
  <si>
    <t>UNICEF,ADRA(CANADA),PLAN(GFFO)</t>
  </si>
  <si>
    <t xml:space="preserve">Htang Nya </t>
  </si>
  <si>
    <t>01/06/2019, 01/07/2019</t>
  </si>
  <si>
    <t>30/11/2019, 30/12/2019</t>
  </si>
  <si>
    <t>WHH-AA</t>
  </si>
  <si>
    <t>Require water running cost</t>
  </si>
  <si>
    <t>require timinly desludging</t>
  </si>
  <si>
    <t>require tube well for drink water</t>
  </si>
  <si>
    <t>4/1/2019,5/1/2019,5/1/2019</t>
  </si>
  <si>
    <t>7/31/2019,1/31/2020,9/30/2021</t>
  </si>
  <si>
    <t>HPA</t>
  </si>
  <si>
    <t>Lian Bang village</t>
  </si>
  <si>
    <t>Lian He village</t>
  </si>
  <si>
    <t>Ci He village</t>
  </si>
  <si>
    <t>New Man Jiu village</t>
  </si>
  <si>
    <t>Hpun Lum Yang  Total</t>
  </si>
  <si>
    <t>Man Loi Total</t>
  </si>
  <si>
    <t>Man Wing Baptist Church Total</t>
  </si>
  <si>
    <t>Man Wing Baptist Church Cultural Compound Total</t>
  </si>
  <si>
    <t>Man Wing Catholic Church Total</t>
  </si>
  <si>
    <t>Man Wing Catholic Church II Total</t>
  </si>
  <si>
    <t>Man Wing Host Families Total</t>
  </si>
  <si>
    <t>Mungji Pa Dabang (Baptist Church) Total</t>
  </si>
  <si>
    <t>Nam Hkam (KBC Jaw Wang) Total</t>
  </si>
  <si>
    <t>Nam Hkam (KBC Jaw Wang) II Total</t>
  </si>
  <si>
    <t>Namhkan - Pang Long KBC Total</t>
  </si>
  <si>
    <t>Woi Chyai  Total</t>
  </si>
  <si>
    <t>To be edited</t>
  </si>
  <si>
    <t>Site</t>
  </si>
  <si>
    <t>Germany FFO</t>
  </si>
  <si>
    <t>2019-1nd Qtr 4W Camp DASHBOARD</t>
  </si>
  <si>
    <t>GFFO,UNICEF</t>
  </si>
  <si>
    <t>12/1/2017,2/1/2019</t>
  </si>
  <si>
    <t>11/30/2019,1/31/2020</t>
  </si>
  <si>
    <t>MHF,UNICEF</t>
  </si>
  <si>
    <t>GFFO, UNICEF</t>
  </si>
  <si>
    <t>12/1/2017,(2/1/2019,8/1/18)</t>
  </si>
  <si>
    <t>2/1/2019,2/1/2019</t>
  </si>
  <si>
    <t>11/30/2019,(1/31/2020,9/30/2020)</t>
  </si>
  <si>
    <t>31/1/2020,1/31/2020</t>
  </si>
  <si>
    <t>UNICEF, WHH (AA)</t>
  </si>
  <si>
    <t>1/31/2020, 9/30/2020</t>
  </si>
  <si>
    <t>2/1/2019,8/1/18</t>
  </si>
  <si>
    <t>WHH(AA)</t>
  </si>
  <si>
    <t>MHF, UNICEF</t>
  </si>
  <si>
    <t>1/31/2020,1/31/2020</t>
  </si>
  <si>
    <t>has plan for draiange</t>
  </si>
  <si>
    <t>1-Mar-2019 / 1-Dec-2018</t>
  </si>
  <si>
    <t>31-12-2020 / 30-Nov-2019</t>
  </si>
  <si>
    <t>31-12-2020</t>
  </si>
  <si>
    <t>1-Mar-2019 / 1-Dec-2019</t>
  </si>
  <si>
    <t>Galeng (Palaung) &amp; Kone Khem Total</t>
  </si>
  <si>
    <t>Lisu Baptist Church Total</t>
  </si>
  <si>
    <t>Mee Pho Kone Total</t>
  </si>
  <si>
    <t>Enai (Man Pyein) Total</t>
  </si>
  <si>
    <t xml:space="preserve">  # People received regular supply of hygiene items_6</t>
  </si>
  <si>
    <t xml:space="preserve">  #_students at TLS_CFS</t>
  </si>
  <si>
    <t>30/06/2019, 7/10/2019</t>
  </si>
  <si>
    <t>OFDA,MHF-SI</t>
  </si>
  <si>
    <t>7/1/2018, 10/11/2018</t>
  </si>
  <si>
    <t>Spring water pipe line destroy due to heavy rain in every year.</t>
  </si>
  <si>
    <t>MHF/ MHF-SI</t>
  </si>
  <si>
    <t xml:space="preserve">Short under ground water level, thus water shortage durnig every summer. </t>
  </si>
  <si>
    <t>SI-KBC</t>
  </si>
  <si>
    <t xml:space="preserve">Individual HH latrine was completed in every HH, KBC provide the latrine maintenance. </t>
  </si>
  <si>
    <t>Hygiene kit distrubution on regularly</t>
  </si>
  <si>
    <t xml:space="preserve">KACHIN STATE (2019 - Qtr 2 - 4W Analysis, as of 30 June 2019) </t>
  </si>
  <si>
    <t xml:space="preserve">NORTHERN SHAN STATE  (2019 - Qtr 2 - 4W Analysis, as of 30 June 2019) </t>
  </si>
  <si>
    <t>HARP,UNICEF</t>
  </si>
  <si>
    <t>lack of water tank/collection pool</t>
    <phoneticPr fontId="96" type="noConversion"/>
  </si>
  <si>
    <t>water source is a big problem in the camp, not eough for all villagers</t>
    <phoneticPr fontId="96" type="noConversion"/>
  </si>
  <si>
    <t>some families need new latrines the original place is close to their kitchen</t>
  </si>
  <si>
    <t>12/31/2019,1/31/2020</t>
  </si>
  <si>
    <t>KBC, KMSS, Metta, SI, WPN</t>
  </si>
  <si>
    <t>Mungji Pa Dabang (Catholic Church) Total</t>
  </si>
  <si>
    <t>KMSS, Metta, SCI</t>
  </si>
  <si>
    <t>Gap in village / township</t>
  </si>
  <si>
    <t>Community Feedback (Q2-2019) from Cluster Team Monitoring</t>
  </si>
  <si>
    <t>WATER_17. Water issues/challenges (Community Feedback)</t>
  </si>
  <si>
    <t>Spring shortage in dry season</t>
  </si>
  <si>
    <t>Fuel Engine running cost</t>
  </si>
  <si>
    <t>Fuel charges , now  IDP contribution 2000ks per HH</t>
  </si>
  <si>
    <t>Water quality is contaminated iron thus IDP would request to attached treatment filter or distribute HH water filter.</t>
  </si>
  <si>
    <t>Water pump have to be replace with new one.</t>
  </si>
  <si>
    <t>Shortage in dry season</t>
  </si>
  <si>
    <t>Tube well need repairs</t>
  </si>
  <si>
    <t>Needs Tube well  and  to replace or repairs current pump</t>
  </si>
  <si>
    <t>General_state</t>
  </si>
  <si>
    <t>Sanitation_23. Sanitation issues/challenges (Community Feedback)</t>
  </si>
  <si>
    <t>Frequent need of desludging</t>
  </si>
  <si>
    <t>Sludge are nearly full, desludging service</t>
  </si>
  <si>
    <t>No proper drain or waste water between barrack</t>
  </si>
  <si>
    <t>Latrine and shelter are quite close due to narrow space thus IDP get bad smell from latrine.</t>
  </si>
  <si>
    <t>Drainage system is need to be upgrade</t>
  </si>
  <si>
    <t>2 latrine needed but no land to construct</t>
  </si>
  <si>
    <t>No water available at some corner of camp latrine</t>
  </si>
  <si>
    <t>No way to desludge</t>
  </si>
  <si>
    <t>Some door frame shrink and can't fix to close</t>
  </si>
  <si>
    <t>Pits design / pits are full at raining season ( instruction of ground water )</t>
  </si>
  <si>
    <t>Hygiene_29. Hygiene Issues/Challenges (Community Feedback)</t>
  </si>
  <si>
    <t>Cash for hygiene is not ok for them, prefer items</t>
  </si>
  <si>
    <t>support need for hygiene items</t>
  </si>
  <si>
    <t>Hygiene Promotion and Hygiene items needed</t>
  </si>
  <si>
    <t>O&amp; M need for hand washing and promotion need for hand washing practice</t>
  </si>
  <si>
    <t>IDP requested Hygiene kit distribution by quarterly.</t>
  </si>
  <si>
    <t>Regular Hygiene Promotion needed</t>
  </si>
  <si>
    <t>Sanitary pad not received for long time .</t>
  </si>
  <si>
    <t>Hand washing station are not function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</si>
</sst>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5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sz val="11"/>
      <color theme="1"/>
      <name val="Calibri"/>
      <family val="2"/>
      <scheme val="minor"/>
    </font>
    <font>
      <sz val="10"/>
      <color theme="1"/>
      <name val="Calibri"/>
      <family val="2"/>
      <scheme val="minor"/>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b/>
      <sz val="11"/>
      <name val="Calibri"/>
      <family val="2"/>
      <scheme val="minor"/>
    </font>
    <font>
      <sz val="18"/>
      <name val="zawgyi1"/>
      <family val="2"/>
    </font>
    <font>
      <sz val="11"/>
      <name val="zawgyi1"/>
      <family val="2"/>
    </font>
    <font>
      <sz val="8"/>
      <color rgb="FF2C2C2C"/>
      <name val="Zawgyi-One"/>
      <family val="2"/>
    </font>
    <font>
      <sz val="8"/>
      <name val="Zawgyi-One"/>
      <family val="2"/>
    </font>
    <font>
      <sz val="8"/>
      <color theme="1"/>
      <name val="Zawgyi-One"/>
      <family val="2"/>
    </font>
    <font>
      <b/>
      <sz val="10"/>
      <color theme="0"/>
      <name val="Corbel"/>
      <family val="2"/>
    </font>
    <font>
      <b/>
      <sz val="10"/>
      <color rgb="FF0070C0"/>
      <name val="Crobel"/>
    </font>
    <font>
      <b/>
      <sz val="14"/>
      <color theme="0"/>
      <name val="zawgyi1"/>
      <family val="2"/>
    </font>
    <font>
      <b/>
      <sz val="14"/>
      <color rgb="FFFFC000"/>
      <name val="zawgyi1"/>
      <family val="2"/>
    </font>
    <font>
      <sz val="10"/>
      <color rgb="FF2C2C2C"/>
      <name val="Corbel"/>
      <family val="2"/>
    </font>
    <font>
      <sz val="10"/>
      <color rgb="FF2C2C2C"/>
      <name val="Zawgyi-One"/>
      <family val="2"/>
    </font>
    <font>
      <sz val="10"/>
      <color rgb="FF2C2C2C"/>
      <name val="zawgyi1"/>
      <family val="2"/>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0"/>
      <color rgb="FF2C2C2C"/>
      <name val="Corbel"/>
      <family val="2"/>
    </font>
    <font>
      <sz val="11"/>
      <color theme="1"/>
      <name val="Calibri"/>
      <family val="2"/>
      <scheme val="minor"/>
    </font>
    <font>
      <sz val="10"/>
      <color rgb="FF2C2C2C"/>
      <name val="Corbel"/>
      <family val="2"/>
    </font>
    <font>
      <sz val="10"/>
      <color indexed="8"/>
      <name val="Corbel"/>
      <family val="2"/>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rgb="FFFF0000"/>
      <name val="Calibri"/>
      <family val="2"/>
      <scheme val="minor"/>
    </font>
    <font>
      <b/>
      <sz val="9"/>
      <color indexed="81"/>
      <name val="宋体"/>
      <family val="3"/>
      <charset val="134"/>
    </font>
    <font>
      <sz val="9"/>
      <color indexed="81"/>
      <name val="宋体"/>
      <family val="3"/>
      <charset val="134"/>
    </font>
    <font>
      <sz val="12"/>
      <color theme="1"/>
      <name val="Calibri"/>
      <family val="2"/>
      <scheme val="minor"/>
    </font>
  </fonts>
  <fills count="56">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8" tint="0.79998168889431442"/>
        <bgColor theme="8" tint="0.79998168889431442"/>
      </patternFill>
    </fill>
    <fill>
      <patternFill patternType="solid">
        <fgColor rgb="FFC6EFCE"/>
        <bgColor indexed="64"/>
      </patternFill>
    </fill>
    <fill>
      <patternFill patternType="solid">
        <fgColor rgb="FFFFC7CE"/>
        <bgColor indexed="64"/>
      </patternFill>
    </fill>
    <fill>
      <patternFill patternType="solid">
        <fgColor theme="9" tint="-0.249977111117893"/>
        <bgColor theme="9" tint="-0.249977111117893"/>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s>
  <borders count="155">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style="thin">
        <color theme="7" tint="-0.249977111117893"/>
      </left>
      <right/>
      <top style="thin">
        <color indexed="64"/>
      </top>
      <bottom style="thin">
        <color theme="7" tint="-0.249977111117893"/>
      </bottom>
      <diagonal/>
    </border>
    <border>
      <left/>
      <right/>
      <top style="thin">
        <color indexed="64"/>
      </top>
      <bottom style="thin">
        <color theme="7" tint="-0.249977111117893"/>
      </bottom>
      <diagonal/>
    </border>
    <border>
      <left style="thin">
        <color theme="7" tint="-0.249977111117893"/>
      </left>
      <right/>
      <top/>
      <bottom style="thin">
        <color theme="7" tint="-0.249977111117893"/>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8"/>
      </left>
      <right style="thin">
        <color theme="8"/>
      </right>
      <top style="double">
        <color theme="8"/>
      </top>
      <bottom/>
      <diagonal/>
    </border>
    <border>
      <left style="thin">
        <color theme="8"/>
      </left>
      <right/>
      <top style="double">
        <color theme="8"/>
      </top>
      <bottom/>
      <diagonal/>
    </border>
    <border>
      <left style="thin">
        <color theme="8"/>
      </left>
      <right/>
      <top style="thin">
        <color theme="8"/>
      </top>
      <bottom/>
      <diagonal/>
    </border>
    <border>
      <left/>
      <right style="thin">
        <color theme="8"/>
      </right>
      <top style="thin">
        <color theme="8"/>
      </top>
      <bottom/>
      <diagonal/>
    </border>
    <border>
      <left style="thin">
        <color theme="8"/>
      </left>
      <right style="thin">
        <color theme="8"/>
      </right>
      <top style="thin">
        <color theme="8"/>
      </top>
      <bottom/>
      <diagonal/>
    </border>
    <border>
      <left style="thin">
        <color theme="4"/>
      </left>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medium">
        <color theme="0"/>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thin">
        <color theme="0"/>
      </left>
      <right/>
      <top style="medium">
        <color theme="0"/>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medium">
        <color rgb="FFFF0000"/>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right style="medium">
        <color rgb="FF0070C0"/>
      </right>
      <top/>
      <bottom/>
      <diagonal/>
    </border>
    <border>
      <left style="thin">
        <color theme="4"/>
      </left>
      <right style="thin">
        <color theme="4"/>
      </right>
      <top/>
      <bottom style="thin">
        <color theme="0"/>
      </bottom>
      <diagonal/>
    </border>
    <border>
      <left/>
      <right style="thin">
        <color theme="8"/>
      </right>
      <top/>
      <bottom style="medium">
        <color theme="8"/>
      </bottom>
      <diagonal/>
    </border>
    <border>
      <left style="thin">
        <color theme="8"/>
      </left>
      <right style="thin">
        <color theme="8"/>
      </right>
      <top/>
      <bottom style="medium">
        <color theme="8"/>
      </bottom>
      <diagonal/>
    </border>
    <border>
      <left style="thin">
        <color theme="8"/>
      </left>
      <right/>
      <top/>
      <bottom style="medium">
        <color theme="8"/>
      </bottom>
      <diagonal/>
    </border>
    <border>
      <left style="thin">
        <color theme="4"/>
      </left>
      <right style="thin">
        <color theme="4"/>
      </right>
      <top style="double">
        <color theme="4"/>
      </top>
      <bottom style="thin">
        <color theme="4"/>
      </bottom>
      <diagonal/>
    </border>
    <border>
      <left style="medium">
        <color theme="4"/>
      </left>
      <right style="thin">
        <color theme="4"/>
      </right>
      <top style="thin">
        <color theme="0"/>
      </top>
      <bottom style="medium">
        <color theme="4"/>
      </bottom>
      <diagonal/>
    </border>
    <border>
      <left style="thin">
        <color theme="4"/>
      </left>
      <right style="thin">
        <color theme="4"/>
      </right>
      <top style="thin">
        <color theme="0"/>
      </top>
      <bottom style="medium">
        <color theme="4"/>
      </bottom>
      <diagonal/>
    </border>
    <border>
      <left style="thin">
        <color theme="4"/>
      </left>
      <right style="medium">
        <color theme="4"/>
      </right>
      <top style="thin">
        <color theme="0"/>
      </top>
      <bottom style="medium">
        <color theme="4"/>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style="thin">
        <color theme="0"/>
      </left>
      <right style="thin">
        <color theme="0"/>
      </right>
      <top style="thin">
        <color theme="0"/>
      </top>
      <bottom/>
      <diagonal/>
    </border>
    <border>
      <left/>
      <right/>
      <top style="thin">
        <color theme="8" tint="0.79998168889431442"/>
      </top>
      <bottom style="thin">
        <color theme="8" tint="0.79998168889431442"/>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8" tint="0.79998168889431442"/>
      </top>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style="thin">
        <color theme="5" tint="0.39997558519241921"/>
      </top>
      <bottom style="thin">
        <color theme="5" tint="0.79998168889431442"/>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right/>
      <top style="thin">
        <color theme="6" tint="0.39997558519241921"/>
      </top>
      <bottom style="thin">
        <color theme="6" tint="0.79998168889431442"/>
      </bottom>
      <diagonal/>
    </border>
  </borders>
  <cellStyleXfs count="81">
    <xf numFmtId="0" fontId="0" fillId="0" borderId="0"/>
    <xf numFmtId="9" fontId="16" fillId="0" borderId="0" applyFont="0" applyFill="0" applyBorder="0" applyAlignment="0" applyProtection="0"/>
    <xf numFmtId="0" fontId="17" fillId="0" borderId="0"/>
    <xf numFmtId="9" fontId="1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7" fillId="0" borderId="0" applyFont="0" applyFill="0" applyBorder="0" applyAlignment="0" applyProtection="0"/>
    <xf numFmtId="166" fontId="17" fillId="0" borderId="0"/>
    <xf numFmtId="0" fontId="43" fillId="0" borderId="0"/>
    <xf numFmtId="0" fontId="43" fillId="0" borderId="0"/>
    <xf numFmtId="0" fontId="15" fillId="0" borderId="0"/>
    <xf numFmtId="9" fontId="15" fillId="0" borderId="0" applyFont="0" applyFill="0" applyBorder="0" applyAlignment="0" applyProtection="0"/>
    <xf numFmtId="0" fontId="65" fillId="0" borderId="32" applyNumberFormat="0" applyFill="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166" fontId="13" fillId="0" borderId="0"/>
    <xf numFmtId="0" fontId="14" fillId="0" borderId="0"/>
    <xf numFmtId="9" fontId="14" fillId="0" borderId="0" applyFont="0" applyFill="0" applyBorder="0" applyAlignment="0" applyProtection="0"/>
    <xf numFmtId="0" fontId="43" fillId="0" borderId="0"/>
    <xf numFmtId="0" fontId="16" fillId="0" borderId="0"/>
    <xf numFmtId="0" fontId="48" fillId="24" borderId="0" applyNumberFormat="0" applyBorder="0" applyAlignment="0" applyProtection="0"/>
    <xf numFmtId="0" fontId="49" fillId="25"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166" fontId="5" fillId="0" borderId="0"/>
    <xf numFmtId="0" fontId="141" fillId="0" borderId="0"/>
    <xf numFmtId="43" fontId="145" fillId="0" borderId="0" applyFont="0" applyFill="0" applyBorder="0" applyAlignment="0" applyProtection="0"/>
    <xf numFmtId="9" fontId="142" fillId="0" borderId="0" applyFont="0" applyFill="0" applyBorder="0" applyAlignment="0" applyProtection="0"/>
    <xf numFmtId="9" fontId="145"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5" fillId="0" borderId="0" applyFont="0" applyFill="0" applyBorder="0" applyAlignment="0" applyProtection="0"/>
    <xf numFmtId="43" fontId="142" fillId="0" borderId="0" applyFont="0" applyFill="0" applyBorder="0" applyAlignment="0" applyProtection="0"/>
    <xf numFmtId="0" fontId="142" fillId="0" borderId="0"/>
    <xf numFmtId="166" fontId="142" fillId="0" borderId="0"/>
    <xf numFmtId="166" fontId="142" fillId="0" borderId="0"/>
    <xf numFmtId="0" fontId="48" fillId="48" borderId="0" applyNumberFormat="0" applyBorder="0" applyAlignment="0" applyProtection="0"/>
    <xf numFmtId="0" fontId="49" fillId="49" borderId="0" applyNumberFormat="0" applyBorder="0" applyAlignment="0" applyProtection="0"/>
    <xf numFmtId="43" fontId="143" fillId="0" borderId="0" applyFont="0" applyFill="0" applyBorder="0" applyAlignment="0" applyProtection="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4" fillId="0" borderId="32" applyNumberFormat="0" applyFill="0" applyAlignment="0" applyProtection="0"/>
    <xf numFmtId="166" fontId="142" fillId="0" borderId="0"/>
    <xf numFmtId="166" fontId="142" fillId="0" borderId="0"/>
    <xf numFmtId="0" fontId="145" fillId="0" borderId="0"/>
    <xf numFmtId="166" fontId="142" fillId="0" borderId="0"/>
    <xf numFmtId="166"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9" fontId="142" fillId="0" borderId="0" applyFont="0" applyFill="0" applyBorder="0" applyAlignment="0" applyProtection="0"/>
    <xf numFmtId="9" fontId="145"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0" fontId="143" fillId="0" borderId="0"/>
  </cellStyleXfs>
  <cellXfs count="1001">
    <xf numFmtId="0" fontId="0" fillId="0" borderId="0" xfId="0"/>
    <xf numFmtId="0" fontId="20" fillId="2" borderId="1" xfId="0" applyFont="1" applyFill="1" applyBorder="1" applyAlignment="1">
      <alignment horizontal="left" vertical="center" readingOrder="1"/>
    </xf>
    <xf numFmtId="0" fontId="20" fillId="5" borderId="2" xfId="0" applyFont="1" applyFill="1" applyBorder="1" applyAlignment="1">
      <alignment horizontal="left" vertical="center" readingOrder="1"/>
    </xf>
    <xf numFmtId="0" fontId="20" fillId="8" borderId="2" xfId="0" applyFont="1" applyFill="1" applyBorder="1" applyAlignment="1">
      <alignment horizontal="left" vertical="center" readingOrder="1"/>
    </xf>
    <xf numFmtId="0" fontId="20" fillId="8" borderId="3" xfId="0" applyFont="1" applyFill="1" applyBorder="1" applyAlignment="1">
      <alignment horizontal="left" vertical="center" readingOrder="1"/>
    </xf>
    <xf numFmtId="0" fontId="20" fillId="9" borderId="2" xfId="0" applyFont="1" applyFill="1" applyBorder="1" applyAlignment="1">
      <alignment horizontal="left" vertical="center" readingOrder="1"/>
    </xf>
    <xf numFmtId="0" fontId="21" fillId="3" borderId="1" xfId="0" applyFont="1" applyFill="1" applyBorder="1" applyAlignment="1">
      <alignment horizontal="left" vertical="center" readingOrder="1"/>
    </xf>
    <xf numFmtId="0" fontId="21" fillId="4" borderId="2" xfId="0" applyFont="1" applyFill="1" applyBorder="1" applyAlignment="1">
      <alignment horizontal="left" vertical="center" readingOrder="1"/>
    </xf>
    <xf numFmtId="0" fontId="21" fillId="3" borderId="2" xfId="0" applyFont="1" applyFill="1" applyBorder="1" applyAlignment="1">
      <alignment horizontal="left" vertical="center" readingOrder="1"/>
    </xf>
    <xf numFmtId="0" fontId="21" fillId="3" borderId="3" xfId="0" applyFont="1" applyFill="1" applyBorder="1" applyAlignment="1">
      <alignment horizontal="left" vertical="center" readingOrder="1"/>
    </xf>
    <xf numFmtId="14" fontId="21" fillId="3" borderId="2" xfId="0" applyNumberFormat="1" applyFont="1" applyFill="1" applyBorder="1" applyAlignment="1">
      <alignment horizontal="left" vertical="center" readingOrder="1"/>
    </xf>
    <xf numFmtId="14" fontId="21" fillId="6" borderId="2" xfId="0" applyNumberFormat="1" applyFont="1" applyFill="1" applyBorder="1" applyAlignment="1">
      <alignment horizontal="left" vertical="center" readingOrder="1"/>
    </xf>
    <xf numFmtId="0" fontId="21" fillId="7" borderId="2" xfId="0" applyFont="1" applyFill="1" applyBorder="1" applyAlignment="1">
      <alignment horizontal="left" vertical="center" readingOrder="1"/>
    </xf>
    <xf numFmtId="0" fontId="24" fillId="7" borderId="2" xfId="0" applyFont="1" applyFill="1" applyBorder="1" applyAlignment="1">
      <alignment horizontal="left" vertical="top" wrapText="1" readingOrder="1"/>
    </xf>
    <xf numFmtId="14" fontId="24" fillId="6" borderId="1" xfId="0" applyNumberFormat="1" applyFont="1" applyFill="1" applyBorder="1" applyAlignment="1">
      <alignment horizontal="left" vertical="top" wrapText="1" readingOrder="1"/>
    </xf>
    <xf numFmtId="9" fontId="21" fillId="3" borderId="2" xfId="1" applyFont="1" applyFill="1" applyBorder="1" applyAlignment="1">
      <alignment horizontal="left" vertical="center" readingOrder="1"/>
    </xf>
    <xf numFmtId="9" fontId="21" fillId="6" borderId="1" xfId="1" applyFont="1" applyFill="1" applyBorder="1" applyAlignment="1">
      <alignment horizontal="left" vertical="top" wrapText="1" readingOrder="1"/>
    </xf>
    <xf numFmtId="0" fontId="29" fillId="0" borderId="0" xfId="0" applyFont="1"/>
    <xf numFmtId="0" fontId="27" fillId="0" borderId="0" xfId="0" applyFont="1"/>
    <xf numFmtId="0" fontId="32" fillId="0" borderId="0" xfId="0" applyFont="1" applyAlignment="1"/>
    <xf numFmtId="0" fontId="32" fillId="0" borderId="0" xfId="0" applyFont="1" applyFill="1" applyAlignment="1"/>
    <xf numFmtId="166" fontId="17" fillId="13" borderId="0" xfId="8" applyFill="1"/>
    <xf numFmtId="166" fontId="17" fillId="13" borderId="0" xfId="8" applyFill="1" applyAlignment="1">
      <alignment horizontal="center" vertical="center"/>
    </xf>
    <xf numFmtId="166" fontId="17" fillId="20" borderId="8" xfId="8" applyFill="1" applyBorder="1"/>
    <xf numFmtId="166" fontId="17" fillId="20" borderId="0" xfId="8" applyFill="1" applyBorder="1"/>
    <xf numFmtId="166" fontId="17" fillId="20" borderId="9" xfId="8" applyFill="1" applyBorder="1"/>
    <xf numFmtId="166" fontId="26" fillId="20" borderId="0" xfId="8" applyFont="1" applyFill="1" applyBorder="1"/>
    <xf numFmtId="166" fontId="17" fillId="20" borderId="10" xfId="8" applyFill="1" applyBorder="1"/>
    <xf numFmtId="166" fontId="17" fillId="20" borderId="11" xfId="8" applyFill="1" applyBorder="1"/>
    <xf numFmtId="166" fontId="17" fillId="20" borderId="12" xfId="8" applyFill="1" applyBorder="1"/>
    <xf numFmtId="0" fontId="21" fillId="0" borderId="0" xfId="0" applyFont="1" applyFill="1" applyBorder="1" applyAlignment="1">
      <alignment horizontal="left" vertical="center" readingOrder="1"/>
    </xf>
    <xf numFmtId="9" fontId="32" fillId="0" borderId="0" xfId="0" applyNumberFormat="1" applyFont="1" applyFill="1" applyAlignment="1"/>
    <xf numFmtId="9" fontId="32" fillId="0" borderId="0" xfId="1" applyFont="1" applyFill="1" applyAlignment="1"/>
    <xf numFmtId="1" fontId="32" fillId="0" borderId="0" xfId="0" applyNumberFormat="1" applyFont="1" applyFill="1" applyAlignment="1"/>
    <xf numFmtId="0" fontId="30" fillId="22" borderId="2" xfId="0" applyNumberFormat="1" applyFont="1" applyFill="1" applyBorder="1" applyAlignment="1">
      <alignment horizontal="left" vertical="center" readingOrder="1"/>
    </xf>
    <xf numFmtId="14" fontId="32" fillId="0" borderId="0" xfId="0" applyNumberFormat="1" applyFont="1" applyFill="1" applyAlignment="1"/>
    <xf numFmtId="0" fontId="32" fillId="0" borderId="0" xfId="0" applyFont="1" applyFill="1" applyAlignment="1">
      <alignment horizontal="left"/>
    </xf>
    <xf numFmtId="1" fontId="32" fillId="0" borderId="0" xfId="1" applyNumberFormat="1" applyFont="1" applyFill="1" applyAlignment="1"/>
    <xf numFmtId="0" fontId="32" fillId="0" borderId="0" xfId="1" applyNumberFormat="1" applyFont="1" applyFill="1" applyAlignment="1"/>
    <xf numFmtId="0" fontId="32" fillId="0" borderId="0" xfId="0" applyNumberFormat="1" applyFont="1" applyFill="1" applyAlignment="1"/>
    <xf numFmtId="1" fontId="32" fillId="0" borderId="0" xfId="0" applyNumberFormat="1" applyFont="1" applyFill="1" applyAlignment="1">
      <alignment horizontal="left"/>
    </xf>
    <xf numFmtId="0" fontId="30" fillId="22" borderId="13" xfId="0" applyNumberFormat="1" applyFont="1" applyFill="1" applyBorder="1" applyAlignment="1">
      <alignment horizontal="left" vertical="center" readingOrder="1"/>
    </xf>
    <xf numFmtId="0" fontId="21" fillId="3" borderId="0" xfId="0" applyFont="1" applyFill="1" applyBorder="1" applyAlignment="1">
      <alignment horizontal="left" vertical="center" readingOrder="1"/>
    </xf>
    <xf numFmtId="0" fontId="21" fillId="0" borderId="1" xfId="0" applyFont="1" applyFill="1" applyBorder="1" applyAlignment="1">
      <alignment horizontal="left" vertical="center" readingOrder="1"/>
    </xf>
    <xf numFmtId="14" fontId="21" fillId="3" borderId="18" xfId="0" applyNumberFormat="1" applyFont="1" applyFill="1" applyBorder="1" applyAlignment="1">
      <alignment horizontal="left" vertical="center" readingOrder="1"/>
    </xf>
    <xf numFmtId="0" fontId="29" fillId="0" borderId="0" xfId="0" applyNumberFormat="1" applyFont="1"/>
    <xf numFmtId="1" fontId="29" fillId="0" borderId="0" xfId="0" applyNumberFormat="1" applyFont="1"/>
    <xf numFmtId="0" fontId="29" fillId="0" borderId="0" xfId="0" applyFont="1" applyAlignment="1">
      <alignment wrapText="1" readingOrder="1"/>
    </xf>
    <xf numFmtId="0" fontId="21" fillId="7" borderId="0" xfId="0" applyFont="1" applyFill="1" applyBorder="1" applyAlignment="1">
      <alignment horizontal="left" vertical="center" readingOrder="1"/>
    </xf>
    <xf numFmtId="0" fontId="20" fillId="9" borderId="15" xfId="0" applyFont="1" applyFill="1" applyBorder="1" applyAlignment="1">
      <alignment horizontal="left" vertical="center" readingOrder="1"/>
    </xf>
    <xf numFmtId="0" fontId="21" fillId="7" borderId="15" xfId="0" applyFont="1" applyFill="1" applyBorder="1" applyAlignment="1">
      <alignment horizontal="left" vertical="center" readingOrder="1"/>
    </xf>
    <xf numFmtId="0" fontId="46" fillId="2" borderId="1" xfId="0" applyFont="1" applyFill="1" applyBorder="1" applyAlignment="1">
      <alignment horizontal="left" vertical="center" readingOrder="1"/>
    </xf>
    <xf numFmtId="14" fontId="47" fillId="6" borderId="2" xfId="0" applyNumberFormat="1" applyFont="1" applyFill="1" applyBorder="1" applyAlignment="1">
      <alignment horizontal="left" vertical="center" readingOrder="1"/>
    </xf>
    <xf numFmtId="14" fontId="46" fillId="6" borderId="1" xfId="0" applyNumberFormat="1" applyFont="1" applyFill="1" applyBorder="1" applyAlignment="1">
      <alignment horizontal="left" vertical="top" wrapText="1" readingOrder="1"/>
    </xf>
    <xf numFmtId="0" fontId="47" fillId="3" borderId="2" xfId="0" applyFont="1" applyFill="1" applyBorder="1" applyAlignment="1">
      <alignment horizontal="left" vertical="center" readingOrder="1"/>
    </xf>
    <xf numFmtId="0" fontId="47" fillId="7" borderId="2" xfId="0" applyFont="1" applyFill="1" applyBorder="1" applyAlignment="1">
      <alignment horizontal="left" vertical="center" readingOrder="1"/>
    </xf>
    <xf numFmtId="0" fontId="47" fillId="7" borderId="2" xfId="0" applyFont="1" applyFill="1" applyBorder="1" applyAlignment="1">
      <alignment horizontal="left" vertical="top" wrapText="1" readingOrder="1"/>
    </xf>
    <xf numFmtId="0" fontId="21" fillId="3" borderId="16" xfId="0" applyFont="1" applyFill="1" applyBorder="1" applyAlignment="1">
      <alignment horizontal="left" vertical="center" readingOrder="1"/>
    </xf>
    <xf numFmtId="165" fontId="21" fillId="0" borderId="0" xfId="0" applyNumberFormat="1" applyFont="1" applyFill="1" applyAlignment="1">
      <alignment horizontal="left" vertical="center" readingOrder="1"/>
    </xf>
    <xf numFmtId="0" fontId="24" fillId="7" borderId="15" xfId="0" applyFont="1" applyFill="1" applyBorder="1" applyAlignment="1">
      <alignment horizontal="left" vertical="top" wrapText="1" readingOrder="1"/>
    </xf>
    <xf numFmtId="0" fontId="21" fillId="3" borderId="15" xfId="0" applyFont="1" applyFill="1" applyBorder="1" applyAlignment="1">
      <alignment horizontal="left" vertical="center" readingOrder="1"/>
    </xf>
    <xf numFmtId="0" fontId="63" fillId="0" borderId="0" xfId="0" applyFont="1"/>
    <xf numFmtId="0" fontId="63" fillId="0" borderId="0" xfId="0" applyFont="1" applyAlignment="1">
      <alignment wrapText="1"/>
    </xf>
    <xf numFmtId="164" fontId="63" fillId="0" borderId="26" xfId="4" applyNumberFormat="1" applyFont="1" applyBorder="1"/>
    <xf numFmtId="164" fontId="63" fillId="0" borderId="0" xfId="0" applyNumberFormat="1" applyFont="1"/>
    <xf numFmtId="0" fontId="27" fillId="0" borderId="21" xfId="0" applyFont="1" applyFill="1" applyBorder="1"/>
    <xf numFmtId="0" fontId="27" fillId="0" borderId="31" xfId="0" applyFont="1" applyFill="1" applyBorder="1"/>
    <xf numFmtId="0" fontId="27" fillId="0" borderId="29" xfId="0" applyFont="1" applyFill="1" applyBorder="1"/>
    <xf numFmtId="0" fontId="27" fillId="0" borderId="0" xfId="0" applyFont="1" applyBorder="1"/>
    <xf numFmtId="0" fontId="47" fillId="0" borderId="0" xfId="0" applyFont="1"/>
    <xf numFmtId="0" fontId="47" fillId="0" borderId="0" xfId="0" applyFont="1" applyAlignment="1"/>
    <xf numFmtId="9" fontId="63" fillId="0" borderId="0" xfId="1" applyFont="1"/>
    <xf numFmtId="0" fontId="29" fillId="0" borderId="0" xfId="0" applyNumberFormat="1" applyFont="1" applyAlignment="1">
      <alignment wrapText="1"/>
    </xf>
    <xf numFmtId="0" fontId="21" fillId="0" borderId="23" xfId="0" applyFont="1" applyFill="1" applyBorder="1" applyAlignment="1">
      <alignment horizontal="left" vertical="center" readingOrder="1"/>
    </xf>
    <xf numFmtId="0" fontId="0" fillId="0" borderId="0" xfId="0" pivotButton="1"/>
    <xf numFmtId="0" fontId="29" fillId="0" borderId="0" xfId="0" applyFont="1" applyFill="1"/>
    <xf numFmtId="0" fontId="21" fillId="0" borderId="0" xfId="0" applyFont="1" applyFill="1" applyBorder="1" applyAlignment="1">
      <alignment horizontal="left" vertical="center" readingOrder="1"/>
    </xf>
    <xf numFmtId="165" fontId="21" fillId="0" borderId="0" xfId="0" applyNumberFormat="1" applyFont="1" applyFill="1" applyBorder="1" applyAlignment="1">
      <alignment horizontal="left" vertical="center" readingOrder="1"/>
    </xf>
    <xf numFmtId="9" fontId="21" fillId="0" borderId="0" xfId="0" applyNumberFormat="1" applyFont="1" applyFill="1" applyBorder="1" applyAlignment="1">
      <alignment horizontal="left" vertical="center" readingOrder="1"/>
    </xf>
    <xf numFmtId="1" fontId="21" fillId="0" borderId="0" xfId="0" applyNumberFormat="1" applyFont="1" applyFill="1" applyBorder="1" applyAlignment="1">
      <alignment horizontal="left" vertical="center" readingOrder="1"/>
    </xf>
    <xf numFmtId="1" fontId="21" fillId="0" borderId="0" xfId="1" applyNumberFormat="1" applyFont="1" applyFill="1" applyBorder="1" applyAlignment="1">
      <alignment horizontal="left" vertical="center" readingOrder="1"/>
    </xf>
    <xf numFmtId="9" fontId="21" fillId="0" borderId="0" xfId="1" applyFont="1" applyFill="1" applyBorder="1" applyAlignment="1">
      <alignment horizontal="left" vertical="center" readingOrder="1"/>
    </xf>
    <xf numFmtId="9" fontId="21" fillId="0" borderId="0" xfId="1" applyNumberFormat="1" applyFont="1" applyFill="1" applyBorder="1" applyAlignment="1">
      <alignment horizontal="left" vertical="center" readingOrder="1"/>
    </xf>
    <xf numFmtId="14" fontId="36" fillId="16" borderId="0" xfId="0" applyNumberFormat="1" applyFont="1" applyFill="1" applyBorder="1" applyAlignment="1">
      <alignment horizontal="left"/>
    </xf>
    <xf numFmtId="9" fontId="67" fillId="23" borderId="0" xfId="0" applyNumberFormat="1" applyFont="1" applyFill="1" applyBorder="1" applyAlignment="1">
      <alignment vertical="center"/>
    </xf>
    <xf numFmtId="0" fontId="29" fillId="0" borderId="0" xfId="0" applyFont="1" applyFill="1" applyBorder="1"/>
    <xf numFmtId="1" fontId="67" fillId="23" borderId="0" xfId="0" applyNumberFormat="1" applyFont="1" applyFill="1" applyBorder="1" applyAlignment="1">
      <alignment vertical="center"/>
    </xf>
    <xf numFmtId="1" fontId="21" fillId="0" borderId="0" xfId="4" applyNumberFormat="1" applyFont="1" applyFill="1" applyBorder="1" applyAlignment="1">
      <alignment horizontal="left" vertical="center" readingOrder="1"/>
    </xf>
    <xf numFmtId="0" fontId="70" fillId="10" borderId="26" xfId="0" applyFont="1" applyFill="1" applyBorder="1" applyAlignment="1">
      <alignment horizontal="center" vertical="top" wrapText="1"/>
    </xf>
    <xf numFmtId="0" fontId="63" fillId="7" borderId="26" xfId="0" applyFont="1" applyFill="1" applyBorder="1" applyAlignment="1">
      <alignment horizontal="center" vertical="top" wrapText="1"/>
    </xf>
    <xf numFmtId="0" fontId="63" fillId="11" borderId="26" xfId="0" applyFont="1" applyFill="1" applyBorder="1" applyAlignment="1">
      <alignment horizontal="center" vertical="top" wrapText="1"/>
    </xf>
    <xf numFmtId="164" fontId="63" fillId="0" borderId="26" xfId="4" applyNumberFormat="1" applyFont="1" applyBorder="1" applyAlignment="1">
      <alignment vertical="top" wrapText="1"/>
    </xf>
    <xf numFmtId="0" fontId="63" fillId="18" borderId="25" xfId="0" applyFont="1" applyFill="1" applyBorder="1" applyAlignment="1">
      <alignment horizontal="center"/>
    </xf>
    <xf numFmtId="0" fontId="63" fillId="18" borderId="27" xfId="0" applyFont="1" applyFill="1" applyBorder="1" applyAlignment="1">
      <alignment horizontal="center"/>
    </xf>
    <xf numFmtId="0" fontId="63" fillId="18" borderId="28" xfId="0" applyFont="1" applyFill="1" applyBorder="1" applyAlignment="1">
      <alignment horizontal="center"/>
    </xf>
    <xf numFmtId="164" fontId="63" fillId="10" borderId="34" xfId="4" applyNumberFormat="1" applyFont="1" applyFill="1" applyBorder="1" applyAlignment="1">
      <alignment vertical="top" wrapText="1"/>
    </xf>
    <xf numFmtId="164" fontId="63" fillId="10" borderId="34" xfId="4" applyNumberFormat="1" applyFont="1" applyFill="1" applyBorder="1"/>
    <xf numFmtId="164" fontId="63" fillId="7" borderId="34" xfId="4" applyNumberFormat="1" applyFont="1" applyFill="1" applyBorder="1" applyAlignment="1">
      <alignment vertical="top" wrapText="1"/>
    </xf>
    <xf numFmtId="164" fontId="63" fillId="7" borderId="34" xfId="4" applyNumberFormat="1" applyFont="1" applyFill="1" applyBorder="1"/>
    <xf numFmtId="164" fontId="63" fillId="11" borderId="34" xfId="4" applyNumberFormat="1" applyFont="1" applyFill="1" applyBorder="1" applyAlignment="1">
      <alignment vertical="top" wrapText="1"/>
    </xf>
    <xf numFmtId="164" fontId="63" fillId="11" borderId="34" xfId="4" applyNumberFormat="1" applyFont="1" applyFill="1" applyBorder="1"/>
    <xf numFmtId="0" fontId="71" fillId="33" borderId="38" xfId="0" applyFont="1" applyFill="1" applyBorder="1" applyAlignment="1">
      <alignment horizontal="center" vertical="center" wrapText="1"/>
    </xf>
    <xf numFmtId="0" fontId="71" fillId="33" borderId="34" xfId="0" applyFont="1" applyFill="1" applyBorder="1" applyAlignment="1">
      <alignment horizontal="center" vertical="center" wrapText="1"/>
    </xf>
    <xf numFmtId="0" fontId="71" fillId="33" borderId="39" xfId="0" applyFont="1" applyFill="1" applyBorder="1" applyAlignment="1">
      <alignment horizontal="center" vertical="center" wrapText="1"/>
    </xf>
    <xf numFmtId="164" fontId="63" fillId="10" borderId="38" xfId="4" applyNumberFormat="1" applyFont="1" applyFill="1" applyBorder="1"/>
    <xf numFmtId="164" fontId="63" fillId="10" borderId="39" xfId="4" applyNumberFormat="1" applyFont="1" applyFill="1" applyBorder="1"/>
    <xf numFmtId="164" fontId="63" fillId="7" borderId="38" xfId="4" applyNumberFormat="1" applyFont="1" applyFill="1" applyBorder="1"/>
    <xf numFmtId="164" fontId="63" fillId="7" borderId="39" xfId="4" applyNumberFormat="1" applyFont="1" applyFill="1" applyBorder="1"/>
    <xf numFmtId="164" fontId="63" fillId="11" borderId="38" xfId="4" applyNumberFormat="1" applyFont="1" applyFill="1" applyBorder="1"/>
    <xf numFmtId="164" fontId="63" fillId="11" borderId="39" xfId="4" applyNumberFormat="1" applyFont="1" applyFill="1" applyBorder="1"/>
    <xf numFmtId="0" fontId="64" fillId="0" borderId="35" xfId="0" applyFont="1" applyBorder="1" applyAlignment="1">
      <alignment horizontal="center" vertical="center"/>
    </xf>
    <xf numFmtId="0" fontId="71" fillId="0" borderId="36" xfId="0" applyFont="1" applyBorder="1" applyAlignment="1">
      <alignment horizontal="center" vertical="center" wrapText="1"/>
    </xf>
    <xf numFmtId="0" fontId="71" fillId="13" borderId="36" xfId="0" applyFont="1" applyFill="1" applyBorder="1" applyAlignment="1">
      <alignment horizontal="center" vertical="center" wrapText="1"/>
    </xf>
    <xf numFmtId="0" fontId="72" fillId="13" borderId="37" xfId="0" applyFont="1" applyFill="1" applyBorder="1" applyAlignment="1">
      <alignment horizontal="center" vertical="center" wrapText="1"/>
    </xf>
    <xf numFmtId="0" fontId="29" fillId="0" borderId="0" xfId="0" applyFont="1" applyFill="1" applyBorder="1" applyAlignment="1">
      <alignment horizontal="left"/>
    </xf>
    <xf numFmtId="9" fontId="29" fillId="0" borderId="0" xfId="0" applyNumberFormat="1" applyFont="1" applyFill="1" applyBorder="1"/>
    <xf numFmtId="0" fontId="69" fillId="8" borderId="24" xfId="0" applyFont="1" applyFill="1" applyBorder="1" applyAlignment="1">
      <alignment horizontal="center" vertical="center" wrapText="1"/>
    </xf>
    <xf numFmtId="0" fontId="69" fillId="36" borderId="24" xfId="0" applyFont="1" applyFill="1" applyBorder="1" applyAlignment="1">
      <alignment horizontal="center" vertical="center" wrapText="1"/>
    </xf>
    <xf numFmtId="0" fontId="0" fillId="0" borderId="24" xfId="0" applyBorder="1"/>
    <xf numFmtId="0" fontId="63" fillId="0" borderId="24" xfId="0" applyFont="1" applyBorder="1"/>
    <xf numFmtId="0" fontId="69" fillId="14" borderId="24" xfId="0" applyFont="1" applyFill="1" applyBorder="1" applyAlignment="1">
      <alignment horizontal="center" vertical="center" wrapText="1"/>
    </xf>
    <xf numFmtId="0" fontId="0" fillId="37" borderId="24" xfId="0" applyFill="1" applyBorder="1"/>
    <xf numFmtId="164" fontId="69" fillId="14" borderId="24" xfId="4" applyNumberFormat="1" applyFont="1" applyFill="1" applyBorder="1" applyAlignment="1">
      <alignment horizontal="right" vertical="center"/>
    </xf>
    <xf numFmtId="164" fontId="69" fillId="8" borderId="24" xfId="4" applyNumberFormat="1" applyFont="1" applyFill="1" applyBorder="1" applyAlignment="1">
      <alignment horizontal="right" vertical="center"/>
    </xf>
    <xf numFmtId="164" fontId="69" fillId="36" borderId="24" xfId="4" applyNumberFormat="1" applyFont="1" applyFill="1" applyBorder="1" applyAlignment="1">
      <alignment horizontal="right" vertical="center"/>
    </xf>
    <xf numFmtId="164" fontId="69" fillId="14" borderId="24" xfId="4" applyNumberFormat="1" applyFont="1" applyFill="1" applyBorder="1" applyAlignment="1">
      <alignment horizontal="center" vertical="center" wrapText="1"/>
    </xf>
    <xf numFmtId="164" fontId="69" fillId="36" borderId="24" xfId="4" applyNumberFormat="1" applyFont="1" applyFill="1" applyBorder="1" applyAlignment="1">
      <alignment horizontal="center" vertical="center" wrapText="1"/>
    </xf>
    <xf numFmtId="166" fontId="13" fillId="20" borderId="0" xfId="8" applyFont="1" applyFill="1" applyBorder="1"/>
    <xf numFmtId="0" fontId="63" fillId="0" borderId="0" xfId="0" applyFont="1" applyAlignment="1">
      <alignment horizontal="center" vertical="center" wrapText="1"/>
    </xf>
    <xf numFmtId="0" fontId="0" fillId="0" borderId="0" xfId="0" applyFill="1"/>
    <xf numFmtId="14" fontId="29" fillId="0" borderId="0" xfId="0" applyNumberFormat="1" applyFont="1"/>
    <xf numFmtId="165" fontId="29" fillId="0" borderId="0" xfId="0" applyNumberFormat="1" applyFont="1"/>
    <xf numFmtId="0" fontId="75" fillId="8" borderId="0" xfId="0" applyFont="1" applyFill="1"/>
    <xf numFmtId="0" fontId="75" fillId="38" borderId="0" xfId="0" applyFont="1" applyFill="1"/>
    <xf numFmtId="0" fontId="13" fillId="0" borderId="0" xfId="0" applyFont="1"/>
    <xf numFmtId="0" fontId="26" fillId="0" borderId="0" xfId="0" applyFont="1"/>
    <xf numFmtId="0" fontId="13" fillId="0" borderId="0" xfId="0" applyFont="1" applyAlignment="1">
      <alignment horizontal="left"/>
    </xf>
    <xf numFmtId="9" fontId="13" fillId="0" borderId="0" xfId="0" applyNumberFormat="1" applyFont="1"/>
    <xf numFmtId="0" fontId="13" fillId="0" borderId="0" xfId="0" applyNumberFormat="1" applyFont="1"/>
    <xf numFmtId="0" fontId="13" fillId="0" borderId="0" xfId="0" applyFont="1" applyAlignment="1">
      <alignment wrapText="1"/>
    </xf>
    <xf numFmtId="164" fontId="13" fillId="0" borderId="0" xfId="0" applyNumberFormat="1" applyFont="1"/>
    <xf numFmtId="0" fontId="77" fillId="0" borderId="0" xfId="0" applyFont="1"/>
    <xf numFmtId="0" fontId="76" fillId="14" borderId="0" xfId="0" applyFont="1" applyFill="1"/>
    <xf numFmtId="1" fontId="13" fillId="0" borderId="0" xfId="0" applyNumberFormat="1" applyFont="1"/>
    <xf numFmtId="0" fontId="26" fillId="0" borderId="35" xfId="0" applyFont="1" applyBorder="1" applyAlignment="1">
      <alignment wrapText="1"/>
    </xf>
    <xf numFmtId="0" fontId="78" fillId="0" borderId="38" xfId="0" applyFont="1" applyBorder="1" applyAlignment="1">
      <alignment horizontal="left"/>
    </xf>
    <xf numFmtId="0" fontId="78" fillId="0" borderId="40" xfId="0" applyFont="1" applyBorder="1" applyAlignment="1">
      <alignment horizontal="left"/>
    </xf>
    <xf numFmtId="0" fontId="26" fillId="0" borderId="36" xfId="0" applyFont="1" applyBorder="1"/>
    <xf numFmtId="0" fontId="26" fillId="0" borderId="37" xfId="0" applyFont="1" applyBorder="1"/>
    <xf numFmtId="0" fontId="78" fillId="0" borderId="34" xfId="0" applyNumberFormat="1" applyFont="1" applyBorder="1"/>
    <xf numFmtId="0" fontId="78" fillId="0" borderId="39" xfId="0" applyNumberFormat="1" applyFont="1" applyBorder="1"/>
    <xf numFmtId="0" fontId="78" fillId="0" borderId="41" xfId="0" applyNumberFormat="1" applyFont="1" applyBorder="1"/>
    <xf numFmtId="0" fontId="78" fillId="0" borderId="42" xfId="0" applyNumberFormat="1" applyFont="1" applyBorder="1"/>
    <xf numFmtId="0" fontId="13" fillId="0" borderId="0" xfId="0" applyFont="1" applyFill="1"/>
    <xf numFmtId="0" fontId="13" fillId="0" borderId="0" xfId="0" applyFont="1" applyFill="1" applyBorder="1" applyAlignment="1">
      <alignment horizontal="left"/>
    </xf>
    <xf numFmtId="0" fontId="13" fillId="0" borderId="0" xfId="0" applyNumberFormat="1" applyFont="1" applyFill="1" applyBorder="1"/>
    <xf numFmtId="9" fontId="13" fillId="0" borderId="0" xfId="0" applyNumberFormat="1" applyFont="1" applyFill="1"/>
    <xf numFmtId="0" fontId="13" fillId="0" borderId="0" xfId="0" applyNumberFormat="1" applyFont="1" applyFill="1"/>
    <xf numFmtId="0" fontId="13" fillId="17" borderId="33" xfId="0" applyFont="1" applyFill="1" applyBorder="1"/>
    <xf numFmtId="164" fontId="77" fillId="0" borderId="0" xfId="0" applyNumberFormat="1" applyFont="1"/>
    <xf numFmtId="0" fontId="13" fillId="19" borderId="0" xfId="0" applyFont="1" applyFill="1"/>
    <xf numFmtId="1" fontId="13" fillId="0" borderId="0" xfId="4" applyNumberFormat="1" applyFont="1"/>
    <xf numFmtId="0" fontId="13" fillId="34" borderId="0" xfId="0" applyFont="1" applyFill="1"/>
    <xf numFmtId="0" fontId="26" fillId="10" borderId="0" xfId="0" applyFont="1" applyFill="1"/>
    <xf numFmtId="0" fontId="78" fillId="0" borderId="48" xfId="0" applyFont="1" applyBorder="1" applyAlignment="1">
      <alignment horizontal="left"/>
    </xf>
    <xf numFmtId="0" fontId="78" fillId="0" borderId="45" xfId="0" applyFont="1" applyBorder="1" applyAlignment="1">
      <alignment horizontal="left"/>
    </xf>
    <xf numFmtId="0" fontId="75" fillId="8" borderId="0" xfId="0" applyFont="1" applyFill="1" applyAlignment="1">
      <alignment horizontal="left"/>
    </xf>
    <xf numFmtId="9" fontId="75" fillId="8" borderId="0" xfId="0" applyNumberFormat="1" applyFont="1" applyFill="1"/>
    <xf numFmtId="0" fontId="75" fillId="8" borderId="0" xfId="0" applyNumberFormat="1" applyFont="1" applyFill="1"/>
    <xf numFmtId="0" fontId="73" fillId="0" borderId="0" xfId="0" applyFont="1"/>
    <xf numFmtId="0" fontId="66" fillId="0" borderId="0" xfId="0" applyFont="1"/>
    <xf numFmtId="0" fontId="76" fillId="29" borderId="54" xfId="0" applyFont="1" applyFill="1" applyBorder="1" applyAlignment="1">
      <alignment horizontal="left" vertical="center" wrapText="1"/>
    </xf>
    <xf numFmtId="164" fontId="26" fillId="0" borderId="55" xfId="4" applyNumberFormat="1" applyFont="1" applyBorder="1"/>
    <xf numFmtId="164" fontId="26" fillId="0" borderId="56" xfId="4" applyNumberFormat="1" applyFont="1" applyBorder="1"/>
    <xf numFmtId="164" fontId="79" fillId="0" borderId="57" xfId="4" applyNumberFormat="1" applyFont="1" applyBorder="1" applyAlignment="1">
      <alignment horizontal="left" wrapText="1"/>
    </xf>
    <xf numFmtId="164" fontId="79" fillId="0" borderId="52" xfId="4" applyNumberFormat="1" applyFont="1" applyBorder="1" applyAlignment="1">
      <alignment horizontal="left" wrapText="1"/>
    </xf>
    <xf numFmtId="164" fontId="79" fillId="0" borderId="58" xfId="4" applyNumberFormat="1" applyFont="1" applyBorder="1" applyAlignment="1">
      <alignment horizontal="left" wrapText="1"/>
    </xf>
    <xf numFmtId="0" fontId="79" fillId="0" borderId="59" xfId="0" applyFont="1" applyBorder="1" applyAlignment="1">
      <alignment horizontal="left"/>
    </xf>
    <xf numFmtId="0" fontId="79" fillId="0" borderId="60" xfId="0" applyNumberFormat="1" applyFont="1" applyBorder="1"/>
    <xf numFmtId="0" fontId="79" fillId="0" borderId="61" xfId="0" applyNumberFormat="1" applyFont="1" applyBorder="1"/>
    <xf numFmtId="0" fontId="76" fillId="29" borderId="53" xfId="0" applyFont="1" applyFill="1" applyBorder="1"/>
    <xf numFmtId="0" fontId="79" fillId="0" borderId="0" xfId="0" applyFont="1" applyBorder="1" applyAlignment="1">
      <alignment horizontal="left"/>
    </xf>
    <xf numFmtId="0" fontId="79" fillId="0" borderId="0" xfId="0" applyNumberFormat="1" applyFont="1" applyBorder="1"/>
    <xf numFmtId="0" fontId="79" fillId="0" borderId="64" xfId="0" applyFont="1" applyBorder="1"/>
    <xf numFmtId="0" fontId="79" fillId="0" borderId="64" xfId="0" applyFont="1" applyBorder="1" applyAlignment="1">
      <alignment horizontal="left"/>
    </xf>
    <xf numFmtId="0" fontId="79" fillId="0" borderId="64" xfId="0" applyNumberFormat="1" applyFont="1" applyBorder="1"/>
    <xf numFmtId="0" fontId="13" fillId="0" borderId="63" xfId="0" applyFont="1" applyBorder="1" applyAlignment="1">
      <alignment horizontal="left"/>
    </xf>
    <xf numFmtId="0" fontId="13" fillId="0" borderId="63" xfId="0" applyNumberFormat="1" applyFont="1" applyBorder="1"/>
    <xf numFmtId="0" fontId="13" fillId="0" borderId="67" xfId="0" applyFont="1" applyBorder="1" applyAlignment="1">
      <alignment horizontal="left"/>
    </xf>
    <xf numFmtId="0" fontId="13" fillId="0" borderId="67" xfId="0" applyNumberFormat="1" applyFont="1" applyBorder="1"/>
    <xf numFmtId="0" fontId="13" fillId="0" borderId="68" xfId="0" applyNumberFormat="1" applyFont="1" applyBorder="1"/>
    <xf numFmtId="0" fontId="13" fillId="0" borderId="69" xfId="0" applyNumberFormat="1" applyFont="1" applyBorder="1"/>
    <xf numFmtId="0" fontId="80" fillId="39" borderId="65" xfId="0" applyFont="1" applyFill="1" applyBorder="1"/>
    <xf numFmtId="0" fontId="80" fillId="9" borderId="0" xfId="0" applyFont="1" applyFill="1"/>
    <xf numFmtId="0" fontId="76" fillId="32" borderId="0" xfId="0" applyFont="1" applyFill="1"/>
    <xf numFmtId="0" fontId="75" fillId="14" borderId="0" xfId="0" applyFont="1" applyFill="1"/>
    <xf numFmtId="0" fontId="75" fillId="9" borderId="0" xfId="0" applyFont="1" applyFill="1"/>
    <xf numFmtId="0" fontId="73" fillId="34" borderId="0" xfId="0" applyFont="1" applyFill="1"/>
    <xf numFmtId="0" fontId="75" fillId="32" borderId="0" xfId="0" applyFont="1" applyFill="1"/>
    <xf numFmtId="0" fontId="73" fillId="10" borderId="0" xfId="0" applyFont="1" applyFill="1"/>
    <xf numFmtId="0" fontId="82" fillId="0" borderId="0" xfId="0" applyFont="1"/>
    <xf numFmtId="164" fontId="13" fillId="31" borderId="0" xfId="4" applyNumberFormat="1" applyFont="1" applyFill="1" applyBorder="1" applyAlignment="1">
      <alignment vertical="center"/>
    </xf>
    <xf numFmtId="9" fontId="13" fillId="31" borderId="0" xfId="0" applyNumberFormat="1" applyFont="1" applyFill="1" applyBorder="1" applyAlignment="1">
      <alignment horizontal="center" vertical="center"/>
    </xf>
    <xf numFmtId="0" fontId="13" fillId="31" borderId="0" xfId="0" applyFont="1" applyFill="1" applyBorder="1" applyAlignment="1">
      <alignment vertical="center"/>
    </xf>
    <xf numFmtId="0" fontId="13" fillId="31" borderId="0" xfId="0" applyFont="1" applyFill="1" applyBorder="1" applyAlignment="1">
      <alignment horizontal="left" vertical="center"/>
    </xf>
    <xf numFmtId="0" fontId="36" fillId="21" borderId="0" xfId="1" applyNumberFormat="1" applyFont="1" applyFill="1" applyBorder="1" applyAlignment="1">
      <alignment horizontal="center"/>
    </xf>
    <xf numFmtId="0" fontId="36" fillId="21" borderId="0" xfId="0" applyNumberFormat="1" applyFont="1" applyFill="1" applyBorder="1" applyAlignment="1">
      <alignment horizontal="center"/>
    </xf>
    <xf numFmtId="0" fontId="21" fillId="0" borderId="0" xfId="0" applyNumberFormat="1" applyFont="1" applyFill="1" applyBorder="1" applyAlignment="1">
      <alignment horizontal="left" vertical="center" readingOrder="1"/>
    </xf>
    <xf numFmtId="0" fontId="71" fillId="0" borderId="35" xfId="0" applyFont="1" applyBorder="1" applyAlignment="1">
      <alignment vertical="center" wrapText="1"/>
    </xf>
    <xf numFmtId="0" fontId="71" fillId="0" borderId="36" xfId="0" applyFont="1" applyBorder="1" applyAlignment="1">
      <alignment vertical="center" wrapText="1"/>
    </xf>
    <xf numFmtId="9" fontId="63" fillId="10" borderId="39" xfId="1" applyFont="1" applyFill="1" applyBorder="1"/>
    <xf numFmtId="9" fontId="63" fillId="7" borderId="39" xfId="1" applyFont="1" applyFill="1" applyBorder="1"/>
    <xf numFmtId="9" fontId="63" fillId="11" borderId="39" xfId="1" applyFont="1" applyFill="1" applyBorder="1"/>
    <xf numFmtId="0" fontId="69" fillId="14" borderId="26" xfId="0" applyFont="1" applyFill="1" applyBorder="1" applyAlignment="1">
      <alignment horizontal="center" vertical="top" wrapText="1"/>
    </xf>
    <xf numFmtId="164" fontId="69" fillId="14" borderId="26" xfId="4" applyNumberFormat="1" applyFont="1" applyFill="1" applyBorder="1" applyAlignment="1">
      <alignment horizontal="center" vertical="top" wrapText="1"/>
    </xf>
    <xf numFmtId="164" fontId="70" fillId="10" borderId="26" xfId="4" applyNumberFormat="1" applyFont="1" applyFill="1" applyBorder="1" applyAlignment="1">
      <alignment horizontal="center" vertical="top" wrapText="1"/>
    </xf>
    <xf numFmtId="164" fontId="63" fillId="7" borderId="26" xfId="4" applyNumberFormat="1" applyFont="1" applyFill="1" applyBorder="1" applyAlignment="1">
      <alignment horizontal="center" vertical="top" wrapText="1"/>
    </xf>
    <xf numFmtId="0" fontId="69" fillId="8" borderId="26" xfId="0" applyFont="1" applyFill="1" applyBorder="1" applyAlignment="1">
      <alignment horizontal="center" vertical="top" wrapText="1"/>
    </xf>
    <xf numFmtId="164" fontId="69" fillId="8" borderId="26" xfId="4" applyNumberFormat="1" applyFont="1" applyFill="1" applyBorder="1" applyAlignment="1">
      <alignment horizontal="center" vertical="top" wrapText="1"/>
    </xf>
    <xf numFmtId="0" fontId="69" fillId="9" borderId="26" xfId="0" applyFont="1" applyFill="1" applyBorder="1" applyAlignment="1">
      <alignment horizontal="center" vertical="top" wrapText="1"/>
    </xf>
    <xf numFmtId="164" fontId="69" fillId="9" borderId="26" xfId="4" applyNumberFormat="1" applyFont="1" applyFill="1" applyBorder="1"/>
    <xf numFmtId="164" fontId="63" fillId="11" borderId="26" xfId="4" applyNumberFormat="1" applyFont="1" applyFill="1" applyBorder="1"/>
    <xf numFmtId="9" fontId="70" fillId="10" borderId="26" xfId="1" applyFont="1" applyFill="1" applyBorder="1" applyAlignment="1">
      <alignment horizontal="center" vertical="top" wrapText="1"/>
    </xf>
    <xf numFmtId="9" fontId="63" fillId="7" borderId="26" xfId="1" applyFont="1" applyFill="1" applyBorder="1" applyAlignment="1">
      <alignment horizontal="center" vertical="top" wrapText="1"/>
    </xf>
    <xf numFmtId="9" fontId="63" fillId="11" borderId="26" xfId="1" applyFont="1" applyFill="1" applyBorder="1" applyAlignment="1">
      <alignment horizontal="center" vertical="top" wrapText="1"/>
    </xf>
    <xf numFmtId="9" fontId="69" fillId="14" borderId="26" xfId="1" applyFont="1" applyFill="1" applyBorder="1"/>
    <xf numFmtId="9" fontId="69" fillId="8" borderId="26" xfId="1" applyFont="1" applyFill="1" applyBorder="1"/>
    <xf numFmtId="9" fontId="69" fillId="9" borderId="26" xfId="1" applyFont="1" applyFill="1" applyBorder="1"/>
    <xf numFmtId="0" fontId="63" fillId="0" borderId="0" xfId="0" applyFont="1" applyFill="1"/>
    <xf numFmtId="0" fontId="83" fillId="26" borderId="70" xfId="0" applyFont="1" applyFill="1" applyBorder="1"/>
    <xf numFmtId="0" fontId="75" fillId="41" borderId="0" xfId="0" applyFont="1" applyFill="1" applyAlignment="1">
      <alignment vertical="center"/>
    </xf>
    <xf numFmtId="0" fontId="21" fillId="0" borderId="0" xfId="1" applyNumberFormat="1" applyFont="1" applyFill="1" applyBorder="1" applyAlignment="1">
      <alignment horizontal="left" vertical="center" readingOrder="1"/>
    </xf>
    <xf numFmtId="164" fontId="63" fillId="0" borderId="0" xfId="4" applyNumberFormat="1" applyFont="1"/>
    <xf numFmtId="0" fontId="87" fillId="0" borderId="0" xfId="0" applyFont="1"/>
    <xf numFmtId="164" fontId="69" fillId="8" borderId="24" xfId="4" applyNumberFormat="1" applyFont="1" applyFill="1" applyBorder="1" applyAlignment="1">
      <alignment horizontal="center" vertical="center" wrapText="1"/>
    </xf>
    <xf numFmtId="9" fontId="88" fillId="0" borderId="0" xfId="0" applyNumberFormat="1" applyFont="1" applyFill="1" applyAlignment="1">
      <alignment horizontal="center" vertical="center"/>
    </xf>
    <xf numFmtId="0" fontId="89" fillId="0" borderId="0" xfId="0" applyNumberFormat="1" applyFont="1" applyFill="1" applyAlignment="1">
      <alignment vertical="center"/>
    </xf>
    <xf numFmtId="0" fontId="88" fillId="0" borderId="0" xfId="4" applyNumberFormat="1" applyFont="1" applyFill="1" applyAlignment="1">
      <alignment vertical="center"/>
    </xf>
    <xf numFmtId="167" fontId="21" fillId="0" borderId="0" xfId="0" applyNumberFormat="1" applyFont="1" applyFill="1" applyBorder="1" applyAlignment="1">
      <alignment horizontal="left" vertical="center" readingOrder="1"/>
    </xf>
    <xf numFmtId="0" fontId="92" fillId="0" borderId="0" xfId="0" applyFont="1"/>
    <xf numFmtId="164" fontId="78" fillId="0" borderId="49" xfId="4" applyNumberFormat="1" applyFont="1" applyBorder="1"/>
    <xf numFmtId="164" fontId="78" fillId="0" borderId="50" xfId="4" applyNumberFormat="1" applyFont="1" applyBorder="1"/>
    <xf numFmtId="164" fontId="78" fillId="0" borderId="51" xfId="4" applyNumberFormat="1" applyFont="1" applyBorder="1"/>
    <xf numFmtId="49" fontId="91" fillId="0" borderId="0" xfId="21" applyNumberFormat="1" applyFont="1" applyFill="1" applyBorder="1" applyAlignment="1">
      <alignment horizontal="left" vertical="center" wrapText="1"/>
    </xf>
    <xf numFmtId="0" fontId="87" fillId="0" borderId="31" xfId="0" applyFont="1" applyBorder="1"/>
    <xf numFmtId="0" fontId="87" fillId="31" borderId="31" xfId="0" applyFont="1" applyFill="1" applyBorder="1"/>
    <xf numFmtId="0" fontId="93" fillId="35" borderId="0" xfId="0" applyFont="1" applyFill="1" applyBorder="1" applyAlignment="1">
      <alignment horizontal="center" vertical="center" wrapText="1"/>
    </xf>
    <xf numFmtId="0" fontId="93" fillId="35" borderId="0" xfId="0" applyFont="1" applyFill="1" applyBorder="1" applyAlignment="1">
      <alignment horizontal="center" vertical="center"/>
    </xf>
    <xf numFmtId="0" fontId="87" fillId="42" borderId="0" xfId="0" applyFont="1" applyFill="1"/>
    <xf numFmtId="9" fontId="13" fillId="0" borderId="0" xfId="0" applyNumberFormat="1" applyFont="1" applyFill="1" applyAlignment="1">
      <alignment vertical="center"/>
    </xf>
    <xf numFmtId="0" fontId="81" fillId="0" borderId="77" xfId="0" applyNumberFormat="1" applyFont="1" applyFill="1" applyBorder="1" applyAlignment="1">
      <alignment vertical="center"/>
    </xf>
    <xf numFmtId="0" fontId="26" fillId="0" borderId="76" xfId="0" applyFont="1" applyFill="1" applyBorder="1" applyAlignment="1">
      <alignment horizontal="left" vertical="center"/>
    </xf>
    <xf numFmtId="9" fontId="26" fillId="0" borderId="84" xfId="0" applyNumberFormat="1" applyFont="1" applyFill="1" applyBorder="1" applyAlignment="1">
      <alignment horizontal="center" vertical="center"/>
    </xf>
    <xf numFmtId="9" fontId="26" fillId="0" borderId="84" xfId="0" applyNumberFormat="1" applyFont="1" applyFill="1" applyBorder="1" applyAlignment="1">
      <alignment vertical="center"/>
    </xf>
    <xf numFmtId="164" fontId="26" fillId="0" borderId="83" xfId="4" applyNumberFormat="1" applyFont="1" applyFill="1" applyBorder="1" applyAlignment="1">
      <alignment vertical="center"/>
    </xf>
    <xf numFmtId="0" fontId="26" fillId="0" borderId="77" xfId="0" applyFont="1" applyFill="1" applyBorder="1" applyAlignment="1">
      <alignment vertical="center"/>
    </xf>
    <xf numFmtId="0" fontId="13" fillId="0" borderId="0" xfId="0" applyFont="1" applyFill="1" applyAlignment="1">
      <alignment horizontal="left" vertical="center"/>
    </xf>
    <xf numFmtId="0" fontId="13" fillId="0" borderId="0" xfId="0" applyFont="1" applyFill="1" applyBorder="1" applyAlignment="1">
      <alignment horizontal="left" vertical="center"/>
    </xf>
    <xf numFmtId="0" fontId="13" fillId="0" borderId="0" xfId="0" applyFont="1" applyFill="1" applyBorder="1" applyAlignment="1">
      <alignment vertical="center"/>
    </xf>
    <xf numFmtId="164" fontId="13" fillId="0" borderId="0" xfId="4" applyNumberFormat="1" applyFont="1" applyFill="1" applyBorder="1" applyAlignment="1">
      <alignment vertical="center"/>
    </xf>
    <xf numFmtId="9" fontId="13" fillId="0" borderId="0" xfId="0" applyNumberFormat="1" applyFont="1" applyFill="1" applyBorder="1" applyAlignment="1">
      <alignment horizontal="center" vertical="center"/>
    </xf>
    <xf numFmtId="164" fontId="26" fillId="0" borderId="84" xfId="4" applyNumberFormat="1" applyFont="1" applyFill="1" applyBorder="1" applyAlignment="1">
      <alignment vertical="center"/>
    </xf>
    <xf numFmtId="0" fontId="14" fillId="0" borderId="0" xfId="19" applyFont="1" applyAlignment="1">
      <alignment horizontal="left" vertical="center"/>
    </xf>
    <xf numFmtId="0" fontId="27" fillId="0" borderId="0" xfId="22" applyFont="1" applyAlignment="1">
      <alignment horizontal="left" vertical="center"/>
    </xf>
    <xf numFmtId="0" fontId="14" fillId="0" borderId="0" xfId="19" applyAlignment="1">
      <alignment horizontal="left" vertical="center"/>
    </xf>
    <xf numFmtId="0" fontId="50" fillId="24" borderId="85" xfId="23" applyFont="1" applyBorder="1" applyAlignment="1">
      <alignment horizontal="center" vertical="center" wrapText="1"/>
    </xf>
    <xf numFmtId="0" fontId="51" fillId="25" borderId="85" xfId="24" applyFont="1" applyBorder="1" applyAlignment="1">
      <alignment horizontal="center" vertical="center" wrapText="1"/>
    </xf>
    <xf numFmtId="0" fontId="52" fillId="26" borderId="85" xfId="22" applyFont="1" applyFill="1" applyBorder="1" applyAlignment="1">
      <alignment horizontal="center" vertical="center"/>
    </xf>
    <xf numFmtId="0" fontId="48" fillId="24" borderId="85" xfId="23" applyBorder="1" applyAlignment="1">
      <alignment horizontal="left" vertical="center"/>
    </xf>
    <xf numFmtId="0" fontId="49" fillId="25" borderId="85" xfId="24" applyBorder="1" applyAlignment="1">
      <alignment horizontal="left" vertical="center"/>
    </xf>
    <xf numFmtId="0" fontId="27" fillId="44" borderId="85" xfId="22" applyFont="1" applyFill="1" applyBorder="1" applyAlignment="1">
      <alignment horizontal="left" vertical="center"/>
    </xf>
    <xf numFmtId="0" fontId="28" fillId="18" borderId="85" xfId="19" applyFont="1" applyFill="1" applyBorder="1" applyAlignment="1">
      <alignment horizontal="left" vertical="center" wrapText="1" readingOrder="1"/>
    </xf>
    <xf numFmtId="0" fontId="56" fillId="5" borderId="85" xfId="23" applyFont="1" applyFill="1" applyBorder="1" applyAlignment="1">
      <alignment horizontal="left" vertical="center"/>
    </xf>
    <xf numFmtId="0" fontId="56" fillId="5" borderId="85" xfId="24" applyFont="1" applyFill="1" applyBorder="1" applyAlignment="1">
      <alignment horizontal="left" vertical="center"/>
    </xf>
    <xf numFmtId="0" fontId="53" fillId="26" borderId="85" xfId="22" applyFont="1" applyFill="1" applyBorder="1" applyAlignment="1">
      <alignment horizontal="left" vertical="center" wrapText="1"/>
    </xf>
    <xf numFmtId="1" fontId="28" fillId="18" borderId="85" xfId="19" applyNumberFormat="1" applyFont="1" applyFill="1" applyBorder="1" applyAlignment="1">
      <alignment horizontal="left" vertical="center" wrapText="1" readingOrder="1"/>
    </xf>
    <xf numFmtId="0" fontId="48" fillId="24" borderId="88" xfId="23" applyBorder="1" applyAlignment="1">
      <alignment horizontal="left" vertical="center"/>
    </xf>
    <xf numFmtId="0" fontId="49" fillId="25" borderId="88" xfId="24" applyBorder="1" applyAlignment="1">
      <alignment horizontal="left" vertical="center"/>
    </xf>
    <xf numFmtId="9" fontId="28" fillId="18" borderId="85" xfId="19" applyNumberFormat="1" applyFont="1" applyFill="1" applyBorder="1" applyAlignment="1">
      <alignment horizontal="left" vertical="center" wrapText="1" readingOrder="1"/>
    </xf>
    <xf numFmtId="9" fontId="28" fillId="18" borderId="85" xfId="20" applyNumberFormat="1" applyFont="1" applyFill="1" applyBorder="1" applyAlignment="1">
      <alignment horizontal="left" vertical="center" wrapText="1" readingOrder="1"/>
    </xf>
    <xf numFmtId="0" fontId="58" fillId="8" borderId="85" xfId="23" applyFont="1" applyFill="1" applyBorder="1" applyAlignment="1">
      <alignment horizontal="left" vertical="center"/>
    </xf>
    <xf numFmtId="0" fontId="58" fillId="8" borderId="85" xfId="24" applyFont="1" applyFill="1" applyBorder="1" applyAlignment="1">
      <alignment horizontal="left" vertical="center"/>
    </xf>
    <xf numFmtId="0" fontId="54" fillId="26" borderId="85" xfId="22" applyFont="1" applyFill="1" applyBorder="1" applyAlignment="1">
      <alignment horizontal="left" vertical="center" wrapText="1"/>
    </xf>
    <xf numFmtId="1" fontId="28" fillId="7" borderId="85" xfId="19" applyNumberFormat="1" applyFont="1" applyFill="1" applyBorder="1" applyAlignment="1">
      <alignment horizontal="left" vertical="center" wrapText="1" readingOrder="1"/>
    </xf>
    <xf numFmtId="0" fontId="59" fillId="36" borderId="85" xfId="23" applyFont="1" applyFill="1" applyBorder="1" applyAlignment="1">
      <alignment horizontal="left" vertical="center"/>
    </xf>
    <xf numFmtId="0" fontId="59" fillId="36" borderId="85" xfId="24" applyFont="1" applyFill="1" applyBorder="1" applyAlignment="1">
      <alignment horizontal="left" vertical="center"/>
    </xf>
    <xf numFmtId="0" fontId="55" fillId="26" borderId="85" xfId="22" applyFont="1" applyFill="1" applyBorder="1" applyAlignment="1">
      <alignment horizontal="left" vertical="center" wrapText="1"/>
    </xf>
    <xf numFmtId="0" fontId="80" fillId="36" borderId="85" xfId="23" applyFont="1" applyFill="1" applyBorder="1" applyAlignment="1">
      <alignment horizontal="left" vertical="center" wrapText="1"/>
    </xf>
    <xf numFmtId="0" fontId="27" fillId="44" borderId="88" xfId="22" applyFont="1" applyFill="1" applyBorder="1" applyAlignment="1">
      <alignment horizontal="left" vertical="center"/>
    </xf>
    <xf numFmtId="0" fontId="16" fillId="0" borderId="0" xfId="22" applyAlignment="1">
      <alignment vertical="top" wrapText="1"/>
    </xf>
    <xf numFmtId="0" fontId="41" fillId="0" borderId="0" xfId="22" applyFont="1" applyAlignment="1">
      <alignment vertical="top" wrapText="1"/>
    </xf>
    <xf numFmtId="0" fontId="16" fillId="0" borderId="0" xfId="22" applyAlignment="1">
      <alignment wrapText="1"/>
    </xf>
    <xf numFmtId="0" fontId="22" fillId="12" borderId="4" xfId="22" applyFont="1" applyFill="1" applyBorder="1" applyAlignment="1">
      <alignment vertical="top" wrapText="1"/>
    </xf>
    <xf numFmtId="0" fontId="25" fillId="10" borderId="4" xfId="22" applyFont="1" applyFill="1" applyBorder="1" applyAlignment="1">
      <alignment horizontal="left" vertical="top" wrapText="1"/>
    </xf>
    <xf numFmtId="0" fontId="25" fillId="10" borderId="4" xfId="22" applyFont="1" applyFill="1" applyBorder="1" applyAlignment="1">
      <alignment horizontal="left" vertical="center" wrapText="1"/>
    </xf>
    <xf numFmtId="0" fontId="23" fillId="7" borderId="4" xfId="22" applyFont="1" applyFill="1" applyBorder="1" applyAlignment="1">
      <alignment vertical="top" wrapText="1"/>
    </xf>
    <xf numFmtId="0" fontId="23" fillId="11" borderId="4" xfId="22" applyFont="1" applyFill="1" applyBorder="1" applyAlignment="1">
      <alignment vertical="top" wrapText="1"/>
    </xf>
    <xf numFmtId="9" fontId="16" fillId="0" borderId="0" xfId="22" applyNumberFormat="1" applyAlignment="1">
      <alignment vertical="top" wrapText="1"/>
    </xf>
    <xf numFmtId="0" fontId="20" fillId="45" borderId="85" xfId="22" applyNumberFormat="1" applyFont="1" applyFill="1" applyBorder="1" applyAlignment="1">
      <alignment horizontal="center" vertical="center"/>
    </xf>
    <xf numFmtId="0" fontId="20" fillId="2" borderId="85" xfId="22" applyNumberFormat="1" applyFont="1" applyFill="1" applyBorder="1" applyAlignment="1">
      <alignment horizontal="center" vertical="center"/>
    </xf>
    <xf numFmtId="0" fontId="20" fillId="37" borderId="85" xfId="22" applyNumberFormat="1" applyFont="1" applyFill="1" applyBorder="1" applyAlignment="1">
      <alignment horizontal="center" vertical="center"/>
    </xf>
    <xf numFmtId="1" fontId="62" fillId="18" borderId="14" xfId="0" applyNumberFormat="1" applyFont="1" applyFill="1" applyBorder="1" applyAlignment="1">
      <alignment horizontal="left" vertical="top" wrapText="1" readingOrder="1"/>
    </xf>
    <xf numFmtId="0" fontId="20" fillId="38" borderId="85" xfId="22" applyNumberFormat="1" applyFont="1" applyFill="1" applyBorder="1" applyAlignment="1">
      <alignment horizontal="center" vertical="center"/>
    </xf>
    <xf numFmtId="0" fontId="62" fillId="27" borderId="85" xfId="22" applyNumberFormat="1" applyFont="1" applyFill="1" applyBorder="1" applyAlignment="1">
      <alignment horizontal="center" vertical="center" wrapText="1"/>
    </xf>
    <xf numFmtId="14" fontId="61" fillId="12" borderId="85" xfId="19" applyNumberFormat="1" applyFont="1" applyFill="1" applyBorder="1" applyAlignment="1">
      <alignment horizontal="center" vertical="center" wrapText="1"/>
    </xf>
    <xf numFmtId="14" fontId="61" fillId="22" borderId="85" xfId="19" applyNumberFormat="1" applyFont="1" applyFill="1" applyBorder="1" applyAlignment="1">
      <alignment horizontal="center" vertical="center" wrapText="1"/>
    </xf>
    <xf numFmtId="1" fontId="60" fillId="7" borderId="85" xfId="19" applyNumberFormat="1" applyFont="1" applyFill="1" applyBorder="1" applyAlignment="1">
      <alignment horizontal="center" vertical="center" wrapText="1"/>
    </xf>
    <xf numFmtId="0" fontId="60" fillId="7" borderId="85" xfId="19" applyFont="1" applyFill="1" applyBorder="1" applyAlignment="1">
      <alignment horizontal="center" vertical="center" wrapText="1"/>
    </xf>
    <xf numFmtId="0" fontId="60" fillId="7" borderId="0" xfId="19" applyFont="1" applyFill="1" applyBorder="1" applyAlignment="1">
      <alignment horizontal="center" vertical="center" wrapText="1"/>
    </xf>
    <xf numFmtId="0" fontId="20" fillId="9" borderId="85" xfId="22" applyNumberFormat="1" applyFont="1" applyFill="1" applyBorder="1" applyAlignment="1">
      <alignment horizontal="center" vertical="center"/>
    </xf>
    <xf numFmtId="164" fontId="21" fillId="0" borderId="0" xfId="4" applyNumberFormat="1" applyFont="1" applyFill="1" applyBorder="1" applyAlignment="1">
      <alignment horizontal="left" vertical="center" readingOrder="1"/>
    </xf>
    <xf numFmtId="164" fontId="21" fillId="0" borderId="23" xfId="4" applyNumberFormat="1" applyFont="1" applyFill="1" applyBorder="1" applyAlignment="1">
      <alignment horizontal="left" vertical="center" readingOrder="1"/>
    </xf>
    <xf numFmtId="164" fontId="21" fillId="0" borderId="0" xfId="4" applyNumberFormat="1" applyFont="1" applyFill="1" applyAlignment="1">
      <alignment horizontal="left" vertical="center" readingOrder="1"/>
    </xf>
    <xf numFmtId="14" fontId="21" fillId="17" borderId="85" xfId="19" applyNumberFormat="1" applyFont="1" applyFill="1" applyBorder="1" applyAlignment="1">
      <alignment horizontal="center" vertical="center" wrapText="1" readingOrder="1"/>
    </xf>
    <xf numFmtId="1" fontId="60" fillId="7" borderId="85" xfId="20" applyNumberFormat="1" applyFont="1" applyFill="1" applyBorder="1" applyAlignment="1">
      <alignment horizontal="center" vertical="center" wrapText="1"/>
    </xf>
    <xf numFmtId="1" fontId="62" fillId="7" borderId="85" xfId="19" applyNumberFormat="1" applyFont="1" applyFill="1" applyBorder="1" applyAlignment="1">
      <alignment horizontal="center" vertical="center" wrapText="1"/>
    </xf>
    <xf numFmtId="14" fontId="61" fillId="7" borderId="85" xfId="19" applyNumberFormat="1" applyFont="1" applyFill="1" applyBorder="1" applyAlignment="1">
      <alignment horizontal="center" vertical="center" wrapText="1"/>
    </xf>
    <xf numFmtId="0" fontId="61" fillId="7" borderId="85" xfId="19" applyFont="1" applyFill="1" applyBorder="1" applyAlignment="1">
      <alignment horizontal="center" vertical="center" wrapText="1"/>
    </xf>
    <xf numFmtId="0" fontId="36" fillId="14" borderId="0" xfId="0" applyFont="1" applyFill="1" applyBorder="1" applyAlignment="1"/>
    <xf numFmtId="1" fontId="36" fillId="8" borderId="0" xfId="0" applyNumberFormat="1" applyFont="1" applyFill="1" applyBorder="1" applyAlignment="1"/>
    <xf numFmtId="0" fontId="20" fillId="9" borderId="89" xfId="22" applyNumberFormat="1" applyFont="1" applyFill="1" applyBorder="1" applyAlignment="1">
      <alignment horizontal="center" vertical="center"/>
    </xf>
    <xf numFmtId="0" fontId="20" fillId="14" borderId="88" xfId="22" applyNumberFormat="1" applyFont="1" applyFill="1" applyBorder="1" applyAlignment="1">
      <alignment horizontal="center" vertical="center"/>
    </xf>
    <xf numFmtId="0" fontId="98" fillId="37" borderId="85" xfId="22" applyNumberFormat="1" applyFont="1" applyFill="1" applyBorder="1" applyAlignment="1">
      <alignment horizontal="left" vertical="center"/>
    </xf>
    <xf numFmtId="0" fontId="20" fillId="6" borderId="85" xfId="22" applyNumberFormat="1" applyFont="1" applyFill="1" applyBorder="1" applyAlignment="1">
      <alignment horizontal="center" vertical="center"/>
    </xf>
    <xf numFmtId="0" fontId="98" fillId="6" borderId="85" xfId="22" applyNumberFormat="1" applyFont="1" applyFill="1" applyBorder="1" applyAlignment="1">
      <alignment horizontal="left" vertical="center"/>
    </xf>
    <xf numFmtId="14" fontId="61" fillId="17" borderId="14" xfId="0" applyNumberFormat="1" applyFont="1" applyFill="1" applyBorder="1" applyAlignment="1">
      <alignment horizontal="left" vertical="top" wrapText="1" readingOrder="1"/>
    </xf>
    <xf numFmtId="0" fontId="62" fillId="18" borderId="14" xfId="0" applyFont="1" applyFill="1" applyBorder="1" applyAlignment="1">
      <alignment horizontal="left" vertical="top" wrapText="1" readingOrder="1"/>
    </xf>
    <xf numFmtId="0" fontId="62" fillId="22" borderId="19" xfId="0" applyNumberFormat="1" applyFont="1" applyFill="1" applyBorder="1" applyAlignment="1">
      <alignment horizontal="left" vertical="top" wrapText="1" readingOrder="1"/>
    </xf>
    <xf numFmtId="0" fontId="62" fillId="22" borderId="20" xfId="0" applyNumberFormat="1" applyFont="1" applyFill="1" applyBorder="1" applyAlignment="1">
      <alignment horizontal="left" vertical="top" wrapText="1" readingOrder="1"/>
    </xf>
    <xf numFmtId="0" fontId="62" fillId="22" borderId="2" xfId="0" applyNumberFormat="1" applyFont="1" applyFill="1" applyBorder="1" applyAlignment="1">
      <alignment horizontal="left" vertical="center" wrapText="1" readingOrder="1"/>
    </xf>
    <xf numFmtId="0" fontId="60" fillId="0" borderId="0" xfId="0" applyFont="1" applyAlignment="1">
      <alignment vertical="top" wrapText="1"/>
    </xf>
    <xf numFmtId="0" fontId="99" fillId="18" borderId="85" xfId="19" applyFont="1" applyFill="1" applyBorder="1" applyAlignment="1">
      <alignment horizontal="left" vertical="center" wrapText="1" readingOrder="1"/>
    </xf>
    <xf numFmtId="1" fontId="99" fillId="18" borderId="85" xfId="19" applyNumberFormat="1" applyFont="1" applyFill="1" applyBorder="1" applyAlignment="1">
      <alignment horizontal="left" vertical="center" wrapText="1" readingOrder="1"/>
    </xf>
    <xf numFmtId="0" fontId="100" fillId="18" borderId="85" xfId="19" applyFont="1" applyFill="1" applyBorder="1" applyAlignment="1">
      <alignment horizontal="left" vertical="center" wrapText="1" readingOrder="1"/>
    </xf>
    <xf numFmtId="0" fontId="99" fillId="18" borderId="85" xfId="19" applyFont="1" applyFill="1" applyBorder="1" applyAlignment="1">
      <alignment horizontal="left" vertical="center" wrapText="1"/>
    </xf>
    <xf numFmtId="1" fontId="100" fillId="18" borderId="85" xfId="19" applyNumberFormat="1" applyFont="1" applyFill="1" applyBorder="1" applyAlignment="1">
      <alignment horizontal="left" vertical="center" wrapText="1" readingOrder="1"/>
    </xf>
    <xf numFmtId="1" fontId="100" fillId="7" borderId="85" xfId="19" applyNumberFormat="1" applyFont="1" applyFill="1" applyBorder="1" applyAlignment="1">
      <alignment horizontal="left" vertical="center" wrapText="1" readingOrder="1"/>
    </xf>
    <xf numFmtId="0" fontId="99" fillId="28" borderId="85" xfId="19" applyFont="1" applyFill="1" applyBorder="1" applyAlignment="1">
      <alignment horizontal="left" vertical="center" wrapText="1"/>
    </xf>
    <xf numFmtId="14" fontId="100" fillId="7" borderId="85" xfId="19" applyNumberFormat="1" applyFont="1" applyFill="1" applyBorder="1" applyAlignment="1">
      <alignment horizontal="left" vertical="center" wrapText="1" readingOrder="1"/>
    </xf>
    <xf numFmtId="0" fontId="100" fillId="11" borderId="85" xfId="20" applyNumberFormat="1" applyFont="1" applyFill="1" applyBorder="1" applyAlignment="1">
      <alignment horizontal="left" vertical="center" wrapText="1" readingOrder="1"/>
    </xf>
    <xf numFmtId="1" fontId="100" fillId="11" borderId="85" xfId="19" applyNumberFormat="1" applyFont="1" applyFill="1" applyBorder="1" applyAlignment="1">
      <alignment horizontal="left" vertical="center" wrapText="1" readingOrder="1"/>
    </xf>
    <xf numFmtId="0" fontId="99" fillId="0" borderId="85" xfId="19" applyFont="1" applyFill="1" applyBorder="1" applyAlignment="1">
      <alignment horizontal="left" vertical="center" wrapText="1"/>
    </xf>
    <xf numFmtId="0" fontId="99" fillId="30" borderId="85" xfId="20" applyNumberFormat="1" applyFont="1" applyFill="1" applyBorder="1" applyAlignment="1">
      <alignment horizontal="left" vertical="center" wrapText="1" readingOrder="1"/>
    </xf>
    <xf numFmtId="14" fontId="100" fillId="17" borderId="85" xfId="19" applyNumberFormat="1" applyFont="1" applyFill="1" applyBorder="1" applyAlignment="1">
      <alignment horizontal="left" vertical="center" wrapText="1" readingOrder="1"/>
    </xf>
    <xf numFmtId="0" fontId="102" fillId="16" borderId="85" xfId="19" applyFont="1" applyFill="1" applyBorder="1" applyAlignment="1">
      <alignment horizontal="center" vertical="center" wrapText="1"/>
    </xf>
    <xf numFmtId="0" fontId="105" fillId="22" borderId="13" xfId="0" applyNumberFormat="1" applyFont="1" applyFill="1" applyBorder="1" applyAlignment="1">
      <alignment horizontal="left" vertical="center" wrapText="1" readingOrder="1"/>
    </xf>
    <xf numFmtId="0" fontId="105" fillId="22" borderId="2" xfId="0" applyNumberFormat="1" applyFont="1" applyFill="1" applyBorder="1" applyAlignment="1">
      <alignment horizontal="left" vertical="center" wrapText="1" readingOrder="1"/>
    </xf>
    <xf numFmtId="0" fontId="103" fillId="0" borderId="0" xfId="0" applyFont="1" applyAlignment="1"/>
    <xf numFmtId="0" fontId="49" fillId="25" borderId="86" xfId="24" applyBorder="1" applyAlignment="1">
      <alignment horizontal="left" vertical="center"/>
    </xf>
    <xf numFmtId="0" fontId="27" fillId="44" borderId="86" xfId="22" applyFont="1" applyFill="1" applyBorder="1" applyAlignment="1">
      <alignment horizontal="left" vertical="center"/>
    </xf>
    <xf numFmtId="0" fontId="56" fillId="5" borderId="0" xfId="23" applyFont="1" applyFill="1" applyBorder="1" applyAlignment="1">
      <alignment horizontal="left" vertical="center"/>
    </xf>
    <xf numFmtId="0" fontId="56" fillId="5" borderId="0" xfId="24" applyFont="1" applyFill="1" applyBorder="1" applyAlignment="1">
      <alignment horizontal="left" vertical="center"/>
    </xf>
    <xf numFmtId="0" fontId="53" fillId="26" borderId="0" xfId="22" applyFont="1" applyFill="1" applyBorder="1" applyAlignment="1">
      <alignment horizontal="left" vertical="center" wrapText="1"/>
    </xf>
    <xf numFmtId="14" fontId="28" fillId="18" borderId="85" xfId="19" applyNumberFormat="1" applyFont="1" applyFill="1" applyBorder="1" applyAlignment="1">
      <alignment horizontal="left" vertical="center" wrapText="1" readingOrder="1"/>
    </xf>
    <xf numFmtId="0" fontId="28" fillId="10" borderId="85" xfId="19" applyFont="1" applyFill="1" applyBorder="1" applyAlignment="1">
      <alignment horizontal="left" vertical="center" wrapText="1"/>
    </xf>
    <xf numFmtId="14" fontId="99" fillId="18" borderId="85" xfId="19" applyNumberFormat="1" applyFont="1" applyFill="1" applyBorder="1" applyAlignment="1">
      <alignment horizontal="left" vertical="center" wrapText="1" readingOrder="1"/>
    </xf>
    <xf numFmtId="9" fontId="28" fillId="11" borderId="85" xfId="19" applyNumberFormat="1" applyFont="1" applyFill="1" applyBorder="1" applyAlignment="1">
      <alignment horizontal="left" vertical="center" wrapText="1" readingOrder="1"/>
    </xf>
    <xf numFmtId="0" fontId="48" fillId="24" borderId="87" xfId="23" applyBorder="1" applyAlignment="1">
      <alignment horizontal="left" vertical="center"/>
    </xf>
    <xf numFmtId="0" fontId="48" fillId="24" borderId="92" xfId="23" applyBorder="1" applyAlignment="1">
      <alignment horizontal="left" vertical="center"/>
    </xf>
    <xf numFmtId="1" fontId="28" fillId="18" borderId="85" xfId="20" applyNumberFormat="1" applyFont="1" applyFill="1" applyBorder="1" applyAlignment="1">
      <alignment horizontal="left" vertical="center" wrapText="1" readingOrder="1"/>
    </xf>
    <xf numFmtId="0" fontId="106" fillId="22" borderId="13" xfId="0" applyNumberFormat="1" applyFont="1" applyFill="1" applyBorder="1" applyAlignment="1">
      <alignment horizontal="left" vertical="center" wrapText="1" readingOrder="1"/>
    </xf>
    <xf numFmtId="0" fontId="106" fillId="22" borderId="2" xfId="0" applyNumberFormat="1" applyFont="1" applyFill="1" applyBorder="1" applyAlignment="1">
      <alignment horizontal="left" vertical="center" wrapText="1" readingOrder="1"/>
    </xf>
    <xf numFmtId="0" fontId="114" fillId="0" borderId="0" xfId="0" applyFont="1" applyAlignment="1"/>
    <xf numFmtId="0" fontId="20" fillId="2" borderId="85" xfId="22" applyNumberFormat="1" applyFont="1" applyFill="1" applyBorder="1" applyAlignment="1">
      <alignment horizontal="center" vertical="center" wrapText="1"/>
    </xf>
    <xf numFmtId="0" fontId="20" fillId="6" borderId="85" xfId="22" applyNumberFormat="1" applyFont="1" applyFill="1" applyBorder="1" applyAlignment="1">
      <alignment horizontal="center" vertical="center" wrapText="1"/>
    </xf>
    <xf numFmtId="0" fontId="20" fillId="37" borderId="85" xfId="22" applyNumberFormat="1" applyFont="1" applyFill="1" applyBorder="1" applyAlignment="1">
      <alignment horizontal="center" vertical="center" wrapText="1"/>
    </xf>
    <xf numFmtId="0" fontId="20" fillId="45" borderId="85" xfId="22" applyNumberFormat="1" applyFont="1" applyFill="1" applyBorder="1" applyAlignment="1">
      <alignment horizontal="center" vertical="center" wrapText="1"/>
    </xf>
    <xf numFmtId="0" fontId="20" fillId="14" borderId="88" xfId="22" applyNumberFormat="1" applyFont="1" applyFill="1" applyBorder="1" applyAlignment="1">
      <alignment horizontal="center" vertical="center" wrapText="1"/>
    </xf>
    <xf numFmtId="0" fontId="20" fillId="38" borderId="85" xfId="22" applyNumberFormat="1" applyFont="1" applyFill="1" applyBorder="1" applyAlignment="1">
      <alignment horizontal="center" vertical="center" wrapText="1"/>
    </xf>
    <xf numFmtId="0" fontId="20" fillId="9" borderId="85" xfId="22" applyNumberFormat="1" applyFont="1" applyFill="1" applyBorder="1" applyAlignment="1">
      <alignment horizontal="center" vertical="center" wrapText="1"/>
    </xf>
    <xf numFmtId="0" fontId="30" fillId="22" borderId="13" xfId="0" applyNumberFormat="1" applyFont="1" applyFill="1" applyBorder="1" applyAlignment="1">
      <alignment horizontal="left" vertical="center" wrapText="1" readingOrder="1"/>
    </xf>
    <xf numFmtId="0" fontId="30" fillId="22" borderId="2" xfId="0" applyNumberFormat="1" applyFont="1" applyFill="1" applyBorder="1" applyAlignment="1">
      <alignment horizontal="left" vertical="center" wrapText="1" readingOrder="1"/>
    </xf>
    <xf numFmtId="0" fontId="32" fillId="0" borderId="0" xfId="0" applyFont="1" applyAlignment="1">
      <alignment wrapText="1"/>
    </xf>
    <xf numFmtId="0" fontId="116" fillId="0" borderId="0" xfId="19" applyFont="1" applyAlignment="1">
      <alignment horizontal="left" vertical="center"/>
    </xf>
    <xf numFmtId="0" fontId="28" fillId="0" borderId="0" xfId="22" applyFont="1" applyAlignment="1">
      <alignment horizontal="left" vertical="center"/>
    </xf>
    <xf numFmtId="0" fontId="30" fillId="16" borderId="85" xfId="22" applyFont="1" applyFill="1" applyBorder="1" applyAlignment="1">
      <alignment horizontal="center" vertical="center" wrapText="1"/>
    </xf>
    <xf numFmtId="0" fontId="30" fillId="16" borderId="85" xfId="19" applyFont="1" applyFill="1" applyBorder="1" applyAlignment="1">
      <alignment horizontal="center" vertical="center" wrapText="1"/>
    </xf>
    <xf numFmtId="0" fontId="117" fillId="24" borderId="85" xfId="23" applyFont="1" applyBorder="1" applyAlignment="1">
      <alignment horizontal="center" vertical="center" wrapText="1"/>
    </xf>
    <xf numFmtId="0" fontId="116" fillId="0" borderId="0" xfId="19" applyFont="1" applyAlignment="1">
      <alignment horizontal="center" vertical="center"/>
    </xf>
    <xf numFmtId="0" fontId="30" fillId="2" borderId="85" xfId="22" applyNumberFormat="1" applyFont="1" applyFill="1" applyBorder="1" applyAlignment="1">
      <alignment horizontal="left" vertical="center" indent="1" readingOrder="1"/>
    </xf>
    <xf numFmtId="14" fontId="28" fillId="17" borderId="85" xfId="19" applyNumberFormat="1" applyFont="1" applyFill="1" applyBorder="1" applyAlignment="1">
      <alignment horizontal="left" vertical="center" wrapText="1" readingOrder="1"/>
    </xf>
    <xf numFmtId="0" fontId="28" fillId="0" borderId="85" xfId="19" applyFont="1" applyFill="1" applyBorder="1" applyAlignment="1">
      <alignment horizontal="left" vertical="center" wrapText="1"/>
    </xf>
    <xf numFmtId="0" fontId="116" fillId="24" borderId="85" xfId="23" applyFont="1" applyBorder="1" applyAlignment="1">
      <alignment horizontal="left" vertical="center"/>
    </xf>
    <xf numFmtId="0" fontId="30" fillId="14" borderId="85" xfId="22" applyNumberFormat="1" applyFont="1" applyFill="1" applyBorder="1" applyAlignment="1">
      <alignment horizontal="left" vertical="center" indent="1" readingOrder="1"/>
    </xf>
    <xf numFmtId="0" fontId="91" fillId="5" borderId="85" xfId="23" applyFont="1" applyFill="1" applyBorder="1" applyAlignment="1">
      <alignment horizontal="left" vertical="center"/>
    </xf>
    <xf numFmtId="0" fontId="116" fillId="24" borderId="87" xfId="23" applyFont="1" applyBorder="1" applyAlignment="1">
      <alignment horizontal="left" vertical="center"/>
    </xf>
    <xf numFmtId="0" fontId="116" fillId="24" borderId="92" xfId="23" applyFont="1" applyBorder="1" applyAlignment="1">
      <alignment horizontal="left" vertical="center"/>
    </xf>
    <xf numFmtId="0" fontId="91" fillId="5" borderId="0" xfId="23" applyFont="1" applyFill="1" applyBorder="1" applyAlignment="1">
      <alignment horizontal="left" vertical="center"/>
    </xf>
    <xf numFmtId="0" fontId="116" fillId="0" borderId="0" xfId="19" applyFont="1" applyBorder="1" applyAlignment="1">
      <alignment horizontal="left" vertical="center"/>
    </xf>
    <xf numFmtId="1" fontId="28" fillId="18" borderId="88" xfId="20" applyNumberFormat="1" applyFont="1" applyFill="1" applyBorder="1" applyAlignment="1">
      <alignment horizontal="left" vertical="center" wrapText="1" readingOrder="1"/>
    </xf>
    <xf numFmtId="0" fontId="28" fillId="18" borderId="88" xfId="19" applyFont="1" applyFill="1" applyBorder="1" applyAlignment="1">
      <alignment horizontal="left" vertical="center" wrapText="1" readingOrder="1"/>
    </xf>
    <xf numFmtId="1" fontId="28" fillId="18" borderId="88" xfId="19" applyNumberFormat="1" applyFont="1" applyFill="1" applyBorder="1" applyAlignment="1">
      <alignment horizontal="left" vertical="center" wrapText="1" readingOrder="1"/>
    </xf>
    <xf numFmtId="0" fontId="28" fillId="10" borderId="88" xfId="19" applyFont="1" applyFill="1" applyBorder="1" applyAlignment="1">
      <alignment horizontal="left" vertical="center" wrapText="1"/>
    </xf>
    <xf numFmtId="0" fontId="116" fillId="24" borderId="88" xfId="23" applyFont="1" applyBorder="1" applyAlignment="1">
      <alignment horizontal="left" vertical="center"/>
    </xf>
    <xf numFmtId="0" fontId="30" fillId="38" borderId="85" xfId="22" applyNumberFormat="1" applyFont="1" applyFill="1" applyBorder="1" applyAlignment="1">
      <alignment horizontal="left" vertical="center" indent="1" readingOrder="1"/>
    </xf>
    <xf numFmtId="0" fontId="28" fillId="28" borderId="85" xfId="19" applyFont="1" applyFill="1" applyBorder="1" applyAlignment="1">
      <alignment horizontal="left" vertical="center" wrapText="1"/>
    </xf>
    <xf numFmtId="0" fontId="91" fillId="8" borderId="85" xfId="23" applyFont="1" applyFill="1" applyBorder="1" applyAlignment="1">
      <alignment horizontal="left" vertical="center"/>
    </xf>
    <xf numFmtId="1" fontId="28" fillId="7" borderId="85" xfId="20" applyNumberFormat="1" applyFont="1" applyFill="1" applyBorder="1" applyAlignment="1">
      <alignment horizontal="left" vertical="center" wrapText="1" readingOrder="1"/>
    </xf>
    <xf numFmtId="14" fontId="28" fillId="7" borderId="85" xfId="19" applyNumberFormat="1" applyFont="1" applyFill="1" applyBorder="1" applyAlignment="1">
      <alignment horizontal="left" vertical="center" wrapText="1"/>
    </xf>
    <xf numFmtId="14" fontId="28" fillId="7" borderId="85" xfId="19" applyNumberFormat="1" applyFont="1" applyFill="1" applyBorder="1" applyAlignment="1">
      <alignment horizontal="left" vertical="center" wrapText="1" readingOrder="1"/>
    </xf>
    <xf numFmtId="0" fontId="28" fillId="7" borderId="85" xfId="19" applyFont="1" applyFill="1" applyBorder="1" applyAlignment="1">
      <alignment horizontal="left" vertical="center" wrapText="1"/>
    </xf>
    <xf numFmtId="0" fontId="28" fillId="7" borderId="85" xfId="19" applyFont="1" applyFill="1" applyBorder="1" applyAlignment="1">
      <alignment horizontal="left" vertical="center" wrapText="1" readingOrder="1"/>
    </xf>
    <xf numFmtId="0" fontId="30" fillId="9" borderId="85" xfId="22" applyNumberFormat="1" applyFont="1" applyFill="1" applyBorder="1" applyAlignment="1">
      <alignment horizontal="left" vertical="center" indent="1" readingOrder="1"/>
    </xf>
    <xf numFmtId="0" fontId="28" fillId="11" borderId="85" xfId="20" applyNumberFormat="1" applyFont="1" applyFill="1" applyBorder="1" applyAlignment="1">
      <alignment horizontal="left" vertical="center" wrapText="1" readingOrder="1"/>
    </xf>
    <xf numFmtId="0" fontId="28" fillId="30" borderId="85" xfId="20" applyNumberFormat="1" applyFont="1" applyFill="1" applyBorder="1" applyAlignment="1">
      <alignment horizontal="left" vertical="center" wrapText="1" readingOrder="1"/>
    </xf>
    <xf numFmtId="1" fontId="28" fillId="11" borderId="85" xfId="19" applyNumberFormat="1" applyFont="1" applyFill="1" applyBorder="1" applyAlignment="1">
      <alignment horizontal="left" vertical="center" wrapText="1" readingOrder="1"/>
    </xf>
    <xf numFmtId="0" fontId="28" fillId="30" borderId="85" xfId="19" applyFont="1" applyFill="1" applyBorder="1" applyAlignment="1">
      <alignment horizontal="left" vertical="center" wrapText="1"/>
    </xf>
    <xf numFmtId="0" fontId="91" fillId="36" borderId="85" xfId="23" applyFont="1" applyFill="1" applyBorder="1" applyAlignment="1">
      <alignment horizontal="left" vertical="center"/>
    </xf>
    <xf numFmtId="0" fontId="91" fillId="36" borderId="85" xfId="23" applyFont="1" applyFill="1" applyBorder="1" applyAlignment="1">
      <alignment horizontal="left" vertical="center" wrapText="1"/>
    </xf>
    <xf numFmtId="9" fontId="28" fillId="11" borderId="88" xfId="19" applyNumberFormat="1" applyFont="1" applyFill="1" applyBorder="1" applyAlignment="1">
      <alignment horizontal="left" vertical="center" wrapText="1" readingOrder="1"/>
    </xf>
    <xf numFmtId="0" fontId="28" fillId="30" borderId="88" xfId="19" applyFont="1" applyFill="1" applyBorder="1" applyAlignment="1">
      <alignment horizontal="left" vertical="center" wrapText="1"/>
    </xf>
    <xf numFmtId="0" fontId="62" fillId="0" borderId="0" xfId="19" applyFont="1" applyAlignment="1">
      <alignment horizontal="left" vertical="center"/>
    </xf>
    <xf numFmtId="0" fontId="28" fillId="0" borderId="0" xfId="19" applyFont="1" applyAlignment="1">
      <alignment horizontal="left" vertical="center"/>
    </xf>
    <xf numFmtId="0" fontId="119" fillId="0" borderId="0" xfId="19" applyFont="1" applyAlignment="1">
      <alignment horizontal="left" vertical="center"/>
    </xf>
    <xf numFmtId="0" fontId="119" fillId="0" borderId="0" xfId="19" applyFont="1" applyAlignment="1">
      <alignment horizontal="center" vertical="center"/>
    </xf>
    <xf numFmtId="0" fontId="30" fillId="14" borderId="87" xfId="22" applyNumberFormat="1" applyFont="1" applyFill="1" applyBorder="1" applyAlignment="1">
      <alignment horizontal="left" vertical="center" indent="1" readingOrder="1"/>
    </xf>
    <xf numFmtId="0" fontId="119" fillId="0" borderId="0" xfId="19" applyFont="1" applyBorder="1" applyAlignment="1">
      <alignment horizontal="left" vertical="center"/>
    </xf>
    <xf numFmtId="0" fontId="101" fillId="0" borderId="0" xfId="19" applyFont="1" applyAlignment="1">
      <alignment horizontal="left" vertical="center"/>
    </xf>
    <xf numFmtId="0" fontId="99" fillId="0" borderId="0" xfId="19" applyFont="1" applyAlignment="1">
      <alignment horizontal="left" vertical="center"/>
    </xf>
    <xf numFmtId="0" fontId="100" fillId="0" borderId="0" xfId="19" applyFont="1" applyAlignment="1">
      <alignment horizontal="left" vertical="center"/>
    </xf>
    <xf numFmtId="0" fontId="20" fillId="9" borderId="0" xfId="22" applyNumberFormat="1" applyFont="1" applyFill="1" applyBorder="1" applyAlignment="1">
      <alignment horizontal="center" vertical="center"/>
    </xf>
    <xf numFmtId="14" fontId="21" fillId="17" borderId="85" xfId="19" applyNumberFormat="1" applyFont="1" applyFill="1" applyBorder="1" applyAlignment="1">
      <alignment horizontal="center" vertical="center" wrapText="1"/>
    </xf>
    <xf numFmtId="14" fontId="21" fillId="7" borderId="85" xfId="19" applyNumberFormat="1" applyFont="1" applyFill="1" applyBorder="1" applyAlignment="1">
      <alignment horizontal="center" vertical="center" wrapText="1"/>
    </xf>
    <xf numFmtId="14" fontId="21" fillId="27" borderId="85" xfId="19" applyNumberFormat="1" applyFont="1" applyFill="1" applyBorder="1" applyAlignment="1">
      <alignment horizontal="center" vertical="center" wrapText="1"/>
    </xf>
    <xf numFmtId="14" fontId="21" fillId="22" borderId="85" xfId="19" applyNumberFormat="1" applyFont="1" applyFill="1" applyBorder="1" applyAlignment="1">
      <alignment horizontal="center" vertical="center" wrapText="1"/>
    </xf>
    <xf numFmtId="14" fontId="21" fillId="17" borderId="91" xfId="19" applyNumberFormat="1" applyFont="1" applyFill="1" applyBorder="1" applyAlignment="1">
      <alignment horizontal="center" vertical="center" wrapText="1"/>
    </xf>
    <xf numFmtId="0" fontId="28" fillId="18" borderId="90" xfId="19" applyFont="1" applyFill="1" applyBorder="1" applyAlignment="1">
      <alignment horizontal="center" vertical="center" wrapText="1"/>
    </xf>
    <xf numFmtId="0" fontId="28" fillId="18" borderId="94" xfId="19" applyFont="1" applyFill="1" applyBorder="1" applyAlignment="1">
      <alignment horizontal="center" vertical="center" wrapText="1"/>
    </xf>
    <xf numFmtId="0" fontId="28" fillId="18" borderId="93" xfId="19" applyFont="1" applyFill="1" applyBorder="1" applyAlignment="1">
      <alignment horizontal="center" vertical="center" wrapText="1"/>
    </xf>
    <xf numFmtId="9" fontId="27" fillId="18" borderId="93" xfId="19" applyNumberFormat="1" applyFont="1" applyFill="1" applyBorder="1" applyAlignment="1">
      <alignment horizontal="left" vertical="center" wrapText="1" readingOrder="1"/>
    </xf>
    <xf numFmtId="0" fontId="28" fillId="18" borderId="95" xfId="19" applyFont="1" applyFill="1" applyBorder="1" applyAlignment="1">
      <alignment horizontal="center" vertical="center" wrapText="1"/>
    </xf>
    <xf numFmtId="1" fontId="27" fillId="7" borderId="85" xfId="19" applyNumberFormat="1" applyFont="1" applyFill="1" applyBorder="1" applyAlignment="1">
      <alignment horizontal="center" vertical="center" wrapText="1"/>
    </xf>
    <xf numFmtId="1" fontId="27" fillId="7" borderId="85" xfId="20" applyNumberFormat="1" applyFont="1" applyFill="1" applyBorder="1" applyAlignment="1">
      <alignment horizontal="center" vertical="center" wrapText="1"/>
    </xf>
    <xf numFmtId="1" fontId="28" fillId="7" borderId="85" xfId="19" applyNumberFormat="1" applyFont="1" applyFill="1" applyBorder="1" applyAlignment="1">
      <alignment horizontal="center" vertical="center" wrapText="1"/>
    </xf>
    <xf numFmtId="0" fontId="21" fillId="7" borderId="85" xfId="19" applyFont="1" applyFill="1" applyBorder="1" applyAlignment="1">
      <alignment horizontal="center" vertical="center" wrapText="1"/>
    </xf>
    <xf numFmtId="0" fontId="27" fillId="7" borderId="85" xfId="19" applyFont="1" applyFill="1" applyBorder="1" applyAlignment="1">
      <alignment horizontal="center" vertical="center" wrapText="1"/>
    </xf>
    <xf numFmtId="1" fontId="27" fillId="11" borderId="85" xfId="19" applyNumberFormat="1" applyFont="1" applyFill="1" applyBorder="1" applyAlignment="1">
      <alignment horizontal="center" vertical="center" wrapText="1"/>
    </xf>
    <xf numFmtId="1" fontId="21" fillId="11" borderId="85" xfId="19" applyNumberFormat="1" applyFont="1" applyFill="1" applyBorder="1" applyAlignment="1">
      <alignment horizontal="center" vertical="center" wrapText="1"/>
    </xf>
    <xf numFmtId="9" fontId="27" fillId="11" borderId="85" xfId="19" applyNumberFormat="1" applyFont="1" applyFill="1" applyBorder="1" applyAlignment="1">
      <alignment horizontal="center" vertical="center" wrapText="1"/>
    </xf>
    <xf numFmtId="9" fontId="27" fillId="11" borderId="91" xfId="19" applyNumberFormat="1" applyFont="1" applyFill="1" applyBorder="1" applyAlignment="1">
      <alignment horizontal="center" vertical="center" wrapText="1"/>
    </xf>
    <xf numFmtId="0" fontId="20" fillId="9" borderId="91" xfId="22" applyNumberFormat="1" applyFont="1" applyFill="1" applyBorder="1" applyAlignment="1">
      <alignment horizontal="center" vertical="center" wrapText="1"/>
    </xf>
    <xf numFmtId="14" fontId="120" fillId="17" borderId="85" xfId="19" applyNumberFormat="1" applyFont="1" applyFill="1" applyBorder="1" applyAlignment="1">
      <alignment horizontal="center" vertical="center" wrapText="1"/>
    </xf>
    <xf numFmtId="14" fontId="120" fillId="7" borderId="85" xfId="19" applyNumberFormat="1" applyFont="1" applyFill="1" applyBorder="1" applyAlignment="1">
      <alignment horizontal="center" vertical="center" wrapText="1"/>
    </xf>
    <xf numFmtId="14" fontId="120" fillId="27" borderId="85" xfId="19" applyNumberFormat="1" applyFont="1" applyFill="1" applyBorder="1" applyAlignment="1">
      <alignment horizontal="center" vertical="center" wrapText="1"/>
    </xf>
    <xf numFmtId="14" fontId="120" fillId="22" borderId="85" xfId="19" applyNumberFormat="1" applyFont="1" applyFill="1" applyBorder="1" applyAlignment="1">
      <alignment horizontal="center" vertical="center" wrapText="1"/>
    </xf>
    <xf numFmtId="14" fontId="120" fillId="17" borderId="91" xfId="19" applyNumberFormat="1" applyFont="1" applyFill="1" applyBorder="1" applyAlignment="1">
      <alignment horizontal="center" vertical="center" wrapText="1"/>
    </xf>
    <xf numFmtId="0" fontId="121" fillId="18" borderId="90" xfId="19" applyFont="1" applyFill="1" applyBorder="1" applyAlignment="1">
      <alignment horizontal="center" vertical="center" wrapText="1"/>
    </xf>
    <xf numFmtId="0" fontId="121" fillId="18" borderId="94" xfId="19" applyFont="1" applyFill="1" applyBorder="1" applyAlignment="1">
      <alignment horizontal="center" vertical="center" wrapText="1"/>
    </xf>
    <xf numFmtId="0" fontId="121" fillId="18" borderId="93" xfId="19" applyFont="1" applyFill="1" applyBorder="1" applyAlignment="1">
      <alignment horizontal="center" vertical="center" wrapText="1"/>
    </xf>
    <xf numFmtId="9" fontId="122" fillId="18" borderId="93" xfId="19" applyNumberFormat="1" applyFont="1" applyFill="1" applyBorder="1" applyAlignment="1">
      <alignment horizontal="left" vertical="center" wrapText="1" readingOrder="1"/>
    </xf>
    <xf numFmtId="0" fontId="121" fillId="18" borderId="95" xfId="19" applyFont="1" applyFill="1" applyBorder="1" applyAlignment="1">
      <alignment horizontal="center" vertical="center" wrapText="1"/>
    </xf>
    <xf numFmtId="1" fontId="122" fillId="7" borderId="85" xfId="19" applyNumberFormat="1" applyFont="1" applyFill="1" applyBorder="1" applyAlignment="1">
      <alignment horizontal="center" vertical="center" wrapText="1"/>
    </xf>
    <xf numFmtId="1" fontId="122" fillId="7" borderId="85" xfId="20" applyNumberFormat="1" applyFont="1" applyFill="1" applyBorder="1" applyAlignment="1">
      <alignment horizontal="center" vertical="center" wrapText="1"/>
    </xf>
    <xf numFmtId="1" fontId="121" fillId="7" borderId="85" xfId="19" applyNumberFormat="1" applyFont="1" applyFill="1" applyBorder="1" applyAlignment="1">
      <alignment horizontal="center" vertical="center" wrapText="1"/>
    </xf>
    <xf numFmtId="0" fontId="120" fillId="7" borderId="85" xfId="19" applyFont="1" applyFill="1" applyBorder="1" applyAlignment="1">
      <alignment horizontal="center" vertical="center" wrapText="1"/>
    </xf>
    <xf numFmtId="0" fontId="122" fillId="7" borderId="85" xfId="19" applyFont="1" applyFill="1" applyBorder="1" applyAlignment="1">
      <alignment horizontal="center" vertical="center" wrapText="1"/>
    </xf>
    <xf numFmtId="1" fontId="122" fillId="11" borderId="85" xfId="19" applyNumberFormat="1" applyFont="1" applyFill="1" applyBorder="1" applyAlignment="1">
      <alignment horizontal="center" vertical="center" wrapText="1"/>
    </xf>
    <xf numFmtId="1" fontId="120" fillId="11" borderId="85" xfId="19" applyNumberFormat="1" applyFont="1" applyFill="1" applyBorder="1" applyAlignment="1">
      <alignment horizontal="center" vertical="center" wrapText="1"/>
    </xf>
    <xf numFmtId="9" fontId="122" fillId="11" borderId="85" xfId="19" applyNumberFormat="1" applyFont="1" applyFill="1" applyBorder="1" applyAlignment="1">
      <alignment horizontal="center" vertical="center" wrapText="1"/>
    </xf>
    <xf numFmtId="9" fontId="122" fillId="11" borderId="91" xfId="19" applyNumberFormat="1" applyFont="1" applyFill="1" applyBorder="1" applyAlignment="1">
      <alignment horizontal="center" vertical="center" wrapText="1"/>
    </xf>
    <xf numFmtId="1" fontId="97" fillId="18" borderId="0" xfId="0" applyNumberFormat="1" applyFont="1" applyFill="1" applyBorder="1" applyAlignment="1">
      <alignment vertical="top" wrapText="1"/>
    </xf>
    <xf numFmtId="0" fontId="97" fillId="18" borderId="96" xfId="0" applyFont="1" applyFill="1" applyBorder="1" applyAlignment="1">
      <alignment vertical="top" wrapText="1"/>
    </xf>
    <xf numFmtId="0" fontId="97" fillId="18" borderId="97" xfId="0" applyFont="1" applyFill="1" applyBorder="1" applyAlignment="1">
      <alignment vertical="top" wrapText="1"/>
    </xf>
    <xf numFmtId="1" fontId="108" fillId="18" borderId="100" xfId="0" applyNumberFormat="1" applyFont="1" applyFill="1" applyBorder="1" applyAlignment="1">
      <alignment vertical="top" wrapText="1"/>
    </xf>
    <xf numFmtId="1" fontId="107" fillId="18" borderId="100" xfId="0" applyNumberFormat="1" applyFont="1" applyFill="1" applyBorder="1" applyAlignment="1">
      <alignment horizontal="center" vertical="center" wrapText="1"/>
    </xf>
    <xf numFmtId="0" fontId="108" fillId="18" borderId="100" xfId="0" applyFont="1" applyFill="1" applyBorder="1" applyAlignment="1">
      <alignment vertical="top" wrapText="1"/>
    </xf>
    <xf numFmtId="0" fontId="123" fillId="5" borderId="100" xfId="0" applyFont="1" applyFill="1" applyBorder="1" applyAlignment="1">
      <alignment horizontal="center" vertical="center" wrapText="1"/>
    </xf>
    <xf numFmtId="1" fontId="108" fillId="18" borderId="101" xfId="0" applyNumberFormat="1" applyFont="1" applyFill="1" applyBorder="1" applyAlignment="1">
      <alignment vertical="top" wrapText="1"/>
    </xf>
    <xf numFmtId="0" fontId="123" fillId="5" borderId="101" xfId="0" applyFont="1" applyFill="1" applyBorder="1" applyAlignment="1">
      <alignment horizontal="center" vertical="center" wrapText="1"/>
    </xf>
    <xf numFmtId="0" fontId="108" fillId="18" borderId="102" xfId="0" applyFont="1" applyFill="1" applyBorder="1" applyAlignment="1">
      <alignment vertical="top" wrapText="1"/>
    </xf>
    <xf numFmtId="0" fontId="108" fillId="18" borderId="103" xfId="0" applyFont="1" applyFill="1" applyBorder="1" applyAlignment="1">
      <alignment vertical="top" wrapText="1"/>
    </xf>
    <xf numFmtId="1" fontId="108" fillId="18" borderId="104" xfId="0" applyNumberFormat="1" applyFont="1" applyFill="1" applyBorder="1" applyAlignment="1">
      <alignment vertical="top" wrapText="1"/>
    </xf>
    <xf numFmtId="0" fontId="108" fillId="18" borderId="105" xfId="0" applyFont="1" applyFill="1" applyBorder="1" applyAlignment="1">
      <alignment vertical="top" wrapText="1"/>
    </xf>
    <xf numFmtId="1" fontId="108" fillId="18" borderId="106" xfId="0" applyNumberFormat="1" applyFont="1" applyFill="1" applyBorder="1" applyAlignment="1">
      <alignment vertical="top" wrapText="1"/>
    </xf>
    <xf numFmtId="0" fontId="97" fillId="18" borderId="107" xfId="0" applyFont="1" applyFill="1" applyBorder="1" applyAlignment="1">
      <alignment vertical="top" wrapText="1"/>
    </xf>
    <xf numFmtId="0" fontId="97" fillId="18" borderId="108" xfId="0" applyFont="1" applyFill="1" applyBorder="1" applyAlignment="1">
      <alignment vertical="top" wrapText="1"/>
    </xf>
    <xf numFmtId="1" fontId="97" fillId="18" borderId="109" xfId="0" applyNumberFormat="1" applyFont="1" applyFill="1" applyBorder="1" applyAlignment="1">
      <alignment vertical="top" wrapText="1"/>
    </xf>
    <xf numFmtId="0" fontId="123" fillId="5" borderId="110" xfId="0" applyFont="1" applyFill="1" applyBorder="1" applyAlignment="1">
      <alignment horizontal="center" vertical="center" wrapText="1"/>
    </xf>
    <xf numFmtId="0" fontId="97" fillId="18" borderId="98" xfId="0" applyFont="1" applyFill="1" applyBorder="1" applyAlignment="1">
      <alignment vertical="top" wrapText="1"/>
    </xf>
    <xf numFmtId="1" fontId="108" fillId="18" borderId="110" xfId="0" applyNumberFormat="1" applyFont="1" applyFill="1" applyBorder="1" applyAlignment="1">
      <alignment vertical="top" wrapText="1"/>
    </xf>
    <xf numFmtId="1" fontId="124" fillId="18" borderId="100" xfId="0" applyNumberFormat="1" applyFont="1" applyFill="1" applyBorder="1" applyAlignment="1">
      <alignment vertical="top" wrapText="1"/>
    </xf>
    <xf numFmtId="1" fontId="124" fillId="18" borderId="110" xfId="0" applyNumberFormat="1" applyFont="1" applyFill="1" applyBorder="1" applyAlignment="1">
      <alignment vertical="top" wrapText="1"/>
    </xf>
    <xf numFmtId="1" fontId="97" fillId="5" borderId="99" xfId="0" applyNumberFormat="1" applyFont="1" applyFill="1" applyBorder="1" applyAlignment="1">
      <alignment vertical="top" wrapText="1"/>
    </xf>
    <xf numFmtId="0" fontId="31" fillId="5" borderId="100" xfId="0" applyFont="1" applyFill="1" applyBorder="1" applyAlignment="1">
      <alignment vertical="center" wrapText="1"/>
    </xf>
    <xf numFmtId="0" fontId="97" fillId="18" borderId="100" xfId="0" applyFont="1" applyFill="1" applyBorder="1" applyAlignment="1">
      <alignment vertical="top" wrapText="1"/>
    </xf>
    <xf numFmtId="9" fontId="97" fillId="18" borderId="100" xfId="0" applyNumberFormat="1" applyFont="1" applyFill="1" applyBorder="1" applyAlignment="1">
      <alignment vertical="top" wrapText="1"/>
    </xf>
    <xf numFmtId="0" fontId="31" fillId="5" borderId="110" xfId="0" applyFont="1" applyFill="1" applyBorder="1" applyAlignment="1">
      <alignment vertical="center" wrapText="1"/>
    </xf>
    <xf numFmtId="1" fontId="97" fillId="18" borderId="110" xfId="0" applyNumberFormat="1" applyFont="1" applyFill="1" applyBorder="1" applyAlignment="1">
      <alignment vertical="top" wrapText="1"/>
    </xf>
    <xf numFmtId="1" fontId="108" fillId="18" borderId="115" xfId="0" applyNumberFormat="1" applyFont="1" applyFill="1" applyBorder="1" applyAlignment="1">
      <alignment vertical="top" wrapText="1"/>
    </xf>
    <xf numFmtId="1" fontId="108" fillId="18" borderId="105" xfId="0" applyNumberFormat="1" applyFont="1" applyFill="1" applyBorder="1" applyAlignment="1">
      <alignment vertical="top" wrapText="1"/>
    </xf>
    <xf numFmtId="0" fontId="31" fillId="5" borderId="105" xfId="0" applyFont="1" applyFill="1" applyBorder="1" applyAlignment="1">
      <alignment vertical="center" wrapText="1"/>
    </xf>
    <xf numFmtId="1" fontId="97" fillId="18" borderId="116" xfId="0" applyNumberFormat="1" applyFont="1" applyFill="1" applyBorder="1" applyAlignment="1">
      <alignment vertical="top" wrapText="1"/>
    </xf>
    <xf numFmtId="0" fontId="108" fillId="18" borderId="106" xfId="0" applyFont="1" applyFill="1" applyBorder="1" applyAlignment="1">
      <alignment vertical="top" wrapText="1"/>
    </xf>
    <xf numFmtId="1" fontId="108" fillId="18" borderId="123" xfId="0" applyNumberFormat="1" applyFont="1" applyFill="1" applyBorder="1" applyAlignment="1">
      <alignment vertical="top" wrapText="1"/>
    </xf>
    <xf numFmtId="1" fontId="97" fillId="18" borderId="111" xfId="0" applyNumberFormat="1" applyFont="1" applyFill="1" applyBorder="1" applyAlignment="1">
      <alignment vertical="top" wrapText="1"/>
    </xf>
    <xf numFmtId="0" fontId="108" fillId="6" borderId="100" xfId="0" applyFont="1" applyFill="1" applyBorder="1" applyAlignment="1">
      <alignment vertical="top" wrapText="1"/>
    </xf>
    <xf numFmtId="1" fontId="108" fillId="6" borderId="100" xfId="0" applyNumberFormat="1" applyFont="1" applyFill="1" applyBorder="1" applyAlignment="1">
      <alignment vertical="top" wrapText="1"/>
    </xf>
    <xf numFmtId="1" fontId="110" fillId="6" borderId="100" xfId="0" applyNumberFormat="1" applyFont="1" applyFill="1" applyBorder="1" applyAlignment="1">
      <alignment vertical="top" wrapText="1"/>
    </xf>
    <xf numFmtId="0" fontId="31" fillId="8" borderId="100" xfId="0" applyFont="1" applyFill="1" applyBorder="1" applyAlignment="1">
      <alignment vertical="center" wrapText="1"/>
    </xf>
    <xf numFmtId="1" fontId="31" fillId="8" borderId="100" xfId="0" applyNumberFormat="1" applyFont="1" applyFill="1" applyBorder="1" applyAlignment="1">
      <alignment vertical="center" wrapText="1"/>
    </xf>
    <xf numFmtId="1" fontId="36" fillId="8" borderId="100" xfId="0" applyNumberFormat="1" applyFont="1" applyFill="1" applyBorder="1" applyAlignment="1">
      <alignment vertical="center" wrapText="1"/>
    </xf>
    <xf numFmtId="0" fontId="97" fillId="6" borderId="100" xfId="0" applyFont="1" applyFill="1" applyBorder="1" applyAlignment="1">
      <alignment vertical="top" wrapText="1"/>
    </xf>
    <xf numFmtId="1" fontId="108" fillId="6" borderId="110" xfId="0" applyNumberFormat="1" applyFont="1" applyFill="1" applyBorder="1" applyAlignment="1">
      <alignment vertical="top" wrapText="1"/>
    </xf>
    <xf numFmtId="0" fontId="31" fillId="8" borderId="110" xfId="0" applyFont="1" applyFill="1" applyBorder="1" applyAlignment="1">
      <alignment vertical="center" wrapText="1"/>
    </xf>
    <xf numFmtId="1" fontId="97" fillId="6" borderId="110" xfId="0" applyNumberFormat="1" applyFont="1" applyFill="1" applyBorder="1" applyAlignment="1">
      <alignment vertical="top" wrapText="1"/>
    </xf>
    <xf numFmtId="0" fontId="108" fillId="6" borderId="101" xfId="0" applyFont="1" applyFill="1" applyBorder="1" applyAlignment="1">
      <alignment vertical="top" wrapText="1"/>
    </xf>
    <xf numFmtId="0" fontId="31" fillId="8" borderId="101" xfId="0" applyFont="1" applyFill="1" applyBorder="1" applyAlignment="1">
      <alignment vertical="center" wrapText="1"/>
    </xf>
    <xf numFmtId="0" fontId="97" fillId="6" borderId="101" xfId="0" applyFont="1" applyFill="1" applyBorder="1" applyAlignment="1">
      <alignment vertical="top" wrapText="1"/>
    </xf>
    <xf numFmtId="1" fontId="108" fillId="6" borderId="102" xfId="0" applyNumberFormat="1" applyFont="1" applyFill="1" applyBorder="1" applyAlignment="1">
      <alignment vertical="top" wrapText="1"/>
    </xf>
    <xf numFmtId="0" fontId="108" fillId="6" borderId="104" xfId="0" applyFont="1" applyFill="1" applyBorder="1" applyAlignment="1">
      <alignment vertical="top" wrapText="1"/>
    </xf>
    <xf numFmtId="1" fontId="108" fillId="6" borderId="105" xfId="0" applyNumberFormat="1" applyFont="1" applyFill="1" applyBorder="1" applyAlignment="1">
      <alignment vertical="top" wrapText="1"/>
    </xf>
    <xf numFmtId="0" fontId="108" fillId="6" borderId="106" xfId="0" applyFont="1" applyFill="1" applyBorder="1" applyAlignment="1">
      <alignment vertical="top" wrapText="1"/>
    </xf>
    <xf numFmtId="0" fontId="31" fillId="8" borderId="105" xfId="0" applyFont="1" applyFill="1" applyBorder="1" applyAlignment="1">
      <alignment vertical="center" wrapText="1"/>
    </xf>
    <xf numFmtId="0" fontId="31" fillId="8" borderId="106" xfId="0" applyFont="1" applyFill="1" applyBorder="1" applyAlignment="1">
      <alignment vertical="center" wrapText="1"/>
    </xf>
    <xf numFmtId="1" fontId="97" fillId="6" borderId="107" xfId="0" applyNumberFormat="1" applyFont="1" applyFill="1" applyBorder="1" applyAlignment="1">
      <alignment vertical="top" wrapText="1"/>
    </xf>
    <xf numFmtId="0" fontId="97" fillId="6" borderId="109" xfId="0" applyFont="1" applyFill="1" applyBorder="1" applyAlignment="1">
      <alignment vertical="top" wrapText="1"/>
    </xf>
    <xf numFmtId="1" fontId="108" fillId="9" borderId="100" xfId="0" applyNumberFormat="1" applyFont="1" applyFill="1" applyBorder="1" applyAlignment="1">
      <alignment vertical="top" wrapText="1"/>
    </xf>
    <xf numFmtId="1" fontId="108" fillId="9" borderId="100" xfId="0" applyNumberFormat="1" applyFont="1" applyFill="1" applyBorder="1" applyAlignment="1">
      <alignment vertical="top"/>
    </xf>
    <xf numFmtId="1" fontId="37" fillId="9" borderId="100" xfId="1" applyNumberFormat="1" applyFont="1" applyFill="1" applyBorder="1" applyAlignment="1">
      <alignment vertical="center"/>
    </xf>
    <xf numFmtId="1" fontId="31" fillId="9" borderId="100" xfId="0" applyNumberFormat="1" applyFont="1" applyFill="1" applyBorder="1" applyAlignment="1">
      <alignment vertical="center" wrapText="1"/>
    </xf>
    <xf numFmtId="1" fontId="104" fillId="9" borderId="100" xfId="0" applyNumberFormat="1" applyFont="1" applyFill="1" applyBorder="1" applyAlignment="1">
      <alignment vertical="top" wrapText="1"/>
    </xf>
    <xf numFmtId="1" fontId="125" fillId="9" borderId="100" xfId="0" applyNumberFormat="1" applyFont="1" applyFill="1" applyBorder="1" applyAlignment="1">
      <alignment horizontal="center" vertical="center"/>
    </xf>
    <xf numFmtId="1" fontId="104" fillId="9" borderId="100" xfId="0" applyNumberFormat="1" applyFont="1" applyFill="1" applyBorder="1" applyAlignment="1">
      <alignment vertical="top"/>
    </xf>
    <xf numFmtId="1" fontId="37" fillId="9" borderId="100" xfId="1" applyNumberFormat="1" applyFont="1" applyFill="1" applyBorder="1" applyAlignment="1">
      <alignment vertical="center" wrapText="1"/>
    </xf>
    <xf numFmtId="1" fontId="39" fillId="9" borderId="100" xfId="0" applyNumberFormat="1" applyFont="1" applyFill="1" applyBorder="1" applyAlignment="1">
      <alignment horizontal="center" vertical="center" wrapText="1"/>
    </xf>
    <xf numFmtId="1" fontId="97" fillId="9" borderId="100" xfId="0" applyNumberFormat="1" applyFont="1" applyFill="1" applyBorder="1" applyAlignment="1">
      <alignment vertical="top" wrapText="1"/>
    </xf>
    <xf numFmtId="1" fontId="97" fillId="19" borderId="100" xfId="0" applyNumberFormat="1" applyFont="1" applyFill="1" applyBorder="1" applyAlignment="1">
      <alignment vertical="top" wrapText="1"/>
    </xf>
    <xf numFmtId="1" fontId="112" fillId="9" borderId="100" xfId="0" applyNumberFormat="1" applyFont="1" applyFill="1" applyBorder="1" applyAlignment="1">
      <alignment vertical="top" wrapText="1"/>
    </xf>
    <xf numFmtId="1" fontId="126" fillId="9" borderId="100" xfId="0" applyNumberFormat="1" applyFont="1" applyFill="1" applyBorder="1" applyAlignment="1">
      <alignment horizontal="center" vertical="center"/>
    </xf>
    <xf numFmtId="9" fontId="108" fillId="9" borderId="110" xfId="1" applyNumberFormat="1" applyFont="1" applyFill="1" applyBorder="1" applyAlignment="1">
      <alignment vertical="top" wrapText="1"/>
    </xf>
    <xf numFmtId="9" fontId="31" fillId="9" borderId="110" xfId="1" applyFont="1" applyFill="1" applyBorder="1" applyAlignment="1">
      <alignment vertical="center" wrapText="1"/>
    </xf>
    <xf numFmtId="9" fontId="104" fillId="9" borderId="110" xfId="1" applyNumberFormat="1" applyFont="1" applyFill="1" applyBorder="1" applyAlignment="1">
      <alignment vertical="top" wrapText="1"/>
    </xf>
    <xf numFmtId="1" fontId="39" fillId="9" borderId="110" xfId="0" applyNumberFormat="1" applyFont="1" applyFill="1" applyBorder="1" applyAlignment="1">
      <alignment horizontal="center" vertical="center" wrapText="1"/>
    </xf>
    <xf numFmtId="1" fontId="97" fillId="19" borderId="110" xfId="0" applyNumberFormat="1" applyFont="1" applyFill="1" applyBorder="1" applyAlignment="1">
      <alignment vertical="top" wrapText="1"/>
    </xf>
    <xf numFmtId="1" fontId="108" fillId="9" borderId="101" xfId="0" applyNumberFormat="1" applyFont="1" applyFill="1" applyBorder="1" applyAlignment="1">
      <alignment vertical="top" wrapText="1"/>
    </xf>
    <xf numFmtId="1" fontId="31" fillId="9" borderId="101" xfId="0" applyNumberFormat="1" applyFont="1" applyFill="1" applyBorder="1" applyAlignment="1">
      <alignment vertical="center" wrapText="1"/>
    </xf>
    <xf numFmtId="1" fontId="104" fillId="9" borderId="101" xfId="0" applyNumberFormat="1" applyFont="1" applyFill="1" applyBorder="1" applyAlignment="1">
      <alignment vertical="top" wrapText="1"/>
    </xf>
    <xf numFmtId="1" fontId="39" fillId="9" borderId="101" xfId="0" applyNumberFormat="1" applyFont="1" applyFill="1" applyBorder="1" applyAlignment="1">
      <alignment horizontal="center" vertical="center" wrapText="1"/>
    </xf>
    <xf numFmtId="1" fontId="97" fillId="19" borderId="101" xfId="0" applyNumberFormat="1" applyFont="1" applyFill="1" applyBorder="1" applyAlignment="1">
      <alignment vertical="top" wrapText="1"/>
    </xf>
    <xf numFmtId="9" fontId="108" fillId="9" borderId="126" xfId="1" applyNumberFormat="1" applyFont="1" applyFill="1" applyBorder="1" applyAlignment="1">
      <alignment vertical="top" wrapText="1"/>
    </xf>
    <xf numFmtId="9" fontId="31" fillId="9" borderId="127" xfId="1" applyFont="1" applyFill="1" applyBorder="1" applyAlignment="1">
      <alignment vertical="center" wrapText="1"/>
    </xf>
    <xf numFmtId="9" fontId="104" fillId="9" borderId="127" xfId="1" applyNumberFormat="1" applyFont="1" applyFill="1" applyBorder="1" applyAlignment="1">
      <alignment vertical="top" wrapText="1"/>
    </xf>
    <xf numFmtId="9" fontId="108" fillId="9" borderId="127" xfId="1" applyNumberFormat="1" applyFont="1" applyFill="1" applyBorder="1" applyAlignment="1">
      <alignment vertical="top" wrapText="1"/>
    </xf>
    <xf numFmtId="1" fontId="39" fillId="9" borderId="127" xfId="0" applyNumberFormat="1" applyFont="1" applyFill="1" applyBorder="1" applyAlignment="1">
      <alignment horizontal="center" vertical="center" wrapText="1"/>
    </xf>
    <xf numFmtId="9" fontId="97" fillId="9" borderId="128" xfId="0" applyNumberFormat="1" applyFont="1" applyFill="1" applyBorder="1" applyAlignment="1">
      <alignment vertical="top" wrapText="1"/>
    </xf>
    <xf numFmtId="9" fontId="28" fillId="11" borderId="85" xfId="19" applyNumberFormat="1" applyFont="1" applyFill="1" applyBorder="1" applyAlignment="1">
      <alignment horizontal="center" vertical="center" wrapText="1"/>
    </xf>
    <xf numFmtId="1" fontId="97" fillId="5" borderId="100" xfId="0" applyNumberFormat="1" applyFont="1" applyFill="1" applyBorder="1" applyAlignment="1">
      <alignment horizontal="center" vertical="center" wrapText="1"/>
    </xf>
    <xf numFmtId="0" fontId="97" fillId="8" borderId="100" xfId="0" applyFont="1" applyFill="1" applyBorder="1" applyAlignment="1">
      <alignment horizontal="center" vertical="center" wrapText="1"/>
    </xf>
    <xf numFmtId="1" fontId="97" fillId="9" borderId="100" xfId="0" applyNumberFormat="1" applyFont="1" applyFill="1" applyBorder="1" applyAlignment="1">
      <alignment horizontal="center" vertical="center" wrapText="1"/>
    </xf>
    <xf numFmtId="0" fontId="63" fillId="46" borderId="0" xfId="0" applyFont="1" applyFill="1"/>
    <xf numFmtId="0" fontId="0" fillId="46" borderId="0" xfId="0" applyFill="1"/>
    <xf numFmtId="0" fontId="33" fillId="46" borderId="0" xfId="0" applyFont="1" applyFill="1"/>
    <xf numFmtId="167" fontId="127" fillId="0" borderId="0" xfId="0" applyNumberFormat="1" applyFont="1" applyFill="1" applyAlignment="1">
      <alignment horizontal="left" vertical="center" readingOrder="1"/>
    </xf>
    <xf numFmtId="168" fontId="21" fillId="0" borderId="0" xfId="0" applyNumberFormat="1" applyFont="1" applyFill="1" applyBorder="1" applyAlignment="1">
      <alignment horizontal="left" vertical="center" readingOrder="1"/>
    </xf>
    <xf numFmtId="0" fontId="127" fillId="0" borderId="0" xfId="1" applyNumberFormat="1" applyFont="1" applyFill="1" applyAlignment="1">
      <alignment horizontal="left" vertical="center" readingOrder="1"/>
    </xf>
    <xf numFmtId="0" fontId="127" fillId="0" borderId="0" xfId="0" applyFont="1" applyFill="1" applyAlignment="1">
      <alignment horizontal="left" vertical="center" readingOrder="1"/>
    </xf>
    <xf numFmtId="1" fontId="127" fillId="0" borderId="0" xfId="0" applyNumberFormat="1" applyFont="1" applyFill="1" applyAlignment="1">
      <alignment horizontal="left" vertical="center" readingOrder="1"/>
    </xf>
    <xf numFmtId="164" fontId="127" fillId="0" borderId="0" xfId="4" applyNumberFormat="1" applyFont="1" applyFill="1" applyAlignment="1">
      <alignment horizontal="left" vertical="center" readingOrder="1"/>
    </xf>
    <xf numFmtId="1" fontId="127" fillId="0" borderId="0" xfId="1" applyNumberFormat="1" applyFont="1" applyFill="1" applyAlignment="1">
      <alignment horizontal="left" vertical="center" readingOrder="1"/>
    </xf>
    <xf numFmtId="9" fontId="127" fillId="0" borderId="0" xfId="1" applyFont="1" applyFill="1" applyAlignment="1">
      <alignment horizontal="left" vertical="center" readingOrder="1"/>
    </xf>
    <xf numFmtId="9" fontId="127" fillId="0" borderId="0" xfId="1" applyNumberFormat="1" applyFont="1" applyFill="1" applyAlignment="1">
      <alignment horizontal="left" vertical="center" readingOrder="1"/>
    </xf>
    <xf numFmtId="9" fontId="127" fillId="0" borderId="0" xfId="0" applyNumberFormat="1" applyFont="1" applyFill="1" applyAlignment="1">
      <alignment horizontal="left" vertical="center" readingOrder="1"/>
    </xf>
    <xf numFmtId="1" fontId="127" fillId="0" borderId="0" xfId="4" applyNumberFormat="1" applyFont="1" applyFill="1" applyAlignment="1">
      <alignment horizontal="left" vertical="center" readingOrder="1"/>
    </xf>
    <xf numFmtId="0" fontId="127" fillId="0" borderId="0" xfId="0" applyNumberFormat="1" applyFont="1" applyFill="1" applyAlignment="1">
      <alignment horizontal="left" vertical="center" readingOrder="1"/>
    </xf>
    <xf numFmtId="168" fontId="127" fillId="0" borderId="0" xfId="0" applyNumberFormat="1" applyFont="1" applyFill="1" applyAlignment="1">
      <alignment horizontal="left" vertical="center" readingOrder="1"/>
    </xf>
    <xf numFmtId="165" fontId="127" fillId="0" borderId="0" xfId="0" applyNumberFormat="1" applyFont="1" applyFill="1" applyAlignment="1">
      <alignment horizontal="left" vertical="center" readingOrder="1"/>
    </xf>
    <xf numFmtId="168" fontId="127" fillId="0" borderId="0" xfId="0" applyNumberFormat="1" applyFont="1" applyFill="1" applyAlignment="1">
      <alignment horizontal="left" vertical="center" wrapText="1" readingOrder="1"/>
    </xf>
    <xf numFmtId="165" fontId="127" fillId="0" borderId="0" xfId="0" applyNumberFormat="1" applyFont="1" applyFill="1" applyAlignment="1">
      <alignment horizontal="left" vertical="center" wrapText="1" readingOrder="1"/>
    </xf>
    <xf numFmtId="0" fontId="127" fillId="0" borderId="0" xfId="0" applyNumberFormat="1" applyFont="1" applyFill="1" applyAlignment="1">
      <alignment horizontal="left" vertical="center" wrapText="1" readingOrder="1"/>
    </xf>
    <xf numFmtId="1" fontId="29" fillId="0" borderId="0" xfId="0" applyNumberFormat="1" applyFont="1" applyFill="1" applyBorder="1" applyAlignment="1">
      <alignment wrapText="1"/>
    </xf>
    <xf numFmtId="0" fontId="29" fillId="0" borderId="0" xfId="0" applyFont="1" applyFill="1" applyAlignment="1">
      <alignment wrapText="1"/>
    </xf>
    <xf numFmtId="0" fontId="29" fillId="0" borderId="0" xfId="0" applyNumberFormat="1" applyFont="1" applyFill="1" applyAlignment="1">
      <alignment wrapText="1"/>
    </xf>
    <xf numFmtId="0" fontId="0" fillId="0" borderId="0" xfId="0"/>
    <xf numFmtId="14" fontId="21" fillId="3" borderId="2" xfId="0" applyNumberFormat="1" applyFont="1" applyFill="1" applyBorder="1" applyAlignment="1">
      <alignment horizontal="left" vertical="center" readingOrder="1"/>
    </xf>
    <xf numFmtId="0" fontId="21" fillId="0" borderId="0" xfId="0" applyFont="1" applyFill="1" applyBorder="1" applyAlignment="1">
      <alignment horizontal="left" vertical="center" readingOrder="1"/>
    </xf>
    <xf numFmtId="0" fontId="45" fillId="0" borderId="0" xfId="9" applyFont="1" applyFill="1" applyBorder="1" applyAlignment="1">
      <alignment horizontal="right"/>
    </xf>
    <xf numFmtId="0" fontId="0" fillId="0" borderId="0" xfId="0" pivotButton="1"/>
    <xf numFmtId="0" fontId="29" fillId="0" borderId="0" xfId="0" applyFont="1" applyFill="1"/>
    <xf numFmtId="1" fontId="21" fillId="0" borderId="0" xfId="0" applyNumberFormat="1" applyFont="1" applyFill="1" applyBorder="1" applyAlignment="1">
      <alignment horizontal="left" vertical="center" readingOrder="1"/>
    </xf>
    <xf numFmtId="0" fontId="0" fillId="0" borderId="0" xfId="0" applyFill="1"/>
    <xf numFmtId="0" fontId="45" fillId="0" borderId="0" xfId="0" applyNumberFormat="1" applyFont="1" applyFill="1" applyBorder="1" applyAlignment="1"/>
    <xf numFmtId="0" fontId="21" fillId="0" borderId="0" xfId="1" applyNumberFormat="1" applyFont="1" applyFill="1" applyBorder="1" applyAlignment="1">
      <alignment horizontal="left" vertical="center" readingOrder="1"/>
    </xf>
    <xf numFmtId="1" fontId="44" fillId="0" borderId="0" xfId="0" applyNumberFormat="1" applyFont="1" applyFill="1" applyBorder="1" applyAlignment="1">
      <alignment horizontal="left" vertical="center" readingOrder="1"/>
    </xf>
    <xf numFmtId="164" fontId="21" fillId="0" borderId="0" xfId="4" applyNumberFormat="1" applyFont="1" applyFill="1" applyBorder="1" applyAlignment="1">
      <alignment horizontal="left" vertical="center" readingOrder="1"/>
    </xf>
    <xf numFmtId="0" fontId="21" fillId="0" borderId="0" xfId="0" applyFont="1" applyFill="1" applyAlignment="1">
      <alignment horizontal="left" vertical="center" readingOrder="1"/>
    </xf>
    <xf numFmtId="1" fontId="21" fillId="0" borderId="0" xfId="0" applyNumberFormat="1" applyFont="1" applyFill="1" applyAlignment="1">
      <alignment horizontal="left" vertical="center" readingOrder="1"/>
    </xf>
    <xf numFmtId="0" fontId="21" fillId="0" borderId="0" xfId="0" applyNumberFormat="1" applyFont="1" applyFill="1" applyAlignment="1">
      <alignment horizontal="left" vertical="center" readingOrder="1"/>
    </xf>
    <xf numFmtId="1" fontId="29" fillId="0" borderId="22" xfId="0" applyNumberFormat="1" applyFont="1" applyFill="1" applyBorder="1"/>
    <xf numFmtId="0" fontId="0" fillId="0" borderId="0" xfId="0" applyFill="1" applyBorder="1"/>
    <xf numFmtId="0" fontId="21" fillId="32" borderId="0" xfId="0" applyFont="1" applyFill="1" applyBorder="1" applyAlignment="1">
      <alignment horizontal="left" vertical="center" readingOrder="1"/>
    </xf>
    <xf numFmtId="164" fontId="128" fillId="0" borderId="0" xfId="4" applyNumberFormat="1" applyFont="1" applyFill="1" applyAlignment="1">
      <alignment horizontal="left" vertical="center" readingOrder="1"/>
    </xf>
    <xf numFmtId="0" fontId="129" fillId="0" borderId="0" xfId="1" applyNumberFormat="1" applyFont="1" applyFill="1" applyAlignment="1">
      <alignment horizontal="left" vertical="center" readingOrder="1"/>
    </xf>
    <xf numFmtId="0" fontId="21" fillId="0" borderId="0" xfId="1" applyNumberFormat="1" applyFont="1" applyFill="1" applyAlignment="1">
      <alignment horizontal="left" vertical="center" readingOrder="1"/>
    </xf>
    <xf numFmtId="168" fontId="21" fillId="0" borderId="0" xfId="0" applyNumberFormat="1" applyFont="1" applyFill="1" applyAlignment="1">
      <alignment horizontal="left" vertical="center" readingOrder="1"/>
    </xf>
    <xf numFmtId="9" fontId="21" fillId="0" borderId="0" xfId="1" applyFont="1" applyFill="1" applyAlignment="1">
      <alignment horizontal="left" vertical="center" readingOrder="1"/>
    </xf>
    <xf numFmtId="1" fontId="21" fillId="0" borderId="0" xfId="1" applyNumberFormat="1" applyFont="1" applyFill="1" applyAlignment="1">
      <alignment horizontal="left" vertical="center" readingOrder="1"/>
    </xf>
    <xf numFmtId="9" fontId="21" fillId="0" borderId="0" xfId="1" applyNumberFormat="1" applyFont="1" applyFill="1" applyAlignment="1">
      <alignment horizontal="left" vertical="center" readingOrder="1"/>
    </xf>
    <xf numFmtId="9" fontId="21" fillId="0" borderId="0" xfId="0" applyNumberFormat="1" applyFont="1" applyFill="1" applyAlignment="1">
      <alignment horizontal="left" vertical="center" readingOrder="1"/>
    </xf>
    <xf numFmtId="1" fontId="21" fillId="0" borderId="0" xfId="4" applyNumberFormat="1" applyFont="1" applyFill="1" applyAlignment="1">
      <alignment horizontal="left" vertical="center" readingOrder="1"/>
    </xf>
    <xf numFmtId="167" fontId="21" fillId="0" borderId="0" xfId="0" applyNumberFormat="1" applyFont="1" applyFill="1" applyAlignment="1">
      <alignment horizontal="left" vertical="center" readingOrder="1"/>
    </xf>
    <xf numFmtId="0" fontId="63" fillId="0" borderId="0" xfId="0" pivotButton="1" applyFont="1"/>
    <xf numFmtId="1" fontId="21" fillId="0" borderId="0" xfId="0" applyNumberFormat="1" applyFont="1" applyFill="1" applyBorder="1" applyAlignment="1">
      <alignment horizontal="right" vertical="center" readingOrder="1"/>
    </xf>
    <xf numFmtId="1" fontId="21" fillId="0" borderId="0" xfId="0" applyNumberFormat="1" applyFont="1" applyFill="1" applyBorder="1" applyAlignment="1">
      <alignment vertical="center" readingOrder="1"/>
    </xf>
    <xf numFmtId="0" fontId="21" fillId="0" borderId="0" xfId="0" applyFont="1" applyFill="1" applyBorder="1" applyAlignment="1">
      <alignment horizontal="right" vertical="center" readingOrder="1"/>
    </xf>
    <xf numFmtId="0" fontId="21" fillId="0" borderId="0" xfId="0" applyFont="1" applyFill="1" applyAlignment="1">
      <alignment horizontal="right" vertical="center" readingOrder="1"/>
    </xf>
    <xf numFmtId="0" fontId="33" fillId="0" borderId="0" xfId="0" applyFont="1" applyFill="1"/>
    <xf numFmtId="0" fontId="63" fillId="0" borderId="0" xfId="0" applyFont="1" applyBorder="1"/>
    <xf numFmtId="0" fontId="130" fillId="26" borderId="0" xfId="0" applyFont="1" applyFill="1"/>
    <xf numFmtId="164" fontId="131" fillId="0" borderId="0" xfId="0" applyNumberFormat="1" applyFont="1" applyFill="1"/>
    <xf numFmtId="164" fontId="63" fillId="0" borderId="0" xfId="0" applyNumberFormat="1" applyFont="1" applyFill="1"/>
    <xf numFmtId="164" fontId="131" fillId="7" borderId="39" xfId="4" applyNumberFormat="1" applyFont="1" applyFill="1" applyBorder="1"/>
    <xf numFmtId="164" fontId="131" fillId="11" borderId="39" xfId="4" applyNumberFormat="1" applyFont="1" applyFill="1" applyBorder="1"/>
    <xf numFmtId="0" fontId="76" fillId="29" borderId="45" xfId="0" applyFont="1" applyFill="1" applyBorder="1"/>
    <xf numFmtId="0" fontId="11" fillId="0" borderId="0" xfId="0" applyFont="1"/>
    <xf numFmtId="1" fontId="97" fillId="19" borderId="0" xfId="0" applyNumberFormat="1" applyFont="1" applyFill="1" applyBorder="1" applyAlignment="1">
      <alignment vertical="top" wrapText="1"/>
    </xf>
    <xf numFmtId="164" fontId="131" fillId="12" borderId="39" xfId="4" applyNumberFormat="1" applyFont="1" applyFill="1" applyBorder="1"/>
    <xf numFmtId="164" fontId="131" fillId="12" borderId="34" xfId="4" applyNumberFormat="1" applyFont="1" applyFill="1" applyBorder="1" applyAlignment="1">
      <alignment vertical="top" wrapText="1"/>
    </xf>
    <xf numFmtId="164" fontId="131" fillId="12" borderId="34" xfId="4" applyNumberFormat="1" applyFont="1" applyFill="1" applyBorder="1"/>
    <xf numFmtId="9" fontId="131" fillId="12" borderId="39" xfId="1" applyFont="1" applyFill="1" applyBorder="1"/>
    <xf numFmtId="164" fontId="131" fillId="12" borderId="38" xfId="4" applyNumberFormat="1" applyFont="1" applyFill="1" applyBorder="1"/>
    <xf numFmtId="0" fontId="13" fillId="0" borderId="0" xfId="0" pivotButton="1" applyFont="1"/>
    <xf numFmtId="0" fontId="13" fillId="0" borderId="0" xfId="0" pivotButton="1" applyFont="1" applyAlignment="1">
      <alignment wrapText="1"/>
    </xf>
    <xf numFmtId="0" fontId="132" fillId="0" borderId="0" xfId="0" applyFont="1" applyAlignment="1">
      <alignment wrapText="1"/>
    </xf>
    <xf numFmtId="0" fontId="133" fillId="40" borderId="0" xfId="0" applyFont="1" applyFill="1" applyAlignment="1">
      <alignment wrapText="1"/>
    </xf>
    <xf numFmtId="0" fontId="133" fillId="40" borderId="0" xfId="0" applyFont="1" applyFill="1" applyAlignment="1"/>
    <xf numFmtId="9" fontId="57" fillId="18" borderId="93" xfId="19" applyNumberFormat="1" applyFont="1" applyFill="1" applyBorder="1" applyAlignment="1">
      <alignment horizontal="left" vertical="center" wrapText="1" readingOrder="1"/>
    </xf>
    <xf numFmtId="0" fontId="57" fillId="18" borderId="93" xfId="19" applyFont="1" applyFill="1" applyBorder="1" applyAlignment="1">
      <alignment horizontal="center" vertical="center" wrapText="1"/>
    </xf>
    <xf numFmtId="0" fontId="10" fillId="0" borderId="0" xfId="0" applyFont="1" applyFill="1"/>
    <xf numFmtId="0" fontId="77" fillId="0" borderId="0" xfId="0" applyFont="1" applyFill="1"/>
    <xf numFmtId="0" fontId="76" fillId="0" borderId="0" xfId="0" applyFont="1" applyFill="1" applyAlignment="1">
      <alignment wrapText="1"/>
    </xf>
    <xf numFmtId="0" fontId="133" fillId="0" borderId="0" xfId="0" applyFont="1" applyFill="1" applyAlignment="1">
      <alignment wrapText="1"/>
    </xf>
    <xf numFmtId="0" fontId="80" fillId="0" borderId="0" xfId="0" applyFont="1"/>
    <xf numFmtId="0" fontId="31" fillId="8" borderId="100" xfId="0" applyFont="1" applyFill="1" applyBorder="1" applyAlignment="1">
      <alignment horizontal="center" vertical="center" wrapText="1"/>
    </xf>
    <xf numFmtId="0" fontId="29" fillId="0" borderId="30" xfId="0" applyFont="1" applyFill="1" applyBorder="1" applyAlignment="1">
      <alignment wrapText="1"/>
    </xf>
    <xf numFmtId="0" fontId="134" fillId="39" borderId="66" xfId="0" applyFont="1" applyFill="1" applyBorder="1"/>
    <xf numFmtId="0" fontId="91" fillId="0" borderId="0" xfId="0" applyFont="1" applyFill="1" applyAlignment="1">
      <alignment vertical="center"/>
    </xf>
    <xf numFmtId="0" fontId="29" fillId="9" borderId="0" xfId="0" applyFont="1" applyFill="1"/>
    <xf numFmtId="0" fontId="68" fillId="0" borderId="0" xfId="0" applyFont="1" applyFill="1"/>
    <xf numFmtId="0" fontId="68" fillId="0" borderId="0" xfId="0" applyNumberFormat="1" applyFont="1" applyFill="1" applyBorder="1"/>
    <xf numFmtId="0" fontId="68" fillId="0" borderId="0" xfId="0" applyFont="1" applyFill="1" applyBorder="1"/>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0" fontId="13" fillId="0" borderId="0" xfId="0" pivotButton="1" applyNumberFormat="1" applyFont="1" applyFill="1" applyBorder="1"/>
    <xf numFmtId="0" fontId="77" fillId="0" borderId="0" xfId="0" applyFont="1" applyAlignment="1">
      <alignment wrapText="1"/>
    </xf>
    <xf numFmtId="0" fontId="13" fillId="0" borderId="0" xfId="0" applyFont="1" applyAlignment="1">
      <alignment horizontal="center" vertical="center" wrapText="1"/>
    </xf>
    <xf numFmtId="0" fontId="26" fillId="0" borderId="44" xfId="0" applyFont="1" applyBorder="1" applyAlignment="1">
      <alignment horizontal="center" vertical="center" wrapText="1"/>
    </xf>
    <xf numFmtId="0" fontId="77" fillId="0" borderId="0" xfId="0" applyFont="1" applyAlignment="1">
      <alignment horizontal="center" vertical="center" wrapText="1"/>
    </xf>
    <xf numFmtId="0" fontId="136" fillId="0" borderId="0" xfId="0" applyFont="1" applyFill="1" applyAlignment="1">
      <alignment horizontal="left" vertical="center" readingOrder="1"/>
    </xf>
    <xf numFmtId="0" fontId="136" fillId="0" borderId="0" xfId="1" applyNumberFormat="1" applyFont="1" applyFill="1" applyBorder="1" applyAlignment="1">
      <alignment horizontal="left" vertical="center" readingOrder="1"/>
    </xf>
    <xf numFmtId="1" fontId="136" fillId="0" borderId="0" xfId="0" applyNumberFormat="1" applyFont="1" applyFill="1" applyAlignment="1">
      <alignment horizontal="left" vertical="center" readingOrder="1"/>
    </xf>
    <xf numFmtId="168" fontId="136" fillId="0" borderId="0" xfId="0" applyNumberFormat="1" applyFont="1" applyFill="1" applyAlignment="1">
      <alignment horizontal="left" vertical="center" readingOrder="1"/>
    </xf>
    <xf numFmtId="165" fontId="136" fillId="0" borderId="0" xfId="0" applyNumberFormat="1" applyFont="1" applyFill="1" applyAlignment="1">
      <alignment horizontal="left" vertical="center" readingOrder="1"/>
    </xf>
    <xf numFmtId="164" fontId="136" fillId="0" borderId="0" xfId="4" applyNumberFormat="1" applyFont="1" applyFill="1" applyAlignment="1">
      <alignment horizontal="left" vertical="center" readingOrder="1"/>
    </xf>
    <xf numFmtId="0" fontId="136" fillId="0" borderId="0" xfId="0" applyNumberFormat="1" applyFont="1" applyFill="1" applyAlignment="1">
      <alignment horizontal="left" vertical="center" readingOrder="1"/>
    </xf>
    <xf numFmtId="9" fontId="136" fillId="0" borderId="0" xfId="1" applyFont="1" applyFill="1" applyAlignment="1">
      <alignment horizontal="left" vertical="center" readingOrder="1"/>
    </xf>
    <xf numFmtId="0" fontId="136" fillId="0" borderId="0" xfId="1" applyNumberFormat="1" applyFont="1" applyFill="1" applyAlignment="1">
      <alignment horizontal="left" vertical="center" readingOrder="1"/>
    </xf>
    <xf numFmtId="1" fontId="136" fillId="0" borderId="0" xfId="1" applyNumberFormat="1" applyFont="1" applyFill="1" applyAlignment="1">
      <alignment horizontal="left" vertical="center" readingOrder="1"/>
    </xf>
    <xf numFmtId="9" fontId="136" fillId="0" borderId="0" xfId="1" applyNumberFormat="1" applyFont="1" applyFill="1" applyAlignment="1">
      <alignment horizontal="left" vertical="center" readingOrder="1"/>
    </xf>
    <xf numFmtId="9" fontId="136" fillId="0" borderId="0" xfId="0" applyNumberFormat="1" applyFont="1" applyFill="1" applyAlignment="1">
      <alignment horizontal="left" vertical="center" readingOrder="1"/>
    </xf>
    <xf numFmtId="1" fontId="136" fillId="0" borderId="0" xfId="4" applyNumberFormat="1" applyFont="1" applyFill="1" applyAlignment="1">
      <alignment horizontal="left" vertical="center" readingOrder="1"/>
    </xf>
    <xf numFmtId="9" fontId="136" fillId="0" borderId="0" xfId="0" applyNumberFormat="1" applyFont="1" applyFill="1" applyBorder="1" applyAlignment="1">
      <alignment horizontal="left" vertical="center" readingOrder="1"/>
    </xf>
    <xf numFmtId="14" fontId="21" fillId="3" borderId="0" xfId="0" applyNumberFormat="1" applyFont="1" applyFill="1" applyBorder="1" applyAlignment="1">
      <alignment horizontal="left" vertical="center" readingOrder="1"/>
    </xf>
    <xf numFmtId="164" fontId="136" fillId="0" borderId="0" xfId="4" applyNumberFormat="1" applyFont="1" applyFill="1" applyAlignment="1">
      <alignment horizontal="left" vertical="top" readingOrder="1"/>
    </xf>
    <xf numFmtId="1" fontId="29" fillId="0" borderId="29" xfId="0" applyNumberFormat="1" applyFont="1" applyFill="1" applyBorder="1"/>
    <xf numFmtId="0" fontId="78" fillId="0" borderId="70" xfId="0" applyFont="1" applyBorder="1"/>
    <xf numFmtId="0" fontId="78" fillId="0" borderId="45" xfId="0" applyFont="1" applyBorder="1"/>
    <xf numFmtId="0" fontId="82" fillId="0" borderId="0" xfId="0" pivotButton="1" applyFont="1"/>
    <xf numFmtId="0" fontId="26" fillId="31" borderId="45" xfId="0" applyFont="1" applyFill="1" applyBorder="1"/>
    <xf numFmtId="0" fontId="26" fillId="31" borderId="130" xfId="0" applyFont="1" applyFill="1" applyBorder="1"/>
    <xf numFmtId="0" fontId="26" fillId="0" borderId="45" xfId="0" applyFont="1" applyBorder="1"/>
    <xf numFmtId="0" fontId="26" fillId="0" borderId="70" xfId="0" applyFont="1" applyBorder="1"/>
    <xf numFmtId="0" fontId="76" fillId="29" borderId="130" xfId="0" applyFont="1" applyFill="1" applyBorder="1"/>
    <xf numFmtId="0" fontId="93" fillId="35" borderId="131" xfId="0" applyFont="1" applyFill="1" applyBorder="1" applyAlignment="1">
      <alignment horizontal="center" vertical="center" wrapText="1"/>
    </xf>
    <xf numFmtId="0" fontId="93" fillId="35" borderId="132" xfId="0" applyFont="1" applyFill="1" applyBorder="1" applyAlignment="1">
      <alignment horizontal="center" vertical="center"/>
    </xf>
    <xf numFmtId="0" fontId="93" fillId="35" borderId="132" xfId="0" applyFont="1" applyFill="1" applyBorder="1" applyAlignment="1">
      <alignment horizontal="center" vertical="center" wrapText="1"/>
    </xf>
    <xf numFmtId="0" fontId="93" fillId="35" borderId="133" xfId="0" applyFont="1" applyFill="1" applyBorder="1" applyAlignment="1">
      <alignment horizontal="center" vertical="center" wrapText="1"/>
    </xf>
    <xf numFmtId="0" fontId="29" fillId="47" borderId="82" xfId="0" applyNumberFormat="1" applyFont="1" applyFill="1" applyBorder="1" applyAlignment="1">
      <alignment vertical="center"/>
    </xf>
    <xf numFmtId="0" fontId="9" fillId="47" borderId="82" xfId="4" applyNumberFormat="1" applyFont="1" applyFill="1" applyBorder="1" applyAlignment="1">
      <alignment vertical="center"/>
    </xf>
    <xf numFmtId="9" fontId="9" fillId="47" borderId="82" xfId="0" applyNumberFormat="1" applyFont="1" applyFill="1" applyBorder="1" applyAlignment="1">
      <alignment horizontal="center" vertical="center"/>
    </xf>
    <xf numFmtId="9" fontId="9" fillId="47" borderId="80" xfId="0" applyNumberFormat="1" applyFont="1" applyFill="1" applyBorder="1" applyAlignment="1">
      <alignment vertical="center"/>
    </xf>
    <xf numFmtId="0" fontId="26" fillId="0" borderId="134" xfId="0" applyFont="1" applyFill="1" applyBorder="1" applyAlignment="1">
      <alignment horizontal="left" vertical="center"/>
    </xf>
    <xf numFmtId="0" fontId="81" fillId="0" borderId="134" xfId="0" applyNumberFormat="1" applyFont="1" applyFill="1" applyBorder="1" applyAlignment="1">
      <alignment vertical="center"/>
    </xf>
    <xf numFmtId="164" fontId="26" fillId="0" borderId="134" xfId="4" applyNumberFormat="1" applyFont="1" applyFill="1" applyBorder="1" applyAlignment="1">
      <alignment vertical="center"/>
    </xf>
    <xf numFmtId="9" fontId="26" fillId="0" borderId="134" xfId="0" applyNumberFormat="1" applyFont="1" applyFill="1" applyBorder="1" applyAlignment="1">
      <alignment horizontal="center" vertical="center"/>
    </xf>
    <xf numFmtId="9" fontId="9" fillId="0" borderId="78" xfId="0" applyNumberFormat="1" applyFont="1" applyFill="1" applyBorder="1" applyAlignment="1">
      <alignment horizontal="center" vertical="center"/>
    </xf>
    <xf numFmtId="9" fontId="9" fillId="0" borderId="79" xfId="0" applyNumberFormat="1" applyFont="1" applyFill="1" applyBorder="1" applyAlignment="1">
      <alignment vertical="center"/>
    </xf>
    <xf numFmtId="1" fontId="39" fillId="9" borderId="0" xfId="0" applyNumberFormat="1" applyFont="1" applyFill="1" applyBorder="1" applyAlignment="1">
      <alignment horizontal="center" vertical="center" wrapText="1"/>
    </xf>
    <xf numFmtId="0" fontId="8" fillId="0" borderId="0" xfId="0" applyFont="1"/>
    <xf numFmtId="0" fontId="26" fillId="0" borderId="136" xfId="0" applyFont="1" applyBorder="1"/>
    <xf numFmtId="0" fontId="26" fillId="0" borderId="137" xfId="0" applyFont="1" applyBorder="1"/>
    <xf numFmtId="0" fontId="26" fillId="0" borderId="135" xfId="0" applyFont="1" applyBorder="1"/>
    <xf numFmtId="9" fontId="78" fillId="0" borderId="49" xfId="0" applyNumberFormat="1" applyFont="1" applyBorder="1"/>
    <xf numFmtId="9" fontId="78" fillId="0" borderId="50" xfId="0" applyNumberFormat="1" applyFont="1" applyBorder="1"/>
    <xf numFmtId="9" fontId="78" fillId="0" borderId="51" xfId="0" applyNumberFormat="1" applyFont="1" applyBorder="1"/>
    <xf numFmtId="0" fontId="21" fillId="42" borderId="0" xfId="0" applyFont="1" applyFill="1" applyBorder="1" applyAlignment="1">
      <alignment horizontal="left" vertical="center" readingOrder="1"/>
    </xf>
    <xf numFmtId="166" fontId="7" fillId="20" borderId="0" xfId="8" applyFont="1" applyFill="1" applyBorder="1"/>
    <xf numFmtId="0" fontId="137" fillId="0" borderId="0" xfId="0" applyFont="1" applyAlignment="1">
      <alignment horizontal="left"/>
    </xf>
    <xf numFmtId="9" fontId="137" fillId="0" borderId="0" xfId="0" applyNumberFormat="1" applyFont="1"/>
    <xf numFmtId="164" fontId="28" fillId="0" borderId="0" xfId="4" applyNumberFormat="1" applyFont="1" applyFill="1" applyAlignment="1">
      <alignment horizontal="left" vertical="center" readingOrder="1"/>
    </xf>
    <xf numFmtId="0" fontId="6" fillId="0" borderId="0" xfId="0" applyFont="1"/>
    <xf numFmtId="0" fontId="6" fillId="0" borderId="0" xfId="0" applyFont="1" applyAlignment="1">
      <alignment horizontal="left"/>
    </xf>
    <xf numFmtId="167" fontId="138" fillId="0" borderId="0" xfId="0" applyNumberFormat="1" applyFont="1" applyFill="1" applyAlignment="1">
      <alignment horizontal="left" vertical="center" readingOrder="1"/>
    </xf>
    <xf numFmtId="0" fontId="138" fillId="0" borderId="0" xfId="0" applyFont="1" applyFill="1" applyAlignment="1">
      <alignment horizontal="left" vertical="center" readingOrder="1"/>
    </xf>
    <xf numFmtId="0" fontId="138" fillId="0" borderId="0" xfId="0" applyFont="1" applyFill="1" applyBorder="1" applyAlignment="1">
      <alignment horizontal="left" vertical="center" readingOrder="1"/>
    </xf>
    <xf numFmtId="0" fontId="138" fillId="0" borderId="0" xfId="1" applyNumberFormat="1" applyFont="1" applyFill="1" applyBorder="1" applyAlignment="1">
      <alignment horizontal="left" vertical="center" readingOrder="1"/>
    </xf>
    <xf numFmtId="164" fontId="138" fillId="0" borderId="0" xfId="4" applyNumberFormat="1" applyFont="1" applyFill="1" applyAlignment="1">
      <alignment horizontal="left" vertical="center" readingOrder="1"/>
    </xf>
    <xf numFmtId="168" fontId="138" fillId="0" borderId="0" xfId="0" applyNumberFormat="1" applyFont="1" applyFill="1" applyAlignment="1">
      <alignment horizontal="left" vertical="center" readingOrder="1"/>
    </xf>
    <xf numFmtId="165" fontId="138" fillId="0" borderId="0" xfId="0" applyNumberFormat="1" applyFont="1" applyFill="1" applyAlignment="1">
      <alignment horizontal="left" vertical="center" readingOrder="1"/>
    </xf>
    <xf numFmtId="1" fontId="138" fillId="0" borderId="0" xfId="0" applyNumberFormat="1" applyFont="1" applyFill="1" applyAlignment="1">
      <alignment horizontal="left" vertical="center" readingOrder="1"/>
    </xf>
    <xf numFmtId="0" fontId="138" fillId="0" borderId="0" xfId="0" applyNumberFormat="1" applyFont="1" applyFill="1" applyAlignment="1">
      <alignment horizontal="left" vertical="center" readingOrder="1"/>
    </xf>
    <xf numFmtId="9" fontId="138" fillId="0" borderId="0" xfId="1" applyFont="1" applyFill="1" applyAlignment="1">
      <alignment horizontal="left" vertical="center" readingOrder="1"/>
    </xf>
    <xf numFmtId="0" fontId="138" fillId="0" borderId="0" xfId="1" applyNumberFormat="1" applyFont="1" applyFill="1" applyAlignment="1">
      <alignment horizontal="left" vertical="center" readingOrder="1"/>
    </xf>
    <xf numFmtId="1" fontId="138" fillId="0" borderId="0" xfId="1" applyNumberFormat="1" applyFont="1" applyFill="1" applyAlignment="1">
      <alignment horizontal="left" vertical="center" readingOrder="1"/>
    </xf>
    <xf numFmtId="9" fontId="138" fillId="0" borderId="0" xfId="1" applyNumberFormat="1" applyFont="1" applyFill="1" applyAlignment="1">
      <alignment horizontal="left" vertical="center" readingOrder="1"/>
    </xf>
    <xf numFmtId="9" fontId="138" fillId="0" borderId="0" xfId="0" applyNumberFormat="1" applyFont="1" applyFill="1" applyAlignment="1">
      <alignment horizontal="left" vertical="center" readingOrder="1"/>
    </xf>
    <xf numFmtId="1" fontId="138" fillId="0" borderId="0" xfId="4" applyNumberFormat="1" applyFont="1" applyFill="1" applyAlignment="1">
      <alignment horizontal="left" vertical="center" readingOrder="1"/>
    </xf>
    <xf numFmtId="9" fontId="138" fillId="0" borderId="0" xfId="0" applyNumberFormat="1" applyFont="1" applyFill="1" applyBorder="1" applyAlignment="1">
      <alignment horizontal="left" vertical="center" readingOrder="1"/>
    </xf>
    <xf numFmtId="0" fontId="84" fillId="0" borderId="17" xfId="9" applyFont="1" applyFill="1" applyBorder="1" applyAlignment="1"/>
    <xf numFmtId="0" fontId="138" fillId="2" borderId="0" xfId="0" applyFont="1" applyFill="1" applyAlignment="1">
      <alignment horizontal="left" vertical="center" readingOrder="1"/>
    </xf>
    <xf numFmtId="0" fontId="26" fillId="0" borderId="44" xfId="0" applyFont="1" applyBorder="1" applyAlignment="1">
      <alignment horizontal="left"/>
    </xf>
    <xf numFmtId="0" fontId="26" fillId="0" borderId="46" xfId="0" applyFont="1" applyBorder="1" applyAlignment="1">
      <alignment wrapText="1"/>
    </xf>
    <xf numFmtId="0" fontId="26" fillId="0" borderId="46" xfId="0" applyFont="1" applyBorder="1"/>
    <xf numFmtId="0" fontId="26" fillId="0" borderId="47" xfId="0" applyFont="1" applyBorder="1"/>
    <xf numFmtId="0" fontId="78" fillId="0" borderId="49" xfId="0" applyNumberFormat="1" applyFont="1" applyBorder="1"/>
    <xf numFmtId="0" fontId="78" fillId="0" borderId="50" xfId="0" applyNumberFormat="1" applyFont="1" applyBorder="1"/>
    <xf numFmtId="0" fontId="5" fillId="14" borderId="0" xfId="0" applyFont="1" applyFill="1" applyAlignment="1">
      <alignment horizontal="left"/>
    </xf>
    <xf numFmtId="164" fontId="5" fillId="14" borderId="0" xfId="0" applyNumberFormat="1" applyFont="1" applyFill="1"/>
    <xf numFmtId="9" fontId="5" fillId="14" borderId="0" xfId="0" applyNumberFormat="1" applyFont="1" applyFill="1"/>
    <xf numFmtId="0" fontId="75" fillId="0" borderId="0" xfId="0" applyFont="1" applyFill="1"/>
    <xf numFmtId="0" fontId="76" fillId="0" borderId="0" xfId="0" applyFont="1" applyFill="1"/>
    <xf numFmtId="0" fontId="5" fillId="0" borderId="0" xfId="0" applyFont="1" applyFill="1" applyAlignment="1">
      <alignment horizontal="left"/>
    </xf>
    <xf numFmtId="164" fontId="5" fillId="0" borderId="0" xfId="0" applyNumberFormat="1" applyFont="1" applyFill="1"/>
    <xf numFmtId="9" fontId="5" fillId="0" borderId="0" xfId="0" applyNumberFormat="1" applyFont="1" applyFill="1"/>
    <xf numFmtId="164" fontId="57" fillId="0" borderId="0" xfId="4" applyNumberFormat="1" applyFont="1" applyFill="1" applyAlignment="1">
      <alignment horizontal="left" vertical="center" readingOrder="1"/>
    </xf>
    <xf numFmtId="0" fontId="0" fillId="0" borderId="0" xfId="0" applyNumberFormat="1"/>
    <xf numFmtId="0" fontId="21" fillId="0" borderId="0" xfId="0" applyFont="1" applyFill="1" applyBorder="1" applyAlignment="1">
      <alignment horizontal="left" vertical="center" readingOrder="1"/>
    </xf>
    <xf numFmtId="1" fontId="21" fillId="0" borderId="0" xfId="0" applyNumberFormat="1" applyFont="1" applyFill="1" applyAlignment="1">
      <alignment horizontal="left" vertical="center" readingOrder="1"/>
    </xf>
    <xf numFmtId="9" fontId="21" fillId="0" borderId="0" xfId="1" applyFont="1" applyFill="1" applyAlignment="1">
      <alignment horizontal="left" vertical="center" readingOrder="1"/>
    </xf>
    <xf numFmtId="9" fontId="21" fillId="0" borderId="0" xfId="1" applyNumberFormat="1" applyFont="1" applyFill="1" applyAlignment="1">
      <alignment horizontal="left" vertical="center" readingOrder="1"/>
    </xf>
    <xf numFmtId="164" fontId="21" fillId="0" borderId="0" xfId="4" applyNumberFormat="1" applyFont="1" applyFill="1" applyAlignment="1">
      <alignment horizontal="left" vertical="center" readingOrder="1"/>
    </xf>
    <xf numFmtId="164" fontId="21" fillId="0" borderId="0" xfId="4" applyNumberFormat="1" applyFont="1" applyFill="1" applyAlignment="1">
      <alignment horizontal="left" vertical="center" readingOrder="1"/>
    </xf>
    <xf numFmtId="0" fontId="0" fillId="0" borderId="0" xfId="0"/>
    <xf numFmtId="14" fontId="21" fillId="3" borderId="2" xfId="0" applyNumberFormat="1" applyFont="1" applyFill="1" applyBorder="1" applyAlignment="1">
      <alignment horizontal="left" vertical="center" readingOrder="1"/>
    </xf>
    <xf numFmtId="0" fontId="32" fillId="0" borderId="0" xfId="0" applyFont="1" applyFill="1" applyAlignment="1"/>
    <xf numFmtId="0" fontId="21" fillId="0" borderId="0" xfId="0" applyFont="1" applyFill="1" applyBorder="1" applyAlignment="1">
      <alignment horizontal="left" vertical="center" readingOrder="1"/>
    </xf>
    <xf numFmtId="1" fontId="32" fillId="0" borderId="0" xfId="0" applyNumberFormat="1" applyFont="1" applyFill="1" applyAlignment="1"/>
    <xf numFmtId="0" fontId="32" fillId="0" borderId="0" xfId="1" applyNumberFormat="1" applyFont="1" applyFill="1" applyAlignment="1"/>
    <xf numFmtId="0" fontId="32" fillId="0" borderId="0" xfId="0" applyNumberFormat="1" applyFont="1" applyFill="1" applyAlignment="1"/>
    <xf numFmtId="9" fontId="21" fillId="0" borderId="0" xfId="0" applyNumberFormat="1" applyFont="1" applyFill="1" applyAlignment="1">
      <alignment horizontal="left" vertical="center" readingOrder="1"/>
    </xf>
    <xf numFmtId="9" fontId="21" fillId="0" borderId="0" xfId="1" applyFont="1" applyFill="1" applyAlignment="1">
      <alignment horizontal="left" vertical="center" readingOrder="1"/>
    </xf>
    <xf numFmtId="1" fontId="21" fillId="0" borderId="0" xfId="1" applyNumberFormat="1" applyFont="1" applyFill="1" applyAlignment="1">
      <alignment horizontal="left" vertical="center" readingOrder="1"/>
    </xf>
    <xf numFmtId="9" fontId="21" fillId="0" borderId="0" xfId="1" applyNumberFormat="1" applyFont="1" applyFill="1" applyAlignment="1">
      <alignment horizontal="left" vertical="center" readingOrder="1"/>
    </xf>
    <xf numFmtId="0" fontId="21" fillId="0" borderId="0" xfId="1" applyNumberFormat="1" applyFont="1" applyFill="1" applyAlignment="1">
      <alignment horizontal="left" vertical="center" readingOrder="1"/>
    </xf>
    <xf numFmtId="0" fontId="0" fillId="0" borderId="0" xfId="0" pivotButton="1"/>
    <xf numFmtId="0" fontId="29" fillId="0" borderId="0" xfId="0" applyFont="1" applyFill="1"/>
    <xf numFmtId="165" fontId="21" fillId="0" borderId="0" xfId="0" applyNumberFormat="1" applyFont="1" applyFill="1" applyBorder="1" applyAlignment="1">
      <alignment horizontal="left" vertical="center" readingOrder="1"/>
    </xf>
    <xf numFmtId="9" fontId="21" fillId="0" borderId="0" xfId="0" applyNumberFormat="1" applyFont="1" applyFill="1" applyBorder="1" applyAlignment="1">
      <alignment horizontal="left" vertical="center" readingOrder="1"/>
    </xf>
    <xf numFmtId="1" fontId="21" fillId="0" borderId="0" xfId="0" applyNumberFormat="1" applyFont="1" applyFill="1" applyBorder="1" applyAlignment="1">
      <alignment horizontal="left" vertical="center" readingOrder="1"/>
    </xf>
    <xf numFmtId="1" fontId="21" fillId="0" borderId="0" xfId="1" applyNumberFormat="1" applyFont="1" applyFill="1" applyBorder="1" applyAlignment="1">
      <alignment horizontal="left" vertical="center" readingOrder="1"/>
    </xf>
    <xf numFmtId="1" fontId="21" fillId="0" borderId="0" xfId="0" applyNumberFormat="1" applyFont="1" applyFill="1" applyAlignment="1">
      <alignment horizontal="left" vertical="center" readingOrder="1"/>
    </xf>
    <xf numFmtId="0" fontId="29" fillId="0" borderId="0" xfId="0" applyFont="1" applyFill="1" applyBorder="1"/>
    <xf numFmtId="0" fontId="68" fillId="0" borderId="0" xfId="0" applyNumberFormat="1" applyFont="1" applyFill="1"/>
    <xf numFmtId="1" fontId="21" fillId="0" borderId="0" xfId="4" applyNumberFormat="1" applyFont="1" applyFill="1" applyAlignment="1">
      <alignment horizontal="left" vertical="center" readingOrder="1"/>
    </xf>
    <xf numFmtId="0" fontId="29" fillId="0" borderId="0" xfId="0" applyNumberFormat="1" applyFont="1" applyFill="1"/>
    <xf numFmtId="1" fontId="29" fillId="0" borderId="0" xfId="0" applyNumberFormat="1" applyFont="1" applyFill="1"/>
    <xf numFmtId="0" fontId="29" fillId="0" borderId="0" xfId="0" applyFont="1" applyFill="1" applyAlignment="1">
      <alignment wrapText="1" readingOrder="1"/>
    </xf>
    <xf numFmtId="0" fontId="29" fillId="0" borderId="17" xfId="0" applyFont="1" applyFill="1" applyBorder="1"/>
    <xf numFmtId="0" fontId="29" fillId="0" borderId="0" xfId="0" applyNumberFormat="1" applyFont="1" applyFill="1" applyBorder="1"/>
    <xf numFmtId="1" fontId="29" fillId="0" borderId="0" xfId="0" applyNumberFormat="1" applyFont="1" applyFill="1" applyBorder="1"/>
    <xf numFmtId="0" fontId="29" fillId="0" borderId="0" xfId="0" applyFont="1" applyFill="1" applyBorder="1" applyAlignment="1">
      <alignment wrapText="1" readingOrder="1"/>
    </xf>
    <xf numFmtId="0" fontId="0" fillId="0" borderId="0" xfId="0" applyFill="1"/>
    <xf numFmtId="0" fontId="29" fillId="0" borderId="0" xfId="0" applyNumberFormat="1" applyFont="1" applyFill="1" applyAlignment="1">
      <alignment wrapText="1" readingOrder="1"/>
    </xf>
    <xf numFmtId="0" fontId="29" fillId="0" borderId="0" xfId="0" applyNumberFormat="1" applyFont="1" applyFill="1" applyBorder="1" applyAlignment="1">
      <alignment wrapText="1" readingOrder="1"/>
    </xf>
    <xf numFmtId="0" fontId="44" fillId="0" borderId="0" xfId="0" applyFont="1" applyFill="1" applyBorder="1" applyAlignment="1">
      <alignment horizontal="left" vertical="center" readingOrder="1"/>
    </xf>
    <xf numFmtId="0" fontId="44" fillId="0" borderId="0" xfId="0" applyNumberFormat="1" applyFont="1" applyFill="1" applyBorder="1" applyAlignment="1">
      <alignment horizontal="left" vertical="center" readingOrder="1"/>
    </xf>
    <xf numFmtId="0" fontId="45" fillId="0" borderId="0" xfId="9" applyFont="1" applyFill="1" applyAlignment="1"/>
    <xf numFmtId="0" fontId="29" fillId="0" borderId="22" xfId="0" applyFont="1" applyFill="1" applyBorder="1"/>
    <xf numFmtId="0" fontId="29" fillId="0" borderId="21" xfId="0" applyFont="1" applyFill="1" applyBorder="1"/>
    <xf numFmtId="0" fontId="29" fillId="0" borderId="21" xfId="0" applyNumberFormat="1" applyFont="1" applyFill="1" applyBorder="1"/>
    <xf numFmtId="1" fontId="29" fillId="0" borderId="21" xfId="0" applyNumberFormat="1" applyFont="1" applyFill="1" applyBorder="1"/>
    <xf numFmtId="0" fontId="29" fillId="0" borderId="30" xfId="0" applyFont="1" applyFill="1" applyBorder="1"/>
    <xf numFmtId="0" fontId="29" fillId="0" borderId="29" xfId="0" applyFont="1" applyFill="1" applyBorder="1"/>
    <xf numFmtId="0" fontId="21" fillId="0" borderId="0" xfId="0" applyNumberFormat="1" applyFont="1" applyFill="1" applyAlignment="1">
      <alignment horizontal="left" vertical="center" readingOrder="1"/>
    </xf>
    <xf numFmtId="165" fontId="29" fillId="0" borderId="0" xfId="0" applyNumberFormat="1" applyFont="1" applyFill="1"/>
    <xf numFmtId="165" fontId="29" fillId="0" borderId="0" xfId="0" applyNumberFormat="1" applyFont="1" applyFill="1" applyBorder="1"/>
    <xf numFmtId="165" fontId="44" fillId="0" borderId="0" xfId="0" applyNumberFormat="1" applyFont="1" applyFill="1" applyBorder="1" applyAlignment="1">
      <alignment horizontal="left" vertical="center" wrapText="1" readingOrder="1"/>
    </xf>
    <xf numFmtId="0" fontId="29" fillId="0" borderId="62" xfId="0" applyFont="1" applyFill="1" applyBorder="1"/>
    <xf numFmtId="0" fontId="84" fillId="0" borderId="0" xfId="9" applyFont="1" applyAlignment="1"/>
    <xf numFmtId="0" fontId="44" fillId="0" borderId="29" xfId="0" applyFont="1" applyFill="1" applyBorder="1" applyAlignment="1">
      <alignment horizontal="left" vertical="center" readingOrder="1"/>
    </xf>
    <xf numFmtId="0" fontId="84" fillId="0" borderId="0" xfId="9" applyFont="1" applyFill="1" applyBorder="1" applyAlignment="1"/>
    <xf numFmtId="0" fontId="29" fillId="0" borderId="0" xfId="0" applyFont="1" applyBorder="1"/>
    <xf numFmtId="0" fontId="21" fillId="0" borderId="0" xfId="1" applyNumberFormat="1" applyFont="1" applyFill="1" applyBorder="1" applyAlignment="1">
      <alignment horizontal="left" vertical="center" readingOrder="1"/>
    </xf>
    <xf numFmtId="0" fontId="29" fillId="0" borderId="29" xfId="0" applyNumberFormat="1" applyFont="1" applyFill="1" applyBorder="1"/>
    <xf numFmtId="1" fontId="29" fillId="0" borderId="30" xfId="0" applyNumberFormat="1" applyFont="1" applyFill="1" applyBorder="1"/>
    <xf numFmtId="0" fontId="44" fillId="0" borderId="30" xfId="0" applyFont="1" applyFill="1" applyBorder="1" applyAlignment="1">
      <alignment horizontal="left" vertical="center" readingOrder="1"/>
    </xf>
    <xf numFmtId="49" fontId="91" fillId="0" borderId="0" xfId="0" applyNumberFormat="1" applyFont="1" applyFill="1" applyBorder="1" applyAlignment="1">
      <alignment horizontal="left" vertical="center"/>
    </xf>
    <xf numFmtId="0" fontId="91" fillId="0" borderId="0" xfId="0" applyFont="1" applyFill="1" applyBorder="1" applyAlignment="1">
      <alignment horizontal="left" vertical="center"/>
    </xf>
    <xf numFmtId="49" fontId="91" fillId="0" borderId="0" xfId="21" applyNumberFormat="1" applyFont="1" applyFill="1" applyBorder="1" applyAlignment="1">
      <alignment horizontal="left" vertical="center"/>
    </xf>
    <xf numFmtId="0" fontId="29" fillId="0" borderId="29" xfId="0" applyFont="1" applyFill="1" applyBorder="1" applyAlignment="1"/>
    <xf numFmtId="0" fontId="29" fillId="0" borderId="0" xfId="0" applyFont="1" applyFill="1" applyAlignment="1"/>
    <xf numFmtId="165" fontId="29" fillId="0" borderId="0" xfId="0" applyNumberFormat="1" applyFont="1" applyFill="1" applyAlignment="1"/>
    <xf numFmtId="0" fontId="29" fillId="0" borderId="0" xfId="0" applyFont="1" applyFill="1" applyAlignment="1">
      <alignment readingOrder="1"/>
    </xf>
    <xf numFmtId="49" fontId="68" fillId="43" borderId="30" xfId="0" applyNumberFormat="1" applyFont="1" applyFill="1" applyBorder="1" applyAlignment="1">
      <alignment horizontal="left" vertical="center"/>
    </xf>
    <xf numFmtId="0" fontId="91" fillId="43" borderId="30" xfId="0" applyFont="1" applyFill="1" applyBorder="1" applyAlignment="1">
      <alignment horizontal="left" vertical="center"/>
    </xf>
    <xf numFmtId="1" fontId="29" fillId="0" borderId="62" xfId="0" applyNumberFormat="1" applyFont="1" applyFill="1" applyBorder="1"/>
    <xf numFmtId="0" fontId="84" fillId="0" borderId="0" xfId="9" applyFont="1" applyFill="1" applyBorder="1" applyAlignment="1">
      <alignment horizontal="right"/>
    </xf>
    <xf numFmtId="164" fontId="21" fillId="0" borderId="0" xfId="4" applyNumberFormat="1" applyFont="1" applyFill="1" applyBorder="1" applyAlignment="1">
      <alignment horizontal="left" vertical="center" readingOrder="1"/>
    </xf>
    <xf numFmtId="164" fontId="21" fillId="0" borderId="0" xfId="4" applyNumberFormat="1" applyFont="1" applyFill="1" applyAlignment="1">
      <alignment horizontal="left" vertical="center" readingOrder="1"/>
    </xf>
    <xf numFmtId="167" fontId="21" fillId="0" borderId="0" xfId="0" applyNumberFormat="1" applyFont="1" applyFill="1" applyAlignment="1">
      <alignment horizontal="left" vertical="center" readingOrder="1"/>
    </xf>
    <xf numFmtId="0" fontId="28" fillId="0" borderId="0" xfId="19" applyFont="1" applyFill="1" applyBorder="1" applyAlignment="1">
      <alignment horizontal="left" vertical="center"/>
    </xf>
    <xf numFmtId="0" fontId="28" fillId="0" borderId="0" xfId="19" applyFont="1" applyFill="1" applyBorder="1" applyAlignment="1">
      <alignment horizontal="center" vertical="center"/>
    </xf>
    <xf numFmtId="0" fontId="27" fillId="0" borderId="0" xfId="0" applyFont="1" applyFill="1" applyBorder="1" applyAlignment="1">
      <alignment horizontal="center" vertical="center"/>
    </xf>
    <xf numFmtId="0" fontId="139" fillId="0" borderId="0" xfId="9" applyFont="1" applyFill="1" applyBorder="1" applyAlignment="1">
      <alignment horizontal="left" vertical="center"/>
    </xf>
    <xf numFmtId="0" fontId="139" fillId="0" borderId="0" xfId="9" applyFont="1" applyFill="1" applyBorder="1" applyAlignment="1">
      <alignment horizontal="center" vertical="center"/>
    </xf>
    <xf numFmtId="0" fontId="27" fillId="0" borderId="0" xfId="0" applyFont="1" applyFill="1" applyBorder="1" applyAlignment="1">
      <alignment vertical="center"/>
    </xf>
    <xf numFmtId="0" fontId="27" fillId="0" borderId="0" xfId="0" applyFont="1" applyFill="1" applyBorder="1" applyAlignment="1">
      <alignment horizontal="left" vertical="center"/>
    </xf>
    <xf numFmtId="165" fontId="29" fillId="0" borderId="0" xfId="0" applyNumberFormat="1" applyFont="1" applyFill="1" applyAlignment="1">
      <alignment wrapText="1" readingOrder="1"/>
    </xf>
    <xf numFmtId="0" fontId="78" fillId="0" borderId="51" xfId="0" applyNumberFormat="1" applyFont="1" applyBorder="1"/>
    <xf numFmtId="0" fontId="26" fillId="0" borderId="138" xfId="0" applyNumberFormat="1" applyFont="1" applyBorder="1"/>
    <xf numFmtId="0" fontId="26" fillId="0" borderId="44" xfId="0" applyFont="1" applyBorder="1" applyAlignment="1">
      <alignment wrapText="1"/>
    </xf>
    <xf numFmtId="1" fontId="13" fillId="0" borderId="0" xfId="1" applyNumberFormat="1" applyFont="1"/>
    <xf numFmtId="0" fontId="140" fillId="0" borderId="0" xfId="0" applyFont="1"/>
    <xf numFmtId="1" fontId="29" fillId="42" borderId="0" xfId="0" applyNumberFormat="1" applyFont="1" applyFill="1" applyBorder="1"/>
    <xf numFmtId="0" fontId="29" fillId="0" borderId="21" xfId="0" applyNumberFormat="1" applyFont="1" applyFill="1" applyBorder="1" applyAlignment="1">
      <alignment wrapText="1" readingOrder="1"/>
    </xf>
    <xf numFmtId="0" fontId="0" fillId="0" borderId="0" xfId="0" applyNumberFormat="1" applyFill="1"/>
    <xf numFmtId="0" fontId="129" fillId="0" borderId="0" xfId="1" applyNumberFormat="1" applyFont="1" applyFill="1" applyAlignment="1">
      <alignment horizontal="left" vertical="center" wrapText="1" readingOrder="1"/>
    </xf>
    <xf numFmtId="0" fontId="129" fillId="0" borderId="0" xfId="0" applyNumberFormat="1" applyFont="1" applyFill="1" applyAlignment="1">
      <alignment horizontal="left" vertical="center" readingOrder="1"/>
    </xf>
    <xf numFmtId="0" fontId="21" fillId="0" borderId="29" xfId="43" applyFont="1" applyFill="1" applyBorder="1" applyAlignment="1">
      <alignment horizontal="left" vertical="center" readingOrder="1"/>
    </xf>
    <xf numFmtId="0" fontId="21" fillId="0" borderId="29" xfId="80" applyFont="1" applyFill="1" applyBorder="1" applyAlignment="1">
      <alignment horizontal="left" vertical="center" readingOrder="1"/>
    </xf>
    <xf numFmtId="164" fontId="21" fillId="0" borderId="0" xfId="43" applyNumberFormat="1" applyFont="1" applyFill="1" applyAlignment="1">
      <alignment horizontal="left" vertical="center" readingOrder="1"/>
    </xf>
    <xf numFmtId="165" fontId="21" fillId="0" borderId="0" xfId="43" applyNumberFormat="1" applyFont="1" applyFill="1" applyAlignment="1">
      <alignment horizontal="left" vertical="center" readingOrder="1"/>
    </xf>
    <xf numFmtId="0" fontId="0" fillId="16" borderId="0" xfId="0" applyFill="1"/>
    <xf numFmtId="0" fontId="63" fillId="16" borderId="0" xfId="0" applyFont="1" applyFill="1"/>
    <xf numFmtId="0" fontId="63" fillId="32" borderId="0" xfId="0" applyFont="1" applyFill="1" applyAlignment="1">
      <alignment vertical="center"/>
    </xf>
    <xf numFmtId="0" fontId="3" fillId="0" borderId="0" xfId="0" applyFont="1"/>
    <xf numFmtId="164" fontId="138" fillId="9" borderId="0" xfId="4" applyNumberFormat="1" applyFont="1" applyFill="1" applyAlignment="1">
      <alignment horizontal="left" vertical="center" readingOrder="1"/>
    </xf>
    <xf numFmtId="0" fontId="146" fillId="0" borderId="0" xfId="22" applyFont="1" applyAlignment="1">
      <alignment horizontal="left" vertical="center"/>
    </xf>
    <xf numFmtId="0" fontId="146" fillId="44" borderId="85" xfId="22" applyFont="1" applyFill="1" applyBorder="1" applyAlignment="1">
      <alignment horizontal="left" vertical="center"/>
    </xf>
    <xf numFmtId="0" fontId="146" fillId="26" borderId="85" xfId="22" applyFont="1" applyFill="1" applyBorder="1" applyAlignment="1">
      <alignment horizontal="left" vertical="center" wrapText="1"/>
    </xf>
    <xf numFmtId="0" fontId="146" fillId="44" borderId="86" xfId="22" applyFont="1" applyFill="1" applyBorder="1" applyAlignment="1">
      <alignment horizontal="left" vertical="center"/>
    </xf>
    <xf numFmtId="0" fontId="146" fillId="26" borderId="0" xfId="22" applyFont="1" applyFill="1" applyBorder="1" applyAlignment="1">
      <alignment horizontal="left" vertical="center" wrapText="1"/>
    </xf>
    <xf numFmtId="0" fontId="146" fillId="44" borderId="88" xfId="22" applyFont="1" applyFill="1" applyBorder="1" applyAlignment="1">
      <alignment horizontal="left" vertical="center"/>
    </xf>
    <xf numFmtId="164" fontId="147" fillId="12" borderId="39" xfId="4" applyNumberFormat="1" applyFont="1" applyFill="1" applyBorder="1"/>
    <xf numFmtId="0" fontId="150" fillId="0" borderId="0" xfId="0" applyFont="1"/>
    <xf numFmtId="0" fontId="63" fillId="0" borderId="0" xfId="0" applyFont="1" applyAlignment="1">
      <alignment horizontal="left"/>
    </xf>
    <xf numFmtId="0" fontId="63" fillId="0" borderId="0" xfId="0" applyNumberFormat="1" applyFont="1"/>
    <xf numFmtId="0" fontId="69" fillId="14" borderId="0" xfId="0" applyFont="1" applyFill="1" applyAlignment="1">
      <alignment horizontal="center" vertical="center" wrapText="1"/>
    </xf>
    <xf numFmtId="164" fontId="69" fillId="14" borderId="0" xfId="0" applyNumberFormat="1" applyFont="1" applyFill="1" applyAlignment="1">
      <alignment horizontal="center" vertical="center" wrapText="1"/>
    </xf>
    <xf numFmtId="0" fontId="69" fillId="8" borderId="0" xfId="0" applyNumberFormat="1" applyFont="1" applyFill="1" applyAlignment="1">
      <alignment horizontal="center" vertical="center" wrapText="1"/>
    </xf>
    <xf numFmtId="0" fontId="69" fillId="8" borderId="0" xfId="0" applyFont="1" applyFill="1" applyAlignment="1">
      <alignment horizontal="center" vertical="center" wrapText="1"/>
    </xf>
    <xf numFmtId="0" fontId="83" fillId="26" borderId="70" xfId="0" applyFont="1" applyFill="1" applyBorder="1" applyAlignment="1">
      <alignment wrapText="1"/>
    </xf>
    <xf numFmtId="0" fontId="63" fillId="0" borderId="0" xfId="0" applyFont="1" applyFill="1" applyBorder="1" applyAlignment="1">
      <alignment wrapText="1"/>
    </xf>
    <xf numFmtId="0" fontId="0" fillId="0" borderId="0" xfId="0" applyAlignment="1">
      <alignment wrapText="1"/>
    </xf>
    <xf numFmtId="0" fontId="0" fillId="0" borderId="24" xfId="0" applyBorder="1" applyAlignment="1">
      <alignment wrapText="1"/>
    </xf>
    <xf numFmtId="0" fontId="63" fillId="0" borderId="24" xfId="0" applyFont="1" applyBorder="1" applyAlignment="1">
      <alignment wrapText="1"/>
    </xf>
    <xf numFmtId="0" fontId="0" fillId="37" borderId="24" xfId="0" applyFill="1" applyBorder="1" applyAlignment="1">
      <alignment wrapText="1"/>
    </xf>
    <xf numFmtId="164" fontId="69" fillId="36" borderId="24" xfId="4" applyNumberFormat="1" applyFont="1" applyFill="1" applyBorder="1" applyAlignment="1">
      <alignment vertical="center" wrapText="1"/>
    </xf>
    <xf numFmtId="164" fontId="69" fillId="8" borderId="24" xfId="4" applyNumberFormat="1" applyFont="1" applyFill="1" applyBorder="1" applyAlignment="1">
      <alignment vertical="center" wrapText="1"/>
    </xf>
    <xf numFmtId="164" fontId="69" fillId="14" borderId="24" xfId="4" applyNumberFormat="1" applyFont="1" applyFill="1" applyBorder="1" applyAlignment="1">
      <alignment vertical="center" wrapText="1"/>
    </xf>
    <xf numFmtId="0" fontId="69" fillId="36" borderId="0" xfId="0" applyNumberFormat="1" applyFont="1" applyFill="1" applyAlignment="1">
      <alignment horizontal="center" vertical="center" wrapText="1"/>
    </xf>
    <xf numFmtId="0" fontId="69" fillId="36" borderId="0" xfId="0" applyFont="1" applyFill="1" applyAlignment="1">
      <alignment horizontal="center" vertical="center" wrapText="1"/>
    </xf>
    <xf numFmtId="164" fontId="69" fillId="14" borderId="0" xfId="0" applyNumberFormat="1" applyFont="1" applyFill="1" applyAlignment="1">
      <alignment horizontal="right" vertical="center"/>
    </xf>
    <xf numFmtId="164" fontId="69" fillId="8" borderId="0" xfId="0" applyNumberFormat="1" applyFont="1" applyFill="1"/>
    <xf numFmtId="164" fontId="69" fillId="8" borderId="0" xfId="0" applyNumberFormat="1" applyFont="1" applyFill="1" applyAlignment="1">
      <alignment vertical="center"/>
    </xf>
    <xf numFmtId="164" fontId="69" fillId="36" borderId="0" xfId="0" applyNumberFormat="1" applyFont="1" applyFill="1" applyAlignment="1">
      <alignment horizontal="center" vertical="center" wrapText="1"/>
    </xf>
    <xf numFmtId="0" fontId="2" fillId="0" borderId="0" xfId="0" applyFont="1"/>
    <xf numFmtId="0" fontId="76" fillId="29" borderId="0" xfId="0" applyFont="1" applyFill="1"/>
    <xf numFmtId="0" fontId="2" fillId="0" borderId="0" xfId="0" applyFont="1" applyFill="1" applyBorder="1" applyAlignment="1">
      <alignment vertical="center"/>
    </xf>
    <xf numFmtId="0" fontId="76" fillId="40" borderId="0" xfId="0" applyFont="1" applyFill="1" applyAlignment="1"/>
    <xf numFmtId="0" fontId="76" fillId="40" borderId="0" xfId="0" applyFont="1" applyFill="1"/>
    <xf numFmtId="0" fontId="63" fillId="0" borderId="0" xfId="0" pivotButton="1" applyFont="1" applyAlignment="1">
      <alignment wrapText="1"/>
    </xf>
    <xf numFmtId="9" fontId="77" fillId="0" borderId="0" xfId="1" applyFont="1"/>
    <xf numFmtId="3" fontId="63" fillId="0" borderId="0" xfId="0" applyNumberFormat="1" applyFont="1"/>
    <xf numFmtId="0" fontId="69" fillId="14" borderId="0" xfId="0" applyFont="1" applyFill="1" applyAlignment="1">
      <alignment horizontal="center"/>
    </xf>
    <xf numFmtId="164" fontId="69" fillId="14" borderId="0" xfId="0" applyNumberFormat="1" applyFont="1" applyFill="1"/>
    <xf numFmtId="164" fontId="69" fillId="9" borderId="0" xfId="0" applyNumberFormat="1" applyFont="1" applyFill="1"/>
    <xf numFmtId="164" fontId="69" fillId="26" borderId="0" xfId="0" applyNumberFormat="1" applyFont="1" applyFill="1"/>
    <xf numFmtId="0" fontId="69" fillId="26" borderId="0" xfId="0" applyFont="1" applyFill="1" applyAlignment="1">
      <alignment horizontal="center" vertical="center" wrapText="1"/>
    </xf>
    <xf numFmtId="0" fontId="69" fillId="14" borderId="0" xfId="0" applyFont="1" applyFill="1" applyAlignment="1">
      <alignment horizontal="center" vertical="center"/>
    </xf>
    <xf numFmtId="0" fontId="69" fillId="8" borderId="0" xfId="0" applyFont="1" applyFill="1" applyAlignment="1">
      <alignment horizontal="center" vertical="center"/>
    </xf>
    <xf numFmtId="0" fontId="69" fillId="9" borderId="0" xfId="0" applyFont="1" applyFill="1" applyAlignment="1">
      <alignment horizontal="center" vertical="center"/>
    </xf>
    <xf numFmtId="0" fontId="63" fillId="0" borderId="0" xfId="0" applyFont="1" applyAlignment="1">
      <alignment vertical="center"/>
    </xf>
    <xf numFmtId="164" fontId="131" fillId="12" borderId="0" xfId="0" applyNumberFormat="1" applyFont="1" applyFill="1"/>
    <xf numFmtId="0" fontId="131" fillId="12" borderId="0" xfId="0" applyFont="1" applyFill="1" applyAlignment="1">
      <alignment horizontal="center" vertical="center" wrapText="1"/>
    </xf>
    <xf numFmtId="0" fontId="131" fillId="12" borderId="0" xfId="0" applyFont="1" applyFill="1" applyAlignment="1">
      <alignment vertical="center" wrapText="1"/>
    </xf>
    <xf numFmtId="0" fontId="63" fillId="0" borderId="0" xfId="0" applyFont="1" applyAlignment="1">
      <alignment vertical="center" wrapText="1"/>
    </xf>
    <xf numFmtId="0" fontId="83" fillId="26" borderId="0" xfId="0" applyFont="1" applyFill="1"/>
    <xf numFmtId="164" fontId="69" fillId="14" borderId="0" xfId="0" applyNumberFormat="1" applyFont="1" applyFill="1" applyAlignment="1">
      <alignment horizontal="center"/>
    </xf>
    <xf numFmtId="0" fontId="131" fillId="12" borderId="0" xfId="0" applyFont="1" applyFill="1" applyAlignment="1">
      <alignment wrapText="1"/>
    </xf>
    <xf numFmtId="164" fontId="69" fillId="8" borderId="0" xfId="0" applyNumberFormat="1" applyFont="1" applyFill="1" applyAlignment="1">
      <alignment horizontal="center"/>
    </xf>
    <xf numFmtId="0" fontId="69" fillId="39" borderId="0" xfId="0" applyFont="1" applyFill="1" applyAlignment="1">
      <alignment horizontal="center" vertical="center"/>
    </xf>
    <xf numFmtId="164" fontId="69" fillId="9" borderId="0" xfId="0" applyNumberFormat="1" applyFont="1" applyFill="1" applyAlignment="1">
      <alignment horizontal="center"/>
    </xf>
    <xf numFmtId="0" fontId="69" fillId="50" borderId="0" xfId="0" applyFont="1" applyFill="1" applyAlignment="1">
      <alignment horizontal="center" vertical="center"/>
    </xf>
    <xf numFmtId="0" fontId="76" fillId="40" borderId="0" xfId="0" applyFont="1" applyFill="1" applyAlignment="1">
      <alignment wrapText="1"/>
    </xf>
    <xf numFmtId="0" fontId="76" fillId="29" borderId="0" xfId="0" applyFont="1" applyFill="1" applyAlignment="1">
      <alignment horizontal="left" vertical="center" wrapText="1"/>
    </xf>
    <xf numFmtId="0" fontId="63" fillId="0" borderId="0" xfId="0" pivotButton="1" applyFont="1" applyAlignment="1">
      <alignment horizontal="center" vertical="center" wrapText="1"/>
    </xf>
    <xf numFmtId="0" fontId="2" fillId="0" borderId="0" xfId="0" applyFont="1" applyFill="1" applyAlignment="1">
      <alignment horizontal="left" vertical="center"/>
    </xf>
    <xf numFmtId="0" fontId="29" fillId="0" borderId="0" xfId="0" applyNumberFormat="1" applyFont="1" applyFill="1" applyAlignment="1">
      <alignment vertical="center"/>
    </xf>
    <xf numFmtId="0" fontId="2" fillId="0" borderId="0" xfId="4" applyNumberFormat="1" applyFont="1" applyFill="1" applyAlignment="1">
      <alignment vertical="center"/>
    </xf>
    <xf numFmtId="9" fontId="2" fillId="0" borderId="0" xfId="0" applyNumberFormat="1" applyFont="1" applyFill="1" applyAlignment="1">
      <alignment horizontal="center" vertical="center"/>
    </xf>
    <xf numFmtId="9" fontId="2" fillId="0" borderId="0" xfId="0" applyNumberFormat="1" applyFont="1" applyFill="1" applyAlignment="1">
      <alignment vertical="center"/>
    </xf>
    <xf numFmtId="0" fontId="9" fillId="47" borderId="81" xfId="0" applyFont="1" applyFill="1" applyBorder="1" applyAlignment="1">
      <alignment horizontal="left" vertical="center" wrapText="1"/>
    </xf>
    <xf numFmtId="0" fontId="57" fillId="0" borderId="0" xfId="0" applyFont="1" applyFill="1" applyAlignment="1">
      <alignment horizontal="left" vertical="center" readingOrder="1"/>
    </xf>
    <xf numFmtId="0" fontId="21" fillId="0" borderId="0" xfId="80" applyFont="1" applyFill="1" applyBorder="1" applyAlignment="1">
      <alignment horizontal="left" vertical="center" readingOrder="1"/>
    </xf>
    <xf numFmtId="0" fontId="21" fillId="0" borderId="0" xfId="43" applyFont="1" applyFill="1" applyBorder="1" applyAlignment="1">
      <alignment horizontal="left" vertical="center" readingOrder="1"/>
    </xf>
    <xf numFmtId="0" fontId="80" fillId="51" borderId="0" xfId="0" applyFont="1" applyFill="1" applyBorder="1" applyAlignment="1">
      <alignment wrapText="1"/>
    </xf>
    <xf numFmtId="0" fontId="80" fillId="51" borderId="140" xfId="0" applyFont="1" applyFill="1" applyBorder="1" applyAlignment="1">
      <alignment wrapText="1"/>
    </xf>
    <xf numFmtId="0" fontId="80" fillId="52" borderId="141" xfId="0" applyFont="1" applyFill="1" applyBorder="1" applyAlignment="1">
      <alignment wrapText="1"/>
    </xf>
    <xf numFmtId="0" fontId="0" fillId="0" borderId="142" xfId="0" applyFont="1" applyBorder="1" applyAlignment="1">
      <alignment wrapText="1"/>
    </xf>
    <xf numFmtId="0" fontId="80" fillId="52" borderId="143" xfId="0" applyFont="1" applyFill="1" applyBorder="1" applyAlignment="1">
      <alignment wrapText="1"/>
    </xf>
    <xf numFmtId="0" fontId="80" fillId="52" borderId="144" xfId="0" applyFont="1" applyFill="1" applyBorder="1" applyAlignment="1">
      <alignment wrapText="1"/>
    </xf>
    <xf numFmtId="0" fontId="80" fillId="52" borderId="0" xfId="0" applyFont="1" applyFill="1" applyBorder="1" applyAlignment="1">
      <alignment wrapText="1"/>
    </xf>
    <xf numFmtId="0" fontId="80" fillId="52" borderId="140" xfId="0" applyFont="1" applyFill="1" applyBorder="1" applyAlignment="1">
      <alignment wrapText="1"/>
    </xf>
    <xf numFmtId="0" fontId="0" fillId="0" borderId="145" xfId="0" applyFont="1" applyBorder="1" applyAlignment="1">
      <alignment wrapText="1"/>
    </xf>
    <xf numFmtId="0" fontId="80" fillId="39" borderId="146" xfId="0" applyFont="1" applyFill="1" applyBorder="1" applyAlignment="1">
      <alignment wrapText="1"/>
    </xf>
    <xf numFmtId="0" fontId="80" fillId="53" borderId="147" xfId="0" applyFont="1" applyFill="1" applyBorder="1" applyAlignment="1">
      <alignment wrapText="1"/>
    </xf>
    <xf numFmtId="0" fontId="0" fillId="0" borderId="63" xfId="0" applyFont="1" applyBorder="1" applyAlignment="1">
      <alignment wrapText="1"/>
    </xf>
    <xf numFmtId="0" fontId="80" fillId="53" borderId="148" xfId="0" applyFont="1" applyFill="1" applyBorder="1" applyAlignment="1">
      <alignment wrapText="1"/>
    </xf>
    <xf numFmtId="0" fontId="80" fillId="53" borderId="149" xfId="0" applyFont="1" applyFill="1" applyBorder="1" applyAlignment="1">
      <alignment wrapText="1"/>
    </xf>
    <xf numFmtId="0" fontId="80" fillId="54" borderId="150" xfId="0" applyFont="1" applyFill="1" applyBorder="1" applyAlignment="1">
      <alignment wrapText="1"/>
    </xf>
    <xf numFmtId="0" fontId="80" fillId="55" borderId="151" xfId="0" applyFont="1" applyFill="1" applyBorder="1" applyAlignment="1">
      <alignment wrapText="1"/>
    </xf>
    <xf numFmtId="0" fontId="0" fillId="0" borderId="152" xfId="0" applyFont="1" applyBorder="1" applyAlignment="1">
      <alignment horizontal="left" vertical="center" wrapText="1"/>
    </xf>
    <xf numFmtId="0" fontId="80" fillId="55" borderId="153" xfId="0" applyFont="1" applyFill="1" applyBorder="1" applyAlignment="1">
      <alignment wrapText="1"/>
    </xf>
    <xf numFmtId="0" fontId="80" fillId="55" borderId="154" xfId="0" applyFont="1" applyFill="1" applyBorder="1" applyAlignment="1">
      <alignment wrapText="1"/>
    </xf>
    <xf numFmtId="0" fontId="1" fillId="0" borderId="0" xfId="0" pivotButton="1" applyFont="1"/>
    <xf numFmtId="0" fontId="1" fillId="0" borderId="0" xfId="0" applyFont="1"/>
    <xf numFmtId="0" fontId="1" fillId="0" borderId="0" xfId="0" pivotButton="1" applyFont="1" applyAlignment="1">
      <alignment wrapText="1"/>
    </xf>
    <xf numFmtId="0" fontId="1" fillId="0" borderId="0" xfId="0" applyFont="1" applyAlignment="1">
      <alignment horizontal="left"/>
    </xf>
    <xf numFmtId="0" fontId="1" fillId="0" borderId="0" xfId="0" applyNumberFormat="1" applyFont="1"/>
    <xf numFmtId="9" fontId="1" fillId="0" borderId="0" xfId="0" applyNumberFormat="1" applyFont="1"/>
    <xf numFmtId="0" fontId="1" fillId="0" borderId="0" xfId="0" pivotButton="1" applyFont="1" applyAlignment="1">
      <alignment horizontal="center" vertical="center" wrapText="1"/>
    </xf>
    <xf numFmtId="0" fontId="1" fillId="0" borderId="0" xfId="0" applyFont="1" applyAlignment="1">
      <alignment wrapText="1"/>
    </xf>
    <xf numFmtId="164" fontId="1" fillId="0" borderId="0" xfId="0" applyNumberFormat="1" applyFont="1"/>
    <xf numFmtId="1" fontId="1" fillId="0" borderId="0" xfId="0" applyNumberFormat="1" applyFont="1"/>
    <xf numFmtId="0" fontId="1" fillId="0" borderId="0" xfId="0" pivotButton="1" applyFont="1" applyAlignment="1">
      <alignment horizontal="center" wrapText="1"/>
    </xf>
    <xf numFmtId="0" fontId="1" fillId="0" borderId="0" xfId="0" applyFont="1" applyAlignment="1">
      <alignment horizontal="center" wrapText="1"/>
    </xf>
    <xf numFmtId="0" fontId="1" fillId="0" borderId="0" xfId="0" applyFont="1" applyAlignment="1">
      <alignment horizontal="center" vertical="center" wrapText="1"/>
    </xf>
    <xf numFmtId="3" fontId="1" fillId="0" borderId="0" xfId="0" applyNumberFormat="1" applyFont="1"/>
    <xf numFmtId="166" fontId="33" fillId="15" borderId="5" xfId="8" applyFont="1" applyFill="1" applyBorder="1" applyAlignment="1">
      <alignment horizontal="center" vertical="center"/>
    </xf>
    <xf numFmtId="166" fontId="33" fillId="15" borderId="6" xfId="8" applyFont="1" applyFill="1" applyBorder="1" applyAlignment="1">
      <alignment horizontal="center" vertical="center"/>
    </xf>
    <xf numFmtId="166" fontId="33" fillId="15" borderId="7" xfId="8" applyFont="1" applyFill="1" applyBorder="1" applyAlignment="1">
      <alignment horizontal="center" vertical="center"/>
    </xf>
    <xf numFmtId="166" fontId="7" fillId="20" borderId="0" xfId="8" applyFont="1" applyFill="1" applyBorder="1" applyAlignment="1">
      <alignment horizontal="left" wrapText="1"/>
    </xf>
    <xf numFmtId="166" fontId="17" fillId="20" borderId="0" xfId="8" applyFill="1" applyBorder="1" applyAlignment="1">
      <alignment horizontal="left" wrapText="1"/>
    </xf>
    <xf numFmtId="166" fontId="17" fillId="20" borderId="9" xfId="8" applyFill="1" applyBorder="1" applyAlignment="1">
      <alignment horizontal="left" wrapText="1"/>
    </xf>
    <xf numFmtId="0" fontId="31" fillId="5" borderId="110" xfId="0" applyFont="1" applyFill="1" applyBorder="1" applyAlignment="1">
      <alignment horizontal="center" vertical="center" wrapText="1"/>
    </xf>
    <xf numFmtId="0" fontId="31" fillId="5" borderId="105" xfId="0" applyFont="1" applyFill="1" applyBorder="1" applyAlignment="1">
      <alignment horizontal="center" vertical="center" wrapText="1"/>
    </xf>
    <xf numFmtId="0" fontId="31" fillId="5" borderId="100" xfId="0" applyFont="1" applyFill="1" applyBorder="1" applyAlignment="1">
      <alignment horizontal="center" vertical="center" wrapText="1"/>
    </xf>
    <xf numFmtId="0" fontId="31" fillId="5" borderId="106" xfId="0" applyFont="1" applyFill="1" applyBorder="1" applyAlignment="1">
      <alignment horizontal="center" vertical="center" wrapText="1"/>
    </xf>
    <xf numFmtId="0" fontId="20" fillId="45" borderId="91" xfId="22" applyNumberFormat="1" applyFont="1" applyFill="1" applyBorder="1" applyAlignment="1">
      <alignment horizontal="center" vertical="center"/>
    </xf>
    <xf numFmtId="0" fontId="20" fillId="45" borderId="87" xfId="22" applyNumberFormat="1" applyFont="1" applyFill="1" applyBorder="1" applyAlignment="1">
      <alignment horizontal="center" vertical="center"/>
    </xf>
    <xf numFmtId="0" fontId="31" fillId="5" borderId="105" xfId="0" applyFont="1" applyFill="1" applyBorder="1" applyAlignment="1">
      <alignment horizontal="center" vertical="center"/>
    </xf>
    <xf numFmtId="0" fontId="31" fillId="5" borderId="100" xfId="0" applyFont="1" applyFill="1" applyBorder="1" applyAlignment="1">
      <alignment horizontal="center" vertical="center"/>
    </xf>
    <xf numFmtId="0" fontId="31" fillId="5" borderId="106" xfId="0" applyFont="1" applyFill="1" applyBorder="1" applyAlignment="1">
      <alignment horizontal="center" vertical="center"/>
    </xf>
    <xf numFmtId="0" fontId="31" fillId="5" borderId="101" xfId="0" applyFont="1" applyFill="1" applyBorder="1" applyAlignment="1">
      <alignment horizontal="center" vertical="center"/>
    </xf>
    <xf numFmtId="0" fontId="31" fillId="5" borderId="111" xfId="0" applyFont="1" applyFill="1" applyBorder="1" applyAlignment="1">
      <alignment horizontal="center" vertical="center" wrapText="1"/>
    </xf>
    <xf numFmtId="0" fontId="31" fillId="5" borderId="112" xfId="0" applyFont="1" applyFill="1" applyBorder="1" applyAlignment="1">
      <alignment horizontal="center" vertical="center" wrapText="1"/>
    </xf>
    <xf numFmtId="0" fontId="31" fillId="5" borderId="113" xfId="0" applyFont="1" applyFill="1" applyBorder="1" applyAlignment="1">
      <alignment horizontal="center" vertical="center" wrapText="1"/>
    </xf>
    <xf numFmtId="0" fontId="31" fillId="5" borderId="114" xfId="0" applyFont="1" applyFill="1" applyBorder="1" applyAlignment="1">
      <alignment horizontal="center" vertical="center" wrapText="1"/>
    </xf>
    <xf numFmtId="0" fontId="31" fillId="8" borderId="101" xfId="0" applyFont="1" applyFill="1" applyBorder="1" applyAlignment="1">
      <alignment horizontal="center" vertical="center" wrapText="1"/>
    </xf>
    <xf numFmtId="0" fontId="31" fillId="8" borderId="110" xfId="0" applyFont="1" applyFill="1" applyBorder="1" applyAlignment="1">
      <alignment horizontal="center" vertical="center" wrapText="1"/>
    </xf>
    <xf numFmtId="0" fontId="31" fillId="8" borderId="117" xfId="0" applyFont="1" applyFill="1" applyBorder="1" applyAlignment="1">
      <alignment horizontal="center" vertical="center" wrapText="1"/>
    </xf>
    <xf numFmtId="0" fontId="31" fillId="8" borderId="118" xfId="0" applyFont="1" applyFill="1" applyBorder="1" applyAlignment="1">
      <alignment horizontal="center" vertical="center" wrapText="1"/>
    </xf>
    <xf numFmtId="0" fontId="31" fillId="8" borderId="119" xfId="0" applyFont="1" applyFill="1" applyBorder="1" applyAlignment="1">
      <alignment horizontal="center" vertical="center" wrapText="1"/>
    </xf>
    <xf numFmtId="0" fontId="31" fillId="8" borderId="120" xfId="0" applyFont="1" applyFill="1" applyBorder="1" applyAlignment="1">
      <alignment horizontal="center" vertical="center" wrapText="1"/>
    </xf>
    <xf numFmtId="0" fontId="31" fillId="5" borderId="117" xfId="0" applyFont="1" applyFill="1" applyBorder="1" applyAlignment="1">
      <alignment horizontal="center" vertical="center"/>
    </xf>
    <xf numFmtId="0" fontId="31" fillId="5" borderId="124" xfId="0" applyFont="1" applyFill="1" applyBorder="1" applyAlignment="1">
      <alignment horizontal="center" vertical="center"/>
    </xf>
    <xf numFmtId="0" fontId="31" fillId="5" borderId="119" xfId="0" applyFont="1" applyFill="1" applyBorder="1" applyAlignment="1">
      <alignment horizontal="center" vertical="center"/>
    </xf>
    <xf numFmtId="0" fontId="31" fillId="5" borderId="125" xfId="0" applyFont="1" applyFill="1" applyBorder="1" applyAlignment="1">
      <alignment horizontal="center" vertical="center"/>
    </xf>
    <xf numFmtId="0" fontId="31" fillId="5" borderId="121" xfId="0" applyFont="1" applyFill="1" applyBorder="1" applyAlignment="1">
      <alignment horizontal="center" vertical="center"/>
    </xf>
    <xf numFmtId="0" fontId="31" fillId="5" borderId="122" xfId="0" applyFont="1" applyFill="1" applyBorder="1" applyAlignment="1">
      <alignment horizontal="center" vertical="center"/>
    </xf>
    <xf numFmtId="0" fontId="31" fillId="8" borderId="100" xfId="0" applyFont="1" applyFill="1" applyBorder="1" applyAlignment="1">
      <alignment horizontal="center" vertical="center" wrapText="1"/>
    </xf>
    <xf numFmtId="0" fontId="31" fillId="5" borderId="117" xfId="0" applyFont="1" applyFill="1" applyBorder="1" applyAlignment="1">
      <alignment horizontal="center" vertical="center" wrapText="1"/>
    </xf>
    <xf numFmtId="0" fontId="31" fillId="5" borderId="118" xfId="0" applyFont="1" applyFill="1" applyBorder="1" applyAlignment="1">
      <alignment horizontal="center" vertical="center" wrapText="1"/>
    </xf>
    <xf numFmtId="0" fontId="31" fillId="5" borderId="119" xfId="0" applyFont="1" applyFill="1" applyBorder="1" applyAlignment="1">
      <alignment horizontal="center" vertical="center" wrapText="1"/>
    </xf>
    <xf numFmtId="0" fontId="31" fillId="5" borderId="120" xfId="0" applyFont="1" applyFill="1" applyBorder="1" applyAlignment="1">
      <alignment horizontal="center" vertical="center" wrapText="1"/>
    </xf>
    <xf numFmtId="0" fontId="115" fillId="0" borderId="0" xfId="19" applyFont="1" applyAlignment="1">
      <alignment horizontal="left" vertical="center"/>
    </xf>
    <xf numFmtId="0" fontId="118" fillId="0" borderId="0" xfId="19" applyFont="1" applyAlignment="1">
      <alignment horizontal="left" vertical="center"/>
    </xf>
    <xf numFmtId="0" fontId="63" fillId="0" borderId="0" xfId="0" applyFont="1" applyBorder="1" applyAlignment="1">
      <alignment horizontal="center"/>
    </xf>
    <xf numFmtId="0" fontId="63" fillId="0" borderId="43" xfId="0" applyFont="1" applyBorder="1" applyAlignment="1">
      <alignment horizontal="center"/>
    </xf>
    <xf numFmtId="0" fontId="131" fillId="12" borderId="38" xfId="0" applyFont="1" applyFill="1" applyBorder="1" applyAlignment="1">
      <alignment horizontal="center" vertical="top" wrapText="1"/>
    </xf>
    <xf numFmtId="0" fontId="71" fillId="0" borderId="36" xfId="0" applyFont="1" applyBorder="1" applyAlignment="1">
      <alignment horizontal="center" vertical="center" wrapText="1"/>
    </xf>
    <xf numFmtId="0" fontId="71" fillId="0" borderId="37" xfId="0" applyFont="1" applyBorder="1" applyAlignment="1">
      <alignment horizontal="center" vertical="center" wrapText="1"/>
    </xf>
    <xf numFmtId="0" fontId="64" fillId="2" borderId="71" xfId="0" applyFont="1" applyFill="1" applyBorder="1" applyAlignment="1">
      <alignment horizontal="center"/>
    </xf>
    <xf numFmtId="0" fontId="64" fillId="2" borderId="72" xfId="0" applyFont="1" applyFill="1" applyBorder="1" applyAlignment="1">
      <alignment horizontal="center"/>
    </xf>
    <xf numFmtId="0" fontId="69" fillId="14" borderId="73" xfId="0" applyFont="1" applyFill="1" applyBorder="1" applyAlignment="1">
      <alignment horizontal="center" vertical="top" wrapText="1"/>
    </xf>
    <xf numFmtId="0" fontId="69" fillId="14" borderId="74" xfId="0" applyFont="1" applyFill="1" applyBorder="1" applyAlignment="1">
      <alignment horizontal="center" vertical="top" wrapText="1"/>
    </xf>
    <xf numFmtId="0" fontId="69" fillId="8" borderId="75" xfId="0" applyFont="1" applyFill="1" applyBorder="1" applyAlignment="1">
      <alignment horizontal="center" vertical="top" wrapText="1"/>
    </xf>
    <xf numFmtId="0" fontId="69" fillId="8" borderId="72" xfId="0" applyFont="1" applyFill="1" applyBorder="1" applyAlignment="1">
      <alignment horizontal="center" vertical="top" wrapText="1"/>
    </xf>
    <xf numFmtId="0" fontId="69" fillId="9" borderId="75" xfId="0" applyFont="1" applyFill="1" applyBorder="1" applyAlignment="1">
      <alignment horizontal="center" vertical="top" wrapText="1"/>
    </xf>
    <xf numFmtId="0" fontId="69" fillId="9" borderId="72" xfId="0" applyFont="1" applyFill="1" applyBorder="1" applyAlignment="1">
      <alignment horizontal="center" vertical="top" wrapText="1"/>
    </xf>
    <xf numFmtId="0" fontId="69" fillId="36" borderId="38" xfId="0" applyFont="1" applyFill="1" applyBorder="1" applyAlignment="1">
      <alignment horizontal="center" vertical="top" wrapText="1"/>
    </xf>
    <xf numFmtId="0" fontId="63" fillId="12" borderId="129" xfId="0" applyFont="1" applyFill="1" applyBorder="1" applyAlignment="1">
      <alignment horizontal="center" vertical="center"/>
    </xf>
    <xf numFmtId="0" fontId="69" fillId="14" borderId="38" xfId="0" applyFont="1" applyFill="1" applyBorder="1" applyAlignment="1">
      <alignment horizontal="center" vertical="center" wrapText="1"/>
    </xf>
    <xf numFmtId="0" fontId="69" fillId="8" borderId="38" xfId="0" applyFont="1" applyFill="1" applyBorder="1" applyAlignment="1">
      <alignment horizontal="center" vertical="top" wrapText="1"/>
    </xf>
    <xf numFmtId="0" fontId="5" fillId="0" borderId="0" xfId="0" applyFont="1" applyAlignment="1">
      <alignment horizontal="center"/>
    </xf>
    <xf numFmtId="0" fontId="13" fillId="0" borderId="0" xfId="0" applyFont="1" applyAlignment="1">
      <alignment horizontal="center"/>
    </xf>
    <xf numFmtId="0" fontId="4" fillId="0" borderId="139" xfId="0" applyFont="1" applyBorder="1" applyAlignment="1">
      <alignment horizontal="center"/>
    </xf>
    <xf numFmtId="0" fontId="13" fillId="0" borderId="139" xfId="0" applyFont="1" applyBorder="1" applyAlignment="1">
      <alignment horizontal="center"/>
    </xf>
    <xf numFmtId="0" fontId="90" fillId="41" borderId="0" xfId="0" applyFont="1" applyFill="1" applyAlignment="1">
      <alignment horizontal="center" vertical="center"/>
    </xf>
    <xf numFmtId="0" fontId="75" fillId="26" borderId="0" xfId="0" applyFont="1" applyFill="1" applyAlignment="1">
      <alignment horizontal="center" vertical="center" wrapText="1"/>
    </xf>
    <xf numFmtId="164" fontId="74" fillId="15" borderId="0" xfId="4" applyNumberFormat="1" applyFont="1" applyFill="1" applyAlignment="1">
      <alignment horizontal="center" vertical="center" wrapText="1"/>
    </xf>
  </cellXfs>
  <cellStyles count="81">
    <cellStyle name="Bad 2" xfId="24" xr:uid="{00000000-0005-0000-0000-000000000000}"/>
    <cellStyle name="Bad 2 2" xfId="57" xr:uid="{00000000-0005-0000-0000-00003C000000}"/>
    <cellStyle name="Comma" xfId="4" builtinId="3"/>
    <cellStyle name="Comma 2" xfId="7" xr:uid="{00000000-0005-0000-0000-000002000000}"/>
    <cellStyle name="Comma 2 2" xfId="17" xr:uid="{00000000-0005-0000-0000-000003000000}"/>
    <cellStyle name="Comma 2 2 2" xfId="32" xr:uid="{00000000-0005-0000-0000-000003000000}"/>
    <cellStyle name="Comma 2 2 2 2" xfId="49" xr:uid="{00000000-0005-0000-0000-000014000000}"/>
    <cellStyle name="Comma 2 2 3" xfId="41" xr:uid="{00000000-0005-0000-0000-000003000000}"/>
    <cellStyle name="Comma 2 2 3 2" xfId="52" xr:uid="{00000000-0005-0000-0000-00001F000000}"/>
    <cellStyle name="Comma 2 2 4" xfId="59" xr:uid="{00000000-0005-0000-0000-00003E000000}"/>
    <cellStyle name="Comma 2 3" xfId="27" xr:uid="{00000000-0005-0000-0000-000002000000}"/>
    <cellStyle name="Comma 2 3 2" xfId="47" xr:uid="{00000000-0005-0000-0000-00000E000000}"/>
    <cellStyle name="Comma 2 4" xfId="36" xr:uid="{00000000-0005-0000-0000-000001000000}"/>
    <cellStyle name="Comma 2 4 2" xfId="61" xr:uid="{00000000-0005-0000-0000-000040000000}"/>
    <cellStyle name="Comma 2 5" xfId="48" xr:uid="{00000000-0005-0000-0000-000011000000}"/>
    <cellStyle name="Comma 3" xfId="44" xr:uid="{00000000-0005-0000-0000-000058000000}"/>
    <cellStyle name="Comma 4" xfId="5" xr:uid="{00000000-0005-0000-0000-000004000000}"/>
    <cellStyle name="Comma 4 2" xfId="51" xr:uid="{00000000-0005-0000-0000-00001C000000}"/>
    <cellStyle name="Good 2" xfId="23" xr:uid="{00000000-0005-0000-0000-000005000000}"/>
    <cellStyle name="Good 2 2" xfId="56" xr:uid="{00000000-0005-0000-0000-00003A000000}"/>
    <cellStyle name="Heading 1 2" xfId="13" xr:uid="{00000000-0005-0000-0000-000006000000}"/>
    <cellStyle name="Heading 1 2 2" xfId="62" xr:uid="{00000000-0005-0000-0000-000041000000}"/>
    <cellStyle name="Normal" xfId="0" builtinId="0"/>
    <cellStyle name="Normal 2" xfId="8" xr:uid="{00000000-0005-0000-0000-000008000000}"/>
    <cellStyle name="Normal 2 2" xfId="14" xr:uid="{00000000-0005-0000-0000-000009000000}"/>
    <cellStyle name="Normal 2 2 2" xfId="29" xr:uid="{00000000-0005-0000-0000-000009000000}"/>
    <cellStyle name="Normal 2 2 2 2" xfId="60" xr:uid="{00000000-0005-0000-0000-00003F000000}"/>
    <cellStyle name="Normal 2 2 3" xfId="38" xr:uid="{00000000-0005-0000-0000-00001F000000}"/>
    <cellStyle name="Normal 2 2 3 2" xfId="50" xr:uid="{00000000-0005-0000-0000-000017000000}"/>
    <cellStyle name="Normal 2 2 4" xfId="53" xr:uid="{00000000-0005-0000-0000-000021000000}"/>
    <cellStyle name="Normal 2 3" xfId="18" xr:uid="{00000000-0005-0000-0000-00000A000000}"/>
    <cellStyle name="Normal 2 3 2" xfId="33" xr:uid="{00000000-0005-0000-0000-00000A000000}"/>
    <cellStyle name="Normal 2 3 2 2" xfId="54" xr:uid="{00000000-0005-0000-0000-00002C000000}"/>
    <cellStyle name="Normal 2 3 3" xfId="42" xr:uid="{00000000-0005-0000-0000-000020000000}"/>
    <cellStyle name="Normal 2 3 3 2" xfId="64" xr:uid="{00000000-0005-0000-0000-000043000000}"/>
    <cellStyle name="Normal 2 3 4" xfId="63" xr:uid="{00000000-0005-0000-0000-000042000000}"/>
    <cellStyle name="Normal 2 4" xfId="22" xr:uid="{00000000-0005-0000-0000-00000B000000}"/>
    <cellStyle name="Normal 2 4 2" xfId="65" xr:uid="{00000000-0005-0000-0000-000044000000}"/>
    <cellStyle name="Normal 2 5" xfId="28" xr:uid="{00000000-0005-0000-0000-000008000000}"/>
    <cellStyle name="Normal 2 5 2" xfId="66" xr:uid="{00000000-0005-0000-0000-000045000000}"/>
    <cellStyle name="Normal 2 6" xfId="37" xr:uid="{00000000-0005-0000-0000-000005000000}"/>
    <cellStyle name="Normal 2 6 2" xfId="67" xr:uid="{00000000-0005-0000-0000-000046000000}"/>
    <cellStyle name="Normal 2 7" xfId="55" xr:uid="{00000000-0005-0000-0000-000033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2 2" xfId="70" xr:uid="{00000000-0005-0000-0000-00004B000000}"/>
    <cellStyle name="Normal 4 2 3" xfId="39" xr:uid="{00000000-0005-0000-0000-000025000000}"/>
    <cellStyle name="Normal 4 2 3 2" xfId="71" xr:uid="{00000000-0005-0000-0000-00004C000000}"/>
    <cellStyle name="Normal 4 2 4" xfId="69" xr:uid="{00000000-0005-0000-0000-00004A000000}"/>
    <cellStyle name="Normal 4 3" xfId="25" xr:uid="{00000000-0005-0000-0000-00000E000000}"/>
    <cellStyle name="Normal 4 3 2" xfId="72" xr:uid="{00000000-0005-0000-0000-00004D000000}"/>
    <cellStyle name="Normal 4 4" xfId="34" xr:uid="{00000000-0005-0000-0000-000006000000}"/>
    <cellStyle name="Normal 4 4 2" xfId="73" xr:uid="{00000000-0005-0000-0000-00004E000000}"/>
    <cellStyle name="Normal 4 5" xfId="68" xr:uid="{00000000-0005-0000-0000-000049000000}"/>
    <cellStyle name="Normal 5" xfId="43" xr:uid="{00000000-0005-0000-0000-000062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2 2" xfId="75" xr:uid="{00000000-0005-0000-0000-000053000000}"/>
    <cellStyle name="Percent 2 3" xfId="16" xr:uid="{00000000-0005-0000-0000-000016000000}"/>
    <cellStyle name="Percent 2 3 2" xfId="31" xr:uid="{00000000-0005-0000-0000-000016000000}"/>
    <cellStyle name="Percent 2 3 2 2" xfId="77" xr:uid="{00000000-0005-0000-0000-000055000000}"/>
    <cellStyle name="Percent 2 3 3" xfId="40" xr:uid="{00000000-0005-0000-0000-00002C000000}"/>
    <cellStyle name="Percent 2 3 3 2" xfId="78" xr:uid="{00000000-0005-0000-0000-000056000000}"/>
    <cellStyle name="Percent 2 3 4" xfId="76" xr:uid="{00000000-0005-0000-0000-000054000000}"/>
    <cellStyle name="Percent 2 4" xfId="26" xr:uid="{00000000-0005-0000-0000-000014000000}"/>
    <cellStyle name="Percent 2 4 2" xfId="79" xr:uid="{00000000-0005-0000-0000-000057000000}"/>
    <cellStyle name="Percent 2 5" xfId="35" xr:uid="{00000000-0005-0000-0000-000008000000}"/>
    <cellStyle name="Percent 2 5 2" xfId="45" xr:uid="{00000000-0005-0000-0000-00000B000000}"/>
    <cellStyle name="Percent 2 6" xfId="74" xr:uid="{00000000-0005-0000-0000-000052000000}"/>
    <cellStyle name="Percent 3" xfId="12" xr:uid="{00000000-0005-0000-0000-000017000000}"/>
    <cellStyle name="Percent 3 2" xfId="20" xr:uid="{00000000-0005-0000-0000-000018000000}"/>
    <cellStyle name="Percent 4" xfId="46" xr:uid="{00000000-0005-0000-0000-000073000000}"/>
    <cellStyle name="千位分隔 3" xfId="58" xr:uid="{00000000-0005-0000-0000-00003D000000}"/>
    <cellStyle name="常规 2" xfId="80" xr:uid="{00000000-0005-0000-0000-00005A000000}"/>
  </cellStyles>
  <dxfs count="1243">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outline="0">
        <left style="thin">
          <color theme="8"/>
        </left>
        <right/>
        <top style="thin">
          <color theme="8"/>
        </top>
        <bottom/>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left style="thin">
          <color theme="8"/>
        </left>
        <right/>
        <top style="thin">
          <color theme="8"/>
        </top>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border>
    </dxf>
    <dxf>
      <font>
        <b val="0"/>
        <i val="0"/>
        <strike val="0"/>
        <condense val="0"/>
        <extend val="0"/>
        <outline val="0"/>
        <shadow val="0"/>
        <u val="none"/>
        <vertAlign val="baseline"/>
        <sz val="11"/>
        <color theme="1"/>
        <name val="Calibri"/>
        <family val="2"/>
        <scheme val="minor"/>
      </font>
      <numFmt numFmtId="13"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8"/>
        </left>
        <right style="thin">
          <color theme="8"/>
        </right>
        <top style="thin">
          <color theme="8"/>
        </top>
        <bottom/>
        <vertical/>
        <horizontal/>
      </border>
    </dxf>
    <dxf>
      <font>
        <b/>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4"/>
        </left>
        <right style="thin">
          <color theme="4"/>
        </right>
        <top style="double">
          <color theme="4"/>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left style="thin">
          <color theme="8"/>
        </left>
        <right style="thin">
          <color theme="8"/>
        </right>
        <top style="thin">
          <color theme="8"/>
        </top>
        <bottom/>
        <vertical/>
        <horizontal/>
      </border>
    </dxf>
    <dxf>
      <font>
        <b/>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4"/>
        </left>
        <right style="thin">
          <color theme="4"/>
        </right>
        <top style="double">
          <color theme="4"/>
        </top>
        <bottom/>
      </border>
    </dxf>
    <dxf>
      <font>
        <b val="0"/>
        <i val="0"/>
        <strike val="0"/>
        <condense val="0"/>
        <extend val="0"/>
        <outline val="0"/>
        <shadow val="0"/>
        <u val="none"/>
        <vertAlign val="baseline"/>
        <sz val="10"/>
        <color theme="1"/>
        <name val="Calibri"/>
        <family val="2"/>
        <scheme val="minor"/>
      </font>
      <numFmt numFmtId="0" formatCode="General"/>
      <fill>
        <patternFill patternType="solid">
          <fgColor theme="8" tint="0.79998168889431442"/>
          <bgColor theme="8" tint="0.79998168889431442"/>
        </patternFill>
      </fill>
      <alignment horizontal="general" vertical="center" textRotation="0" wrapText="0" indent="0" justifyLastLine="0" shrinkToFit="0" readingOrder="0"/>
      <border diagonalUp="0" diagonalDown="0">
        <left style="thin">
          <color theme="8"/>
        </left>
        <right style="thin">
          <color theme="8"/>
        </right>
        <top style="thin">
          <color theme="8"/>
        </top>
        <bottom/>
        <vertical/>
        <horizontal/>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theme="4"/>
        </right>
        <top style="double">
          <color theme="4"/>
        </top>
        <bottom/>
      </border>
    </dxf>
    <dxf>
      <font>
        <b val="0"/>
        <i val="0"/>
        <strike val="0"/>
        <condense val="0"/>
        <extend val="0"/>
        <outline val="0"/>
        <shadow val="0"/>
        <u val="none"/>
        <vertAlign val="baseline"/>
        <sz val="11"/>
        <color theme="1"/>
        <name val="Calibri"/>
        <family val="2"/>
        <scheme val="minor"/>
      </font>
      <fill>
        <patternFill patternType="solid">
          <fgColor theme="8" tint="0.79998168889431442"/>
          <bgColor theme="8" tint="0.79998168889431442"/>
        </patternFill>
      </fill>
      <alignment horizontal="left" vertical="center" textRotation="0" wrapText="0" indent="0" justifyLastLine="0" shrinkToFit="0" readingOrder="0"/>
      <border diagonalUp="0" diagonalDown="0">
        <left/>
        <right style="thin">
          <color theme="8"/>
        </right>
        <top style="thin">
          <color theme="8"/>
        </top>
        <bottom/>
        <vertical/>
        <horizontal/>
      </border>
    </dxf>
    <dxf>
      <border outline="0">
        <top style="thin">
          <color theme="8"/>
        </top>
      </border>
    </dxf>
    <dxf>
      <border outline="0">
        <left style="thin">
          <color theme="8"/>
        </left>
        <right style="thin">
          <color theme="8"/>
        </right>
        <top style="thin">
          <color theme="8"/>
        </top>
        <bottom style="thin">
          <color theme="8"/>
        </bottom>
      </border>
    </dxf>
    <dxf>
      <border outline="0">
        <bottom style="medium">
          <color theme="8"/>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numFmt numFmtId="13" formatCode="0%"/>
    </dxf>
    <dxf>
      <numFmt numFmtId="14" formatCode="0.0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numFmt numFmtId="1" formatCode="0"/>
    </dxf>
    <dxf>
      <numFmt numFmtId="1" formatCode="0"/>
    </dxf>
    <dxf>
      <alignment wrapText="1"/>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center"/>
    </dxf>
    <dxf>
      <alignment vertical="bottom"/>
    </dxf>
    <dxf>
      <alignment vertical="bottom"/>
    </dxf>
    <dxf>
      <alignment horizontal="center"/>
    </dxf>
    <dxf>
      <alignment horizont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vertical="center"/>
    </dxf>
    <dxf>
      <alignment wrapText="1"/>
    </dxf>
    <dxf>
      <alignment vertical="center"/>
    </dxf>
    <dxf>
      <alignment wrapText="1"/>
    </dxf>
    <dxf>
      <numFmt numFmtId="164" formatCode="_(* #,##0_);_(* \(#,##0\);_(* &quot;-&quot;??_);_(@_)"/>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alignment horizontal="right" vertical="center"/>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9" tint="-0.499984740745262"/>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theme="5" tint="-0.249977111117893"/>
        </patternFill>
      </fill>
      <alignment horizontal="center" vertical="center" wrapText="1"/>
    </dxf>
    <dxf>
      <font>
        <color theme="0"/>
      </font>
      <fill>
        <patternFill patternType="solid">
          <fgColor indexed="64"/>
          <bgColor rgb="FF0070C0"/>
        </patternFill>
      </fill>
      <alignment horizontal="center" vertical="center" wrapText="1"/>
    </dxf>
    <dxf>
      <font>
        <b/>
        <color theme="0"/>
      </font>
      <fill>
        <patternFill patternType="solid">
          <fgColor indexed="64"/>
          <bgColor theme="1"/>
        </patternFill>
      </fill>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color theme="0"/>
      </font>
      <numFmt numFmtId="0" formatCode="General"/>
      <fill>
        <patternFill patternType="solid">
          <fgColor indexed="64"/>
          <bgColor theme="9" tint="-0.499984740745262"/>
        </patternFill>
      </fill>
      <alignment horizontal="center" vertical="center" wrapText="1"/>
    </dxf>
    <dxf>
      <alignment vertical="center"/>
    </dxf>
    <dxf>
      <alignment vertical="center"/>
    </dxf>
    <dxf>
      <font>
        <color theme="0"/>
      </font>
    </dxf>
    <dxf>
      <font>
        <color theme="0"/>
      </font>
    </dxf>
    <dxf>
      <fill>
        <patternFill>
          <bgColor theme="5" tint="-0.249977111117893"/>
        </patternFill>
      </fill>
    </dxf>
    <dxf>
      <fill>
        <patternFill>
          <bgColor theme="5" tint="-0.249977111117893"/>
        </patternFill>
      </fill>
    </dxf>
    <dxf>
      <numFmt numFmtId="164" formatCode="_(* #,##0_);_(* \(#,##0\);_(* &quot;-&quot;??_);_(@_)"/>
    </dxf>
    <dxf>
      <numFmt numFmtId="164" formatCode="_(* #,##0_);_(* \(#,##0\);_(* &quot;-&quot;??_);_(@_)"/>
    </dxf>
    <dxf>
      <font>
        <color theme="0"/>
      </font>
      <fill>
        <patternFill patternType="solid">
          <fgColor indexed="64"/>
          <bgColor rgb="FF0070C0"/>
        </patternFill>
      </fill>
      <alignment horizontal="center" vertical="center" wrapText="1"/>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5" tint="-0.249977111117893"/>
        </patternFill>
      </fill>
      <alignment horizontal="center" vertical="center" wrapText="1" readingOrder="0"/>
    </dxf>
    <dxf>
      <font>
        <color theme="0"/>
      </font>
      <fill>
        <patternFill patternType="solid">
          <fgColor indexed="64"/>
          <bgColor rgb="FF0070C0"/>
        </patternFill>
      </fill>
      <alignment horizontal="center" vertical="center" wrapText="1" readingOrder="0"/>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wrapText="1"/>
    </dxf>
    <dxf>
      <font>
        <color theme="0"/>
      </font>
    </dxf>
    <dxf>
      <fill>
        <patternFill patternType="solid">
          <bgColor rgb="FF7030A0"/>
        </patternFill>
      </fill>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vertical="center"/>
    </dxf>
    <dxf>
      <alignment wrapText="1"/>
    </dxf>
    <dxf>
      <alignment wrapText="1"/>
    </dxf>
    <dxf>
      <alignment vertical="center"/>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9" tint="-0.249977111117893"/>
        </patternFill>
      </fill>
    </dxf>
    <dxf>
      <fill>
        <patternFill>
          <bgColor theme="9" tint="-0.249977111117893"/>
        </patternFill>
      </fill>
    </dxf>
    <dxf>
      <fill>
        <patternFill>
          <bgColor theme="5" tint="-0.249977111117893"/>
        </patternFill>
      </fill>
    </dxf>
    <dxf>
      <fill>
        <patternFill>
          <bgColor theme="5" tint="-0.249977111117893"/>
        </patternFill>
      </fill>
    </dxf>
    <dxf>
      <numFmt numFmtId="164" formatCode="_(* #,##0_);_(* \(#,##0\);_(* &quot;-&quot;??_);_(@_)"/>
    </dxf>
    <dxf>
      <alignment wrapText="1"/>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ill>
        <patternFill>
          <fgColor theme="5" tint="-0.249977111117893"/>
        </patternFill>
      </fill>
    </dxf>
    <dxf>
      <fill>
        <patternFill>
          <fgColor theme="9" tint="-0.249977111117893"/>
        </patternFill>
      </fill>
    </dxf>
    <dxf>
      <font>
        <color theme="0"/>
      </font>
      <numFmt numFmtId="164" formatCode="_(* #,##0_);_(* \(#,##0\);_(* &quot;-&quot;??_);_(@_)"/>
      <fill>
        <patternFill patternType="solid">
          <fgColor indexed="64"/>
          <bgColor rgb="FF7030A0"/>
        </patternFill>
      </fill>
    </dxf>
    <dxf>
      <font>
        <color theme="0"/>
      </font>
      <numFmt numFmtId="164" formatCode="_(* #,##0_);_(* \(#,##0\);_(* &quot;-&quot;??_);_(@_)"/>
      <fill>
        <patternFill patternType="solid">
          <fgColor indexed="64"/>
          <bgColor rgb="FF7030A0"/>
        </patternFill>
      </fill>
    </dxf>
    <dxf>
      <alignment wrapText="1"/>
    </dxf>
    <dxf>
      <font>
        <color theme="0"/>
      </font>
      <fill>
        <patternFill patternType="solid">
          <fgColor indexed="64"/>
          <bgColor rgb="FF7030A0"/>
        </patternFill>
      </fill>
    </dxf>
    <dxf>
      <alignment vertical="center"/>
    </dxf>
    <dxf>
      <numFmt numFmtId="164" formatCode="_(* #,##0_);_(* \(#,##0\);_(* &quot;-&quot;??_);_(@_)"/>
    </dxf>
    <dxf>
      <font>
        <color theme="0"/>
      </font>
      <numFmt numFmtId="164" formatCode="_(* #,##0_);_(* \(#,##0\);_(* &quot;-&quot;??_);_(@_)"/>
      <fill>
        <patternFill patternType="solid">
          <fgColor indexed="64"/>
          <bgColor theme="1"/>
        </patternFill>
      </fill>
    </dxf>
    <dxf>
      <font>
        <color theme="0"/>
      </font>
      <fill>
        <patternFill patternType="solid">
          <fgColor indexed="64"/>
          <bgColor rgb="FF0070C0"/>
        </patternFill>
      </fill>
      <alignment horizontal="center"/>
    </dxf>
    <dxf>
      <font>
        <color theme="0"/>
      </font>
      <fill>
        <patternFill patternType="solid">
          <fgColor indexed="64"/>
          <bgColor rgb="FF0070C0"/>
        </patternFill>
      </fill>
      <alignment horizontal="center"/>
    </dxf>
    <dxf>
      <font>
        <color theme="0"/>
      </font>
      <fill>
        <patternFill patternType="solid">
          <fgColor indexed="64"/>
          <bgColor theme="1"/>
        </patternFill>
      </fill>
      <alignment horizontal="center"/>
    </dxf>
    <dxf>
      <numFmt numFmtId="164" formatCode="_(* #,##0_);_(* \(#,##0\);_(* &quot;-&quot;??_);_(@_)"/>
    </dxf>
    <dxf>
      <font>
        <b/>
      </font>
    </dxf>
    <dxf>
      <font>
        <color theme="0"/>
      </font>
      <fill>
        <patternFill patternType="solid">
          <fgColor indexed="64"/>
          <bgColor theme="1"/>
        </patternFill>
      </fill>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alignment wrapText="1"/>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b/>
        <i val="0"/>
        <color rgb="FFFF0000"/>
      </font>
    </dxf>
    <dxf>
      <font>
        <b/>
        <i val="0"/>
        <color rgb="FFFF0000"/>
      </font>
    </dxf>
    <dxf>
      <font>
        <b/>
        <i val="0"/>
        <color rgb="FFFF0000"/>
      </font>
    </dxf>
    <dxf>
      <fill>
        <patternFill>
          <bgColor rgb="FFFF0000"/>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242"/>
      <tableStyleElement type="headerRow" dxfId="1241"/>
    </tableStyle>
    <tableStyle name="4W Style" pivot="0" table="0" count="1" xr9:uid="{00000000-0011-0000-FFFF-FFFF01000000}">
      <tableStyleElement type="wholeTable" dxfId="1240"/>
    </tableStyle>
    <tableStyle name="CUSTOM" table="0" count="13" xr9:uid="{00000000-0011-0000-FFFF-FFFF02000000}">
      <tableStyleElement type="wholeTable" dxfId="1239"/>
      <tableStyleElement type="headerRow" dxfId="1238"/>
      <tableStyleElement type="totalRow" dxfId="1237"/>
      <tableStyleElement type="firstColumn" dxfId="1236"/>
      <tableStyleElement type="firstRowStripe" dxfId="1235"/>
      <tableStyleElement type="secondRowStripe" dxfId="1234"/>
      <tableStyleElement type="firstColumnStripe" dxfId="1233"/>
      <tableStyleElement type="firstSubtotalRow" dxfId="1232"/>
      <tableStyleElement type="secondSubtotalRow" dxfId="1231"/>
      <tableStyleElement type="secondColumnSubheading" dxfId="1230"/>
      <tableStyleElement type="thirdColumnSubheading" dxfId="1229"/>
      <tableStyleElement type="firstRowSubheading" dxfId="1228"/>
      <tableStyleElement type="secondRowSubheading" dxfId="1227"/>
    </tableStyle>
    <tableStyle name="PivotStyleLight10 2" table="0" count="12" xr9:uid="{00000000-0011-0000-FFFF-FFFF03000000}">
      <tableStyleElement type="wholeTable" dxfId="1226"/>
      <tableStyleElement type="headerRow" dxfId="1225"/>
      <tableStyleElement type="totalRow" dxfId="1224"/>
      <tableStyleElement type="firstColumn" dxfId="1223"/>
      <tableStyleElement type="firstRowStripe" dxfId="1222"/>
      <tableStyleElement type="firstColumnStripe" dxfId="1221"/>
      <tableStyleElement type="firstSubtotalRow" dxfId="1220"/>
      <tableStyleElement type="secondSubtotalRow" dxfId="1219"/>
      <tableStyleElement type="secondColumnSubheading" dxfId="1218"/>
      <tableStyleElement type="thirdColumnSubheading" dxfId="1217"/>
      <tableStyleElement type="firstRowSubheading" dxfId="1216"/>
      <tableStyleElement type="secondRowSubheading" dxfId="1215"/>
    </tableStyle>
    <tableStyle name="PivotStyleLight14 2" table="0" count="12" xr9:uid="{00000000-0011-0000-FFFF-FFFF04000000}">
      <tableStyleElement type="wholeTable" dxfId="1214"/>
      <tableStyleElement type="headerRow" dxfId="1213"/>
      <tableStyleElement type="totalRow" dxfId="1212"/>
      <tableStyleElement type="firstColumn" dxfId="1211"/>
      <tableStyleElement type="firstRowStripe" dxfId="1210"/>
      <tableStyleElement type="firstColumnStripe" dxfId="1209"/>
      <tableStyleElement type="firstSubtotalRow" dxfId="1208"/>
      <tableStyleElement type="secondSubtotalRow" dxfId="1207"/>
      <tableStyleElement type="secondColumnSubheading" dxfId="1206"/>
      <tableStyleElement type="thirdColumnSubheading" dxfId="1205"/>
      <tableStyleElement type="firstRowSubheading" dxfId="1204"/>
      <tableStyleElement type="secondRowSubheading" dxfId="1203"/>
    </tableStyle>
    <tableStyle name="PivotStyleLight23 2" table="0" count="10" xr9:uid="{00000000-0011-0000-FFFF-FFFF05000000}">
      <tableStyleElement type="wholeTable" dxfId="1202"/>
      <tableStyleElement type="headerRow" dxfId="1201"/>
      <tableStyleElement type="totalRow" dxfId="1200"/>
      <tableStyleElement type="firstColumn" dxfId="1199"/>
      <tableStyleElement type="firstRowStripe" dxfId="1198"/>
      <tableStyleElement type="firstColumnStripe" dxfId="1197"/>
      <tableStyleElement type="firstSubtotalColumn" dxfId="1196"/>
      <tableStyleElement type="firstSubtotalRow" dxfId="1195"/>
      <tableStyleElement type="secondSubtotalRow" dxfId="1194"/>
      <tableStyleElement type="pageFieldLabels" dxfId="1193"/>
    </tableStyle>
    <tableStyle name="PivotStyleLight9 2" table="0" count="13" xr9:uid="{00000000-0011-0000-FFFF-FFFF06000000}">
      <tableStyleElement type="wholeTable" dxfId="1192"/>
      <tableStyleElement type="headerRow" dxfId="1191"/>
      <tableStyleElement type="totalRow" dxfId="1190"/>
      <tableStyleElement type="firstColumn" dxfId="1189"/>
      <tableStyleElement type="firstRowStripe" dxfId="1188"/>
      <tableStyleElement type="secondRowStripe" dxfId="1187"/>
      <tableStyleElement type="firstColumnStripe" dxfId="1186"/>
      <tableStyleElement type="firstSubtotalRow" dxfId="1185"/>
      <tableStyleElement type="secondSubtotalRow" dxfId="1184"/>
      <tableStyleElement type="secondColumnSubheading" dxfId="1183"/>
      <tableStyleElement type="thirdColumnSubheading" dxfId="1182"/>
      <tableStyleElement type="firstRowSubheading" dxfId="1181"/>
      <tableStyleElement type="secondRowSubheading" dxfId="1180"/>
    </tableStyle>
    <tableStyle name="PivotTable Style 1" table="0" count="1" xr9:uid="{00000000-0011-0000-FFFF-FFFF07000000}">
      <tableStyleElement type="wholeTable" dxfId="1179"/>
    </tableStyle>
    <tableStyle name="PivotTable Style a" table="0" count="7" xr9:uid="{00000000-0011-0000-FFFF-FFFF08000000}">
      <tableStyleElement type="wholeTable" dxfId="1178"/>
      <tableStyleElement type="headerRow" dxfId="1177"/>
      <tableStyleElement type="totalRow" dxfId="1176"/>
      <tableStyleElement type="firstColumn" dxfId="1175"/>
      <tableStyleElement type="secondSubtotalRow" dxfId="1174"/>
      <tableStyleElement type="firstRowSubheading" dxfId="1173"/>
      <tableStyleElement type="secondRowSubheading" dxfId="1172"/>
    </tableStyle>
    <tableStyle name="Slicer Style 1" pivot="0" table="0" count="5" xr9:uid="{00000000-0011-0000-FFFF-FFFF09000000}">
      <tableStyleElement type="wholeTable" dxfId="1171"/>
    </tableStyle>
  </tableStyles>
  <colors>
    <mruColors>
      <color rgb="FF44546A"/>
      <color rgb="FFD4E8C6"/>
      <color rgb="FF85C2FF"/>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07/relationships/slicerCache" Target="slicerCaches/slicerCache3.xml"/><Relationship Id="rId39" Type="http://schemas.microsoft.com/office/2007/relationships/slicerCache" Target="slicerCaches/slicerCache16.xml"/><Relationship Id="rId21" Type="http://schemas.openxmlformats.org/officeDocument/2006/relationships/externalLink" Target="externalLinks/externalLink5.xml"/><Relationship Id="rId34" Type="http://schemas.microsoft.com/office/2007/relationships/slicerCache" Target="slicerCaches/slicerCache1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07/relationships/slicerCache" Target="slicerCaches/slicerCache6.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07/relationships/slicerCache" Target="slicerCaches/slicerCache9.xml"/><Relationship Id="rId37" Type="http://schemas.microsoft.com/office/2007/relationships/slicerCache" Target="slicerCaches/slicerCache1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07/relationships/slicerCache" Target="slicerCaches/slicerCache5.xml"/><Relationship Id="rId36" Type="http://schemas.microsoft.com/office/2007/relationships/slicerCache" Target="slicerCaches/slicerCache13.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07/relationships/slicerCache" Target="slicerCaches/slicerCache4.xml"/><Relationship Id="rId30" Type="http://schemas.microsoft.com/office/2007/relationships/slicerCache" Target="slicerCaches/slicerCache7.xml"/><Relationship Id="rId35" Type="http://schemas.microsoft.com/office/2007/relationships/slicerCache" Target="slicerCaches/slicerCache1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07/relationships/slicerCache" Target="slicerCaches/slicerCache2.xml"/><Relationship Id="rId33" Type="http://schemas.microsoft.com/office/2007/relationships/slicerCache" Target="slicerCaches/slicerCache10.xml"/><Relationship Id="rId38" Type="http://schemas.microsoft.com/office/2007/relationships/slicerCache" Target="slicerCaches/slicerCache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women, men, boys and girls benefitting from safe/improved drinking water,r, meeting demand for domestic purposes, at minimum/agreed standards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HRP!$D$55</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HRP!$B$56:$B$59</c:f>
              <c:strCache>
                <c:ptCount val="2"/>
                <c:pt idx="0">
                  <c:v> Kachin </c:v>
                </c:pt>
                <c:pt idx="1">
                  <c:v> Shan (North) </c:v>
                </c:pt>
              </c:strCache>
            </c:strRef>
          </c:cat>
          <c:val>
            <c:numRef>
              <c:f>HRP!$D$56:$D$59</c:f>
              <c:numCache>
                <c:formatCode>_(* #,##0_);_(* \(#,##0\);_(* "-"??_);_(@_)</c:formatCode>
                <c:ptCount val="2"/>
                <c:pt idx="0">
                  <c:v>60883.466666666645</c:v>
                </c:pt>
                <c:pt idx="1">
                  <c:v>9093.6666666666661</c:v>
                </c:pt>
              </c:numCache>
            </c:numRef>
          </c:val>
          <c:extLst>
            <c:ext xmlns:c16="http://schemas.microsoft.com/office/drawing/2014/chart" uri="{C3380CC4-5D6E-409C-BE32-E72D297353CC}">
              <c16:uniqueId val="{00000001-B753-4CD1-A3E6-F95FDFA8B06B}"/>
            </c:ext>
          </c:extLst>
        </c:ser>
        <c:ser>
          <c:idx val="2"/>
          <c:order val="2"/>
          <c:tx>
            <c:strRef>
              <c:f>HRP!$E$55</c:f>
              <c:strCache>
                <c:ptCount val="1"/>
                <c:pt idx="0">
                  <c:v> Gap </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HRP!$B$56:$B$59</c:f>
              <c:strCache>
                <c:ptCount val="2"/>
                <c:pt idx="0">
                  <c:v> Kachin </c:v>
                </c:pt>
                <c:pt idx="1">
                  <c:v> Shan (North) </c:v>
                </c:pt>
              </c:strCache>
            </c:strRef>
          </c:cat>
          <c:val>
            <c:numRef>
              <c:f>HRP!$E$56:$E$59</c:f>
              <c:numCache>
                <c:formatCode>_(* #,##0_);_(* \(#,##0\);_(* "-"??_);_(@_)</c:formatCode>
                <c:ptCount val="2"/>
                <c:pt idx="0">
                  <c:v>41090.533333333355</c:v>
                </c:pt>
                <c:pt idx="1">
                  <c:v>6044.3333333333339</c:v>
                </c:pt>
              </c:numCache>
            </c:numRef>
          </c:val>
          <c:extLst>
            <c:ext xmlns:c16="http://schemas.microsoft.com/office/drawing/2014/chart" uri="{C3380CC4-5D6E-409C-BE32-E72D297353CC}">
              <c16:uniqueId val="{00000002-B753-4CD1-A3E6-F95FDFA8B06B}"/>
            </c:ext>
          </c:extLst>
        </c:ser>
        <c:dLbls>
          <c:showLegendKey val="0"/>
          <c:showVal val="0"/>
          <c:showCatName val="0"/>
          <c:showSerName val="0"/>
          <c:showPercent val="0"/>
          <c:showBubbleSize val="0"/>
        </c:dLbls>
        <c:gapWidth val="150"/>
        <c:overlap val="100"/>
        <c:axId val="99914656"/>
        <c:axId val="99911912"/>
        <c:extLst>
          <c:ext xmlns:c15="http://schemas.microsoft.com/office/drawing/2012/chart" uri="{02D57815-91ED-43cb-92C2-25804820EDAC}">
            <c15:filteredBarSeries>
              <c15:ser>
                <c:idx val="0"/>
                <c:order val="0"/>
                <c:tx>
                  <c:strRef>
                    <c:extLst>
                      <c:ext uri="{02D57815-91ED-43cb-92C2-25804820EDAC}">
                        <c15:formulaRef>
                          <c15:sqref>HRP!$C$55</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c:ext uri="{02D57815-91ED-43cb-92C2-25804820EDAC}">
                        <c15:formulaRef>
                          <c15:sqref>HRP!$B$56:$B$59</c15:sqref>
                        </c15:formulaRef>
                      </c:ext>
                    </c:extLst>
                    <c:strCache>
                      <c:ptCount val="2"/>
                      <c:pt idx="0">
                        <c:v> Kachin </c:v>
                      </c:pt>
                      <c:pt idx="1">
                        <c:v> Shan (North) </c:v>
                      </c:pt>
                    </c:strCache>
                  </c:strRef>
                </c:cat>
                <c:val>
                  <c:numRef>
                    <c:extLst>
                      <c:ext uri="{02D57815-91ED-43cb-92C2-25804820EDAC}">
                        <c15:formulaRef>
                          <c15:sqref>HRP!$C$56:$C$59</c15:sqref>
                        </c15:formulaRef>
                      </c:ext>
                    </c:extLst>
                    <c:numCache>
                      <c:formatCode>_(* #,##0_);_(* \(#,##0\);_(* "-"??_);_(@_)</c:formatCode>
                      <c:ptCount val="2"/>
                      <c:pt idx="0">
                        <c:v>101974</c:v>
                      </c:pt>
                      <c:pt idx="1">
                        <c:v>15138</c:v>
                      </c:pt>
                    </c:numCache>
                  </c:numRef>
                </c:val>
                <c:extLst>
                  <c:ext xmlns:c16="http://schemas.microsoft.com/office/drawing/2014/chart" uri="{C3380CC4-5D6E-409C-BE32-E72D297353CC}">
                    <c16:uniqueId val="{00000000-B753-4CD1-A3E6-F95FDFA8B06B}"/>
                  </c:ext>
                </c:extLst>
              </c15:ser>
            </c15:filteredBarSeries>
          </c:ext>
        </c:extLst>
      </c:barChart>
      <c:catAx>
        <c:axId val="9991465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1912"/>
        <c:crosses val="autoZero"/>
        <c:auto val="1"/>
        <c:lblAlgn val="ctr"/>
        <c:lblOffset val="100"/>
        <c:noMultiLvlLbl val="0"/>
      </c:catAx>
      <c:valAx>
        <c:axId val="999119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active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Analysis!$Q$218</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Analysis!$P$219:$P$222</c:f>
              <c:strCache>
                <c:ptCount val="4"/>
                <c:pt idx="0">
                  <c:v>#HH reached by regular dedicated hygiene promotion</c:v>
                </c:pt>
                <c:pt idx="1">
                  <c:v>#HH with access to Hand Washing Station</c:v>
                </c:pt>
                <c:pt idx="2">
                  <c:v># HH received soaps</c:v>
                </c:pt>
                <c:pt idx="3">
                  <c:v># HH received Sanitary Pads</c:v>
                </c:pt>
              </c:strCache>
            </c:strRef>
          </c:cat>
          <c:val>
            <c:numRef>
              <c:f>Analysis!$Q$219:$Q$222</c:f>
              <c:numCache>
                <c:formatCode>0</c:formatCode>
                <c:ptCount val="4"/>
                <c:pt idx="0">
                  <c:v>1560.8</c:v>
                </c:pt>
                <c:pt idx="1">
                  <c:v>604</c:v>
                </c:pt>
                <c:pt idx="2">
                  <c:v>2165.8000000000002</c:v>
                </c:pt>
                <c:pt idx="3">
                  <c:v>1533</c:v>
                </c:pt>
              </c:numCache>
            </c:numRef>
          </c:val>
          <c:extLst>
            <c:ext xmlns:c16="http://schemas.microsoft.com/office/drawing/2014/chart" uri="{C3380CC4-5D6E-409C-BE32-E72D297353CC}">
              <c16:uniqueId val="{00000000-CBDF-46C4-8398-2F2620566A1B}"/>
            </c:ext>
          </c:extLst>
        </c:ser>
        <c:ser>
          <c:idx val="1"/>
          <c:order val="1"/>
          <c:tx>
            <c:strRef>
              <c:f>Analysis!$R$218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Analysis!$P$219:$P$222</c:f>
              <c:strCache>
                <c:ptCount val="4"/>
                <c:pt idx="0">
                  <c:v>#HH reached by regular dedicated hygiene promotion</c:v>
                </c:pt>
                <c:pt idx="1">
                  <c:v>#HH with access to Hand Washing Station</c:v>
                </c:pt>
                <c:pt idx="2">
                  <c:v># HH received soaps</c:v>
                </c:pt>
                <c:pt idx="3">
                  <c:v># HH received Sanitary Pads</c:v>
                </c:pt>
              </c:strCache>
            </c:strRef>
          </c:cat>
          <c:val>
            <c:numRef>
              <c:f>Analysis!$R$219:$R$222</c:f>
              <c:numCache>
                <c:formatCode>0</c:formatCode>
                <c:ptCount val="4"/>
                <c:pt idx="0">
                  <c:v>812.2</c:v>
                </c:pt>
                <c:pt idx="1">
                  <c:v>1769</c:v>
                </c:pt>
                <c:pt idx="2">
                  <c:v>207.19999999999982</c:v>
                </c:pt>
                <c:pt idx="3">
                  <c:v>840</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active camps</a:t>
            </a:r>
          </a:p>
          <a:p>
            <a:pPr>
              <a:defRPr sz="1400"/>
            </a:pPr>
            <a:r>
              <a:rPr lang="en-US" sz="1400"/>
              <a:t>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Analysis!$B$166</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Analysis!$C$165:$F$165</c:f>
              <c:strCache>
                <c:ptCount val="4"/>
                <c:pt idx="0">
                  <c:v>Functional</c:v>
                </c:pt>
                <c:pt idx="1">
                  <c:v>NA</c:v>
                </c:pt>
                <c:pt idx="2">
                  <c:v>Not_Functional</c:v>
                </c:pt>
                <c:pt idx="3">
                  <c:v>Not_inPlace</c:v>
                </c:pt>
              </c:strCache>
            </c:strRef>
          </c:cat>
          <c:val>
            <c:numRef>
              <c:f>Analysis!$C$166:$F$166</c:f>
              <c:numCache>
                <c:formatCode>General</c:formatCode>
                <c:ptCount val="4"/>
                <c:pt idx="0">
                  <c:v>95</c:v>
                </c:pt>
                <c:pt idx="1">
                  <c:v>10</c:v>
                </c:pt>
                <c:pt idx="2">
                  <c:v>19</c:v>
                </c:pt>
                <c:pt idx="3">
                  <c:v>11</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active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Analysis!$B$168</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Analysis!$C$165:$F$165</c:f>
              <c:strCache>
                <c:ptCount val="4"/>
                <c:pt idx="0">
                  <c:v>Functional</c:v>
                </c:pt>
                <c:pt idx="1">
                  <c:v>NA</c:v>
                </c:pt>
                <c:pt idx="2">
                  <c:v>Not_Functional</c:v>
                </c:pt>
                <c:pt idx="3">
                  <c:v>Not_inPlace</c:v>
                </c:pt>
              </c:strCache>
            </c:strRef>
          </c:cat>
          <c:val>
            <c:numRef>
              <c:f>Analysis!$C$168:$F$168</c:f>
              <c:numCache>
                <c:formatCode>General</c:formatCode>
                <c:ptCount val="4"/>
                <c:pt idx="0">
                  <c:v>16</c:v>
                </c:pt>
                <c:pt idx="1">
                  <c:v>10</c:v>
                </c:pt>
                <c:pt idx="2">
                  <c:v>6</c:v>
                </c:pt>
                <c:pt idx="3">
                  <c:v>7</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Analysis!$B$182</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DC22-4C4F-B666-8182F921E260}"/>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Analysis!$C$181:$E$181</c:f>
              <c:strCache>
                <c:ptCount val="3"/>
                <c:pt idx="0">
                  <c:v>NA</c:v>
                </c:pt>
                <c:pt idx="1">
                  <c:v>No</c:v>
                </c:pt>
                <c:pt idx="2">
                  <c:v>Yes</c:v>
                </c:pt>
              </c:strCache>
            </c:strRef>
          </c:cat>
          <c:val>
            <c:numRef>
              <c:f>Analysis!$C$182:$E$182</c:f>
              <c:numCache>
                <c:formatCode>General</c:formatCode>
                <c:ptCount val="3"/>
                <c:pt idx="0">
                  <c:v>7</c:v>
                </c:pt>
                <c:pt idx="1">
                  <c:v>11</c:v>
                </c:pt>
                <c:pt idx="2">
                  <c:v>117</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Analysis!$B$184</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Analysis!$C$181:$E$181</c:f>
              <c:strCache>
                <c:ptCount val="3"/>
                <c:pt idx="0">
                  <c:v>NA</c:v>
                </c:pt>
                <c:pt idx="1">
                  <c:v>No</c:v>
                </c:pt>
                <c:pt idx="2">
                  <c:v>Yes</c:v>
                </c:pt>
              </c:strCache>
            </c:strRef>
          </c:cat>
          <c:val>
            <c:numRef>
              <c:f>Analysis!$C$184:$E$184</c:f>
              <c:numCache>
                <c:formatCode>General</c:formatCode>
                <c:ptCount val="3"/>
                <c:pt idx="0">
                  <c:v>11</c:v>
                </c:pt>
                <c:pt idx="1">
                  <c:v>8</c:v>
                </c:pt>
                <c:pt idx="2">
                  <c:v>20</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[20190724_Myanmar_WASH_4W_2019_Q2_Consolidate_KachinShan_DRAFT.xlsx]Analysis!K_water1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Water Point Coverage</a:t>
            </a:r>
            <a:endParaRPr lang="en-US" sz="1200">
              <a:effectLst/>
            </a:endParaRPr>
          </a:p>
          <a:p>
            <a:pPr>
              <a:defRPr sz="1200"/>
            </a:pPr>
            <a:r>
              <a:rPr lang="en-US" sz="1200" b="1" i="0" baseline="0">
                <a:effectLst/>
              </a:rPr>
              <a:t>in active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Analysis!$C$44</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Analysis!$B$45:$B$46</c:f>
              <c:strCache>
                <c:ptCount val="2"/>
                <c:pt idx="0">
                  <c:v>GCA (500:1)</c:v>
                </c:pt>
                <c:pt idx="1">
                  <c:v>NGCA (500:1)</c:v>
                </c:pt>
              </c:strCache>
            </c:strRef>
          </c:cat>
          <c:val>
            <c:numRef>
              <c:f>Analysis!$C$45:$C$46</c:f>
              <c:numCache>
                <c:formatCode>0</c:formatCode>
                <c:ptCount val="2"/>
                <c:pt idx="0">
                  <c:v>78.110933333333335</c:v>
                </c:pt>
                <c:pt idx="1">
                  <c:v>43.655999999999992</c:v>
                </c:pt>
              </c:numCache>
            </c:numRef>
          </c:val>
          <c:extLst>
            <c:ext xmlns:c16="http://schemas.microsoft.com/office/drawing/2014/chart" uri="{C3380CC4-5D6E-409C-BE32-E72D297353CC}">
              <c16:uniqueId val="{00000000-93DB-4322-B638-31D41A424C83}"/>
            </c:ext>
          </c:extLst>
        </c:ser>
        <c:ser>
          <c:idx val="1"/>
          <c:order val="1"/>
          <c:tx>
            <c:strRef>
              <c:f>Analysis!$D$44</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Analysis!$B$45:$B$46</c:f>
              <c:strCache>
                <c:ptCount val="2"/>
                <c:pt idx="0">
                  <c:v>GCA (500:1)</c:v>
                </c:pt>
                <c:pt idx="1">
                  <c:v>NGCA (500:1)</c:v>
                </c:pt>
              </c:strCache>
            </c:strRef>
          </c:cat>
          <c:val>
            <c:numRef>
              <c:f>Analysis!$D$45:$D$46</c:f>
              <c:numCache>
                <c:formatCode>0</c:formatCode>
                <c:ptCount val="2"/>
                <c:pt idx="0">
                  <c:v>78.433066666666647</c:v>
                </c:pt>
                <c:pt idx="1">
                  <c:v>61.124000000000002</c:v>
                </c:pt>
              </c:numCache>
            </c:numRef>
          </c:val>
          <c:extLst>
            <c:ext xmlns:c16="http://schemas.microsoft.com/office/drawing/2014/chart" uri="{C3380CC4-5D6E-409C-BE32-E72D297353CC}">
              <c16:uniqueId val="{00000001-93DB-4322-B638-31D41A424C83}"/>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[20190724_Myanmar_WASH_4W_2019_Q2_Consolidate_KachinShan_DRAFT.xlsx]Analysis!S_water1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active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Analysis!$J$44</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Analysis!$I$45</c:f>
              <c:strCache>
                <c:ptCount val="1"/>
                <c:pt idx="0">
                  <c:v>GCA (500:1)</c:v>
                </c:pt>
              </c:strCache>
            </c:strRef>
          </c:cat>
          <c:val>
            <c:numRef>
              <c:f>Analysis!$J$45</c:f>
              <c:numCache>
                <c:formatCode>0</c:formatCode>
                <c:ptCount val="1"/>
                <c:pt idx="0">
                  <c:v>16.269333333333336</c:v>
                </c:pt>
              </c:numCache>
            </c:numRef>
          </c:val>
          <c:extLst>
            <c:ext xmlns:c16="http://schemas.microsoft.com/office/drawing/2014/chart" uri="{C3380CC4-5D6E-409C-BE32-E72D297353CC}">
              <c16:uniqueId val="{00000000-2493-4EA9-A23B-56B7A955352E}"/>
            </c:ext>
          </c:extLst>
        </c:ser>
        <c:ser>
          <c:idx val="1"/>
          <c:order val="1"/>
          <c:tx>
            <c:strRef>
              <c:f>Analysis!$K$44</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Analysis!$I$45</c:f>
              <c:strCache>
                <c:ptCount val="1"/>
                <c:pt idx="0">
                  <c:v>GCA (500:1)</c:v>
                </c:pt>
              </c:strCache>
            </c:strRef>
          </c:cat>
          <c:val>
            <c:numRef>
              <c:f>Analysis!$K$45</c:f>
              <c:numCache>
                <c:formatCode>0</c:formatCode>
                <c:ptCount val="1"/>
                <c:pt idx="0">
                  <c:v>27.696666666666669</c:v>
                </c:pt>
              </c:numCache>
            </c:numRef>
          </c:val>
          <c:extLst>
            <c:ext xmlns:c16="http://schemas.microsoft.com/office/drawing/2014/chart" uri="{C3380CC4-5D6E-409C-BE32-E72D297353CC}">
              <c16:uniqueId val="{00000001-2493-4EA9-A23B-56B7A955352E}"/>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active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Analysis!$J$218</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Analysis!$I$219:$I$222</c:f>
              <c:strCache>
                <c:ptCount val="4"/>
                <c:pt idx="0">
                  <c:v>#HH reached by regular dedicated hygiene promotion</c:v>
                </c:pt>
                <c:pt idx="1">
                  <c:v>#HH with access to Hand Washing Station</c:v>
                </c:pt>
                <c:pt idx="2">
                  <c:v># HH received soaps</c:v>
                </c:pt>
                <c:pt idx="3">
                  <c:v># HH received Sanitary Pads</c:v>
                </c:pt>
              </c:strCache>
            </c:strRef>
          </c:cat>
          <c:val>
            <c:numRef>
              <c:f>Analysis!$J$219:$J$222</c:f>
              <c:numCache>
                <c:formatCode>0</c:formatCode>
                <c:ptCount val="4"/>
                <c:pt idx="0">
                  <c:v>10633.4</c:v>
                </c:pt>
                <c:pt idx="1">
                  <c:v>6777</c:v>
                </c:pt>
                <c:pt idx="2">
                  <c:v>5618</c:v>
                </c:pt>
                <c:pt idx="3">
                  <c:v>4017</c:v>
                </c:pt>
              </c:numCache>
            </c:numRef>
          </c:val>
          <c:extLst>
            <c:ext xmlns:c16="http://schemas.microsoft.com/office/drawing/2014/chart" uri="{C3380CC4-5D6E-409C-BE32-E72D297353CC}">
              <c16:uniqueId val="{00000000-8A12-41BD-89DE-DD9C030FDA43}"/>
            </c:ext>
          </c:extLst>
        </c:ser>
        <c:ser>
          <c:idx val="1"/>
          <c:order val="1"/>
          <c:tx>
            <c:strRef>
              <c:f>Analysis!$K$218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Analysis!$I$219:$I$222</c:f>
              <c:strCache>
                <c:ptCount val="4"/>
                <c:pt idx="0">
                  <c:v>#HH reached by regular dedicated hygiene promotion</c:v>
                </c:pt>
                <c:pt idx="1">
                  <c:v>#HH with access to Hand Washing Station</c:v>
                </c:pt>
                <c:pt idx="2">
                  <c:v># HH received soaps</c:v>
                </c:pt>
                <c:pt idx="3">
                  <c:v># HH received Sanitary Pads</c:v>
                </c:pt>
              </c:strCache>
            </c:strRef>
          </c:cat>
          <c:val>
            <c:numRef>
              <c:f>Analysis!$K$219:$K$222</c:f>
              <c:numCache>
                <c:formatCode>0</c:formatCode>
                <c:ptCount val="4"/>
                <c:pt idx="0">
                  <c:v>9730.6</c:v>
                </c:pt>
                <c:pt idx="1">
                  <c:v>13587</c:v>
                </c:pt>
                <c:pt idx="2">
                  <c:v>14746</c:v>
                </c:pt>
                <c:pt idx="3">
                  <c:v>16347</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Analysis!$B$75</c:f>
              <c:strCache>
                <c:ptCount val="1"/>
                <c:pt idx="0">
                  <c:v>Kachin</c:v>
                </c:pt>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E449-4A60-AF8D-062AC400A4E0}"/>
              </c:ext>
            </c:extLst>
          </c:dPt>
          <c:dPt>
            <c:idx val="1"/>
            <c:bubble3D val="0"/>
            <c:spPr>
              <a:solidFill>
                <a:srgbClr val="0070C0"/>
              </a:solidFill>
              <a:ln>
                <a:noFill/>
              </a:ln>
              <a:effectLst/>
            </c:spPr>
            <c:extLst>
              <c:ext xmlns:c16="http://schemas.microsoft.com/office/drawing/2014/chart" uri="{C3380CC4-5D6E-409C-BE32-E72D297353CC}">
                <c16:uniqueId val="{00000003-E449-4A60-AF8D-062AC400A4E0}"/>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E449-4A60-AF8D-062AC400A4E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Analysis!$C$74:$D$74</c:f>
              <c:strCache>
                <c:ptCount val="2"/>
                <c:pt idx="0">
                  <c:v>No Test</c:v>
                </c:pt>
                <c:pt idx="1">
                  <c:v>Tested</c:v>
                </c:pt>
              </c:strCache>
            </c:strRef>
          </c:cat>
          <c:val>
            <c:numRef>
              <c:f>Analysis!$C$75:$D$75</c:f>
              <c:numCache>
                <c:formatCode>General</c:formatCode>
                <c:ptCount val="2"/>
                <c:pt idx="0">
                  <c:v>116</c:v>
                </c:pt>
                <c:pt idx="1">
                  <c:v>19</c:v>
                </c:pt>
              </c:numCache>
            </c:numRef>
          </c:val>
          <c:extLst>
            <c:ext xmlns:c16="http://schemas.microsoft.com/office/drawing/2014/chart" uri="{C3380CC4-5D6E-409C-BE32-E72D297353CC}">
              <c16:uniqueId val="{00000004-E449-4A60-AF8D-062AC400A4E0}"/>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Analysis!$B$76</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449-4A60-AF8D-062AC400A4E0}"/>
                    </c:ext>
                  </c:extLst>
                </c:dPt>
                <c:cat>
                  <c:strRef>
                    <c:extLst>
                      <c:ext uri="{02D57815-91ED-43cb-92C2-25804820EDAC}">
                        <c15:formulaRef>
                          <c15:sqref>Analysis!$C$74:$D$74</c15:sqref>
                        </c15:formulaRef>
                      </c:ext>
                    </c:extLst>
                    <c:strCache>
                      <c:ptCount val="2"/>
                      <c:pt idx="0">
                        <c:v>No Test</c:v>
                      </c:pt>
                      <c:pt idx="1">
                        <c:v>Tested</c:v>
                      </c:pt>
                    </c:strCache>
                  </c:strRef>
                </c:cat>
                <c:val>
                  <c:numRef>
                    <c:extLst>
                      <c:ext uri="{02D57815-91ED-43cb-92C2-25804820EDAC}">
                        <c15:formulaRef>
                          <c15:sqref>Analysis!$C$76:$D$76</c15:sqref>
                        </c15:formulaRef>
                      </c:ext>
                    </c:extLst>
                    <c:numCache>
                      <c:formatCode>General</c:formatCode>
                      <c:ptCount val="2"/>
                    </c:numCache>
                  </c:numRef>
                </c:val>
                <c:extLst>
                  <c:ext xmlns:c16="http://schemas.microsoft.com/office/drawing/2014/chart" uri="{C3380CC4-5D6E-409C-BE32-E72D297353CC}">
                    <c16:uniqueId val="{00000009-E449-4A60-AF8D-062AC400A4E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Analysis!$B$77</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E449-4A60-AF8D-062AC400A4E0}"/>
                    </c:ext>
                  </c:extLst>
                </c:dPt>
                <c:cat>
                  <c:strRef>
                    <c:extLst xmlns:c15="http://schemas.microsoft.com/office/drawing/2012/chart">
                      <c:ext xmlns:c15="http://schemas.microsoft.com/office/drawing/2012/chart" uri="{02D57815-91ED-43cb-92C2-25804820EDAC}">
                        <c15:formulaRef>
                          <c15:sqref>Analysis!$C$74:$D$74</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Analysis!$C$77:$D$77</c15:sqref>
                        </c15:formulaRef>
                      </c:ext>
                    </c:extLst>
                    <c:numCache>
                      <c:formatCode>General</c:formatCode>
                      <c:ptCount val="2"/>
                      <c:pt idx="0">
                        <c:v>15</c:v>
                      </c:pt>
                      <c:pt idx="1">
                        <c:v>21</c:v>
                      </c:pt>
                    </c:numCache>
                  </c:numRef>
                </c:val>
                <c:extLst xmlns:c15="http://schemas.microsoft.com/office/drawing/2012/chart">
                  <c:ext xmlns:c16="http://schemas.microsoft.com/office/drawing/2014/chart" uri="{C3380CC4-5D6E-409C-BE32-E72D297353CC}">
                    <c16:uniqueId val="{0000000E-E449-4A60-AF8D-062AC400A4E0}"/>
                  </c:ext>
                </c:extLst>
              </c15:ser>
            </c15:filteredPieSeries>
          </c:ext>
        </c:extLst>
      </c:pieChart>
      <c:spPr>
        <a:noFill/>
        <a:ln>
          <a:noFill/>
        </a:ln>
        <a:effectLst/>
      </c:spPr>
    </c:plotArea>
    <c:legend>
      <c:legendPos val="r"/>
      <c:layout>
        <c:manualLayout>
          <c:xMode val="edge"/>
          <c:yMode val="edge"/>
          <c:x val="0.74501120571552337"/>
          <c:y val="0.47211696194225722"/>
          <c:w val="0.17463858221539794"/>
          <c:h val="0.2135785761154855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Sites</a:t>
            </a:r>
            <a:r>
              <a:rPr lang="en-US" sz="1400" baseline="0"/>
              <a:t> which made w</a:t>
            </a:r>
            <a:r>
              <a:rPr lang="en-US" sz="1400"/>
              <a:t>ater quality test</a:t>
            </a:r>
            <a:r>
              <a:rPr lang="en-US" sz="1400" baseline="0"/>
              <a:t> </a:t>
            </a:r>
          </a:p>
          <a:p>
            <a:pPr>
              <a:defRPr sz="1400"/>
            </a:pPr>
            <a:r>
              <a:rPr lang="en-US" sz="1400" baseline="0"/>
              <a:t>in Shan (North)</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2"/>
          <c:order val="2"/>
          <c:tx>
            <c:strRef>
              <c:f>Analysis!$B$77</c:f>
              <c:strCache>
                <c:ptCount val="1"/>
                <c:pt idx="0">
                  <c:v>Shan (North)</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86F1-4846-8074-E55332D46B85}"/>
              </c:ext>
            </c:extLst>
          </c:dPt>
          <c:dPt>
            <c:idx val="1"/>
            <c:bubble3D val="0"/>
            <c:spPr>
              <a:solidFill>
                <a:srgbClr val="0070C0"/>
              </a:solidFill>
              <a:ln>
                <a:noFill/>
              </a:ln>
              <a:effectLst/>
            </c:spPr>
            <c:extLst>
              <c:ext xmlns:c16="http://schemas.microsoft.com/office/drawing/2014/chart" uri="{C3380CC4-5D6E-409C-BE32-E72D297353CC}">
                <c16:uniqueId val="{00000003-86F1-4846-8074-E55332D46B85}"/>
              </c:ext>
            </c:extLst>
          </c:dPt>
          <c:dLbls>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6F1-4846-8074-E55332D46B8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Analysis!$C$74:$D$74</c:f>
              <c:strCache>
                <c:ptCount val="2"/>
                <c:pt idx="0">
                  <c:v>No Test</c:v>
                </c:pt>
                <c:pt idx="1">
                  <c:v>Tested</c:v>
                </c:pt>
              </c:strCache>
              <c:extLst xmlns:c15="http://schemas.microsoft.com/office/drawing/2012/chart"/>
            </c:strRef>
          </c:cat>
          <c:val>
            <c:numRef>
              <c:f>Analysis!$C$77:$D$77</c:f>
              <c:numCache>
                <c:formatCode>General</c:formatCode>
                <c:ptCount val="2"/>
                <c:pt idx="0">
                  <c:v>15</c:v>
                </c:pt>
                <c:pt idx="1">
                  <c:v>21</c:v>
                </c:pt>
              </c:numCache>
              <c:extLst xmlns:c15="http://schemas.microsoft.com/office/drawing/2012/chart"/>
            </c:numRef>
          </c:val>
          <c:extLst>
            <c:ext xmlns:c16="http://schemas.microsoft.com/office/drawing/2014/chart" uri="{C3380CC4-5D6E-409C-BE32-E72D297353CC}">
              <c16:uniqueId val="{00000004-86F1-4846-8074-E55332D46B8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Analysis!$B$75</c15:sqref>
                        </c15:formulaRef>
                      </c:ext>
                    </c:extLst>
                    <c:strCache>
                      <c:ptCount val="1"/>
                      <c:pt idx="0">
                        <c:v>Kachin</c:v>
                      </c:pt>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86F1-4846-8074-E55332D46B85}"/>
                    </c:ext>
                  </c:extLst>
                </c:dPt>
                <c:dPt>
                  <c:idx val="1"/>
                  <c:bubble3D val="0"/>
                  <c:spPr>
                    <a:solidFill>
                      <a:srgbClr val="0070C0"/>
                    </a:solidFill>
                    <a:ln>
                      <a:noFill/>
                    </a:ln>
                    <a:effectLst/>
                  </c:spPr>
                  <c:extLst>
                    <c:ext xmlns:c16="http://schemas.microsoft.com/office/drawing/2014/chart" uri="{C3380CC4-5D6E-409C-BE32-E72D297353CC}">
                      <c16:uniqueId val="{00000008-86F1-4846-8074-E55332D46B85}"/>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86F1-4846-8074-E55332D46B85}"/>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86F1-4846-8074-E55332D46B8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Analysis!$C$74:$D$74</c15:sqref>
                        </c15:formulaRef>
                      </c:ext>
                    </c:extLst>
                    <c:strCache>
                      <c:ptCount val="2"/>
                      <c:pt idx="0">
                        <c:v>No Test</c:v>
                      </c:pt>
                      <c:pt idx="1">
                        <c:v>Tested</c:v>
                      </c:pt>
                    </c:strCache>
                  </c:strRef>
                </c:cat>
                <c:val>
                  <c:numRef>
                    <c:extLst>
                      <c:ext uri="{02D57815-91ED-43cb-92C2-25804820EDAC}">
                        <c15:formulaRef>
                          <c15:sqref>Analysis!$C$75:$D$75</c15:sqref>
                        </c15:formulaRef>
                      </c:ext>
                    </c:extLst>
                    <c:numCache>
                      <c:formatCode>General</c:formatCode>
                      <c:ptCount val="2"/>
                      <c:pt idx="0">
                        <c:v>116</c:v>
                      </c:pt>
                      <c:pt idx="1">
                        <c:v>19</c:v>
                      </c:pt>
                    </c:numCache>
                  </c:numRef>
                </c:val>
                <c:extLst>
                  <c:ext xmlns:c16="http://schemas.microsoft.com/office/drawing/2014/chart" uri="{C3380CC4-5D6E-409C-BE32-E72D297353CC}">
                    <c16:uniqueId val="{00000009-86F1-4846-8074-E55332D46B8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Analysis!$B$76</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6F1-4846-8074-E55332D46B8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86F1-4846-8074-E55332D46B85}"/>
                    </c:ext>
                  </c:extLst>
                </c:dPt>
                <c:cat>
                  <c:strRef>
                    <c:extLst xmlns:c15="http://schemas.microsoft.com/office/drawing/2012/chart">
                      <c:ext xmlns:c15="http://schemas.microsoft.com/office/drawing/2012/chart" uri="{02D57815-91ED-43cb-92C2-25804820EDAC}">
                        <c15:formulaRef>
                          <c15:sqref>Analysis!$C$74:$D$74</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Analysis!$C$76:$D$76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86F1-4846-8074-E55332D46B85}"/>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a functional excreta disposal system, reducing safety/public health/environmental risks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99611433187358"/>
          <c:y val="0.19293936967452446"/>
          <c:w val="0.7620820099429455"/>
          <c:h val="0.58049472233895127"/>
        </c:manualLayout>
      </c:layout>
      <c:barChart>
        <c:barDir val="bar"/>
        <c:grouping val="percentStacked"/>
        <c:varyColors val="0"/>
        <c:ser>
          <c:idx val="1"/>
          <c:order val="1"/>
          <c:tx>
            <c:strRef>
              <c:f>HRP!$D$67</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HRP!$B$68:$B$71</c:f>
              <c:strCache>
                <c:ptCount val="2"/>
                <c:pt idx="0">
                  <c:v> Kachin </c:v>
                </c:pt>
                <c:pt idx="1">
                  <c:v> Shan (North) </c:v>
                </c:pt>
              </c:strCache>
            </c:strRef>
          </c:cat>
          <c:val>
            <c:numRef>
              <c:f>HRP!$D$68:$D$71</c:f>
              <c:numCache>
                <c:formatCode>_(* #,##0_);_(* \(#,##0\);_(* "-"??_);_(@_)</c:formatCode>
                <c:ptCount val="2"/>
                <c:pt idx="0">
                  <c:v>68866</c:v>
                </c:pt>
                <c:pt idx="1">
                  <c:v>12343</c:v>
                </c:pt>
              </c:numCache>
            </c:numRef>
          </c:val>
          <c:extLst>
            <c:ext xmlns:c16="http://schemas.microsoft.com/office/drawing/2014/chart" uri="{C3380CC4-5D6E-409C-BE32-E72D297353CC}">
              <c16:uniqueId val="{00000001-BE9A-4C55-91C4-9996C6CCA354}"/>
            </c:ext>
          </c:extLst>
        </c:ser>
        <c:ser>
          <c:idx val="2"/>
          <c:order val="2"/>
          <c:tx>
            <c:strRef>
              <c:f>HRP!$E$67</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HRP!$B$68:$B$71</c:f>
              <c:strCache>
                <c:ptCount val="2"/>
                <c:pt idx="0">
                  <c:v> Kachin </c:v>
                </c:pt>
                <c:pt idx="1">
                  <c:v> Shan (North) </c:v>
                </c:pt>
              </c:strCache>
            </c:strRef>
          </c:cat>
          <c:val>
            <c:numRef>
              <c:f>HRP!$E$68:$E$71</c:f>
              <c:numCache>
                <c:formatCode>_(* #,##0_);_(* \(#,##0\);_(* "-"??_);_(@_)</c:formatCode>
                <c:ptCount val="2"/>
                <c:pt idx="0">
                  <c:v>33108</c:v>
                </c:pt>
                <c:pt idx="1">
                  <c:v>2795</c:v>
                </c:pt>
              </c:numCache>
            </c:numRef>
          </c:val>
          <c:extLst>
            <c:ext xmlns:c16="http://schemas.microsoft.com/office/drawing/2014/chart" uri="{C3380CC4-5D6E-409C-BE32-E72D297353CC}">
              <c16:uniqueId val="{00000002-BE9A-4C55-91C4-9996C6CCA354}"/>
            </c:ext>
          </c:extLst>
        </c:ser>
        <c:dLbls>
          <c:showLegendKey val="0"/>
          <c:showVal val="0"/>
          <c:showCatName val="0"/>
          <c:showSerName val="0"/>
          <c:showPercent val="0"/>
          <c:showBubbleSize val="0"/>
        </c:dLbls>
        <c:gapWidth val="150"/>
        <c:overlap val="100"/>
        <c:axId val="390219480"/>
        <c:axId val="390217128"/>
        <c:extLst>
          <c:ext xmlns:c15="http://schemas.microsoft.com/office/drawing/2012/chart" uri="{02D57815-91ED-43cb-92C2-25804820EDAC}">
            <c15:filteredBarSeries>
              <c15:ser>
                <c:idx val="0"/>
                <c:order val="0"/>
                <c:tx>
                  <c:strRef>
                    <c:extLst>
                      <c:ext uri="{02D57815-91ED-43cb-92C2-25804820EDAC}">
                        <c15:formulaRef>
                          <c15:sqref>HRP!$C$67</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c:ext uri="{02D57815-91ED-43cb-92C2-25804820EDAC}">
                        <c15:formulaRef>
                          <c15:sqref>HRP!$B$68:$B$71</c15:sqref>
                        </c15:formulaRef>
                      </c:ext>
                    </c:extLst>
                    <c:strCache>
                      <c:ptCount val="2"/>
                      <c:pt idx="0">
                        <c:v> Kachin </c:v>
                      </c:pt>
                      <c:pt idx="1">
                        <c:v> Shan (North) </c:v>
                      </c:pt>
                    </c:strCache>
                  </c:strRef>
                </c:cat>
                <c:val>
                  <c:numRef>
                    <c:extLst>
                      <c:ext uri="{02D57815-91ED-43cb-92C2-25804820EDAC}">
                        <c15:formulaRef>
                          <c15:sqref>HRP!$C$68:$C$71</c15:sqref>
                        </c15:formulaRef>
                      </c:ext>
                    </c:extLst>
                    <c:numCache>
                      <c:formatCode>_(* #,##0_);_(* \(#,##0\);_(* "-"??_);_(@_)</c:formatCode>
                      <c:ptCount val="2"/>
                      <c:pt idx="0">
                        <c:v>101974</c:v>
                      </c:pt>
                      <c:pt idx="1">
                        <c:v>15138</c:v>
                      </c:pt>
                    </c:numCache>
                  </c:numRef>
                </c:val>
                <c:extLst>
                  <c:ext xmlns:c16="http://schemas.microsoft.com/office/drawing/2014/chart" uri="{C3380CC4-5D6E-409C-BE32-E72D297353CC}">
                    <c16:uniqueId val="{00000000-BE9A-4C55-91C4-9996C6CCA354}"/>
                  </c:ext>
                </c:extLst>
              </c15:ser>
            </c15:filteredBarSeries>
          </c:ext>
        </c:extLst>
      </c:barChart>
      <c:catAx>
        <c:axId val="390219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7128"/>
        <c:crosses val="autoZero"/>
        <c:auto val="1"/>
        <c:lblAlgn val="ctr"/>
        <c:lblOffset val="100"/>
        <c:noMultiLvlLbl val="0"/>
      </c:catAx>
      <c:valAx>
        <c:axId val="39021712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WASH in TLS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Analysis!$D$363</c:f>
              <c:strCache>
                <c:ptCount val="1"/>
                <c:pt idx="0">
                  <c:v> # of hand washing stations with sufficient soap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Analysis!$C$364:$C$366</c15:sqref>
                  </c15:fullRef>
                </c:ext>
              </c:extLst>
              <c:f>(Analysis!$C$364,Analysis!$C$366)</c:f>
              <c:strCache>
                <c:ptCount val="2"/>
                <c:pt idx="0">
                  <c:v>Kachin</c:v>
                </c:pt>
                <c:pt idx="1">
                  <c:v>Shan (North)</c:v>
                </c:pt>
              </c:strCache>
            </c:strRef>
          </c:cat>
          <c:val>
            <c:numRef>
              <c:extLst>
                <c:ext xmlns:c15="http://schemas.microsoft.com/office/drawing/2012/chart" uri="{02D57815-91ED-43cb-92C2-25804820EDAC}">
                  <c15:fullRef>
                    <c15:sqref>Analysis!$D$364:$D$366</c15:sqref>
                  </c15:fullRef>
                </c:ext>
              </c:extLst>
              <c:f>(Analysis!$D$364,Analysis!$D$366)</c:f>
              <c:numCache>
                <c:formatCode>_(* #,##0_);_(* \(#,##0\);_(* "-"??_);_(@_)</c:formatCode>
                <c:ptCount val="2"/>
                <c:pt idx="0">
                  <c:v>94</c:v>
                </c:pt>
                <c:pt idx="1">
                  <c:v>0</c:v>
                </c:pt>
              </c:numCache>
            </c:numRef>
          </c:val>
          <c:extLst>
            <c:ext xmlns:c16="http://schemas.microsoft.com/office/drawing/2014/chart" uri="{C3380CC4-5D6E-409C-BE32-E72D297353CC}">
              <c16:uniqueId val="{00000000-1F90-4947-B704-CECBAFE22087}"/>
            </c:ext>
          </c:extLst>
        </c:ser>
        <c:ser>
          <c:idx val="1"/>
          <c:order val="1"/>
          <c:tx>
            <c:strRef>
              <c:f>Analysis!$F$363</c:f>
              <c:strCache>
                <c:ptCount val="1"/>
                <c:pt idx="0">
                  <c:v># Hygiene Promotion activities (sessions) in TLS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Analysis!$C$364:$C$366</c15:sqref>
                  </c15:fullRef>
                </c:ext>
              </c:extLst>
              <c:f>(Analysis!$C$364,Analysis!$C$366)</c:f>
              <c:strCache>
                <c:ptCount val="2"/>
                <c:pt idx="0">
                  <c:v>Kachin</c:v>
                </c:pt>
                <c:pt idx="1">
                  <c:v>Shan (North)</c:v>
                </c:pt>
              </c:strCache>
            </c:strRef>
          </c:cat>
          <c:val>
            <c:numRef>
              <c:extLst>
                <c:ext xmlns:c15="http://schemas.microsoft.com/office/drawing/2012/chart" uri="{02D57815-91ED-43cb-92C2-25804820EDAC}">
                  <c15:fullRef>
                    <c15:sqref>Analysis!$F$364:$F$366</c15:sqref>
                  </c15:fullRef>
                </c:ext>
              </c:extLst>
              <c:f>(Analysis!$F$364,Analysis!$F$366)</c:f>
              <c:numCache>
                <c:formatCode>_(* #,##0_);_(* \(#,##0\);_(* "-"??_);_(@_)</c:formatCode>
                <c:ptCount val="2"/>
                <c:pt idx="0">
                  <c:v>38</c:v>
                </c:pt>
                <c:pt idx="1">
                  <c:v>87</c:v>
                </c:pt>
              </c:numCache>
            </c:numRef>
          </c:val>
          <c:extLst>
            <c:ext xmlns:c16="http://schemas.microsoft.com/office/drawing/2014/chart" uri="{C3380CC4-5D6E-409C-BE32-E72D297353CC}">
              <c16:uniqueId val="{00000001-1F90-4947-B704-CECBAFE22087}"/>
            </c:ext>
          </c:extLst>
        </c:ser>
        <c:ser>
          <c:idx val="2"/>
          <c:order val="2"/>
          <c:tx>
            <c:strRef>
              <c:f>Analysis!$G$363</c:f>
              <c:strCache>
                <c:ptCount val="1"/>
                <c:pt idx="0">
                  <c:v> # of latrines in TLS (schools)</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Analysis!$C$364:$C$366</c15:sqref>
                  </c15:fullRef>
                </c:ext>
              </c:extLst>
              <c:f>(Analysis!$C$364,Analysis!$C$366)</c:f>
              <c:strCache>
                <c:ptCount val="2"/>
                <c:pt idx="0">
                  <c:v>Kachin</c:v>
                </c:pt>
                <c:pt idx="1">
                  <c:v>Shan (North)</c:v>
                </c:pt>
              </c:strCache>
            </c:strRef>
          </c:cat>
          <c:val>
            <c:numRef>
              <c:extLst>
                <c:ext xmlns:c15="http://schemas.microsoft.com/office/drawing/2012/chart" uri="{02D57815-91ED-43cb-92C2-25804820EDAC}">
                  <c15:fullRef>
                    <c15:sqref>Analysis!$G$364:$G$366</c15:sqref>
                  </c15:fullRef>
                </c:ext>
              </c:extLst>
              <c:f>(Analysis!$G$364,Analysis!$G$366)</c:f>
              <c:numCache>
                <c:formatCode>_(* #,##0_);_(* \(#,##0\);_(* "-"??_);_(@_)</c:formatCode>
                <c:ptCount val="2"/>
                <c:pt idx="0">
                  <c:v>170</c:v>
                </c:pt>
                <c:pt idx="1">
                  <c:v>6</c:v>
                </c:pt>
              </c:numCache>
            </c:numRef>
          </c:val>
          <c:extLst>
            <c:ext xmlns:c16="http://schemas.microsoft.com/office/drawing/2014/chart" uri="{C3380CC4-5D6E-409C-BE32-E72D297353CC}">
              <c16:uniqueId val="{00000002-1F90-4947-B704-CECBAFE22087}"/>
            </c:ext>
          </c:extLst>
        </c:ser>
        <c:ser>
          <c:idx val="3"/>
          <c:order val="3"/>
          <c:tx>
            <c:strRef>
              <c:f>Analysis!$E$363</c:f>
              <c:strCache>
                <c:ptCount val="1"/>
                <c:pt idx="0">
                  <c:v> # of hand washing stations for TLS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Analysis!$C$364:$C$366</c15:sqref>
                  </c15:fullRef>
                </c:ext>
              </c:extLst>
              <c:f>(Analysis!$C$364,Analysis!$C$366)</c:f>
              <c:strCache>
                <c:ptCount val="2"/>
                <c:pt idx="0">
                  <c:v>Kachin</c:v>
                </c:pt>
                <c:pt idx="1">
                  <c:v>Shan (North)</c:v>
                </c:pt>
              </c:strCache>
            </c:strRef>
          </c:cat>
          <c:val>
            <c:numRef>
              <c:extLst>
                <c:ext xmlns:c15="http://schemas.microsoft.com/office/drawing/2012/chart" uri="{02D57815-91ED-43cb-92C2-25804820EDAC}">
                  <c15:fullRef>
                    <c15:sqref>Analysis!$E$364:$E$366</c15:sqref>
                  </c15:fullRef>
                </c:ext>
              </c:extLst>
              <c:f>(Analysis!$E$364,Analysis!$E$366)</c:f>
              <c:numCache>
                <c:formatCode>_(* #,##0_);_(* \(#,##0\);_(* "-"??_);_(@_)</c:formatCode>
                <c:ptCount val="2"/>
                <c:pt idx="0">
                  <c:v>137</c:v>
                </c:pt>
                <c:pt idx="1">
                  <c:v>1</c:v>
                </c:pt>
              </c:numCache>
            </c:numRef>
          </c:val>
          <c:extLst>
            <c:ext xmlns:c16="http://schemas.microsoft.com/office/drawing/2014/chart" uri="{C3380CC4-5D6E-409C-BE32-E72D297353CC}">
              <c16:uniqueId val="{00000000-F638-439C-8171-FB88F5974E7C}"/>
            </c:ext>
          </c:extLst>
        </c:ser>
        <c:dLbls>
          <c:showLegendKey val="0"/>
          <c:showVal val="0"/>
          <c:showCatName val="0"/>
          <c:showSerName val="0"/>
          <c:showPercent val="0"/>
          <c:showBubbleSize val="0"/>
        </c:dLbls>
        <c:gapWidth val="100"/>
        <c:overlap val="-24"/>
        <c:axId val="395281440"/>
        <c:axId val="395451992"/>
      </c:barChart>
      <c:catAx>
        <c:axId val="3952814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1992"/>
        <c:crosses val="autoZero"/>
        <c:auto val="1"/>
        <c:lblAlgn val="ctr"/>
        <c:lblOffset val="100"/>
        <c:noMultiLvlLbl val="0"/>
      </c:catAx>
      <c:valAx>
        <c:axId val="39545199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Analysis!$B$137</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Analysis!$C$137:$D$137</c:f>
              <c:numCache>
                <c:formatCode>_(* #,##0_);_(* \(#,##0\);_(* "-"??_);_(@_)</c:formatCode>
                <c:ptCount val="2"/>
                <c:pt idx="0">
                  <c:v>2044</c:v>
                </c:pt>
                <c:pt idx="1">
                  <c:v>3194</c:v>
                </c:pt>
              </c:numCache>
            </c:numRef>
          </c:val>
          <c:extLst>
            <c:ext xmlns:c16="http://schemas.microsoft.com/office/drawing/2014/chart" uri="{C3380CC4-5D6E-409C-BE32-E72D297353CC}">
              <c16:uniqueId val="{00000000-11DD-45FB-9A7E-843D5E549A65}"/>
            </c:ext>
          </c:extLst>
        </c:ser>
        <c:ser>
          <c:idx val="1"/>
          <c:order val="1"/>
          <c:tx>
            <c:strRef>
              <c:f>Analysis!$B$138</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Analysis!$C$138:$D$138</c:f>
              <c:numCache>
                <c:formatCode>_(* #,##0_);_(* \(#,##0\);_(* "-"??_);_(@_)</c:formatCode>
                <c:ptCount val="2"/>
                <c:pt idx="0">
                  <c:v>603</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Analysis!$B$139</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Analysis!$C$139:$D$139</c:f>
              <c:numCache>
                <c:formatCode>_(* #,##0_);_(* \(#,##0\);_(* "-"??_);_(@_)</c:formatCode>
                <c:ptCount val="2"/>
                <c:pt idx="0">
                  <c:v>755</c:v>
                </c:pt>
                <c:pt idx="1">
                  <c:v>800</c:v>
                </c:pt>
              </c:numCache>
            </c:numRef>
          </c:val>
          <c:extLst>
            <c:ext xmlns:c16="http://schemas.microsoft.com/office/drawing/2014/chart" uri="{C3380CC4-5D6E-409C-BE32-E72D297353CC}">
              <c16:uniqueId val="{00000000-EDB8-4005-B0CC-AA882CBF326D}"/>
            </c:ext>
          </c:extLst>
        </c:ser>
        <c:ser>
          <c:idx val="3"/>
          <c:order val="3"/>
          <c:tx>
            <c:strRef>
              <c:f>Analysis!$B$140</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Analysis!$C$140:$D$140</c:f>
              <c:numCache>
                <c:formatCode>_(* #,##0_);_(* \(#,##0\);_(* "-"??_);_(@_)</c:formatCode>
                <c:ptCount val="2"/>
                <c:pt idx="0">
                  <c:v>1892</c:v>
                </c:pt>
                <c:pt idx="1">
                  <c:v>2394</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Analysis!$B$137</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Analysis!$C$136:$D$136</c15:sqref>
                        </c15:formulaRef>
                      </c:ext>
                    </c:extLst>
                    <c:strCache>
                      <c:ptCount val="2"/>
                      <c:pt idx="0">
                        <c:v> # in GCA (20:1) </c:v>
                      </c:pt>
                      <c:pt idx="1">
                        <c:v> # in NGCA (20:1) </c:v>
                      </c:pt>
                    </c:strCache>
                  </c:strRef>
                </c:cat>
                <c:val>
                  <c:numRef>
                    <c:extLst>
                      <c:ext uri="{02D57815-91ED-43cb-92C2-25804820EDAC}">
                        <c15:formulaRef>
                          <c15:sqref>Analysis!$C$137:$D$137</c15:sqref>
                        </c15:formulaRef>
                      </c:ext>
                    </c:extLst>
                    <c:numCache>
                      <c:formatCode>_(* #,##0_);_(* \(#,##0\);_(* "-"??_);_(@_)</c:formatCode>
                      <c:ptCount val="2"/>
                      <c:pt idx="0">
                        <c:v>2044</c:v>
                      </c:pt>
                      <c:pt idx="1">
                        <c:v>3194</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Analysis!$B$138</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Analysis!$C$136:$D$136</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Analysis!$C$138:$D$138</c15:sqref>
                        </c15:formulaRef>
                      </c:ext>
                    </c:extLst>
                    <c:numCache>
                      <c:formatCode>_(* #,##0_);_(* \(#,##0\);_(* "-"??_);_(@_)</c:formatCode>
                      <c:ptCount val="2"/>
                      <c:pt idx="0">
                        <c:v>603</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Analysis!$B$141</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Analysis!$C$141:$D$141</c:f>
              <c:numCache>
                <c:formatCode>_(* #,##0_);_(* \(#,##0\);_(* "-"??_);_(@_)</c:formatCode>
                <c:ptCount val="2"/>
                <c:pt idx="0">
                  <c:v>80</c:v>
                </c:pt>
                <c:pt idx="1">
                  <c:v>63</c:v>
                </c:pt>
              </c:numCache>
            </c:numRef>
          </c:val>
          <c:extLst>
            <c:ext xmlns:c16="http://schemas.microsoft.com/office/drawing/2014/chart" uri="{C3380CC4-5D6E-409C-BE32-E72D297353CC}">
              <c16:uniqueId val="{00000000-177F-4830-A166-C2511012B919}"/>
            </c:ext>
          </c:extLst>
        </c:ser>
        <c:ser>
          <c:idx val="1"/>
          <c:order val="1"/>
          <c:tx>
            <c:strRef>
              <c:f>Analysis!$B$142</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Analysis!$C$142:$D$142</c:f>
              <c:numCache>
                <c:formatCode>_(* #,##0_);_(* \(#,##0\);_(* "-"??_);_(@_)</c:formatCode>
                <c:ptCount val="2"/>
                <c:pt idx="0">
                  <c:v>565</c:v>
                </c:pt>
                <c:pt idx="1">
                  <c:v>21</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E5B6-42BD-AEB1-651CA93AFD8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4.5203193350831145E-2"/>
                  <c:y val="5.557414698162729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E5B6-42BD-AEB1-651CA93AFD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Analysis!$F$137:$F$139</c:f>
              <c:strCache>
                <c:ptCount val="3"/>
                <c:pt idx="0">
                  <c:v>Functioning</c:v>
                </c:pt>
                <c:pt idx="1">
                  <c:v>Operation &amp; maintenance</c:v>
                </c:pt>
                <c:pt idx="2">
                  <c:v>Desludging</c:v>
                </c:pt>
              </c:strCache>
            </c:strRef>
          </c:cat>
          <c:val>
            <c:numRef>
              <c:f>Analysis!$G$137:$G$139</c:f>
              <c:numCache>
                <c:formatCode>_(* #,##0_);_(* \(#,##0\);_(* "-"??_);_(@_)</c:formatCode>
                <c:ptCount val="3"/>
                <c:pt idx="0" formatCode="General">
                  <c:v>5238</c:v>
                </c:pt>
                <c:pt idx="1">
                  <c:v>143</c:v>
                </c:pt>
                <c:pt idx="2" formatCode="General">
                  <c:v>586</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Analysis!$J$136</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_(* #,##0_);_(* \(#,##0\);_(* "-"??_);_(@_)</c:formatCode>
                <c:ptCount val="1"/>
                <c:pt idx="0">
                  <c:v>1535</c:v>
                </c:pt>
              </c:numCache>
            </c:numRef>
          </c:val>
          <c:extLst>
            <c:ext xmlns:c16="http://schemas.microsoft.com/office/drawing/2014/chart" uri="{C3380CC4-5D6E-409C-BE32-E72D297353CC}">
              <c16:uniqueId val="{00000000-5769-47EB-833D-C7F3A5603476}"/>
            </c:ext>
          </c:extLst>
        </c:ser>
        <c:ser>
          <c:idx val="1"/>
          <c:order val="1"/>
          <c:tx>
            <c:strRef>
              <c:f>Analysis!$J$137</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Analysis!$K$137:$L$137</c15:sqref>
                  </c15:fullRef>
                </c:ext>
              </c:extLst>
              <c:f>Analysis!$K$137</c:f>
              <c:numCache>
                <c:formatCode>_(* #,##0_);_(* \(#,##0\);_(* "-"??_);_(@_)</c:formatCode>
                <c:ptCount val="1"/>
                <c:pt idx="0">
                  <c:v>16</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Analysis!$J$138</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Analysis!$K$138:$L$138</c15:sqref>
                  </c15:fullRef>
                </c:ext>
              </c:extLst>
              <c:f>Analysis!$K$138</c:f>
              <c:numCache>
                <c:formatCode>_(* #,##0_);_(* \(#,##0\);_(* "-"??_);_(@_)</c:formatCode>
                <c:ptCount val="1"/>
                <c:pt idx="0">
                  <c:v>0</c:v>
                </c:pt>
              </c:numCache>
            </c:numRef>
          </c:val>
          <c:extLst>
            <c:ext xmlns:c16="http://schemas.microsoft.com/office/drawing/2014/chart" uri="{C3380CC4-5D6E-409C-BE32-E72D297353CC}">
              <c16:uniqueId val="{00000000-56C5-41B0-B00A-3A7F63BCC9E4}"/>
            </c:ext>
          </c:extLst>
        </c:ser>
        <c:ser>
          <c:idx val="1"/>
          <c:order val="1"/>
          <c:tx>
            <c:strRef>
              <c:f>Analysis!$J$139</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Analysis!$K$139:$L$139</c15:sqref>
                  </c15:fullRef>
                </c:ext>
              </c:extLst>
              <c:f>Analysis!$K$139</c:f>
              <c:numCache>
                <c:formatCode>_(* #,##0_);_(* \(#,##0\);_(* "-"??_);_(@_)</c:formatCode>
                <c:ptCount val="1"/>
                <c:pt idx="0">
                  <c:v>1551</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Analysis!$J$140</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9FE9-441B-9A48-D7084E66B90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_(* #,##0_);_(* \(#,##0\);_(* "-"??_);_(@_)</c:formatCode>
                <c:ptCount val="1"/>
                <c:pt idx="0">
                  <c:v>51</c:v>
                </c:pt>
              </c:numCache>
            </c:numRef>
          </c:val>
          <c:extLst>
            <c:ext xmlns:c16="http://schemas.microsoft.com/office/drawing/2014/chart" uri="{C3380CC4-5D6E-409C-BE32-E72D297353CC}">
              <c16:uniqueId val="{00000000-33CE-4B6D-9AB7-C8657740D81A}"/>
            </c:ext>
          </c:extLst>
        </c:ser>
        <c:ser>
          <c:idx val="1"/>
          <c:order val="1"/>
          <c:tx>
            <c:strRef>
              <c:f>Analysis!$J$141</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Analysis!$K$141:$L$141</c15:sqref>
                  </c15:fullRef>
                </c:ext>
              </c:extLst>
              <c:f>Analysis!$K$141</c:f>
              <c:numCache>
                <c:formatCode>_(* #,##0_);_(* \(#,##0\);_(* "-"??_);_(@_)</c:formatCode>
                <c:ptCount val="1"/>
                <c:pt idx="0">
                  <c:v>10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dLbl>
              <c:idx val="2"/>
              <c:layout>
                <c:manualLayout>
                  <c:x val="8.8456911636045493E-3"/>
                  <c:y val="6.625218722659667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Analysis!$N$135:$N$137</c:f>
              <c:strCache>
                <c:ptCount val="3"/>
                <c:pt idx="0">
                  <c:v>Functioning</c:v>
                </c:pt>
                <c:pt idx="1">
                  <c:v># Operation &amp; maintenance</c:v>
                </c:pt>
                <c:pt idx="2">
                  <c:v>Desludging</c:v>
                </c:pt>
              </c:strCache>
            </c:strRef>
          </c:cat>
          <c:val>
            <c:numRef>
              <c:f>Analysis!$O$135:$O$137</c:f>
              <c:numCache>
                <c:formatCode>_(* #,##0_);_(* \(#,##0\);_(* "-"??_);_(@_)</c:formatCode>
                <c:ptCount val="3"/>
                <c:pt idx="0">
                  <c:v>1535</c:v>
                </c:pt>
                <c:pt idx="1">
                  <c:v>51</c:v>
                </c:pt>
                <c:pt idx="2">
                  <c:v>10</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Analysis!$C$364</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70B3-445E-A388-5E77EED1F4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Analysis!$D$363:$H$363</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Analysis!$D$364:$H$364</c:f>
              <c:numCache>
                <c:formatCode>_(* #,##0_);_(* \(#,##0\);_(* "-"??_);_(@_)</c:formatCode>
                <c:ptCount val="5"/>
                <c:pt idx="0">
                  <c:v>94</c:v>
                </c:pt>
                <c:pt idx="1">
                  <c:v>137</c:v>
                </c:pt>
                <c:pt idx="2">
                  <c:v>38</c:v>
                </c:pt>
                <c:pt idx="3">
                  <c:v>170</c:v>
                </c:pt>
                <c:pt idx="4">
                  <c:v>37</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timely/adequate/tailored personal hygiene items and receiving appropriate/ community tailored messages that enable health seeking behavior</a:t>
            </a:r>
          </a:p>
        </c:rich>
      </c:tx>
      <c:layout>
        <c:manualLayout>
          <c:xMode val="edge"/>
          <c:yMode val="edge"/>
          <c:x val="0.13180928042000772"/>
          <c:y val="4.788813332056316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512356211607784"/>
          <c:y val="0.21587074342979853"/>
          <c:w val="0.80948758650145791"/>
          <c:h val="0.57773696848499989"/>
        </c:manualLayout>
      </c:layout>
      <c:barChart>
        <c:barDir val="bar"/>
        <c:grouping val="percentStacked"/>
        <c:varyColors val="0"/>
        <c:ser>
          <c:idx val="1"/>
          <c:order val="1"/>
          <c:tx>
            <c:strRef>
              <c:f>HRP!$D$78</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HRP!$B$79:$B$82</c:f>
              <c:strCache>
                <c:ptCount val="2"/>
                <c:pt idx="0">
                  <c:v> Kachin </c:v>
                </c:pt>
                <c:pt idx="1">
                  <c:v> Shan (North) </c:v>
                </c:pt>
              </c:strCache>
            </c:strRef>
          </c:cat>
          <c:val>
            <c:numRef>
              <c:f>HRP!$D$79:$D$82</c:f>
              <c:numCache>
                <c:formatCode>_(* #,##0_);_(* \(#,##0\);_(* "-"??_);_(@_)</c:formatCode>
                <c:ptCount val="2"/>
                <c:pt idx="0">
                  <c:v>69692</c:v>
                </c:pt>
                <c:pt idx="1">
                  <c:v>13628</c:v>
                </c:pt>
              </c:numCache>
            </c:numRef>
          </c:val>
          <c:extLst>
            <c:ext xmlns:c16="http://schemas.microsoft.com/office/drawing/2014/chart" uri="{C3380CC4-5D6E-409C-BE32-E72D297353CC}">
              <c16:uniqueId val="{00000001-DB15-4E31-852A-C011D1892EB1}"/>
            </c:ext>
          </c:extLst>
        </c:ser>
        <c:ser>
          <c:idx val="2"/>
          <c:order val="2"/>
          <c:tx>
            <c:strRef>
              <c:f>HRP!$E$78</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HRP!$B$79:$B$82</c:f>
              <c:strCache>
                <c:ptCount val="2"/>
                <c:pt idx="0">
                  <c:v> Kachin </c:v>
                </c:pt>
                <c:pt idx="1">
                  <c:v> Shan (North) </c:v>
                </c:pt>
              </c:strCache>
            </c:strRef>
          </c:cat>
          <c:val>
            <c:numRef>
              <c:f>HRP!$E$79:$E$82</c:f>
              <c:numCache>
                <c:formatCode>_(* #,##0_);_(* \(#,##0\);_(* "-"??_);_(@_)</c:formatCode>
                <c:ptCount val="2"/>
                <c:pt idx="0">
                  <c:v>32282</c:v>
                </c:pt>
                <c:pt idx="1">
                  <c:v>1510</c:v>
                </c:pt>
              </c:numCache>
            </c:numRef>
          </c:val>
          <c:extLst>
            <c:ext xmlns:c16="http://schemas.microsoft.com/office/drawing/2014/chart" uri="{C3380CC4-5D6E-409C-BE32-E72D297353CC}">
              <c16:uniqueId val="{00000002-DB15-4E31-852A-C011D1892EB1}"/>
            </c:ext>
          </c:extLst>
        </c:ser>
        <c:dLbls>
          <c:showLegendKey val="0"/>
          <c:showVal val="0"/>
          <c:showCatName val="0"/>
          <c:showSerName val="0"/>
          <c:showPercent val="0"/>
          <c:showBubbleSize val="0"/>
        </c:dLbls>
        <c:gapWidth val="150"/>
        <c:overlap val="100"/>
        <c:axId val="390218696"/>
        <c:axId val="390219088"/>
        <c:extLst>
          <c:ext xmlns:c15="http://schemas.microsoft.com/office/drawing/2012/chart" uri="{02D57815-91ED-43cb-92C2-25804820EDAC}">
            <c15:filteredBarSeries>
              <c15:ser>
                <c:idx val="0"/>
                <c:order val="0"/>
                <c:tx>
                  <c:strRef>
                    <c:extLst>
                      <c:ext uri="{02D57815-91ED-43cb-92C2-25804820EDAC}">
                        <c15:formulaRef>
                          <c15:sqref>HRP!$C$78</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c:ext uri="{02D57815-91ED-43cb-92C2-25804820EDAC}">
                        <c15:formulaRef>
                          <c15:sqref>HRP!$B$79:$B$82</c15:sqref>
                        </c15:formulaRef>
                      </c:ext>
                    </c:extLst>
                    <c:strCache>
                      <c:ptCount val="2"/>
                      <c:pt idx="0">
                        <c:v> Kachin </c:v>
                      </c:pt>
                      <c:pt idx="1">
                        <c:v> Shan (North) </c:v>
                      </c:pt>
                    </c:strCache>
                  </c:strRef>
                </c:cat>
                <c:val>
                  <c:numRef>
                    <c:extLst>
                      <c:ext uri="{02D57815-91ED-43cb-92C2-25804820EDAC}">
                        <c15:formulaRef>
                          <c15:sqref>HRP!$C$79:$C$82</c15:sqref>
                        </c15:formulaRef>
                      </c:ext>
                    </c:extLst>
                    <c:numCache>
                      <c:formatCode>_(* #,##0_);_(* \(#,##0\);_(* "-"??_);_(@_)</c:formatCode>
                      <c:ptCount val="2"/>
                      <c:pt idx="0">
                        <c:v>101974</c:v>
                      </c:pt>
                      <c:pt idx="1">
                        <c:v>15138</c:v>
                      </c:pt>
                    </c:numCache>
                  </c:numRef>
                </c:val>
                <c:extLst>
                  <c:ext xmlns:c16="http://schemas.microsoft.com/office/drawing/2014/chart" uri="{C3380CC4-5D6E-409C-BE32-E72D297353CC}">
                    <c16:uniqueId val="{00000000-DB15-4E31-852A-C011D1892EB1}"/>
                  </c:ext>
                </c:extLst>
              </c15:ser>
            </c15:filteredBarSeries>
          </c:ext>
        </c:extLst>
      </c:barChart>
      <c:catAx>
        <c:axId val="3902186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088"/>
        <c:crosses val="autoZero"/>
        <c:auto val="1"/>
        <c:lblAlgn val="ctr"/>
        <c:lblOffset val="100"/>
        <c:noMultiLvlLbl val="0"/>
      </c:catAx>
      <c:valAx>
        <c:axId val="3902190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8696"/>
        <c:crosses val="autoZero"/>
        <c:crossBetween val="between"/>
      </c:valAx>
      <c:spPr>
        <a:noFill/>
        <a:ln>
          <a:noFill/>
        </a:ln>
        <a:effectLst/>
      </c:spPr>
    </c:plotArea>
    <c:legend>
      <c:legendPos val="b"/>
      <c:layout>
        <c:manualLayout>
          <c:xMode val="edge"/>
          <c:yMode val="edge"/>
          <c:x val="0.41884453703817848"/>
          <c:y val="0.89252574488794967"/>
          <c:w val="0.18993918158000264"/>
          <c:h val="0.101461749099544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Analysis!$C$366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BE-4717-BF40-158A90D20D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Analysis!$D$363:$H$363</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Analysis!$D$366:$H$366</c:f>
              <c:numCache>
                <c:formatCode>_(* #,##0_);_(* \(#,##0\);_(* "-"??_);_(@_)</c:formatCode>
                <c:ptCount val="5"/>
                <c:pt idx="0">
                  <c:v>0</c:v>
                </c:pt>
                <c:pt idx="1">
                  <c:v>1</c:v>
                </c:pt>
                <c:pt idx="2">
                  <c:v>87</c:v>
                </c:pt>
                <c:pt idx="3">
                  <c:v>6</c:v>
                </c:pt>
                <c:pt idx="4">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Analysis!$D$281:$D$282</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Analysis!$C$283:$C$284</c:f>
              <c:strCache>
                <c:ptCount val="2"/>
                <c:pt idx="0">
                  <c:v>Camp</c:v>
                </c:pt>
                <c:pt idx="1">
                  <c:v>Camp_not registered</c:v>
                </c:pt>
              </c:strCache>
            </c:strRef>
          </c:cat>
          <c:val>
            <c:numRef>
              <c:f>Analysis!$D$283:$D$284</c:f>
              <c:numCache>
                <c:formatCode>General</c:formatCode>
                <c:ptCount val="2"/>
                <c:pt idx="0">
                  <c:v>118</c:v>
                </c:pt>
                <c:pt idx="1">
                  <c:v>17</c:v>
                </c:pt>
              </c:numCache>
            </c:numRef>
          </c:val>
          <c:extLst>
            <c:ext xmlns:c16="http://schemas.microsoft.com/office/drawing/2014/chart" uri="{C3380CC4-5D6E-409C-BE32-E72D297353CC}">
              <c16:uniqueId val="{00000000-92B5-41D7-AC58-F92DE455E85E}"/>
            </c:ext>
          </c:extLst>
        </c:ser>
        <c:ser>
          <c:idx val="1"/>
          <c:order val="1"/>
          <c:tx>
            <c:strRef>
              <c:f>Analysis!$E$281:$E$282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Analysis!$C$283:$C$284</c:f>
              <c:strCache>
                <c:ptCount val="2"/>
                <c:pt idx="0">
                  <c:v>Camp</c:v>
                </c:pt>
                <c:pt idx="1">
                  <c:v>Camp_not registered</c:v>
                </c:pt>
              </c:strCache>
            </c:strRef>
          </c:cat>
          <c:val>
            <c:numRef>
              <c:f>Analysis!$E$283:$E$284</c:f>
              <c:numCache>
                <c:formatCode>General</c:formatCode>
                <c:ptCount val="2"/>
                <c:pt idx="0">
                  <c:v>22</c:v>
                </c:pt>
              </c:numCache>
            </c:numRef>
          </c:val>
          <c:extLst>
            <c:ext xmlns:c16="http://schemas.microsoft.com/office/drawing/2014/chart" uri="{C3380CC4-5D6E-409C-BE32-E72D297353CC}">
              <c16:uniqueId val="{00000001-92B5-41D7-AC58-F92DE455E85E}"/>
            </c:ext>
          </c:extLst>
        </c:ser>
        <c:dLbls>
          <c:showLegendKey val="0"/>
          <c:showVal val="0"/>
          <c:showCatName val="0"/>
          <c:showSerName val="0"/>
          <c:showPercent val="0"/>
          <c:showBubbleSize val="0"/>
        </c:dLbls>
        <c:gapWidth val="10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4298337707786526"/>
          <c:h val="0.279505061867266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Analysis!$I$282:$I$283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Analysis!$H$284:$H$287</c:f>
              <c:strCache>
                <c:ptCount val="4"/>
                <c:pt idx="0">
                  <c:v>Camp</c:v>
                </c:pt>
                <c:pt idx="1">
                  <c:v>Camp_not registered</c:v>
                </c:pt>
                <c:pt idx="2">
                  <c:v>New Temporary Site</c:v>
                </c:pt>
                <c:pt idx="3">
                  <c:v>Village</c:v>
                </c:pt>
              </c:strCache>
            </c:strRef>
          </c:cat>
          <c:val>
            <c:numRef>
              <c:f>Analysis!$I$284:$I$287</c:f>
              <c:numCache>
                <c:formatCode>General</c:formatCode>
                <c:ptCount val="4"/>
                <c:pt idx="0">
                  <c:v>33</c:v>
                </c:pt>
                <c:pt idx="1">
                  <c:v>3</c:v>
                </c:pt>
                <c:pt idx="2">
                  <c:v>3</c:v>
                </c:pt>
                <c:pt idx="3">
                  <c:v>4</c:v>
                </c:pt>
              </c:numCache>
            </c:numRef>
          </c:val>
          <c:extLst>
            <c:ext xmlns:c16="http://schemas.microsoft.com/office/drawing/2014/chart" uri="{C3380CC4-5D6E-409C-BE32-E72D297353CC}">
              <c16:uniqueId val="{00000000-01E2-4CA3-8D3F-52648AEED9EC}"/>
            </c:ext>
          </c:extLst>
        </c:ser>
        <c:ser>
          <c:idx val="1"/>
          <c:order val="1"/>
          <c:tx>
            <c:strRef>
              <c:f>Analysis!$J$282:$J$283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Analysis!$H$284:$H$287</c:f>
              <c:strCache>
                <c:ptCount val="4"/>
                <c:pt idx="0">
                  <c:v>Camp</c:v>
                </c:pt>
                <c:pt idx="1">
                  <c:v>Camp_not registered</c:v>
                </c:pt>
                <c:pt idx="2">
                  <c:v>New Temporary Site</c:v>
                </c:pt>
                <c:pt idx="3">
                  <c:v>Village</c:v>
                </c:pt>
              </c:strCache>
            </c:strRef>
          </c:cat>
          <c:val>
            <c:numRef>
              <c:f>Analysis!$J$284:$J$287</c:f>
              <c:numCache>
                <c:formatCode>General</c:formatCode>
                <c:ptCount val="4"/>
                <c:pt idx="0">
                  <c:v>3</c:v>
                </c:pt>
              </c:numCache>
            </c:numRef>
          </c:val>
          <c:extLst>
            <c:ext xmlns:c16="http://schemas.microsoft.com/office/drawing/2014/chart" uri="{C3380CC4-5D6E-409C-BE32-E72D297353CC}">
              <c16:uniqueId val="{00000001-01E2-4CA3-8D3F-52648AEED9EC}"/>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0.12922347049715019"/>
          <c:h val="0.221433988465107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Active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Analysis!$C$86</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Analysis!$B$87:$B$98</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Analysis!$C$87:$C$98</c:f>
              <c:numCache>
                <c:formatCode>0%</c:formatCode>
                <c:ptCount val="12"/>
                <c:pt idx="0">
                  <c:v>0.84035803308406976</c:v>
                </c:pt>
                <c:pt idx="1">
                  <c:v>6.7567567567567571E-2</c:v>
                </c:pt>
                <c:pt idx="2">
                  <c:v>0.63608843537414972</c:v>
                </c:pt>
                <c:pt idx="3">
                  <c:v>0.50786187760135659</c:v>
                </c:pt>
                <c:pt idx="4">
                  <c:v>0.94938440492476062</c:v>
                </c:pt>
                <c:pt idx="5">
                  <c:v>1</c:v>
                </c:pt>
                <c:pt idx="6">
                  <c:v>0.40698890373554863</c:v>
                </c:pt>
                <c:pt idx="7">
                  <c:v>0.95228994124725697</c:v>
                </c:pt>
                <c:pt idx="8">
                  <c:v>1</c:v>
                </c:pt>
                <c:pt idx="9">
                  <c:v>1</c:v>
                </c:pt>
                <c:pt idx="10">
                  <c:v>0</c:v>
                </c:pt>
                <c:pt idx="11">
                  <c:v>0.64452957137770572</c:v>
                </c:pt>
              </c:numCache>
            </c:numRef>
          </c:val>
          <c:extLst>
            <c:ext xmlns:c16="http://schemas.microsoft.com/office/drawing/2014/chart" uri="{C3380CC4-5D6E-409C-BE32-E72D297353CC}">
              <c16:uniqueId val="{00000000-0A95-4272-BEBA-9DB3E1533684}"/>
            </c:ext>
          </c:extLst>
        </c:ser>
        <c:ser>
          <c:idx val="1"/>
          <c:order val="1"/>
          <c:tx>
            <c:strRef>
              <c:f>Analysis!$D$86</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Analysis!$B$87:$B$98</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Analysis!$D$87:$D$98</c:f>
              <c:numCache>
                <c:formatCode>0%</c:formatCode>
                <c:ptCount val="12"/>
                <c:pt idx="0">
                  <c:v>0.15964196691593024</c:v>
                </c:pt>
                <c:pt idx="1">
                  <c:v>0.93243243243243246</c:v>
                </c:pt>
                <c:pt idx="2">
                  <c:v>0.36391156462585028</c:v>
                </c:pt>
                <c:pt idx="3">
                  <c:v>0.49213812239864341</c:v>
                </c:pt>
                <c:pt idx="4">
                  <c:v>5.0615595075239384E-2</c:v>
                </c:pt>
                <c:pt idx="5">
                  <c:v>0</c:v>
                </c:pt>
                <c:pt idx="6">
                  <c:v>0.59301109626445137</c:v>
                </c:pt>
                <c:pt idx="7">
                  <c:v>4.7710058752743034E-2</c:v>
                </c:pt>
                <c:pt idx="8">
                  <c:v>0</c:v>
                </c:pt>
                <c:pt idx="9">
                  <c:v>0</c:v>
                </c:pt>
                <c:pt idx="10">
                  <c:v>1</c:v>
                </c:pt>
                <c:pt idx="11">
                  <c:v>0.35547042862229428</c:v>
                </c:pt>
              </c:numCache>
            </c:numRef>
          </c:val>
          <c:extLst>
            <c:ext xmlns:c16="http://schemas.microsoft.com/office/drawing/2014/chart" uri="{C3380CC4-5D6E-409C-BE32-E72D297353CC}">
              <c16:uniqueId val="{00000001-0A95-4272-BEBA-9DB3E1533684}"/>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active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Analysis!$C$107</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Analysis!$B$108:$B$115</c:f>
              <c:strCache>
                <c:ptCount val="8"/>
                <c:pt idx="0">
                  <c:v>Hseni</c:v>
                </c:pt>
                <c:pt idx="1">
                  <c:v>Kutkai</c:v>
                </c:pt>
                <c:pt idx="2">
                  <c:v>Lashio</c:v>
                </c:pt>
                <c:pt idx="3">
                  <c:v>Manton</c:v>
                </c:pt>
                <c:pt idx="4">
                  <c:v>Muse</c:v>
                </c:pt>
                <c:pt idx="5">
                  <c:v>Namhkan</c:v>
                </c:pt>
                <c:pt idx="6">
                  <c:v>Namtu</c:v>
                </c:pt>
                <c:pt idx="7">
                  <c:v>Nawnghkio</c:v>
                </c:pt>
              </c:strCache>
            </c:strRef>
          </c:cat>
          <c:val>
            <c:numRef>
              <c:f>Analysis!$C$108:$C$115</c:f>
              <c:numCache>
                <c:formatCode>0%</c:formatCode>
                <c:ptCount val="8"/>
                <c:pt idx="0">
                  <c:v>1</c:v>
                </c:pt>
                <c:pt idx="1">
                  <c:v>0.8503630246148397</c:v>
                </c:pt>
                <c:pt idx="2">
                  <c:v>0</c:v>
                </c:pt>
                <c:pt idx="3">
                  <c:v>1</c:v>
                </c:pt>
                <c:pt idx="4">
                  <c:v>0.41516516516516516</c:v>
                </c:pt>
                <c:pt idx="5">
                  <c:v>0.74577417173766059</c:v>
                </c:pt>
                <c:pt idx="6">
                  <c:v>0.77777777777777779</c:v>
                </c:pt>
                <c:pt idx="7">
                  <c:v>0</c:v>
                </c:pt>
              </c:numCache>
            </c:numRef>
          </c:val>
          <c:extLst>
            <c:ext xmlns:c16="http://schemas.microsoft.com/office/drawing/2014/chart" uri="{C3380CC4-5D6E-409C-BE32-E72D297353CC}">
              <c16:uniqueId val="{00000000-E069-4695-A99F-21115DDE287A}"/>
            </c:ext>
          </c:extLst>
        </c:ser>
        <c:ser>
          <c:idx val="1"/>
          <c:order val="1"/>
          <c:tx>
            <c:strRef>
              <c:f>Analysis!$D$107</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Analysis!$B$108:$B$115</c:f>
              <c:strCache>
                <c:ptCount val="8"/>
                <c:pt idx="0">
                  <c:v>Hseni</c:v>
                </c:pt>
                <c:pt idx="1">
                  <c:v>Kutkai</c:v>
                </c:pt>
                <c:pt idx="2">
                  <c:v>Lashio</c:v>
                </c:pt>
                <c:pt idx="3">
                  <c:v>Manton</c:v>
                </c:pt>
                <c:pt idx="4">
                  <c:v>Muse</c:v>
                </c:pt>
                <c:pt idx="5">
                  <c:v>Namhkan</c:v>
                </c:pt>
                <c:pt idx="6">
                  <c:v>Namtu</c:v>
                </c:pt>
                <c:pt idx="7">
                  <c:v>Nawnghkio</c:v>
                </c:pt>
              </c:strCache>
            </c:strRef>
          </c:cat>
          <c:val>
            <c:numRef>
              <c:f>Analysis!$D$108:$D$115</c:f>
              <c:numCache>
                <c:formatCode>0%</c:formatCode>
                <c:ptCount val="8"/>
                <c:pt idx="0">
                  <c:v>0</c:v>
                </c:pt>
                <c:pt idx="1">
                  <c:v>0.1496369753851603</c:v>
                </c:pt>
                <c:pt idx="2">
                  <c:v>1</c:v>
                </c:pt>
                <c:pt idx="3">
                  <c:v>0</c:v>
                </c:pt>
                <c:pt idx="4">
                  <c:v>0.58483483483483489</c:v>
                </c:pt>
                <c:pt idx="5">
                  <c:v>0.25422582826233941</c:v>
                </c:pt>
                <c:pt idx="6">
                  <c:v>0.22222222222222221</c:v>
                </c:pt>
                <c:pt idx="7">
                  <c:v>1</c:v>
                </c:pt>
              </c:numCache>
            </c:numRef>
          </c:val>
          <c:extLst>
            <c:ext xmlns:c16="http://schemas.microsoft.com/office/drawing/2014/chart" uri="{C3380CC4-5D6E-409C-BE32-E72D297353CC}">
              <c16:uniqueId val="{00000001-E069-4695-A99F-21115DDE287A}"/>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active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Analysis!$C$193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Analysis!$B$194:$B$205</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Analysis!$C$194:$C$205</c:f>
              <c:numCache>
                <c:formatCode>0%</c:formatCode>
                <c:ptCount val="12"/>
                <c:pt idx="0">
                  <c:v>0.64049399501472926</c:v>
                </c:pt>
                <c:pt idx="1">
                  <c:v>0.93344594594594599</c:v>
                </c:pt>
                <c:pt idx="2">
                  <c:v>0.8811224489795918</c:v>
                </c:pt>
                <c:pt idx="3">
                  <c:v>0.58655773084630802</c:v>
                </c:pt>
                <c:pt idx="4">
                  <c:v>0.5738714090287278</c:v>
                </c:pt>
                <c:pt idx="5">
                  <c:v>0.92121212121212126</c:v>
                </c:pt>
                <c:pt idx="6">
                  <c:v>0.65070005228606287</c:v>
                </c:pt>
                <c:pt idx="7">
                  <c:v>0.77160755999150565</c:v>
                </c:pt>
                <c:pt idx="8">
                  <c:v>0.13840830449826991</c:v>
                </c:pt>
                <c:pt idx="9">
                  <c:v>0.95761802575107291</c:v>
                </c:pt>
                <c:pt idx="10">
                  <c:v>1</c:v>
                </c:pt>
                <c:pt idx="11">
                  <c:v>0.59044532026962315</c:v>
                </c:pt>
              </c:numCache>
            </c:numRef>
          </c:val>
          <c:extLst>
            <c:ext xmlns:c16="http://schemas.microsoft.com/office/drawing/2014/chart" uri="{C3380CC4-5D6E-409C-BE32-E72D297353CC}">
              <c16:uniqueId val="{00000000-4AC2-4565-9EAC-6FA66FAE107D}"/>
            </c:ext>
          </c:extLst>
        </c:ser>
        <c:ser>
          <c:idx val="1"/>
          <c:order val="1"/>
          <c:tx>
            <c:strRef>
              <c:f>Analysis!$D$193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Analysis!$B$194:$B$205</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Analysis!$D$194:$D$205</c:f>
              <c:numCache>
                <c:formatCode>0%</c:formatCode>
                <c:ptCount val="12"/>
                <c:pt idx="0">
                  <c:v>0.35950600498527074</c:v>
                </c:pt>
                <c:pt idx="1">
                  <c:v>6.6554054054054013E-2</c:v>
                </c:pt>
                <c:pt idx="2">
                  <c:v>0.1188775510204082</c:v>
                </c:pt>
                <c:pt idx="3">
                  <c:v>0.41344226915369198</c:v>
                </c:pt>
                <c:pt idx="4">
                  <c:v>0.4261285909712722</c:v>
                </c:pt>
                <c:pt idx="5">
                  <c:v>7.878787878787874E-2</c:v>
                </c:pt>
                <c:pt idx="6">
                  <c:v>0.34929994771393713</c:v>
                </c:pt>
                <c:pt idx="7">
                  <c:v>0.22839244000849435</c:v>
                </c:pt>
                <c:pt idx="8">
                  <c:v>0.86159169550173009</c:v>
                </c:pt>
                <c:pt idx="9">
                  <c:v>4.238197424892709E-2</c:v>
                </c:pt>
                <c:pt idx="10">
                  <c:v>0</c:v>
                </c:pt>
                <c:pt idx="11">
                  <c:v>0.40955467973037685</c:v>
                </c:pt>
              </c:numCache>
            </c:numRef>
          </c:val>
          <c:extLst>
            <c:ext xmlns:c16="http://schemas.microsoft.com/office/drawing/2014/chart" uri="{C3380CC4-5D6E-409C-BE32-E72D297353CC}">
              <c16:uniqueId val="{00000001-4AC2-4565-9EAC-6FA66FAE107D}"/>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Analysis!$M$194</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Analysis!$L$195:$L$202</c:f>
              <c:strCache>
                <c:ptCount val="8"/>
                <c:pt idx="0">
                  <c:v>Hseni</c:v>
                </c:pt>
                <c:pt idx="1">
                  <c:v>Kutkai</c:v>
                </c:pt>
                <c:pt idx="2">
                  <c:v>Lashio</c:v>
                </c:pt>
                <c:pt idx="3">
                  <c:v>Manton</c:v>
                </c:pt>
                <c:pt idx="4">
                  <c:v>Muse</c:v>
                </c:pt>
                <c:pt idx="5">
                  <c:v>Namhkan</c:v>
                </c:pt>
                <c:pt idx="6">
                  <c:v>Namtu</c:v>
                </c:pt>
                <c:pt idx="7">
                  <c:v>Nawnghkio</c:v>
                </c:pt>
              </c:strCache>
            </c:strRef>
          </c:cat>
          <c:val>
            <c:numRef>
              <c:f>Analysis!$M$195:$M$202</c:f>
              <c:numCache>
                <c:formatCode>0%</c:formatCode>
                <c:ptCount val="8"/>
                <c:pt idx="0">
                  <c:v>0.9397260273972603</c:v>
                </c:pt>
                <c:pt idx="1">
                  <c:v>0.76394545776518508</c:v>
                </c:pt>
                <c:pt idx="2">
                  <c:v>1</c:v>
                </c:pt>
                <c:pt idx="3">
                  <c:v>0.79729729729729726</c:v>
                </c:pt>
                <c:pt idx="4">
                  <c:v>1</c:v>
                </c:pt>
                <c:pt idx="5">
                  <c:v>0.54361054766734285</c:v>
                </c:pt>
                <c:pt idx="6">
                  <c:v>0.72222222222222221</c:v>
                </c:pt>
                <c:pt idx="7">
                  <c:v>0</c:v>
                </c:pt>
              </c:numCache>
            </c:numRef>
          </c:val>
          <c:extLst>
            <c:ext xmlns:c16="http://schemas.microsoft.com/office/drawing/2014/chart" uri="{C3380CC4-5D6E-409C-BE32-E72D297353CC}">
              <c16:uniqueId val="{00000000-FDB6-4E7C-A9A5-0762A35FAE8D}"/>
            </c:ext>
          </c:extLst>
        </c:ser>
        <c:ser>
          <c:idx val="1"/>
          <c:order val="1"/>
          <c:tx>
            <c:strRef>
              <c:f>Analysis!$N$194</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Analysis!$L$195:$L$202</c:f>
              <c:strCache>
                <c:ptCount val="8"/>
                <c:pt idx="0">
                  <c:v>Hseni</c:v>
                </c:pt>
                <c:pt idx="1">
                  <c:v>Kutkai</c:v>
                </c:pt>
                <c:pt idx="2">
                  <c:v>Lashio</c:v>
                </c:pt>
                <c:pt idx="3">
                  <c:v>Manton</c:v>
                </c:pt>
                <c:pt idx="4">
                  <c:v>Muse</c:v>
                </c:pt>
                <c:pt idx="5">
                  <c:v>Namhkan</c:v>
                </c:pt>
                <c:pt idx="6">
                  <c:v>Namtu</c:v>
                </c:pt>
                <c:pt idx="7">
                  <c:v>Nawnghkio</c:v>
                </c:pt>
              </c:strCache>
            </c:strRef>
          </c:cat>
          <c:val>
            <c:numRef>
              <c:f>Analysis!$N$195:$N$202</c:f>
              <c:numCache>
                <c:formatCode>0%</c:formatCode>
                <c:ptCount val="8"/>
                <c:pt idx="0">
                  <c:v>6.02739726027397E-2</c:v>
                </c:pt>
                <c:pt idx="1">
                  <c:v>0.23605454223481492</c:v>
                </c:pt>
                <c:pt idx="2">
                  <c:v>0</c:v>
                </c:pt>
                <c:pt idx="3">
                  <c:v>0.20270270270270274</c:v>
                </c:pt>
                <c:pt idx="4">
                  <c:v>0</c:v>
                </c:pt>
                <c:pt idx="5">
                  <c:v>0.45638945233265715</c:v>
                </c:pt>
                <c:pt idx="6">
                  <c:v>0.27777777777777779</c:v>
                </c:pt>
                <c:pt idx="7">
                  <c:v>1</c:v>
                </c:pt>
              </c:numCache>
            </c:numRef>
          </c:val>
          <c:extLst>
            <c:ext xmlns:c16="http://schemas.microsoft.com/office/drawing/2014/chart" uri="{C3380CC4-5D6E-409C-BE32-E72D297353CC}">
              <c16:uniqueId val="{00000001-FDB6-4E7C-A9A5-0762A35FAE8D}"/>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Analysis!$C$254</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Analysis!$B$255:$B$266</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Analysis!$C$255:$C$266</c:f>
              <c:numCache>
                <c:formatCode>0%</c:formatCode>
                <c:ptCount val="12"/>
                <c:pt idx="0">
                  <c:v>0.77974167233174707</c:v>
                </c:pt>
                <c:pt idx="1">
                  <c:v>1</c:v>
                </c:pt>
                <c:pt idx="2">
                  <c:v>0.99642857142857144</c:v>
                </c:pt>
                <c:pt idx="3">
                  <c:v>0.64243872360104826</c:v>
                </c:pt>
                <c:pt idx="4">
                  <c:v>1</c:v>
                </c:pt>
                <c:pt idx="5">
                  <c:v>1</c:v>
                </c:pt>
                <c:pt idx="6">
                  <c:v>0.60593737291581939</c:v>
                </c:pt>
                <c:pt idx="7">
                  <c:v>0.91983435973667449</c:v>
                </c:pt>
                <c:pt idx="8">
                  <c:v>1</c:v>
                </c:pt>
                <c:pt idx="9">
                  <c:v>0.95493562231759654</c:v>
                </c:pt>
                <c:pt idx="10">
                  <c:v>1</c:v>
                </c:pt>
                <c:pt idx="11">
                  <c:v>0.49791889204022249</c:v>
                </c:pt>
              </c:numCache>
            </c:numRef>
          </c:val>
          <c:extLst>
            <c:ext xmlns:c16="http://schemas.microsoft.com/office/drawing/2014/chart" uri="{C3380CC4-5D6E-409C-BE32-E72D297353CC}">
              <c16:uniqueId val="{00000000-19C3-4FFC-A970-674E6FC0651A}"/>
            </c:ext>
          </c:extLst>
        </c:ser>
        <c:ser>
          <c:idx val="1"/>
          <c:order val="1"/>
          <c:tx>
            <c:strRef>
              <c:f>Analysis!$D$254</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Analysis!$B$255:$B$266</c:f>
              <c:strCache>
                <c:ptCount val="12"/>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Waingmaw</c:v>
                </c:pt>
              </c:strCache>
            </c:strRef>
          </c:cat>
          <c:val>
            <c:numRef>
              <c:f>Analysis!$D$255:$D$266</c:f>
              <c:numCache>
                <c:formatCode>0%</c:formatCode>
                <c:ptCount val="12"/>
                <c:pt idx="0">
                  <c:v>0.22025832766825293</c:v>
                </c:pt>
                <c:pt idx="1">
                  <c:v>0</c:v>
                </c:pt>
                <c:pt idx="2">
                  <c:v>3.5714285714285587E-3</c:v>
                </c:pt>
                <c:pt idx="3">
                  <c:v>0.35756127639895174</c:v>
                </c:pt>
                <c:pt idx="4">
                  <c:v>0</c:v>
                </c:pt>
                <c:pt idx="5">
                  <c:v>0</c:v>
                </c:pt>
                <c:pt idx="6">
                  <c:v>0.39406262708418061</c:v>
                </c:pt>
                <c:pt idx="7">
                  <c:v>8.0165640263325511E-2</c:v>
                </c:pt>
                <c:pt idx="8">
                  <c:v>0</c:v>
                </c:pt>
                <c:pt idx="9">
                  <c:v>4.5064377682403456E-2</c:v>
                </c:pt>
                <c:pt idx="10">
                  <c:v>0</c:v>
                </c:pt>
                <c:pt idx="11">
                  <c:v>0.50208110795977756</c:v>
                </c:pt>
              </c:numCache>
            </c:numRef>
          </c:val>
          <c:extLst>
            <c:ext xmlns:c16="http://schemas.microsoft.com/office/drawing/2014/chart" uri="{C3380CC4-5D6E-409C-BE32-E72D297353CC}">
              <c16:uniqueId val="{00000001-19C3-4FFC-A970-674E6FC0651A}"/>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[20190724_Myanmar_WASH_4W_2019_Q2_Consolidate_KachinShan_DRAFT.xlsx]Analysis!K_H_CG_N</c:name>
    <c:fmtId val="4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New Temporary Sites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Analysis!$V$254</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Analysis!$U$255</c:f>
              <c:strCache>
                <c:ptCount val="1"/>
                <c:pt idx="0">
                  <c:v>Hsipaw</c:v>
                </c:pt>
              </c:strCache>
            </c:strRef>
          </c:cat>
          <c:val>
            <c:numRef>
              <c:f>Analysis!$V$255</c:f>
              <c:numCache>
                <c:formatCode>0%</c:formatCode>
                <c:ptCount val="1"/>
                <c:pt idx="0">
                  <c:v>0</c:v>
                </c:pt>
              </c:numCache>
            </c:numRef>
          </c:val>
          <c:extLst>
            <c:ext xmlns:c16="http://schemas.microsoft.com/office/drawing/2014/chart" uri="{C3380CC4-5D6E-409C-BE32-E72D297353CC}">
              <c16:uniqueId val="{00000000-D2CA-4696-B495-ABC438F6FC6D}"/>
            </c:ext>
          </c:extLst>
        </c:ser>
        <c:ser>
          <c:idx val="1"/>
          <c:order val="1"/>
          <c:tx>
            <c:strRef>
              <c:f>Analysis!$W$254</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Analysis!$U$255</c:f>
              <c:strCache>
                <c:ptCount val="1"/>
                <c:pt idx="0">
                  <c:v>Hsipaw</c:v>
                </c:pt>
              </c:strCache>
            </c:strRef>
          </c:cat>
          <c:val>
            <c:numRef>
              <c:f>Analysis!$W$255</c:f>
              <c:numCache>
                <c:formatCode>0%</c:formatCode>
                <c:ptCount val="1"/>
                <c:pt idx="0">
                  <c:v>1</c:v>
                </c:pt>
              </c:numCache>
            </c:numRef>
          </c:val>
          <c:extLst>
            <c:ext xmlns:c16="http://schemas.microsoft.com/office/drawing/2014/chart" uri="{C3380CC4-5D6E-409C-BE32-E72D297353CC}">
              <c16:uniqueId val="{00000001-D2CA-4696-B495-ABC438F6FC6D}"/>
            </c:ext>
          </c:extLst>
        </c:ser>
        <c:dLbls>
          <c:showLegendKey val="0"/>
          <c:showVal val="0"/>
          <c:showCatName val="0"/>
          <c:showSerName val="0"/>
          <c:showPercent val="0"/>
          <c:showBubbleSize val="0"/>
        </c:dLbls>
        <c:gapWidth val="150"/>
        <c:overlap val="100"/>
        <c:axId val="415878624"/>
        <c:axId val="415879800"/>
      </c:barChart>
      <c:catAx>
        <c:axId val="4158786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9800"/>
        <c:crosses val="autoZero"/>
        <c:auto val="1"/>
        <c:lblAlgn val="ctr"/>
        <c:lblOffset val="100"/>
        <c:noMultiLvlLbl val="0"/>
      </c:catAx>
      <c:valAx>
        <c:axId val="41587980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8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Analysis!$L$253</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Analysis!$K$254:$K$262</c:f>
              <c:strCache>
                <c:ptCount val="9"/>
                <c:pt idx="0">
                  <c:v>Hseni</c:v>
                </c:pt>
                <c:pt idx="1">
                  <c:v>Hsipaw</c:v>
                </c:pt>
                <c:pt idx="2">
                  <c:v>Kutkai</c:v>
                </c:pt>
                <c:pt idx="3">
                  <c:v>Lashio</c:v>
                </c:pt>
                <c:pt idx="4">
                  <c:v>Manton</c:v>
                </c:pt>
                <c:pt idx="5">
                  <c:v>Muse</c:v>
                </c:pt>
                <c:pt idx="6">
                  <c:v>Namhkan</c:v>
                </c:pt>
                <c:pt idx="7">
                  <c:v>Namtu</c:v>
                </c:pt>
                <c:pt idx="8">
                  <c:v>Nawnghkio</c:v>
                </c:pt>
              </c:strCache>
            </c:strRef>
          </c:cat>
          <c:val>
            <c:numRef>
              <c:f>Analysis!$L$254:$L$262</c:f>
              <c:numCache>
                <c:formatCode>0%</c:formatCode>
                <c:ptCount val="9"/>
                <c:pt idx="0">
                  <c:v>1</c:v>
                </c:pt>
                <c:pt idx="1">
                  <c:v>0</c:v>
                </c:pt>
                <c:pt idx="2">
                  <c:v>0.94492650965114222</c:v>
                </c:pt>
                <c:pt idx="3">
                  <c:v>1</c:v>
                </c:pt>
                <c:pt idx="4">
                  <c:v>1</c:v>
                </c:pt>
                <c:pt idx="5">
                  <c:v>0.41516516516516516</c:v>
                </c:pt>
                <c:pt idx="6">
                  <c:v>0.98732251521298176</c:v>
                </c:pt>
                <c:pt idx="7">
                  <c:v>1</c:v>
                </c:pt>
                <c:pt idx="8">
                  <c:v>1</c:v>
                </c:pt>
              </c:numCache>
            </c:numRef>
          </c:val>
          <c:extLst>
            <c:ext xmlns:c16="http://schemas.microsoft.com/office/drawing/2014/chart" uri="{C3380CC4-5D6E-409C-BE32-E72D297353CC}">
              <c16:uniqueId val="{00000000-6D34-4AAC-8FA2-189339D38A10}"/>
            </c:ext>
          </c:extLst>
        </c:ser>
        <c:ser>
          <c:idx val="1"/>
          <c:order val="1"/>
          <c:tx>
            <c:strRef>
              <c:f>Analysis!$M$253</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Analysis!$K$254:$K$262</c:f>
              <c:strCache>
                <c:ptCount val="9"/>
                <c:pt idx="0">
                  <c:v>Hseni</c:v>
                </c:pt>
                <c:pt idx="1">
                  <c:v>Hsipaw</c:v>
                </c:pt>
                <c:pt idx="2">
                  <c:v>Kutkai</c:v>
                </c:pt>
                <c:pt idx="3">
                  <c:v>Lashio</c:v>
                </c:pt>
                <c:pt idx="4">
                  <c:v>Manton</c:v>
                </c:pt>
                <c:pt idx="5">
                  <c:v>Muse</c:v>
                </c:pt>
                <c:pt idx="6">
                  <c:v>Namhkan</c:v>
                </c:pt>
                <c:pt idx="7">
                  <c:v>Namtu</c:v>
                </c:pt>
                <c:pt idx="8">
                  <c:v>Nawnghkio</c:v>
                </c:pt>
              </c:strCache>
            </c:strRef>
          </c:cat>
          <c:val>
            <c:numRef>
              <c:f>Analysis!$M$254:$M$262</c:f>
              <c:numCache>
                <c:formatCode>0%</c:formatCode>
                <c:ptCount val="9"/>
                <c:pt idx="0">
                  <c:v>0</c:v>
                </c:pt>
                <c:pt idx="1">
                  <c:v>1</c:v>
                </c:pt>
                <c:pt idx="2">
                  <c:v>5.5073490348857779E-2</c:v>
                </c:pt>
                <c:pt idx="3">
                  <c:v>0</c:v>
                </c:pt>
                <c:pt idx="4">
                  <c:v>0</c:v>
                </c:pt>
                <c:pt idx="5">
                  <c:v>0.58483483483483489</c:v>
                </c:pt>
                <c:pt idx="6">
                  <c:v>1.2677484787018245E-2</c:v>
                </c:pt>
                <c:pt idx="7">
                  <c:v>0</c:v>
                </c:pt>
                <c:pt idx="8">
                  <c:v>0</c:v>
                </c:pt>
              </c:numCache>
            </c:numRef>
          </c:val>
          <c:extLst>
            <c:ext xmlns:c16="http://schemas.microsoft.com/office/drawing/2014/chart" uri="{C3380CC4-5D6E-409C-BE32-E72D297353CC}">
              <c16:uniqueId val="{00000001-6D34-4AAC-8FA2-189339D38A10}"/>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62641035151747082"/>
          <c:h val="7.2497238147420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(in</a:t>
            </a:r>
            <a:r>
              <a:rPr lang="en-US" sz="1400" baseline="0"/>
              <a:t> IDP camps)</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HRP!$E$100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2660-42A2-A9AF-58CA2E072A26}"/>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2660-42A2-A9AF-58CA2E072A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HRP!$C$101:$C$103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HRP!$E$101:$E$103</c:f>
              <c:numCache>
                <c:formatCode>_(* #,##0_);_(* \(#,##0\);_(* "-"??_);_(@_)</c:formatCode>
                <c:ptCount val="3"/>
                <c:pt idx="0">
                  <c:v>197472</c:v>
                </c:pt>
                <c:pt idx="1">
                  <c:v>162064</c:v>
                </c:pt>
                <c:pt idx="2">
                  <c:v>181535.1333333333</c:v>
                </c:pt>
              </c:numCache>
            </c:numRef>
          </c:val>
          <c:extLst>
            <c:ext xmlns:c16="http://schemas.microsoft.com/office/drawing/2014/chart" uri="{C3380CC4-5D6E-409C-BE32-E72D297353CC}">
              <c16:uniqueId val="{00000001-CAD5-4496-BE8A-D440D686860E}"/>
            </c:ext>
          </c:extLst>
        </c:ser>
        <c:ser>
          <c:idx val="1"/>
          <c:order val="1"/>
          <c:tx>
            <c:strRef>
              <c:f>HRP!$F$100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2660-42A2-A9AF-58CA2E072A26}"/>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2660-42A2-A9AF-58CA2E072A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HRP!$C$101:$C$103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HRP!$F$101:$F$103</c:f>
              <c:numCache>
                <c:formatCode>_(* #,##0_);_(* \(#,##0\);_(* "-"??_);_(@_)</c:formatCode>
                <c:ptCount val="3"/>
                <c:pt idx="0">
                  <c:v>5974</c:v>
                </c:pt>
                <c:pt idx="1">
                  <c:v>41382</c:v>
                </c:pt>
                <c:pt idx="2">
                  <c:v>21910.866666666698</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1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[20190724_Myanmar_WASH_4W_2019_Q2_Consolidate_KachinShan_DRAFT.xlsx]Analysis!PivotTable1</c:name>
    <c:fmtId val="4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Coverage VS GAP in New Temporary Sites</a:t>
            </a:r>
            <a:endParaRPr lang="en-US" sz="1400">
              <a:effectLst/>
            </a:endParaRPr>
          </a:p>
          <a:p>
            <a:pPr>
              <a:defRPr sz="1400"/>
            </a:pPr>
            <a:r>
              <a:rPr lang="en-US" sz="1400" b="1" i="0" baseline="0">
                <a:effectLst/>
              </a:rPr>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Analysis!$W$194</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Analysis!$V$195</c:f>
              <c:strCache>
                <c:ptCount val="1"/>
                <c:pt idx="0">
                  <c:v>Hsipaw</c:v>
                </c:pt>
              </c:strCache>
            </c:strRef>
          </c:cat>
          <c:val>
            <c:numRef>
              <c:f>Analysis!$W$195</c:f>
              <c:numCache>
                <c:formatCode>0%</c:formatCode>
                <c:ptCount val="1"/>
                <c:pt idx="0">
                  <c:v>0.51894135962636223</c:v>
                </c:pt>
              </c:numCache>
            </c:numRef>
          </c:val>
          <c:extLst>
            <c:ext xmlns:c16="http://schemas.microsoft.com/office/drawing/2014/chart" uri="{C3380CC4-5D6E-409C-BE32-E72D297353CC}">
              <c16:uniqueId val="{00000000-3386-4E67-BCA3-8395BBF39BC0}"/>
            </c:ext>
          </c:extLst>
        </c:ser>
        <c:ser>
          <c:idx val="1"/>
          <c:order val="1"/>
          <c:tx>
            <c:strRef>
              <c:f>Analysis!$X$194</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Analysis!$V$195</c:f>
              <c:strCache>
                <c:ptCount val="1"/>
                <c:pt idx="0">
                  <c:v>Hsipaw</c:v>
                </c:pt>
              </c:strCache>
            </c:strRef>
          </c:cat>
          <c:val>
            <c:numRef>
              <c:f>Analysis!$X$195</c:f>
              <c:numCache>
                <c:formatCode>0%</c:formatCode>
                <c:ptCount val="1"/>
                <c:pt idx="0">
                  <c:v>0.48105864037363777</c:v>
                </c:pt>
              </c:numCache>
            </c:numRef>
          </c:val>
          <c:extLst>
            <c:ext xmlns:c16="http://schemas.microsoft.com/office/drawing/2014/chart" uri="{C3380CC4-5D6E-409C-BE32-E72D297353CC}">
              <c16:uniqueId val="{00000001-3386-4E67-BCA3-8395BBF39BC0}"/>
            </c:ext>
          </c:extLst>
        </c:ser>
        <c:dLbls>
          <c:showLegendKey val="0"/>
          <c:showVal val="1"/>
          <c:showCatName val="0"/>
          <c:showSerName val="0"/>
          <c:showPercent val="0"/>
          <c:showBubbleSize val="0"/>
        </c:dLbls>
        <c:gapWidth val="75"/>
        <c:overlap val="100"/>
        <c:axId val="747625935"/>
        <c:axId val="482424959"/>
      </c:barChart>
      <c:catAx>
        <c:axId val="74762593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82424959"/>
        <c:crosses val="autoZero"/>
        <c:auto val="1"/>
        <c:lblAlgn val="ctr"/>
        <c:lblOffset val="100"/>
        <c:noMultiLvlLbl val="0"/>
      </c:catAx>
      <c:valAx>
        <c:axId val="48242495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47625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Analysis!$C$396</c:f>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C-498D-4325-B341-02396896A1BC}"/>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15-498D-4325-B341-02396896A1B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Analysis!$D$395:$E$395</c:f>
              <c:strCache>
                <c:ptCount val="2"/>
                <c:pt idx="0">
                  <c:v>No</c:v>
                </c:pt>
                <c:pt idx="1">
                  <c:v>Yes</c:v>
                </c:pt>
              </c:strCache>
            </c:strRef>
          </c:cat>
          <c:val>
            <c:numRef>
              <c:f>Analysis!$D$396:$E$396</c:f>
              <c:numCache>
                <c:formatCode>0%</c:formatCode>
                <c:ptCount val="2"/>
                <c:pt idx="0">
                  <c:v>0.85925925925925928</c:v>
                </c:pt>
                <c:pt idx="1">
                  <c:v>0.14074074074074075</c:v>
                </c:pt>
              </c:numCache>
            </c:numRef>
          </c:val>
          <c:extLst>
            <c:ext xmlns:c16="http://schemas.microsoft.com/office/drawing/2014/chart" uri="{C3380CC4-5D6E-409C-BE32-E72D297353CC}">
              <c16:uniqueId val="{00000000-498D-4325-B341-02396896A1B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Analysis!$C$397</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FD11-420D-B194-3398E27E83E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FD11-420D-B194-3398E27E83EF}"/>
                    </c:ext>
                  </c:extLst>
                </c:dPt>
                <c:cat>
                  <c:strRef>
                    <c:extLst>
                      <c:ext uri="{02D57815-91ED-43cb-92C2-25804820EDAC}">
                        <c15:formulaRef>
                          <c15:sqref>Analysis!$D$395:$E$395</c15:sqref>
                        </c15:formulaRef>
                      </c:ext>
                    </c:extLst>
                    <c:strCache>
                      <c:ptCount val="2"/>
                      <c:pt idx="0">
                        <c:v>No</c:v>
                      </c:pt>
                      <c:pt idx="1">
                        <c:v>Yes</c:v>
                      </c:pt>
                    </c:strCache>
                  </c:strRef>
                </c:cat>
                <c:val>
                  <c:numRef>
                    <c:extLst>
                      <c:ext uri="{02D57815-91ED-43cb-92C2-25804820EDAC}">
                        <c15:formulaRef>
                          <c15:sqref>Analysis!$D$397:$E$397</c15:sqref>
                        </c15:formulaRef>
                      </c:ext>
                    </c:extLst>
                    <c:numCache>
                      <c:formatCode>0%</c:formatCode>
                      <c:ptCount val="2"/>
                      <c:pt idx="0">
                        <c:v>0.33333333333333331</c:v>
                      </c:pt>
                      <c:pt idx="1">
                        <c:v>0.66666666666666663</c:v>
                      </c:pt>
                    </c:numCache>
                  </c:numRef>
                </c:val>
                <c:extLst>
                  <c:ext xmlns:c16="http://schemas.microsoft.com/office/drawing/2014/chart" uri="{C3380CC4-5D6E-409C-BE32-E72D297353CC}">
                    <c16:uniqueId val="{00000001-498D-4325-B341-02396896A1B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Analysis!$C$398</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FD11-420D-B194-3398E27E83E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11-420D-B194-3398E27E83EF}"/>
                    </c:ext>
                  </c:extLst>
                </c:dPt>
                <c:cat>
                  <c:strRef>
                    <c:extLst xmlns:c15="http://schemas.microsoft.com/office/drawing/2012/chart">
                      <c:ext xmlns:c15="http://schemas.microsoft.com/office/drawing/2012/chart" uri="{02D57815-91ED-43cb-92C2-25804820EDAC}">
                        <c15:formulaRef>
                          <c15:sqref>Analysis!$D$395:$E$395</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Analysis!$D$398:$E$398</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2-498D-4325-B341-02396896A1B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1"/>
          <c:order val="1"/>
          <c:tx>
            <c:strRef>
              <c:f>Analysis!$C$397</c:f>
              <c:strCache>
                <c:ptCount val="1"/>
                <c:pt idx="0">
                  <c:v>Shan (North)</c:v>
                </c:pt>
              </c:strCache>
              <c:extLst xmlns:c15="http://schemas.microsoft.com/office/drawing/2012/chart"/>
            </c:strRef>
          </c:tx>
          <c:dPt>
            <c:idx val="0"/>
            <c:bubble3D val="0"/>
            <c:spPr>
              <a:solidFill>
                <a:schemeClr val="bg1">
                  <a:lumMod val="65000"/>
                </a:schemeClr>
              </a:solidFill>
              <a:ln>
                <a:noFill/>
              </a:ln>
              <a:effectLst/>
            </c:spPr>
            <c:extLst>
              <c:ext xmlns:c16="http://schemas.microsoft.com/office/drawing/2014/chart" uri="{C3380CC4-5D6E-409C-BE32-E72D297353CC}">
                <c16:uniqueId val="{0000000B-3A1F-41BF-B3AF-8F91896DC69F}"/>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D-3A1F-41BF-B3AF-8F91896DC69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Analysis!$D$395:$E$395</c:f>
              <c:strCache>
                <c:ptCount val="2"/>
                <c:pt idx="0">
                  <c:v>No</c:v>
                </c:pt>
                <c:pt idx="1">
                  <c:v>Yes</c:v>
                </c:pt>
              </c:strCache>
              <c:extLst xmlns:c15="http://schemas.microsoft.com/office/drawing/2012/chart"/>
            </c:strRef>
          </c:cat>
          <c:val>
            <c:numRef>
              <c:f>Analysis!$D$397:$E$397</c:f>
              <c:numCache>
                <c:formatCode>0%</c:formatCode>
                <c:ptCount val="2"/>
                <c:pt idx="0">
                  <c:v>0.33333333333333331</c:v>
                </c:pt>
                <c:pt idx="1">
                  <c:v>0.66666666666666663</c:v>
                </c:pt>
              </c:numCache>
              <c:extLst xmlns:c15="http://schemas.microsoft.com/office/drawing/2012/chart"/>
            </c:numRef>
          </c:val>
          <c:extLst>
            <c:ext xmlns:c16="http://schemas.microsoft.com/office/drawing/2014/chart" uri="{C3380CC4-5D6E-409C-BE32-E72D297353CC}">
              <c16:uniqueId val="{0000000E-3A1F-41BF-B3AF-8F91896DC69F}"/>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Analysis!$C$396</c15:sqref>
                        </c15:formulaRef>
                      </c:ext>
                    </c:extLst>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6-3A1F-41BF-B3AF-8F91896DC69F}"/>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8-3A1F-41BF-B3AF-8F91896DC69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Analysis!$D$395:$E$395</c15:sqref>
                        </c15:formulaRef>
                      </c:ext>
                    </c:extLst>
                    <c:strCache>
                      <c:ptCount val="2"/>
                      <c:pt idx="0">
                        <c:v>No</c:v>
                      </c:pt>
                      <c:pt idx="1">
                        <c:v>Yes</c:v>
                      </c:pt>
                    </c:strCache>
                  </c:strRef>
                </c:cat>
                <c:val>
                  <c:numRef>
                    <c:extLst>
                      <c:ext uri="{02D57815-91ED-43cb-92C2-25804820EDAC}">
                        <c15:formulaRef>
                          <c15:sqref>Analysis!$D$396:$E$396</c15:sqref>
                        </c15:formulaRef>
                      </c:ext>
                    </c:extLst>
                    <c:numCache>
                      <c:formatCode>0%</c:formatCode>
                      <c:ptCount val="2"/>
                      <c:pt idx="0">
                        <c:v>0.85925925925925928</c:v>
                      </c:pt>
                      <c:pt idx="1">
                        <c:v>0.14074074074074075</c:v>
                      </c:pt>
                    </c:numCache>
                  </c:numRef>
                </c:val>
                <c:extLst>
                  <c:ext xmlns:c16="http://schemas.microsoft.com/office/drawing/2014/chart" uri="{C3380CC4-5D6E-409C-BE32-E72D297353CC}">
                    <c16:uniqueId val="{00000009-3A1F-41BF-B3AF-8F91896DC69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Analysis!$C$398</c15:sqref>
                        </c15:formulaRef>
                      </c:ext>
                    </c:extLst>
                    <c:strCache>
                      <c:ptCount val="1"/>
                    </c:strCache>
                  </c:strRef>
                </c:tx>
                <c:dPt>
                  <c:idx val="0"/>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1-3A1F-41BF-B3AF-8F91896DC69F}"/>
                    </c:ext>
                  </c:extLst>
                </c:dPt>
                <c:dPt>
                  <c:idx val="1"/>
                  <c:bubble3D val="0"/>
                  <c:spPr>
                    <a:solidFill>
                      <a:schemeClr val="tx1">
                        <a:lumMod val="65000"/>
                        <a:lumOff val="35000"/>
                      </a:schemeClr>
                    </a:solidFill>
                    <a:ln>
                      <a:noFill/>
                    </a:ln>
                    <a:effectLst/>
                  </c:spPr>
                  <c:extLst xmlns:c15="http://schemas.microsoft.com/office/drawing/2012/chart">
                    <c:ext xmlns:c16="http://schemas.microsoft.com/office/drawing/2014/chart" uri="{C3380CC4-5D6E-409C-BE32-E72D297353CC}">
                      <c16:uniqueId val="{00000003-3A1F-41BF-B3AF-8F91896DC69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Analysis!$D$395:$E$395</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Analysis!$D$398:$E$398</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4-3A1F-41BF-B3AF-8F91896DC69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Analysis!$H$59</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Analysis!$J$58:$K$58</c:f>
              <c:strCache>
                <c:ptCount val="2"/>
                <c:pt idx="0">
                  <c:v>Tested</c:v>
                </c:pt>
                <c:pt idx="1">
                  <c:v>No Test</c:v>
                </c:pt>
              </c:strCache>
            </c:strRef>
          </c:cat>
          <c:val>
            <c:numRef>
              <c:f>Analysis!$J$59:$K$59</c:f>
              <c:numCache>
                <c:formatCode>0</c:formatCode>
                <c:ptCount val="2"/>
                <c:pt idx="0" formatCode="General">
                  <c:v>15</c:v>
                </c:pt>
                <c:pt idx="1">
                  <c:v>120</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Analysis!$H$60</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Analysis!$J$58:$K$58</c15:sqref>
                        </c15:formulaRef>
                      </c:ext>
                    </c:extLst>
                    <c:strCache>
                      <c:ptCount val="2"/>
                      <c:pt idx="0">
                        <c:v>Tested</c:v>
                      </c:pt>
                      <c:pt idx="1">
                        <c:v>No Test</c:v>
                      </c:pt>
                    </c:strCache>
                  </c:strRef>
                </c:cat>
                <c:val>
                  <c:numRef>
                    <c:extLst>
                      <c:ext uri="{02D57815-91ED-43cb-92C2-25804820EDAC}">
                        <c15:formulaRef>
                          <c15:sqref>Analysis!$J$60:$K$60</c15:sqref>
                        </c15:formulaRef>
                      </c:ext>
                    </c:extLst>
                    <c:numCache>
                      <c:formatCode>0</c:formatCode>
                      <c:ptCount val="2"/>
                      <c:pt idx="0" formatCode="General">
                        <c:v>21</c:v>
                      </c:pt>
                      <c:pt idx="1">
                        <c:v>18</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Analysis!$H$61</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Analysis!$J$58:$K$58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Analysis!$J$61:$K$61</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Analysis!$H$60</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Analysis!$J$58:$K$58</c:f>
              <c:strCache>
                <c:ptCount val="2"/>
                <c:pt idx="0">
                  <c:v>Tested</c:v>
                </c:pt>
                <c:pt idx="1">
                  <c:v>No Test</c:v>
                </c:pt>
              </c:strCache>
              <c:extLst xmlns:c15="http://schemas.microsoft.com/office/drawing/2012/chart"/>
            </c:strRef>
          </c:cat>
          <c:val>
            <c:numRef>
              <c:f>Analysis!$J$60:$K$60</c:f>
              <c:numCache>
                <c:formatCode>0</c:formatCode>
                <c:ptCount val="2"/>
                <c:pt idx="0" formatCode="General">
                  <c:v>21</c:v>
                </c:pt>
                <c:pt idx="1">
                  <c:v>18</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Analysis!$H$59</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Analysis!$J$58:$K$58</c15:sqref>
                        </c15:formulaRef>
                      </c:ext>
                    </c:extLst>
                    <c:strCache>
                      <c:ptCount val="2"/>
                      <c:pt idx="0">
                        <c:v>Tested</c:v>
                      </c:pt>
                      <c:pt idx="1">
                        <c:v>No Test</c:v>
                      </c:pt>
                    </c:strCache>
                  </c:strRef>
                </c:cat>
                <c:val>
                  <c:numRef>
                    <c:extLst>
                      <c:ext uri="{02D57815-91ED-43cb-92C2-25804820EDAC}">
                        <c15:formulaRef>
                          <c15:sqref>Analysis!$J$59:$K$59</c15:sqref>
                        </c15:formulaRef>
                      </c:ext>
                    </c:extLst>
                    <c:numCache>
                      <c:formatCode>0</c:formatCode>
                      <c:ptCount val="2"/>
                      <c:pt idx="0" formatCode="General">
                        <c:v>15</c:v>
                      </c:pt>
                      <c:pt idx="1">
                        <c:v>120</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Analysis!$H$61</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Analysis!$J$58:$K$58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Analysis!$J$61:$K$61</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Treated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Analysis!$L$58</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Analysis!$H$59:$H$61</c15:sqref>
                  </c15:fullRef>
                </c:ext>
              </c:extLst>
              <c:f>Analysis!$H$59:$H$60</c:f>
              <c:strCache>
                <c:ptCount val="2"/>
                <c:pt idx="0">
                  <c:v>Kachin</c:v>
                </c:pt>
                <c:pt idx="1">
                  <c:v>Shan (North)</c:v>
                </c:pt>
              </c:strCache>
            </c:strRef>
          </c:cat>
          <c:val>
            <c:numRef>
              <c:extLst>
                <c:ext xmlns:c15="http://schemas.microsoft.com/office/drawing/2012/chart" uri="{02D57815-91ED-43cb-92C2-25804820EDAC}">
                  <c15:fullRef>
                    <c15:sqref>Analysis!$L$59:$L$61</c15:sqref>
                  </c15:fullRef>
                </c:ext>
              </c:extLst>
              <c:f>Analysis!$L$59:$L$60</c:f>
              <c:numCache>
                <c:formatCode>General</c:formatCode>
                <c:ptCount val="2"/>
                <c:pt idx="0">
                  <c:v>47</c:v>
                </c:pt>
                <c:pt idx="1">
                  <c:v>23</c:v>
                </c:pt>
              </c:numCache>
            </c:numRef>
          </c:val>
          <c:extLst>
            <c:ext xmlns:c16="http://schemas.microsoft.com/office/drawing/2014/chart" uri="{C3380CC4-5D6E-409C-BE32-E72D297353CC}">
              <c16:uniqueId val="{00000000-F935-4EB7-A6DD-5FF2CD715C68}"/>
            </c:ext>
          </c:extLst>
        </c:ser>
        <c:ser>
          <c:idx val="1"/>
          <c:order val="1"/>
          <c:tx>
            <c:strRef>
              <c:f>Analysis!$M$58</c:f>
              <c:strCache>
                <c:ptCount val="1"/>
                <c:pt idx="0">
                  <c:v> # Treated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Analysis!$H$59:$H$61</c15:sqref>
                  </c15:fullRef>
                </c:ext>
              </c:extLst>
              <c:f>Analysis!$H$59:$H$60</c:f>
              <c:strCache>
                <c:ptCount val="2"/>
                <c:pt idx="0">
                  <c:v>Kachin</c:v>
                </c:pt>
                <c:pt idx="1">
                  <c:v>Shan (North)</c:v>
                </c:pt>
              </c:strCache>
            </c:strRef>
          </c:cat>
          <c:val>
            <c:numRef>
              <c:extLst>
                <c:ext xmlns:c15="http://schemas.microsoft.com/office/drawing/2012/chart" uri="{02D57815-91ED-43cb-92C2-25804820EDAC}">
                  <c15:fullRef>
                    <c15:sqref>Analysis!$M$59:$M$61</c15:sqref>
                  </c15:fullRef>
                </c:ext>
              </c:extLst>
              <c:f>Analysis!$M$59:$M$60</c:f>
              <c:numCache>
                <c:formatCode>General</c:formatCode>
                <c:ptCount val="2"/>
                <c:pt idx="0">
                  <c:v>37</c:v>
                </c:pt>
                <c:pt idx="1">
                  <c:v>0</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Analysis!$V$59</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Analysis!$X$58:$Y$58</c:f>
              <c:strCache>
                <c:ptCount val="2"/>
                <c:pt idx="0">
                  <c:v>Tested</c:v>
                </c:pt>
                <c:pt idx="1">
                  <c:v>No test</c:v>
                </c:pt>
              </c:strCache>
            </c:strRef>
          </c:cat>
          <c:val>
            <c:numRef>
              <c:f>Analysis!$X$59:$Y$59</c:f>
              <c:numCache>
                <c:formatCode>General</c:formatCode>
                <c:ptCount val="2"/>
                <c:pt idx="0">
                  <c:v>17</c:v>
                </c:pt>
                <c:pt idx="1">
                  <c:v>118</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Analysis!$V$60</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Analysis!$X$58:$Y$58</c15:sqref>
                        </c15:formulaRef>
                      </c:ext>
                    </c:extLst>
                    <c:strCache>
                      <c:ptCount val="2"/>
                      <c:pt idx="0">
                        <c:v>Tested</c:v>
                      </c:pt>
                      <c:pt idx="1">
                        <c:v>No test</c:v>
                      </c:pt>
                    </c:strCache>
                  </c:strRef>
                </c:cat>
                <c:val>
                  <c:numRef>
                    <c:extLst>
                      <c:ext uri="{02D57815-91ED-43cb-92C2-25804820EDAC}">
                        <c15:formulaRef>
                          <c15:sqref>Analysis!$X$60:$Y$60</c15:sqref>
                        </c15:formulaRef>
                      </c:ext>
                    </c:extLst>
                    <c:numCache>
                      <c:formatCode>General</c:formatCode>
                      <c:ptCount val="2"/>
                      <c:pt idx="0">
                        <c:v>16</c:v>
                      </c:pt>
                      <c:pt idx="1">
                        <c:v>20</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Analysis!$V$61</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Analysis!$X$58:$Y$58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Analysis!$X$61:$Y$61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Analysis!$V$60</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Analysis!$X$58:$Y$58</c:f>
              <c:strCache>
                <c:ptCount val="2"/>
                <c:pt idx="0">
                  <c:v>Tested</c:v>
                </c:pt>
                <c:pt idx="1">
                  <c:v>No test</c:v>
                </c:pt>
              </c:strCache>
              <c:extLst xmlns:c15="http://schemas.microsoft.com/office/drawing/2012/chart"/>
            </c:strRef>
          </c:cat>
          <c:val>
            <c:numRef>
              <c:f>Analysis!$X$60:$Y$60</c:f>
              <c:numCache>
                <c:formatCode>General</c:formatCode>
                <c:ptCount val="2"/>
                <c:pt idx="0">
                  <c:v>16</c:v>
                </c:pt>
                <c:pt idx="1">
                  <c:v>20</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Analysis!$V$59</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Analysis!$X$58:$Y$58</c15:sqref>
                        </c15:formulaRef>
                      </c:ext>
                    </c:extLst>
                    <c:strCache>
                      <c:ptCount val="2"/>
                      <c:pt idx="0">
                        <c:v>Tested</c:v>
                      </c:pt>
                      <c:pt idx="1">
                        <c:v>No test</c:v>
                      </c:pt>
                    </c:strCache>
                  </c:strRef>
                </c:cat>
                <c:val>
                  <c:numRef>
                    <c:extLst>
                      <c:ext uri="{02D57815-91ED-43cb-92C2-25804820EDAC}">
                        <c15:formulaRef>
                          <c15:sqref>Analysis!$X$59:$Y$59</c15:sqref>
                        </c15:formulaRef>
                      </c:ext>
                    </c:extLst>
                    <c:numCache>
                      <c:formatCode>General</c:formatCode>
                      <c:ptCount val="2"/>
                      <c:pt idx="0">
                        <c:v>17</c:v>
                      </c:pt>
                      <c:pt idx="1">
                        <c:v>118</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Analysis!$V$61</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Analysis!$X$58:$Y$58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Analysis!$X$61:$Y$61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Treated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Analysis!$V$59:$V$61</c15:sqref>
                  </c15:fullRef>
                </c:ext>
              </c:extLst>
              <c:f>Analysis!$V$59:$V$60</c:f>
              <c:strCache>
                <c:ptCount val="2"/>
                <c:pt idx="0">
                  <c:v>Kachin</c:v>
                </c:pt>
                <c:pt idx="1">
                  <c:v>Shan (North)</c:v>
                </c:pt>
              </c:strCache>
            </c:strRef>
          </c:cat>
          <c:val>
            <c:numRef>
              <c:extLst>
                <c:ext xmlns:c15="http://schemas.microsoft.com/office/drawing/2012/chart" uri="{02D57815-91ED-43cb-92C2-25804820EDAC}">
                  <c15:fullRef>
                    <c15:sqref>Analysis!$Z$59:$Z$61</c15:sqref>
                  </c15:fullRef>
                </c:ext>
              </c:extLst>
              <c:f>Analysis!$Z$59:$Z$60</c:f>
              <c:numCache>
                <c:formatCode>General</c:formatCode>
                <c:ptCount val="2"/>
                <c:pt idx="0">
                  <c:v>700</c:v>
                </c:pt>
                <c:pt idx="1">
                  <c:v>274</c:v>
                </c:pt>
              </c:numCache>
            </c:numRef>
          </c:val>
          <c:extLst>
            <c:ext xmlns:c16="http://schemas.microsoft.com/office/drawing/2014/chart" uri="{C3380CC4-5D6E-409C-BE32-E72D297353CC}">
              <c16:uniqueId val="{00000000-A528-4231-8455-2E23C4C4DBA8}"/>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Analysis!$V$59:$V$61</c15:sqref>
                  </c15:fullRef>
                </c:ext>
              </c:extLst>
              <c:f>Analysis!$V$59:$V$60</c:f>
              <c:strCache>
                <c:ptCount val="2"/>
                <c:pt idx="0">
                  <c:v>Kachin</c:v>
                </c:pt>
                <c:pt idx="1">
                  <c:v>Shan (North)</c:v>
                </c:pt>
              </c:strCache>
            </c:strRef>
          </c:cat>
          <c:val>
            <c:numRef>
              <c:extLst>
                <c:ext xmlns:c15="http://schemas.microsoft.com/office/drawing/2012/chart" uri="{02D57815-91ED-43cb-92C2-25804820EDAC}">
                  <c15:fullRef>
                    <c15:sqref>Analysis!$AA$59:$AA$61</c15:sqref>
                  </c15:fullRef>
                </c:ext>
              </c:extLst>
              <c:f>Analysis!$AA$59:$AA$60</c:f>
              <c:numCache>
                <c:formatCode>General</c:formatCode>
                <c:ptCount val="2"/>
                <c:pt idx="0">
                  <c:v>400</c:v>
                </c:pt>
                <c:pt idx="1">
                  <c:v>0</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Dashboard'!$A$30:$B$41</c:f>
              <c:multiLvlStrCache>
                <c:ptCount val="10"/>
                <c:lvl>
                  <c:pt idx="0">
                    <c:v>Hseni</c:v>
                  </c:pt>
                  <c:pt idx="1">
                    <c:v>Hsipaw</c:v>
                  </c:pt>
                  <c:pt idx="2">
                    <c:v>Kutkai</c:v>
                  </c:pt>
                  <c:pt idx="3">
                    <c:v>Lashio</c:v>
                  </c:pt>
                  <c:pt idx="4">
                    <c:v>Manton</c:v>
                  </c:pt>
                  <c:pt idx="5">
                    <c:v>Muse</c:v>
                  </c:pt>
                  <c:pt idx="6">
                    <c:v>Namhkan</c:v>
                  </c:pt>
                  <c:pt idx="7">
                    <c:v>Namtu</c:v>
                  </c:pt>
                  <c:pt idx="8">
                    <c:v>Nawnghkio</c:v>
                  </c:pt>
                  <c:pt idx="9">
                    <c:v>Laukkaing (Kokang SAZ)</c:v>
                  </c:pt>
                </c:lvl>
                <c:lvl>
                  <c:pt idx="0">
                    <c:v>Shan (North)</c:v>
                  </c:pt>
                </c:lvl>
              </c:multiLvlStrCache>
            </c:multiLvlStrRef>
          </c:cat>
          <c:val>
            <c:numRef>
              <c:f>'Quarterly Dashboard'!$C$30:$C$41</c:f>
              <c:numCache>
                <c:formatCode>General</c:formatCode>
                <c:ptCount val="10"/>
                <c:pt idx="0">
                  <c:v>706</c:v>
                </c:pt>
                <c:pt idx="1">
                  <c:v>4094</c:v>
                </c:pt>
                <c:pt idx="2">
                  <c:v>11051</c:v>
                </c:pt>
                <c:pt idx="3">
                  <c:v>95</c:v>
                </c:pt>
                <c:pt idx="4">
                  <c:v>687</c:v>
                </c:pt>
                <c:pt idx="5">
                  <c:v>3261</c:v>
                </c:pt>
                <c:pt idx="6">
                  <c:v>4121</c:v>
                </c:pt>
                <c:pt idx="7">
                  <c:v>1757</c:v>
                </c:pt>
                <c:pt idx="8">
                  <c:v>53</c:v>
                </c:pt>
                <c:pt idx="9">
                  <c:v>4171</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Dashboard'!$A$30:$B$41</c:f>
              <c:multiLvlStrCache>
                <c:ptCount val="10"/>
                <c:lvl>
                  <c:pt idx="0">
                    <c:v>Hseni</c:v>
                  </c:pt>
                  <c:pt idx="1">
                    <c:v>Hsipaw</c:v>
                  </c:pt>
                  <c:pt idx="2">
                    <c:v>Kutkai</c:v>
                  </c:pt>
                  <c:pt idx="3">
                    <c:v>Lashio</c:v>
                  </c:pt>
                  <c:pt idx="4">
                    <c:v>Manton</c:v>
                  </c:pt>
                  <c:pt idx="5">
                    <c:v>Muse</c:v>
                  </c:pt>
                  <c:pt idx="6">
                    <c:v>Namhkan</c:v>
                  </c:pt>
                  <c:pt idx="7">
                    <c:v>Namtu</c:v>
                  </c:pt>
                  <c:pt idx="8">
                    <c:v>Nawnghkio</c:v>
                  </c:pt>
                  <c:pt idx="9">
                    <c:v>Laukkaing (Kokang SAZ)</c:v>
                  </c:pt>
                </c:lvl>
                <c:lvl>
                  <c:pt idx="0">
                    <c:v>Shan (North)</c:v>
                  </c:pt>
                </c:lvl>
              </c:multiLvlStrCache>
            </c:multiLvlStrRef>
          </c:cat>
          <c:val>
            <c:numRef>
              <c:f>'Quarterly Dashboard'!$D$30:$D$41</c:f>
              <c:numCache>
                <c:formatCode>General</c:formatCode>
                <c:ptCount val="10"/>
                <c:pt idx="0">
                  <c:v>706</c:v>
                </c:pt>
                <c:pt idx="1">
                  <c:v>864</c:v>
                </c:pt>
                <c:pt idx="2">
                  <c:v>9617</c:v>
                </c:pt>
                <c:pt idx="3">
                  <c:v>95</c:v>
                </c:pt>
                <c:pt idx="4">
                  <c:v>687</c:v>
                </c:pt>
                <c:pt idx="5">
                  <c:v>1275</c:v>
                </c:pt>
                <c:pt idx="6">
                  <c:v>3002</c:v>
                </c:pt>
                <c:pt idx="7">
                  <c:v>1183</c:v>
                </c:pt>
                <c:pt idx="8">
                  <c:v>53</c:v>
                </c:pt>
                <c:pt idx="9">
                  <c:v>4171</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Dashboard'!$A$30:$B$41</c:f>
              <c:multiLvlStrCache>
                <c:ptCount val="10"/>
                <c:lvl>
                  <c:pt idx="0">
                    <c:v>Hseni</c:v>
                  </c:pt>
                  <c:pt idx="1">
                    <c:v>Hsipaw</c:v>
                  </c:pt>
                  <c:pt idx="2">
                    <c:v>Kutkai</c:v>
                  </c:pt>
                  <c:pt idx="3">
                    <c:v>Lashio</c:v>
                  </c:pt>
                  <c:pt idx="4">
                    <c:v>Manton</c:v>
                  </c:pt>
                  <c:pt idx="5">
                    <c:v>Muse</c:v>
                  </c:pt>
                  <c:pt idx="6">
                    <c:v>Namhkan</c:v>
                  </c:pt>
                  <c:pt idx="7">
                    <c:v>Namtu</c:v>
                  </c:pt>
                  <c:pt idx="8">
                    <c:v>Nawnghkio</c:v>
                  </c:pt>
                  <c:pt idx="9">
                    <c:v>Laukkaing (Kokang SAZ)</c:v>
                  </c:pt>
                </c:lvl>
                <c:lvl>
                  <c:pt idx="0">
                    <c:v>Shan (North)</c:v>
                  </c:pt>
                </c:lvl>
              </c:multiLvlStrCache>
            </c:multiLvlStrRef>
          </c:cat>
          <c:val>
            <c:numRef>
              <c:f>'Quarterly Dashboard'!$E$30:$E$41</c:f>
              <c:numCache>
                <c:formatCode>General</c:formatCode>
                <c:ptCount val="10"/>
                <c:pt idx="0">
                  <c:v>684</c:v>
                </c:pt>
                <c:pt idx="1">
                  <c:v>2000</c:v>
                </c:pt>
                <c:pt idx="2">
                  <c:v>8494</c:v>
                </c:pt>
                <c:pt idx="3">
                  <c:v>95</c:v>
                </c:pt>
                <c:pt idx="4">
                  <c:v>602</c:v>
                </c:pt>
                <c:pt idx="5">
                  <c:v>3261</c:v>
                </c:pt>
                <c:pt idx="6">
                  <c:v>1821</c:v>
                </c:pt>
                <c:pt idx="7">
                  <c:v>853</c:v>
                </c:pt>
                <c:pt idx="8">
                  <c:v>0</c:v>
                </c:pt>
                <c:pt idx="9">
                  <c:v>3359</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Dashboard'!$A$30:$B$41</c:f>
              <c:multiLvlStrCache>
                <c:ptCount val="10"/>
                <c:lvl>
                  <c:pt idx="0">
                    <c:v>Hseni</c:v>
                  </c:pt>
                  <c:pt idx="1">
                    <c:v>Hsipaw</c:v>
                  </c:pt>
                  <c:pt idx="2">
                    <c:v>Kutkai</c:v>
                  </c:pt>
                  <c:pt idx="3">
                    <c:v>Lashio</c:v>
                  </c:pt>
                  <c:pt idx="4">
                    <c:v>Manton</c:v>
                  </c:pt>
                  <c:pt idx="5">
                    <c:v>Muse</c:v>
                  </c:pt>
                  <c:pt idx="6">
                    <c:v>Namhkan</c:v>
                  </c:pt>
                  <c:pt idx="7">
                    <c:v>Namtu</c:v>
                  </c:pt>
                  <c:pt idx="8">
                    <c:v>Nawnghkio</c:v>
                  </c:pt>
                  <c:pt idx="9">
                    <c:v>Laukkaing (Kokang SAZ)</c:v>
                  </c:pt>
                </c:lvl>
                <c:lvl>
                  <c:pt idx="0">
                    <c:v>Shan (North)</c:v>
                  </c:pt>
                </c:lvl>
              </c:multiLvlStrCache>
            </c:multiLvlStrRef>
          </c:cat>
          <c:val>
            <c:numRef>
              <c:f>'Quarterly Dashboard'!$F$30:$F$41</c:f>
              <c:numCache>
                <c:formatCode>General</c:formatCode>
                <c:ptCount val="10"/>
                <c:pt idx="0">
                  <c:v>706</c:v>
                </c:pt>
                <c:pt idx="1">
                  <c:v>0</c:v>
                </c:pt>
                <c:pt idx="2">
                  <c:v>9221</c:v>
                </c:pt>
                <c:pt idx="3">
                  <c:v>0</c:v>
                </c:pt>
                <c:pt idx="4">
                  <c:v>687</c:v>
                </c:pt>
                <c:pt idx="5">
                  <c:v>1275</c:v>
                </c:pt>
                <c:pt idx="6">
                  <c:v>2455.666666666667</c:v>
                </c:pt>
                <c:pt idx="7">
                  <c:v>574.13333333333344</c:v>
                </c:pt>
                <c:pt idx="8">
                  <c:v>0</c:v>
                </c:pt>
                <c:pt idx="9">
                  <c:v>959</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Number of ppl Covered against 2019 HRP targets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HRP!$H$114</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E8A8-4037-987C-1EFA4CA8A78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E8A8-4037-987C-1EFA4CA8A78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HRP!$H$115:$H$117</c:f>
              <c:numCache>
                <c:formatCode>_(* #,##0_);_(* \(#,##0\);_(* "-"??_);_(@_)</c:formatCode>
                <c:ptCount val="3"/>
                <c:pt idx="0">
                  <c:v>69692</c:v>
                </c:pt>
                <c:pt idx="1">
                  <c:v>68866</c:v>
                </c:pt>
                <c:pt idx="2">
                  <c:v>60883.466666666645</c:v>
                </c:pt>
              </c:numCache>
            </c:numRef>
          </c:val>
          <c:extLst>
            <c:ext xmlns:c16="http://schemas.microsoft.com/office/drawing/2014/chart" uri="{C3380CC4-5D6E-409C-BE32-E72D297353CC}">
              <c16:uniqueId val="{00000008-E8A8-4037-987C-1EFA4CA8A785}"/>
            </c:ext>
          </c:extLst>
        </c:ser>
        <c:ser>
          <c:idx val="1"/>
          <c:order val="1"/>
          <c:tx>
            <c:strRef>
              <c:f>HRP!$I$114</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E8A8-4037-987C-1EFA4CA8A78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E8A8-4037-987C-1EFA4CA8A785}"/>
              </c:ext>
            </c:extLst>
          </c:dPt>
          <c:dLbls>
            <c:dLbl>
              <c:idx val="2"/>
              <c:layout>
                <c:manualLayout>
                  <c:x val="1.6660959959908744E-3"/>
                  <c:y val="2.975463205820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A8-4037-987C-1EFA4CA8A7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HRP!$I$115:$I$117</c:f>
              <c:numCache>
                <c:formatCode>_(* #,##0_);_(* \(#,##0\);_(* "-"??_);_(@_)</c:formatCode>
                <c:ptCount val="3"/>
                <c:pt idx="0">
                  <c:v>32282</c:v>
                </c:pt>
                <c:pt idx="1">
                  <c:v>33108</c:v>
                </c:pt>
                <c:pt idx="2">
                  <c:v>41090.533333333355</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Analysis!$J$218</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Analysis!$I$219:$I$222</c:f>
              <c:strCache>
                <c:ptCount val="4"/>
                <c:pt idx="0">
                  <c:v>#HH reached by regular dedicated hygiene promotion</c:v>
                </c:pt>
                <c:pt idx="1">
                  <c:v>#HH with access to Hand Washing Station</c:v>
                </c:pt>
                <c:pt idx="2">
                  <c:v># HH received soaps</c:v>
                </c:pt>
                <c:pt idx="3">
                  <c:v># HH received Sanitary Pads</c:v>
                </c:pt>
              </c:strCache>
            </c:strRef>
          </c:cat>
          <c:val>
            <c:numRef>
              <c:f>Analysis!$J$219:$J$222</c:f>
              <c:numCache>
                <c:formatCode>0</c:formatCode>
                <c:ptCount val="4"/>
                <c:pt idx="0">
                  <c:v>10633.4</c:v>
                </c:pt>
                <c:pt idx="1">
                  <c:v>6777</c:v>
                </c:pt>
                <c:pt idx="2">
                  <c:v>5618</c:v>
                </c:pt>
                <c:pt idx="3">
                  <c:v>4017</c:v>
                </c:pt>
              </c:numCache>
            </c:numRef>
          </c:val>
          <c:extLst>
            <c:ext xmlns:c16="http://schemas.microsoft.com/office/drawing/2014/chart" uri="{C3380CC4-5D6E-409C-BE32-E72D297353CC}">
              <c16:uniqueId val="{00000000-8A12-41BD-89DE-DD9C030FDA43}"/>
            </c:ext>
          </c:extLst>
        </c:ser>
        <c:ser>
          <c:idx val="1"/>
          <c:order val="1"/>
          <c:tx>
            <c:strRef>
              <c:f>Analysis!$K$218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Analysis!$I$219:$I$222</c:f>
              <c:strCache>
                <c:ptCount val="4"/>
                <c:pt idx="0">
                  <c:v>#HH reached by regular dedicated hygiene promotion</c:v>
                </c:pt>
                <c:pt idx="1">
                  <c:v>#HH with access to Hand Washing Station</c:v>
                </c:pt>
                <c:pt idx="2">
                  <c:v># HH received soaps</c:v>
                </c:pt>
                <c:pt idx="3">
                  <c:v># HH received Sanitary Pads</c:v>
                </c:pt>
              </c:strCache>
            </c:strRef>
          </c:cat>
          <c:val>
            <c:numRef>
              <c:f>Analysis!$K$219:$K$222</c:f>
              <c:numCache>
                <c:formatCode>0</c:formatCode>
                <c:ptCount val="4"/>
                <c:pt idx="0">
                  <c:v>9730.6</c:v>
                </c:pt>
                <c:pt idx="1">
                  <c:v>13587</c:v>
                </c:pt>
                <c:pt idx="2">
                  <c:v>14746</c:v>
                </c:pt>
                <c:pt idx="3">
                  <c:v>16347</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415866472"/>
        <c:axId val="415865688"/>
      </c:barChart>
      <c:catAx>
        <c:axId val="4158664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5688"/>
        <c:crosses val="autoZero"/>
        <c:auto val="1"/>
        <c:lblAlgn val="ctr"/>
        <c:lblOffset val="100"/>
        <c:noMultiLvlLbl val="0"/>
      </c:catAx>
      <c:valAx>
        <c:axId val="415865688"/>
        <c:scaling>
          <c:orientation val="minMax"/>
          <c:max val="1"/>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647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endParaRPr lang="en-US" sz="1400">
              <a:effectLst/>
            </a:endParaRPr>
          </a:p>
        </c:rich>
      </c:tx>
      <c:layout>
        <c:manualLayout>
          <c:xMode val="edge"/>
          <c:yMode val="edge"/>
          <c:x val="0.18915263415704367"/>
          <c:y val="3.240735525417750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865336395369437"/>
          <c:y val="0.23407035114329283"/>
          <c:w val="0.83388992896624581"/>
          <c:h val="0.58652831336492073"/>
        </c:manualLayout>
      </c:layout>
      <c:barChart>
        <c:barDir val="bar"/>
        <c:grouping val="clustered"/>
        <c:varyColors val="0"/>
        <c:ser>
          <c:idx val="0"/>
          <c:order val="0"/>
          <c:tx>
            <c:strRef>
              <c:f>Analysis!$D$281:$D$282</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Analysis!$C$283:$C$284</c:f>
              <c:strCache>
                <c:ptCount val="2"/>
                <c:pt idx="0">
                  <c:v>Camp</c:v>
                </c:pt>
                <c:pt idx="1">
                  <c:v>Camp_not registered</c:v>
                </c:pt>
              </c:strCache>
            </c:strRef>
          </c:cat>
          <c:val>
            <c:numRef>
              <c:f>Analysis!$D$283:$D$284</c:f>
              <c:numCache>
                <c:formatCode>General</c:formatCode>
                <c:ptCount val="2"/>
                <c:pt idx="0">
                  <c:v>118</c:v>
                </c:pt>
                <c:pt idx="1">
                  <c:v>17</c:v>
                </c:pt>
              </c:numCache>
            </c:numRef>
          </c:val>
          <c:extLst>
            <c:ext xmlns:c16="http://schemas.microsoft.com/office/drawing/2014/chart" uri="{C3380CC4-5D6E-409C-BE32-E72D297353CC}">
              <c16:uniqueId val="{00000000-7EEC-4FD5-9305-B7503BED37B1}"/>
            </c:ext>
          </c:extLst>
        </c:ser>
        <c:ser>
          <c:idx val="1"/>
          <c:order val="1"/>
          <c:tx>
            <c:strRef>
              <c:f>Analysis!$E$281:$E$282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Analysis!$C$283:$C$284</c:f>
              <c:strCache>
                <c:ptCount val="2"/>
                <c:pt idx="0">
                  <c:v>Camp</c:v>
                </c:pt>
                <c:pt idx="1">
                  <c:v>Camp_not registered</c:v>
                </c:pt>
              </c:strCache>
            </c:strRef>
          </c:cat>
          <c:val>
            <c:numRef>
              <c:f>Analysis!$E$283:$E$284</c:f>
              <c:numCache>
                <c:formatCode>General</c:formatCode>
                <c:ptCount val="2"/>
                <c:pt idx="0">
                  <c:v>22</c:v>
                </c:pt>
              </c:numCache>
            </c:numRef>
          </c:val>
          <c:extLst>
            <c:ext xmlns:c16="http://schemas.microsoft.com/office/drawing/2014/chart" uri="{C3380CC4-5D6E-409C-BE32-E72D297353CC}">
              <c16:uniqueId val="{00000001-7EEC-4FD5-9305-B7503BED37B1}"/>
            </c:ext>
          </c:extLst>
        </c:ser>
        <c:dLbls>
          <c:showLegendKey val="0"/>
          <c:showVal val="0"/>
          <c:showCatName val="0"/>
          <c:showSerName val="0"/>
          <c:showPercent val="0"/>
          <c:showBubbleSize val="0"/>
        </c:dLbls>
        <c:gapWidth val="10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1463688355946815"/>
          <c:h val="0.2057830575655620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2019 HRP targets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359945900832368"/>
          <c:y val="0.19005917159763314"/>
          <c:w val="0.48260142639945619"/>
          <c:h val="0.69646243923651552"/>
        </c:manualLayout>
      </c:layout>
      <c:barChart>
        <c:barDir val="bar"/>
        <c:grouping val="percentStacked"/>
        <c:varyColors val="0"/>
        <c:ser>
          <c:idx val="0"/>
          <c:order val="0"/>
          <c:tx>
            <c:strRef>
              <c:f>HRP!$H$114</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FD32-408B-BEA6-80B3D1A1C8B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FD32-408B-BEA6-80B3D1A1C8B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HRP!$H$115:$H$117</c:f>
              <c:numCache>
                <c:formatCode>_(* #,##0_);_(* \(#,##0\);_(* "-"??_);_(@_)</c:formatCode>
                <c:ptCount val="3"/>
                <c:pt idx="0">
                  <c:v>69692</c:v>
                </c:pt>
                <c:pt idx="1">
                  <c:v>68866</c:v>
                </c:pt>
                <c:pt idx="2">
                  <c:v>60883.466666666645</c:v>
                </c:pt>
              </c:numCache>
            </c:numRef>
          </c:val>
          <c:extLst>
            <c:ext xmlns:c16="http://schemas.microsoft.com/office/drawing/2014/chart" uri="{C3380CC4-5D6E-409C-BE32-E72D297353CC}">
              <c16:uniqueId val="{00000008-FD32-408B-BEA6-80B3D1A1C8B5}"/>
            </c:ext>
          </c:extLst>
        </c:ser>
        <c:ser>
          <c:idx val="1"/>
          <c:order val="1"/>
          <c:tx>
            <c:strRef>
              <c:f>HRP!$I$114</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FD32-408B-BEA6-80B3D1A1C8B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C-FD32-408B-BEA6-80B3D1A1C8B5}"/>
              </c:ext>
            </c:extLst>
          </c:dPt>
          <c:dLbls>
            <c:dLbl>
              <c:idx val="2"/>
              <c:layout>
                <c:manualLayout>
                  <c:x val="8.6487303187530677E-3"/>
                  <c:y val="2.97554823457193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D32-408B-BEA6-80B3D1A1C8B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HRP!$F$115:$F$117</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HRP!$I$115:$I$117</c:f>
              <c:numCache>
                <c:formatCode>_(* #,##0_);_(* \(#,##0\);_(* "-"??_);_(@_)</c:formatCode>
                <c:ptCount val="3"/>
                <c:pt idx="0">
                  <c:v>32282</c:v>
                </c:pt>
                <c:pt idx="1">
                  <c:v>33108</c:v>
                </c:pt>
                <c:pt idx="2">
                  <c:v>41090.533333333355</c:v>
                </c:pt>
              </c:numCache>
            </c:numRef>
          </c:val>
          <c:extLst>
            <c:ext xmlns:c16="http://schemas.microsoft.com/office/drawing/2014/chart" uri="{C3380CC4-5D6E-409C-BE32-E72D297353CC}">
              <c16:uniqueId val="{00000013-FD32-408B-BEA6-80B3D1A1C8B5}"/>
            </c:ext>
          </c:extLst>
        </c:ser>
        <c:dLbls>
          <c:showLegendKey val="0"/>
          <c:showVal val="0"/>
          <c:showCatName val="0"/>
          <c:showSerName val="0"/>
          <c:showPercent val="0"/>
          <c:showBubbleSize val="0"/>
        </c:dLbls>
        <c:gapWidth val="150"/>
        <c:overlap val="100"/>
        <c:axId val="415869216"/>
        <c:axId val="415873920"/>
      </c:barChart>
      <c:catAx>
        <c:axId val="41586921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415873920"/>
        <c:crosses val="autoZero"/>
        <c:auto val="1"/>
        <c:lblAlgn val="ctr"/>
        <c:lblOffset val="100"/>
        <c:noMultiLvlLbl val="0"/>
      </c:catAx>
      <c:valAx>
        <c:axId val="41587392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921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b="1" i="0" u="none" strike="noStrike" baseline="0">
                <a:effectLst/>
              </a:rPr>
              <a:t>Constructed surface water drainage system</a:t>
            </a:r>
            <a:r>
              <a:rPr lang="en-US" sz="1300"/>
              <a:t> in active camps</a:t>
            </a:r>
          </a:p>
        </c:rich>
      </c:tx>
      <c:layout>
        <c:manualLayout>
          <c:xMode val="edge"/>
          <c:yMode val="edge"/>
          <c:x val="0.12940861659110076"/>
          <c:y val="5.5133061690857202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8701195010974861E-2"/>
          <c:y val="0.2979842137113754"/>
          <c:w val="0.46967762634824711"/>
          <c:h val="0.60881529903391252"/>
        </c:manualLayout>
      </c:layout>
      <c:pieChart>
        <c:varyColors val="1"/>
        <c:ser>
          <c:idx val="0"/>
          <c:order val="0"/>
          <c:tx>
            <c:strRef>
              <c:f>Analysis!$B$166</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58852384683"/>
                  <c:y val="-2.368575928804945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Analysis!$C$165:$F$165</c:f>
              <c:strCache>
                <c:ptCount val="4"/>
                <c:pt idx="0">
                  <c:v>Functional</c:v>
                </c:pt>
                <c:pt idx="1">
                  <c:v>NA</c:v>
                </c:pt>
                <c:pt idx="2">
                  <c:v>Not_Functional</c:v>
                </c:pt>
                <c:pt idx="3">
                  <c:v>Not_inPlace</c:v>
                </c:pt>
              </c:strCache>
            </c:strRef>
          </c:cat>
          <c:val>
            <c:numRef>
              <c:f>Analysis!$C$166:$F$166</c:f>
              <c:numCache>
                <c:formatCode>General</c:formatCode>
                <c:ptCount val="4"/>
                <c:pt idx="0">
                  <c:v>95</c:v>
                </c:pt>
                <c:pt idx="1">
                  <c:v>10</c:v>
                </c:pt>
                <c:pt idx="2">
                  <c:v>19</c:v>
                </c:pt>
                <c:pt idx="3">
                  <c:v>11</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Analysis!$C$165:$F$165</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Analysis!$C$167:$F$167</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Analysis!$B$168</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Analysis!$C$165:$F$165</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Analysis!$C$168:$F$168</c15:sqref>
                        </c15:formulaRef>
                      </c:ext>
                    </c:extLst>
                    <c:numCache>
                      <c:formatCode>General</c:formatCode>
                      <c:ptCount val="4"/>
                      <c:pt idx="0">
                        <c:v>16</c:v>
                      </c:pt>
                      <c:pt idx="1">
                        <c:v>10</c:v>
                      </c:pt>
                      <c:pt idx="2">
                        <c:v>6</c:v>
                      </c:pt>
                      <c:pt idx="3">
                        <c:v>7</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4696550528002663"/>
          <c:y val="0.30745147331636707"/>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470007583394718"/>
          <c:y val="0.28780977617713421"/>
          <c:w val="0.52362345096946195"/>
          <c:h val="0.62798293740270317"/>
        </c:manualLayout>
      </c:layout>
      <c:pieChart>
        <c:varyColors val="1"/>
        <c:ser>
          <c:idx val="0"/>
          <c:order val="0"/>
          <c:tx>
            <c:strRef>
              <c:f>Analysis!$B$182</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Analysis!$C$181:$F$181</c15:sqref>
                  </c15:fullRef>
                </c:ext>
              </c:extLst>
              <c:f>Analysis!$C$181:$E$181</c:f>
              <c:strCache>
                <c:ptCount val="3"/>
                <c:pt idx="0">
                  <c:v>NA</c:v>
                </c:pt>
                <c:pt idx="1">
                  <c:v>No</c:v>
                </c:pt>
                <c:pt idx="2">
                  <c:v>Yes</c:v>
                </c:pt>
              </c:strCache>
            </c:strRef>
          </c:cat>
          <c:val>
            <c:numRef>
              <c:extLst>
                <c:ext xmlns:c15="http://schemas.microsoft.com/office/drawing/2012/chart" uri="{02D57815-91ED-43cb-92C2-25804820EDAC}">
                  <c15:fullRef>
                    <c15:sqref>Analysis!$C$182:$F$182</c15:sqref>
                  </c15:fullRef>
                </c:ext>
              </c:extLst>
              <c:f>Analysis!$C$182:$E$182</c:f>
              <c:numCache>
                <c:formatCode>General</c:formatCode>
                <c:ptCount val="3"/>
                <c:pt idx="0">
                  <c:v>7</c:v>
                </c:pt>
                <c:pt idx="1">
                  <c:v>11</c:v>
                </c:pt>
                <c:pt idx="2">
                  <c:v>117</c:v>
                </c:pt>
              </c:numCache>
            </c:numRef>
          </c:val>
          <c:extLst>
            <c:ext xmlns:c15="http://schemas.microsoft.com/office/drawing/2012/chart" uri="{02D57815-91ED-43cb-92C2-25804820EDAC}">
              <c15:categoryFilterExceptions>
                <c15:categoryFilterException>
                  <c15:sqref>Analysis!$F$182</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3B5D-46B1-A56A-42BB27359445}"/>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Analysis!$B$183</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Analysis!$C$181:$F$181</c15:sqref>
                        </c15:fullRef>
                        <c15:formulaRef>
                          <c15:sqref>Analysis!$C$181:$E$181</c15:sqref>
                        </c15:formulaRef>
                      </c:ext>
                    </c:extLst>
                    <c:strCache>
                      <c:ptCount val="3"/>
                      <c:pt idx="0">
                        <c:v>NA</c:v>
                      </c:pt>
                      <c:pt idx="1">
                        <c:v>No</c:v>
                      </c:pt>
                      <c:pt idx="2">
                        <c:v>Yes</c:v>
                      </c:pt>
                    </c:strCache>
                  </c:strRef>
                </c:cat>
                <c:val>
                  <c:numRef>
                    <c:extLst>
                      <c:ext uri="{02D57815-91ED-43cb-92C2-25804820EDAC}">
                        <c15:fullRef>
                          <c15:sqref>Analysis!$C$183:$F$183</c15:sqref>
                        </c15:fullRef>
                        <c15:formulaRef>
                          <c15:sqref>Analysis!$C$183:$E$183</c15:sqref>
                        </c15:formulaRef>
                      </c:ext>
                    </c:extLst>
                    <c:numCache>
                      <c:formatCode>General</c:formatCode>
                      <c:ptCount val="3"/>
                    </c:numCache>
                  </c:numRef>
                </c:val>
                <c:extLst>
                  <c:ext uri="{02D57815-91ED-43cb-92C2-25804820EDAC}">
                    <c15:categoryFilterExceptions>
                      <c15:categoryFilterException>
                        <c15:sqref>Analysis!$F$183</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Analysis!$B$184</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Analysis!$C$181:$F$181</c15:sqref>
                        </c15:fullRef>
                        <c15:formulaRef>
                          <c15:sqref>Analysis!$C$181:$E$181</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Analysis!$C$184:$F$184</c15:sqref>
                        </c15:fullRef>
                        <c15:formulaRef>
                          <c15:sqref>Analysis!$C$184:$E$184</c15:sqref>
                        </c15:formulaRef>
                      </c:ext>
                    </c:extLst>
                    <c:numCache>
                      <c:formatCode>General</c:formatCode>
                      <c:ptCount val="3"/>
                      <c:pt idx="0">
                        <c:v>11</c:v>
                      </c:pt>
                      <c:pt idx="1">
                        <c:v>8</c:v>
                      </c:pt>
                      <c:pt idx="2">
                        <c:v>20</c:v>
                      </c:pt>
                    </c:numCache>
                  </c:numRef>
                </c:val>
                <c:extLst xmlns:c15="http://schemas.microsoft.com/office/drawing/2012/chart">
                  <c:ext xmlns:c15="http://schemas.microsoft.com/office/drawing/2012/chart" uri="{02D57815-91ED-43cb-92C2-25804820EDAC}">
                    <c15:categoryFilterExceptions>
                      <c15:categoryFilterException>
                        <c15:sqref>Analysis!$F$184</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a:t>
            </a:r>
          </a:p>
        </c:rich>
      </c:tx>
      <c:layout>
        <c:manualLayout>
          <c:xMode val="edge"/>
          <c:yMode val="edge"/>
          <c:x val="0.30986262720337476"/>
          <c:y val="1.104188438886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30124759199"/>
          <c:y val="0.14220901415981985"/>
          <c:w val="0.76664698162729661"/>
          <c:h val="0.59198083231359311"/>
        </c:manualLayout>
      </c:layout>
      <c:barChart>
        <c:barDir val="col"/>
        <c:grouping val="percentStacked"/>
        <c:varyColors val="0"/>
        <c:ser>
          <c:idx val="0"/>
          <c:order val="0"/>
          <c:tx>
            <c:strRef>
              <c:f>Analysis!$B$137</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Analysis!$C$137:$D$137</c:f>
              <c:numCache>
                <c:formatCode>_(* #,##0_);_(* \(#,##0\);_(* "-"??_);_(@_)</c:formatCode>
                <c:ptCount val="2"/>
                <c:pt idx="0">
                  <c:v>2044</c:v>
                </c:pt>
                <c:pt idx="1">
                  <c:v>3194</c:v>
                </c:pt>
              </c:numCache>
            </c:numRef>
          </c:val>
          <c:extLst>
            <c:ext xmlns:c16="http://schemas.microsoft.com/office/drawing/2014/chart" uri="{C3380CC4-5D6E-409C-BE32-E72D297353CC}">
              <c16:uniqueId val="{00000000-EB8D-4AB9-A97C-27DB4BB591A4}"/>
            </c:ext>
          </c:extLst>
        </c:ser>
        <c:ser>
          <c:idx val="1"/>
          <c:order val="1"/>
          <c:tx>
            <c:strRef>
              <c:f>Analysis!$B$138</c:f>
              <c:strCache>
                <c:ptCount val="1"/>
                <c:pt idx="0">
                  <c:v> GAP </c:v>
                </c:pt>
              </c:strCache>
            </c:strRef>
          </c:tx>
          <c:spPr>
            <a:solidFill>
              <a:schemeClr val="accent2">
                <a:lumMod val="40000"/>
                <a:lumOff val="60000"/>
              </a:schemeClr>
            </a:solidFill>
            <a:ln>
              <a:noFill/>
            </a:ln>
            <a:effectLst/>
          </c:spPr>
          <c:invertIfNegative val="0"/>
          <c:dLbls>
            <c:dLbl>
              <c:idx val="1"/>
              <c:layout>
                <c:manualLayout>
                  <c:x val="4.6470781953235635E-3"/>
                  <c:y val="-3.40401656085327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D-4AB9-A97C-27DB4BB591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Analysis!$C$138:$D$138</c:f>
              <c:numCache>
                <c:formatCode>_(* #,##0_);_(* \(#,##0\);_(* "-"??_);_(@_)</c:formatCode>
                <c:ptCount val="2"/>
                <c:pt idx="0">
                  <c:v>603</c:v>
                </c:pt>
                <c:pt idx="1">
                  <c:v>0</c:v>
                </c:pt>
              </c:numCache>
            </c:numRef>
          </c:val>
          <c:extLst>
            <c:ext xmlns:c16="http://schemas.microsoft.com/office/drawing/2014/chart" uri="{C3380CC4-5D6E-409C-BE32-E72D297353CC}">
              <c16:uniqueId val="{00000002-EB8D-4AB9-A97C-27DB4BB591A4}"/>
            </c:ext>
          </c:extLst>
        </c:ser>
        <c:dLbls>
          <c:dLblPos val="ctr"/>
          <c:showLegendKey val="0"/>
          <c:showVal val="1"/>
          <c:showCatName val="0"/>
          <c:showSerName val="0"/>
          <c:showPercent val="0"/>
          <c:showBubbleSize val="0"/>
        </c:dLbls>
        <c:gapWidth val="150"/>
        <c:overlap val="100"/>
        <c:axId val="415874312"/>
        <c:axId val="415864512"/>
      </c:barChart>
      <c:catAx>
        <c:axId val="415874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4512"/>
        <c:crosses val="autoZero"/>
        <c:auto val="1"/>
        <c:lblAlgn val="ctr"/>
        <c:lblOffset val="100"/>
        <c:noMultiLvlLbl val="0"/>
      </c:catAx>
      <c:valAx>
        <c:axId val="41586451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4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 over to families</a:t>
            </a:r>
          </a:p>
        </c:rich>
      </c:tx>
      <c:layout>
        <c:manualLayout>
          <c:xMode val="edge"/>
          <c:yMode val="edge"/>
          <c:x val="0.19646301524412324"/>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8617630728851198"/>
          <c:w val="0.89814814814814814"/>
          <c:h val="0.5515058213877112"/>
        </c:manualLayout>
      </c:layout>
      <c:barChart>
        <c:barDir val="col"/>
        <c:grouping val="percentStacked"/>
        <c:varyColors val="0"/>
        <c:ser>
          <c:idx val="2"/>
          <c:order val="2"/>
          <c:tx>
            <c:strRef>
              <c:f>Analysis!$B$139</c:f>
              <c:strCache>
                <c:ptCount val="1"/>
                <c:pt idx="0">
                  <c:v> Latrines handed over </c:v>
                </c:pt>
              </c:strCache>
            </c:strRef>
          </c:tx>
          <c:spPr>
            <a:solidFill>
              <a:schemeClr val="accent2">
                <a:lumMod val="75000"/>
              </a:schemeClr>
            </a:solidFill>
            <a:ln>
              <a:noFill/>
            </a:ln>
            <a:effectLst/>
          </c:spPr>
          <c:invertIfNegative val="0"/>
          <c:dLbls>
            <c:dLbl>
              <c:idx val="1"/>
              <c:layout>
                <c:manualLayout>
                  <c:x val="1.686114515056206E-2"/>
                  <c:y val="-6.4584614433289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Analysis!$C$139:$D$139</c:f>
              <c:numCache>
                <c:formatCode>_(* #,##0_);_(* \(#,##0\);_(* "-"??_);_(@_)</c:formatCode>
                <c:ptCount val="2"/>
                <c:pt idx="0">
                  <c:v>755</c:v>
                </c:pt>
                <c:pt idx="1">
                  <c:v>800</c:v>
                </c:pt>
              </c:numCache>
            </c:numRef>
          </c:val>
          <c:extLst>
            <c:ext xmlns:c16="http://schemas.microsoft.com/office/drawing/2014/chart" uri="{C3380CC4-5D6E-409C-BE32-E72D297353CC}">
              <c16:uniqueId val="{00000000-89DD-4829-838C-9132D2EEC9DD}"/>
            </c:ext>
          </c:extLst>
        </c:ser>
        <c:ser>
          <c:idx val="3"/>
          <c:order val="3"/>
          <c:tx>
            <c:strRef>
              <c:f>Analysis!$B$140</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Analysis!$C$140:$D$140</c:f>
              <c:numCache>
                <c:formatCode>_(* #,##0_);_(* \(#,##0\);_(* "-"??_);_(@_)</c:formatCode>
                <c:ptCount val="2"/>
                <c:pt idx="0">
                  <c:v>1892</c:v>
                </c:pt>
                <c:pt idx="1">
                  <c:v>2394</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Analysis!$B$137</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Analysis!$C$136:$D$136</c15:sqref>
                        </c15:formulaRef>
                      </c:ext>
                    </c:extLst>
                    <c:strCache>
                      <c:ptCount val="2"/>
                      <c:pt idx="0">
                        <c:v> # in GCA (20:1) </c:v>
                      </c:pt>
                      <c:pt idx="1">
                        <c:v> # in NGCA (20:1) </c:v>
                      </c:pt>
                    </c:strCache>
                  </c:strRef>
                </c:cat>
                <c:val>
                  <c:numRef>
                    <c:extLst>
                      <c:ext uri="{02D57815-91ED-43cb-92C2-25804820EDAC}">
                        <c15:formulaRef>
                          <c15:sqref>Analysis!$C$137:$D$137</c15:sqref>
                        </c15:formulaRef>
                      </c:ext>
                    </c:extLst>
                    <c:numCache>
                      <c:formatCode>_(* #,##0_);_(* \(#,##0\);_(* "-"??_);_(@_)</c:formatCode>
                      <c:ptCount val="2"/>
                      <c:pt idx="0">
                        <c:v>2044</c:v>
                      </c:pt>
                      <c:pt idx="1">
                        <c:v>3194</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Analysis!$B$138</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Analysis!$C$136:$D$136</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Analysis!$C$138:$D$138</c15:sqref>
                        </c15:formulaRef>
                      </c:ext>
                    </c:extLst>
                    <c:numCache>
                      <c:formatCode>_(* #,##0_);_(* \(#,##0\);_(* "-"??_);_(@_)</c:formatCode>
                      <c:ptCount val="2"/>
                      <c:pt idx="0">
                        <c:v>603</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valAx>
      <c:spPr>
        <a:noFill/>
        <a:ln>
          <a:noFill/>
        </a:ln>
        <a:effectLst/>
      </c:spPr>
    </c:plotArea>
    <c:legend>
      <c:legendPos val="b"/>
      <c:layout>
        <c:manualLayout>
          <c:xMode val="edge"/>
          <c:yMode val="edge"/>
          <c:x val="0.2028525207412"/>
          <c:y val="0.85999983175180028"/>
          <c:w val="0.59484106391927383"/>
          <c:h val="0.140000168248199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3055909645744546"/>
          <c:w val="0.8269872515935508"/>
          <c:h val="0.59185864364540941"/>
        </c:manualLayout>
      </c:layout>
      <c:barChart>
        <c:barDir val="col"/>
        <c:grouping val="clustered"/>
        <c:varyColors val="0"/>
        <c:ser>
          <c:idx val="0"/>
          <c:order val="0"/>
          <c:tx>
            <c:strRef>
              <c:f>Analysis!$B$141</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Analysis!$C$141:$D$141</c:f>
              <c:numCache>
                <c:formatCode>_(* #,##0_);_(* \(#,##0\);_(* "-"??_);_(@_)</c:formatCode>
                <c:ptCount val="2"/>
                <c:pt idx="0">
                  <c:v>80</c:v>
                </c:pt>
                <c:pt idx="1">
                  <c:v>63</c:v>
                </c:pt>
              </c:numCache>
            </c:numRef>
          </c:val>
          <c:extLst>
            <c:ext xmlns:c16="http://schemas.microsoft.com/office/drawing/2014/chart" uri="{C3380CC4-5D6E-409C-BE32-E72D297353CC}">
              <c16:uniqueId val="{00000000-BE5C-460C-9416-9E341743CD67}"/>
            </c:ext>
          </c:extLst>
        </c:ser>
        <c:ser>
          <c:idx val="1"/>
          <c:order val="1"/>
          <c:tx>
            <c:strRef>
              <c:f>Analysis!$B$142</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Analysis!$C$136:$D$136</c:f>
              <c:strCache>
                <c:ptCount val="2"/>
                <c:pt idx="0">
                  <c:v> # in GCA (20:1) </c:v>
                </c:pt>
                <c:pt idx="1">
                  <c:v> # in NGCA (20:1) </c:v>
                </c:pt>
              </c:strCache>
            </c:strRef>
          </c:cat>
          <c:val>
            <c:numRef>
              <c:f>Analysis!$C$142:$D$142</c:f>
              <c:numCache>
                <c:formatCode>_(* #,##0_);_(* \(#,##0\);_(* "-"??_);_(@_)</c:formatCode>
                <c:ptCount val="2"/>
                <c:pt idx="0">
                  <c:v>565</c:v>
                </c:pt>
                <c:pt idx="1">
                  <c:v>21</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valAx>
      <c:spPr>
        <a:noFill/>
        <a:ln>
          <a:noFill/>
        </a:ln>
        <a:effectLst/>
      </c:spPr>
    </c:plotArea>
    <c:legend>
      <c:legendPos val="b"/>
      <c:layout>
        <c:manualLayout>
          <c:xMode val="edge"/>
          <c:yMode val="edge"/>
          <c:x val="0"/>
          <c:y val="0.84187877023347979"/>
          <c:w val="0.9750901434403646"/>
          <c:h val="0.1581212297665200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baseline="0">
                <a:solidFill>
                  <a:schemeClr val="tx2"/>
                </a:solidFill>
                <a:latin typeface="+mn-lt"/>
                <a:ea typeface="+mn-ea"/>
                <a:cs typeface="+mn-cs"/>
              </a:defRPr>
            </a:pPr>
            <a:r>
              <a:rPr lang="en-US" sz="1300"/>
              <a:t>Latrine</a:t>
            </a:r>
            <a:r>
              <a:rPr lang="en-US" sz="1300" baseline="0"/>
              <a:t> Functionality</a:t>
            </a:r>
            <a:endParaRPr lang="en-US" sz="1300"/>
          </a:p>
        </c:rich>
      </c:tx>
      <c:overlay val="0"/>
      <c:spPr>
        <a:noFill/>
        <a:ln>
          <a:noFill/>
        </a:ln>
        <a:effectLst/>
      </c:spPr>
    </c:title>
    <c:autoTitleDeleted val="0"/>
    <c:plotArea>
      <c:layout>
        <c:manualLayout>
          <c:layoutTarget val="inner"/>
          <c:xMode val="edge"/>
          <c:yMode val="edge"/>
          <c:x val="4.7934294137981587E-2"/>
          <c:y val="0.24707866477627027"/>
          <c:w val="0.49411010944340777"/>
          <c:h val="0.5599954709253096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c:spPr>
            <c:extLst>
              <c:ext xmlns:c16="http://schemas.microsoft.com/office/drawing/2014/chart" uri="{C3380CC4-5D6E-409C-BE32-E72D297353CC}">
                <c16:uniqueId val="{00000010-D4AE-42C3-98C8-A49BC4C43D3C}"/>
              </c:ext>
            </c:extLst>
          </c:dPt>
          <c:dPt>
            <c:idx val="2"/>
            <c:bubble3D val="0"/>
            <c:extLst>
              <c:ext xmlns:c16="http://schemas.microsoft.com/office/drawing/2014/chart" uri="{C3380CC4-5D6E-409C-BE32-E72D297353CC}">
                <c16:uniqueId val="{00000011-D4AE-42C3-98C8-A49BC4C43D3C}"/>
              </c:ext>
            </c:extLst>
          </c:dPt>
          <c:dLbls>
            <c:dLbl>
              <c:idx val="0"/>
              <c:numFmt formatCode="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numFmt formatCode="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Analysis!$F$137:$F$139</c:f>
              <c:strCache>
                <c:ptCount val="3"/>
                <c:pt idx="0">
                  <c:v>Functioning</c:v>
                </c:pt>
                <c:pt idx="1">
                  <c:v>Operation &amp; maintenance</c:v>
                </c:pt>
                <c:pt idx="2">
                  <c:v>Desludging</c:v>
                </c:pt>
              </c:strCache>
            </c:strRef>
          </c:cat>
          <c:val>
            <c:numRef>
              <c:f>Analysis!$G$137:$G$139</c:f>
              <c:numCache>
                <c:formatCode>_(* #,##0_);_(* \(#,##0\);_(* "-"??_);_(@_)</c:formatCode>
                <c:ptCount val="3"/>
                <c:pt idx="0" formatCode="General">
                  <c:v>5238</c:v>
                </c:pt>
                <c:pt idx="1">
                  <c:v>143</c:v>
                </c:pt>
                <c:pt idx="2" formatCode="General">
                  <c:v>586</c:v>
                </c:pt>
              </c:numCache>
            </c:numRef>
          </c:val>
          <c:extLst>
            <c:ext xmlns:c16="http://schemas.microsoft.com/office/drawing/2014/chart" uri="{C3380CC4-5D6E-409C-BE32-E72D297353CC}">
              <c16:uniqueId val="{0000000E-D4AE-42C3-98C8-A49BC4C43D3C}"/>
            </c:ext>
          </c:extLst>
        </c:ser>
        <c:ser>
          <c:idx val="0"/>
          <c:order val="1"/>
          <c:dPt>
            <c:idx val="0"/>
            <c:bubble3D val="0"/>
            <c:spPr>
              <a:solidFill>
                <a:schemeClr val="accent2">
                  <a:lumMod val="75000"/>
                </a:schemeClr>
              </a:solidFill>
              <a:ln>
                <a:noFill/>
              </a:ln>
              <a:effectLst/>
            </c:spPr>
            <c:extLst>
              <c:ext xmlns:c16="http://schemas.microsoft.com/office/drawing/2014/chart" uri="{C3380CC4-5D6E-409C-BE32-E72D297353CC}">
                <c16:uniqueId val="{00000008-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A-D4AE-42C3-98C8-A49BC4C43D3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C-D4AE-42C3-98C8-A49BC4C43D3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8-D4AE-42C3-98C8-A49BC4C43D3C}"/>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C-D4AE-42C3-98C8-A49BC4C43D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Analysis!$F$137:$F$139</c:f>
              <c:strCache>
                <c:ptCount val="3"/>
                <c:pt idx="0">
                  <c:v>Functioning</c:v>
                </c:pt>
                <c:pt idx="1">
                  <c:v>Operation &amp; maintenance</c:v>
                </c:pt>
                <c:pt idx="2">
                  <c:v>Desludging</c:v>
                </c:pt>
              </c:strCache>
            </c:strRef>
          </c:cat>
          <c:val>
            <c:numRef>
              <c:f>Analysis!$G$137:$G$139</c:f>
              <c:numCache>
                <c:formatCode>_(* #,##0_);_(* \(#,##0\);_(* "-"??_);_(@_)</c:formatCode>
                <c:ptCount val="3"/>
                <c:pt idx="0" formatCode="General">
                  <c:v>5238</c:v>
                </c:pt>
                <c:pt idx="1">
                  <c:v>143</c:v>
                </c:pt>
                <c:pt idx="2" formatCode="General">
                  <c:v>586</c:v>
                </c:pt>
              </c:numCache>
            </c:numRef>
          </c:val>
          <c:extLst>
            <c:ext xmlns:c16="http://schemas.microsoft.com/office/drawing/2014/chart" uri="{C3380CC4-5D6E-409C-BE32-E72D297353CC}">
              <c16:uniqueId val="{0000000D-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4552407773070077"/>
          <c:y val="0.24732645110896692"/>
          <c:w val="0.42150896885740502"/>
          <c:h val="0.64267898049872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1">
          <a:lumMod val="20000"/>
          <a:lumOff val="80000"/>
        </a:schemeClr>
      </a:solidFill>
    </a:ln>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1595881270893262"/>
        </c:manualLayout>
      </c:layout>
      <c:barChart>
        <c:barDir val="bar"/>
        <c:grouping val="clustered"/>
        <c:varyColors val="0"/>
        <c:ser>
          <c:idx val="0"/>
          <c:order val="0"/>
          <c:tx>
            <c:strRef>
              <c:f>Analysis!$C$364</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Analysis!$D$363:$H$363</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Analysis!$D$364:$H$364</c:f>
              <c:numCache>
                <c:formatCode>_(* #,##0_);_(* \(#,##0\);_(* "-"??_);_(@_)</c:formatCode>
                <c:ptCount val="5"/>
                <c:pt idx="0">
                  <c:v>94</c:v>
                </c:pt>
                <c:pt idx="1">
                  <c:v>137</c:v>
                </c:pt>
                <c:pt idx="2">
                  <c:v>38</c:v>
                </c:pt>
                <c:pt idx="3">
                  <c:v>170</c:v>
                </c:pt>
                <c:pt idx="4">
                  <c:v>37</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4.2176536263626302E-3"/>
          <c:y val="0.70737413545774386"/>
          <c:w val="0.9812930989263221"/>
          <c:h val="0.2727065412717669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Shan Number of ppl Covered against 2019 HRP targets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5-9CB2-4CA1-B9B8-76D1655698A1}"/>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6-9CB2-4CA1-B9B8-76D1655698A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HRP!$H$129:$H$131</c:f>
              <c:numCache>
                <c:formatCode>_(* #,##0_);_(* \(#,##0\);_(* "-"??_);_(@_)</c:formatCode>
                <c:ptCount val="3"/>
                <c:pt idx="0">
                  <c:v>13628</c:v>
                </c:pt>
                <c:pt idx="1">
                  <c:v>12343</c:v>
                </c:pt>
                <c:pt idx="2">
                  <c:v>9093.6666666666661</c:v>
                </c:pt>
              </c:numCache>
            </c:numRef>
          </c:val>
          <c:extLst>
            <c:ext xmlns:c16="http://schemas.microsoft.com/office/drawing/2014/chart" uri="{C3380CC4-5D6E-409C-BE32-E72D297353CC}">
              <c16:uniqueId val="{00000001-0CB7-4264-A3F9-A84426FA15A3}"/>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E-9CB2-4CA1-B9B8-76D1655698A1}"/>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F-9CB2-4CA1-B9B8-76D1655698A1}"/>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HRP!$I$129:$I$131</c:f>
              <c:numCache>
                <c:formatCode>_(* #,##0_);_(* \(#,##0\);_(* "-"??_);_(@_)</c:formatCode>
                <c:ptCount val="3"/>
                <c:pt idx="0">
                  <c:v>1510</c:v>
                </c:pt>
                <c:pt idx="1">
                  <c:v>2795</c:v>
                </c:pt>
                <c:pt idx="2">
                  <c:v>6044.3333333333339</c:v>
                </c:pt>
              </c:numCache>
            </c:numRef>
          </c:val>
          <c:extLst>
            <c:ext xmlns:c16="http://schemas.microsoft.com/office/drawing/2014/chart" uri="{C3380CC4-5D6E-409C-BE32-E72D297353CC}">
              <c16:uniqueId val="{00000002-0CB7-4264-A3F9-A84426FA15A3}"/>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Analysis!$C$396</c:f>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1-D5D1-4B0B-B3E1-F896635B9BE5}"/>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3-D5D1-4B0B-B3E1-F896635B9BE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Analysis!$D$395:$E$395</c:f>
              <c:strCache>
                <c:ptCount val="2"/>
                <c:pt idx="0">
                  <c:v>No</c:v>
                </c:pt>
                <c:pt idx="1">
                  <c:v>Yes</c:v>
                </c:pt>
              </c:strCache>
            </c:strRef>
          </c:cat>
          <c:val>
            <c:numRef>
              <c:f>Analysis!$D$396:$E$396</c:f>
              <c:numCache>
                <c:formatCode>0%</c:formatCode>
                <c:ptCount val="2"/>
                <c:pt idx="0">
                  <c:v>0.85925925925925928</c:v>
                </c:pt>
                <c:pt idx="1">
                  <c:v>0.14074074074074075</c:v>
                </c:pt>
              </c:numCache>
            </c:numRef>
          </c:val>
          <c:extLst>
            <c:ext xmlns:c16="http://schemas.microsoft.com/office/drawing/2014/chart" uri="{C3380CC4-5D6E-409C-BE32-E72D297353CC}">
              <c16:uniqueId val="{00000004-D5D1-4B0B-B3E1-F896635B9BE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Analysis!$C$397</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5D1-4B0B-B3E1-F896635B9BE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5D1-4B0B-B3E1-F896635B9BE5}"/>
                    </c:ext>
                  </c:extLst>
                </c:dPt>
                <c:cat>
                  <c:strRef>
                    <c:extLst>
                      <c:ext uri="{02D57815-91ED-43cb-92C2-25804820EDAC}">
                        <c15:formulaRef>
                          <c15:sqref>Analysis!$D$395:$E$395</c15:sqref>
                        </c15:formulaRef>
                      </c:ext>
                    </c:extLst>
                    <c:strCache>
                      <c:ptCount val="2"/>
                      <c:pt idx="0">
                        <c:v>No</c:v>
                      </c:pt>
                      <c:pt idx="1">
                        <c:v>Yes</c:v>
                      </c:pt>
                    </c:strCache>
                  </c:strRef>
                </c:cat>
                <c:val>
                  <c:numRef>
                    <c:extLst>
                      <c:ext uri="{02D57815-91ED-43cb-92C2-25804820EDAC}">
                        <c15:formulaRef>
                          <c15:sqref>Analysis!$D$397:$E$397</c15:sqref>
                        </c15:formulaRef>
                      </c:ext>
                    </c:extLst>
                    <c:numCache>
                      <c:formatCode>0%</c:formatCode>
                      <c:ptCount val="2"/>
                      <c:pt idx="0">
                        <c:v>0.33333333333333331</c:v>
                      </c:pt>
                      <c:pt idx="1">
                        <c:v>0.66666666666666663</c:v>
                      </c:pt>
                    </c:numCache>
                  </c:numRef>
                </c:val>
                <c:extLst>
                  <c:ext xmlns:c16="http://schemas.microsoft.com/office/drawing/2014/chart" uri="{C3380CC4-5D6E-409C-BE32-E72D297353CC}">
                    <c16:uniqueId val="{00000009-D5D1-4B0B-B3E1-F896635B9BE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Analysis!$C$398</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5D1-4B0B-B3E1-F896635B9BE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5D1-4B0B-B3E1-F896635B9BE5}"/>
                    </c:ext>
                  </c:extLst>
                </c:dPt>
                <c:cat>
                  <c:strRef>
                    <c:extLst xmlns:c15="http://schemas.microsoft.com/office/drawing/2012/chart">
                      <c:ext xmlns:c15="http://schemas.microsoft.com/office/drawing/2012/chart" uri="{02D57815-91ED-43cb-92C2-25804820EDAC}">
                        <c15:formulaRef>
                          <c15:sqref>Analysis!$D$395:$E$395</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Analysis!$D$398:$E$398</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D5D1-4B0B-B3E1-F896635B9BE5}"/>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[20190724_Myanmar_WASH_4W_2019_Q2_Consolidate_KachinShan_DRAFT.xlsx]Analysis!K_water1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endParaRPr lang="en-US" sz="1400">
              <a:effectLst/>
            </a:endParaRPr>
          </a:p>
          <a:p>
            <a:pPr>
              <a:defRPr sz="1400"/>
            </a:pPr>
            <a:r>
              <a:rPr lang="en-US" sz="1400" b="1" i="0" baseline="0">
                <a:effectLst/>
              </a:rPr>
              <a:t>(in active IDP camps)</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Analysis!$C$44</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Analysis!$B$45:$B$46</c:f>
              <c:strCache>
                <c:ptCount val="2"/>
                <c:pt idx="0">
                  <c:v>GCA (500:1)</c:v>
                </c:pt>
                <c:pt idx="1">
                  <c:v>NGCA (500:1)</c:v>
                </c:pt>
              </c:strCache>
            </c:strRef>
          </c:cat>
          <c:val>
            <c:numRef>
              <c:f>Analysis!$C$45:$C$46</c:f>
              <c:numCache>
                <c:formatCode>0</c:formatCode>
                <c:ptCount val="2"/>
                <c:pt idx="0">
                  <c:v>78.110933333333335</c:v>
                </c:pt>
                <c:pt idx="1">
                  <c:v>43.655999999999992</c:v>
                </c:pt>
              </c:numCache>
            </c:numRef>
          </c:val>
          <c:extLst>
            <c:ext xmlns:c16="http://schemas.microsoft.com/office/drawing/2014/chart" uri="{C3380CC4-5D6E-409C-BE32-E72D297353CC}">
              <c16:uniqueId val="{00000000-A106-4765-A739-467FC9D15075}"/>
            </c:ext>
          </c:extLst>
        </c:ser>
        <c:ser>
          <c:idx val="1"/>
          <c:order val="1"/>
          <c:tx>
            <c:strRef>
              <c:f>Analysis!$D$44</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Analysis!$B$45:$B$46</c:f>
              <c:strCache>
                <c:ptCount val="2"/>
                <c:pt idx="0">
                  <c:v>GCA (500:1)</c:v>
                </c:pt>
                <c:pt idx="1">
                  <c:v>NGCA (500:1)</c:v>
                </c:pt>
              </c:strCache>
            </c:strRef>
          </c:cat>
          <c:val>
            <c:numRef>
              <c:f>Analysis!$D$45:$D$46</c:f>
              <c:numCache>
                <c:formatCode>0</c:formatCode>
                <c:ptCount val="2"/>
                <c:pt idx="0">
                  <c:v>78.433066666666647</c:v>
                </c:pt>
                <c:pt idx="1">
                  <c:v>61.124000000000002</c:v>
                </c:pt>
              </c:numCache>
            </c:numRef>
          </c:val>
          <c:extLst>
            <c:ext xmlns:c16="http://schemas.microsoft.com/office/drawing/2014/chart" uri="{C3380CC4-5D6E-409C-BE32-E72D297353CC}">
              <c16:uniqueId val="{00000001-A106-4765-A739-467FC9D15075}"/>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689726284214473E-2"/>
          <c:y val="0.23610667491059015"/>
          <c:w val="0.43774608274889804"/>
          <c:h val="0.59102878282892879"/>
        </c:manualLayout>
      </c:layout>
      <c:pieChart>
        <c:varyColors val="1"/>
        <c:ser>
          <c:idx val="0"/>
          <c:order val="0"/>
          <c:tx>
            <c:strRef>
              <c:f>Analysis!$H$59</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Analysis!$J$58:$K$58</c:f>
              <c:strCache>
                <c:ptCount val="2"/>
                <c:pt idx="0">
                  <c:v>Tested</c:v>
                </c:pt>
                <c:pt idx="1">
                  <c:v>No Test</c:v>
                </c:pt>
              </c:strCache>
            </c:strRef>
          </c:cat>
          <c:val>
            <c:numRef>
              <c:f>Analysis!$J$59:$K$59</c:f>
              <c:numCache>
                <c:formatCode>0</c:formatCode>
                <c:ptCount val="2"/>
                <c:pt idx="0" formatCode="General">
                  <c:v>15</c:v>
                </c:pt>
                <c:pt idx="1">
                  <c:v>120</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Analysis!$H$60</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Analysis!$J$58:$K$58</c15:sqref>
                        </c15:formulaRef>
                      </c:ext>
                    </c:extLst>
                    <c:strCache>
                      <c:ptCount val="2"/>
                      <c:pt idx="0">
                        <c:v>Tested</c:v>
                      </c:pt>
                      <c:pt idx="1">
                        <c:v>No Test</c:v>
                      </c:pt>
                    </c:strCache>
                  </c:strRef>
                </c:cat>
                <c:val>
                  <c:numRef>
                    <c:extLst>
                      <c:ext uri="{02D57815-91ED-43cb-92C2-25804820EDAC}">
                        <c15:formulaRef>
                          <c15:sqref>Analysis!$J$60:$K$60</c15:sqref>
                        </c15:formulaRef>
                      </c:ext>
                    </c:extLst>
                    <c:numCache>
                      <c:formatCode>0</c:formatCode>
                      <c:ptCount val="2"/>
                      <c:pt idx="0" formatCode="General">
                        <c:v>21</c:v>
                      </c:pt>
                      <c:pt idx="1">
                        <c:v>18</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Analysis!$H$61</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Analysis!$J$58:$K$58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Analysis!$J$61:$K$61</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2.1734470691163604E-2"/>
          <c:y val="0.78500082416436234"/>
          <c:w val="0.45558055243094614"/>
          <c:h val="0.119450826113630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Analysis!$L$58</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Analysis!$H$59:$H$61</c15:sqref>
                  </c15:fullRef>
                </c:ext>
              </c:extLst>
              <c:f>Analysis!$H$59</c:f>
              <c:strCache>
                <c:ptCount val="1"/>
                <c:pt idx="0">
                  <c:v>Kachin</c:v>
                </c:pt>
              </c:strCache>
            </c:strRef>
          </c:cat>
          <c:val>
            <c:numRef>
              <c:extLst>
                <c:ext xmlns:c15="http://schemas.microsoft.com/office/drawing/2012/chart" uri="{02D57815-91ED-43cb-92C2-25804820EDAC}">
                  <c15:fullRef>
                    <c15:sqref>Analysis!$L$59:$L$61</c15:sqref>
                  </c15:fullRef>
                </c:ext>
              </c:extLst>
              <c:f>Analysis!$L$59</c:f>
              <c:numCache>
                <c:formatCode>General</c:formatCode>
                <c:ptCount val="1"/>
                <c:pt idx="0">
                  <c:v>47</c:v>
                </c:pt>
              </c:numCache>
            </c:numRef>
          </c:val>
          <c:extLst>
            <c:ext xmlns:c16="http://schemas.microsoft.com/office/drawing/2014/chart" uri="{C3380CC4-5D6E-409C-BE32-E72D297353CC}">
              <c16:uniqueId val="{00000000-7EB8-4675-BFE5-9A43CE575D39}"/>
            </c:ext>
          </c:extLst>
        </c:ser>
        <c:ser>
          <c:idx val="1"/>
          <c:order val="1"/>
          <c:tx>
            <c:strRef>
              <c:f>Analysis!$M$58</c:f>
              <c:strCache>
                <c:ptCount val="1"/>
                <c:pt idx="0">
                  <c:v> # Treated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Analysis!$H$59:$H$61</c15:sqref>
                  </c15:fullRef>
                </c:ext>
              </c:extLst>
              <c:f>Analysis!$H$59</c:f>
              <c:strCache>
                <c:ptCount val="1"/>
                <c:pt idx="0">
                  <c:v>Kachin</c:v>
                </c:pt>
              </c:strCache>
            </c:strRef>
          </c:cat>
          <c:val>
            <c:numRef>
              <c:extLst>
                <c:ext xmlns:c15="http://schemas.microsoft.com/office/drawing/2012/chart" uri="{02D57815-91ED-43cb-92C2-25804820EDAC}">
                  <c15:fullRef>
                    <c15:sqref>Analysis!$M$59:$M$61</c15:sqref>
                  </c15:fullRef>
                </c:ext>
              </c:extLst>
              <c:f>Analysis!$M$59</c:f>
              <c:numCache>
                <c:formatCode>General</c:formatCode>
                <c:ptCount val="1"/>
                <c:pt idx="0">
                  <c:v>37</c:v>
                </c:pt>
              </c:numCache>
            </c:numRef>
          </c:val>
          <c:extLst>
            <c:ext xmlns:c16="http://schemas.microsoft.com/office/drawing/2014/chart" uri="{C3380CC4-5D6E-409C-BE32-E72D297353CC}">
              <c16:uniqueId val="{00000001-7EB8-4675-BFE5-9A43CE575D39}"/>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0123421027221081E-3"/>
          <c:y val="0.28992098970786989"/>
          <c:w val="0.46906767088896495"/>
          <c:h val="0.45684425287670782"/>
        </c:manualLayout>
      </c:layout>
      <c:pieChart>
        <c:varyColors val="1"/>
        <c:ser>
          <c:idx val="0"/>
          <c:order val="0"/>
          <c:tx>
            <c:strRef>
              <c:f>Analysis!$V$59</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Analysis!$X$58:$Y$58</c:f>
              <c:strCache>
                <c:ptCount val="2"/>
                <c:pt idx="0">
                  <c:v>Tested</c:v>
                </c:pt>
                <c:pt idx="1">
                  <c:v>No test</c:v>
                </c:pt>
              </c:strCache>
            </c:strRef>
          </c:cat>
          <c:val>
            <c:numRef>
              <c:f>Analysis!$X$59:$Y$59</c:f>
              <c:numCache>
                <c:formatCode>General</c:formatCode>
                <c:ptCount val="2"/>
                <c:pt idx="0">
                  <c:v>17</c:v>
                </c:pt>
                <c:pt idx="1">
                  <c:v>118</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Analysis!$V$60</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Analysis!$X$58:$Y$58</c15:sqref>
                        </c15:formulaRef>
                      </c:ext>
                    </c:extLst>
                    <c:strCache>
                      <c:ptCount val="2"/>
                      <c:pt idx="0">
                        <c:v>Tested</c:v>
                      </c:pt>
                      <c:pt idx="1">
                        <c:v>No test</c:v>
                      </c:pt>
                    </c:strCache>
                  </c:strRef>
                </c:cat>
                <c:val>
                  <c:numRef>
                    <c:extLst>
                      <c:ext uri="{02D57815-91ED-43cb-92C2-25804820EDAC}">
                        <c15:formulaRef>
                          <c15:sqref>Analysis!$X$60:$Y$60</c15:sqref>
                        </c15:formulaRef>
                      </c:ext>
                    </c:extLst>
                    <c:numCache>
                      <c:formatCode>General</c:formatCode>
                      <c:ptCount val="2"/>
                      <c:pt idx="0">
                        <c:v>16</c:v>
                      </c:pt>
                      <c:pt idx="1">
                        <c:v>20</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Analysis!$V$61</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Analysis!$X$58:$Y$58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Analysis!$X$61:$Y$61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1.1585775858285272E-2"/>
          <c:y val="0.80010813302619266"/>
          <c:w val="0.48745477049482516"/>
          <c:h val="7.37710081321801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Analysis!$V$59:$V$61</c15:sqref>
                  </c15:fullRef>
                </c:ext>
              </c:extLst>
              <c:f>Analysis!$V$59</c:f>
              <c:strCache>
                <c:ptCount val="1"/>
                <c:pt idx="0">
                  <c:v>Kachin</c:v>
                </c:pt>
              </c:strCache>
            </c:strRef>
          </c:cat>
          <c:val>
            <c:numRef>
              <c:extLst>
                <c:ext xmlns:c15="http://schemas.microsoft.com/office/drawing/2012/chart" uri="{02D57815-91ED-43cb-92C2-25804820EDAC}">
                  <c15:fullRef>
                    <c15:sqref>Analysis!$Z$59:$Z$61</c15:sqref>
                  </c15:fullRef>
                </c:ext>
              </c:extLst>
              <c:f>Analysis!$Z$59</c:f>
              <c:numCache>
                <c:formatCode>General</c:formatCode>
                <c:ptCount val="1"/>
                <c:pt idx="0">
                  <c:v>700</c:v>
                </c:pt>
              </c:numCache>
            </c:numRef>
          </c:val>
          <c:extLst>
            <c:ext xmlns:c16="http://schemas.microsoft.com/office/drawing/2014/chart" uri="{C3380CC4-5D6E-409C-BE32-E72D297353CC}">
              <c16:uniqueId val="{00000000-0EA5-49C6-8AAD-D64C44191482}"/>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Analysis!$V$59:$V$61</c15:sqref>
                  </c15:fullRef>
                </c:ext>
              </c:extLst>
              <c:f>Analysis!$V$59</c:f>
              <c:strCache>
                <c:ptCount val="1"/>
                <c:pt idx="0">
                  <c:v>Kachin</c:v>
                </c:pt>
              </c:strCache>
            </c:strRef>
          </c:cat>
          <c:val>
            <c:numRef>
              <c:extLst>
                <c:ext xmlns:c15="http://schemas.microsoft.com/office/drawing/2012/chart" uri="{02D57815-91ED-43cb-92C2-25804820EDAC}">
                  <c15:fullRef>
                    <c15:sqref>Analysis!$AA$59:$AA$61</c15:sqref>
                  </c15:fullRef>
                </c:ext>
              </c:extLst>
              <c:f>Analysis!$AA$59</c:f>
              <c:numCache>
                <c:formatCode>General</c:formatCode>
                <c:ptCount val="1"/>
                <c:pt idx="0">
                  <c:v>400</c:v>
                </c:pt>
              </c:numCache>
            </c:numRef>
          </c:val>
          <c:extLst>
            <c:ext xmlns:c16="http://schemas.microsoft.com/office/drawing/2014/chart" uri="{C3380CC4-5D6E-409C-BE32-E72D297353CC}">
              <c16:uniqueId val="{00000001-0EA5-49C6-8AAD-D64C44191482}"/>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2019-Q2 (US$)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2019</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[6]National!$B$4</c:f>
              <c:strCache>
                <c:ptCount val="1"/>
                <c:pt idx="0">
                  <c:v>Kachin/Shan</c:v>
                </c:pt>
              </c:strCache>
            </c:strRef>
          </c:cat>
          <c:val>
            <c:numRef>
              <c:extLst>
                <c:ext xmlns:c15="http://schemas.microsoft.com/office/drawing/2012/chart" uri="{02D57815-91ED-43cb-92C2-25804820EDAC}">
                  <c15:fullRef>
                    <c15:sqref>[6]National!$D$4:$D$6</c15:sqref>
                  </c15:fullRef>
                </c:ext>
              </c:extLst>
              <c:f>[6]National!$D$4</c:f>
              <c:numCache>
                <c:formatCode>General</c:formatCode>
                <c:ptCount val="1"/>
                <c:pt idx="0">
                  <c:v>2534012.0007450287</c:v>
                </c:pt>
              </c:numCache>
            </c:numRef>
          </c:val>
          <c:extLst xmlns:c15="http://schemas.microsoft.com/office/drawing/2012/chart">
            <c:ext xmlns:c16="http://schemas.microsoft.com/office/drawing/2014/chart" uri="{C3380CC4-5D6E-409C-BE32-E72D297353CC}">
              <c16:uniqueId val="{00000000-4D34-4B6B-82AC-CC6F62763C82}"/>
            </c:ext>
          </c:extLst>
        </c:ser>
        <c:ser>
          <c:idx val="1"/>
          <c:order val="1"/>
          <c:tx>
            <c:strRef>
              <c:f>[6]National!$E$3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[6]National!$B$4</c:f>
              <c:strCache>
                <c:ptCount val="1"/>
                <c:pt idx="0">
                  <c:v>Kachin/Shan</c:v>
                </c:pt>
              </c:strCache>
            </c:strRef>
          </c:cat>
          <c:val>
            <c:numRef>
              <c:extLst>
                <c:ext xmlns:c15="http://schemas.microsoft.com/office/drawing/2012/chart" uri="{02D57815-91ED-43cb-92C2-25804820EDAC}">
                  <c15:fullRef>
                    <c15:sqref>[6]National!$E$4:$E$6</c15:sqref>
                  </c15:fullRef>
                </c:ext>
              </c:extLst>
              <c:f>[6]National!$E$4</c:f>
              <c:numCache>
                <c:formatCode>General</c:formatCode>
                <c:ptCount val="1"/>
                <c:pt idx="0">
                  <c:v>4965987.9992549717</c:v>
                </c:pt>
              </c:numCache>
            </c:numRef>
          </c:val>
          <c:extLst>
            <c:ext xmlns:c16="http://schemas.microsoft.com/office/drawing/2014/chart" uri="{C3380CC4-5D6E-409C-BE32-E72D297353CC}">
              <c16:uniqueId val="{00000001-4D34-4B6B-82AC-CC6F62763C82}"/>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5.4238963589399135E-3</c:v>
              </c:pt>
            </c:numLit>
          </c:val>
          <c:extLst>
            <c:ext xmlns:c16="http://schemas.microsoft.com/office/drawing/2014/chart" uri="{C3380CC4-5D6E-409C-BE32-E72D297353CC}">
              <c16:uniqueId val="{00000000-0A05-4610-BC0C-4556C4ED08E3}"/>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0.20587711590234961</c:v>
              </c:pt>
            </c:numLit>
          </c:val>
          <c:extLst>
            <c:ext xmlns:c16="http://schemas.microsoft.com/office/drawing/2014/chart" uri="{C3380CC4-5D6E-409C-BE32-E72D297353CC}">
              <c16:uniqueId val="{00000001-0A05-4610-BC0C-4556C4ED08E3}"/>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0.78869898773871039</c:v>
              </c:pt>
            </c:numLit>
          </c:val>
          <c:extLst>
            <c:ext xmlns:c16="http://schemas.microsoft.com/office/drawing/2014/chart" uri="{C3380CC4-5D6E-409C-BE32-E72D297353CC}">
              <c16:uniqueId val="{00000002-0A05-4610-BC0C-4556C4ED08E3}"/>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Analysis!$I$282:$I$283</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Analysis!$H$284:$H$287</c:f>
              <c:strCache>
                <c:ptCount val="4"/>
                <c:pt idx="0">
                  <c:v>Camp</c:v>
                </c:pt>
                <c:pt idx="1">
                  <c:v>Camp_not registered</c:v>
                </c:pt>
                <c:pt idx="2">
                  <c:v>New Temporary Site</c:v>
                </c:pt>
                <c:pt idx="3">
                  <c:v>Village</c:v>
                </c:pt>
              </c:strCache>
            </c:strRef>
          </c:cat>
          <c:val>
            <c:numRef>
              <c:f>Analysis!$I$284:$I$287</c:f>
              <c:numCache>
                <c:formatCode>General</c:formatCode>
                <c:ptCount val="4"/>
                <c:pt idx="0">
                  <c:v>33</c:v>
                </c:pt>
                <c:pt idx="1">
                  <c:v>3</c:v>
                </c:pt>
                <c:pt idx="2">
                  <c:v>3</c:v>
                </c:pt>
                <c:pt idx="3">
                  <c:v>4</c:v>
                </c:pt>
              </c:numCache>
            </c:numRef>
          </c:val>
          <c:extLst>
            <c:ext xmlns:c16="http://schemas.microsoft.com/office/drawing/2014/chart" uri="{C3380CC4-5D6E-409C-BE32-E72D297353CC}">
              <c16:uniqueId val="{00000000-8B99-4DAA-B16C-EE4930950E0B}"/>
            </c:ext>
          </c:extLst>
        </c:ser>
        <c:ser>
          <c:idx val="1"/>
          <c:order val="1"/>
          <c:tx>
            <c:strRef>
              <c:f>Analysis!$J$282:$J$283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Analysis!$H$284:$H$287</c:f>
              <c:strCache>
                <c:ptCount val="4"/>
                <c:pt idx="0">
                  <c:v>Camp</c:v>
                </c:pt>
                <c:pt idx="1">
                  <c:v>Camp_not registered</c:v>
                </c:pt>
                <c:pt idx="2">
                  <c:v>New Temporary Site</c:v>
                </c:pt>
                <c:pt idx="3">
                  <c:v>Village</c:v>
                </c:pt>
              </c:strCache>
            </c:strRef>
          </c:cat>
          <c:val>
            <c:numRef>
              <c:f>Analysis!$J$284:$J$287</c:f>
              <c:numCache>
                <c:formatCode>General</c:formatCode>
                <c:ptCount val="4"/>
                <c:pt idx="0">
                  <c:v>3</c:v>
                </c:pt>
              </c:numCache>
            </c:numRef>
          </c:val>
          <c:extLst>
            <c:ext xmlns:c16="http://schemas.microsoft.com/office/drawing/2014/chart" uri="{C3380CC4-5D6E-409C-BE32-E72D297353CC}">
              <c16:uniqueId val="{00000001-8B99-4DAA-B16C-EE4930950E0B}"/>
            </c:ext>
          </c:extLst>
        </c:ser>
        <c:dLbls>
          <c:showLegendKey val="0"/>
          <c:showVal val="0"/>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8517913972231675"/>
          <c:h val="0.1003557997439413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Number of ppl Covered against 2019 HRP targets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HRP!$H$128</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B5ED-4942-B40E-F08C88DFE4B9}"/>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B5ED-4942-B40E-F08C88DFE4B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HRP!$H$129:$H$131</c:f>
              <c:numCache>
                <c:formatCode>_(* #,##0_);_(* \(#,##0\);_(* "-"??_);_(@_)</c:formatCode>
                <c:ptCount val="3"/>
                <c:pt idx="0">
                  <c:v>13628</c:v>
                </c:pt>
                <c:pt idx="1">
                  <c:v>12343</c:v>
                </c:pt>
                <c:pt idx="2">
                  <c:v>9093.6666666666661</c:v>
                </c:pt>
              </c:numCache>
            </c:numRef>
          </c:val>
          <c:extLst>
            <c:ext xmlns:c16="http://schemas.microsoft.com/office/drawing/2014/chart" uri="{C3380CC4-5D6E-409C-BE32-E72D297353CC}">
              <c16:uniqueId val="{00000008-B5ED-4942-B40E-F08C88DFE4B9}"/>
            </c:ext>
          </c:extLst>
        </c:ser>
        <c:ser>
          <c:idx val="1"/>
          <c:order val="1"/>
          <c:tx>
            <c:strRef>
              <c:f>HRP!$I$128</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A-B5ED-4942-B40E-F08C88DFE4B9}"/>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C-B5ED-4942-B40E-F08C88DFE4B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HRP!$F$129:$F$131</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HRP!$I$129:$I$131</c:f>
              <c:numCache>
                <c:formatCode>_(* #,##0_);_(* \(#,##0\);_(* "-"??_);_(@_)</c:formatCode>
                <c:ptCount val="3"/>
                <c:pt idx="0">
                  <c:v>1510</c:v>
                </c:pt>
                <c:pt idx="1">
                  <c:v>2795</c:v>
                </c:pt>
                <c:pt idx="2">
                  <c:v>6044.3333333333339</c:v>
                </c:pt>
              </c:numCache>
            </c:numRef>
          </c:val>
          <c:extLst>
            <c:ext xmlns:c16="http://schemas.microsoft.com/office/drawing/2014/chart" uri="{C3380CC4-5D6E-409C-BE32-E72D297353CC}">
              <c16:uniqueId val="{00000011-B5ED-4942-B40E-F08C88DFE4B9}"/>
            </c:ext>
          </c:extLst>
        </c:ser>
        <c:dLbls>
          <c:showLegendKey val="0"/>
          <c:showVal val="0"/>
          <c:showCatName val="0"/>
          <c:showSerName val="0"/>
          <c:showPercent val="0"/>
          <c:showBubbleSize val="0"/>
        </c:dLbls>
        <c:gapWidth val="150"/>
        <c:overlap val="100"/>
        <c:axId val="419845568"/>
        <c:axId val="419845960"/>
      </c:barChart>
      <c:catAx>
        <c:axId val="4198455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419845960"/>
        <c:crosses val="autoZero"/>
        <c:auto val="1"/>
        <c:lblAlgn val="ctr"/>
        <c:lblOffset val="100"/>
        <c:noMultiLvlLbl val="0"/>
      </c:catAx>
      <c:valAx>
        <c:axId val="419845960"/>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55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 (Non-IDP</a:t>
            </a:r>
            <a:r>
              <a:rPr lang="en-US" sz="1400" baseline="0"/>
              <a:t>)</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HRP!$S$100</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3FE3-484D-8596-F3C5C9549EEA}"/>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HRP!$Q$101:$Q$103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HRP!$S$101:$S$103</c:f>
              <c:numCache>
                <c:formatCode>_(* #,##0_);_(* \(#,##0\);_(* "-"??_);_(@_)</c:formatCode>
                <c:ptCount val="3"/>
                <c:pt idx="0">
                  <c:v>19108</c:v>
                </c:pt>
                <c:pt idx="1">
                  <c:v>39202</c:v>
                </c:pt>
                <c:pt idx="2">
                  <c:v>46871</c:v>
                </c:pt>
              </c:numCache>
            </c:numRef>
          </c:val>
          <c:extLst>
            <c:ext xmlns:c16="http://schemas.microsoft.com/office/drawing/2014/chart" uri="{C3380CC4-5D6E-409C-BE32-E72D297353CC}">
              <c16:uniqueId val="{00000000-851F-45C7-9C99-A7FF6B6487FE}"/>
            </c:ext>
          </c:extLst>
        </c:ser>
        <c:ser>
          <c:idx val="1"/>
          <c:order val="1"/>
          <c:tx>
            <c:strRef>
              <c:f>HRP!$T$100</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3FE3-484D-8596-F3C5C9549EEA}"/>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3FE3-484D-8596-F3C5C9549E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HRP!$Q$101:$Q$103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HRP!$T$101:$T$103</c:f>
              <c:numCache>
                <c:formatCode>_(* #,##0_);_(* \(#,##0\);_(* "-"??_);_(@_)</c:formatCode>
                <c:ptCount val="3"/>
                <c:pt idx="0">
                  <c:v>265094</c:v>
                </c:pt>
                <c:pt idx="1">
                  <c:v>245000</c:v>
                </c:pt>
                <c:pt idx="2">
                  <c:v>237331</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a:t>
            </a:r>
            <a:r>
              <a:rPr lang="en-US" sz="1400"/>
              <a:t>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Analysis!$B$168</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Analysis!$C$165:$F$165</c:f>
              <c:strCache>
                <c:ptCount val="4"/>
                <c:pt idx="0">
                  <c:v>Functional</c:v>
                </c:pt>
                <c:pt idx="1">
                  <c:v>NA</c:v>
                </c:pt>
                <c:pt idx="2">
                  <c:v>Not_Functional</c:v>
                </c:pt>
                <c:pt idx="3">
                  <c:v>Not_inPlace</c:v>
                </c:pt>
              </c:strCache>
              <c:extLst xmlns:c15="http://schemas.microsoft.com/office/drawing/2012/chart"/>
            </c:strRef>
          </c:cat>
          <c:val>
            <c:numRef>
              <c:f>Analysis!$C$168:$F$168</c:f>
              <c:numCache>
                <c:formatCode>General</c:formatCode>
                <c:ptCount val="4"/>
                <c:pt idx="0">
                  <c:v>16</c:v>
                </c:pt>
                <c:pt idx="1">
                  <c:v>10</c:v>
                </c:pt>
                <c:pt idx="2">
                  <c:v>6</c:v>
                </c:pt>
                <c:pt idx="3">
                  <c:v>7</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Analysis!$B$166</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Analysis!$C$165:$F$165</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Analysis!$C$166:$F$166</c15:sqref>
                        </c15:formulaRef>
                      </c:ext>
                    </c:extLst>
                    <c:numCache>
                      <c:formatCode>General</c:formatCode>
                      <c:ptCount val="4"/>
                      <c:pt idx="0">
                        <c:v>95</c:v>
                      </c:pt>
                      <c:pt idx="1">
                        <c:v>10</c:v>
                      </c:pt>
                      <c:pt idx="2">
                        <c:v>19</c:v>
                      </c:pt>
                      <c:pt idx="3">
                        <c:v>11</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Analysis!$C$165:$F$165</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Analysis!$C$167:$F$167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Analysis!$B$184</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5.9140873849878359E-2"/>
                  <c:y val="0.1324815426088943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Analysis!$C$181:$F$181</c15:sqref>
                  </c15:fullRef>
                </c:ext>
              </c:extLst>
              <c:f>Analysis!$C$181:$E$181</c:f>
              <c:strCache>
                <c:ptCount val="3"/>
                <c:pt idx="0">
                  <c:v>NA</c:v>
                </c:pt>
                <c:pt idx="1">
                  <c:v>No</c:v>
                </c:pt>
                <c:pt idx="2">
                  <c:v>Yes</c:v>
                </c:pt>
              </c:strCache>
            </c:strRef>
          </c:cat>
          <c:val>
            <c:numRef>
              <c:extLst>
                <c:ext xmlns:c15="http://schemas.microsoft.com/office/drawing/2012/chart" uri="{02D57815-91ED-43cb-92C2-25804820EDAC}">
                  <c15:fullRef>
                    <c15:sqref>Analysis!$C$184:$F$184</c15:sqref>
                  </c15:fullRef>
                </c:ext>
              </c:extLst>
              <c:f>Analysis!$C$184:$E$184</c:f>
              <c:numCache>
                <c:formatCode>General</c:formatCode>
                <c:ptCount val="3"/>
                <c:pt idx="0">
                  <c:v>11</c:v>
                </c:pt>
                <c:pt idx="1">
                  <c:v>8</c:v>
                </c:pt>
                <c:pt idx="2">
                  <c:v>20</c:v>
                </c:pt>
              </c:numCache>
            </c:numRef>
          </c:val>
          <c:extLst>
            <c:ext xmlns:c15="http://schemas.microsoft.com/office/drawing/2012/chart" uri="{02D57815-91ED-43cb-92C2-25804820EDAC}">
              <c15:categoryFilterExceptions>
                <c15:categoryFilterException>
                  <c15:sqref>Analysis!$F$184</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9614-4406-AE1B-31D91045D155}"/>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Analysis!$B$182</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Analysis!$C$181:$F$181</c15:sqref>
                        </c15:fullRef>
                        <c15:formulaRef>
                          <c15:sqref>Analysis!$C$181:$E$181</c15:sqref>
                        </c15:formulaRef>
                      </c:ext>
                    </c:extLst>
                    <c:strCache>
                      <c:ptCount val="3"/>
                      <c:pt idx="0">
                        <c:v>NA</c:v>
                      </c:pt>
                      <c:pt idx="1">
                        <c:v>No</c:v>
                      </c:pt>
                      <c:pt idx="2">
                        <c:v>Yes</c:v>
                      </c:pt>
                    </c:strCache>
                  </c:strRef>
                </c:cat>
                <c:val>
                  <c:numRef>
                    <c:extLst>
                      <c:ext uri="{02D57815-91ED-43cb-92C2-25804820EDAC}">
                        <c15:fullRef>
                          <c15:sqref>Analysis!$C$182:$F$182</c15:sqref>
                        </c15:fullRef>
                        <c15:formulaRef>
                          <c15:sqref>Analysis!$C$182:$E$182</c15:sqref>
                        </c15:formulaRef>
                      </c:ext>
                    </c:extLst>
                    <c:numCache>
                      <c:formatCode>General</c:formatCode>
                      <c:ptCount val="3"/>
                      <c:pt idx="0">
                        <c:v>7</c:v>
                      </c:pt>
                      <c:pt idx="1">
                        <c:v>11</c:v>
                      </c:pt>
                      <c:pt idx="2">
                        <c:v>117</c:v>
                      </c:pt>
                    </c:numCache>
                  </c:numRef>
                </c:val>
                <c:extLst>
                  <c:ext uri="{02D57815-91ED-43cb-92C2-25804820EDAC}">
                    <c15:categoryFilterExceptions>
                      <c15:categoryFilterException>
                        <c15:sqref>Analysis!$F$182</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Analysis!$B$183</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Analysis!$C$181:$F$181</c15:sqref>
                        </c15:fullRef>
                        <c15:formulaRef>
                          <c15:sqref>Analysis!$C$181:$E$181</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Analysis!$C$183:$F$183</c15:sqref>
                        </c15:fullRef>
                        <c15:formulaRef>
                          <c15:sqref>Analysis!$C$183:$E$183</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Analysis!$F$183</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Analysis!$J$136</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_(* #,##0_);_(* \(#,##0\);_(* "-"??_);_(@_)</c:formatCode>
                <c:ptCount val="1"/>
                <c:pt idx="0">
                  <c:v>1535</c:v>
                </c:pt>
              </c:numCache>
            </c:numRef>
          </c:val>
          <c:extLst>
            <c:ext xmlns:c16="http://schemas.microsoft.com/office/drawing/2014/chart" uri="{C3380CC4-5D6E-409C-BE32-E72D297353CC}">
              <c16:uniqueId val="{00000000-ECF2-490F-AB47-E863EB1424C6}"/>
            </c:ext>
          </c:extLst>
        </c:ser>
        <c:ser>
          <c:idx val="1"/>
          <c:order val="1"/>
          <c:tx>
            <c:strRef>
              <c:f>Analysis!$J$137</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Analysis!$K$137:$L$137</c15:sqref>
                  </c15:fullRef>
                </c:ext>
              </c:extLst>
              <c:f>Analysis!$K$137</c:f>
              <c:numCache>
                <c:formatCode>_(* #,##0_);_(* \(#,##0\);_(* "-"??_);_(@_)</c:formatCode>
                <c:ptCount val="1"/>
                <c:pt idx="0">
                  <c:v>16</c:v>
                </c:pt>
              </c:numCache>
            </c:numRef>
          </c:val>
          <c:extLst>
            <c:ext xmlns:c16="http://schemas.microsoft.com/office/drawing/2014/chart" uri="{C3380CC4-5D6E-409C-BE32-E72D297353CC}">
              <c16:uniqueId val="{00000001-ECF2-490F-AB47-E863EB1424C6}"/>
            </c:ext>
          </c:extLst>
        </c:ser>
        <c:dLbls>
          <c:dLblPos val="ctr"/>
          <c:showLegendKey val="0"/>
          <c:showVal val="1"/>
          <c:showCatName val="0"/>
          <c:showSerName val="0"/>
          <c:showPercent val="0"/>
          <c:showBubbleSize val="0"/>
        </c:dLbls>
        <c:gapWidth val="150"/>
        <c:overlap val="100"/>
        <c:axId val="419854976"/>
        <c:axId val="419853800"/>
      </c:barChart>
      <c:catAx>
        <c:axId val="4198549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800"/>
        <c:crosses val="autoZero"/>
        <c:auto val="1"/>
        <c:lblAlgn val="ctr"/>
        <c:lblOffset val="100"/>
        <c:noMultiLvlLbl val="0"/>
      </c:catAx>
      <c:valAx>
        <c:axId val="41985380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4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 and desludged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Analysis!$J$140</c:f>
              <c:strCache>
                <c:ptCount val="1"/>
                <c:pt idx="0">
                  <c:v> # Operation &amp; maintenance </c:v>
                </c:pt>
              </c:strCache>
            </c:strRef>
          </c:tx>
          <c:spPr>
            <a:solidFill>
              <a:schemeClr val="accent2">
                <a:lumMod val="75000"/>
              </a:schemeClr>
            </a:solidFill>
            <a:ln>
              <a:noFill/>
            </a:ln>
            <a:effectLst/>
          </c:spPr>
          <c:invertIfNegative val="0"/>
          <c:dLbls>
            <c:dLbl>
              <c:idx val="0"/>
              <c:layout>
                <c:manualLayout>
                  <c:x val="0"/>
                  <c:y val="0.1368842099777200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75-4A98-8EA6-1E0830D0CD9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_(* #,##0_);_(* \(#,##0\);_(* "-"??_);_(@_)</c:formatCode>
                <c:ptCount val="1"/>
                <c:pt idx="0">
                  <c:v>51</c:v>
                </c:pt>
              </c:numCache>
            </c:numRef>
          </c:val>
          <c:extLst>
            <c:ext xmlns:c16="http://schemas.microsoft.com/office/drawing/2014/chart" uri="{C3380CC4-5D6E-409C-BE32-E72D297353CC}">
              <c16:uniqueId val="{00000000-014A-4722-B456-E8907B7553F3}"/>
            </c:ext>
          </c:extLst>
        </c:ser>
        <c:ser>
          <c:idx val="1"/>
          <c:order val="1"/>
          <c:tx>
            <c:strRef>
              <c:f>Analysis!$J$141</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Analysis!$K$135:$L$135</c15:sqref>
                  </c15:fullRef>
                </c:ext>
              </c:extLst>
              <c:f>Analysis!$K$135</c:f>
              <c:strCache>
                <c:ptCount val="1"/>
                <c:pt idx="0">
                  <c:v> # in GCA (20:1) </c:v>
                </c:pt>
              </c:strCache>
            </c:strRef>
          </c:cat>
          <c:val>
            <c:numRef>
              <c:extLst>
                <c:ext xmlns:c15="http://schemas.microsoft.com/office/drawing/2012/chart" uri="{02D57815-91ED-43cb-92C2-25804820EDAC}">
                  <c15:fullRef>
                    <c15:sqref>Analysis!$K$141:$L$141</c15:sqref>
                  </c15:fullRef>
                </c:ext>
              </c:extLst>
              <c:f>Analysis!$K$141</c:f>
              <c:numCache>
                <c:formatCode>_(* #,##0_);_(* \(#,##0\);_(* "-"??_);_(@_)</c:formatCode>
                <c:ptCount val="1"/>
                <c:pt idx="0">
                  <c:v>10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7002755523337518E-2"/>
          <c:y val="0.27283286709256394"/>
          <c:w val="0.48640971278746598"/>
          <c:h val="0.66954380131809299"/>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2459-4622-81B0-FFE866AD062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dLbl>
              <c:idx val="2"/>
              <c:layout>
                <c:manualLayout>
                  <c:x val="8.8458468503612928E-3"/>
                  <c:y val="2.695400512866531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Analysis!$N$135:$N$137</c:f>
              <c:strCache>
                <c:ptCount val="3"/>
                <c:pt idx="0">
                  <c:v>Functioning</c:v>
                </c:pt>
                <c:pt idx="1">
                  <c:v># Operation &amp; maintenance</c:v>
                </c:pt>
                <c:pt idx="2">
                  <c:v>Desludging</c:v>
                </c:pt>
              </c:strCache>
            </c:strRef>
          </c:cat>
          <c:val>
            <c:numRef>
              <c:f>Analysis!$O$135:$O$137</c:f>
              <c:numCache>
                <c:formatCode>_(* #,##0_);_(* \(#,##0\);_(* "-"??_);_(@_)</c:formatCode>
                <c:ptCount val="3"/>
                <c:pt idx="0">
                  <c:v>1535</c:v>
                </c:pt>
                <c:pt idx="1">
                  <c:v>51</c:v>
                </c:pt>
                <c:pt idx="2">
                  <c:v>10</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249413345114464"/>
          <c:y val="0.29850170887236827"/>
          <c:w val="0.41891549626714236"/>
          <c:h val="0.6124404414925318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in active camps</a:t>
            </a:r>
            <a:endParaRPr lang="en-US" sz="1400">
              <a:effectLst/>
            </a:endParaRPr>
          </a:p>
        </c:rich>
      </c:tx>
      <c:layout>
        <c:manualLayout>
          <c:xMode val="edge"/>
          <c:yMode val="edge"/>
          <c:x val="0.3475833515180235"/>
          <c:y val="2.986764751707541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7122708567636065E-2"/>
          <c:y val="0.16745931561930974"/>
          <c:w val="0.87232174103237092"/>
          <c:h val="0.5273621025225258"/>
        </c:manualLayout>
      </c:layout>
      <c:barChart>
        <c:barDir val="col"/>
        <c:grouping val="percentStacked"/>
        <c:varyColors val="0"/>
        <c:ser>
          <c:idx val="0"/>
          <c:order val="0"/>
          <c:tx>
            <c:strRef>
              <c:f>Analysis!$Q$218</c:f>
              <c:strCache>
                <c:ptCount val="1"/>
                <c:pt idx="0">
                  <c:v>Covered</c:v>
                </c:pt>
              </c:strCache>
            </c:strRef>
          </c:tx>
          <c:spPr>
            <a:solidFill>
              <a:schemeClr val="accent6">
                <a:lumMod val="75000"/>
              </a:schemeClr>
            </a:solidFill>
            <a:ln>
              <a:noFill/>
            </a:ln>
            <a:effectLst/>
          </c:spPr>
          <c:invertIfNegative val="0"/>
          <c:dLbls>
            <c:dLbl>
              <c:idx val="3"/>
              <c:layout>
                <c:manualLayout>
                  <c:x val="6.5762431507390027E-3"/>
                  <c:y val="-2.259887005649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D7-4316-B6E2-4B07A105AAC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Analysis!$P$219:$P$222</c:f>
              <c:strCache>
                <c:ptCount val="4"/>
                <c:pt idx="0">
                  <c:v>#HH reached by regular dedicated hygiene promotion</c:v>
                </c:pt>
                <c:pt idx="1">
                  <c:v>#HH with access to Hand Washing Station</c:v>
                </c:pt>
                <c:pt idx="2">
                  <c:v># HH received soaps</c:v>
                </c:pt>
                <c:pt idx="3">
                  <c:v># HH received Sanitary Pads</c:v>
                </c:pt>
              </c:strCache>
            </c:strRef>
          </c:cat>
          <c:val>
            <c:numRef>
              <c:f>Analysis!$Q$219:$Q$222</c:f>
              <c:numCache>
                <c:formatCode>0</c:formatCode>
                <c:ptCount val="4"/>
                <c:pt idx="0">
                  <c:v>1560.8</c:v>
                </c:pt>
                <c:pt idx="1">
                  <c:v>604</c:v>
                </c:pt>
                <c:pt idx="2">
                  <c:v>2165.8000000000002</c:v>
                </c:pt>
                <c:pt idx="3">
                  <c:v>1533</c:v>
                </c:pt>
              </c:numCache>
            </c:numRef>
          </c:val>
          <c:extLst>
            <c:ext xmlns:c16="http://schemas.microsoft.com/office/drawing/2014/chart" uri="{C3380CC4-5D6E-409C-BE32-E72D297353CC}">
              <c16:uniqueId val="{00000000-CBDF-46C4-8398-2F2620566A1B}"/>
            </c:ext>
          </c:extLst>
        </c:ser>
        <c:ser>
          <c:idx val="1"/>
          <c:order val="1"/>
          <c:tx>
            <c:strRef>
              <c:f>Analysis!$R$218</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Analysis!$P$219:$P$222</c:f>
              <c:strCache>
                <c:ptCount val="4"/>
                <c:pt idx="0">
                  <c:v>#HH reached by regular dedicated hygiene promotion</c:v>
                </c:pt>
                <c:pt idx="1">
                  <c:v>#HH with access to Hand Washing Station</c:v>
                </c:pt>
                <c:pt idx="2">
                  <c:v># HH received soaps</c:v>
                </c:pt>
                <c:pt idx="3">
                  <c:v># HH received Sanitary Pads</c:v>
                </c:pt>
              </c:strCache>
            </c:strRef>
          </c:cat>
          <c:val>
            <c:numRef>
              <c:f>Analysis!$R$219:$R$222</c:f>
              <c:numCache>
                <c:formatCode>0</c:formatCode>
                <c:ptCount val="4"/>
                <c:pt idx="0">
                  <c:v>812.2</c:v>
                </c:pt>
                <c:pt idx="1">
                  <c:v>1769</c:v>
                </c:pt>
                <c:pt idx="2">
                  <c:v>207.19999999999982</c:v>
                </c:pt>
                <c:pt idx="3">
                  <c:v>840</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419851840"/>
        <c:axId val="419850664"/>
      </c:barChart>
      <c:catAx>
        <c:axId val="4198518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0664"/>
        <c:crosses val="autoZero"/>
        <c:auto val="1"/>
        <c:lblAlgn val="ctr"/>
        <c:lblOffset val="100"/>
        <c:noMultiLvlLbl val="0"/>
      </c:catAx>
      <c:valAx>
        <c:axId val="4198506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1840"/>
        <c:crosses val="autoZero"/>
        <c:crossBetween val="between"/>
        <c:majorUnit val="0.2"/>
      </c:valAx>
      <c:spPr>
        <a:noFill/>
        <a:ln>
          <a:noFill/>
        </a:ln>
        <a:effectLst/>
      </c:spPr>
    </c:plotArea>
    <c:legend>
      <c:legendPos val="b"/>
      <c:layout>
        <c:manualLayout>
          <c:xMode val="edge"/>
          <c:yMode val="edge"/>
          <c:x val="0.3724316008165679"/>
          <c:y val="0.88568128515548517"/>
          <c:w val="0.28858398950131231"/>
          <c:h val="7.399744186727207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Analysis!$C$366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Analysis!$D$363:$H$363</c:f>
              <c:strCache>
                <c:ptCount val="5"/>
                <c:pt idx="0">
                  <c:v> # of hand washing stations with sufficient soap</c:v>
                </c:pt>
                <c:pt idx="1">
                  <c:v> # of hand washing stations for TLS</c:v>
                </c:pt>
                <c:pt idx="2">
                  <c:v># Hygiene Promotion activities (sessions) in TLS</c:v>
                </c:pt>
                <c:pt idx="3">
                  <c:v> # of latrines in TLS (schools)</c:v>
                </c:pt>
                <c:pt idx="4">
                  <c:v># Water points in TLS</c:v>
                </c:pt>
              </c:strCache>
            </c:strRef>
          </c:cat>
          <c:val>
            <c:numRef>
              <c:f>Analysis!$D$366:$H$366</c:f>
              <c:numCache>
                <c:formatCode>_(* #,##0_);_(* \(#,##0\);_(* "-"??_);_(@_)</c:formatCode>
                <c:ptCount val="5"/>
                <c:pt idx="0">
                  <c:v>0</c:v>
                </c:pt>
                <c:pt idx="1">
                  <c:v>1</c:v>
                </c:pt>
                <c:pt idx="2">
                  <c:v>87</c:v>
                </c:pt>
                <c:pt idx="3">
                  <c:v>6</c:v>
                </c:pt>
                <c:pt idx="4">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layout>
        <c:manualLayout>
          <c:xMode val="edge"/>
          <c:yMode val="edge"/>
          <c:x val="1.3808057013796317E-2"/>
          <c:y val="0.73248833479148434"/>
          <c:w val="0.98528513106107385"/>
          <c:h val="0.23925853018372703"/>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Sites with TLS/CFS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0256167979002624"/>
          <c:y val="0.19226669582968794"/>
          <c:w val="0.41987685914260719"/>
          <c:h val="0.69979476523767858"/>
        </c:manualLayout>
      </c:layout>
      <c:pieChart>
        <c:varyColors val="1"/>
        <c:ser>
          <c:idx val="1"/>
          <c:order val="1"/>
          <c:tx>
            <c:strRef>
              <c:f>Analysis!$C$397</c:f>
              <c:strCache>
                <c:ptCount val="1"/>
                <c:pt idx="0">
                  <c:v>Shan (North)</c:v>
                </c:pt>
              </c:strCache>
              <c:extLst xmlns:c15="http://schemas.microsoft.com/office/drawing/2012/chart"/>
            </c:strRef>
          </c:tx>
          <c:dPt>
            <c:idx val="0"/>
            <c:bubble3D val="0"/>
            <c:spPr>
              <a:solidFill>
                <a:schemeClr val="bg1">
                  <a:lumMod val="65000"/>
                </a:schemeClr>
              </a:solidFill>
              <a:ln>
                <a:noFill/>
              </a:ln>
              <a:effectLst/>
            </c:spPr>
            <c:extLst>
              <c:ext xmlns:c16="http://schemas.microsoft.com/office/drawing/2014/chart" uri="{C3380CC4-5D6E-409C-BE32-E72D297353CC}">
                <c16:uniqueId val="{00000001-2556-44CC-BE92-B3C85AC3BD1B}"/>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3-2556-44CC-BE92-B3C85AC3BD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Analysis!$D$395:$E$395</c:f>
              <c:strCache>
                <c:ptCount val="2"/>
                <c:pt idx="0">
                  <c:v>No</c:v>
                </c:pt>
                <c:pt idx="1">
                  <c:v>Yes</c:v>
                </c:pt>
              </c:strCache>
              <c:extLst xmlns:c15="http://schemas.microsoft.com/office/drawing/2012/chart"/>
            </c:strRef>
          </c:cat>
          <c:val>
            <c:numRef>
              <c:f>Analysis!$D$397:$E$397</c:f>
              <c:numCache>
                <c:formatCode>0%</c:formatCode>
                <c:ptCount val="2"/>
                <c:pt idx="0">
                  <c:v>0.33333333333333331</c:v>
                </c:pt>
                <c:pt idx="1">
                  <c:v>0.66666666666666663</c:v>
                </c:pt>
              </c:numCache>
              <c:extLst xmlns:c15="http://schemas.microsoft.com/office/drawing/2012/chart"/>
            </c:numRef>
          </c:val>
          <c:extLst>
            <c:ext xmlns:c16="http://schemas.microsoft.com/office/drawing/2014/chart" uri="{C3380CC4-5D6E-409C-BE32-E72D297353CC}">
              <c16:uniqueId val="{00000004-2556-44CC-BE92-B3C85AC3BD1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Analysis!$C$396</c15:sqref>
                        </c15:formulaRef>
                      </c:ext>
                    </c:extLst>
                    <c:strCache>
                      <c:ptCount val="1"/>
                      <c:pt idx="0">
                        <c:v>Kachin</c:v>
                      </c:pt>
                    </c:strCache>
                  </c:strRef>
                </c:tx>
                <c:dPt>
                  <c:idx val="0"/>
                  <c:bubble3D val="0"/>
                  <c:spPr>
                    <a:solidFill>
                      <a:schemeClr val="bg1">
                        <a:lumMod val="65000"/>
                      </a:schemeClr>
                    </a:solidFill>
                    <a:ln>
                      <a:noFill/>
                    </a:ln>
                    <a:effectLst/>
                  </c:spPr>
                  <c:extLst>
                    <c:ext xmlns:c16="http://schemas.microsoft.com/office/drawing/2014/chart" uri="{C3380CC4-5D6E-409C-BE32-E72D297353CC}">
                      <c16:uniqueId val="{00000006-2556-44CC-BE92-B3C85AC3BD1B}"/>
                    </c:ext>
                  </c:extLst>
                </c:dPt>
                <c:dPt>
                  <c:idx val="1"/>
                  <c:bubble3D val="0"/>
                  <c:spPr>
                    <a:solidFill>
                      <a:schemeClr val="tx1">
                        <a:lumMod val="65000"/>
                        <a:lumOff val="35000"/>
                      </a:schemeClr>
                    </a:solidFill>
                    <a:ln>
                      <a:noFill/>
                    </a:ln>
                    <a:effectLst/>
                  </c:spPr>
                  <c:extLst>
                    <c:ext xmlns:c16="http://schemas.microsoft.com/office/drawing/2014/chart" uri="{C3380CC4-5D6E-409C-BE32-E72D297353CC}">
                      <c16:uniqueId val="{00000008-2556-44CC-BE92-B3C85AC3BD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Analysis!$D$395:$E$395</c15:sqref>
                        </c15:formulaRef>
                      </c:ext>
                    </c:extLst>
                    <c:strCache>
                      <c:ptCount val="2"/>
                      <c:pt idx="0">
                        <c:v>No</c:v>
                      </c:pt>
                      <c:pt idx="1">
                        <c:v>Yes</c:v>
                      </c:pt>
                    </c:strCache>
                  </c:strRef>
                </c:cat>
                <c:val>
                  <c:numRef>
                    <c:extLst>
                      <c:ext uri="{02D57815-91ED-43cb-92C2-25804820EDAC}">
                        <c15:formulaRef>
                          <c15:sqref>Analysis!$D$396:$E$396</c15:sqref>
                        </c15:formulaRef>
                      </c:ext>
                    </c:extLst>
                    <c:numCache>
                      <c:formatCode>0%</c:formatCode>
                      <c:ptCount val="2"/>
                      <c:pt idx="0">
                        <c:v>0.85925925925925928</c:v>
                      </c:pt>
                      <c:pt idx="1">
                        <c:v>0.14074074074074075</c:v>
                      </c:pt>
                    </c:numCache>
                  </c:numRef>
                </c:val>
                <c:extLst>
                  <c:ext xmlns:c16="http://schemas.microsoft.com/office/drawing/2014/chart" uri="{C3380CC4-5D6E-409C-BE32-E72D297353CC}">
                    <c16:uniqueId val="{00000009-2556-44CC-BE92-B3C85AC3BD1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Analysis!$C$398</c15:sqref>
                        </c15:formulaRef>
                      </c:ext>
                    </c:extLst>
                    <c:strCache>
                      <c:ptCount val="1"/>
                    </c:strCache>
                  </c:strRef>
                </c:tx>
                <c:dPt>
                  <c:idx val="0"/>
                  <c:bubble3D val="0"/>
                  <c:spPr>
                    <a:solidFill>
                      <a:schemeClr val="bg1">
                        <a:lumMod val="75000"/>
                      </a:schemeClr>
                    </a:solidFill>
                    <a:ln>
                      <a:noFill/>
                    </a:ln>
                    <a:effectLst/>
                  </c:spPr>
                  <c:extLst xmlns:c15="http://schemas.microsoft.com/office/drawing/2012/chart">
                    <c:ext xmlns:c16="http://schemas.microsoft.com/office/drawing/2014/chart" uri="{C3380CC4-5D6E-409C-BE32-E72D297353CC}">
                      <c16:uniqueId val="{0000000B-2556-44CC-BE92-B3C85AC3BD1B}"/>
                    </c:ext>
                  </c:extLst>
                </c:dPt>
                <c:dPt>
                  <c:idx val="1"/>
                  <c:bubble3D val="0"/>
                  <c:spPr>
                    <a:solidFill>
                      <a:schemeClr val="tx1">
                        <a:lumMod val="65000"/>
                        <a:lumOff val="35000"/>
                      </a:schemeClr>
                    </a:solidFill>
                    <a:ln>
                      <a:noFill/>
                    </a:ln>
                    <a:effectLst/>
                  </c:spPr>
                  <c:extLst xmlns:c15="http://schemas.microsoft.com/office/drawing/2012/chart">
                    <c:ext xmlns:c16="http://schemas.microsoft.com/office/drawing/2014/chart" uri="{C3380CC4-5D6E-409C-BE32-E72D297353CC}">
                      <c16:uniqueId val="{0000000D-2556-44CC-BE92-B3C85AC3BD1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Analysis!$D$395:$E$395</c15:sqref>
                        </c15:formulaRef>
                      </c:ext>
                    </c:extLst>
                    <c:strCache>
                      <c:ptCount val="2"/>
                      <c:pt idx="0">
                        <c:v>No</c:v>
                      </c:pt>
                      <c:pt idx="1">
                        <c:v>Yes</c:v>
                      </c:pt>
                    </c:strCache>
                  </c:strRef>
                </c:cat>
                <c:val>
                  <c:numRef>
                    <c:extLst xmlns:c15="http://schemas.microsoft.com/office/drawing/2012/chart">
                      <c:ext xmlns:c15="http://schemas.microsoft.com/office/drawing/2012/chart" uri="{02D57815-91ED-43cb-92C2-25804820EDAC}">
                        <c15:formulaRef>
                          <c15:sqref>Analysis!$D$398:$E$398</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E-2556-44CC-BE92-B3C85AC3BD1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[20190724_Myanmar_WASH_4W_2019_Q2_Consolidate_KachinShan_DRAFT.xlsx]Analysis!S_water1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a:t>
            </a:r>
          </a:p>
          <a:p>
            <a:pPr>
              <a:defRPr sz="1400"/>
            </a:pPr>
            <a:r>
              <a:rPr lang="en-US" sz="1400" b="1" i="0" baseline="0">
                <a:effectLst/>
              </a:rPr>
              <a:t>(in active IDP camps)</a:t>
            </a: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Analysis!$J$44</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Analysis!$I$45</c:f>
              <c:strCache>
                <c:ptCount val="1"/>
                <c:pt idx="0">
                  <c:v>GCA (500:1)</c:v>
                </c:pt>
              </c:strCache>
            </c:strRef>
          </c:cat>
          <c:val>
            <c:numRef>
              <c:f>Analysis!$J$45</c:f>
              <c:numCache>
                <c:formatCode>0</c:formatCode>
                <c:ptCount val="1"/>
                <c:pt idx="0">
                  <c:v>16.269333333333336</c:v>
                </c:pt>
              </c:numCache>
            </c:numRef>
          </c:val>
          <c:extLst>
            <c:ext xmlns:c16="http://schemas.microsoft.com/office/drawing/2014/chart" uri="{C3380CC4-5D6E-409C-BE32-E72D297353CC}">
              <c16:uniqueId val="{00000000-D7F4-4139-9C36-2442EE4AFBCC}"/>
            </c:ext>
          </c:extLst>
        </c:ser>
        <c:ser>
          <c:idx val="1"/>
          <c:order val="1"/>
          <c:tx>
            <c:strRef>
              <c:f>Analysis!$K$44</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Analysis!$I$45</c:f>
              <c:strCache>
                <c:ptCount val="1"/>
                <c:pt idx="0">
                  <c:v>GCA (500:1)</c:v>
                </c:pt>
              </c:strCache>
            </c:strRef>
          </c:cat>
          <c:val>
            <c:numRef>
              <c:f>Analysis!$K$45</c:f>
              <c:numCache>
                <c:formatCode>0</c:formatCode>
                <c:ptCount val="1"/>
                <c:pt idx="0">
                  <c:v>27.696666666666669</c:v>
                </c:pt>
              </c:numCache>
            </c:numRef>
          </c:val>
          <c:extLst>
            <c:ext xmlns:c16="http://schemas.microsoft.com/office/drawing/2014/chart" uri="{C3380CC4-5D6E-409C-BE32-E72D297353CC}">
              <c16:uniqueId val="{00000001-D7F4-4139-9C36-2442EE4AFBCC}"/>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Analysis!$H$60</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Analysis!$J$58:$K$58</c:f>
              <c:strCache>
                <c:ptCount val="2"/>
                <c:pt idx="0">
                  <c:v>Tested</c:v>
                </c:pt>
                <c:pt idx="1">
                  <c:v>No Test</c:v>
                </c:pt>
              </c:strCache>
              <c:extLst xmlns:c15="http://schemas.microsoft.com/office/drawing/2012/chart"/>
            </c:strRef>
          </c:cat>
          <c:val>
            <c:numRef>
              <c:f>Analysis!$J$60:$K$60</c:f>
              <c:numCache>
                <c:formatCode>0</c:formatCode>
                <c:ptCount val="2"/>
                <c:pt idx="0" formatCode="General">
                  <c:v>21</c:v>
                </c:pt>
                <c:pt idx="1">
                  <c:v>18</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Analysis!$H$59</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Analysis!$J$58:$K$58</c15:sqref>
                        </c15:formulaRef>
                      </c:ext>
                    </c:extLst>
                    <c:strCache>
                      <c:ptCount val="2"/>
                      <c:pt idx="0">
                        <c:v>Tested</c:v>
                      </c:pt>
                      <c:pt idx="1">
                        <c:v>No Test</c:v>
                      </c:pt>
                    </c:strCache>
                  </c:strRef>
                </c:cat>
                <c:val>
                  <c:numRef>
                    <c:extLst>
                      <c:ext uri="{02D57815-91ED-43cb-92C2-25804820EDAC}">
                        <c15:formulaRef>
                          <c15:sqref>Analysis!$J$59:$K$59</c15:sqref>
                        </c15:formulaRef>
                      </c:ext>
                    </c:extLst>
                    <c:numCache>
                      <c:formatCode>0</c:formatCode>
                      <c:ptCount val="2"/>
                      <c:pt idx="0" formatCode="General">
                        <c:v>15</c:v>
                      </c:pt>
                      <c:pt idx="1">
                        <c:v>120</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Analysis!$H$61</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Analysis!$J$58:$K$58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Analysis!$J$61:$K$61</c15:sqref>
                        </c15:formulaRef>
                      </c:ext>
                    </c:extLst>
                    <c:numCache>
                      <c:formatCode>0</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2019 HRP targets</a:t>
            </a:r>
          </a:p>
          <a:p>
            <a:pPr>
              <a:defRPr sz="1400"/>
            </a:pPr>
            <a:r>
              <a:rPr lang="en-US" sz="1400" b="1" i="0" baseline="0">
                <a:effectLst/>
              </a:rPr>
              <a:t>(IDPs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HRP!$AF$100</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DF59-4E13-A78D-D1FAA2870958}"/>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DF59-4E13-A78D-D1FAA2870958}"/>
              </c:ext>
            </c:extLst>
          </c:dPt>
          <c:dPt>
            <c:idx val="2"/>
            <c:invertIfNegative val="0"/>
            <c:bubble3D val="0"/>
            <c:spPr>
              <a:solidFill>
                <a:srgbClr val="0070C0"/>
              </a:solidFill>
              <a:ln>
                <a:noFill/>
              </a:ln>
              <a:effectLst/>
            </c:spPr>
            <c:extLst>
              <c:ext xmlns:c16="http://schemas.microsoft.com/office/drawing/2014/chart" uri="{C3380CC4-5D6E-409C-BE32-E72D297353CC}">
                <c16:uniqueId val="{00000005-DF59-4E13-A78D-D1FAA287095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HRP!$AD$101:$AD$103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HRP!$AF$101:$AF$103</c:f>
              <c:numCache>
                <c:formatCode>_(* #,##0_);_(* \(#,##0\);_(* "-"??_);_(@_)</c:formatCode>
                <c:ptCount val="3"/>
                <c:pt idx="0">
                  <c:v>216580</c:v>
                </c:pt>
                <c:pt idx="1">
                  <c:v>201266</c:v>
                </c:pt>
                <c:pt idx="2">
                  <c:v>228406.1333333333</c:v>
                </c:pt>
              </c:numCache>
            </c:numRef>
          </c:val>
          <c:extLst>
            <c:ext xmlns:c16="http://schemas.microsoft.com/office/drawing/2014/chart" uri="{C3380CC4-5D6E-409C-BE32-E72D297353CC}">
              <c16:uniqueId val="{00000006-DF59-4E13-A78D-D1FAA2870958}"/>
            </c:ext>
          </c:extLst>
        </c:ser>
        <c:ser>
          <c:idx val="1"/>
          <c:order val="1"/>
          <c:tx>
            <c:strRef>
              <c:f>HRP!$AG$100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DF59-4E13-A78D-D1FAA2870958}"/>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A-DF59-4E13-A78D-D1FAA2870958}"/>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C-DF59-4E13-A78D-D1FAA287095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HRP!$AD$101:$AD$103</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HRP!$AG$101:$AG$103</c:f>
              <c:numCache>
                <c:formatCode>_(* #,##0_);_(* \(#,##0\);_(* "-"??_);_(@_)</c:formatCode>
                <c:ptCount val="3"/>
                <c:pt idx="0">
                  <c:v>271068</c:v>
                </c:pt>
                <c:pt idx="1">
                  <c:v>286382</c:v>
                </c:pt>
                <c:pt idx="2">
                  <c:v>259241.8666666667</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Analysis!$L$58</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Analysis!$H$59:$H$61</c15:sqref>
                  </c15:fullRef>
                </c:ext>
              </c:extLst>
              <c:f>Analysis!$H$60</c:f>
              <c:strCache>
                <c:ptCount val="1"/>
                <c:pt idx="0">
                  <c:v>Shan (North)</c:v>
                </c:pt>
              </c:strCache>
            </c:strRef>
          </c:cat>
          <c:val>
            <c:numRef>
              <c:extLst>
                <c:ext xmlns:c15="http://schemas.microsoft.com/office/drawing/2012/chart" uri="{02D57815-91ED-43cb-92C2-25804820EDAC}">
                  <c15:fullRef>
                    <c15:sqref>Analysis!$L$59:$L$61</c15:sqref>
                  </c15:fullRef>
                </c:ext>
              </c:extLst>
              <c:f>Analysis!$L$60</c:f>
              <c:numCache>
                <c:formatCode>General</c:formatCode>
                <c:ptCount val="1"/>
                <c:pt idx="0">
                  <c:v>23</c:v>
                </c:pt>
              </c:numCache>
            </c:numRef>
          </c:val>
          <c:extLst>
            <c:ext xmlns:c16="http://schemas.microsoft.com/office/drawing/2014/chart" uri="{C3380CC4-5D6E-409C-BE32-E72D297353CC}">
              <c16:uniqueId val="{00000000-38D6-4369-BEB9-91BE6B261982}"/>
            </c:ext>
          </c:extLst>
        </c:ser>
        <c:ser>
          <c:idx val="1"/>
          <c:order val="1"/>
          <c:tx>
            <c:strRef>
              <c:f>Analysis!$M$58</c:f>
              <c:strCache>
                <c:ptCount val="1"/>
                <c:pt idx="0">
                  <c:v> # Treated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Analysis!$H$59:$H$61</c15:sqref>
                  </c15:fullRef>
                </c:ext>
              </c:extLst>
              <c:f>Analysis!$H$60</c:f>
              <c:strCache>
                <c:ptCount val="1"/>
                <c:pt idx="0">
                  <c:v>Shan (North)</c:v>
                </c:pt>
              </c:strCache>
            </c:strRef>
          </c:cat>
          <c:val>
            <c:numRef>
              <c:extLst>
                <c:ext xmlns:c15="http://schemas.microsoft.com/office/drawing/2012/chart" uri="{02D57815-91ED-43cb-92C2-25804820EDAC}">
                  <c15:fullRef>
                    <c15:sqref>Analysis!$M$59:$M$61</c15:sqref>
                  </c15:fullRef>
                </c:ext>
              </c:extLst>
              <c:f>Analysis!$M$60</c:f>
              <c:numCache>
                <c:formatCode>General</c:formatCode>
                <c:ptCount val="1"/>
                <c:pt idx="0">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endParaRPr lang="en-US" sz="1400">
              <a:effectLst/>
            </a:endParaRPr>
          </a:p>
        </c:rich>
      </c:tx>
      <c:layout>
        <c:manualLayout>
          <c:xMode val="edge"/>
          <c:yMode val="edge"/>
          <c:x val="0.16449865219550258"/>
          <c:y val="7.4832853499604999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Analysis!$V$60</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Analysis!$X$58:$Y$58</c:f>
              <c:strCache>
                <c:ptCount val="2"/>
                <c:pt idx="0">
                  <c:v>Tested</c:v>
                </c:pt>
                <c:pt idx="1">
                  <c:v>No test</c:v>
                </c:pt>
              </c:strCache>
              <c:extLst xmlns:c15="http://schemas.microsoft.com/office/drawing/2012/chart"/>
            </c:strRef>
          </c:cat>
          <c:val>
            <c:numRef>
              <c:f>Analysis!$X$60:$Y$60</c:f>
              <c:numCache>
                <c:formatCode>General</c:formatCode>
                <c:ptCount val="2"/>
                <c:pt idx="0">
                  <c:v>16</c:v>
                </c:pt>
                <c:pt idx="1">
                  <c:v>20</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Analysis!$V$59</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Analysis!$X$58:$Y$58</c15:sqref>
                        </c15:formulaRef>
                      </c:ext>
                    </c:extLst>
                    <c:strCache>
                      <c:ptCount val="2"/>
                      <c:pt idx="0">
                        <c:v>Tested</c:v>
                      </c:pt>
                      <c:pt idx="1">
                        <c:v>No test</c:v>
                      </c:pt>
                    </c:strCache>
                  </c:strRef>
                </c:cat>
                <c:val>
                  <c:numRef>
                    <c:extLst>
                      <c:ext uri="{02D57815-91ED-43cb-92C2-25804820EDAC}">
                        <c15:formulaRef>
                          <c15:sqref>Analysis!$X$59:$Y$59</c15:sqref>
                        </c15:formulaRef>
                      </c:ext>
                    </c:extLst>
                    <c:numCache>
                      <c:formatCode>General</c:formatCode>
                      <c:ptCount val="2"/>
                      <c:pt idx="0">
                        <c:v>17</c:v>
                      </c:pt>
                      <c:pt idx="1">
                        <c:v>118</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Analysis!$V$61</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Analysis!$X$58:$Y$58</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Analysis!$X$61:$Y$61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Analysis!$V$59:$V$61</c15:sqref>
                  </c15:fullRef>
                </c:ext>
              </c:extLst>
              <c:f>Analysis!$V$60</c:f>
              <c:strCache>
                <c:ptCount val="1"/>
                <c:pt idx="0">
                  <c:v>Shan (North)</c:v>
                </c:pt>
              </c:strCache>
            </c:strRef>
          </c:cat>
          <c:val>
            <c:numRef>
              <c:extLst>
                <c:ext xmlns:c15="http://schemas.microsoft.com/office/drawing/2012/chart" uri="{02D57815-91ED-43cb-92C2-25804820EDAC}">
                  <c15:fullRef>
                    <c15:sqref>Analysis!$Z$59:$Z$61</c15:sqref>
                  </c15:fullRef>
                </c:ext>
              </c:extLst>
              <c:f>Analysis!$Z$60</c:f>
              <c:numCache>
                <c:formatCode>General</c:formatCode>
                <c:ptCount val="1"/>
                <c:pt idx="0">
                  <c:v>274</c:v>
                </c:pt>
              </c:numCache>
            </c:numRef>
          </c:val>
          <c:extLst>
            <c:ext xmlns:c16="http://schemas.microsoft.com/office/drawing/2014/chart" uri="{C3380CC4-5D6E-409C-BE32-E72D297353CC}">
              <c16:uniqueId val="{00000000-16BA-41CC-B04A-6600D6A5C684}"/>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Analysis!$V$59:$V$61</c15:sqref>
                  </c15:fullRef>
                </c:ext>
              </c:extLst>
              <c:f>Analysis!$V$60</c:f>
              <c:strCache>
                <c:ptCount val="1"/>
                <c:pt idx="0">
                  <c:v>Shan (North)</c:v>
                </c:pt>
              </c:strCache>
            </c:strRef>
          </c:cat>
          <c:val>
            <c:numRef>
              <c:extLst>
                <c:ext xmlns:c15="http://schemas.microsoft.com/office/drawing/2012/chart" uri="{02D57815-91ED-43cb-92C2-25804820EDAC}">
                  <c15:fullRef>
                    <c15:sqref>Analysis!$AA$59:$AA$61</c15:sqref>
                  </c15:fullRef>
                </c:ext>
              </c:extLst>
              <c:f>Analysis!$AA$60</c:f>
              <c:numCache>
                <c:formatCode>General</c:formatCode>
                <c:ptCount val="1"/>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6.3692350956130489E-2"/>
          <c:y val="0.67936860645290742"/>
          <c:w val="0.91512422320884312"/>
          <c:h val="0.291645278535836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2019-Q2 (US$)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2019</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[6]National!$B$4</c:f>
              <c:strCache>
                <c:ptCount val="1"/>
                <c:pt idx="0">
                  <c:v>Kachin/Shan</c:v>
                </c:pt>
              </c:strCache>
            </c:strRef>
          </c:cat>
          <c:val>
            <c:numRef>
              <c:extLst>
                <c:ext xmlns:c15="http://schemas.microsoft.com/office/drawing/2012/chart" uri="{02D57815-91ED-43cb-92C2-25804820EDAC}">
                  <c15:fullRef>
                    <c15:sqref>[6]National!$D$4:$D$6</c15:sqref>
                  </c15:fullRef>
                </c:ext>
              </c:extLst>
              <c:f>[6]National!$D$4</c:f>
              <c:numCache>
                <c:formatCode>General</c:formatCode>
                <c:ptCount val="1"/>
                <c:pt idx="0">
                  <c:v>2534012.0007450287</c:v>
                </c:pt>
              </c:numCache>
            </c:numRef>
          </c:val>
          <c:extLst xmlns:c15="http://schemas.microsoft.com/office/drawing/2012/chart">
            <c:ext xmlns:c16="http://schemas.microsoft.com/office/drawing/2014/chart" uri="{C3380CC4-5D6E-409C-BE32-E72D297353CC}">
              <c16:uniqueId val="{00000000-7FAA-4A52-A213-8E1EFE56752E}"/>
            </c:ext>
          </c:extLst>
        </c:ser>
        <c:ser>
          <c:idx val="1"/>
          <c:order val="1"/>
          <c:tx>
            <c:strRef>
              <c:f>[6]National!$E$3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[6]National!$B$4</c:f>
              <c:strCache>
                <c:ptCount val="1"/>
                <c:pt idx="0">
                  <c:v>Kachin/Shan</c:v>
                </c:pt>
              </c:strCache>
            </c:strRef>
          </c:cat>
          <c:val>
            <c:numRef>
              <c:extLst>
                <c:ext xmlns:c15="http://schemas.microsoft.com/office/drawing/2012/chart" uri="{02D57815-91ED-43cb-92C2-25804820EDAC}">
                  <c15:fullRef>
                    <c15:sqref>[6]National!$E$4:$E$6</c15:sqref>
                  </c15:fullRef>
                </c:ext>
              </c:extLst>
              <c:f>[6]National!$E$4</c:f>
              <c:numCache>
                <c:formatCode>General</c:formatCode>
                <c:ptCount val="1"/>
                <c:pt idx="0">
                  <c:v>4965987.9992549717</c:v>
                </c:pt>
              </c:numCache>
            </c:numRef>
          </c:val>
          <c:extLst>
            <c:ext xmlns:c16="http://schemas.microsoft.com/office/drawing/2014/chart" uri="{C3380CC4-5D6E-409C-BE32-E72D297353CC}">
              <c16:uniqueId val="{00000001-7FAA-4A52-A213-8E1EFE56752E}"/>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5.4238963589399135E-3</c:v>
              </c:pt>
            </c:numLit>
          </c:val>
          <c:extLst>
            <c:ext xmlns:c16="http://schemas.microsoft.com/office/drawing/2014/chart" uri="{C3380CC4-5D6E-409C-BE32-E72D297353CC}">
              <c16:uniqueId val="{00000000-AF21-47AC-9546-457CE2CF4E8B}"/>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0.20587711590234961</c:v>
              </c:pt>
            </c:numLit>
          </c:val>
          <c:extLst>
            <c:ext xmlns:c16="http://schemas.microsoft.com/office/drawing/2014/chart" uri="{C3380CC4-5D6E-409C-BE32-E72D297353CC}">
              <c16:uniqueId val="{00000001-AF21-47AC-9546-457CE2CF4E8B}"/>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0.78869898773871039</c:v>
              </c:pt>
            </c:numLit>
          </c:val>
          <c:extLst>
            <c:ext xmlns:c16="http://schemas.microsoft.com/office/drawing/2014/chart" uri="{C3380CC4-5D6E-409C-BE32-E72D297353CC}">
              <c16:uniqueId val="{00000002-AF21-47AC-9546-457CE2CF4E8B}"/>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[20190724_Myanmar_WASH_4W_2019_Q2_Consolidate_KachinShan_DRAFT.xlsx]By Camps!PivotTable1</c:name>
    <c:fmtId val="4"/>
  </c:pivotSource>
  <c:chart>
    <c:title>
      <c:tx>
        <c:strRef>
          <c:f>'By Camps'!$B$34</c:f>
          <c:strCache>
            <c:ptCount val="1"/>
            <c:pt idx="0">
              <c:v>2019_Q2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pivotFmt>
      <c:pivotFmt>
        <c:idx val="8"/>
        <c:spPr>
          <a:solidFill>
            <a:schemeClr val="accent2">
              <a:lumMod val="75000"/>
            </a:schemeClr>
          </a:solidFill>
          <a:ln>
            <a:noFill/>
          </a:ln>
          <a:effectLst/>
        </c:spPr>
        <c:marker>
          <c:symbol val="none"/>
        </c:marker>
      </c:pivotFmt>
      <c:pivotFmt>
        <c:idx val="9"/>
        <c:spPr>
          <a:solidFill>
            <a:srgbClr val="0070C0"/>
          </a:solidFill>
          <a:ln>
            <a:noFill/>
          </a:ln>
          <a:effectLst/>
        </c:spPr>
        <c:marker>
          <c:symbol val="none"/>
        </c:marker>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03"/>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Hpai Kawng Mare</c:v>
                </c:pt>
                <c:pt idx="24">
                  <c:v>Hpakant Baptist Church, Nam Ma Hpit</c:v>
                </c:pt>
                <c:pt idx="25">
                  <c:v>Hpare Hkyer - BP6</c:v>
                </c:pt>
                <c:pt idx="26">
                  <c:v>Hpun Lum Yang </c:v>
                </c:pt>
                <c:pt idx="27">
                  <c:v>Htoi San Church</c:v>
                </c:pt>
                <c:pt idx="28">
                  <c:v>IDP Boarding School, A Len Bum</c:v>
                </c:pt>
                <c:pt idx="29">
                  <c:v>Inn Lel Yan - Host Families</c:v>
                </c:pt>
                <c:pt idx="30">
                  <c:v>Jan Mai Kawng Baptist Church</c:v>
                </c:pt>
                <c:pt idx="31">
                  <c:v>Jan Mai Kawng Catholic Church</c:v>
                </c:pt>
                <c:pt idx="32">
                  <c:v>Je Yang Hka </c:v>
                </c:pt>
                <c:pt idx="33">
                  <c:v>Kachin Su Baptist Church (ECCD)</c:v>
                </c:pt>
                <c:pt idx="34">
                  <c:v>Khar Nan (1) Baptist Church</c:v>
                </c:pt>
                <c:pt idx="35">
                  <c:v>Khun Sint Village</c:v>
                </c:pt>
                <c:pt idx="36">
                  <c:v>Kone Khem Camp</c:v>
                </c:pt>
                <c:pt idx="37">
                  <c:v>Kutkai downtown (KBC Church)</c:v>
                </c:pt>
                <c:pt idx="38">
                  <c:v>Kutkai downtown (KBC Church-2)</c:v>
                </c:pt>
                <c:pt idx="39">
                  <c:v>Kutkai downtown (RC Church)</c:v>
                </c:pt>
                <c:pt idx="40">
                  <c:v>Kyu Sot</c:v>
                </c:pt>
                <c:pt idx="41">
                  <c:v>Kyun Pin Thar Baptist Church</c:v>
                </c:pt>
                <c:pt idx="42">
                  <c:v>Kyun Taw Baptist Church </c:v>
                </c:pt>
                <c:pt idx="43">
                  <c:v>Laiza Je Yang School</c:v>
                </c:pt>
                <c:pt idx="44">
                  <c:v>Lana Zup Ja</c:v>
                </c:pt>
                <c:pt idx="45">
                  <c:v>Lawk Awng Mare D. (Sinbo Area)</c:v>
                </c:pt>
                <c:pt idx="46">
                  <c:v>Lawng Hkang Shait Yang Camp​ ( Lel Pyin)​ </c:v>
                </c:pt>
                <c:pt idx="47">
                  <c:v>Le Kone Bethlehem Church</c:v>
                </c:pt>
                <c:pt idx="48">
                  <c:v>Le Kone Ziun Baptist Church </c:v>
                </c:pt>
                <c:pt idx="49">
                  <c:v>Lhaovao Baptist Church (LBC)</c:v>
                </c:pt>
                <c:pt idx="50">
                  <c:v>Lisu Baptist Church</c:v>
                </c:pt>
                <c:pt idx="51">
                  <c:v>Lisu Baptist Church, Maw Shan Vil,. Seik Mu</c:v>
                </c:pt>
                <c:pt idx="52">
                  <c:v>Lisu Baptist Church, Maw Wan Ward</c:v>
                </c:pt>
                <c:pt idx="53">
                  <c:v>Lisu Boarding-House</c:v>
                </c:pt>
                <c:pt idx="54">
                  <c:v>Lisu Church Namtu</c:v>
                </c:pt>
                <c:pt idx="55">
                  <c:v>Loi Je Baptist Church</c:v>
                </c:pt>
                <c:pt idx="56">
                  <c:v>Loi Je Catholic Church</c:v>
                </c:pt>
                <c:pt idx="57">
                  <c:v>Loi Je Lisu Camp</c:v>
                </c:pt>
                <c:pt idx="58">
                  <c:v>Lung Sut</c:v>
                </c:pt>
                <c:pt idx="59">
                  <c:v>Lwegel High School</c:v>
                </c:pt>
                <c:pt idx="60">
                  <c:v>Mading Baptist Church</c:v>
                </c:pt>
                <c:pt idx="61">
                  <c:v>Maga Yang </c:v>
                </c:pt>
                <c:pt idx="62">
                  <c:v>Maina AG Church</c:v>
                </c:pt>
                <c:pt idx="63">
                  <c:v>Maina Catholic Church (St. Joseph)</c:v>
                </c:pt>
                <c:pt idx="64">
                  <c:v>Maina KBC (Bawng Ring)</c:v>
                </c:pt>
                <c:pt idx="65">
                  <c:v>Maina Lawang Baptist Church</c:v>
                </c:pt>
                <c:pt idx="66">
                  <c:v>Maing Khaung</c:v>
                </c:pt>
                <c:pt idx="67">
                  <c:v>Maing Khaung Catholic Church</c:v>
                </c:pt>
                <c:pt idx="68">
                  <c:v>Maliyang Baptist Church</c:v>
                </c:pt>
                <c:pt idx="69">
                  <c:v>Man Bung Catholic compound</c:v>
                </c:pt>
                <c:pt idx="70">
                  <c:v>Man Bung Edin Baptist Church</c:v>
                </c:pt>
                <c:pt idx="71">
                  <c:v>Man Hkring Baptist Church</c:v>
                </c:pt>
                <c:pt idx="72">
                  <c:v>Man Kaung/Naung Ti Kyar Village</c:v>
                </c:pt>
                <c:pt idx="73">
                  <c:v>Man Loi</c:v>
                </c:pt>
                <c:pt idx="74">
                  <c:v>Man Wing Baptist Church</c:v>
                </c:pt>
                <c:pt idx="75">
                  <c:v>Man Wing Baptist Church Cultural Compound</c:v>
                </c:pt>
                <c:pt idx="76">
                  <c:v>Man Wing Catholic Church</c:v>
                </c:pt>
                <c:pt idx="77">
                  <c:v>Man Wing Catholic Church II</c:v>
                </c:pt>
                <c:pt idx="78">
                  <c:v>Man Wing Host Families</c:v>
                </c:pt>
                <c:pt idx="79">
                  <c:v>Mandalay Monestry</c:v>
                </c:pt>
                <c:pt idx="80">
                  <c:v>Mandung - Jinghpaw</c:v>
                </c:pt>
                <c:pt idx="81">
                  <c:v>Mandung - RC</c:v>
                </c:pt>
                <c:pt idx="82">
                  <c:v>Mansi Baptist Church</c:v>
                </c:pt>
                <c:pt idx="83">
                  <c:v>Mansi_Host Families</c:v>
                </c:pt>
                <c:pt idx="84">
                  <c:v>Maw Hpawng Hka Nan Baptist Church</c:v>
                </c:pt>
                <c:pt idx="85">
                  <c:v>Maw Hpawng Lhaovo Baptist Church</c:v>
                </c:pt>
                <c:pt idx="86">
                  <c:v>Maw Wan, Mu-yin Baptist Church</c:v>
                </c:pt>
                <c:pt idx="87">
                  <c:v>Moenyin Host Families</c:v>
                </c:pt>
                <c:pt idx="88">
                  <c:v>Momauk Baptist Church</c:v>
                </c:pt>
                <c:pt idx="89">
                  <c:v>Momauk_Host Families</c:v>
                </c:pt>
                <c:pt idx="90">
                  <c:v>Mong Wee Shan</c:v>
                </c:pt>
                <c:pt idx="91">
                  <c:v>Mung Hawm </c:v>
                </c:pt>
                <c:pt idx="92">
                  <c:v>Mungji Pa Dabang (Baptist Church)</c:v>
                </c:pt>
                <c:pt idx="93">
                  <c:v>Mungji Pa Dabang (Catholic Church)</c:v>
                </c:pt>
                <c:pt idx="94">
                  <c:v>Muse Baptist Church</c:v>
                </c:pt>
                <c:pt idx="95">
                  <c:v>Muse Catholic Church</c:v>
                </c:pt>
                <c:pt idx="96">
                  <c:v>Mu-yin Baptist Church</c:v>
                </c:pt>
                <c:pt idx="97">
                  <c:v>Muyin church (Aung Yar pre-school compound)</c:v>
                </c:pt>
                <c:pt idx="98">
                  <c:v>Myo Thit </c:v>
                </c:pt>
                <c:pt idx="99">
                  <c:v>Nam Hkam - Nay Win Ni (Palawng)</c:v>
                </c:pt>
                <c:pt idx="100">
                  <c:v>Nam Hkam (KBC Jaw Wang)</c:v>
                </c:pt>
                <c:pt idx="101">
                  <c:v>Nam Hkam (KBC Jaw Wang) II</c:v>
                </c:pt>
                <c:pt idx="102">
                  <c:v>Nam Hkam Catholic Church ( St. Thomas I)</c:v>
                </c:pt>
                <c:pt idx="103">
                  <c:v>Nam Hpak Ka Mare </c:v>
                </c:pt>
                <c:pt idx="104">
                  <c:v>Nam Ma Phyit, COC</c:v>
                </c:pt>
                <c:pt idx="105">
                  <c:v>Nam Sa Larp</c:v>
                </c:pt>
                <c:pt idx="106">
                  <c:v>Nam Tu Baptist</c:v>
                </c:pt>
                <c:pt idx="107">
                  <c:v>Namhkan - Pang Long KBC</c:v>
                </c:pt>
                <c:pt idx="108">
                  <c:v>Nan Kway St. John Catholic Church</c:v>
                </c:pt>
                <c:pt idx="109">
                  <c:v>Nant Hlaing Church</c:v>
                </c:pt>
                <c:pt idx="110">
                  <c:v>Nant Ma Hpit Catholic Church</c:v>
                </c:pt>
                <c:pt idx="111">
                  <c:v>Nat Gyi Kone Baptist Church </c:v>
                </c:pt>
                <c:pt idx="112">
                  <c:v>Nawng Hee Village</c:v>
                </c:pt>
                <c:pt idx="113">
                  <c:v>Nawng Ing (Indawgyi) Baptist Church </c:v>
                </c:pt>
                <c:pt idx="114">
                  <c:v>Ndup Yang</c:v>
                </c:pt>
                <c:pt idx="115">
                  <c:v>New Pang Ku </c:v>
                </c:pt>
                <c:pt idx="116">
                  <c:v>Nhkawng Pa </c:v>
                </c:pt>
                <c:pt idx="117">
                  <c:v>Njang Dung Baptist Church </c:v>
                </c:pt>
                <c:pt idx="118">
                  <c:v>Nyaung Na Pin </c:v>
                </c:pt>
                <c:pt idx="119">
                  <c:v>Pa Dauk Myaing(Pa La Na)</c:v>
                </c:pt>
                <c:pt idx="120">
                  <c:v>Pa Kahtawng </c:v>
                </c:pt>
                <c:pt idx="121">
                  <c:v>Pajau - Jan Mai</c:v>
                </c:pt>
                <c:pt idx="122">
                  <c:v>Pan Law</c:v>
                </c:pt>
                <c:pt idx="123">
                  <c:v>Pan Ta Pyae</c:v>
                </c:pt>
                <c:pt idx="124">
                  <c:v>Pan Wa</c:v>
                </c:pt>
                <c:pt idx="125">
                  <c:v>Phan Khar Kone</c:v>
                </c:pt>
                <c:pt idx="126">
                  <c:v>Post 6 Camp</c:v>
                </c:pt>
                <c:pt idx="127">
                  <c:v>Qtr. 2 Lhaovo Baptist Church</c:v>
                </c:pt>
                <c:pt idx="128">
                  <c:v>Qtr. 2 Myoma Baptist Church</c:v>
                </c:pt>
                <c:pt idx="129">
                  <c:v>Qtr. 3 Mu-yin  Baptist Church</c:v>
                </c:pt>
                <c:pt idx="130">
                  <c:v>Rawan Baptist Church, Maw Shan Vil., Seik Mu</c:v>
                </c:pt>
                <c:pt idx="131">
                  <c:v>Robert Church</c:v>
                </c:pt>
                <c:pt idx="132">
                  <c:v>Robert -Middle school</c:v>
                </c:pt>
                <c:pt idx="133">
                  <c:v>Salang Yang</c:v>
                </c:pt>
                <c:pt idx="134">
                  <c:v>Sar Hmaw - KBC</c:v>
                </c:pt>
                <c:pt idx="135">
                  <c:v>Saw Zam</c:v>
                </c:pt>
                <c:pt idx="136">
                  <c:v>Seng Ja </c:v>
                </c:pt>
                <c:pt idx="137">
                  <c:v>Sha-It Yang</c:v>
                </c:pt>
                <c:pt idx="138">
                  <c:v>Shar Du Zut KBC church </c:v>
                </c:pt>
                <c:pt idx="139">
                  <c:v>Shar Du Zut SanPya</c:v>
                </c:pt>
                <c:pt idx="140">
                  <c:v>Shatapru Sut Ngai Tawng</c:v>
                </c:pt>
                <c:pt idx="141">
                  <c:v>Shatapru Thida Aye Baptist Church</c:v>
                </c:pt>
                <c:pt idx="142">
                  <c:v>Shing Jai</c:v>
                </c:pt>
                <c:pt idx="143">
                  <c:v>Shwe Gu Baptist Church</c:v>
                </c:pt>
                <c:pt idx="144">
                  <c:v>Shwe Gu Catholic Church</c:v>
                </c:pt>
                <c:pt idx="145">
                  <c:v>Shwe Zet Baptist Church</c:v>
                </c:pt>
                <c:pt idx="146">
                  <c:v>Sin Bo</c:v>
                </c:pt>
                <c:pt idx="147">
                  <c:v>St. Patrick Catholic Church </c:v>
                </c:pt>
                <c:pt idx="148">
                  <c:v>Sumprabum</c:v>
                </c:pt>
                <c:pt idx="149">
                  <c:v>Tanai CoC</c:v>
                </c:pt>
                <c:pt idx="150">
                  <c:v>Tat Kone Baptist Church</c:v>
                </c:pt>
                <c:pt idx="151">
                  <c:v>Tat Kone COC Baptist - Tat Kone Htoi San</c:v>
                </c:pt>
                <c:pt idx="152">
                  <c:v>Tat Kone Emanuel Church</c:v>
                </c:pt>
                <c:pt idx="153">
                  <c:v>Tat Kone Galile Baptist Church</c:v>
                </c:pt>
                <c:pt idx="154">
                  <c:v>Tat Kone San Pya Baptist Church</c:v>
                </c:pt>
                <c:pt idx="155">
                  <c:v>Thargaya Lisu Baptist Church</c:v>
                </c:pt>
                <c:pt idx="156">
                  <c:v>Tote Tan Ward</c:v>
                </c:pt>
                <c:pt idx="157">
                  <c:v>Tsan Lun - Namjarap</c:v>
                </c:pt>
                <c:pt idx="158">
                  <c:v>Waingmaw AG Church</c:v>
                </c:pt>
                <c:pt idx="159">
                  <c:v>Ward 2 Sai Taung Baptist Church, Seik Mu </c:v>
                </c:pt>
                <c:pt idx="160">
                  <c:v>Woi Chyai </c:v>
                </c:pt>
                <c:pt idx="161">
                  <c:v>Woi Chyai (Mong Lai)</c:v>
                </c:pt>
                <c:pt idx="162">
                  <c:v>Woi Chyai host families</c:v>
                </c:pt>
                <c:pt idx="163">
                  <c:v>Yoe Kyi Monastery</c:v>
                </c:pt>
                <c:pt idx="164">
                  <c:v>Yumar Baptist Church</c:v>
                </c:pt>
                <c:pt idx="165">
                  <c:v>Zup Aung Camp</c:v>
                </c:pt>
                <c:pt idx="166">
                  <c:v>Myo Oo St. Dominic RC Church</c:v>
                </c:pt>
                <c:pt idx="167">
                  <c:v>Lan Gwa St.Paul RC Church</c:v>
                </c:pt>
                <c:pt idx="168">
                  <c:v>Emmanuel AG Church</c:v>
                </c:pt>
                <c:pt idx="169">
                  <c:v>Ti Yang Zup</c:v>
                </c:pt>
                <c:pt idx="170">
                  <c:v>Sadung</c:v>
                </c:pt>
                <c:pt idx="171">
                  <c:v>Lawa RC Church</c:v>
                </c:pt>
                <c:pt idx="172">
                  <c:v>Karmaing RC Church</c:v>
                </c:pt>
                <c:pt idx="173">
                  <c:v>Ka Bu Dam CoC</c:v>
                </c:pt>
                <c:pt idx="174">
                  <c:v>Pang Hkawn Yang</c:v>
                </c:pt>
                <c:pt idx="175">
                  <c:v>Lone Khin Catholic Church</c:v>
                </c:pt>
                <c:pt idx="176">
                  <c:v>Lawt Awng</c:v>
                </c:pt>
                <c:pt idx="177">
                  <c:v>Namatee AG</c:v>
                </c:pt>
                <c:pt idx="178">
                  <c:v>Momauk IDP new Extension camp
(Alen Kawng Lawk)</c:v>
                </c:pt>
                <c:pt idx="179">
                  <c:v>Ma Hawng Baptist Church</c:v>
                </c:pt>
                <c:pt idx="180">
                  <c:v>Tanai KBC Camp</c:v>
                </c:pt>
                <c:pt idx="181">
                  <c:v>Nam Hpak Ka Ta'ang ( Aung Tha Pyay)</c:v>
                </c:pt>
                <c:pt idx="182">
                  <c:v>Mai Yu Lay New (Ta'ang)</c:v>
                </c:pt>
                <c:pt idx="183">
                  <c:v>Mine Yu Lay village ( Old)</c:v>
                </c:pt>
                <c:pt idx="184">
                  <c:v>Namti Labraw Yang KBC Camp</c:v>
                </c:pt>
                <c:pt idx="185">
                  <c:v>Trinity Camp</c:v>
                </c:pt>
                <c:pt idx="186">
                  <c:v>Jaw Masat Camp</c:v>
                </c:pt>
                <c:pt idx="187">
                  <c:v>Waimaw Baptist Zonal Office 2</c:v>
                </c:pt>
                <c:pt idx="188">
                  <c:v>Pa Dauk Myaing(Pa La Na)-II</c:v>
                </c:pt>
                <c:pt idx="189">
                  <c:v>Mee Pho Kone</c:v>
                </c:pt>
                <c:pt idx="190">
                  <c:v>St. Joseph Tanai RC camp </c:v>
                </c:pt>
                <c:pt idx="191">
                  <c:v>Galeng (Palaung) &amp; Kone Khem</c:v>
                </c:pt>
                <c:pt idx="192">
                  <c:v>Hu Hku &amp; Ho Hko</c:v>
                </c:pt>
                <c:pt idx="193">
                  <c:v>Sasana 2500 monastery</c:v>
                </c:pt>
                <c:pt idx="194">
                  <c:v>Boe Taw monastery</c:v>
                </c:pt>
                <c:pt idx="195">
                  <c:v>Man Li</c:v>
                </c:pt>
                <c:pt idx="196">
                  <c:v>Hka Garan Yang </c:v>
                </c:pt>
                <c:pt idx="197">
                  <c:v>Htang Nya </c:v>
                </c:pt>
                <c:pt idx="198">
                  <c:v>Enai (Man Pyein)</c:v>
                </c:pt>
                <c:pt idx="199">
                  <c:v>Lian Bang village</c:v>
                </c:pt>
                <c:pt idx="200">
                  <c:v>Lian He village</c:v>
                </c:pt>
                <c:pt idx="201">
                  <c:v>Ci He village</c:v>
                </c:pt>
                <c:pt idx="202">
                  <c:v>New Man Jiu village</c:v>
                </c:pt>
              </c:strCache>
            </c:strRef>
          </c:cat>
          <c:val>
            <c:numRef>
              <c:f>'By Camps'!$B$34</c:f>
              <c:numCache>
                <c:formatCode>General</c:formatCode>
                <c:ptCount val="203"/>
                <c:pt idx="0">
                  <c:v>350</c:v>
                </c:pt>
                <c:pt idx="1">
                  <c:v>356</c:v>
                </c:pt>
                <c:pt idx="2">
                  <c:v>815</c:v>
                </c:pt>
                <c:pt idx="3">
                  <c:v>371</c:v>
                </c:pt>
                <c:pt idx="4">
                  <c:v>83</c:v>
                </c:pt>
                <c:pt idx="5">
                  <c:v>665</c:v>
                </c:pt>
                <c:pt idx="6">
                  <c:v>52</c:v>
                </c:pt>
                <c:pt idx="7">
                  <c:v>228</c:v>
                </c:pt>
                <c:pt idx="8">
                  <c:v>928</c:v>
                </c:pt>
                <c:pt idx="9">
                  <c:v>458</c:v>
                </c:pt>
                <c:pt idx="10">
                  <c:v>1661</c:v>
                </c:pt>
                <c:pt idx="11">
                  <c:v>31</c:v>
                </c:pt>
                <c:pt idx="12">
                  <c:v>830</c:v>
                </c:pt>
                <c:pt idx="13">
                  <c:v>377</c:v>
                </c:pt>
                <c:pt idx="14">
                  <c:v>197</c:v>
                </c:pt>
                <c:pt idx="15">
                  <c:v>458</c:v>
                </c:pt>
                <c:pt idx="16">
                  <c:v>410</c:v>
                </c:pt>
                <c:pt idx="17">
                  <c:v>448</c:v>
                </c:pt>
                <c:pt idx="18">
                  <c:v>875</c:v>
                </c:pt>
                <c:pt idx="19">
                  <c:v>132</c:v>
                </c:pt>
                <c:pt idx="20">
                  <c:v>14</c:v>
                </c:pt>
                <c:pt idx="21">
                  <c:v>121</c:v>
                </c:pt>
                <c:pt idx="22">
                  <c:v>553</c:v>
                </c:pt>
                <c:pt idx="23">
                  <c:v>779</c:v>
                </c:pt>
                <c:pt idx="24">
                  <c:v>519</c:v>
                </c:pt>
                <c:pt idx="25">
                  <c:v>837</c:v>
                </c:pt>
                <c:pt idx="26">
                  <c:v>3662</c:v>
                </c:pt>
                <c:pt idx="27">
                  <c:v>235</c:v>
                </c:pt>
                <c:pt idx="28">
                  <c:v>680</c:v>
                </c:pt>
                <c:pt idx="29">
                  <c:v>56</c:v>
                </c:pt>
                <c:pt idx="30">
                  <c:v>1050</c:v>
                </c:pt>
                <c:pt idx="31">
                  <c:v>430</c:v>
                </c:pt>
                <c:pt idx="32">
                  <c:v>8486</c:v>
                </c:pt>
                <c:pt idx="33">
                  <c:v>106</c:v>
                </c:pt>
                <c:pt idx="34">
                  <c:v>94</c:v>
                </c:pt>
                <c:pt idx="35">
                  <c:v>18</c:v>
                </c:pt>
                <c:pt idx="36">
                  <c:v>496</c:v>
                </c:pt>
                <c:pt idx="37">
                  <c:v>259</c:v>
                </c:pt>
                <c:pt idx="38">
                  <c:v>156</c:v>
                </c:pt>
                <c:pt idx="39">
                  <c:v>138</c:v>
                </c:pt>
                <c:pt idx="40">
                  <c:v>267</c:v>
                </c:pt>
                <c:pt idx="41">
                  <c:v>194</c:v>
                </c:pt>
                <c:pt idx="42">
                  <c:v>66</c:v>
                </c:pt>
                <c:pt idx="43">
                  <c:v>8743</c:v>
                </c:pt>
                <c:pt idx="44">
                  <c:v>2581</c:v>
                </c:pt>
                <c:pt idx="45">
                  <c:v>1691</c:v>
                </c:pt>
                <c:pt idx="46">
                  <c:v>672</c:v>
                </c:pt>
                <c:pt idx="47">
                  <c:v>547</c:v>
                </c:pt>
                <c:pt idx="48">
                  <c:v>676</c:v>
                </c:pt>
                <c:pt idx="49">
                  <c:v>856</c:v>
                </c:pt>
                <c:pt idx="50">
                  <c:v>137</c:v>
                </c:pt>
                <c:pt idx="51">
                  <c:v>103</c:v>
                </c:pt>
                <c:pt idx="52">
                  <c:v>60</c:v>
                </c:pt>
                <c:pt idx="53">
                  <c:v>800</c:v>
                </c:pt>
                <c:pt idx="54">
                  <c:v>146</c:v>
                </c:pt>
                <c:pt idx="55">
                  <c:v>240</c:v>
                </c:pt>
                <c:pt idx="56">
                  <c:v>405</c:v>
                </c:pt>
                <c:pt idx="57">
                  <c:v>1138</c:v>
                </c:pt>
                <c:pt idx="58">
                  <c:v>289</c:v>
                </c:pt>
                <c:pt idx="59">
                  <c:v>2350</c:v>
                </c:pt>
                <c:pt idx="60">
                  <c:v>159</c:v>
                </c:pt>
                <c:pt idx="61">
                  <c:v>1801</c:v>
                </c:pt>
                <c:pt idx="62">
                  <c:v>2065</c:v>
                </c:pt>
                <c:pt idx="63">
                  <c:v>1481</c:v>
                </c:pt>
                <c:pt idx="64">
                  <c:v>2500</c:v>
                </c:pt>
                <c:pt idx="65">
                  <c:v>191</c:v>
                </c:pt>
                <c:pt idx="66">
                  <c:v>1855</c:v>
                </c:pt>
                <c:pt idx="67">
                  <c:v>694</c:v>
                </c:pt>
                <c:pt idx="68">
                  <c:v>290</c:v>
                </c:pt>
                <c:pt idx="69">
                  <c:v>1258</c:v>
                </c:pt>
                <c:pt idx="70">
                  <c:v>650</c:v>
                </c:pt>
                <c:pt idx="71">
                  <c:v>547</c:v>
                </c:pt>
                <c:pt idx="72">
                  <c:v>120</c:v>
                </c:pt>
                <c:pt idx="73">
                  <c:v>85</c:v>
                </c:pt>
                <c:pt idx="74">
                  <c:v>647</c:v>
                </c:pt>
                <c:pt idx="75">
                  <c:v>524</c:v>
                </c:pt>
                <c:pt idx="76">
                  <c:v>2338</c:v>
                </c:pt>
                <c:pt idx="77">
                  <c:v>637</c:v>
                </c:pt>
                <c:pt idx="78">
                  <c:v>1108</c:v>
                </c:pt>
                <c:pt idx="79">
                  <c:v>13</c:v>
                </c:pt>
                <c:pt idx="80">
                  <c:v>135</c:v>
                </c:pt>
                <c:pt idx="81">
                  <c:v>235</c:v>
                </c:pt>
                <c:pt idx="82">
                  <c:v>807</c:v>
                </c:pt>
                <c:pt idx="83">
                  <c:v>290</c:v>
                </c:pt>
                <c:pt idx="84">
                  <c:v>92</c:v>
                </c:pt>
                <c:pt idx="85">
                  <c:v>123</c:v>
                </c:pt>
                <c:pt idx="86">
                  <c:v>15</c:v>
                </c:pt>
                <c:pt idx="87">
                  <c:v>63</c:v>
                </c:pt>
                <c:pt idx="88">
                  <c:v>453</c:v>
                </c:pt>
                <c:pt idx="89">
                  <c:v>1067</c:v>
                </c:pt>
                <c:pt idx="90">
                  <c:v>276</c:v>
                </c:pt>
                <c:pt idx="91">
                  <c:v>180</c:v>
                </c:pt>
                <c:pt idx="92">
                  <c:v>264</c:v>
                </c:pt>
                <c:pt idx="93">
                  <c:v>111</c:v>
                </c:pt>
                <c:pt idx="94">
                  <c:v>221</c:v>
                </c:pt>
                <c:pt idx="95">
                  <c:v>114</c:v>
                </c:pt>
                <c:pt idx="96">
                  <c:v>49</c:v>
                </c:pt>
                <c:pt idx="97">
                  <c:v>18</c:v>
                </c:pt>
                <c:pt idx="98">
                  <c:v>153</c:v>
                </c:pt>
                <c:pt idx="99">
                  <c:v>390</c:v>
                </c:pt>
                <c:pt idx="100">
                  <c:v>350</c:v>
                </c:pt>
                <c:pt idx="101">
                  <c:v>176</c:v>
                </c:pt>
                <c:pt idx="102">
                  <c:v>212</c:v>
                </c:pt>
                <c:pt idx="103">
                  <c:v>263</c:v>
                </c:pt>
                <c:pt idx="104">
                  <c:v>42</c:v>
                </c:pt>
                <c:pt idx="105">
                  <c:v>182</c:v>
                </c:pt>
                <c:pt idx="106">
                  <c:v>161</c:v>
                </c:pt>
                <c:pt idx="107">
                  <c:v>568</c:v>
                </c:pt>
                <c:pt idx="108">
                  <c:v>309</c:v>
                </c:pt>
                <c:pt idx="109">
                  <c:v>76</c:v>
                </c:pt>
                <c:pt idx="110">
                  <c:v>218</c:v>
                </c:pt>
                <c:pt idx="111">
                  <c:v>41</c:v>
                </c:pt>
                <c:pt idx="112">
                  <c:v>82</c:v>
                </c:pt>
                <c:pt idx="113">
                  <c:v>113</c:v>
                </c:pt>
                <c:pt idx="114">
                  <c:v>547</c:v>
                </c:pt>
                <c:pt idx="115">
                  <c:v>632</c:v>
                </c:pt>
                <c:pt idx="116">
                  <c:v>1722</c:v>
                </c:pt>
                <c:pt idx="117">
                  <c:v>281</c:v>
                </c:pt>
                <c:pt idx="118">
                  <c:v>300</c:v>
                </c:pt>
                <c:pt idx="119">
                  <c:v>882</c:v>
                </c:pt>
                <c:pt idx="120">
                  <c:v>3316</c:v>
                </c:pt>
                <c:pt idx="121">
                  <c:v>846</c:v>
                </c:pt>
                <c:pt idx="122">
                  <c:v>196</c:v>
                </c:pt>
                <c:pt idx="123">
                  <c:v>27</c:v>
                </c:pt>
                <c:pt idx="124">
                  <c:v>264</c:v>
                </c:pt>
                <c:pt idx="125">
                  <c:v>778</c:v>
                </c:pt>
                <c:pt idx="126">
                  <c:v>612</c:v>
                </c:pt>
                <c:pt idx="127">
                  <c:v>493</c:v>
                </c:pt>
                <c:pt idx="128">
                  <c:v>307</c:v>
                </c:pt>
                <c:pt idx="129">
                  <c:v>189</c:v>
                </c:pt>
                <c:pt idx="130">
                  <c:v>38</c:v>
                </c:pt>
                <c:pt idx="131">
                  <c:v>4010</c:v>
                </c:pt>
                <c:pt idx="132">
                  <c:v>1409</c:v>
                </c:pt>
                <c:pt idx="133">
                  <c:v>325</c:v>
                </c:pt>
                <c:pt idx="134">
                  <c:v>136</c:v>
                </c:pt>
                <c:pt idx="135">
                  <c:v>173</c:v>
                </c:pt>
                <c:pt idx="136">
                  <c:v>253</c:v>
                </c:pt>
                <c:pt idx="137">
                  <c:v>1775</c:v>
                </c:pt>
                <c:pt idx="138">
                  <c:v>103</c:v>
                </c:pt>
                <c:pt idx="139">
                  <c:v>80</c:v>
                </c:pt>
                <c:pt idx="140">
                  <c:v>534</c:v>
                </c:pt>
                <c:pt idx="141">
                  <c:v>111</c:v>
                </c:pt>
                <c:pt idx="142">
                  <c:v>958</c:v>
                </c:pt>
                <c:pt idx="143">
                  <c:v>259</c:v>
                </c:pt>
                <c:pt idx="144">
                  <c:v>169</c:v>
                </c:pt>
                <c:pt idx="145">
                  <c:v>499</c:v>
                </c:pt>
                <c:pt idx="146">
                  <c:v>122</c:v>
                </c:pt>
                <c:pt idx="147">
                  <c:v>52</c:v>
                </c:pt>
                <c:pt idx="148">
                  <c:v>32</c:v>
                </c:pt>
                <c:pt idx="149">
                  <c:v>152</c:v>
                </c:pt>
                <c:pt idx="150">
                  <c:v>351</c:v>
                </c:pt>
                <c:pt idx="151">
                  <c:v>253</c:v>
                </c:pt>
                <c:pt idx="152">
                  <c:v>77</c:v>
                </c:pt>
                <c:pt idx="153">
                  <c:v>165</c:v>
                </c:pt>
                <c:pt idx="154">
                  <c:v>219</c:v>
                </c:pt>
                <c:pt idx="155">
                  <c:v>186</c:v>
                </c:pt>
                <c:pt idx="156">
                  <c:v>75</c:v>
                </c:pt>
                <c:pt idx="157">
                  <c:v>183</c:v>
                </c:pt>
                <c:pt idx="158">
                  <c:v>263</c:v>
                </c:pt>
                <c:pt idx="159">
                  <c:v>172</c:v>
                </c:pt>
                <c:pt idx="160">
                  <c:v>7165</c:v>
                </c:pt>
                <c:pt idx="161">
                  <c:v>709</c:v>
                </c:pt>
                <c:pt idx="162">
                  <c:v>2550</c:v>
                </c:pt>
                <c:pt idx="163">
                  <c:v>59</c:v>
                </c:pt>
                <c:pt idx="164">
                  <c:v>67</c:v>
                </c:pt>
                <c:pt idx="165">
                  <c:v>1077</c:v>
                </c:pt>
                <c:pt idx="166">
                  <c:v>235</c:v>
                </c:pt>
                <c:pt idx="167">
                  <c:v>396</c:v>
                </c:pt>
                <c:pt idx="168">
                  <c:v>32</c:v>
                </c:pt>
                <c:pt idx="169">
                  <c:v>87</c:v>
                </c:pt>
                <c:pt idx="170">
                  <c:v>449</c:v>
                </c:pt>
                <c:pt idx="171">
                  <c:v>218</c:v>
                </c:pt>
                <c:pt idx="172">
                  <c:v>63</c:v>
                </c:pt>
                <c:pt idx="173">
                  <c:v>39</c:v>
                </c:pt>
                <c:pt idx="174">
                  <c:v>1436</c:v>
                </c:pt>
                <c:pt idx="175">
                  <c:v>329</c:v>
                </c:pt>
                <c:pt idx="176">
                  <c:v>252</c:v>
                </c:pt>
                <c:pt idx="177">
                  <c:v>36</c:v>
                </c:pt>
                <c:pt idx="178">
                  <c:v>187</c:v>
                </c:pt>
                <c:pt idx="179">
                  <c:v>78</c:v>
                </c:pt>
                <c:pt idx="180">
                  <c:v>450</c:v>
                </c:pt>
                <c:pt idx="181">
                  <c:v>114</c:v>
                </c:pt>
                <c:pt idx="182">
                  <c:v>721</c:v>
                </c:pt>
                <c:pt idx="183">
                  <c:v>305</c:v>
                </c:pt>
                <c:pt idx="184">
                  <c:v>474</c:v>
                </c:pt>
                <c:pt idx="185">
                  <c:v>724</c:v>
                </c:pt>
                <c:pt idx="186">
                  <c:v>489</c:v>
                </c:pt>
                <c:pt idx="187">
                  <c:v>356</c:v>
                </c:pt>
                <c:pt idx="188">
                  <c:v>1374</c:v>
                </c:pt>
                <c:pt idx="189">
                  <c:v>53</c:v>
                </c:pt>
                <c:pt idx="190">
                  <c:v>129</c:v>
                </c:pt>
                <c:pt idx="191">
                  <c:v>496</c:v>
                </c:pt>
                <c:pt idx="192">
                  <c:v>154</c:v>
                </c:pt>
                <c:pt idx="193">
                  <c:v>194</c:v>
                </c:pt>
                <c:pt idx="194">
                  <c:v>373</c:v>
                </c:pt>
                <c:pt idx="195">
                  <c:v>1360</c:v>
                </c:pt>
                <c:pt idx="196">
                  <c:v>140</c:v>
                </c:pt>
                <c:pt idx="197">
                  <c:v>114</c:v>
                </c:pt>
                <c:pt idx="198">
                  <c:v>95</c:v>
                </c:pt>
                <c:pt idx="199">
                  <c:v>2624</c:v>
                </c:pt>
                <c:pt idx="200">
                  <c:v>719</c:v>
                </c:pt>
                <c:pt idx="201">
                  <c:v>569</c:v>
                </c:pt>
                <c:pt idx="202">
                  <c:v>259</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03"/>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Hpai Kawng Mare</c:v>
                </c:pt>
                <c:pt idx="24">
                  <c:v>Hpakant Baptist Church, Nam Ma Hpit</c:v>
                </c:pt>
                <c:pt idx="25">
                  <c:v>Hpare Hkyer - BP6</c:v>
                </c:pt>
                <c:pt idx="26">
                  <c:v>Hpun Lum Yang </c:v>
                </c:pt>
                <c:pt idx="27">
                  <c:v>Htoi San Church</c:v>
                </c:pt>
                <c:pt idx="28">
                  <c:v>IDP Boarding School, A Len Bum</c:v>
                </c:pt>
                <c:pt idx="29">
                  <c:v>Inn Lel Yan - Host Families</c:v>
                </c:pt>
                <c:pt idx="30">
                  <c:v>Jan Mai Kawng Baptist Church</c:v>
                </c:pt>
                <c:pt idx="31">
                  <c:v>Jan Mai Kawng Catholic Church</c:v>
                </c:pt>
                <c:pt idx="32">
                  <c:v>Je Yang Hka </c:v>
                </c:pt>
                <c:pt idx="33">
                  <c:v>Kachin Su Baptist Church (ECCD)</c:v>
                </c:pt>
                <c:pt idx="34">
                  <c:v>Khar Nan (1) Baptist Church</c:v>
                </c:pt>
                <c:pt idx="35">
                  <c:v>Khun Sint Village</c:v>
                </c:pt>
                <c:pt idx="36">
                  <c:v>Kone Khem Camp</c:v>
                </c:pt>
                <c:pt idx="37">
                  <c:v>Kutkai downtown (KBC Church)</c:v>
                </c:pt>
                <c:pt idx="38">
                  <c:v>Kutkai downtown (KBC Church-2)</c:v>
                </c:pt>
                <c:pt idx="39">
                  <c:v>Kutkai downtown (RC Church)</c:v>
                </c:pt>
                <c:pt idx="40">
                  <c:v>Kyu Sot</c:v>
                </c:pt>
                <c:pt idx="41">
                  <c:v>Kyun Pin Thar Baptist Church</c:v>
                </c:pt>
                <c:pt idx="42">
                  <c:v>Kyun Taw Baptist Church </c:v>
                </c:pt>
                <c:pt idx="43">
                  <c:v>Laiza Je Yang School</c:v>
                </c:pt>
                <c:pt idx="44">
                  <c:v>Lana Zup Ja</c:v>
                </c:pt>
                <c:pt idx="45">
                  <c:v>Lawk Awng Mare D. (Sinbo Area)</c:v>
                </c:pt>
                <c:pt idx="46">
                  <c:v>Lawng Hkang Shait Yang Camp​ ( Lel Pyin)​ </c:v>
                </c:pt>
                <c:pt idx="47">
                  <c:v>Le Kone Bethlehem Church</c:v>
                </c:pt>
                <c:pt idx="48">
                  <c:v>Le Kone Ziun Baptist Church </c:v>
                </c:pt>
                <c:pt idx="49">
                  <c:v>Lhaovao Baptist Church (LBC)</c:v>
                </c:pt>
                <c:pt idx="50">
                  <c:v>Lisu Baptist Church</c:v>
                </c:pt>
                <c:pt idx="51">
                  <c:v>Lisu Baptist Church, Maw Shan Vil,. Seik Mu</c:v>
                </c:pt>
                <c:pt idx="52">
                  <c:v>Lisu Baptist Church, Maw Wan Ward</c:v>
                </c:pt>
                <c:pt idx="53">
                  <c:v>Lisu Boarding-House</c:v>
                </c:pt>
                <c:pt idx="54">
                  <c:v>Lisu Church Namtu</c:v>
                </c:pt>
                <c:pt idx="55">
                  <c:v>Loi Je Baptist Church</c:v>
                </c:pt>
                <c:pt idx="56">
                  <c:v>Loi Je Catholic Church</c:v>
                </c:pt>
                <c:pt idx="57">
                  <c:v>Loi Je Lisu Camp</c:v>
                </c:pt>
                <c:pt idx="58">
                  <c:v>Lung Sut</c:v>
                </c:pt>
                <c:pt idx="59">
                  <c:v>Lwegel High School</c:v>
                </c:pt>
                <c:pt idx="60">
                  <c:v>Mading Baptist Church</c:v>
                </c:pt>
                <c:pt idx="61">
                  <c:v>Maga Yang </c:v>
                </c:pt>
                <c:pt idx="62">
                  <c:v>Maina AG Church</c:v>
                </c:pt>
                <c:pt idx="63">
                  <c:v>Maina Catholic Church (St. Joseph)</c:v>
                </c:pt>
                <c:pt idx="64">
                  <c:v>Maina KBC (Bawng Ring)</c:v>
                </c:pt>
                <c:pt idx="65">
                  <c:v>Maina Lawang Baptist Church</c:v>
                </c:pt>
                <c:pt idx="66">
                  <c:v>Maing Khaung</c:v>
                </c:pt>
                <c:pt idx="67">
                  <c:v>Maing Khaung Catholic Church</c:v>
                </c:pt>
                <c:pt idx="68">
                  <c:v>Maliyang Baptist Church</c:v>
                </c:pt>
                <c:pt idx="69">
                  <c:v>Man Bung Catholic compound</c:v>
                </c:pt>
                <c:pt idx="70">
                  <c:v>Man Bung Edin Baptist Church</c:v>
                </c:pt>
                <c:pt idx="71">
                  <c:v>Man Hkring Baptist Church</c:v>
                </c:pt>
                <c:pt idx="72">
                  <c:v>Man Kaung/Naung Ti Kyar Village</c:v>
                </c:pt>
                <c:pt idx="73">
                  <c:v>Man Loi</c:v>
                </c:pt>
                <c:pt idx="74">
                  <c:v>Man Wing Baptist Church</c:v>
                </c:pt>
                <c:pt idx="75">
                  <c:v>Man Wing Baptist Church Cultural Compound</c:v>
                </c:pt>
                <c:pt idx="76">
                  <c:v>Man Wing Catholic Church</c:v>
                </c:pt>
                <c:pt idx="77">
                  <c:v>Man Wing Catholic Church II</c:v>
                </c:pt>
                <c:pt idx="78">
                  <c:v>Man Wing Host Families</c:v>
                </c:pt>
                <c:pt idx="79">
                  <c:v>Mandalay Monestry</c:v>
                </c:pt>
                <c:pt idx="80">
                  <c:v>Mandung - Jinghpaw</c:v>
                </c:pt>
                <c:pt idx="81">
                  <c:v>Mandung - RC</c:v>
                </c:pt>
                <c:pt idx="82">
                  <c:v>Mansi Baptist Church</c:v>
                </c:pt>
                <c:pt idx="83">
                  <c:v>Mansi_Host Families</c:v>
                </c:pt>
                <c:pt idx="84">
                  <c:v>Maw Hpawng Hka Nan Baptist Church</c:v>
                </c:pt>
                <c:pt idx="85">
                  <c:v>Maw Hpawng Lhaovo Baptist Church</c:v>
                </c:pt>
                <c:pt idx="86">
                  <c:v>Maw Wan, Mu-yin Baptist Church</c:v>
                </c:pt>
                <c:pt idx="87">
                  <c:v>Moenyin Host Families</c:v>
                </c:pt>
                <c:pt idx="88">
                  <c:v>Momauk Baptist Church</c:v>
                </c:pt>
                <c:pt idx="89">
                  <c:v>Momauk_Host Families</c:v>
                </c:pt>
                <c:pt idx="90">
                  <c:v>Mong Wee Shan</c:v>
                </c:pt>
                <c:pt idx="91">
                  <c:v>Mung Hawm </c:v>
                </c:pt>
                <c:pt idx="92">
                  <c:v>Mungji Pa Dabang (Baptist Church)</c:v>
                </c:pt>
                <c:pt idx="93">
                  <c:v>Mungji Pa Dabang (Catholic Church)</c:v>
                </c:pt>
                <c:pt idx="94">
                  <c:v>Muse Baptist Church</c:v>
                </c:pt>
                <c:pt idx="95">
                  <c:v>Muse Catholic Church</c:v>
                </c:pt>
                <c:pt idx="96">
                  <c:v>Mu-yin Baptist Church</c:v>
                </c:pt>
                <c:pt idx="97">
                  <c:v>Muyin church (Aung Yar pre-school compound)</c:v>
                </c:pt>
                <c:pt idx="98">
                  <c:v>Myo Thit </c:v>
                </c:pt>
                <c:pt idx="99">
                  <c:v>Nam Hkam - Nay Win Ni (Palawng)</c:v>
                </c:pt>
                <c:pt idx="100">
                  <c:v>Nam Hkam (KBC Jaw Wang)</c:v>
                </c:pt>
                <c:pt idx="101">
                  <c:v>Nam Hkam (KBC Jaw Wang) II</c:v>
                </c:pt>
                <c:pt idx="102">
                  <c:v>Nam Hkam Catholic Church ( St. Thomas I)</c:v>
                </c:pt>
                <c:pt idx="103">
                  <c:v>Nam Hpak Ka Mare </c:v>
                </c:pt>
                <c:pt idx="104">
                  <c:v>Nam Ma Phyit, COC</c:v>
                </c:pt>
                <c:pt idx="105">
                  <c:v>Nam Sa Larp</c:v>
                </c:pt>
                <c:pt idx="106">
                  <c:v>Nam Tu Baptist</c:v>
                </c:pt>
                <c:pt idx="107">
                  <c:v>Namhkan - Pang Long KBC</c:v>
                </c:pt>
                <c:pt idx="108">
                  <c:v>Nan Kway St. John Catholic Church</c:v>
                </c:pt>
                <c:pt idx="109">
                  <c:v>Nant Hlaing Church</c:v>
                </c:pt>
                <c:pt idx="110">
                  <c:v>Nant Ma Hpit Catholic Church</c:v>
                </c:pt>
                <c:pt idx="111">
                  <c:v>Nat Gyi Kone Baptist Church </c:v>
                </c:pt>
                <c:pt idx="112">
                  <c:v>Nawng Hee Village</c:v>
                </c:pt>
                <c:pt idx="113">
                  <c:v>Nawng Ing (Indawgyi) Baptist Church </c:v>
                </c:pt>
                <c:pt idx="114">
                  <c:v>Ndup Yang</c:v>
                </c:pt>
                <c:pt idx="115">
                  <c:v>New Pang Ku </c:v>
                </c:pt>
                <c:pt idx="116">
                  <c:v>Nhkawng Pa </c:v>
                </c:pt>
                <c:pt idx="117">
                  <c:v>Njang Dung Baptist Church </c:v>
                </c:pt>
                <c:pt idx="118">
                  <c:v>Nyaung Na Pin </c:v>
                </c:pt>
                <c:pt idx="119">
                  <c:v>Pa Dauk Myaing(Pa La Na)</c:v>
                </c:pt>
                <c:pt idx="120">
                  <c:v>Pa Kahtawng </c:v>
                </c:pt>
                <c:pt idx="121">
                  <c:v>Pajau - Jan Mai</c:v>
                </c:pt>
                <c:pt idx="122">
                  <c:v>Pan Law</c:v>
                </c:pt>
                <c:pt idx="123">
                  <c:v>Pan Ta Pyae</c:v>
                </c:pt>
                <c:pt idx="124">
                  <c:v>Pan Wa</c:v>
                </c:pt>
                <c:pt idx="125">
                  <c:v>Phan Khar Kone</c:v>
                </c:pt>
                <c:pt idx="126">
                  <c:v>Post 6 Camp</c:v>
                </c:pt>
                <c:pt idx="127">
                  <c:v>Qtr. 2 Lhaovo Baptist Church</c:v>
                </c:pt>
                <c:pt idx="128">
                  <c:v>Qtr. 2 Myoma Baptist Church</c:v>
                </c:pt>
                <c:pt idx="129">
                  <c:v>Qtr. 3 Mu-yin  Baptist Church</c:v>
                </c:pt>
                <c:pt idx="130">
                  <c:v>Rawan Baptist Church, Maw Shan Vil., Seik Mu</c:v>
                </c:pt>
                <c:pt idx="131">
                  <c:v>Robert Church</c:v>
                </c:pt>
                <c:pt idx="132">
                  <c:v>Robert -Middle school</c:v>
                </c:pt>
                <c:pt idx="133">
                  <c:v>Salang Yang</c:v>
                </c:pt>
                <c:pt idx="134">
                  <c:v>Sar Hmaw - KBC</c:v>
                </c:pt>
                <c:pt idx="135">
                  <c:v>Saw Zam</c:v>
                </c:pt>
                <c:pt idx="136">
                  <c:v>Seng Ja </c:v>
                </c:pt>
                <c:pt idx="137">
                  <c:v>Sha-It Yang</c:v>
                </c:pt>
                <c:pt idx="138">
                  <c:v>Shar Du Zut KBC church </c:v>
                </c:pt>
                <c:pt idx="139">
                  <c:v>Shar Du Zut SanPya</c:v>
                </c:pt>
                <c:pt idx="140">
                  <c:v>Shatapru Sut Ngai Tawng</c:v>
                </c:pt>
                <c:pt idx="141">
                  <c:v>Shatapru Thida Aye Baptist Church</c:v>
                </c:pt>
                <c:pt idx="142">
                  <c:v>Shing Jai</c:v>
                </c:pt>
                <c:pt idx="143">
                  <c:v>Shwe Gu Baptist Church</c:v>
                </c:pt>
                <c:pt idx="144">
                  <c:v>Shwe Gu Catholic Church</c:v>
                </c:pt>
                <c:pt idx="145">
                  <c:v>Shwe Zet Baptist Church</c:v>
                </c:pt>
                <c:pt idx="146">
                  <c:v>Sin Bo</c:v>
                </c:pt>
                <c:pt idx="147">
                  <c:v>St. Patrick Catholic Church </c:v>
                </c:pt>
                <c:pt idx="148">
                  <c:v>Sumprabum</c:v>
                </c:pt>
                <c:pt idx="149">
                  <c:v>Tanai CoC</c:v>
                </c:pt>
                <c:pt idx="150">
                  <c:v>Tat Kone Baptist Church</c:v>
                </c:pt>
                <c:pt idx="151">
                  <c:v>Tat Kone COC Baptist - Tat Kone Htoi San</c:v>
                </c:pt>
                <c:pt idx="152">
                  <c:v>Tat Kone Emanuel Church</c:v>
                </c:pt>
                <c:pt idx="153">
                  <c:v>Tat Kone Galile Baptist Church</c:v>
                </c:pt>
                <c:pt idx="154">
                  <c:v>Tat Kone San Pya Baptist Church</c:v>
                </c:pt>
                <c:pt idx="155">
                  <c:v>Thargaya Lisu Baptist Church</c:v>
                </c:pt>
                <c:pt idx="156">
                  <c:v>Tote Tan Ward</c:v>
                </c:pt>
                <c:pt idx="157">
                  <c:v>Tsan Lun - Namjarap</c:v>
                </c:pt>
                <c:pt idx="158">
                  <c:v>Waingmaw AG Church</c:v>
                </c:pt>
                <c:pt idx="159">
                  <c:v>Ward 2 Sai Taung Baptist Church, Seik Mu </c:v>
                </c:pt>
                <c:pt idx="160">
                  <c:v>Woi Chyai </c:v>
                </c:pt>
                <c:pt idx="161">
                  <c:v>Woi Chyai (Mong Lai)</c:v>
                </c:pt>
                <c:pt idx="162">
                  <c:v>Woi Chyai host families</c:v>
                </c:pt>
                <c:pt idx="163">
                  <c:v>Yoe Kyi Monastery</c:v>
                </c:pt>
                <c:pt idx="164">
                  <c:v>Yumar Baptist Church</c:v>
                </c:pt>
                <c:pt idx="165">
                  <c:v>Zup Aung Camp</c:v>
                </c:pt>
                <c:pt idx="166">
                  <c:v>Myo Oo St. Dominic RC Church</c:v>
                </c:pt>
                <c:pt idx="167">
                  <c:v>Lan Gwa St.Paul RC Church</c:v>
                </c:pt>
                <c:pt idx="168">
                  <c:v>Emmanuel AG Church</c:v>
                </c:pt>
                <c:pt idx="169">
                  <c:v>Ti Yang Zup</c:v>
                </c:pt>
                <c:pt idx="170">
                  <c:v>Sadung</c:v>
                </c:pt>
                <c:pt idx="171">
                  <c:v>Lawa RC Church</c:v>
                </c:pt>
                <c:pt idx="172">
                  <c:v>Karmaing RC Church</c:v>
                </c:pt>
                <c:pt idx="173">
                  <c:v>Ka Bu Dam CoC</c:v>
                </c:pt>
                <c:pt idx="174">
                  <c:v>Pang Hkawn Yang</c:v>
                </c:pt>
                <c:pt idx="175">
                  <c:v>Lone Khin Catholic Church</c:v>
                </c:pt>
                <c:pt idx="176">
                  <c:v>Lawt Awng</c:v>
                </c:pt>
                <c:pt idx="177">
                  <c:v>Namatee AG</c:v>
                </c:pt>
                <c:pt idx="178">
                  <c:v>Momauk IDP new Extension camp
(Alen Kawng Lawk)</c:v>
                </c:pt>
                <c:pt idx="179">
                  <c:v>Ma Hawng Baptist Church</c:v>
                </c:pt>
                <c:pt idx="180">
                  <c:v>Tanai KBC Camp</c:v>
                </c:pt>
                <c:pt idx="181">
                  <c:v>Nam Hpak Ka Ta'ang ( Aung Tha Pyay)</c:v>
                </c:pt>
                <c:pt idx="182">
                  <c:v>Mai Yu Lay New (Ta'ang)</c:v>
                </c:pt>
                <c:pt idx="183">
                  <c:v>Mine Yu Lay village ( Old)</c:v>
                </c:pt>
                <c:pt idx="184">
                  <c:v>Namti Labraw Yang KBC Camp</c:v>
                </c:pt>
                <c:pt idx="185">
                  <c:v>Trinity Camp</c:v>
                </c:pt>
                <c:pt idx="186">
                  <c:v>Jaw Masat Camp</c:v>
                </c:pt>
                <c:pt idx="187">
                  <c:v>Waimaw Baptist Zonal Office 2</c:v>
                </c:pt>
                <c:pt idx="188">
                  <c:v>Pa Dauk Myaing(Pa La Na)-II</c:v>
                </c:pt>
                <c:pt idx="189">
                  <c:v>Mee Pho Kone</c:v>
                </c:pt>
                <c:pt idx="190">
                  <c:v>St. Joseph Tanai RC camp </c:v>
                </c:pt>
                <c:pt idx="191">
                  <c:v>Galeng (Palaung) &amp; Kone Khem</c:v>
                </c:pt>
                <c:pt idx="192">
                  <c:v>Hu Hku &amp; Ho Hko</c:v>
                </c:pt>
                <c:pt idx="193">
                  <c:v>Sasana 2500 monastery</c:v>
                </c:pt>
                <c:pt idx="194">
                  <c:v>Boe Taw monastery</c:v>
                </c:pt>
                <c:pt idx="195">
                  <c:v>Man Li</c:v>
                </c:pt>
                <c:pt idx="196">
                  <c:v>Hka Garan Yang </c:v>
                </c:pt>
                <c:pt idx="197">
                  <c:v>Htang Nya </c:v>
                </c:pt>
                <c:pt idx="198">
                  <c:v>Enai (Man Pyein)</c:v>
                </c:pt>
                <c:pt idx="199">
                  <c:v>Lian Bang village</c:v>
                </c:pt>
                <c:pt idx="200">
                  <c:v>Lian He village</c:v>
                </c:pt>
                <c:pt idx="201">
                  <c:v>Ci He village</c:v>
                </c:pt>
                <c:pt idx="202">
                  <c:v>New Man Jiu village</c:v>
                </c:pt>
              </c:strCache>
            </c:strRef>
          </c:cat>
          <c:val>
            <c:numRef>
              <c:f>'By Camps'!$B$34</c:f>
              <c:numCache>
                <c:formatCode>General</c:formatCode>
                <c:ptCount val="203"/>
                <c:pt idx="0">
                  <c:v>0</c:v>
                </c:pt>
                <c:pt idx="1">
                  <c:v>356</c:v>
                </c:pt>
                <c:pt idx="2">
                  <c:v>815</c:v>
                </c:pt>
                <c:pt idx="3">
                  <c:v>371</c:v>
                </c:pt>
                <c:pt idx="4">
                  <c:v>83</c:v>
                </c:pt>
                <c:pt idx="5">
                  <c:v>665</c:v>
                </c:pt>
                <c:pt idx="6">
                  <c:v>52</c:v>
                </c:pt>
                <c:pt idx="7">
                  <c:v>228</c:v>
                </c:pt>
                <c:pt idx="8">
                  <c:v>0</c:v>
                </c:pt>
                <c:pt idx="9">
                  <c:v>458</c:v>
                </c:pt>
                <c:pt idx="10">
                  <c:v>1661</c:v>
                </c:pt>
                <c:pt idx="11">
                  <c:v>31</c:v>
                </c:pt>
                <c:pt idx="12">
                  <c:v>830</c:v>
                </c:pt>
                <c:pt idx="13">
                  <c:v>377</c:v>
                </c:pt>
                <c:pt idx="14">
                  <c:v>197</c:v>
                </c:pt>
                <c:pt idx="15">
                  <c:v>458</c:v>
                </c:pt>
                <c:pt idx="16">
                  <c:v>0</c:v>
                </c:pt>
                <c:pt idx="17">
                  <c:v>0</c:v>
                </c:pt>
                <c:pt idx="18">
                  <c:v>875</c:v>
                </c:pt>
                <c:pt idx="19">
                  <c:v>132</c:v>
                </c:pt>
                <c:pt idx="20">
                  <c:v>0</c:v>
                </c:pt>
                <c:pt idx="21">
                  <c:v>0</c:v>
                </c:pt>
                <c:pt idx="22">
                  <c:v>553</c:v>
                </c:pt>
                <c:pt idx="23">
                  <c:v>0</c:v>
                </c:pt>
                <c:pt idx="24">
                  <c:v>519</c:v>
                </c:pt>
                <c:pt idx="25">
                  <c:v>837</c:v>
                </c:pt>
                <c:pt idx="26">
                  <c:v>1500</c:v>
                </c:pt>
                <c:pt idx="27">
                  <c:v>235</c:v>
                </c:pt>
                <c:pt idx="28">
                  <c:v>0</c:v>
                </c:pt>
                <c:pt idx="29">
                  <c:v>0</c:v>
                </c:pt>
                <c:pt idx="30">
                  <c:v>1050</c:v>
                </c:pt>
                <c:pt idx="31">
                  <c:v>430</c:v>
                </c:pt>
                <c:pt idx="32">
                  <c:v>1000</c:v>
                </c:pt>
                <c:pt idx="33">
                  <c:v>65</c:v>
                </c:pt>
                <c:pt idx="34">
                  <c:v>94</c:v>
                </c:pt>
                <c:pt idx="35">
                  <c:v>0</c:v>
                </c:pt>
                <c:pt idx="36">
                  <c:v>496</c:v>
                </c:pt>
                <c:pt idx="37">
                  <c:v>259</c:v>
                </c:pt>
                <c:pt idx="38">
                  <c:v>156</c:v>
                </c:pt>
                <c:pt idx="39">
                  <c:v>138</c:v>
                </c:pt>
                <c:pt idx="40">
                  <c:v>267</c:v>
                </c:pt>
                <c:pt idx="41">
                  <c:v>194</c:v>
                </c:pt>
                <c:pt idx="42">
                  <c:v>66</c:v>
                </c:pt>
                <c:pt idx="43">
                  <c:v>8743</c:v>
                </c:pt>
                <c:pt idx="44">
                  <c:v>2380</c:v>
                </c:pt>
                <c:pt idx="45">
                  <c:v>0</c:v>
                </c:pt>
                <c:pt idx="46">
                  <c:v>672</c:v>
                </c:pt>
                <c:pt idx="47">
                  <c:v>500</c:v>
                </c:pt>
                <c:pt idx="48">
                  <c:v>500</c:v>
                </c:pt>
                <c:pt idx="49">
                  <c:v>856</c:v>
                </c:pt>
                <c:pt idx="50">
                  <c:v>137</c:v>
                </c:pt>
                <c:pt idx="51">
                  <c:v>103</c:v>
                </c:pt>
                <c:pt idx="52">
                  <c:v>60</c:v>
                </c:pt>
                <c:pt idx="53">
                  <c:v>800</c:v>
                </c:pt>
                <c:pt idx="54">
                  <c:v>146</c:v>
                </c:pt>
                <c:pt idx="55">
                  <c:v>240</c:v>
                </c:pt>
                <c:pt idx="56">
                  <c:v>405</c:v>
                </c:pt>
                <c:pt idx="57">
                  <c:v>1138</c:v>
                </c:pt>
                <c:pt idx="58">
                  <c:v>289</c:v>
                </c:pt>
                <c:pt idx="59">
                  <c:v>0</c:v>
                </c:pt>
                <c:pt idx="60">
                  <c:v>159</c:v>
                </c:pt>
                <c:pt idx="61">
                  <c:v>0</c:v>
                </c:pt>
                <c:pt idx="62">
                  <c:v>0</c:v>
                </c:pt>
                <c:pt idx="63">
                  <c:v>1481</c:v>
                </c:pt>
                <c:pt idx="64">
                  <c:v>2500</c:v>
                </c:pt>
                <c:pt idx="65">
                  <c:v>191</c:v>
                </c:pt>
                <c:pt idx="66">
                  <c:v>1500</c:v>
                </c:pt>
                <c:pt idx="67">
                  <c:v>694</c:v>
                </c:pt>
                <c:pt idx="68">
                  <c:v>290</c:v>
                </c:pt>
                <c:pt idx="69">
                  <c:v>1258</c:v>
                </c:pt>
                <c:pt idx="70">
                  <c:v>650</c:v>
                </c:pt>
                <c:pt idx="71">
                  <c:v>547</c:v>
                </c:pt>
                <c:pt idx="72">
                  <c:v>0</c:v>
                </c:pt>
                <c:pt idx="73">
                  <c:v>85</c:v>
                </c:pt>
                <c:pt idx="74">
                  <c:v>647</c:v>
                </c:pt>
                <c:pt idx="75">
                  <c:v>524</c:v>
                </c:pt>
                <c:pt idx="76">
                  <c:v>0</c:v>
                </c:pt>
                <c:pt idx="77">
                  <c:v>0</c:v>
                </c:pt>
                <c:pt idx="78">
                  <c:v>0</c:v>
                </c:pt>
                <c:pt idx="79">
                  <c:v>13</c:v>
                </c:pt>
                <c:pt idx="80">
                  <c:v>135</c:v>
                </c:pt>
                <c:pt idx="81">
                  <c:v>235</c:v>
                </c:pt>
                <c:pt idx="82">
                  <c:v>807</c:v>
                </c:pt>
                <c:pt idx="83">
                  <c:v>0</c:v>
                </c:pt>
                <c:pt idx="84">
                  <c:v>0</c:v>
                </c:pt>
                <c:pt idx="85">
                  <c:v>123</c:v>
                </c:pt>
                <c:pt idx="86">
                  <c:v>0</c:v>
                </c:pt>
                <c:pt idx="87">
                  <c:v>0</c:v>
                </c:pt>
                <c:pt idx="88">
                  <c:v>453</c:v>
                </c:pt>
                <c:pt idx="89">
                  <c:v>0</c:v>
                </c:pt>
                <c:pt idx="90">
                  <c:v>276</c:v>
                </c:pt>
                <c:pt idx="91">
                  <c:v>180</c:v>
                </c:pt>
                <c:pt idx="92">
                  <c:v>190</c:v>
                </c:pt>
                <c:pt idx="93">
                  <c:v>95</c:v>
                </c:pt>
                <c:pt idx="94">
                  <c:v>0</c:v>
                </c:pt>
                <c:pt idx="95">
                  <c:v>114</c:v>
                </c:pt>
                <c:pt idx="96">
                  <c:v>49</c:v>
                </c:pt>
                <c:pt idx="97">
                  <c:v>0</c:v>
                </c:pt>
                <c:pt idx="98">
                  <c:v>0</c:v>
                </c:pt>
                <c:pt idx="99">
                  <c:v>390</c:v>
                </c:pt>
                <c:pt idx="100">
                  <c:v>325</c:v>
                </c:pt>
                <c:pt idx="101">
                  <c:v>176</c:v>
                </c:pt>
                <c:pt idx="102">
                  <c:v>212</c:v>
                </c:pt>
                <c:pt idx="103">
                  <c:v>263</c:v>
                </c:pt>
                <c:pt idx="104">
                  <c:v>42</c:v>
                </c:pt>
                <c:pt idx="105">
                  <c:v>182</c:v>
                </c:pt>
                <c:pt idx="106">
                  <c:v>161</c:v>
                </c:pt>
                <c:pt idx="107">
                  <c:v>568</c:v>
                </c:pt>
                <c:pt idx="108">
                  <c:v>309</c:v>
                </c:pt>
                <c:pt idx="109">
                  <c:v>76</c:v>
                </c:pt>
                <c:pt idx="110">
                  <c:v>218</c:v>
                </c:pt>
                <c:pt idx="111">
                  <c:v>41</c:v>
                </c:pt>
                <c:pt idx="112">
                  <c:v>0</c:v>
                </c:pt>
                <c:pt idx="113">
                  <c:v>113</c:v>
                </c:pt>
                <c:pt idx="114">
                  <c:v>547</c:v>
                </c:pt>
                <c:pt idx="115">
                  <c:v>632</c:v>
                </c:pt>
                <c:pt idx="116">
                  <c:v>1380</c:v>
                </c:pt>
                <c:pt idx="117">
                  <c:v>281</c:v>
                </c:pt>
                <c:pt idx="118">
                  <c:v>300</c:v>
                </c:pt>
                <c:pt idx="119">
                  <c:v>882</c:v>
                </c:pt>
                <c:pt idx="120">
                  <c:v>2245</c:v>
                </c:pt>
                <c:pt idx="121">
                  <c:v>846</c:v>
                </c:pt>
                <c:pt idx="122">
                  <c:v>196</c:v>
                </c:pt>
                <c:pt idx="123">
                  <c:v>27</c:v>
                </c:pt>
                <c:pt idx="124">
                  <c:v>264</c:v>
                </c:pt>
                <c:pt idx="125">
                  <c:v>778</c:v>
                </c:pt>
                <c:pt idx="126">
                  <c:v>612</c:v>
                </c:pt>
                <c:pt idx="127">
                  <c:v>0</c:v>
                </c:pt>
                <c:pt idx="128">
                  <c:v>307</c:v>
                </c:pt>
                <c:pt idx="129">
                  <c:v>0</c:v>
                </c:pt>
                <c:pt idx="130">
                  <c:v>38</c:v>
                </c:pt>
                <c:pt idx="131">
                  <c:v>3475</c:v>
                </c:pt>
                <c:pt idx="132">
                  <c:v>0</c:v>
                </c:pt>
                <c:pt idx="133">
                  <c:v>325</c:v>
                </c:pt>
                <c:pt idx="134">
                  <c:v>136</c:v>
                </c:pt>
                <c:pt idx="135">
                  <c:v>173</c:v>
                </c:pt>
                <c:pt idx="136">
                  <c:v>253</c:v>
                </c:pt>
                <c:pt idx="137">
                  <c:v>1775</c:v>
                </c:pt>
                <c:pt idx="138">
                  <c:v>103</c:v>
                </c:pt>
                <c:pt idx="139">
                  <c:v>80</c:v>
                </c:pt>
                <c:pt idx="140">
                  <c:v>534</c:v>
                </c:pt>
                <c:pt idx="141">
                  <c:v>0</c:v>
                </c:pt>
                <c:pt idx="142">
                  <c:v>958</c:v>
                </c:pt>
                <c:pt idx="143">
                  <c:v>175</c:v>
                </c:pt>
                <c:pt idx="144">
                  <c:v>169</c:v>
                </c:pt>
                <c:pt idx="145">
                  <c:v>499</c:v>
                </c:pt>
                <c:pt idx="146">
                  <c:v>122</c:v>
                </c:pt>
                <c:pt idx="147">
                  <c:v>52</c:v>
                </c:pt>
                <c:pt idx="148">
                  <c:v>0</c:v>
                </c:pt>
                <c:pt idx="149">
                  <c:v>0</c:v>
                </c:pt>
                <c:pt idx="150">
                  <c:v>351</c:v>
                </c:pt>
                <c:pt idx="151">
                  <c:v>253</c:v>
                </c:pt>
                <c:pt idx="152">
                  <c:v>0</c:v>
                </c:pt>
                <c:pt idx="153">
                  <c:v>165</c:v>
                </c:pt>
                <c:pt idx="154">
                  <c:v>219</c:v>
                </c:pt>
                <c:pt idx="155">
                  <c:v>0</c:v>
                </c:pt>
                <c:pt idx="156">
                  <c:v>0</c:v>
                </c:pt>
                <c:pt idx="157">
                  <c:v>183</c:v>
                </c:pt>
                <c:pt idx="158">
                  <c:v>0</c:v>
                </c:pt>
                <c:pt idx="159">
                  <c:v>172</c:v>
                </c:pt>
                <c:pt idx="160">
                  <c:v>3000</c:v>
                </c:pt>
                <c:pt idx="161">
                  <c:v>0</c:v>
                </c:pt>
                <c:pt idx="162">
                  <c:v>0</c:v>
                </c:pt>
                <c:pt idx="163">
                  <c:v>59</c:v>
                </c:pt>
                <c:pt idx="164">
                  <c:v>67</c:v>
                </c:pt>
                <c:pt idx="165">
                  <c:v>1077</c:v>
                </c:pt>
                <c:pt idx="166">
                  <c:v>235</c:v>
                </c:pt>
                <c:pt idx="167">
                  <c:v>396</c:v>
                </c:pt>
                <c:pt idx="168">
                  <c:v>0</c:v>
                </c:pt>
                <c:pt idx="169">
                  <c:v>87</c:v>
                </c:pt>
                <c:pt idx="170">
                  <c:v>0</c:v>
                </c:pt>
                <c:pt idx="171">
                  <c:v>218</c:v>
                </c:pt>
                <c:pt idx="172">
                  <c:v>63</c:v>
                </c:pt>
                <c:pt idx="173">
                  <c:v>39</c:v>
                </c:pt>
                <c:pt idx="174">
                  <c:v>1436</c:v>
                </c:pt>
                <c:pt idx="175">
                  <c:v>329</c:v>
                </c:pt>
                <c:pt idx="176">
                  <c:v>0</c:v>
                </c:pt>
                <c:pt idx="177">
                  <c:v>36</c:v>
                </c:pt>
                <c:pt idx="178">
                  <c:v>187</c:v>
                </c:pt>
                <c:pt idx="179">
                  <c:v>78</c:v>
                </c:pt>
                <c:pt idx="180">
                  <c:v>0</c:v>
                </c:pt>
                <c:pt idx="181">
                  <c:v>114</c:v>
                </c:pt>
                <c:pt idx="182">
                  <c:v>500</c:v>
                </c:pt>
                <c:pt idx="183">
                  <c:v>305</c:v>
                </c:pt>
                <c:pt idx="184">
                  <c:v>474</c:v>
                </c:pt>
                <c:pt idx="185">
                  <c:v>724</c:v>
                </c:pt>
                <c:pt idx="186">
                  <c:v>489</c:v>
                </c:pt>
                <c:pt idx="187">
                  <c:v>356</c:v>
                </c:pt>
                <c:pt idx="188">
                  <c:v>0</c:v>
                </c:pt>
                <c:pt idx="189">
                  <c:v>53</c:v>
                </c:pt>
                <c:pt idx="190">
                  <c:v>0</c:v>
                </c:pt>
                <c:pt idx="191">
                  <c:v>496</c:v>
                </c:pt>
                <c:pt idx="192">
                  <c:v>154</c:v>
                </c:pt>
                <c:pt idx="193">
                  <c:v>0</c:v>
                </c:pt>
                <c:pt idx="194">
                  <c:v>0</c:v>
                </c:pt>
                <c:pt idx="195">
                  <c:v>0</c:v>
                </c:pt>
                <c:pt idx="196">
                  <c:v>0</c:v>
                </c:pt>
                <c:pt idx="197">
                  <c:v>0</c:v>
                </c:pt>
                <c:pt idx="198">
                  <c:v>95</c:v>
                </c:pt>
                <c:pt idx="199">
                  <c:v>2624</c:v>
                </c:pt>
                <c:pt idx="200">
                  <c:v>719</c:v>
                </c:pt>
                <c:pt idx="201">
                  <c:v>569</c:v>
                </c:pt>
                <c:pt idx="202">
                  <c:v>259</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03"/>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Hpai Kawng Mare</c:v>
                </c:pt>
                <c:pt idx="24">
                  <c:v>Hpakant Baptist Church, Nam Ma Hpit</c:v>
                </c:pt>
                <c:pt idx="25">
                  <c:v>Hpare Hkyer - BP6</c:v>
                </c:pt>
                <c:pt idx="26">
                  <c:v>Hpun Lum Yang </c:v>
                </c:pt>
                <c:pt idx="27">
                  <c:v>Htoi San Church</c:v>
                </c:pt>
                <c:pt idx="28">
                  <c:v>IDP Boarding School, A Len Bum</c:v>
                </c:pt>
                <c:pt idx="29">
                  <c:v>Inn Lel Yan - Host Families</c:v>
                </c:pt>
                <c:pt idx="30">
                  <c:v>Jan Mai Kawng Baptist Church</c:v>
                </c:pt>
                <c:pt idx="31">
                  <c:v>Jan Mai Kawng Catholic Church</c:v>
                </c:pt>
                <c:pt idx="32">
                  <c:v>Je Yang Hka </c:v>
                </c:pt>
                <c:pt idx="33">
                  <c:v>Kachin Su Baptist Church (ECCD)</c:v>
                </c:pt>
                <c:pt idx="34">
                  <c:v>Khar Nan (1) Baptist Church</c:v>
                </c:pt>
                <c:pt idx="35">
                  <c:v>Khun Sint Village</c:v>
                </c:pt>
                <c:pt idx="36">
                  <c:v>Kone Khem Camp</c:v>
                </c:pt>
                <c:pt idx="37">
                  <c:v>Kutkai downtown (KBC Church)</c:v>
                </c:pt>
                <c:pt idx="38">
                  <c:v>Kutkai downtown (KBC Church-2)</c:v>
                </c:pt>
                <c:pt idx="39">
                  <c:v>Kutkai downtown (RC Church)</c:v>
                </c:pt>
                <c:pt idx="40">
                  <c:v>Kyu Sot</c:v>
                </c:pt>
                <c:pt idx="41">
                  <c:v>Kyun Pin Thar Baptist Church</c:v>
                </c:pt>
                <c:pt idx="42">
                  <c:v>Kyun Taw Baptist Church </c:v>
                </c:pt>
                <c:pt idx="43">
                  <c:v>Laiza Je Yang School</c:v>
                </c:pt>
                <c:pt idx="44">
                  <c:v>Lana Zup Ja</c:v>
                </c:pt>
                <c:pt idx="45">
                  <c:v>Lawk Awng Mare D. (Sinbo Area)</c:v>
                </c:pt>
                <c:pt idx="46">
                  <c:v>Lawng Hkang Shait Yang Camp​ ( Lel Pyin)​ </c:v>
                </c:pt>
                <c:pt idx="47">
                  <c:v>Le Kone Bethlehem Church</c:v>
                </c:pt>
                <c:pt idx="48">
                  <c:v>Le Kone Ziun Baptist Church </c:v>
                </c:pt>
                <c:pt idx="49">
                  <c:v>Lhaovao Baptist Church (LBC)</c:v>
                </c:pt>
                <c:pt idx="50">
                  <c:v>Lisu Baptist Church</c:v>
                </c:pt>
                <c:pt idx="51">
                  <c:v>Lisu Baptist Church, Maw Shan Vil,. Seik Mu</c:v>
                </c:pt>
                <c:pt idx="52">
                  <c:v>Lisu Baptist Church, Maw Wan Ward</c:v>
                </c:pt>
                <c:pt idx="53">
                  <c:v>Lisu Boarding-House</c:v>
                </c:pt>
                <c:pt idx="54">
                  <c:v>Lisu Church Namtu</c:v>
                </c:pt>
                <c:pt idx="55">
                  <c:v>Loi Je Baptist Church</c:v>
                </c:pt>
                <c:pt idx="56">
                  <c:v>Loi Je Catholic Church</c:v>
                </c:pt>
                <c:pt idx="57">
                  <c:v>Loi Je Lisu Camp</c:v>
                </c:pt>
                <c:pt idx="58">
                  <c:v>Lung Sut</c:v>
                </c:pt>
                <c:pt idx="59">
                  <c:v>Lwegel High School</c:v>
                </c:pt>
                <c:pt idx="60">
                  <c:v>Mading Baptist Church</c:v>
                </c:pt>
                <c:pt idx="61">
                  <c:v>Maga Yang </c:v>
                </c:pt>
                <c:pt idx="62">
                  <c:v>Maina AG Church</c:v>
                </c:pt>
                <c:pt idx="63">
                  <c:v>Maina Catholic Church (St. Joseph)</c:v>
                </c:pt>
                <c:pt idx="64">
                  <c:v>Maina KBC (Bawng Ring)</c:v>
                </c:pt>
                <c:pt idx="65">
                  <c:v>Maina Lawang Baptist Church</c:v>
                </c:pt>
                <c:pt idx="66">
                  <c:v>Maing Khaung</c:v>
                </c:pt>
                <c:pt idx="67">
                  <c:v>Maing Khaung Catholic Church</c:v>
                </c:pt>
                <c:pt idx="68">
                  <c:v>Maliyang Baptist Church</c:v>
                </c:pt>
                <c:pt idx="69">
                  <c:v>Man Bung Catholic compound</c:v>
                </c:pt>
                <c:pt idx="70">
                  <c:v>Man Bung Edin Baptist Church</c:v>
                </c:pt>
                <c:pt idx="71">
                  <c:v>Man Hkring Baptist Church</c:v>
                </c:pt>
                <c:pt idx="72">
                  <c:v>Man Kaung/Naung Ti Kyar Village</c:v>
                </c:pt>
                <c:pt idx="73">
                  <c:v>Man Loi</c:v>
                </c:pt>
                <c:pt idx="74">
                  <c:v>Man Wing Baptist Church</c:v>
                </c:pt>
                <c:pt idx="75">
                  <c:v>Man Wing Baptist Church Cultural Compound</c:v>
                </c:pt>
                <c:pt idx="76">
                  <c:v>Man Wing Catholic Church</c:v>
                </c:pt>
                <c:pt idx="77">
                  <c:v>Man Wing Catholic Church II</c:v>
                </c:pt>
                <c:pt idx="78">
                  <c:v>Man Wing Host Families</c:v>
                </c:pt>
                <c:pt idx="79">
                  <c:v>Mandalay Monestry</c:v>
                </c:pt>
                <c:pt idx="80">
                  <c:v>Mandung - Jinghpaw</c:v>
                </c:pt>
                <c:pt idx="81">
                  <c:v>Mandung - RC</c:v>
                </c:pt>
                <c:pt idx="82">
                  <c:v>Mansi Baptist Church</c:v>
                </c:pt>
                <c:pt idx="83">
                  <c:v>Mansi_Host Families</c:v>
                </c:pt>
                <c:pt idx="84">
                  <c:v>Maw Hpawng Hka Nan Baptist Church</c:v>
                </c:pt>
                <c:pt idx="85">
                  <c:v>Maw Hpawng Lhaovo Baptist Church</c:v>
                </c:pt>
                <c:pt idx="86">
                  <c:v>Maw Wan, Mu-yin Baptist Church</c:v>
                </c:pt>
                <c:pt idx="87">
                  <c:v>Moenyin Host Families</c:v>
                </c:pt>
                <c:pt idx="88">
                  <c:v>Momauk Baptist Church</c:v>
                </c:pt>
                <c:pt idx="89">
                  <c:v>Momauk_Host Families</c:v>
                </c:pt>
                <c:pt idx="90">
                  <c:v>Mong Wee Shan</c:v>
                </c:pt>
                <c:pt idx="91">
                  <c:v>Mung Hawm </c:v>
                </c:pt>
                <c:pt idx="92">
                  <c:v>Mungji Pa Dabang (Baptist Church)</c:v>
                </c:pt>
                <c:pt idx="93">
                  <c:v>Mungji Pa Dabang (Catholic Church)</c:v>
                </c:pt>
                <c:pt idx="94">
                  <c:v>Muse Baptist Church</c:v>
                </c:pt>
                <c:pt idx="95">
                  <c:v>Muse Catholic Church</c:v>
                </c:pt>
                <c:pt idx="96">
                  <c:v>Mu-yin Baptist Church</c:v>
                </c:pt>
                <c:pt idx="97">
                  <c:v>Muyin church (Aung Yar pre-school compound)</c:v>
                </c:pt>
                <c:pt idx="98">
                  <c:v>Myo Thit </c:v>
                </c:pt>
                <c:pt idx="99">
                  <c:v>Nam Hkam - Nay Win Ni (Palawng)</c:v>
                </c:pt>
                <c:pt idx="100">
                  <c:v>Nam Hkam (KBC Jaw Wang)</c:v>
                </c:pt>
                <c:pt idx="101">
                  <c:v>Nam Hkam (KBC Jaw Wang) II</c:v>
                </c:pt>
                <c:pt idx="102">
                  <c:v>Nam Hkam Catholic Church ( St. Thomas I)</c:v>
                </c:pt>
                <c:pt idx="103">
                  <c:v>Nam Hpak Ka Mare </c:v>
                </c:pt>
                <c:pt idx="104">
                  <c:v>Nam Ma Phyit, COC</c:v>
                </c:pt>
                <c:pt idx="105">
                  <c:v>Nam Sa Larp</c:v>
                </c:pt>
                <c:pt idx="106">
                  <c:v>Nam Tu Baptist</c:v>
                </c:pt>
                <c:pt idx="107">
                  <c:v>Namhkan - Pang Long KBC</c:v>
                </c:pt>
                <c:pt idx="108">
                  <c:v>Nan Kway St. John Catholic Church</c:v>
                </c:pt>
                <c:pt idx="109">
                  <c:v>Nant Hlaing Church</c:v>
                </c:pt>
                <c:pt idx="110">
                  <c:v>Nant Ma Hpit Catholic Church</c:v>
                </c:pt>
                <c:pt idx="111">
                  <c:v>Nat Gyi Kone Baptist Church </c:v>
                </c:pt>
                <c:pt idx="112">
                  <c:v>Nawng Hee Village</c:v>
                </c:pt>
                <c:pt idx="113">
                  <c:v>Nawng Ing (Indawgyi) Baptist Church </c:v>
                </c:pt>
                <c:pt idx="114">
                  <c:v>Ndup Yang</c:v>
                </c:pt>
                <c:pt idx="115">
                  <c:v>New Pang Ku </c:v>
                </c:pt>
                <c:pt idx="116">
                  <c:v>Nhkawng Pa </c:v>
                </c:pt>
                <c:pt idx="117">
                  <c:v>Njang Dung Baptist Church </c:v>
                </c:pt>
                <c:pt idx="118">
                  <c:v>Nyaung Na Pin </c:v>
                </c:pt>
                <c:pt idx="119">
                  <c:v>Pa Dauk Myaing(Pa La Na)</c:v>
                </c:pt>
                <c:pt idx="120">
                  <c:v>Pa Kahtawng </c:v>
                </c:pt>
                <c:pt idx="121">
                  <c:v>Pajau - Jan Mai</c:v>
                </c:pt>
                <c:pt idx="122">
                  <c:v>Pan Law</c:v>
                </c:pt>
                <c:pt idx="123">
                  <c:v>Pan Ta Pyae</c:v>
                </c:pt>
                <c:pt idx="124">
                  <c:v>Pan Wa</c:v>
                </c:pt>
                <c:pt idx="125">
                  <c:v>Phan Khar Kone</c:v>
                </c:pt>
                <c:pt idx="126">
                  <c:v>Post 6 Camp</c:v>
                </c:pt>
                <c:pt idx="127">
                  <c:v>Qtr. 2 Lhaovo Baptist Church</c:v>
                </c:pt>
                <c:pt idx="128">
                  <c:v>Qtr. 2 Myoma Baptist Church</c:v>
                </c:pt>
                <c:pt idx="129">
                  <c:v>Qtr. 3 Mu-yin  Baptist Church</c:v>
                </c:pt>
                <c:pt idx="130">
                  <c:v>Rawan Baptist Church, Maw Shan Vil., Seik Mu</c:v>
                </c:pt>
                <c:pt idx="131">
                  <c:v>Robert Church</c:v>
                </c:pt>
                <c:pt idx="132">
                  <c:v>Robert -Middle school</c:v>
                </c:pt>
                <c:pt idx="133">
                  <c:v>Salang Yang</c:v>
                </c:pt>
                <c:pt idx="134">
                  <c:v>Sar Hmaw - KBC</c:v>
                </c:pt>
                <c:pt idx="135">
                  <c:v>Saw Zam</c:v>
                </c:pt>
                <c:pt idx="136">
                  <c:v>Seng Ja </c:v>
                </c:pt>
                <c:pt idx="137">
                  <c:v>Sha-It Yang</c:v>
                </c:pt>
                <c:pt idx="138">
                  <c:v>Shar Du Zut KBC church </c:v>
                </c:pt>
                <c:pt idx="139">
                  <c:v>Shar Du Zut SanPya</c:v>
                </c:pt>
                <c:pt idx="140">
                  <c:v>Shatapru Sut Ngai Tawng</c:v>
                </c:pt>
                <c:pt idx="141">
                  <c:v>Shatapru Thida Aye Baptist Church</c:v>
                </c:pt>
                <c:pt idx="142">
                  <c:v>Shing Jai</c:v>
                </c:pt>
                <c:pt idx="143">
                  <c:v>Shwe Gu Baptist Church</c:v>
                </c:pt>
                <c:pt idx="144">
                  <c:v>Shwe Gu Catholic Church</c:v>
                </c:pt>
                <c:pt idx="145">
                  <c:v>Shwe Zet Baptist Church</c:v>
                </c:pt>
                <c:pt idx="146">
                  <c:v>Sin Bo</c:v>
                </c:pt>
                <c:pt idx="147">
                  <c:v>St. Patrick Catholic Church </c:v>
                </c:pt>
                <c:pt idx="148">
                  <c:v>Sumprabum</c:v>
                </c:pt>
                <c:pt idx="149">
                  <c:v>Tanai CoC</c:v>
                </c:pt>
                <c:pt idx="150">
                  <c:v>Tat Kone Baptist Church</c:v>
                </c:pt>
                <c:pt idx="151">
                  <c:v>Tat Kone COC Baptist - Tat Kone Htoi San</c:v>
                </c:pt>
                <c:pt idx="152">
                  <c:v>Tat Kone Emanuel Church</c:v>
                </c:pt>
                <c:pt idx="153">
                  <c:v>Tat Kone Galile Baptist Church</c:v>
                </c:pt>
                <c:pt idx="154">
                  <c:v>Tat Kone San Pya Baptist Church</c:v>
                </c:pt>
                <c:pt idx="155">
                  <c:v>Thargaya Lisu Baptist Church</c:v>
                </c:pt>
                <c:pt idx="156">
                  <c:v>Tote Tan Ward</c:v>
                </c:pt>
                <c:pt idx="157">
                  <c:v>Tsan Lun - Namjarap</c:v>
                </c:pt>
                <c:pt idx="158">
                  <c:v>Waingmaw AG Church</c:v>
                </c:pt>
                <c:pt idx="159">
                  <c:v>Ward 2 Sai Taung Baptist Church, Seik Mu </c:v>
                </c:pt>
                <c:pt idx="160">
                  <c:v>Woi Chyai </c:v>
                </c:pt>
                <c:pt idx="161">
                  <c:v>Woi Chyai (Mong Lai)</c:v>
                </c:pt>
                <c:pt idx="162">
                  <c:v>Woi Chyai host families</c:v>
                </c:pt>
                <c:pt idx="163">
                  <c:v>Yoe Kyi Monastery</c:v>
                </c:pt>
                <c:pt idx="164">
                  <c:v>Yumar Baptist Church</c:v>
                </c:pt>
                <c:pt idx="165">
                  <c:v>Zup Aung Camp</c:v>
                </c:pt>
                <c:pt idx="166">
                  <c:v>Myo Oo St. Dominic RC Church</c:v>
                </c:pt>
                <c:pt idx="167">
                  <c:v>Lan Gwa St.Paul RC Church</c:v>
                </c:pt>
                <c:pt idx="168">
                  <c:v>Emmanuel AG Church</c:v>
                </c:pt>
                <c:pt idx="169">
                  <c:v>Ti Yang Zup</c:v>
                </c:pt>
                <c:pt idx="170">
                  <c:v>Sadung</c:v>
                </c:pt>
                <c:pt idx="171">
                  <c:v>Lawa RC Church</c:v>
                </c:pt>
                <c:pt idx="172">
                  <c:v>Karmaing RC Church</c:v>
                </c:pt>
                <c:pt idx="173">
                  <c:v>Ka Bu Dam CoC</c:v>
                </c:pt>
                <c:pt idx="174">
                  <c:v>Pang Hkawn Yang</c:v>
                </c:pt>
                <c:pt idx="175">
                  <c:v>Lone Khin Catholic Church</c:v>
                </c:pt>
                <c:pt idx="176">
                  <c:v>Lawt Awng</c:v>
                </c:pt>
                <c:pt idx="177">
                  <c:v>Namatee AG</c:v>
                </c:pt>
                <c:pt idx="178">
                  <c:v>Momauk IDP new Extension camp
(Alen Kawng Lawk)</c:v>
                </c:pt>
                <c:pt idx="179">
                  <c:v>Ma Hawng Baptist Church</c:v>
                </c:pt>
                <c:pt idx="180">
                  <c:v>Tanai KBC Camp</c:v>
                </c:pt>
                <c:pt idx="181">
                  <c:v>Nam Hpak Ka Ta'ang ( Aung Tha Pyay)</c:v>
                </c:pt>
                <c:pt idx="182">
                  <c:v>Mai Yu Lay New (Ta'ang)</c:v>
                </c:pt>
                <c:pt idx="183">
                  <c:v>Mine Yu Lay village ( Old)</c:v>
                </c:pt>
                <c:pt idx="184">
                  <c:v>Namti Labraw Yang KBC Camp</c:v>
                </c:pt>
                <c:pt idx="185">
                  <c:v>Trinity Camp</c:v>
                </c:pt>
                <c:pt idx="186">
                  <c:v>Jaw Masat Camp</c:v>
                </c:pt>
                <c:pt idx="187">
                  <c:v>Waimaw Baptist Zonal Office 2</c:v>
                </c:pt>
                <c:pt idx="188">
                  <c:v>Pa Dauk Myaing(Pa La Na)-II</c:v>
                </c:pt>
                <c:pt idx="189">
                  <c:v>Mee Pho Kone</c:v>
                </c:pt>
                <c:pt idx="190">
                  <c:v>St. Joseph Tanai RC camp </c:v>
                </c:pt>
                <c:pt idx="191">
                  <c:v>Galeng (Palaung) &amp; Kone Khem</c:v>
                </c:pt>
                <c:pt idx="192">
                  <c:v>Hu Hku &amp; Ho Hko</c:v>
                </c:pt>
                <c:pt idx="193">
                  <c:v>Sasana 2500 monastery</c:v>
                </c:pt>
                <c:pt idx="194">
                  <c:v>Boe Taw monastery</c:v>
                </c:pt>
                <c:pt idx="195">
                  <c:v>Man Li</c:v>
                </c:pt>
                <c:pt idx="196">
                  <c:v>Hka Garan Yang </c:v>
                </c:pt>
                <c:pt idx="197">
                  <c:v>Htang Nya </c:v>
                </c:pt>
                <c:pt idx="198">
                  <c:v>Enai (Man Pyein)</c:v>
                </c:pt>
                <c:pt idx="199">
                  <c:v>Lian Bang village</c:v>
                </c:pt>
                <c:pt idx="200">
                  <c:v>Lian He village</c:v>
                </c:pt>
                <c:pt idx="201">
                  <c:v>Ci He village</c:v>
                </c:pt>
                <c:pt idx="202">
                  <c:v>New Man Jiu village</c:v>
                </c:pt>
              </c:strCache>
            </c:strRef>
          </c:cat>
          <c:val>
            <c:numRef>
              <c:f>'By Camps'!$B$34</c:f>
              <c:numCache>
                <c:formatCode>General</c:formatCode>
                <c:ptCount val="203"/>
                <c:pt idx="0">
                  <c:v>0</c:v>
                </c:pt>
                <c:pt idx="1">
                  <c:v>260</c:v>
                </c:pt>
                <c:pt idx="2">
                  <c:v>760</c:v>
                </c:pt>
                <c:pt idx="3">
                  <c:v>371</c:v>
                </c:pt>
                <c:pt idx="4">
                  <c:v>83</c:v>
                </c:pt>
                <c:pt idx="5">
                  <c:v>560</c:v>
                </c:pt>
                <c:pt idx="6">
                  <c:v>40</c:v>
                </c:pt>
                <c:pt idx="7">
                  <c:v>200</c:v>
                </c:pt>
                <c:pt idx="8">
                  <c:v>0</c:v>
                </c:pt>
                <c:pt idx="9">
                  <c:v>458</c:v>
                </c:pt>
                <c:pt idx="10">
                  <c:v>1661</c:v>
                </c:pt>
                <c:pt idx="11">
                  <c:v>31</c:v>
                </c:pt>
                <c:pt idx="12">
                  <c:v>830</c:v>
                </c:pt>
                <c:pt idx="13">
                  <c:v>377</c:v>
                </c:pt>
                <c:pt idx="14">
                  <c:v>140</c:v>
                </c:pt>
                <c:pt idx="15">
                  <c:v>458</c:v>
                </c:pt>
                <c:pt idx="16">
                  <c:v>0</c:v>
                </c:pt>
                <c:pt idx="17">
                  <c:v>440</c:v>
                </c:pt>
                <c:pt idx="18">
                  <c:v>875</c:v>
                </c:pt>
                <c:pt idx="19">
                  <c:v>132</c:v>
                </c:pt>
                <c:pt idx="20">
                  <c:v>0</c:v>
                </c:pt>
                <c:pt idx="21">
                  <c:v>0</c:v>
                </c:pt>
                <c:pt idx="22">
                  <c:v>553</c:v>
                </c:pt>
                <c:pt idx="23">
                  <c:v>779</c:v>
                </c:pt>
                <c:pt idx="24">
                  <c:v>519</c:v>
                </c:pt>
                <c:pt idx="25">
                  <c:v>640</c:v>
                </c:pt>
                <c:pt idx="26">
                  <c:v>3662</c:v>
                </c:pt>
                <c:pt idx="27">
                  <c:v>140</c:v>
                </c:pt>
                <c:pt idx="28">
                  <c:v>0</c:v>
                </c:pt>
                <c:pt idx="29">
                  <c:v>0</c:v>
                </c:pt>
                <c:pt idx="30">
                  <c:v>860</c:v>
                </c:pt>
                <c:pt idx="31">
                  <c:v>430</c:v>
                </c:pt>
                <c:pt idx="32">
                  <c:v>440</c:v>
                </c:pt>
                <c:pt idx="33">
                  <c:v>60</c:v>
                </c:pt>
                <c:pt idx="34">
                  <c:v>94</c:v>
                </c:pt>
                <c:pt idx="35">
                  <c:v>0</c:v>
                </c:pt>
                <c:pt idx="36">
                  <c:v>496</c:v>
                </c:pt>
                <c:pt idx="37">
                  <c:v>240</c:v>
                </c:pt>
                <c:pt idx="38">
                  <c:v>156</c:v>
                </c:pt>
                <c:pt idx="39">
                  <c:v>138</c:v>
                </c:pt>
                <c:pt idx="40">
                  <c:v>200</c:v>
                </c:pt>
                <c:pt idx="41">
                  <c:v>80</c:v>
                </c:pt>
                <c:pt idx="42">
                  <c:v>66</c:v>
                </c:pt>
                <c:pt idx="43">
                  <c:v>8743</c:v>
                </c:pt>
                <c:pt idx="44">
                  <c:v>2080</c:v>
                </c:pt>
                <c:pt idx="45">
                  <c:v>0</c:v>
                </c:pt>
                <c:pt idx="46">
                  <c:v>380</c:v>
                </c:pt>
                <c:pt idx="47">
                  <c:v>160</c:v>
                </c:pt>
                <c:pt idx="48">
                  <c:v>640</c:v>
                </c:pt>
                <c:pt idx="49">
                  <c:v>856</c:v>
                </c:pt>
                <c:pt idx="50">
                  <c:v>0</c:v>
                </c:pt>
                <c:pt idx="51">
                  <c:v>80</c:v>
                </c:pt>
                <c:pt idx="52">
                  <c:v>40</c:v>
                </c:pt>
                <c:pt idx="53">
                  <c:v>380</c:v>
                </c:pt>
                <c:pt idx="54">
                  <c:v>146</c:v>
                </c:pt>
                <c:pt idx="55">
                  <c:v>180</c:v>
                </c:pt>
                <c:pt idx="56">
                  <c:v>360</c:v>
                </c:pt>
                <c:pt idx="57">
                  <c:v>760</c:v>
                </c:pt>
                <c:pt idx="58">
                  <c:v>40</c:v>
                </c:pt>
                <c:pt idx="59">
                  <c:v>0</c:v>
                </c:pt>
                <c:pt idx="60">
                  <c:v>120</c:v>
                </c:pt>
                <c:pt idx="61">
                  <c:v>1272</c:v>
                </c:pt>
                <c:pt idx="62">
                  <c:v>820</c:v>
                </c:pt>
                <c:pt idx="63">
                  <c:v>1481</c:v>
                </c:pt>
                <c:pt idx="64">
                  <c:v>520</c:v>
                </c:pt>
                <c:pt idx="65">
                  <c:v>191</c:v>
                </c:pt>
                <c:pt idx="66">
                  <c:v>1855</c:v>
                </c:pt>
                <c:pt idx="67">
                  <c:v>694</c:v>
                </c:pt>
                <c:pt idx="68">
                  <c:v>140</c:v>
                </c:pt>
                <c:pt idx="69">
                  <c:v>760</c:v>
                </c:pt>
                <c:pt idx="70">
                  <c:v>560</c:v>
                </c:pt>
                <c:pt idx="71">
                  <c:v>547</c:v>
                </c:pt>
                <c:pt idx="72">
                  <c:v>0</c:v>
                </c:pt>
                <c:pt idx="73">
                  <c:v>0</c:v>
                </c:pt>
                <c:pt idx="74">
                  <c:v>160</c:v>
                </c:pt>
                <c:pt idx="75">
                  <c:v>240</c:v>
                </c:pt>
                <c:pt idx="76">
                  <c:v>0</c:v>
                </c:pt>
                <c:pt idx="77">
                  <c:v>0</c:v>
                </c:pt>
                <c:pt idx="78">
                  <c:v>0</c:v>
                </c:pt>
                <c:pt idx="79">
                  <c:v>13</c:v>
                </c:pt>
                <c:pt idx="80">
                  <c:v>135</c:v>
                </c:pt>
                <c:pt idx="81">
                  <c:v>160</c:v>
                </c:pt>
                <c:pt idx="82">
                  <c:v>800</c:v>
                </c:pt>
                <c:pt idx="83">
                  <c:v>0</c:v>
                </c:pt>
                <c:pt idx="84">
                  <c:v>92</c:v>
                </c:pt>
                <c:pt idx="85">
                  <c:v>120</c:v>
                </c:pt>
                <c:pt idx="86">
                  <c:v>0</c:v>
                </c:pt>
                <c:pt idx="87">
                  <c:v>0</c:v>
                </c:pt>
                <c:pt idx="88">
                  <c:v>160</c:v>
                </c:pt>
                <c:pt idx="89">
                  <c:v>0</c:v>
                </c:pt>
                <c:pt idx="90">
                  <c:v>200</c:v>
                </c:pt>
                <c:pt idx="91">
                  <c:v>180</c:v>
                </c:pt>
                <c:pt idx="92">
                  <c:v>0</c:v>
                </c:pt>
                <c:pt idx="93">
                  <c:v>111</c:v>
                </c:pt>
                <c:pt idx="94">
                  <c:v>221</c:v>
                </c:pt>
                <c:pt idx="95">
                  <c:v>114</c:v>
                </c:pt>
                <c:pt idx="96">
                  <c:v>40</c:v>
                </c:pt>
                <c:pt idx="97">
                  <c:v>0</c:v>
                </c:pt>
                <c:pt idx="98">
                  <c:v>0</c:v>
                </c:pt>
                <c:pt idx="99">
                  <c:v>340</c:v>
                </c:pt>
                <c:pt idx="100">
                  <c:v>0</c:v>
                </c:pt>
                <c:pt idx="101">
                  <c:v>0</c:v>
                </c:pt>
                <c:pt idx="102">
                  <c:v>212</c:v>
                </c:pt>
                <c:pt idx="103">
                  <c:v>263</c:v>
                </c:pt>
                <c:pt idx="104">
                  <c:v>42</c:v>
                </c:pt>
                <c:pt idx="105">
                  <c:v>160</c:v>
                </c:pt>
                <c:pt idx="106">
                  <c:v>160</c:v>
                </c:pt>
                <c:pt idx="107">
                  <c:v>320</c:v>
                </c:pt>
                <c:pt idx="108">
                  <c:v>309</c:v>
                </c:pt>
                <c:pt idx="109">
                  <c:v>76</c:v>
                </c:pt>
                <c:pt idx="110">
                  <c:v>218</c:v>
                </c:pt>
                <c:pt idx="111">
                  <c:v>41</c:v>
                </c:pt>
                <c:pt idx="112">
                  <c:v>82</c:v>
                </c:pt>
                <c:pt idx="113">
                  <c:v>100</c:v>
                </c:pt>
                <c:pt idx="114">
                  <c:v>547</c:v>
                </c:pt>
                <c:pt idx="115">
                  <c:v>618</c:v>
                </c:pt>
                <c:pt idx="116">
                  <c:v>1722</c:v>
                </c:pt>
                <c:pt idx="117">
                  <c:v>281</c:v>
                </c:pt>
                <c:pt idx="118">
                  <c:v>300</c:v>
                </c:pt>
                <c:pt idx="119">
                  <c:v>882</c:v>
                </c:pt>
                <c:pt idx="120">
                  <c:v>3316</c:v>
                </c:pt>
                <c:pt idx="121">
                  <c:v>846</c:v>
                </c:pt>
                <c:pt idx="122">
                  <c:v>196</c:v>
                </c:pt>
                <c:pt idx="123">
                  <c:v>27</c:v>
                </c:pt>
                <c:pt idx="124">
                  <c:v>264</c:v>
                </c:pt>
                <c:pt idx="125">
                  <c:v>778</c:v>
                </c:pt>
                <c:pt idx="126">
                  <c:v>612</c:v>
                </c:pt>
                <c:pt idx="127">
                  <c:v>200</c:v>
                </c:pt>
                <c:pt idx="128">
                  <c:v>280</c:v>
                </c:pt>
                <c:pt idx="129">
                  <c:v>160</c:v>
                </c:pt>
                <c:pt idx="130">
                  <c:v>38</c:v>
                </c:pt>
                <c:pt idx="131">
                  <c:v>3000</c:v>
                </c:pt>
                <c:pt idx="132">
                  <c:v>0</c:v>
                </c:pt>
                <c:pt idx="133">
                  <c:v>325</c:v>
                </c:pt>
                <c:pt idx="134">
                  <c:v>136</c:v>
                </c:pt>
                <c:pt idx="135">
                  <c:v>173</c:v>
                </c:pt>
                <c:pt idx="136">
                  <c:v>253</c:v>
                </c:pt>
                <c:pt idx="137">
                  <c:v>1775</c:v>
                </c:pt>
                <c:pt idx="138">
                  <c:v>103</c:v>
                </c:pt>
                <c:pt idx="139">
                  <c:v>80</c:v>
                </c:pt>
                <c:pt idx="140">
                  <c:v>260</c:v>
                </c:pt>
                <c:pt idx="141">
                  <c:v>111</c:v>
                </c:pt>
                <c:pt idx="142">
                  <c:v>958</c:v>
                </c:pt>
                <c:pt idx="143">
                  <c:v>180</c:v>
                </c:pt>
                <c:pt idx="144">
                  <c:v>169</c:v>
                </c:pt>
                <c:pt idx="145">
                  <c:v>340</c:v>
                </c:pt>
                <c:pt idx="146">
                  <c:v>120</c:v>
                </c:pt>
                <c:pt idx="147">
                  <c:v>52</c:v>
                </c:pt>
                <c:pt idx="148">
                  <c:v>0</c:v>
                </c:pt>
                <c:pt idx="149">
                  <c:v>0</c:v>
                </c:pt>
                <c:pt idx="150">
                  <c:v>220</c:v>
                </c:pt>
                <c:pt idx="151">
                  <c:v>253</c:v>
                </c:pt>
                <c:pt idx="152">
                  <c:v>77</c:v>
                </c:pt>
                <c:pt idx="153">
                  <c:v>100</c:v>
                </c:pt>
                <c:pt idx="154">
                  <c:v>219</c:v>
                </c:pt>
                <c:pt idx="155">
                  <c:v>140</c:v>
                </c:pt>
                <c:pt idx="156">
                  <c:v>0</c:v>
                </c:pt>
                <c:pt idx="157">
                  <c:v>183</c:v>
                </c:pt>
                <c:pt idx="158">
                  <c:v>140</c:v>
                </c:pt>
                <c:pt idx="159">
                  <c:v>172</c:v>
                </c:pt>
                <c:pt idx="160">
                  <c:v>4500</c:v>
                </c:pt>
                <c:pt idx="161">
                  <c:v>0</c:v>
                </c:pt>
                <c:pt idx="162">
                  <c:v>0</c:v>
                </c:pt>
                <c:pt idx="163">
                  <c:v>59</c:v>
                </c:pt>
                <c:pt idx="164">
                  <c:v>67</c:v>
                </c:pt>
                <c:pt idx="165">
                  <c:v>1077</c:v>
                </c:pt>
                <c:pt idx="166">
                  <c:v>160</c:v>
                </c:pt>
                <c:pt idx="167">
                  <c:v>120</c:v>
                </c:pt>
                <c:pt idx="168">
                  <c:v>0</c:v>
                </c:pt>
                <c:pt idx="169">
                  <c:v>87</c:v>
                </c:pt>
                <c:pt idx="170">
                  <c:v>0</c:v>
                </c:pt>
                <c:pt idx="171">
                  <c:v>218</c:v>
                </c:pt>
                <c:pt idx="172">
                  <c:v>63</c:v>
                </c:pt>
                <c:pt idx="173">
                  <c:v>39</c:v>
                </c:pt>
                <c:pt idx="174">
                  <c:v>1436</c:v>
                </c:pt>
                <c:pt idx="175">
                  <c:v>240</c:v>
                </c:pt>
                <c:pt idx="176">
                  <c:v>0</c:v>
                </c:pt>
                <c:pt idx="177">
                  <c:v>36</c:v>
                </c:pt>
                <c:pt idx="178">
                  <c:v>120</c:v>
                </c:pt>
                <c:pt idx="179">
                  <c:v>40</c:v>
                </c:pt>
                <c:pt idx="180">
                  <c:v>0</c:v>
                </c:pt>
                <c:pt idx="181">
                  <c:v>80</c:v>
                </c:pt>
                <c:pt idx="182">
                  <c:v>300</c:v>
                </c:pt>
                <c:pt idx="183">
                  <c:v>305</c:v>
                </c:pt>
                <c:pt idx="184">
                  <c:v>240</c:v>
                </c:pt>
                <c:pt idx="185">
                  <c:v>560</c:v>
                </c:pt>
                <c:pt idx="186">
                  <c:v>320</c:v>
                </c:pt>
                <c:pt idx="187">
                  <c:v>160</c:v>
                </c:pt>
                <c:pt idx="188">
                  <c:v>0</c:v>
                </c:pt>
                <c:pt idx="189">
                  <c:v>0</c:v>
                </c:pt>
                <c:pt idx="190">
                  <c:v>0</c:v>
                </c:pt>
                <c:pt idx="191">
                  <c:v>0</c:v>
                </c:pt>
                <c:pt idx="192">
                  <c:v>154</c:v>
                </c:pt>
                <c:pt idx="193">
                  <c:v>0</c:v>
                </c:pt>
                <c:pt idx="194">
                  <c:v>0</c:v>
                </c:pt>
                <c:pt idx="195">
                  <c:v>1000</c:v>
                </c:pt>
                <c:pt idx="196">
                  <c:v>0</c:v>
                </c:pt>
                <c:pt idx="197">
                  <c:v>0</c:v>
                </c:pt>
                <c:pt idx="198">
                  <c:v>95</c:v>
                </c:pt>
                <c:pt idx="199">
                  <c:v>2040</c:v>
                </c:pt>
                <c:pt idx="200">
                  <c:v>719</c:v>
                </c:pt>
                <c:pt idx="201">
                  <c:v>420</c:v>
                </c:pt>
                <c:pt idx="202">
                  <c:v>180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03"/>
                <c:pt idx="0">
                  <c:v>5 Ward RC Church(lon Khin)</c:v>
                </c:pt>
                <c:pt idx="1">
                  <c:v>AD-2000 Extension camp</c:v>
                </c:pt>
                <c:pt idx="2">
                  <c:v>AD-2000 Tharthana Compound</c:v>
                </c:pt>
                <c:pt idx="3">
                  <c:v>AG Church, Hmaw Si Sa</c:v>
                </c:pt>
                <c:pt idx="4">
                  <c:v>AG Church, Maw Wan</c:v>
                </c:pt>
                <c:pt idx="5">
                  <c:v>Agritural Compound (KBC)</c:v>
                </c:pt>
                <c:pt idx="6">
                  <c:v>Aung Thar Church</c:v>
                </c:pt>
                <c:pt idx="7">
                  <c:v>Baptist Church, Hmaw Si Sar(Lon Khin)</c:v>
                </c:pt>
                <c:pt idx="8">
                  <c:v>Bhamo_Host Families</c:v>
                </c:pt>
                <c:pt idx="9">
                  <c:v>Border Post 8</c:v>
                </c:pt>
                <c:pt idx="10">
                  <c:v>Bum Tsit Pa</c:v>
                </c:pt>
                <c:pt idx="11">
                  <c:v>Chin Church, Seik Mu</c:v>
                </c:pt>
                <c:pt idx="12">
                  <c:v>Chipwi KBC camp</c:v>
                </c:pt>
                <c:pt idx="13">
                  <c:v>Dhama Rakhita, Nyein Chan Tar Yar Ward(Lon Khin)</c:v>
                </c:pt>
                <c:pt idx="14">
                  <c:v>Du Kahtawng Baptist</c:v>
                </c:pt>
                <c:pt idx="15">
                  <c:v>Dum Bung </c:v>
                </c:pt>
                <c:pt idx="16">
                  <c:v>Hka Shi</c:v>
                </c:pt>
                <c:pt idx="17">
                  <c:v>Hkat Cho </c:v>
                </c:pt>
                <c:pt idx="18">
                  <c:v>Hkau Shau (BP 12)</c:v>
                </c:pt>
                <c:pt idx="19">
                  <c:v>Hlaing Naung Baptist</c:v>
                </c:pt>
                <c:pt idx="20">
                  <c:v>Hmaw Wan, Anglican</c:v>
                </c:pt>
                <c:pt idx="21">
                  <c:v>Hopin Host Families</c:v>
                </c:pt>
                <c:pt idx="22">
                  <c:v>Hpai Kawng</c:v>
                </c:pt>
                <c:pt idx="23">
                  <c:v>Hpai Kawng Mare</c:v>
                </c:pt>
                <c:pt idx="24">
                  <c:v>Hpakant Baptist Church, Nam Ma Hpit</c:v>
                </c:pt>
                <c:pt idx="25">
                  <c:v>Hpare Hkyer - BP6</c:v>
                </c:pt>
                <c:pt idx="26">
                  <c:v>Hpun Lum Yang </c:v>
                </c:pt>
                <c:pt idx="27">
                  <c:v>Htoi San Church</c:v>
                </c:pt>
                <c:pt idx="28">
                  <c:v>IDP Boarding School, A Len Bum</c:v>
                </c:pt>
                <c:pt idx="29">
                  <c:v>Inn Lel Yan - Host Families</c:v>
                </c:pt>
                <c:pt idx="30">
                  <c:v>Jan Mai Kawng Baptist Church</c:v>
                </c:pt>
                <c:pt idx="31">
                  <c:v>Jan Mai Kawng Catholic Church</c:v>
                </c:pt>
                <c:pt idx="32">
                  <c:v>Je Yang Hka </c:v>
                </c:pt>
                <c:pt idx="33">
                  <c:v>Kachin Su Baptist Church (ECCD)</c:v>
                </c:pt>
                <c:pt idx="34">
                  <c:v>Khar Nan (1) Baptist Church</c:v>
                </c:pt>
                <c:pt idx="35">
                  <c:v>Khun Sint Village</c:v>
                </c:pt>
                <c:pt idx="36">
                  <c:v>Kone Khem Camp</c:v>
                </c:pt>
                <c:pt idx="37">
                  <c:v>Kutkai downtown (KBC Church)</c:v>
                </c:pt>
                <c:pt idx="38">
                  <c:v>Kutkai downtown (KBC Church-2)</c:v>
                </c:pt>
                <c:pt idx="39">
                  <c:v>Kutkai downtown (RC Church)</c:v>
                </c:pt>
                <c:pt idx="40">
                  <c:v>Kyu Sot</c:v>
                </c:pt>
                <c:pt idx="41">
                  <c:v>Kyun Pin Thar Baptist Church</c:v>
                </c:pt>
                <c:pt idx="42">
                  <c:v>Kyun Taw Baptist Church </c:v>
                </c:pt>
                <c:pt idx="43">
                  <c:v>Laiza Je Yang School</c:v>
                </c:pt>
                <c:pt idx="44">
                  <c:v>Lana Zup Ja</c:v>
                </c:pt>
                <c:pt idx="45">
                  <c:v>Lawk Awng Mare D. (Sinbo Area)</c:v>
                </c:pt>
                <c:pt idx="46">
                  <c:v>Lawng Hkang Shait Yang Camp​ ( Lel Pyin)​ </c:v>
                </c:pt>
                <c:pt idx="47">
                  <c:v>Le Kone Bethlehem Church</c:v>
                </c:pt>
                <c:pt idx="48">
                  <c:v>Le Kone Ziun Baptist Church </c:v>
                </c:pt>
                <c:pt idx="49">
                  <c:v>Lhaovao Baptist Church (LBC)</c:v>
                </c:pt>
                <c:pt idx="50">
                  <c:v>Lisu Baptist Church</c:v>
                </c:pt>
                <c:pt idx="51">
                  <c:v>Lisu Baptist Church, Maw Shan Vil,. Seik Mu</c:v>
                </c:pt>
                <c:pt idx="52">
                  <c:v>Lisu Baptist Church, Maw Wan Ward</c:v>
                </c:pt>
                <c:pt idx="53">
                  <c:v>Lisu Boarding-House</c:v>
                </c:pt>
                <c:pt idx="54">
                  <c:v>Lisu Church Namtu</c:v>
                </c:pt>
                <c:pt idx="55">
                  <c:v>Loi Je Baptist Church</c:v>
                </c:pt>
                <c:pt idx="56">
                  <c:v>Loi Je Catholic Church</c:v>
                </c:pt>
                <c:pt idx="57">
                  <c:v>Loi Je Lisu Camp</c:v>
                </c:pt>
                <c:pt idx="58">
                  <c:v>Lung Sut</c:v>
                </c:pt>
                <c:pt idx="59">
                  <c:v>Lwegel High School</c:v>
                </c:pt>
                <c:pt idx="60">
                  <c:v>Mading Baptist Church</c:v>
                </c:pt>
                <c:pt idx="61">
                  <c:v>Maga Yang </c:v>
                </c:pt>
                <c:pt idx="62">
                  <c:v>Maina AG Church</c:v>
                </c:pt>
                <c:pt idx="63">
                  <c:v>Maina Catholic Church (St. Joseph)</c:v>
                </c:pt>
                <c:pt idx="64">
                  <c:v>Maina KBC (Bawng Ring)</c:v>
                </c:pt>
                <c:pt idx="65">
                  <c:v>Maina Lawang Baptist Church</c:v>
                </c:pt>
                <c:pt idx="66">
                  <c:v>Maing Khaung</c:v>
                </c:pt>
                <c:pt idx="67">
                  <c:v>Maing Khaung Catholic Church</c:v>
                </c:pt>
                <c:pt idx="68">
                  <c:v>Maliyang Baptist Church</c:v>
                </c:pt>
                <c:pt idx="69">
                  <c:v>Man Bung Catholic compound</c:v>
                </c:pt>
                <c:pt idx="70">
                  <c:v>Man Bung Edin Baptist Church</c:v>
                </c:pt>
                <c:pt idx="71">
                  <c:v>Man Hkring Baptist Church</c:v>
                </c:pt>
                <c:pt idx="72">
                  <c:v>Man Kaung/Naung Ti Kyar Village</c:v>
                </c:pt>
                <c:pt idx="73">
                  <c:v>Man Loi</c:v>
                </c:pt>
                <c:pt idx="74">
                  <c:v>Man Wing Baptist Church</c:v>
                </c:pt>
                <c:pt idx="75">
                  <c:v>Man Wing Baptist Church Cultural Compound</c:v>
                </c:pt>
                <c:pt idx="76">
                  <c:v>Man Wing Catholic Church</c:v>
                </c:pt>
                <c:pt idx="77">
                  <c:v>Man Wing Catholic Church II</c:v>
                </c:pt>
                <c:pt idx="78">
                  <c:v>Man Wing Host Families</c:v>
                </c:pt>
                <c:pt idx="79">
                  <c:v>Mandalay Monestry</c:v>
                </c:pt>
                <c:pt idx="80">
                  <c:v>Mandung - Jinghpaw</c:v>
                </c:pt>
                <c:pt idx="81">
                  <c:v>Mandung - RC</c:v>
                </c:pt>
                <c:pt idx="82">
                  <c:v>Mansi Baptist Church</c:v>
                </c:pt>
                <c:pt idx="83">
                  <c:v>Mansi_Host Families</c:v>
                </c:pt>
                <c:pt idx="84">
                  <c:v>Maw Hpawng Hka Nan Baptist Church</c:v>
                </c:pt>
                <c:pt idx="85">
                  <c:v>Maw Hpawng Lhaovo Baptist Church</c:v>
                </c:pt>
                <c:pt idx="86">
                  <c:v>Maw Wan, Mu-yin Baptist Church</c:v>
                </c:pt>
                <c:pt idx="87">
                  <c:v>Moenyin Host Families</c:v>
                </c:pt>
                <c:pt idx="88">
                  <c:v>Momauk Baptist Church</c:v>
                </c:pt>
                <c:pt idx="89">
                  <c:v>Momauk_Host Families</c:v>
                </c:pt>
                <c:pt idx="90">
                  <c:v>Mong Wee Shan</c:v>
                </c:pt>
                <c:pt idx="91">
                  <c:v>Mung Hawm </c:v>
                </c:pt>
                <c:pt idx="92">
                  <c:v>Mungji Pa Dabang (Baptist Church)</c:v>
                </c:pt>
                <c:pt idx="93">
                  <c:v>Mungji Pa Dabang (Catholic Church)</c:v>
                </c:pt>
                <c:pt idx="94">
                  <c:v>Muse Baptist Church</c:v>
                </c:pt>
                <c:pt idx="95">
                  <c:v>Muse Catholic Church</c:v>
                </c:pt>
                <c:pt idx="96">
                  <c:v>Mu-yin Baptist Church</c:v>
                </c:pt>
                <c:pt idx="97">
                  <c:v>Muyin church (Aung Yar pre-school compound)</c:v>
                </c:pt>
                <c:pt idx="98">
                  <c:v>Myo Thit </c:v>
                </c:pt>
                <c:pt idx="99">
                  <c:v>Nam Hkam - Nay Win Ni (Palawng)</c:v>
                </c:pt>
                <c:pt idx="100">
                  <c:v>Nam Hkam (KBC Jaw Wang)</c:v>
                </c:pt>
                <c:pt idx="101">
                  <c:v>Nam Hkam (KBC Jaw Wang) II</c:v>
                </c:pt>
                <c:pt idx="102">
                  <c:v>Nam Hkam Catholic Church ( St. Thomas I)</c:v>
                </c:pt>
                <c:pt idx="103">
                  <c:v>Nam Hpak Ka Mare </c:v>
                </c:pt>
                <c:pt idx="104">
                  <c:v>Nam Ma Phyit, COC</c:v>
                </c:pt>
                <c:pt idx="105">
                  <c:v>Nam Sa Larp</c:v>
                </c:pt>
                <c:pt idx="106">
                  <c:v>Nam Tu Baptist</c:v>
                </c:pt>
                <c:pt idx="107">
                  <c:v>Namhkan - Pang Long KBC</c:v>
                </c:pt>
                <c:pt idx="108">
                  <c:v>Nan Kway St. John Catholic Church</c:v>
                </c:pt>
                <c:pt idx="109">
                  <c:v>Nant Hlaing Church</c:v>
                </c:pt>
                <c:pt idx="110">
                  <c:v>Nant Ma Hpit Catholic Church</c:v>
                </c:pt>
                <c:pt idx="111">
                  <c:v>Nat Gyi Kone Baptist Church </c:v>
                </c:pt>
                <c:pt idx="112">
                  <c:v>Nawng Hee Village</c:v>
                </c:pt>
                <c:pt idx="113">
                  <c:v>Nawng Ing (Indawgyi) Baptist Church </c:v>
                </c:pt>
                <c:pt idx="114">
                  <c:v>Ndup Yang</c:v>
                </c:pt>
                <c:pt idx="115">
                  <c:v>New Pang Ku </c:v>
                </c:pt>
                <c:pt idx="116">
                  <c:v>Nhkawng Pa </c:v>
                </c:pt>
                <c:pt idx="117">
                  <c:v>Njang Dung Baptist Church </c:v>
                </c:pt>
                <c:pt idx="118">
                  <c:v>Nyaung Na Pin </c:v>
                </c:pt>
                <c:pt idx="119">
                  <c:v>Pa Dauk Myaing(Pa La Na)</c:v>
                </c:pt>
                <c:pt idx="120">
                  <c:v>Pa Kahtawng </c:v>
                </c:pt>
                <c:pt idx="121">
                  <c:v>Pajau - Jan Mai</c:v>
                </c:pt>
                <c:pt idx="122">
                  <c:v>Pan Law</c:v>
                </c:pt>
                <c:pt idx="123">
                  <c:v>Pan Ta Pyae</c:v>
                </c:pt>
                <c:pt idx="124">
                  <c:v>Pan Wa</c:v>
                </c:pt>
                <c:pt idx="125">
                  <c:v>Phan Khar Kone</c:v>
                </c:pt>
                <c:pt idx="126">
                  <c:v>Post 6 Camp</c:v>
                </c:pt>
                <c:pt idx="127">
                  <c:v>Qtr. 2 Lhaovo Baptist Church</c:v>
                </c:pt>
                <c:pt idx="128">
                  <c:v>Qtr. 2 Myoma Baptist Church</c:v>
                </c:pt>
                <c:pt idx="129">
                  <c:v>Qtr. 3 Mu-yin  Baptist Church</c:v>
                </c:pt>
                <c:pt idx="130">
                  <c:v>Rawan Baptist Church, Maw Shan Vil., Seik Mu</c:v>
                </c:pt>
                <c:pt idx="131">
                  <c:v>Robert Church</c:v>
                </c:pt>
                <c:pt idx="132">
                  <c:v>Robert -Middle school</c:v>
                </c:pt>
                <c:pt idx="133">
                  <c:v>Salang Yang</c:v>
                </c:pt>
                <c:pt idx="134">
                  <c:v>Sar Hmaw - KBC</c:v>
                </c:pt>
                <c:pt idx="135">
                  <c:v>Saw Zam</c:v>
                </c:pt>
                <c:pt idx="136">
                  <c:v>Seng Ja </c:v>
                </c:pt>
                <c:pt idx="137">
                  <c:v>Sha-It Yang</c:v>
                </c:pt>
                <c:pt idx="138">
                  <c:v>Shar Du Zut KBC church </c:v>
                </c:pt>
                <c:pt idx="139">
                  <c:v>Shar Du Zut SanPya</c:v>
                </c:pt>
                <c:pt idx="140">
                  <c:v>Shatapru Sut Ngai Tawng</c:v>
                </c:pt>
                <c:pt idx="141">
                  <c:v>Shatapru Thida Aye Baptist Church</c:v>
                </c:pt>
                <c:pt idx="142">
                  <c:v>Shing Jai</c:v>
                </c:pt>
                <c:pt idx="143">
                  <c:v>Shwe Gu Baptist Church</c:v>
                </c:pt>
                <c:pt idx="144">
                  <c:v>Shwe Gu Catholic Church</c:v>
                </c:pt>
                <c:pt idx="145">
                  <c:v>Shwe Zet Baptist Church</c:v>
                </c:pt>
                <c:pt idx="146">
                  <c:v>Sin Bo</c:v>
                </c:pt>
                <c:pt idx="147">
                  <c:v>St. Patrick Catholic Church </c:v>
                </c:pt>
                <c:pt idx="148">
                  <c:v>Sumprabum</c:v>
                </c:pt>
                <c:pt idx="149">
                  <c:v>Tanai CoC</c:v>
                </c:pt>
                <c:pt idx="150">
                  <c:v>Tat Kone Baptist Church</c:v>
                </c:pt>
                <c:pt idx="151">
                  <c:v>Tat Kone COC Baptist - Tat Kone Htoi San</c:v>
                </c:pt>
                <c:pt idx="152">
                  <c:v>Tat Kone Emanuel Church</c:v>
                </c:pt>
                <c:pt idx="153">
                  <c:v>Tat Kone Galile Baptist Church</c:v>
                </c:pt>
                <c:pt idx="154">
                  <c:v>Tat Kone San Pya Baptist Church</c:v>
                </c:pt>
                <c:pt idx="155">
                  <c:v>Thargaya Lisu Baptist Church</c:v>
                </c:pt>
                <c:pt idx="156">
                  <c:v>Tote Tan Ward</c:v>
                </c:pt>
                <c:pt idx="157">
                  <c:v>Tsan Lun - Namjarap</c:v>
                </c:pt>
                <c:pt idx="158">
                  <c:v>Waingmaw AG Church</c:v>
                </c:pt>
                <c:pt idx="159">
                  <c:v>Ward 2 Sai Taung Baptist Church, Seik Mu </c:v>
                </c:pt>
                <c:pt idx="160">
                  <c:v>Woi Chyai </c:v>
                </c:pt>
                <c:pt idx="161">
                  <c:v>Woi Chyai (Mong Lai)</c:v>
                </c:pt>
                <c:pt idx="162">
                  <c:v>Woi Chyai host families</c:v>
                </c:pt>
                <c:pt idx="163">
                  <c:v>Yoe Kyi Monastery</c:v>
                </c:pt>
                <c:pt idx="164">
                  <c:v>Yumar Baptist Church</c:v>
                </c:pt>
                <c:pt idx="165">
                  <c:v>Zup Aung Camp</c:v>
                </c:pt>
                <c:pt idx="166">
                  <c:v>Myo Oo St. Dominic RC Church</c:v>
                </c:pt>
                <c:pt idx="167">
                  <c:v>Lan Gwa St.Paul RC Church</c:v>
                </c:pt>
                <c:pt idx="168">
                  <c:v>Emmanuel AG Church</c:v>
                </c:pt>
                <c:pt idx="169">
                  <c:v>Ti Yang Zup</c:v>
                </c:pt>
                <c:pt idx="170">
                  <c:v>Sadung</c:v>
                </c:pt>
                <c:pt idx="171">
                  <c:v>Lawa RC Church</c:v>
                </c:pt>
                <c:pt idx="172">
                  <c:v>Karmaing RC Church</c:v>
                </c:pt>
                <c:pt idx="173">
                  <c:v>Ka Bu Dam CoC</c:v>
                </c:pt>
                <c:pt idx="174">
                  <c:v>Pang Hkawn Yang</c:v>
                </c:pt>
                <c:pt idx="175">
                  <c:v>Lone Khin Catholic Church</c:v>
                </c:pt>
                <c:pt idx="176">
                  <c:v>Lawt Awng</c:v>
                </c:pt>
                <c:pt idx="177">
                  <c:v>Namatee AG</c:v>
                </c:pt>
                <c:pt idx="178">
                  <c:v>Momauk IDP new Extension camp
(Alen Kawng Lawk)</c:v>
                </c:pt>
                <c:pt idx="179">
                  <c:v>Ma Hawng Baptist Church</c:v>
                </c:pt>
                <c:pt idx="180">
                  <c:v>Tanai KBC Camp</c:v>
                </c:pt>
                <c:pt idx="181">
                  <c:v>Nam Hpak Ka Ta'ang ( Aung Tha Pyay)</c:v>
                </c:pt>
                <c:pt idx="182">
                  <c:v>Mai Yu Lay New (Ta'ang)</c:v>
                </c:pt>
                <c:pt idx="183">
                  <c:v>Mine Yu Lay village ( Old)</c:v>
                </c:pt>
                <c:pt idx="184">
                  <c:v>Namti Labraw Yang KBC Camp</c:v>
                </c:pt>
                <c:pt idx="185">
                  <c:v>Trinity Camp</c:v>
                </c:pt>
                <c:pt idx="186">
                  <c:v>Jaw Masat Camp</c:v>
                </c:pt>
                <c:pt idx="187">
                  <c:v>Waimaw Baptist Zonal Office 2</c:v>
                </c:pt>
                <c:pt idx="188">
                  <c:v>Pa Dauk Myaing(Pa La Na)-II</c:v>
                </c:pt>
                <c:pt idx="189">
                  <c:v>Mee Pho Kone</c:v>
                </c:pt>
                <c:pt idx="190">
                  <c:v>St. Joseph Tanai RC camp </c:v>
                </c:pt>
                <c:pt idx="191">
                  <c:v>Galeng (Palaung) &amp; Kone Khem</c:v>
                </c:pt>
                <c:pt idx="192">
                  <c:v>Hu Hku &amp; Ho Hko</c:v>
                </c:pt>
                <c:pt idx="193">
                  <c:v>Sasana 2500 monastery</c:v>
                </c:pt>
                <c:pt idx="194">
                  <c:v>Boe Taw monastery</c:v>
                </c:pt>
                <c:pt idx="195">
                  <c:v>Man Li</c:v>
                </c:pt>
                <c:pt idx="196">
                  <c:v>Hka Garan Yang </c:v>
                </c:pt>
                <c:pt idx="197">
                  <c:v>Htang Nya </c:v>
                </c:pt>
                <c:pt idx="198">
                  <c:v>Enai (Man Pyein)</c:v>
                </c:pt>
                <c:pt idx="199">
                  <c:v>Lian Bang village</c:v>
                </c:pt>
                <c:pt idx="200">
                  <c:v>Lian He village</c:v>
                </c:pt>
                <c:pt idx="201">
                  <c:v>Ci He village</c:v>
                </c:pt>
                <c:pt idx="202">
                  <c:v>New Man Jiu village</c:v>
                </c:pt>
              </c:strCache>
            </c:strRef>
          </c:cat>
          <c:val>
            <c:numRef>
              <c:f>'By Camps'!$B$34</c:f>
              <c:numCache>
                <c:formatCode>General</c:formatCode>
                <c:ptCount val="203"/>
                <c:pt idx="0">
                  <c:v>0</c:v>
                </c:pt>
                <c:pt idx="1">
                  <c:v>356</c:v>
                </c:pt>
                <c:pt idx="2">
                  <c:v>815</c:v>
                </c:pt>
                <c:pt idx="3">
                  <c:v>0</c:v>
                </c:pt>
                <c:pt idx="4">
                  <c:v>83</c:v>
                </c:pt>
                <c:pt idx="5">
                  <c:v>665</c:v>
                </c:pt>
                <c:pt idx="6">
                  <c:v>52</c:v>
                </c:pt>
                <c:pt idx="7">
                  <c:v>228</c:v>
                </c:pt>
                <c:pt idx="8">
                  <c:v>0</c:v>
                </c:pt>
                <c:pt idx="9">
                  <c:v>66.666666666666671</c:v>
                </c:pt>
                <c:pt idx="10">
                  <c:v>1661</c:v>
                </c:pt>
                <c:pt idx="11">
                  <c:v>0</c:v>
                </c:pt>
                <c:pt idx="12">
                  <c:v>66.666666666666671</c:v>
                </c:pt>
                <c:pt idx="13">
                  <c:v>0</c:v>
                </c:pt>
                <c:pt idx="14">
                  <c:v>197</c:v>
                </c:pt>
                <c:pt idx="15">
                  <c:v>66.666666666666671</c:v>
                </c:pt>
                <c:pt idx="16">
                  <c:v>0</c:v>
                </c:pt>
                <c:pt idx="17">
                  <c:v>448</c:v>
                </c:pt>
                <c:pt idx="18">
                  <c:v>66.666666666666671</c:v>
                </c:pt>
                <c:pt idx="19">
                  <c:v>132</c:v>
                </c:pt>
                <c:pt idx="20">
                  <c:v>0</c:v>
                </c:pt>
                <c:pt idx="21">
                  <c:v>0</c:v>
                </c:pt>
                <c:pt idx="22">
                  <c:v>553</c:v>
                </c:pt>
                <c:pt idx="23">
                  <c:v>0</c:v>
                </c:pt>
                <c:pt idx="24">
                  <c:v>519</c:v>
                </c:pt>
                <c:pt idx="25">
                  <c:v>66.666666666666671</c:v>
                </c:pt>
                <c:pt idx="26">
                  <c:v>3662</c:v>
                </c:pt>
                <c:pt idx="27">
                  <c:v>235</c:v>
                </c:pt>
                <c:pt idx="28">
                  <c:v>680</c:v>
                </c:pt>
                <c:pt idx="29">
                  <c:v>0</c:v>
                </c:pt>
                <c:pt idx="30">
                  <c:v>1050</c:v>
                </c:pt>
                <c:pt idx="31">
                  <c:v>400</c:v>
                </c:pt>
                <c:pt idx="32">
                  <c:v>400</c:v>
                </c:pt>
                <c:pt idx="33">
                  <c:v>106</c:v>
                </c:pt>
                <c:pt idx="34">
                  <c:v>94</c:v>
                </c:pt>
                <c:pt idx="35">
                  <c:v>0</c:v>
                </c:pt>
                <c:pt idx="36">
                  <c:v>496</c:v>
                </c:pt>
                <c:pt idx="37">
                  <c:v>259</c:v>
                </c:pt>
                <c:pt idx="38">
                  <c:v>156</c:v>
                </c:pt>
                <c:pt idx="39">
                  <c:v>138</c:v>
                </c:pt>
                <c:pt idx="40">
                  <c:v>267</c:v>
                </c:pt>
                <c:pt idx="41">
                  <c:v>194</c:v>
                </c:pt>
                <c:pt idx="42">
                  <c:v>66</c:v>
                </c:pt>
                <c:pt idx="43">
                  <c:v>1335.3333333333333</c:v>
                </c:pt>
                <c:pt idx="44">
                  <c:v>1450</c:v>
                </c:pt>
                <c:pt idx="45">
                  <c:v>0</c:v>
                </c:pt>
                <c:pt idx="46">
                  <c:v>316.73333333333335</c:v>
                </c:pt>
                <c:pt idx="47">
                  <c:v>400</c:v>
                </c:pt>
                <c:pt idx="48">
                  <c:v>676</c:v>
                </c:pt>
                <c:pt idx="49">
                  <c:v>0</c:v>
                </c:pt>
                <c:pt idx="50">
                  <c:v>0</c:v>
                </c:pt>
                <c:pt idx="51">
                  <c:v>103</c:v>
                </c:pt>
                <c:pt idx="52">
                  <c:v>6.6666666666666666E-2</c:v>
                </c:pt>
                <c:pt idx="53">
                  <c:v>800</c:v>
                </c:pt>
                <c:pt idx="54">
                  <c:v>146</c:v>
                </c:pt>
                <c:pt idx="55">
                  <c:v>240</c:v>
                </c:pt>
                <c:pt idx="56">
                  <c:v>405</c:v>
                </c:pt>
                <c:pt idx="57">
                  <c:v>1138</c:v>
                </c:pt>
                <c:pt idx="58">
                  <c:v>289</c:v>
                </c:pt>
                <c:pt idx="59">
                  <c:v>0</c:v>
                </c:pt>
                <c:pt idx="60">
                  <c:v>159</c:v>
                </c:pt>
                <c:pt idx="61">
                  <c:v>266.66666666666669</c:v>
                </c:pt>
                <c:pt idx="62">
                  <c:v>2065</c:v>
                </c:pt>
                <c:pt idx="63">
                  <c:v>1481</c:v>
                </c:pt>
                <c:pt idx="64">
                  <c:v>2500</c:v>
                </c:pt>
                <c:pt idx="65">
                  <c:v>191</c:v>
                </c:pt>
                <c:pt idx="66">
                  <c:v>1855</c:v>
                </c:pt>
                <c:pt idx="67">
                  <c:v>694</c:v>
                </c:pt>
                <c:pt idx="68">
                  <c:v>290</c:v>
                </c:pt>
                <c:pt idx="69">
                  <c:v>1258</c:v>
                </c:pt>
                <c:pt idx="70">
                  <c:v>650</c:v>
                </c:pt>
                <c:pt idx="71">
                  <c:v>547</c:v>
                </c:pt>
                <c:pt idx="72">
                  <c:v>0</c:v>
                </c:pt>
                <c:pt idx="73">
                  <c:v>0</c:v>
                </c:pt>
                <c:pt idx="74">
                  <c:v>0</c:v>
                </c:pt>
                <c:pt idx="75">
                  <c:v>0</c:v>
                </c:pt>
                <c:pt idx="76">
                  <c:v>0</c:v>
                </c:pt>
                <c:pt idx="77">
                  <c:v>0</c:v>
                </c:pt>
                <c:pt idx="78">
                  <c:v>0</c:v>
                </c:pt>
                <c:pt idx="79">
                  <c:v>13</c:v>
                </c:pt>
                <c:pt idx="80">
                  <c:v>135</c:v>
                </c:pt>
                <c:pt idx="81">
                  <c:v>235</c:v>
                </c:pt>
                <c:pt idx="82">
                  <c:v>807</c:v>
                </c:pt>
                <c:pt idx="83">
                  <c:v>0</c:v>
                </c:pt>
                <c:pt idx="84">
                  <c:v>92</c:v>
                </c:pt>
                <c:pt idx="85">
                  <c:v>123</c:v>
                </c:pt>
                <c:pt idx="86">
                  <c:v>15</c:v>
                </c:pt>
                <c:pt idx="87">
                  <c:v>0</c:v>
                </c:pt>
                <c:pt idx="88">
                  <c:v>453</c:v>
                </c:pt>
                <c:pt idx="89">
                  <c:v>0</c:v>
                </c:pt>
                <c:pt idx="90">
                  <c:v>276</c:v>
                </c:pt>
                <c:pt idx="91">
                  <c:v>180</c:v>
                </c:pt>
                <c:pt idx="92">
                  <c:v>0</c:v>
                </c:pt>
                <c:pt idx="93">
                  <c:v>111</c:v>
                </c:pt>
                <c:pt idx="94">
                  <c:v>0</c:v>
                </c:pt>
                <c:pt idx="95">
                  <c:v>114</c:v>
                </c:pt>
                <c:pt idx="96">
                  <c:v>49</c:v>
                </c:pt>
                <c:pt idx="97">
                  <c:v>0</c:v>
                </c:pt>
                <c:pt idx="98">
                  <c:v>0</c:v>
                </c:pt>
                <c:pt idx="99">
                  <c:v>390</c:v>
                </c:pt>
                <c:pt idx="100">
                  <c:v>350</c:v>
                </c:pt>
                <c:pt idx="101">
                  <c:v>176</c:v>
                </c:pt>
                <c:pt idx="102">
                  <c:v>212</c:v>
                </c:pt>
                <c:pt idx="103">
                  <c:v>263</c:v>
                </c:pt>
                <c:pt idx="104">
                  <c:v>42</c:v>
                </c:pt>
                <c:pt idx="105">
                  <c:v>182</c:v>
                </c:pt>
                <c:pt idx="106">
                  <c:v>161</c:v>
                </c:pt>
                <c:pt idx="107">
                  <c:v>66.666666666666671</c:v>
                </c:pt>
                <c:pt idx="108">
                  <c:v>309</c:v>
                </c:pt>
                <c:pt idx="109">
                  <c:v>76</c:v>
                </c:pt>
                <c:pt idx="110">
                  <c:v>218</c:v>
                </c:pt>
                <c:pt idx="111">
                  <c:v>41</c:v>
                </c:pt>
                <c:pt idx="112">
                  <c:v>82</c:v>
                </c:pt>
                <c:pt idx="113">
                  <c:v>113</c:v>
                </c:pt>
                <c:pt idx="114">
                  <c:v>0</c:v>
                </c:pt>
                <c:pt idx="115">
                  <c:v>632</c:v>
                </c:pt>
                <c:pt idx="116">
                  <c:v>1722</c:v>
                </c:pt>
                <c:pt idx="117">
                  <c:v>281</c:v>
                </c:pt>
                <c:pt idx="118">
                  <c:v>300</c:v>
                </c:pt>
                <c:pt idx="119">
                  <c:v>882</c:v>
                </c:pt>
                <c:pt idx="120">
                  <c:v>1249.9999999999998</c:v>
                </c:pt>
                <c:pt idx="121">
                  <c:v>200</c:v>
                </c:pt>
                <c:pt idx="122">
                  <c:v>196</c:v>
                </c:pt>
                <c:pt idx="123">
                  <c:v>0</c:v>
                </c:pt>
                <c:pt idx="124">
                  <c:v>66.666666666666671</c:v>
                </c:pt>
                <c:pt idx="125">
                  <c:v>778</c:v>
                </c:pt>
                <c:pt idx="126">
                  <c:v>66.666666666666671</c:v>
                </c:pt>
                <c:pt idx="127">
                  <c:v>493</c:v>
                </c:pt>
                <c:pt idx="128">
                  <c:v>307</c:v>
                </c:pt>
                <c:pt idx="129">
                  <c:v>189</c:v>
                </c:pt>
                <c:pt idx="130">
                  <c:v>38</c:v>
                </c:pt>
                <c:pt idx="131">
                  <c:v>4010</c:v>
                </c:pt>
                <c:pt idx="132">
                  <c:v>0</c:v>
                </c:pt>
                <c:pt idx="133">
                  <c:v>0</c:v>
                </c:pt>
                <c:pt idx="134">
                  <c:v>136</c:v>
                </c:pt>
                <c:pt idx="135">
                  <c:v>0</c:v>
                </c:pt>
                <c:pt idx="136">
                  <c:v>253</c:v>
                </c:pt>
                <c:pt idx="137">
                  <c:v>266.66666666666669</c:v>
                </c:pt>
                <c:pt idx="138">
                  <c:v>103</c:v>
                </c:pt>
                <c:pt idx="139">
                  <c:v>80</c:v>
                </c:pt>
                <c:pt idx="140">
                  <c:v>534</c:v>
                </c:pt>
                <c:pt idx="141">
                  <c:v>111</c:v>
                </c:pt>
                <c:pt idx="142">
                  <c:v>0</c:v>
                </c:pt>
                <c:pt idx="143">
                  <c:v>259</c:v>
                </c:pt>
                <c:pt idx="144">
                  <c:v>169</c:v>
                </c:pt>
                <c:pt idx="145">
                  <c:v>499</c:v>
                </c:pt>
                <c:pt idx="146">
                  <c:v>122</c:v>
                </c:pt>
                <c:pt idx="147">
                  <c:v>52</c:v>
                </c:pt>
                <c:pt idx="148">
                  <c:v>0</c:v>
                </c:pt>
                <c:pt idx="149">
                  <c:v>0</c:v>
                </c:pt>
                <c:pt idx="150">
                  <c:v>351</c:v>
                </c:pt>
                <c:pt idx="151">
                  <c:v>253</c:v>
                </c:pt>
                <c:pt idx="152">
                  <c:v>77</c:v>
                </c:pt>
                <c:pt idx="153">
                  <c:v>165</c:v>
                </c:pt>
                <c:pt idx="154">
                  <c:v>219</c:v>
                </c:pt>
                <c:pt idx="155">
                  <c:v>186</c:v>
                </c:pt>
                <c:pt idx="156">
                  <c:v>0</c:v>
                </c:pt>
                <c:pt idx="157">
                  <c:v>183</c:v>
                </c:pt>
                <c:pt idx="158">
                  <c:v>263</c:v>
                </c:pt>
                <c:pt idx="159">
                  <c:v>172</c:v>
                </c:pt>
                <c:pt idx="160">
                  <c:v>7165</c:v>
                </c:pt>
                <c:pt idx="161">
                  <c:v>0</c:v>
                </c:pt>
                <c:pt idx="162">
                  <c:v>0</c:v>
                </c:pt>
                <c:pt idx="163">
                  <c:v>59</c:v>
                </c:pt>
                <c:pt idx="164">
                  <c:v>0</c:v>
                </c:pt>
                <c:pt idx="165">
                  <c:v>1077</c:v>
                </c:pt>
                <c:pt idx="166">
                  <c:v>235</c:v>
                </c:pt>
                <c:pt idx="167">
                  <c:v>396</c:v>
                </c:pt>
                <c:pt idx="168">
                  <c:v>0</c:v>
                </c:pt>
                <c:pt idx="169">
                  <c:v>66.666666666666671</c:v>
                </c:pt>
                <c:pt idx="170">
                  <c:v>0</c:v>
                </c:pt>
                <c:pt idx="171">
                  <c:v>66.666666666666671</c:v>
                </c:pt>
                <c:pt idx="172">
                  <c:v>63</c:v>
                </c:pt>
                <c:pt idx="173">
                  <c:v>39</c:v>
                </c:pt>
                <c:pt idx="174">
                  <c:v>1436</c:v>
                </c:pt>
                <c:pt idx="175">
                  <c:v>329</c:v>
                </c:pt>
                <c:pt idx="176">
                  <c:v>0</c:v>
                </c:pt>
                <c:pt idx="177">
                  <c:v>36</c:v>
                </c:pt>
                <c:pt idx="178">
                  <c:v>187</c:v>
                </c:pt>
                <c:pt idx="179">
                  <c:v>78</c:v>
                </c:pt>
                <c:pt idx="180">
                  <c:v>0</c:v>
                </c:pt>
                <c:pt idx="181">
                  <c:v>114</c:v>
                </c:pt>
                <c:pt idx="182">
                  <c:v>721</c:v>
                </c:pt>
                <c:pt idx="183">
                  <c:v>305</c:v>
                </c:pt>
                <c:pt idx="184">
                  <c:v>400</c:v>
                </c:pt>
                <c:pt idx="185">
                  <c:v>724</c:v>
                </c:pt>
                <c:pt idx="186">
                  <c:v>489</c:v>
                </c:pt>
                <c:pt idx="187">
                  <c:v>356</c:v>
                </c:pt>
                <c:pt idx="188">
                  <c:v>0</c:v>
                </c:pt>
                <c:pt idx="189">
                  <c:v>0</c:v>
                </c:pt>
                <c:pt idx="190">
                  <c:v>0</c:v>
                </c:pt>
                <c:pt idx="191">
                  <c:v>0</c:v>
                </c:pt>
                <c:pt idx="192">
                  <c:v>154</c:v>
                </c:pt>
                <c:pt idx="193">
                  <c:v>0</c:v>
                </c:pt>
                <c:pt idx="194">
                  <c:v>0</c:v>
                </c:pt>
                <c:pt idx="195">
                  <c:v>0</c:v>
                </c:pt>
                <c:pt idx="196">
                  <c:v>0</c:v>
                </c:pt>
                <c:pt idx="197">
                  <c:v>0</c:v>
                </c:pt>
                <c:pt idx="198">
                  <c:v>0</c:v>
                </c:pt>
                <c:pt idx="199">
                  <c:v>316.66666666666669</c:v>
                </c:pt>
                <c:pt idx="200">
                  <c:v>66.666666666666671</c:v>
                </c:pt>
                <c:pt idx="201">
                  <c:v>316.66666666666669</c:v>
                </c:pt>
                <c:pt idx="202">
                  <c:v>259</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[20190724_Myanmar_WASH_4W_2019_Q2_Consolidate_KachinShan_DRAFT.xlsx]Tracking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pivotFmt>
      <c:pivotFmt>
        <c:idx val="6"/>
        <c:spPr>
          <a:solidFill>
            <a:schemeClr val="accent2">
              <a:lumMod val="75000"/>
            </a:schemeClr>
          </a:solidFill>
          <a:ln>
            <a:noFill/>
          </a:ln>
          <a:effectLst/>
        </c:spPr>
        <c:marker>
          <c:symbol val="none"/>
        </c:marker>
      </c:pivotFmt>
      <c:pivotFmt>
        <c:idx val="7"/>
        <c:spPr>
          <a:solidFill>
            <a:srgbClr val="0070C0"/>
          </a:solidFill>
          <a:ln>
            <a:noFill/>
          </a:ln>
          <a:effectLst/>
        </c:spPr>
        <c:marker>
          <c:symbol val="none"/>
        </c:marker>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Dashboard'!$L$5:$M$115</c:f>
              <c:multiLvlStrCache>
                <c:ptCount val="66"/>
                <c:lvl>
                  <c:pt idx="0">
                    <c:v>2019_Q1</c:v>
                  </c:pt>
                  <c:pt idx="1">
                    <c:v>2019_Q2</c:v>
                  </c:pt>
                  <c:pt idx="2">
                    <c:v>2019_Q1</c:v>
                  </c:pt>
                  <c:pt idx="3">
                    <c:v>2019_Q2</c:v>
                  </c:pt>
                  <c:pt idx="4">
                    <c:v>2019_Q2</c:v>
                  </c:pt>
                  <c:pt idx="5">
                    <c:v>2019_Q1</c:v>
                  </c:pt>
                  <c:pt idx="6">
                    <c:v>2019_Q2</c:v>
                  </c:pt>
                  <c:pt idx="7">
                    <c:v>2019_Q2</c:v>
                  </c:pt>
                  <c:pt idx="8">
                    <c:v>2019_Q1</c:v>
                  </c:pt>
                  <c:pt idx="9">
                    <c:v>2019_Q2</c:v>
                  </c:pt>
                  <c:pt idx="10">
                    <c:v>2019_Q1</c:v>
                  </c:pt>
                  <c:pt idx="11">
                    <c:v>2019_Q2</c:v>
                  </c:pt>
                  <c:pt idx="12">
                    <c:v>2019_Q1</c:v>
                  </c:pt>
                  <c:pt idx="13">
                    <c:v>2019_Q2</c:v>
                  </c:pt>
                  <c:pt idx="14">
                    <c:v>2019_Q1</c:v>
                  </c:pt>
                  <c:pt idx="15">
                    <c:v>2019_Q2</c:v>
                  </c:pt>
                  <c:pt idx="16">
                    <c:v>2019_Q1</c:v>
                  </c:pt>
                  <c:pt idx="17">
                    <c:v>2019_Q1</c:v>
                  </c:pt>
                  <c:pt idx="18">
                    <c:v>2019_Q2</c:v>
                  </c:pt>
                  <c:pt idx="19">
                    <c:v>2019_Q1</c:v>
                  </c:pt>
                  <c:pt idx="20">
                    <c:v>2019_Q2</c:v>
                  </c:pt>
                  <c:pt idx="21">
                    <c:v>2019_Q1</c:v>
                  </c:pt>
                  <c:pt idx="22">
                    <c:v>2019_Q1</c:v>
                  </c:pt>
                  <c:pt idx="23">
                    <c:v>2019_Q2</c:v>
                  </c:pt>
                  <c:pt idx="24">
                    <c:v>2019_Q2</c:v>
                  </c:pt>
                  <c:pt idx="25">
                    <c:v>2019_Q2</c:v>
                  </c:pt>
                  <c:pt idx="26">
                    <c:v>2019_Q2</c:v>
                  </c:pt>
                  <c:pt idx="27">
                    <c:v>2019_Q2</c:v>
                  </c:pt>
                  <c:pt idx="28">
                    <c:v>2019_Q2</c:v>
                  </c:pt>
                  <c:pt idx="29">
                    <c:v>2019_Q2</c:v>
                  </c:pt>
                  <c:pt idx="30">
                    <c:v>2019_Q1</c:v>
                  </c:pt>
                  <c:pt idx="31">
                    <c:v>2019_Q2</c:v>
                  </c:pt>
                  <c:pt idx="32">
                    <c:v>2019_Q1</c:v>
                  </c:pt>
                  <c:pt idx="33">
                    <c:v>2019_Q2</c:v>
                  </c:pt>
                  <c:pt idx="34">
                    <c:v>2019_Q1</c:v>
                  </c:pt>
                  <c:pt idx="35">
                    <c:v>2019_Q2</c:v>
                  </c:pt>
                  <c:pt idx="36">
                    <c:v>2019_Q2</c:v>
                  </c:pt>
                  <c:pt idx="37">
                    <c:v>2019_Q1</c:v>
                  </c:pt>
                  <c:pt idx="38">
                    <c:v>2019_Q2</c:v>
                  </c:pt>
                  <c:pt idx="39">
                    <c:v>2019_Q2</c:v>
                  </c:pt>
                  <c:pt idx="40">
                    <c:v>2019_Q2</c:v>
                  </c:pt>
                  <c:pt idx="41">
                    <c:v>2019_Q1</c:v>
                  </c:pt>
                  <c:pt idx="42">
                    <c:v>2019_Q1</c:v>
                  </c:pt>
                  <c:pt idx="43">
                    <c:v>2019_Q2</c:v>
                  </c:pt>
                  <c:pt idx="44">
                    <c:v>2019_Q2</c:v>
                  </c:pt>
                  <c:pt idx="45">
                    <c:v>2019_Q2</c:v>
                  </c:pt>
                  <c:pt idx="46">
                    <c:v>2019_Q1</c:v>
                  </c:pt>
                  <c:pt idx="47">
                    <c:v>2019_Q2</c:v>
                  </c:pt>
                  <c:pt idx="48">
                    <c:v>2019_Q1</c:v>
                  </c:pt>
                  <c:pt idx="49">
                    <c:v>2019_Q2</c:v>
                  </c:pt>
                  <c:pt idx="50">
                    <c:v>2019_Q1</c:v>
                  </c:pt>
                  <c:pt idx="51">
                    <c:v>2019_Q2</c:v>
                  </c:pt>
                  <c:pt idx="52">
                    <c:v>2019_Q1</c:v>
                  </c:pt>
                  <c:pt idx="53">
                    <c:v>2019_Q2</c:v>
                  </c:pt>
                  <c:pt idx="54">
                    <c:v>2019_Q1</c:v>
                  </c:pt>
                  <c:pt idx="55">
                    <c:v>2019_Q2</c:v>
                  </c:pt>
                  <c:pt idx="56">
                    <c:v>2019_Q1</c:v>
                  </c:pt>
                  <c:pt idx="57">
                    <c:v>2019_Q2</c:v>
                  </c:pt>
                  <c:pt idx="58">
                    <c:v>2019_Q2</c:v>
                  </c:pt>
                  <c:pt idx="59">
                    <c:v>2019_Q1</c:v>
                  </c:pt>
                  <c:pt idx="60">
                    <c:v>2019_Q2</c:v>
                  </c:pt>
                  <c:pt idx="61">
                    <c:v>2019_Q1</c:v>
                  </c:pt>
                  <c:pt idx="62">
                    <c:v>2019_Q2</c:v>
                  </c:pt>
                  <c:pt idx="63">
                    <c:v>2019_Q1</c:v>
                  </c:pt>
                  <c:pt idx="64">
                    <c:v>2019_Q2</c:v>
                  </c:pt>
                  <c:pt idx="65">
                    <c:v>2019_Q2</c:v>
                  </c:pt>
                </c:lvl>
                <c:lvl>
                  <c:pt idx="0">
                    <c:v>Agritural Compound (KBC)</c:v>
                  </c:pt>
                  <c:pt idx="2">
                    <c:v>Aung Thar Church</c:v>
                  </c:pt>
                  <c:pt idx="4">
                    <c:v>Galeng (Palaung) &amp; Kone Khem</c:v>
                  </c:pt>
                  <c:pt idx="5">
                    <c:v>Hpai Kawng Mare</c:v>
                  </c:pt>
                  <c:pt idx="7">
                    <c:v>Hpun Lum Yang </c:v>
                  </c:pt>
                  <c:pt idx="8">
                    <c:v>Htoi San Church</c:v>
                  </c:pt>
                  <c:pt idx="10">
                    <c:v>IDP Boarding School, A Len Bum</c:v>
                  </c:pt>
                  <c:pt idx="12">
                    <c:v>Kachin Su Baptist Church (ECCD)</c:v>
                  </c:pt>
                  <c:pt idx="14">
                    <c:v>Khar Nan (1) Baptist Church</c:v>
                  </c:pt>
                  <c:pt idx="16">
                    <c:v>Kutkai downtown (KBC Church)</c:v>
                  </c:pt>
                  <c:pt idx="17">
                    <c:v>Kutkai downtown (RC Church)</c:v>
                  </c:pt>
                  <c:pt idx="18">
                    <c:v>Lisu Baptist Church</c:v>
                  </c:pt>
                  <c:pt idx="19">
                    <c:v>Lisu Boarding-House</c:v>
                  </c:pt>
                  <c:pt idx="21">
                    <c:v>Lisu Church Namtu</c:v>
                  </c:pt>
                  <c:pt idx="22">
                    <c:v>Man Bung Catholic compound</c:v>
                  </c:pt>
                  <c:pt idx="24">
                    <c:v>Man Loi</c:v>
                  </c:pt>
                  <c:pt idx="25">
                    <c:v>Man Wing Baptist Church</c:v>
                  </c:pt>
                  <c:pt idx="26">
                    <c:v>Man Wing Baptist Church Cultural Compound</c:v>
                  </c:pt>
                  <c:pt idx="27">
                    <c:v>Man Wing Catholic Church</c:v>
                  </c:pt>
                  <c:pt idx="28">
                    <c:v>Man Wing Catholic Church II</c:v>
                  </c:pt>
                  <c:pt idx="29">
                    <c:v>Man Wing Host Families</c:v>
                  </c:pt>
                  <c:pt idx="30">
                    <c:v>Mandalay Monestry</c:v>
                  </c:pt>
                  <c:pt idx="32">
                    <c:v>Mandung - Jinghpaw</c:v>
                  </c:pt>
                  <c:pt idx="34">
                    <c:v>Mansi Baptist Church</c:v>
                  </c:pt>
                  <c:pt idx="36">
                    <c:v>Mee Pho Kone</c:v>
                  </c:pt>
                  <c:pt idx="37">
                    <c:v>Momauk Baptist Church</c:v>
                  </c:pt>
                  <c:pt idx="39">
                    <c:v>Mungji Pa Dabang (Baptist Church)</c:v>
                  </c:pt>
                  <c:pt idx="40">
                    <c:v>Mungji Pa Dabang (Catholic Church)</c:v>
                  </c:pt>
                  <c:pt idx="41">
                    <c:v>Muse Baptist Church</c:v>
                  </c:pt>
                  <c:pt idx="42">
                    <c:v>Mu-yin Baptist Church</c:v>
                  </c:pt>
                  <c:pt idx="44">
                    <c:v>Nam Hkam (KBC Jaw Wang)</c:v>
                  </c:pt>
                  <c:pt idx="45">
                    <c:v>Nam Hkam (KBC Jaw Wang) II</c:v>
                  </c:pt>
                  <c:pt idx="46">
                    <c:v>Nam Sa Larp</c:v>
                  </c:pt>
                  <c:pt idx="48">
                    <c:v>Nam Tu Baptist</c:v>
                  </c:pt>
                  <c:pt idx="49">
                    <c:v>Namhkan - Pang Long KBC</c:v>
                  </c:pt>
                  <c:pt idx="50">
                    <c:v>Nant Hlaing Church</c:v>
                  </c:pt>
                  <c:pt idx="52">
                    <c:v>Pan Ta Pyae</c:v>
                  </c:pt>
                  <c:pt idx="54">
                    <c:v>Shwe Gu Baptist Church</c:v>
                  </c:pt>
                  <c:pt idx="56">
                    <c:v>Shwe Gu Catholic Church</c:v>
                  </c:pt>
                  <c:pt idx="58">
                    <c:v>Woi Chyai </c:v>
                  </c:pt>
                  <c:pt idx="59">
                    <c:v>Woi Chyai (Mong Lai)</c:v>
                  </c:pt>
                  <c:pt idx="61">
                    <c:v>Woi Chyai host families</c:v>
                  </c:pt>
                  <c:pt idx="63">
                    <c:v>Yoe Kyi Monastery</c:v>
                  </c:pt>
                  <c:pt idx="65">
                    <c:v>Enai (Man Pyein)</c:v>
                  </c:pt>
                </c:lvl>
              </c:multiLvlStrCache>
            </c:multiLvlStrRef>
          </c:cat>
          <c:val>
            <c:numRef>
              <c:f>'Tracking Dashboard'!$N$5:$N$115</c:f>
              <c:numCache>
                <c:formatCode>General</c:formatCode>
                <c:ptCount val="66"/>
                <c:pt idx="0">
                  <c:v>0</c:v>
                </c:pt>
                <c:pt idx="1">
                  <c:v>665</c:v>
                </c:pt>
                <c:pt idx="2">
                  <c:v>52</c:v>
                </c:pt>
                <c:pt idx="3">
                  <c:v>52</c:v>
                </c:pt>
                <c:pt idx="4">
                  <c:v>496</c:v>
                </c:pt>
                <c:pt idx="5">
                  <c:v>0</c:v>
                </c:pt>
                <c:pt idx="6">
                  <c:v>0</c:v>
                </c:pt>
                <c:pt idx="7">
                  <c:v>1500</c:v>
                </c:pt>
                <c:pt idx="8">
                  <c:v>235</c:v>
                </c:pt>
                <c:pt idx="9">
                  <c:v>235</c:v>
                </c:pt>
                <c:pt idx="10">
                  <c:v>0</c:v>
                </c:pt>
                <c:pt idx="11">
                  <c:v>0</c:v>
                </c:pt>
                <c:pt idx="12">
                  <c:v>0</c:v>
                </c:pt>
                <c:pt idx="13">
                  <c:v>65</c:v>
                </c:pt>
                <c:pt idx="14">
                  <c:v>0</c:v>
                </c:pt>
                <c:pt idx="15">
                  <c:v>94</c:v>
                </c:pt>
                <c:pt idx="16">
                  <c:v>292</c:v>
                </c:pt>
                <c:pt idx="17">
                  <c:v>0</c:v>
                </c:pt>
                <c:pt idx="18">
                  <c:v>137</c:v>
                </c:pt>
                <c:pt idx="19">
                  <c:v>800</c:v>
                </c:pt>
                <c:pt idx="20">
                  <c:v>800</c:v>
                </c:pt>
                <c:pt idx="21">
                  <c:v>182</c:v>
                </c:pt>
                <c:pt idx="22">
                  <c:v>1258</c:v>
                </c:pt>
                <c:pt idx="23">
                  <c:v>1258</c:v>
                </c:pt>
                <c:pt idx="24">
                  <c:v>85</c:v>
                </c:pt>
                <c:pt idx="25">
                  <c:v>647</c:v>
                </c:pt>
                <c:pt idx="26">
                  <c:v>524</c:v>
                </c:pt>
                <c:pt idx="27">
                  <c:v>0</c:v>
                </c:pt>
                <c:pt idx="28">
                  <c:v>0</c:v>
                </c:pt>
                <c:pt idx="29">
                  <c:v>0</c:v>
                </c:pt>
                <c:pt idx="30">
                  <c:v>0</c:v>
                </c:pt>
                <c:pt idx="31">
                  <c:v>13</c:v>
                </c:pt>
                <c:pt idx="32">
                  <c:v>147</c:v>
                </c:pt>
                <c:pt idx="33">
                  <c:v>135</c:v>
                </c:pt>
                <c:pt idx="34">
                  <c:v>807</c:v>
                </c:pt>
                <c:pt idx="35">
                  <c:v>807</c:v>
                </c:pt>
                <c:pt idx="36">
                  <c:v>53</c:v>
                </c:pt>
                <c:pt idx="37">
                  <c:v>0</c:v>
                </c:pt>
                <c:pt idx="38">
                  <c:v>453</c:v>
                </c:pt>
                <c:pt idx="39">
                  <c:v>190</c:v>
                </c:pt>
                <c:pt idx="40">
                  <c:v>95</c:v>
                </c:pt>
                <c:pt idx="41">
                  <c:v>0</c:v>
                </c:pt>
                <c:pt idx="42">
                  <c:v>49</c:v>
                </c:pt>
                <c:pt idx="43">
                  <c:v>49</c:v>
                </c:pt>
                <c:pt idx="44">
                  <c:v>325</c:v>
                </c:pt>
                <c:pt idx="45">
                  <c:v>176</c:v>
                </c:pt>
                <c:pt idx="46">
                  <c:v>166</c:v>
                </c:pt>
                <c:pt idx="47">
                  <c:v>182</c:v>
                </c:pt>
                <c:pt idx="48">
                  <c:v>263</c:v>
                </c:pt>
                <c:pt idx="49">
                  <c:v>568</c:v>
                </c:pt>
                <c:pt idx="50">
                  <c:v>76</c:v>
                </c:pt>
                <c:pt idx="51">
                  <c:v>76</c:v>
                </c:pt>
                <c:pt idx="52">
                  <c:v>0</c:v>
                </c:pt>
                <c:pt idx="53">
                  <c:v>27</c:v>
                </c:pt>
                <c:pt idx="54">
                  <c:v>0</c:v>
                </c:pt>
                <c:pt idx="55">
                  <c:v>175</c:v>
                </c:pt>
                <c:pt idx="56">
                  <c:v>0</c:v>
                </c:pt>
                <c:pt idx="57">
                  <c:v>169</c:v>
                </c:pt>
                <c:pt idx="58">
                  <c:v>3000</c:v>
                </c:pt>
                <c:pt idx="59">
                  <c:v>0</c:v>
                </c:pt>
                <c:pt idx="60">
                  <c:v>0</c:v>
                </c:pt>
                <c:pt idx="61">
                  <c:v>0</c:v>
                </c:pt>
                <c:pt idx="62">
                  <c:v>0</c:v>
                </c:pt>
                <c:pt idx="63">
                  <c:v>59</c:v>
                </c:pt>
                <c:pt idx="64">
                  <c:v>59</c:v>
                </c:pt>
                <c:pt idx="65">
                  <c:v>95</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Dashboard'!$L$5:$M$115</c:f>
              <c:multiLvlStrCache>
                <c:ptCount val="66"/>
                <c:lvl>
                  <c:pt idx="0">
                    <c:v>2019_Q1</c:v>
                  </c:pt>
                  <c:pt idx="1">
                    <c:v>2019_Q2</c:v>
                  </c:pt>
                  <c:pt idx="2">
                    <c:v>2019_Q1</c:v>
                  </c:pt>
                  <c:pt idx="3">
                    <c:v>2019_Q2</c:v>
                  </c:pt>
                  <c:pt idx="4">
                    <c:v>2019_Q2</c:v>
                  </c:pt>
                  <c:pt idx="5">
                    <c:v>2019_Q1</c:v>
                  </c:pt>
                  <c:pt idx="6">
                    <c:v>2019_Q2</c:v>
                  </c:pt>
                  <c:pt idx="7">
                    <c:v>2019_Q2</c:v>
                  </c:pt>
                  <c:pt idx="8">
                    <c:v>2019_Q1</c:v>
                  </c:pt>
                  <c:pt idx="9">
                    <c:v>2019_Q2</c:v>
                  </c:pt>
                  <c:pt idx="10">
                    <c:v>2019_Q1</c:v>
                  </c:pt>
                  <c:pt idx="11">
                    <c:v>2019_Q2</c:v>
                  </c:pt>
                  <c:pt idx="12">
                    <c:v>2019_Q1</c:v>
                  </c:pt>
                  <c:pt idx="13">
                    <c:v>2019_Q2</c:v>
                  </c:pt>
                  <c:pt idx="14">
                    <c:v>2019_Q1</c:v>
                  </c:pt>
                  <c:pt idx="15">
                    <c:v>2019_Q2</c:v>
                  </c:pt>
                  <c:pt idx="16">
                    <c:v>2019_Q1</c:v>
                  </c:pt>
                  <c:pt idx="17">
                    <c:v>2019_Q1</c:v>
                  </c:pt>
                  <c:pt idx="18">
                    <c:v>2019_Q2</c:v>
                  </c:pt>
                  <c:pt idx="19">
                    <c:v>2019_Q1</c:v>
                  </c:pt>
                  <c:pt idx="20">
                    <c:v>2019_Q2</c:v>
                  </c:pt>
                  <c:pt idx="21">
                    <c:v>2019_Q1</c:v>
                  </c:pt>
                  <c:pt idx="22">
                    <c:v>2019_Q1</c:v>
                  </c:pt>
                  <c:pt idx="23">
                    <c:v>2019_Q2</c:v>
                  </c:pt>
                  <c:pt idx="24">
                    <c:v>2019_Q2</c:v>
                  </c:pt>
                  <c:pt idx="25">
                    <c:v>2019_Q2</c:v>
                  </c:pt>
                  <c:pt idx="26">
                    <c:v>2019_Q2</c:v>
                  </c:pt>
                  <c:pt idx="27">
                    <c:v>2019_Q2</c:v>
                  </c:pt>
                  <c:pt idx="28">
                    <c:v>2019_Q2</c:v>
                  </c:pt>
                  <c:pt idx="29">
                    <c:v>2019_Q2</c:v>
                  </c:pt>
                  <c:pt idx="30">
                    <c:v>2019_Q1</c:v>
                  </c:pt>
                  <c:pt idx="31">
                    <c:v>2019_Q2</c:v>
                  </c:pt>
                  <c:pt idx="32">
                    <c:v>2019_Q1</c:v>
                  </c:pt>
                  <c:pt idx="33">
                    <c:v>2019_Q2</c:v>
                  </c:pt>
                  <c:pt idx="34">
                    <c:v>2019_Q1</c:v>
                  </c:pt>
                  <c:pt idx="35">
                    <c:v>2019_Q2</c:v>
                  </c:pt>
                  <c:pt idx="36">
                    <c:v>2019_Q2</c:v>
                  </c:pt>
                  <c:pt idx="37">
                    <c:v>2019_Q1</c:v>
                  </c:pt>
                  <c:pt idx="38">
                    <c:v>2019_Q2</c:v>
                  </c:pt>
                  <c:pt idx="39">
                    <c:v>2019_Q2</c:v>
                  </c:pt>
                  <c:pt idx="40">
                    <c:v>2019_Q2</c:v>
                  </c:pt>
                  <c:pt idx="41">
                    <c:v>2019_Q1</c:v>
                  </c:pt>
                  <c:pt idx="42">
                    <c:v>2019_Q1</c:v>
                  </c:pt>
                  <c:pt idx="43">
                    <c:v>2019_Q2</c:v>
                  </c:pt>
                  <c:pt idx="44">
                    <c:v>2019_Q2</c:v>
                  </c:pt>
                  <c:pt idx="45">
                    <c:v>2019_Q2</c:v>
                  </c:pt>
                  <c:pt idx="46">
                    <c:v>2019_Q1</c:v>
                  </c:pt>
                  <c:pt idx="47">
                    <c:v>2019_Q2</c:v>
                  </c:pt>
                  <c:pt idx="48">
                    <c:v>2019_Q1</c:v>
                  </c:pt>
                  <c:pt idx="49">
                    <c:v>2019_Q2</c:v>
                  </c:pt>
                  <c:pt idx="50">
                    <c:v>2019_Q1</c:v>
                  </c:pt>
                  <c:pt idx="51">
                    <c:v>2019_Q2</c:v>
                  </c:pt>
                  <c:pt idx="52">
                    <c:v>2019_Q1</c:v>
                  </c:pt>
                  <c:pt idx="53">
                    <c:v>2019_Q2</c:v>
                  </c:pt>
                  <c:pt idx="54">
                    <c:v>2019_Q1</c:v>
                  </c:pt>
                  <c:pt idx="55">
                    <c:v>2019_Q2</c:v>
                  </c:pt>
                  <c:pt idx="56">
                    <c:v>2019_Q1</c:v>
                  </c:pt>
                  <c:pt idx="57">
                    <c:v>2019_Q2</c:v>
                  </c:pt>
                  <c:pt idx="58">
                    <c:v>2019_Q2</c:v>
                  </c:pt>
                  <c:pt idx="59">
                    <c:v>2019_Q1</c:v>
                  </c:pt>
                  <c:pt idx="60">
                    <c:v>2019_Q2</c:v>
                  </c:pt>
                  <c:pt idx="61">
                    <c:v>2019_Q1</c:v>
                  </c:pt>
                  <c:pt idx="62">
                    <c:v>2019_Q2</c:v>
                  </c:pt>
                  <c:pt idx="63">
                    <c:v>2019_Q1</c:v>
                  </c:pt>
                  <c:pt idx="64">
                    <c:v>2019_Q2</c:v>
                  </c:pt>
                  <c:pt idx="65">
                    <c:v>2019_Q2</c:v>
                  </c:pt>
                </c:lvl>
                <c:lvl>
                  <c:pt idx="0">
                    <c:v>Agritural Compound (KBC)</c:v>
                  </c:pt>
                  <c:pt idx="2">
                    <c:v>Aung Thar Church</c:v>
                  </c:pt>
                  <c:pt idx="4">
                    <c:v>Galeng (Palaung) &amp; Kone Khem</c:v>
                  </c:pt>
                  <c:pt idx="5">
                    <c:v>Hpai Kawng Mare</c:v>
                  </c:pt>
                  <c:pt idx="7">
                    <c:v>Hpun Lum Yang </c:v>
                  </c:pt>
                  <c:pt idx="8">
                    <c:v>Htoi San Church</c:v>
                  </c:pt>
                  <c:pt idx="10">
                    <c:v>IDP Boarding School, A Len Bum</c:v>
                  </c:pt>
                  <c:pt idx="12">
                    <c:v>Kachin Su Baptist Church (ECCD)</c:v>
                  </c:pt>
                  <c:pt idx="14">
                    <c:v>Khar Nan (1) Baptist Church</c:v>
                  </c:pt>
                  <c:pt idx="16">
                    <c:v>Kutkai downtown (KBC Church)</c:v>
                  </c:pt>
                  <c:pt idx="17">
                    <c:v>Kutkai downtown (RC Church)</c:v>
                  </c:pt>
                  <c:pt idx="18">
                    <c:v>Lisu Baptist Church</c:v>
                  </c:pt>
                  <c:pt idx="19">
                    <c:v>Lisu Boarding-House</c:v>
                  </c:pt>
                  <c:pt idx="21">
                    <c:v>Lisu Church Namtu</c:v>
                  </c:pt>
                  <c:pt idx="22">
                    <c:v>Man Bung Catholic compound</c:v>
                  </c:pt>
                  <c:pt idx="24">
                    <c:v>Man Loi</c:v>
                  </c:pt>
                  <c:pt idx="25">
                    <c:v>Man Wing Baptist Church</c:v>
                  </c:pt>
                  <c:pt idx="26">
                    <c:v>Man Wing Baptist Church Cultural Compound</c:v>
                  </c:pt>
                  <c:pt idx="27">
                    <c:v>Man Wing Catholic Church</c:v>
                  </c:pt>
                  <c:pt idx="28">
                    <c:v>Man Wing Catholic Church II</c:v>
                  </c:pt>
                  <c:pt idx="29">
                    <c:v>Man Wing Host Families</c:v>
                  </c:pt>
                  <c:pt idx="30">
                    <c:v>Mandalay Monestry</c:v>
                  </c:pt>
                  <c:pt idx="32">
                    <c:v>Mandung - Jinghpaw</c:v>
                  </c:pt>
                  <c:pt idx="34">
                    <c:v>Mansi Baptist Church</c:v>
                  </c:pt>
                  <c:pt idx="36">
                    <c:v>Mee Pho Kone</c:v>
                  </c:pt>
                  <c:pt idx="37">
                    <c:v>Momauk Baptist Church</c:v>
                  </c:pt>
                  <c:pt idx="39">
                    <c:v>Mungji Pa Dabang (Baptist Church)</c:v>
                  </c:pt>
                  <c:pt idx="40">
                    <c:v>Mungji Pa Dabang (Catholic Church)</c:v>
                  </c:pt>
                  <c:pt idx="41">
                    <c:v>Muse Baptist Church</c:v>
                  </c:pt>
                  <c:pt idx="42">
                    <c:v>Mu-yin Baptist Church</c:v>
                  </c:pt>
                  <c:pt idx="44">
                    <c:v>Nam Hkam (KBC Jaw Wang)</c:v>
                  </c:pt>
                  <c:pt idx="45">
                    <c:v>Nam Hkam (KBC Jaw Wang) II</c:v>
                  </c:pt>
                  <c:pt idx="46">
                    <c:v>Nam Sa Larp</c:v>
                  </c:pt>
                  <c:pt idx="48">
                    <c:v>Nam Tu Baptist</c:v>
                  </c:pt>
                  <c:pt idx="49">
                    <c:v>Namhkan - Pang Long KBC</c:v>
                  </c:pt>
                  <c:pt idx="50">
                    <c:v>Nant Hlaing Church</c:v>
                  </c:pt>
                  <c:pt idx="52">
                    <c:v>Pan Ta Pyae</c:v>
                  </c:pt>
                  <c:pt idx="54">
                    <c:v>Shwe Gu Baptist Church</c:v>
                  </c:pt>
                  <c:pt idx="56">
                    <c:v>Shwe Gu Catholic Church</c:v>
                  </c:pt>
                  <c:pt idx="58">
                    <c:v>Woi Chyai </c:v>
                  </c:pt>
                  <c:pt idx="59">
                    <c:v>Woi Chyai (Mong Lai)</c:v>
                  </c:pt>
                  <c:pt idx="61">
                    <c:v>Woi Chyai host families</c:v>
                  </c:pt>
                  <c:pt idx="63">
                    <c:v>Yoe Kyi Monastery</c:v>
                  </c:pt>
                  <c:pt idx="65">
                    <c:v>Enai (Man Pyein)</c:v>
                  </c:pt>
                </c:lvl>
              </c:multiLvlStrCache>
            </c:multiLvlStrRef>
          </c:cat>
          <c:val>
            <c:numRef>
              <c:f>'Tracking Dashboard'!$O$5:$O$115</c:f>
              <c:numCache>
                <c:formatCode>General</c:formatCode>
                <c:ptCount val="66"/>
                <c:pt idx="0">
                  <c:v>560</c:v>
                </c:pt>
                <c:pt idx="1">
                  <c:v>560</c:v>
                </c:pt>
                <c:pt idx="2">
                  <c:v>40</c:v>
                </c:pt>
                <c:pt idx="3">
                  <c:v>40</c:v>
                </c:pt>
                <c:pt idx="4">
                  <c:v>0</c:v>
                </c:pt>
                <c:pt idx="5">
                  <c:v>779</c:v>
                </c:pt>
                <c:pt idx="6">
                  <c:v>779</c:v>
                </c:pt>
                <c:pt idx="7">
                  <c:v>3662</c:v>
                </c:pt>
                <c:pt idx="8">
                  <c:v>140</c:v>
                </c:pt>
                <c:pt idx="9">
                  <c:v>140</c:v>
                </c:pt>
                <c:pt idx="10">
                  <c:v>0</c:v>
                </c:pt>
                <c:pt idx="11">
                  <c:v>0</c:v>
                </c:pt>
                <c:pt idx="12">
                  <c:v>60</c:v>
                </c:pt>
                <c:pt idx="13">
                  <c:v>60</c:v>
                </c:pt>
                <c:pt idx="14">
                  <c:v>94</c:v>
                </c:pt>
                <c:pt idx="15">
                  <c:v>94</c:v>
                </c:pt>
                <c:pt idx="16">
                  <c:v>240</c:v>
                </c:pt>
                <c:pt idx="17">
                  <c:v>0</c:v>
                </c:pt>
                <c:pt idx="18">
                  <c:v>0</c:v>
                </c:pt>
                <c:pt idx="19">
                  <c:v>380</c:v>
                </c:pt>
                <c:pt idx="20">
                  <c:v>380</c:v>
                </c:pt>
                <c:pt idx="21">
                  <c:v>160</c:v>
                </c:pt>
                <c:pt idx="22">
                  <c:v>760</c:v>
                </c:pt>
                <c:pt idx="23">
                  <c:v>760</c:v>
                </c:pt>
                <c:pt idx="24">
                  <c:v>0</c:v>
                </c:pt>
                <c:pt idx="25">
                  <c:v>160</c:v>
                </c:pt>
                <c:pt idx="26">
                  <c:v>240</c:v>
                </c:pt>
                <c:pt idx="27">
                  <c:v>0</c:v>
                </c:pt>
                <c:pt idx="28">
                  <c:v>0</c:v>
                </c:pt>
                <c:pt idx="29">
                  <c:v>0</c:v>
                </c:pt>
                <c:pt idx="30">
                  <c:v>13</c:v>
                </c:pt>
                <c:pt idx="31">
                  <c:v>13</c:v>
                </c:pt>
                <c:pt idx="32">
                  <c:v>147</c:v>
                </c:pt>
                <c:pt idx="33">
                  <c:v>135</c:v>
                </c:pt>
                <c:pt idx="34">
                  <c:v>800</c:v>
                </c:pt>
                <c:pt idx="35">
                  <c:v>800</c:v>
                </c:pt>
                <c:pt idx="36">
                  <c:v>0</c:v>
                </c:pt>
                <c:pt idx="37">
                  <c:v>160</c:v>
                </c:pt>
                <c:pt idx="38">
                  <c:v>160</c:v>
                </c:pt>
                <c:pt idx="39">
                  <c:v>0</c:v>
                </c:pt>
                <c:pt idx="40">
                  <c:v>111</c:v>
                </c:pt>
                <c:pt idx="41">
                  <c:v>207</c:v>
                </c:pt>
                <c:pt idx="42">
                  <c:v>40</c:v>
                </c:pt>
                <c:pt idx="43">
                  <c:v>40</c:v>
                </c:pt>
                <c:pt idx="44">
                  <c:v>0</c:v>
                </c:pt>
                <c:pt idx="45">
                  <c:v>0</c:v>
                </c:pt>
                <c:pt idx="46">
                  <c:v>166</c:v>
                </c:pt>
                <c:pt idx="47">
                  <c:v>160</c:v>
                </c:pt>
                <c:pt idx="48">
                  <c:v>160</c:v>
                </c:pt>
                <c:pt idx="49">
                  <c:v>320</c:v>
                </c:pt>
                <c:pt idx="50">
                  <c:v>76</c:v>
                </c:pt>
                <c:pt idx="51">
                  <c:v>76</c:v>
                </c:pt>
                <c:pt idx="52">
                  <c:v>0</c:v>
                </c:pt>
                <c:pt idx="53">
                  <c:v>27</c:v>
                </c:pt>
                <c:pt idx="54">
                  <c:v>180</c:v>
                </c:pt>
                <c:pt idx="55">
                  <c:v>180</c:v>
                </c:pt>
                <c:pt idx="56">
                  <c:v>169</c:v>
                </c:pt>
                <c:pt idx="57">
                  <c:v>169</c:v>
                </c:pt>
                <c:pt idx="58">
                  <c:v>4500</c:v>
                </c:pt>
                <c:pt idx="59">
                  <c:v>0</c:v>
                </c:pt>
                <c:pt idx="60">
                  <c:v>0</c:v>
                </c:pt>
                <c:pt idx="61">
                  <c:v>0</c:v>
                </c:pt>
                <c:pt idx="62">
                  <c:v>0</c:v>
                </c:pt>
                <c:pt idx="63">
                  <c:v>59</c:v>
                </c:pt>
                <c:pt idx="64">
                  <c:v>59</c:v>
                </c:pt>
                <c:pt idx="65">
                  <c:v>95</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Dashboard'!$L$5:$M$115</c:f>
              <c:multiLvlStrCache>
                <c:ptCount val="66"/>
                <c:lvl>
                  <c:pt idx="0">
                    <c:v>2019_Q1</c:v>
                  </c:pt>
                  <c:pt idx="1">
                    <c:v>2019_Q2</c:v>
                  </c:pt>
                  <c:pt idx="2">
                    <c:v>2019_Q1</c:v>
                  </c:pt>
                  <c:pt idx="3">
                    <c:v>2019_Q2</c:v>
                  </c:pt>
                  <c:pt idx="4">
                    <c:v>2019_Q2</c:v>
                  </c:pt>
                  <c:pt idx="5">
                    <c:v>2019_Q1</c:v>
                  </c:pt>
                  <c:pt idx="6">
                    <c:v>2019_Q2</c:v>
                  </c:pt>
                  <c:pt idx="7">
                    <c:v>2019_Q2</c:v>
                  </c:pt>
                  <c:pt idx="8">
                    <c:v>2019_Q1</c:v>
                  </c:pt>
                  <c:pt idx="9">
                    <c:v>2019_Q2</c:v>
                  </c:pt>
                  <c:pt idx="10">
                    <c:v>2019_Q1</c:v>
                  </c:pt>
                  <c:pt idx="11">
                    <c:v>2019_Q2</c:v>
                  </c:pt>
                  <c:pt idx="12">
                    <c:v>2019_Q1</c:v>
                  </c:pt>
                  <c:pt idx="13">
                    <c:v>2019_Q2</c:v>
                  </c:pt>
                  <c:pt idx="14">
                    <c:v>2019_Q1</c:v>
                  </c:pt>
                  <c:pt idx="15">
                    <c:v>2019_Q2</c:v>
                  </c:pt>
                  <c:pt idx="16">
                    <c:v>2019_Q1</c:v>
                  </c:pt>
                  <c:pt idx="17">
                    <c:v>2019_Q1</c:v>
                  </c:pt>
                  <c:pt idx="18">
                    <c:v>2019_Q2</c:v>
                  </c:pt>
                  <c:pt idx="19">
                    <c:v>2019_Q1</c:v>
                  </c:pt>
                  <c:pt idx="20">
                    <c:v>2019_Q2</c:v>
                  </c:pt>
                  <c:pt idx="21">
                    <c:v>2019_Q1</c:v>
                  </c:pt>
                  <c:pt idx="22">
                    <c:v>2019_Q1</c:v>
                  </c:pt>
                  <c:pt idx="23">
                    <c:v>2019_Q2</c:v>
                  </c:pt>
                  <c:pt idx="24">
                    <c:v>2019_Q2</c:v>
                  </c:pt>
                  <c:pt idx="25">
                    <c:v>2019_Q2</c:v>
                  </c:pt>
                  <c:pt idx="26">
                    <c:v>2019_Q2</c:v>
                  </c:pt>
                  <c:pt idx="27">
                    <c:v>2019_Q2</c:v>
                  </c:pt>
                  <c:pt idx="28">
                    <c:v>2019_Q2</c:v>
                  </c:pt>
                  <c:pt idx="29">
                    <c:v>2019_Q2</c:v>
                  </c:pt>
                  <c:pt idx="30">
                    <c:v>2019_Q1</c:v>
                  </c:pt>
                  <c:pt idx="31">
                    <c:v>2019_Q2</c:v>
                  </c:pt>
                  <c:pt idx="32">
                    <c:v>2019_Q1</c:v>
                  </c:pt>
                  <c:pt idx="33">
                    <c:v>2019_Q2</c:v>
                  </c:pt>
                  <c:pt idx="34">
                    <c:v>2019_Q1</c:v>
                  </c:pt>
                  <c:pt idx="35">
                    <c:v>2019_Q2</c:v>
                  </c:pt>
                  <c:pt idx="36">
                    <c:v>2019_Q2</c:v>
                  </c:pt>
                  <c:pt idx="37">
                    <c:v>2019_Q1</c:v>
                  </c:pt>
                  <c:pt idx="38">
                    <c:v>2019_Q2</c:v>
                  </c:pt>
                  <c:pt idx="39">
                    <c:v>2019_Q2</c:v>
                  </c:pt>
                  <c:pt idx="40">
                    <c:v>2019_Q2</c:v>
                  </c:pt>
                  <c:pt idx="41">
                    <c:v>2019_Q1</c:v>
                  </c:pt>
                  <c:pt idx="42">
                    <c:v>2019_Q1</c:v>
                  </c:pt>
                  <c:pt idx="43">
                    <c:v>2019_Q2</c:v>
                  </c:pt>
                  <c:pt idx="44">
                    <c:v>2019_Q2</c:v>
                  </c:pt>
                  <c:pt idx="45">
                    <c:v>2019_Q2</c:v>
                  </c:pt>
                  <c:pt idx="46">
                    <c:v>2019_Q1</c:v>
                  </c:pt>
                  <c:pt idx="47">
                    <c:v>2019_Q2</c:v>
                  </c:pt>
                  <c:pt idx="48">
                    <c:v>2019_Q1</c:v>
                  </c:pt>
                  <c:pt idx="49">
                    <c:v>2019_Q2</c:v>
                  </c:pt>
                  <c:pt idx="50">
                    <c:v>2019_Q1</c:v>
                  </c:pt>
                  <c:pt idx="51">
                    <c:v>2019_Q2</c:v>
                  </c:pt>
                  <c:pt idx="52">
                    <c:v>2019_Q1</c:v>
                  </c:pt>
                  <c:pt idx="53">
                    <c:v>2019_Q2</c:v>
                  </c:pt>
                  <c:pt idx="54">
                    <c:v>2019_Q1</c:v>
                  </c:pt>
                  <c:pt idx="55">
                    <c:v>2019_Q2</c:v>
                  </c:pt>
                  <c:pt idx="56">
                    <c:v>2019_Q1</c:v>
                  </c:pt>
                  <c:pt idx="57">
                    <c:v>2019_Q2</c:v>
                  </c:pt>
                  <c:pt idx="58">
                    <c:v>2019_Q2</c:v>
                  </c:pt>
                  <c:pt idx="59">
                    <c:v>2019_Q1</c:v>
                  </c:pt>
                  <c:pt idx="60">
                    <c:v>2019_Q2</c:v>
                  </c:pt>
                  <c:pt idx="61">
                    <c:v>2019_Q1</c:v>
                  </c:pt>
                  <c:pt idx="62">
                    <c:v>2019_Q2</c:v>
                  </c:pt>
                  <c:pt idx="63">
                    <c:v>2019_Q1</c:v>
                  </c:pt>
                  <c:pt idx="64">
                    <c:v>2019_Q2</c:v>
                  </c:pt>
                  <c:pt idx="65">
                    <c:v>2019_Q2</c:v>
                  </c:pt>
                </c:lvl>
                <c:lvl>
                  <c:pt idx="0">
                    <c:v>Agritural Compound (KBC)</c:v>
                  </c:pt>
                  <c:pt idx="2">
                    <c:v>Aung Thar Church</c:v>
                  </c:pt>
                  <c:pt idx="4">
                    <c:v>Galeng (Palaung) &amp; Kone Khem</c:v>
                  </c:pt>
                  <c:pt idx="5">
                    <c:v>Hpai Kawng Mare</c:v>
                  </c:pt>
                  <c:pt idx="7">
                    <c:v>Hpun Lum Yang </c:v>
                  </c:pt>
                  <c:pt idx="8">
                    <c:v>Htoi San Church</c:v>
                  </c:pt>
                  <c:pt idx="10">
                    <c:v>IDP Boarding School, A Len Bum</c:v>
                  </c:pt>
                  <c:pt idx="12">
                    <c:v>Kachin Su Baptist Church (ECCD)</c:v>
                  </c:pt>
                  <c:pt idx="14">
                    <c:v>Khar Nan (1) Baptist Church</c:v>
                  </c:pt>
                  <c:pt idx="16">
                    <c:v>Kutkai downtown (KBC Church)</c:v>
                  </c:pt>
                  <c:pt idx="17">
                    <c:v>Kutkai downtown (RC Church)</c:v>
                  </c:pt>
                  <c:pt idx="18">
                    <c:v>Lisu Baptist Church</c:v>
                  </c:pt>
                  <c:pt idx="19">
                    <c:v>Lisu Boarding-House</c:v>
                  </c:pt>
                  <c:pt idx="21">
                    <c:v>Lisu Church Namtu</c:v>
                  </c:pt>
                  <c:pt idx="22">
                    <c:v>Man Bung Catholic compound</c:v>
                  </c:pt>
                  <c:pt idx="24">
                    <c:v>Man Loi</c:v>
                  </c:pt>
                  <c:pt idx="25">
                    <c:v>Man Wing Baptist Church</c:v>
                  </c:pt>
                  <c:pt idx="26">
                    <c:v>Man Wing Baptist Church Cultural Compound</c:v>
                  </c:pt>
                  <c:pt idx="27">
                    <c:v>Man Wing Catholic Church</c:v>
                  </c:pt>
                  <c:pt idx="28">
                    <c:v>Man Wing Catholic Church II</c:v>
                  </c:pt>
                  <c:pt idx="29">
                    <c:v>Man Wing Host Families</c:v>
                  </c:pt>
                  <c:pt idx="30">
                    <c:v>Mandalay Monestry</c:v>
                  </c:pt>
                  <c:pt idx="32">
                    <c:v>Mandung - Jinghpaw</c:v>
                  </c:pt>
                  <c:pt idx="34">
                    <c:v>Mansi Baptist Church</c:v>
                  </c:pt>
                  <c:pt idx="36">
                    <c:v>Mee Pho Kone</c:v>
                  </c:pt>
                  <c:pt idx="37">
                    <c:v>Momauk Baptist Church</c:v>
                  </c:pt>
                  <c:pt idx="39">
                    <c:v>Mungji Pa Dabang (Baptist Church)</c:v>
                  </c:pt>
                  <c:pt idx="40">
                    <c:v>Mungji Pa Dabang (Catholic Church)</c:v>
                  </c:pt>
                  <c:pt idx="41">
                    <c:v>Muse Baptist Church</c:v>
                  </c:pt>
                  <c:pt idx="42">
                    <c:v>Mu-yin Baptist Church</c:v>
                  </c:pt>
                  <c:pt idx="44">
                    <c:v>Nam Hkam (KBC Jaw Wang)</c:v>
                  </c:pt>
                  <c:pt idx="45">
                    <c:v>Nam Hkam (KBC Jaw Wang) II</c:v>
                  </c:pt>
                  <c:pt idx="46">
                    <c:v>Nam Sa Larp</c:v>
                  </c:pt>
                  <c:pt idx="48">
                    <c:v>Nam Tu Baptist</c:v>
                  </c:pt>
                  <c:pt idx="49">
                    <c:v>Namhkan - Pang Long KBC</c:v>
                  </c:pt>
                  <c:pt idx="50">
                    <c:v>Nant Hlaing Church</c:v>
                  </c:pt>
                  <c:pt idx="52">
                    <c:v>Pan Ta Pyae</c:v>
                  </c:pt>
                  <c:pt idx="54">
                    <c:v>Shwe Gu Baptist Church</c:v>
                  </c:pt>
                  <c:pt idx="56">
                    <c:v>Shwe Gu Catholic Church</c:v>
                  </c:pt>
                  <c:pt idx="58">
                    <c:v>Woi Chyai </c:v>
                  </c:pt>
                  <c:pt idx="59">
                    <c:v>Woi Chyai (Mong Lai)</c:v>
                  </c:pt>
                  <c:pt idx="61">
                    <c:v>Woi Chyai host families</c:v>
                  </c:pt>
                  <c:pt idx="63">
                    <c:v>Yoe Kyi Monastery</c:v>
                  </c:pt>
                  <c:pt idx="65">
                    <c:v>Enai (Man Pyein)</c:v>
                  </c:pt>
                </c:lvl>
              </c:multiLvlStrCache>
            </c:multiLvlStrRef>
          </c:cat>
          <c:val>
            <c:numRef>
              <c:f>'Tracking Dashboard'!$P$5:$P$115</c:f>
              <c:numCache>
                <c:formatCode>General</c:formatCode>
                <c:ptCount val="66"/>
                <c:pt idx="0">
                  <c:v>665</c:v>
                </c:pt>
                <c:pt idx="1">
                  <c:v>665</c:v>
                </c:pt>
                <c:pt idx="2">
                  <c:v>52</c:v>
                </c:pt>
                <c:pt idx="3">
                  <c:v>52</c:v>
                </c:pt>
                <c:pt idx="4">
                  <c:v>0</c:v>
                </c:pt>
                <c:pt idx="5">
                  <c:v>0</c:v>
                </c:pt>
                <c:pt idx="6">
                  <c:v>0</c:v>
                </c:pt>
                <c:pt idx="7">
                  <c:v>3662</c:v>
                </c:pt>
                <c:pt idx="8">
                  <c:v>235</c:v>
                </c:pt>
                <c:pt idx="9">
                  <c:v>235</c:v>
                </c:pt>
                <c:pt idx="10">
                  <c:v>0</c:v>
                </c:pt>
                <c:pt idx="11">
                  <c:v>680</c:v>
                </c:pt>
                <c:pt idx="12">
                  <c:v>106</c:v>
                </c:pt>
                <c:pt idx="13">
                  <c:v>106</c:v>
                </c:pt>
                <c:pt idx="14">
                  <c:v>94</c:v>
                </c:pt>
                <c:pt idx="15">
                  <c:v>94</c:v>
                </c:pt>
                <c:pt idx="16">
                  <c:v>292</c:v>
                </c:pt>
                <c:pt idx="17">
                  <c:v>0</c:v>
                </c:pt>
                <c:pt idx="18">
                  <c:v>0</c:v>
                </c:pt>
                <c:pt idx="19">
                  <c:v>800</c:v>
                </c:pt>
                <c:pt idx="20">
                  <c:v>800</c:v>
                </c:pt>
                <c:pt idx="21">
                  <c:v>6.6666666666666666E-2</c:v>
                </c:pt>
                <c:pt idx="22">
                  <c:v>1258</c:v>
                </c:pt>
                <c:pt idx="23">
                  <c:v>1258</c:v>
                </c:pt>
                <c:pt idx="24">
                  <c:v>0</c:v>
                </c:pt>
                <c:pt idx="25">
                  <c:v>0</c:v>
                </c:pt>
                <c:pt idx="26">
                  <c:v>0</c:v>
                </c:pt>
                <c:pt idx="27">
                  <c:v>0</c:v>
                </c:pt>
                <c:pt idx="28">
                  <c:v>0</c:v>
                </c:pt>
                <c:pt idx="29">
                  <c:v>0</c:v>
                </c:pt>
                <c:pt idx="30">
                  <c:v>13</c:v>
                </c:pt>
                <c:pt idx="31">
                  <c:v>13</c:v>
                </c:pt>
                <c:pt idx="32">
                  <c:v>147</c:v>
                </c:pt>
                <c:pt idx="33">
                  <c:v>135</c:v>
                </c:pt>
                <c:pt idx="34">
                  <c:v>807</c:v>
                </c:pt>
                <c:pt idx="35">
                  <c:v>807</c:v>
                </c:pt>
                <c:pt idx="36">
                  <c:v>0</c:v>
                </c:pt>
                <c:pt idx="37">
                  <c:v>453</c:v>
                </c:pt>
                <c:pt idx="38">
                  <c:v>453</c:v>
                </c:pt>
                <c:pt idx="39">
                  <c:v>0</c:v>
                </c:pt>
                <c:pt idx="40">
                  <c:v>111</c:v>
                </c:pt>
                <c:pt idx="41">
                  <c:v>0</c:v>
                </c:pt>
                <c:pt idx="42">
                  <c:v>49</c:v>
                </c:pt>
                <c:pt idx="43">
                  <c:v>49</c:v>
                </c:pt>
                <c:pt idx="44">
                  <c:v>350</c:v>
                </c:pt>
                <c:pt idx="45">
                  <c:v>176</c:v>
                </c:pt>
                <c:pt idx="46">
                  <c:v>166</c:v>
                </c:pt>
                <c:pt idx="47">
                  <c:v>182</c:v>
                </c:pt>
                <c:pt idx="48">
                  <c:v>6.6666666666666666E-2</c:v>
                </c:pt>
                <c:pt idx="49">
                  <c:v>66.666666666666671</c:v>
                </c:pt>
                <c:pt idx="50">
                  <c:v>76</c:v>
                </c:pt>
                <c:pt idx="51">
                  <c:v>76</c:v>
                </c:pt>
                <c:pt idx="52">
                  <c:v>0</c:v>
                </c:pt>
                <c:pt idx="53">
                  <c:v>0</c:v>
                </c:pt>
                <c:pt idx="54">
                  <c:v>259</c:v>
                </c:pt>
                <c:pt idx="55">
                  <c:v>259</c:v>
                </c:pt>
                <c:pt idx="56">
                  <c:v>169</c:v>
                </c:pt>
                <c:pt idx="57">
                  <c:v>169</c:v>
                </c:pt>
                <c:pt idx="58">
                  <c:v>7165</c:v>
                </c:pt>
                <c:pt idx="59">
                  <c:v>0</c:v>
                </c:pt>
                <c:pt idx="60">
                  <c:v>0</c:v>
                </c:pt>
                <c:pt idx="61">
                  <c:v>0</c:v>
                </c:pt>
                <c:pt idx="62">
                  <c:v>0</c:v>
                </c:pt>
                <c:pt idx="63">
                  <c:v>59</c:v>
                </c:pt>
                <c:pt idx="64">
                  <c:v>59</c:v>
                </c:pt>
                <c:pt idx="65">
                  <c:v>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HRP!$H$25</c:f>
              <c:strCache>
                <c:ptCount val="1"/>
                <c:pt idx="0">
                  <c:v>% Reached</c:v>
                </c:pt>
              </c:strCache>
            </c:strRef>
          </c:tx>
          <c:spPr>
            <a:solidFill>
              <a:schemeClr val="tx1">
                <a:lumMod val="65000"/>
                <a:lumOff val="35000"/>
              </a:schemeClr>
            </a:solidFill>
            <a:ln>
              <a:noFill/>
            </a:ln>
            <a:effectLst/>
          </c:spPr>
          <c:invertIfNegative val="0"/>
          <c:cat>
            <c:multiLvlStrRef>
              <c:f>HRP!$C$26:$D$37</c:f>
              <c:multiLvlStrCache>
                <c:ptCount val="6"/>
                <c:lvl>
                  <c:pt idx="0">
                    <c:v> Kachin </c:v>
                  </c:pt>
                  <c:pt idx="1">
                    <c:v> Shan (North) </c:v>
                  </c:pt>
                  <c:pt idx="2">
                    <c:v> Kachin </c:v>
                  </c:pt>
                  <c:pt idx="3">
                    <c:v> Shan (North) </c:v>
                  </c:pt>
                  <c:pt idx="4">
                    <c:v> Kachin </c:v>
                  </c:pt>
                  <c:pt idx="5">
                    <c:v> Shan (North) </c:v>
                  </c:pt>
                </c:lvl>
                <c:lvl>
                  <c:pt idx="0">
                    <c:v>Percentage of women, men, boys and girls benefitting from safe/improved drinking water, meeting demand for domestic purposes, at minimum/agreed standards</c:v>
                  </c:pt>
                  <c:pt idx="2">
                    <c:v>Percentage of targeted women, men, boys and girls benefitting from a functional excreta disposal system, reducing safety/public health/environmental risks</c:v>
                  </c:pt>
                  <c:pt idx="4">
                    <c:v>Percentage of targeted women, men, boys and girls benefitting from timely/adequate/tailored personal hygiene items and receiving appropriate/ community tailored messages that enable health seeking behavior</c:v>
                  </c:pt>
                </c:lvl>
              </c:multiLvlStrCache>
            </c:multiLvlStrRef>
          </c:cat>
          <c:val>
            <c:numRef>
              <c:f>HRP!$H$26:$H$37</c:f>
              <c:numCache>
                <c:formatCode>0%</c:formatCode>
                <c:ptCount val="6"/>
                <c:pt idx="0">
                  <c:v>0.59704892096678219</c:v>
                </c:pt>
                <c:pt idx="1">
                  <c:v>0.60071784031355968</c:v>
                </c:pt>
                <c:pt idx="2">
                  <c:v>0.67532900543275742</c:v>
                </c:pt>
                <c:pt idx="3">
                  <c:v>0.81536530585282074</c:v>
                </c:pt>
                <c:pt idx="4">
                  <c:v>0.68342910938082257</c:v>
                </c:pt>
                <c:pt idx="5">
                  <c:v>0.90025102391333067</c:v>
                </c:pt>
              </c:numCache>
            </c:numRef>
          </c:val>
          <c:extLst>
            <c:ext xmlns:c16="http://schemas.microsoft.com/office/drawing/2014/chart" uri="{C3380CC4-5D6E-409C-BE32-E72D297353CC}">
              <c16:uniqueId val="{00000000-78ED-4C56-BA32-1282FB4F42D0}"/>
            </c:ext>
          </c:extLst>
        </c:ser>
        <c:ser>
          <c:idx val="1"/>
          <c:order val="1"/>
          <c:tx>
            <c:strRef>
              <c:f>HRP!$I$25</c:f>
              <c:strCache>
                <c:ptCount val="1"/>
                <c:pt idx="0">
                  <c:v>% Gap</c:v>
                </c:pt>
              </c:strCache>
            </c:strRef>
          </c:tx>
          <c:spPr>
            <a:solidFill>
              <a:schemeClr val="bg1">
                <a:lumMod val="75000"/>
              </a:schemeClr>
            </a:solidFill>
            <a:ln>
              <a:noFill/>
            </a:ln>
            <a:effectLst/>
          </c:spPr>
          <c:invertIfNegative val="0"/>
          <c:cat>
            <c:multiLvlStrRef>
              <c:f>HRP!$C$26:$D$37</c:f>
              <c:multiLvlStrCache>
                <c:ptCount val="6"/>
                <c:lvl>
                  <c:pt idx="0">
                    <c:v> Kachin </c:v>
                  </c:pt>
                  <c:pt idx="1">
                    <c:v> Shan (North) </c:v>
                  </c:pt>
                  <c:pt idx="2">
                    <c:v> Kachin </c:v>
                  </c:pt>
                  <c:pt idx="3">
                    <c:v> Shan (North) </c:v>
                  </c:pt>
                  <c:pt idx="4">
                    <c:v> Kachin </c:v>
                  </c:pt>
                  <c:pt idx="5">
                    <c:v> Shan (North) </c:v>
                  </c:pt>
                </c:lvl>
                <c:lvl>
                  <c:pt idx="0">
                    <c:v>Percentage of women, men, boys and girls benefitting from safe/improved drinking water, meeting demand for domestic purposes, at minimum/agreed standards</c:v>
                  </c:pt>
                  <c:pt idx="2">
                    <c:v>Percentage of targeted women, men, boys and girls benefitting from a functional excreta disposal system, reducing safety/public health/environmental risks</c:v>
                  </c:pt>
                  <c:pt idx="4">
                    <c:v>Percentage of targeted women, men, boys and girls benefitting from timely/adequate/tailored personal hygiene items and receiving appropriate/ community tailored messages that enable health seeking behavior</c:v>
                  </c:pt>
                </c:lvl>
              </c:multiLvlStrCache>
            </c:multiLvlStrRef>
          </c:cat>
          <c:val>
            <c:numRef>
              <c:f>HRP!$I$26:$I$37</c:f>
              <c:numCache>
                <c:formatCode>0%</c:formatCode>
                <c:ptCount val="6"/>
                <c:pt idx="0">
                  <c:v>0.40295107903321781</c:v>
                </c:pt>
                <c:pt idx="1">
                  <c:v>0.39928215968644032</c:v>
                </c:pt>
                <c:pt idx="2">
                  <c:v>0.32467099456724258</c:v>
                </c:pt>
                <c:pt idx="3">
                  <c:v>0.18463469414717926</c:v>
                </c:pt>
                <c:pt idx="4">
                  <c:v>0.31657089061917743</c:v>
                </c:pt>
                <c:pt idx="5">
                  <c:v>9.9748976086669328E-2</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withinLinear" id="15">
  <a:schemeClr val="accent2"/>
</cs:colorStyle>
</file>

<file path=xl/charts/colors27.xml><?xml version="1.0" encoding="utf-8"?>
<cs:colorStyle xmlns:cs="http://schemas.microsoft.com/office/drawing/2012/chartStyle" xmlns:a="http://schemas.openxmlformats.org/drawingml/2006/main" meth="withinLinear" id="15">
  <a:schemeClr val="accent2"/>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9">
  <a:schemeClr val="accent6"/>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5">
  <a:schemeClr val="accent2"/>
</cs:colorStyle>
</file>

<file path=xl/charts/colors54.xml><?xml version="1.0" encoding="utf-8"?>
<cs:colorStyle xmlns:cs="http://schemas.microsoft.com/office/drawing/2012/chartStyle" xmlns:a="http://schemas.openxmlformats.org/drawingml/2006/main" meth="withinLinear" id="15">
  <a:schemeClr val="accent2"/>
</cs:colorStyle>
</file>

<file path=xl/charts/colors55.xml><?xml version="1.0" encoding="utf-8"?>
<cs:colorStyle xmlns:cs="http://schemas.microsoft.com/office/drawing/2012/chartStyle" xmlns:a="http://schemas.openxmlformats.org/drawingml/2006/main" meth="withinLinear" id="15">
  <a:schemeClr val="accent2"/>
</cs:colorStyle>
</file>

<file path=xl/charts/colors56.xml><?xml version="1.0" encoding="utf-8"?>
<cs:colorStyle xmlns:cs="http://schemas.microsoft.com/office/drawing/2012/chartStyle" xmlns:a="http://schemas.openxmlformats.org/drawingml/2006/main" meth="withinLinear" id="15">
  <a:schemeClr val="accent2"/>
</cs:colorStyle>
</file>

<file path=xl/charts/colors57.xml><?xml version="1.0" encoding="utf-8"?>
<cs:colorStyle xmlns:cs="http://schemas.microsoft.com/office/drawing/2012/chartStyle" xmlns:a="http://schemas.openxmlformats.org/drawingml/2006/main" meth="withinLinear" id="15">
  <a:schemeClr val="accent2"/>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withinLinear" id="15">
  <a:schemeClr val="accent2"/>
</cs:colorStyle>
</file>

<file path=xl/charts/colors72.xml><?xml version="1.0" encoding="utf-8"?>
<cs:colorStyle xmlns:cs="http://schemas.microsoft.com/office/drawing/2012/chartStyle" xmlns:a="http://schemas.openxmlformats.org/drawingml/2006/main" meth="withinLinear" id="15">
  <a:schemeClr val="accent2"/>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withinLinear" id="19">
  <a:schemeClr val="accent6"/>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withinLinear" id="14">
  <a:schemeClr val="accent1"/>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4">
  <a:schemeClr val="accent1"/>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22.xml"/><Relationship Id="rId18" Type="http://schemas.openxmlformats.org/officeDocument/2006/relationships/chart" Target="../charts/chart27.xml"/><Relationship Id="rId26" Type="http://schemas.openxmlformats.org/officeDocument/2006/relationships/chart" Target="../charts/chart35.xml"/><Relationship Id="rId39" Type="http://schemas.openxmlformats.org/officeDocument/2006/relationships/chart" Target="../charts/chart48.xml"/><Relationship Id="rId21" Type="http://schemas.openxmlformats.org/officeDocument/2006/relationships/chart" Target="../charts/chart30.xml"/><Relationship Id="rId34" Type="http://schemas.openxmlformats.org/officeDocument/2006/relationships/chart" Target="../charts/chart43.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33" Type="http://schemas.openxmlformats.org/officeDocument/2006/relationships/chart" Target="../charts/chart42.xml"/><Relationship Id="rId38" Type="http://schemas.openxmlformats.org/officeDocument/2006/relationships/chart" Target="../charts/chart47.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29" Type="http://schemas.openxmlformats.org/officeDocument/2006/relationships/chart" Target="../charts/chart38.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24" Type="http://schemas.openxmlformats.org/officeDocument/2006/relationships/chart" Target="../charts/chart33.xml"/><Relationship Id="rId32" Type="http://schemas.openxmlformats.org/officeDocument/2006/relationships/chart" Target="../charts/chart41.xml"/><Relationship Id="rId37" Type="http://schemas.openxmlformats.org/officeDocument/2006/relationships/chart" Target="../charts/chart46.xml"/><Relationship Id="rId5" Type="http://schemas.openxmlformats.org/officeDocument/2006/relationships/chart" Target="../charts/chart14.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36" Type="http://schemas.openxmlformats.org/officeDocument/2006/relationships/chart" Target="../charts/chart45.xml"/><Relationship Id="rId10" Type="http://schemas.openxmlformats.org/officeDocument/2006/relationships/chart" Target="../charts/chart19.xml"/><Relationship Id="rId19" Type="http://schemas.openxmlformats.org/officeDocument/2006/relationships/chart" Target="../charts/chart28.xml"/><Relationship Id="rId31" Type="http://schemas.openxmlformats.org/officeDocument/2006/relationships/chart" Target="../charts/chart40.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 Id="rId35" Type="http://schemas.openxmlformats.org/officeDocument/2006/relationships/chart" Target="../charts/chart44.xml"/><Relationship Id="rId8" Type="http://schemas.openxmlformats.org/officeDocument/2006/relationships/chart" Target="../charts/chart17.xml"/><Relationship Id="rId3"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5.xml"/><Relationship Id="rId13" Type="http://schemas.openxmlformats.org/officeDocument/2006/relationships/chart" Target="../charts/chart60.xml"/><Relationship Id="rId18" Type="http://schemas.openxmlformats.org/officeDocument/2006/relationships/chart" Target="../charts/chart65.xml"/><Relationship Id="rId3" Type="http://schemas.openxmlformats.org/officeDocument/2006/relationships/chart" Target="../charts/chart51.xml"/><Relationship Id="rId21" Type="http://schemas.openxmlformats.org/officeDocument/2006/relationships/image" Target="../media/image3.jpeg"/><Relationship Id="rId7" Type="http://schemas.openxmlformats.org/officeDocument/2006/relationships/chart" Target="../charts/chart54.xml"/><Relationship Id="rId12" Type="http://schemas.openxmlformats.org/officeDocument/2006/relationships/chart" Target="../charts/chart59.xml"/><Relationship Id="rId17" Type="http://schemas.openxmlformats.org/officeDocument/2006/relationships/chart" Target="../charts/chart64.xml"/><Relationship Id="rId2" Type="http://schemas.openxmlformats.org/officeDocument/2006/relationships/chart" Target="../charts/chart50.xml"/><Relationship Id="rId16" Type="http://schemas.openxmlformats.org/officeDocument/2006/relationships/chart" Target="../charts/chart63.xml"/><Relationship Id="rId20" Type="http://schemas.openxmlformats.org/officeDocument/2006/relationships/chart" Target="../charts/chart67.xml"/><Relationship Id="rId1" Type="http://schemas.openxmlformats.org/officeDocument/2006/relationships/image" Target="../media/image2.png"/><Relationship Id="rId6" Type="http://schemas.openxmlformats.org/officeDocument/2006/relationships/chart" Target="../charts/chart53.xml"/><Relationship Id="rId11" Type="http://schemas.openxmlformats.org/officeDocument/2006/relationships/chart" Target="../charts/chart58.xml"/><Relationship Id="rId5" Type="http://schemas.openxmlformats.org/officeDocument/2006/relationships/chart" Target="../charts/chart52.xml"/><Relationship Id="rId15" Type="http://schemas.openxmlformats.org/officeDocument/2006/relationships/chart" Target="../charts/chart62.xml"/><Relationship Id="rId10" Type="http://schemas.openxmlformats.org/officeDocument/2006/relationships/chart" Target="../charts/chart57.xml"/><Relationship Id="rId19" Type="http://schemas.openxmlformats.org/officeDocument/2006/relationships/chart" Target="../charts/chart66.xml"/><Relationship Id="rId4" Type="http://schemas.openxmlformats.org/officeDocument/2006/relationships/hyperlink" Target="#Analysis!A299"/><Relationship Id="rId9" Type="http://schemas.openxmlformats.org/officeDocument/2006/relationships/chart" Target="../charts/chart56.xml"/><Relationship Id="rId14" Type="http://schemas.openxmlformats.org/officeDocument/2006/relationships/chart" Target="../charts/chart61.xml"/><Relationship Id="rId22" Type="http://schemas.openxmlformats.org/officeDocument/2006/relationships/hyperlink" Target="#'AAP-community Feedback'!A2"/></Relationships>
</file>

<file path=xl/drawings/_rels/drawing8.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18" Type="http://schemas.openxmlformats.org/officeDocument/2006/relationships/chart" Target="../charts/chart84.xml"/><Relationship Id="rId3" Type="http://schemas.openxmlformats.org/officeDocument/2006/relationships/chart" Target="../charts/chart69.xml"/><Relationship Id="rId21" Type="http://schemas.openxmlformats.org/officeDocument/2006/relationships/hyperlink" Target="#'AAP-community Feedback'!A2"/><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3.xml"/><Relationship Id="rId2" Type="http://schemas.openxmlformats.org/officeDocument/2006/relationships/hyperlink" Target="#Analysis!A348"/><Relationship Id="rId16" Type="http://schemas.openxmlformats.org/officeDocument/2006/relationships/chart" Target="../charts/chart82.xml"/><Relationship Id="rId20" Type="http://schemas.openxmlformats.org/officeDocument/2006/relationships/image" Target="../media/image5.png"/><Relationship Id="rId1" Type="http://schemas.openxmlformats.org/officeDocument/2006/relationships/chart" Target="../charts/chart68.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5" Type="http://schemas.openxmlformats.org/officeDocument/2006/relationships/chart" Target="../charts/chart81.xml"/><Relationship Id="rId10" Type="http://schemas.openxmlformats.org/officeDocument/2006/relationships/chart" Target="../charts/chart76.xml"/><Relationship Id="rId19" Type="http://schemas.openxmlformats.org/officeDocument/2006/relationships/image" Target="../media/image4.jpeg"/><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5.xml"/></Relationships>
</file>

<file path=xl/drawings/drawing1.xml><?xml version="1.0" encoding="utf-8"?>
<xdr:wsDr xmlns:xdr="http://schemas.openxmlformats.org/drawingml/2006/spreadsheetDrawing" xmlns:a="http://schemas.openxmlformats.org/drawingml/2006/main">
  <xdr:oneCellAnchor>
    <xdr:from>
      <xdr:col>0</xdr:col>
      <xdr:colOff>561975</xdr:colOff>
      <xdr:row>74</xdr:row>
      <xdr:rowOff>561975</xdr:rowOff>
    </xdr:from>
    <xdr:ext cx="7246792" cy="2009775"/>
    <xdr:pic>
      <xdr:nvPicPr>
        <xdr:cNvPr id="2" name="Picture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561975" y="44538900"/>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32</xdr:row>
      <xdr:rowOff>95251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0</xdr:rowOff>
    </xdr:from>
    <xdr:to>
      <xdr:col>9</xdr:col>
      <xdr:colOff>180975</xdr:colOff>
      <xdr:row>11</xdr:row>
      <xdr:rowOff>123825</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2066925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142875</xdr:colOff>
      <xdr:row>11</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598385C2-5E67-4F9F-992A-3E846D400C4E}"/>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66675</xdr:colOff>
      <xdr:row>11</xdr:row>
      <xdr:rowOff>180976</xdr:rowOff>
    </xdr:from>
    <xdr:to>
      <xdr:col>10</xdr:col>
      <xdr:colOff>209550</xdr:colOff>
      <xdr:row>26</xdr:row>
      <xdr:rowOff>57150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01075" y="2381251"/>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63788</xdr:colOff>
      <xdr:row>52</xdr:row>
      <xdr:rowOff>63500</xdr:rowOff>
    </xdr:from>
    <xdr:to>
      <xdr:col>13</xdr:col>
      <xdr:colOff>232832</xdr:colOff>
      <xdr:row>63</xdr:row>
      <xdr:rowOff>84666</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82491</xdr:colOff>
      <xdr:row>64</xdr:row>
      <xdr:rowOff>28228</xdr:rowOff>
    </xdr:from>
    <xdr:to>
      <xdr:col>13</xdr:col>
      <xdr:colOff>243417</xdr:colOff>
      <xdr:row>74</xdr:row>
      <xdr:rowOff>84667</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71908</xdr:colOff>
      <xdr:row>75</xdr:row>
      <xdr:rowOff>39143</xdr:rowOff>
    </xdr:from>
    <xdr:to>
      <xdr:col>13</xdr:col>
      <xdr:colOff>201083</xdr:colOff>
      <xdr:row>92</xdr:row>
      <xdr:rowOff>140573</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645004</xdr:colOff>
      <xdr:row>96</xdr:row>
      <xdr:rowOff>192830</xdr:rowOff>
    </xdr:from>
    <xdr:to>
      <xdr:col>14</xdr:col>
      <xdr:colOff>571500</xdr:colOff>
      <xdr:row>104</xdr:row>
      <xdr:rowOff>47624</xdr:rowOff>
    </xdr:to>
    <xdr:graphicFrame macro="">
      <xdr:nvGraphicFramePr>
        <xdr:cNvPr id="12" name="Chart 11">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195792</xdr:colOff>
      <xdr:row>109</xdr:row>
      <xdr:rowOff>190498</xdr:rowOff>
    </xdr:from>
    <xdr:to>
      <xdr:col>17</xdr:col>
      <xdr:colOff>345281</xdr:colOff>
      <xdr:row>118</xdr:row>
      <xdr:rowOff>166686</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251661</xdr:colOff>
      <xdr:row>123</xdr:row>
      <xdr:rowOff>35720</xdr:rowOff>
    </xdr:from>
    <xdr:to>
      <xdr:col>17</xdr:col>
      <xdr:colOff>404812</xdr:colOff>
      <xdr:row>131</xdr:row>
      <xdr:rowOff>23813</xdr:rowOff>
    </xdr:to>
    <xdr:graphicFrame macro="">
      <xdr:nvGraphicFramePr>
        <xdr:cNvPr id="17" name="Chart 16">
          <a:extLst>
            <a:ext uri="{FF2B5EF4-FFF2-40B4-BE49-F238E27FC236}">
              <a16:creationId xmlns:a16="http://schemas.microsoft.com/office/drawing/2014/main"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370236</xdr:colOff>
      <xdr:row>98</xdr:row>
      <xdr:rowOff>23324</xdr:rowOff>
    </xdr:from>
    <xdr:to>
      <xdr:col>27</xdr:col>
      <xdr:colOff>387361</xdr:colOff>
      <xdr:row>104</xdr:row>
      <xdr:rowOff>188152</xdr:rowOff>
    </xdr:to>
    <xdr:graphicFrame macro="">
      <xdr:nvGraphicFramePr>
        <xdr:cNvPr id="18" name="Chart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220925</xdr:colOff>
      <xdr:row>97</xdr:row>
      <xdr:rowOff>119588</xdr:rowOff>
    </xdr:from>
    <xdr:to>
      <xdr:col>41</xdr:col>
      <xdr:colOff>130968</xdr:colOff>
      <xdr:row>103</xdr:row>
      <xdr:rowOff>71437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190501</xdr:colOff>
      <xdr:row>20</xdr:row>
      <xdr:rowOff>114827</xdr:rowOff>
    </xdr:from>
    <xdr:to>
      <xdr:col>22</xdr:col>
      <xdr:colOff>688975</xdr:colOff>
      <xdr:row>50</xdr:row>
      <xdr:rowOff>89957</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788038</xdr:colOff>
      <xdr:row>213</xdr:row>
      <xdr:rowOff>16947</xdr:rowOff>
    </xdr:from>
    <xdr:to>
      <xdr:col>20</xdr:col>
      <xdr:colOff>730889</xdr:colOff>
      <xdr:row>226</xdr:row>
      <xdr:rowOff>131247</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426027</xdr:colOff>
      <xdr:row>154</xdr:row>
      <xdr:rowOff>17319</xdr:rowOff>
    </xdr:from>
    <xdr:to>
      <xdr:col>11</xdr:col>
      <xdr:colOff>321252</xdr:colOff>
      <xdr:row>168</xdr:row>
      <xdr:rowOff>36368</xdr:rowOff>
    </xdr:to>
    <xdr:graphicFrame macro="">
      <xdr:nvGraphicFramePr>
        <xdr:cNvPr id="31" name="Chart 30">
          <a:extLst>
            <a:ext uri="{FF2B5EF4-FFF2-40B4-BE49-F238E27FC236}">
              <a16:creationId xmlns:a16="http://schemas.microsoft.com/office/drawing/2014/main" id="{00000000-0008-0000-08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838200</xdr:colOff>
      <xdr:row>154</xdr:row>
      <xdr:rowOff>0</xdr:rowOff>
    </xdr:from>
    <xdr:to>
      <xdr:col>15</xdr:col>
      <xdr:colOff>226868</xdr:colOff>
      <xdr:row>168</xdr:row>
      <xdr:rowOff>19049</xdr:rowOff>
    </xdr:to>
    <xdr:graphicFrame macro="">
      <xdr:nvGraphicFramePr>
        <xdr:cNvPr id="37" name="Chart 36">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872837</xdr:colOff>
      <xdr:row>171</xdr:row>
      <xdr:rowOff>116033</xdr:rowOff>
    </xdr:from>
    <xdr:to>
      <xdr:col>9</xdr:col>
      <xdr:colOff>628651</xdr:colOff>
      <xdr:row>183</xdr:row>
      <xdr:rowOff>116033</xdr:rowOff>
    </xdr:to>
    <xdr:graphicFrame macro="">
      <xdr:nvGraphicFramePr>
        <xdr:cNvPr id="28" name="Chart 27">
          <a:extLst>
            <a:ext uri="{FF2B5EF4-FFF2-40B4-BE49-F238E27FC236}">
              <a16:creationId xmlns:a16="http://schemas.microsoft.com/office/drawing/2014/main" id="{00000000-0008-0000-08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847725</xdr:colOff>
      <xdr:row>171</xdr:row>
      <xdr:rowOff>142875</xdr:rowOff>
    </xdr:from>
    <xdr:to>
      <xdr:col>13</xdr:col>
      <xdr:colOff>133350</xdr:colOff>
      <xdr:row>183</xdr:row>
      <xdr:rowOff>142875</xdr:rowOff>
    </xdr:to>
    <xdr:graphicFrame macro="">
      <xdr:nvGraphicFramePr>
        <xdr:cNvPr id="38" name="Chart 37">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210610</xdr:colOff>
      <xdr:row>36</xdr:row>
      <xdr:rowOff>69849</xdr:rowOff>
    </xdr:from>
    <xdr:to>
      <xdr:col>7</xdr:col>
      <xdr:colOff>724960</xdr:colOff>
      <xdr:row>49</xdr:row>
      <xdr:rowOff>60324</xdr:rowOff>
    </xdr:to>
    <xdr:graphicFrame macro="">
      <xdr:nvGraphicFramePr>
        <xdr:cNvPr id="29" name="Chart 28">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300037</xdr:colOff>
      <xdr:row>37</xdr:row>
      <xdr:rowOff>1</xdr:rowOff>
    </xdr:from>
    <xdr:to>
      <xdr:col>15</xdr:col>
      <xdr:colOff>528637</xdr:colOff>
      <xdr:row>49</xdr:row>
      <xdr:rowOff>161926</xdr:rowOff>
    </xdr:to>
    <xdr:graphicFrame macro="">
      <xdr:nvGraphicFramePr>
        <xdr:cNvPr id="39" name="Chart 38">
          <a:extLst>
            <a:ext uri="{FF2B5EF4-FFF2-40B4-BE49-F238E27FC236}">
              <a16:creationId xmlns:a16="http://schemas.microsoft.com/office/drawing/2014/main" id="{00000000-0008-0000-0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285752</xdr:colOff>
      <xdr:row>211</xdr:row>
      <xdr:rowOff>72736</xdr:rowOff>
    </xdr:from>
    <xdr:to>
      <xdr:col>13</xdr:col>
      <xdr:colOff>700618</xdr:colOff>
      <xdr:row>225</xdr:row>
      <xdr:rowOff>57126</xdr:rowOff>
    </xdr:to>
    <xdr:graphicFrame macro="">
      <xdr:nvGraphicFramePr>
        <xdr:cNvPr id="40" name="Chart 39">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247649</xdr:colOff>
      <xdr:row>66</xdr:row>
      <xdr:rowOff>66676</xdr:rowOff>
    </xdr:from>
    <xdr:to>
      <xdr:col>4</xdr:col>
      <xdr:colOff>109009</xdr:colOff>
      <xdr:row>79</xdr:row>
      <xdr:rowOff>9526</xdr:rowOff>
    </xdr:to>
    <xdr:graphicFrame macro="">
      <xdr:nvGraphicFramePr>
        <xdr:cNvPr id="41" name="Chart 40">
          <a:extLst>
            <a:ext uri="{FF2B5EF4-FFF2-40B4-BE49-F238E27FC236}">
              <a16:creationId xmlns:a16="http://schemas.microsoft.com/office/drawing/2014/main" id="{00000000-0008-0000-08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171448</xdr:colOff>
      <xdr:row>66</xdr:row>
      <xdr:rowOff>37041</xdr:rowOff>
    </xdr:from>
    <xdr:to>
      <xdr:col>7</xdr:col>
      <xdr:colOff>742949</xdr:colOff>
      <xdr:row>78</xdr:row>
      <xdr:rowOff>161925</xdr:rowOff>
    </xdr:to>
    <xdr:graphicFrame macro="">
      <xdr:nvGraphicFramePr>
        <xdr:cNvPr id="43" name="Chart 42">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862012</xdr:colOff>
      <xdr:row>303</xdr:row>
      <xdr:rowOff>142875</xdr:rowOff>
    </xdr:from>
    <xdr:to>
      <xdr:col>14</xdr:col>
      <xdr:colOff>856103</xdr:colOff>
      <xdr:row>310</xdr:row>
      <xdr:rowOff>9525</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558234</xdr:colOff>
      <xdr:row>350</xdr:row>
      <xdr:rowOff>190499</xdr:rowOff>
    </xdr:from>
    <xdr:to>
      <xdr:col>15</xdr:col>
      <xdr:colOff>554491</xdr:colOff>
      <xdr:row>365</xdr:row>
      <xdr:rowOff>152399</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682722</xdr:colOff>
      <xdr:row>134</xdr:row>
      <xdr:rowOff>65978</xdr:rowOff>
    </xdr:from>
    <xdr:to>
      <xdr:col>7</xdr:col>
      <xdr:colOff>731165</xdr:colOff>
      <xdr:row>149</xdr:row>
      <xdr:rowOff>104036</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682722" y="26907428"/>
          <a:ext cx="7611293" cy="4324308"/>
          <a:chOff x="695325" y="15468602"/>
          <a:chExt cx="5871393" cy="4618717"/>
        </a:xfrm>
      </xdr:grpSpPr>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1" name="Chart 10">
            <a:extLst>
              <a:ext uri="{FF2B5EF4-FFF2-40B4-BE49-F238E27FC236}">
                <a16:creationId xmlns:a16="http://schemas.microsoft.com/office/drawing/2014/main" id="{00000000-0008-0000-08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5" name="Chart 14">
            <a:extLst>
              <a:ext uri="{FF2B5EF4-FFF2-40B4-BE49-F238E27FC236}">
                <a16:creationId xmlns:a16="http://schemas.microsoft.com/office/drawing/2014/main" id="{00000000-0008-0000-08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4" name="Chart 13">
            <a:extLst>
              <a:ext uri="{FF2B5EF4-FFF2-40B4-BE49-F238E27FC236}">
                <a16:creationId xmlns:a16="http://schemas.microsoft.com/office/drawing/2014/main" id="{00000000-0008-0000-08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8</xdr:col>
      <xdr:colOff>688037</xdr:colOff>
      <xdr:row>133</xdr:row>
      <xdr:rowOff>57438</xdr:rowOff>
    </xdr:from>
    <xdr:to>
      <xdr:col>16</xdr:col>
      <xdr:colOff>346684</xdr:colOff>
      <xdr:row>148</xdr:row>
      <xdr:rowOff>10558</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9355787" y="26689338"/>
          <a:ext cx="8126372" cy="4258420"/>
          <a:chOff x="12944474" y="15440025"/>
          <a:chExt cx="5869306" cy="4600575"/>
        </a:xfrm>
      </xdr:grpSpPr>
      <xdr:graphicFrame macro="">
        <xdr:nvGraphicFramePr>
          <xdr:cNvPr id="13" name="Chart 12">
            <a:extLst>
              <a:ext uri="{FF2B5EF4-FFF2-40B4-BE49-F238E27FC236}">
                <a16:creationId xmlns:a16="http://schemas.microsoft.com/office/drawing/2014/main" id="{00000000-0008-0000-08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7" name="Chart 46">
            <a:extLst>
              <a:ext uri="{FF2B5EF4-FFF2-40B4-BE49-F238E27FC236}">
                <a16:creationId xmlns:a16="http://schemas.microsoft.com/office/drawing/2014/main" id="{00000000-0008-0000-08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48" name="Chart 47">
            <a:extLst>
              <a:ext uri="{FF2B5EF4-FFF2-40B4-BE49-F238E27FC236}">
                <a16:creationId xmlns:a16="http://schemas.microsoft.com/office/drawing/2014/main" id="{00000000-0008-0000-08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18" name="Chart 17">
            <a:extLst>
              <a:ext uri="{FF2B5EF4-FFF2-40B4-BE49-F238E27FC236}">
                <a16:creationId xmlns:a16="http://schemas.microsoft.com/office/drawing/2014/main" id="{00000000-0008-0000-08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261937</xdr:colOff>
      <xdr:row>366</xdr:row>
      <xdr:rowOff>178593</xdr:rowOff>
    </xdr:from>
    <xdr:to>
      <xdr:col>6</xdr:col>
      <xdr:colOff>604837</xdr:colOff>
      <xdr:row>382</xdr:row>
      <xdr:rowOff>35718</xdr:rowOff>
    </xdr:to>
    <xdr:graphicFrame macro="">
      <xdr:nvGraphicFramePr>
        <xdr:cNvPr id="22" name="Chart 21">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762000</xdr:colOff>
      <xdr:row>366</xdr:row>
      <xdr:rowOff>180975</xdr:rowOff>
    </xdr:from>
    <xdr:to>
      <xdr:col>12</xdr:col>
      <xdr:colOff>276225</xdr:colOff>
      <xdr:row>382</xdr:row>
      <xdr:rowOff>28575</xdr:rowOff>
    </xdr:to>
    <xdr:graphicFrame macro="">
      <xdr:nvGraphicFramePr>
        <xdr:cNvPr id="49" name="Chart 4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620115</xdr:colOff>
      <xdr:row>276</xdr:row>
      <xdr:rowOff>89063</xdr:rowOff>
    </xdr:from>
    <xdr:to>
      <xdr:col>5</xdr:col>
      <xdr:colOff>1270412</xdr:colOff>
      <xdr:row>293</xdr:row>
      <xdr:rowOff>126157</xdr:rowOff>
    </xdr:to>
    <xdr:graphicFrame macro="">
      <xdr:nvGraphicFramePr>
        <xdr:cNvPr id="52" name="Chart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433820</xdr:colOff>
      <xdr:row>276</xdr:row>
      <xdr:rowOff>84859</xdr:rowOff>
    </xdr:from>
    <xdr:to>
      <xdr:col>12</xdr:col>
      <xdr:colOff>135082</xdr:colOff>
      <xdr:row>293</xdr:row>
      <xdr:rowOff>175318</xdr:rowOff>
    </xdr:to>
    <xdr:graphicFrame macro="">
      <xdr:nvGraphicFramePr>
        <xdr:cNvPr id="62" name="Chart 61">
          <a:extLst>
            <a:ext uri="{FF2B5EF4-FFF2-40B4-BE49-F238E27FC236}">
              <a16:creationId xmlns:a16="http://schemas.microsoft.com/office/drawing/2014/main" id="{00000000-0008-0000-08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407533</xdr:colOff>
      <xdr:row>79</xdr:row>
      <xdr:rowOff>186417</xdr:rowOff>
    </xdr:from>
    <xdr:to>
      <xdr:col>11</xdr:col>
      <xdr:colOff>576262</xdr:colOff>
      <xdr:row>97</xdr:row>
      <xdr:rowOff>180975</xdr:rowOff>
    </xdr:to>
    <xdr:graphicFrame macro="">
      <xdr:nvGraphicFramePr>
        <xdr:cNvPr id="19" name="Chart 18">
          <a:extLst>
            <a:ext uri="{FF2B5EF4-FFF2-40B4-BE49-F238E27FC236}">
              <a16:creationId xmlns:a16="http://schemas.microsoft.com/office/drawing/2014/main" id="{00000000-0008-0000-0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516110</xdr:colOff>
      <xdr:row>100</xdr:row>
      <xdr:rowOff>160046</xdr:rowOff>
    </xdr:from>
    <xdr:to>
      <xdr:col>8</xdr:col>
      <xdr:colOff>680509</xdr:colOff>
      <xdr:row>116</xdr:row>
      <xdr:rowOff>61384</xdr:rowOff>
    </xdr:to>
    <xdr:graphicFrame macro="">
      <xdr:nvGraphicFramePr>
        <xdr:cNvPr id="25" name="Chart 24">
          <a:extLst>
            <a:ext uri="{FF2B5EF4-FFF2-40B4-BE49-F238E27FC236}">
              <a16:creationId xmlns:a16="http://schemas.microsoft.com/office/drawing/2014/main" id="{00000000-0008-0000-08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368155</xdr:colOff>
      <xdr:row>188</xdr:row>
      <xdr:rowOff>132066</xdr:rowOff>
    </xdr:from>
    <xdr:to>
      <xdr:col>10</xdr:col>
      <xdr:colOff>535112</xdr:colOff>
      <xdr:row>206</xdr:row>
      <xdr:rowOff>0</xdr:rowOff>
    </xdr:to>
    <xdr:graphicFrame macro="">
      <xdr:nvGraphicFramePr>
        <xdr:cNvPr id="27" name="Chart 26">
          <a:extLst>
            <a:ext uri="{FF2B5EF4-FFF2-40B4-BE49-F238E27FC236}">
              <a16:creationId xmlns:a16="http://schemas.microsoft.com/office/drawing/2014/main" id="{00000000-0008-0000-08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250432</xdr:colOff>
      <xdr:row>188</xdr:row>
      <xdr:rowOff>46448</xdr:rowOff>
    </xdr:from>
    <xdr:to>
      <xdr:col>20</xdr:col>
      <xdr:colOff>391702</xdr:colOff>
      <xdr:row>202</xdr:row>
      <xdr:rowOff>60575</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65478</xdr:colOff>
      <xdr:row>247</xdr:row>
      <xdr:rowOff>195657</xdr:rowOff>
    </xdr:from>
    <xdr:to>
      <xdr:col>9</xdr:col>
      <xdr:colOff>640772</xdr:colOff>
      <xdr:row>265</xdr:row>
      <xdr:rowOff>121228</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23</xdr:col>
      <xdr:colOff>66257</xdr:colOff>
      <xdr:row>247</xdr:row>
      <xdr:rowOff>1</xdr:rowOff>
    </xdr:from>
    <xdr:to>
      <xdr:col>29</xdr:col>
      <xdr:colOff>701386</xdr:colOff>
      <xdr:row>263</xdr:row>
      <xdr:rowOff>121227</xdr:rowOff>
    </xdr:to>
    <xdr:graphicFrame macro="">
      <xdr:nvGraphicFramePr>
        <xdr:cNvPr id="57" name="Chart 56">
          <a:extLst>
            <a:ext uri="{FF2B5EF4-FFF2-40B4-BE49-F238E27FC236}">
              <a16:creationId xmlns:a16="http://schemas.microsoft.com/office/drawing/2014/main" id="{00000000-0008-0000-08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98071</xdr:colOff>
      <xdr:row>246</xdr:row>
      <xdr:rowOff>164523</xdr:rowOff>
    </xdr:from>
    <xdr:to>
      <xdr:col>19</xdr:col>
      <xdr:colOff>122102</xdr:colOff>
      <xdr:row>265</xdr:row>
      <xdr:rowOff>60615</xdr:rowOff>
    </xdr:to>
    <xdr:graphicFrame macro="">
      <xdr:nvGraphicFramePr>
        <xdr:cNvPr id="61" name="Chart 60">
          <a:extLst>
            <a:ext uri="{FF2B5EF4-FFF2-40B4-BE49-F238E27FC236}">
              <a16:creationId xmlns:a16="http://schemas.microsoft.com/office/drawing/2014/main" id="{00000000-0008-0000-08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15</xdr:col>
      <xdr:colOff>293327</xdr:colOff>
      <xdr:row>303</xdr:row>
      <xdr:rowOff>160627</xdr:rowOff>
    </xdr:from>
    <xdr:to>
      <xdr:col>17</xdr:col>
      <xdr:colOff>290295</xdr:colOff>
      <xdr:row>316</xdr:row>
      <xdr:rowOff>138545</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935615</xdr:colOff>
      <xdr:row>314</xdr:row>
      <xdr:rowOff>117115</xdr:rowOff>
    </xdr:from>
    <xdr:to>
      <xdr:col>14</xdr:col>
      <xdr:colOff>924357</xdr:colOff>
      <xdr:row>322</xdr:row>
      <xdr:rowOff>171450</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3924251" y="68887615"/>
              <a:ext cx="182447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25</xdr:col>
      <xdr:colOff>47625</xdr:colOff>
      <xdr:row>187</xdr:row>
      <xdr:rowOff>83127</xdr:rowOff>
    </xdr:from>
    <xdr:to>
      <xdr:col>31</xdr:col>
      <xdr:colOff>623454</xdr:colOff>
      <xdr:row>201</xdr:row>
      <xdr:rowOff>150668</xdr:rowOff>
    </xdr:to>
    <xdr:graphicFrame macro="">
      <xdr:nvGraphicFramePr>
        <xdr:cNvPr id="5" name="Chart 4">
          <a:extLst>
            <a:ext uri="{FF2B5EF4-FFF2-40B4-BE49-F238E27FC236}">
              <a16:creationId xmlns:a16="http://schemas.microsoft.com/office/drawing/2014/main" id="{065F2B10-F250-4B28-8A2B-9B84F2F9B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1062037</xdr:colOff>
      <xdr:row>386</xdr:row>
      <xdr:rowOff>38100</xdr:rowOff>
    </xdr:from>
    <xdr:to>
      <xdr:col>9</xdr:col>
      <xdr:colOff>381000</xdr:colOff>
      <xdr:row>399</xdr:row>
      <xdr:rowOff>171450</xdr:rowOff>
    </xdr:to>
    <xdr:graphicFrame macro="">
      <xdr:nvGraphicFramePr>
        <xdr:cNvPr id="64" name="Chart 63">
          <a:extLst>
            <a:ext uri="{FF2B5EF4-FFF2-40B4-BE49-F238E27FC236}">
              <a16:creationId xmlns:a16="http://schemas.microsoft.com/office/drawing/2014/main" id="{B68EEF98-6CBC-4D67-8311-F24A44B226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485775</xdr:colOff>
      <xdr:row>386</xdr:row>
      <xdr:rowOff>28575</xdr:rowOff>
    </xdr:from>
    <xdr:to>
      <xdr:col>13</xdr:col>
      <xdr:colOff>671513</xdr:colOff>
      <xdr:row>399</xdr:row>
      <xdr:rowOff>161925</xdr:rowOff>
    </xdr:to>
    <xdr:graphicFrame macro="">
      <xdr:nvGraphicFramePr>
        <xdr:cNvPr id="66" name="Chart 65">
          <a:extLst>
            <a:ext uri="{FF2B5EF4-FFF2-40B4-BE49-F238E27FC236}">
              <a16:creationId xmlns:a16="http://schemas.microsoft.com/office/drawing/2014/main" id="{E4A93FF0-1890-47B8-B779-05F70A7CA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676275</xdr:colOff>
      <xdr:row>50</xdr:row>
      <xdr:rowOff>161926</xdr:rowOff>
    </xdr:from>
    <xdr:to>
      <xdr:col>4</xdr:col>
      <xdr:colOff>590550</xdr:colOff>
      <xdr:row>62</xdr:row>
      <xdr:rowOff>152400</xdr:rowOff>
    </xdr:to>
    <xdr:graphicFrame macro="">
      <xdr:nvGraphicFramePr>
        <xdr:cNvPr id="67" name="Chart 66">
          <a:extLst>
            <a:ext uri="{FF2B5EF4-FFF2-40B4-BE49-F238E27FC236}">
              <a16:creationId xmlns:a16="http://schemas.microsoft.com/office/drawing/2014/main" id="{32CFD844-06B6-4777-885C-6E0A18DE21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600075</xdr:colOff>
      <xdr:row>50</xdr:row>
      <xdr:rowOff>180975</xdr:rowOff>
    </xdr:from>
    <xdr:to>
      <xdr:col>8</xdr:col>
      <xdr:colOff>190500</xdr:colOff>
      <xdr:row>62</xdr:row>
      <xdr:rowOff>142875</xdr:rowOff>
    </xdr:to>
    <xdr:graphicFrame macro="">
      <xdr:nvGraphicFramePr>
        <xdr:cNvPr id="69" name="Chart 68">
          <a:extLst>
            <a:ext uri="{FF2B5EF4-FFF2-40B4-BE49-F238E27FC236}">
              <a16:creationId xmlns:a16="http://schemas.microsoft.com/office/drawing/2014/main" id="{FB3E0A51-DF6D-4FF1-8ADA-7BC4600F4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219075</xdr:colOff>
      <xdr:row>50</xdr:row>
      <xdr:rowOff>171450</xdr:rowOff>
    </xdr:from>
    <xdr:to>
      <xdr:col>13</xdr:col>
      <xdr:colOff>342900</xdr:colOff>
      <xdr:row>62</xdr:row>
      <xdr:rowOff>133350</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842962</xdr:colOff>
      <xdr:row>50</xdr:row>
      <xdr:rowOff>161925</xdr:rowOff>
    </xdr:from>
    <xdr:to>
      <xdr:col>19</xdr:col>
      <xdr:colOff>485775</xdr:colOff>
      <xdr:row>62</xdr:row>
      <xdr:rowOff>161925</xdr:rowOff>
    </xdr:to>
    <xdr:graphicFrame macro="">
      <xdr:nvGraphicFramePr>
        <xdr:cNvPr id="72" name="Chart 71">
          <a:extLst>
            <a:ext uri="{FF2B5EF4-FFF2-40B4-BE49-F238E27FC236}">
              <a16:creationId xmlns:a16="http://schemas.microsoft.com/office/drawing/2014/main" id="{2B912F23-68C6-4629-B3B0-DDEB09B419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19</xdr:col>
      <xdr:colOff>523875</xdr:colOff>
      <xdr:row>50</xdr:row>
      <xdr:rowOff>171450</xdr:rowOff>
    </xdr:from>
    <xdr:to>
      <xdr:col>23</xdr:col>
      <xdr:colOff>723900</xdr:colOff>
      <xdr:row>63</xdr:row>
      <xdr:rowOff>0</xdr:rowOff>
    </xdr:to>
    <xdr:graphicFrame macro="">
      <xdr:nvGraphicFramePr>
        <xdr:cNvPr id="74" name="Chart 73">
          <a:extLst>
            <a:ext uri="{FF2B5EF4-FFF2-40B4-BE49-F238E27FC236}">
              <a16:creationId xmlns:a16="http://schemas.microsoft.com/office/drawing/2014/main" id="{997EFAA4-E6E6-493F-80AB-87D2B1EE6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23</xdr:col>
      <xdr:colOff>795337</xdr:colOff>
      <xdr:row>50</xdr:row>
      <xdr:rowOff>180975</xdr:rowOff>
    </xdr:from>
    <xdr:to>
      <xdr:col>29</xdr:col>
      <xdr:colOff>642937</xdr:colOff>
      <xdr:row>63</xdr:row>
      <xdr:rowOff>28575</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10583</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301626</xdr:colOff>
      <xdr:row>25</xdr:row>
      <xdr:rowOff>137583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160337</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181238</xdr:colOff>
      <xdr:row>24</xdr:row>
      <xdr:rowOff>127000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138906</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CC18EE75-28CB-47C4-BE2D-19C566AC9B5F}"/>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7</xdr:col>
      <xdr:colOff>47625</xdr:colOff>
      <xdr:row>3</xdr:row>
      <xdr:rowOff>114300</xdr:rowOff>
    </xdr:from>
    <xdr:to>
      <xdr:col>18</xdr:col>
      <xdr:colOff>263304</xdr:colOff>
      <xdr:row>22</xdr:row>
      <xdr:rowOff>73796</xdr:rowOff>
    </xdr:to>
    <xdr:pic>
      <xdr:nvPicPr>
        <xdr:cNvPr id="16" name="Picture 15">
          <a:extLst>
            <a:ext uri="{FF2B5EF4-FFF2-40B4-BE49-F238E27FC236}">
              <a16:creationId xmlns:a16="http://schemas.microsoft.com/office/drawing/2014/main" id="{1B84E413-8E48-4031-AB3F-ABD49B8B7919}"/>
            </a:ext>
          </a:extLst>
        </xdr:cNvPr>
        <xdr:cNvPicPr>
          <a:picLocks noChangeAspect="1"/>
        </xdr:cNvPicPr>
      </xdr:nvPicPr>
      <xdr:blipFill>
        <a:blip xmlns:r="http://schemas.openxmlformats.org/officeDocument/2006/relationships" r:embed="rId1"/>
        <a:stretch>
          <a:fillRect/>
        </a:stretch>
      </xdr:blipFill>
      <xdr:spPr>
        <a:xfrm>
          <a:off x="6438900" y="981075"/>
          <a:ext cx="9169179" cy="3036071"/>
        </a:xfrm>
        <a:prstGeom prst="rect">
          <a:avLst/>
        </a:prstGeom>
      </xdr:spPr>
    </xdr:pic>
    <xdr:clientData/>
  </xdr:twoCellAnchor>
  <xdr:twoCellAnchor>
    <xdr:from>
      <xdr:col>7</xdr:col>
      <xdr:colOff>107312</xdr:colOff>
      <xdr:row>83</xdr:row>
      <xdr:rowOff>176705</xdr:rowOff>
    </xdr:from>
    <xdr:to>
      <xdr:col>18</xdr:col>
      <xdr:colOff>323850</xdr:colOff>
      <xdr:row>96</xdr:row>
      <xdr:rowOff>76200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62397</xdr:colOff>
      <xdr:row>89</xdr:row>
      <xdr:rowOff>197769</xdr:rowOff>
    </xdr:from>
    <xdr:to>
      <xdr:col>7</xdr:col>
      <xdr:colOff>3438</xdr:colOff>
      <xdr:row>94</xdr:row>
      <xdr:rowOff>82092</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176697" y="17923794"/>
          <a:ext cx="6218016" cy="884448"/>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400" b="1" i="0" u="none" strike="noStrike">
            <a:solidFill>
              <a:schemeClr val="bg1">
                <a:lumMod val="50000"/>
              </a:schemeClr>
            </a:solidFill>
            <a:effectLst/>
            <a:latin typeface="+mn-lt"/>
            <a:ea typeface="+mn-ea"/>
            <a:cs typeface="+mn-cs"/>
          </a:endParaRPr>
        </a:p>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GFFO, HARP, OFDA, SANYA, MHF, FFO, AA (Caritas), ECHO, MoFA Lux </a:t>
          </a:r>
          <a:endParaRPr lang="en-US" sz="1400" b="0">
            <a:solidFill>
              <a:schemeClr val="bg1">
                <a:lumMod val="50000"/>
              </a:schemeClr>
            </a:solidFill>
          </a:endParaRPr>
        </a:p>
      </xdr:txBody>
    </xdr:sp>
    <xdr:clientData/>
  </xdr:twoCellAnchor>
  <xdr:twoCellAnchor>
    <xdr:from>
      <xdr:col>1</xdr:col>
      <xdr:colOff>55869</xdr:colOff>
      <xdr:row>95</xdr:row>
      <xdr:rowOff>10886</xdr:rowOff>
    </xdr:from>
    <xdr:to>
      <xdr:col>7</xdr:col>
      <xdr:colOff>6464</xdr:colOff>
      <xdr:row>107</xdr:row>
      <xdr:rowOff>133350</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70169" y="18927536"/>
          <a:ext cx="6227570" cy="2522764"/>
          <a:chOff x="-24494074" y="6972935"/>
          <a:chExt cx="9921636" cy="921154"/>
        </a:xfrm>
      </xdr:grpSpPr>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1" name="TextBox 10">
            <a:hlinkClick xmlns:r="http://schemas.openxmlformats.org/officeDocument/2006/relationships" r:id="rId4"/>
            <a:extLst>
              <a:ext uri="{FF2B5EF4-FFF2-40B4-BE49-F238E27FC236}">
                <a16:creationId xmlns:a16="http://schemas.microsoft.com/office/drawing/2014/main" id="{00000000-0008-0000-0A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57680</xdr:colOff>
      <xdr:row>23</xdr:row>
      <xdr:rowOff>19049</xdr:rowOff>
    </xdr:from>
    <xdr:to>
      <xdr:col>18</xdr:col>
      <xdr:colOff>276225</xdr:colOff>
      <xdr:row>38</xdr:row>
      <xdr:rowOff>19049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81052</xdr:colOff>
      <xdr:row>57</xdr:row>
      <xdr:rowOff>79064</xdr:rowOff>
    </xdr:from>
    <xdr:to>
      <xdr:col>18</xdr:col>
      <xdr:colOff>333375</xdr:colOff>
      <xdr:row>80</xdr:row>
      <xdr:rowOff>166046</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6472327" y="11204264"/>
          <a:ext cx="9205823" cy="4878057"/>
          <a:chOff x="6650921" y="9530245"/>
          <a:chExt cx="8925736" cy="4902152"/>
        </a:xfrm>
      </xdr:grpSpPr>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9762365" y="12045872"/>
          <a:ext cx="2987157" cy="236324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12812892" y="12027300"/>
          <a:ext cx="2763765" cy="237223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6650921" y="9548381"/>
          <a:ext cx="3014098" cy="244318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6660257" y="12043214"/>
          <a:ext cx="3014098" cy="2389183"/>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9752097" y="9538983"/>
          <a:ext cx="3004519" cy="2452582"/>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12809306" y="9530245"/>
          <a:ext cx="2763765" cy="2440809"/>
        </xdr:xfrm>
        <a:graphic>
          <a:graphicData uri="http://schemas.openxmlformats.org/drawingml/2006/chart">
            <c:chart xmlns:c="http://schemas.openxmlformats.org/drawingml/2006/chart" xmlns:r="http://schemas.openxmlformats.org/officeDocument/2006/relationships" r:id="rId11"/>
          </a:graphicData>
        </a:graphic>
      </xdr:graphicFrame>
    </xdr:grpSp>
    <xdr:clientData/>
  </xdr:twoCellAnchor>
  <xdr:twoCellAnchor>
    <xdr:from>
      <xdr:col>7</xdr:col>
      <xdr:colOff>59210</xdr:colOff>
      <xdr:row>55</xdr:row>
      <xdr:rowOff>21440</xdr:rowOff>
    </xdr:from>
    <xdr:to>
      <xdr:col>18</xdr:col>
      <xdr:colOff>341150</xdr:colOff>
      <xdr:row>57</xdr:row>
      <xdr:rowOff>4951</xdr:rowOff>
    </xdr:to>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6450485" y="10679915"/>
          <a:ext cx="9235440" cy="4597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81038</xdr:colOff>
      <xdr:row>81</xdr:row>
      <xdr:rowOff>42815</xdr:rowOff>
    </xdr:from>
    <xdr:to>
      <xdr:col>18</xdr:col>
      <xdr:colOff>362978</xdr:colOff>
      <xdr:row>83</xdr:row>
      <xdr:rowOff>90337</xdr:rowOff>
    </xdr:to>
    <xdr:sp macro="" textlink="">
      <xdr:nvSpPr>
        <xdr:cNvPr id="19" name="TextBox 45">
          <a:extLst>
            <a:ext uri="{FF2B5EF4-FFF2-40B4-BE49-F238E27FC236}">
              <a16:creationId xmlns:a16="http://schemas.microsoft.com/office/drawing/2014/main" id="{00000000-0008-0000-0A00-000013000000}"/>
            </a:ext>
          </a:extLst>
        </xdr:cNvPr>
        <xdr:cNvSpPr txBox="1"/>
      </xdr:nvSpPr>
      <xdr:spPr>
        <a:xfrm>
          <a:off x="6472313" y="16168640"/>
          <a:ext cx="9235440" cy="44757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7</xdr:col>
      <xdr:colOff>74340</xdr:colOff>
      <xdr:row>39</xdr:row>
      <xdr:rowOff>12864</xdr:rowOff>
    </xdr:from>
    <xdr:to>
      <xdr:col>18</xdr:col>
      <xdr:colOff>356280</xdr:colOff>
      <xdr:row>41</xdr:row>
      <xdr:rowOff>143914</xdr:rowOff>
    </xdr:to>
    <xdr:sp macro="" textlink="">
      <xdr:nvSpPr>
        <xdr:cNvPr id="20" name="Rectangle 19">
          <a:extLst>
            <a:ext uri="{FF2B5EF4-FFF2-40B4-BE49-F238E27FC236}">
              <a16:creationId xmlns:a16="http://schemas.microsoft.com/office/drawing/2014/main" id="{00000000-0008-0000-0A00-000014000000}"/>
            </a:ext>
          </a:extLst>
        </xdr:cNvPr>
        <xdr:cNvSpPr/>
      </xdr:nvSpPr>
      <xdr:spPr>
        <a:xfrm>
          <a:off x="6465615" y="7118514"/>
          <a:ext cx="9235440" cy="4549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107226</xdr:colOff>
      <xdr:row>96</xdr:row>
      <xdr:rowOff>111579</xdr:rowOff>
    </xdr:from>
    <xdr:to>
      <xdr:col>18</xdr:col>
      <xdr:colOff>297726</xdr:colOff>
      <xdr:row>107</xdr:row>
      <xdr:rowOff>123825</xdr:rowOff>
    </xdr:to>
    <xdr:grpSp>
      <xdr:nvGrpSpPr>
        <xdr:cNvPr id="21" name="Group 20">
          <a:extLst>
            <a:ext uri="{FF2B5EF4-FFF2-40B4-BE49-F238E27FC236}">
              <a16:creationId xmlns:a16="http://schemas.microsoft.com/office/drawing/2014/main" id="{B2AA7536-8CAC-45C6-9254-4077F21DB26C}"/>
            </a:ext>
          </a:extLst>
        </xdr:cNvPr>
        <xdr:cNvGrpSpPr/>
      </xdr:nvGrpSpPr>
      <xdr:grpSpPr>
        <a:xfrm>
          <a:off x="6498501" y="19228254"/>
          <a:ext cx="9144000" cy="2212521"/>
          <a:chOff x="6584226" y="18580554"/>
          <a:chExt cx="9046300" cy="2758764"/>
        </a:xfrm>
      </xdr:grpSpPr>
      <xdr:graphicFrame macro="">
        <xdr:nvGraphicFramePr>
          <xdr:cNvPr id="23" name="Chart 22">
            <a:extLst>
              <a:ext uri="{FF2B5EF4-FFF2-40B4-BE49-F238E27FC236}">
                <a16:creationId xmlns:a16="http://schemas.microsoft.com/office/drawing/2014/main" id="{00000000-0008-0000-0A00-000017000000}"/>
              </a:ext>
            </a:extLst>
          </xdr:cNvPr>
          <xdr:cNvGraphicFramePr>
            <a:graphicFrameLocks/>
          </xdr:cNvGraphicFramePr>
        </xdr:nvGraphicFramePr>
        <xdr:xfrm>
          <a:off x="6584226" y="18591816"/>
          <a:ext cx="5372370" cy="2747502"/>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27" name="Chart 26">
            <a:extLst>
              <a:ext uri="{FF2B5EF4-FFF2-40B4-BE49-F238E27FC236}">
                <a16:creationId xmlns:a16="http://schemas.microsoft.com/office/drawing/2014/main" id="{AFD7BA30-4563-40EE-BC17-DE5013AFDC3D}"/>
              </a:ext>
            </a:extLst>
          </xdr:cNvPr>
          <xdr:cNvGraphicFramePr>
            <a:graphicFrameLocks/>
          </xdr:cNvGraphicFramePr>
        </xdr:nvGraphicFramePr>
        <xdr:xfrm>
          <a:off x="12051847" y="18580554"/>
          <a:ext cx="3578679" cy="2747502"/>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7</xdr:col>
      <xdr:colOff>105811</xdr:colOff>
      <xdr:row>42</xdr:row>
      <xdr:rowOff>82368</xdr:rowOff>
    </xdr:from>
    <xdr:to>
      <xdr:col>18</xdr:col>
      <xdr:colOff>361951</xdr:colOff>
      <xdr:row>54</xdr:row>
      <xdr:rowOff>190500</xdr:rowOff>
    </xdr:to>
    <xdr:grpSp>
      <xdr:nvGrpSpPr>
        <xdr:cNvPr id="7" name="Group 6">
          <a:extLst>
            <a:ext uri="{FF2B5EF4-FFF2-40B4-BE49-F238E27FC236}">
              <a16:creationId xmlns:a16="http://schemas.microsoft.com/office/drawing/2014/main" id="{01DE7422-3781-4C7E-8B92-742371B1228E}"/>
            </a:ext>
          </a:extLst>
        </xdr:cNvPr>
        <xdr:cNvGrpSpPr/>
      </xdr:nvGrpSpPr>
      <xdr:grpSpPr>
        <a:xfrm>
          <a:off x="6497086" y="7664268"/>
          <a:ext cx="9209640" cy="2937057"/>
          <a:chOff x="6497086" y="7530918"/>
          <a:chExt cx="9209640" cy="2937057"/>
        </a:xfrm>
      </xdr:grpSpPr>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6497086" y="7530918"/>
          <a:ext cx="3094589" cy="2908481"/>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30" name="Chart 29">
            <a:extLst>
              <a:ext uri="{FF2B5EF4-FFF2-40B4-BE49-F238E27FC236}">
                <a16:creationId xmlns:a16="http://schemas.microsoft.com/office/drawing/2014/main" id="{EA70DAEA-4BF2-4F53-8F75-07E1894CD84D}"/>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33" name="Chart 32">
            <a:extLst>
              <a:ext uri="{FF2B5EF4-FFF2-40B4-BE49-F238E27FC236}">
                <a16:creationId xmlns:a16="http://schemas.microsoft.com/office/drawing/2014/main" id="{5A445EDE-918C-4841-8148-5AE675DCD57C}"/>
              </a:ext>
            </a:extLst>
          </xdr:cNvPr>
          <xdr:cNvGraphicFramePr>
            <a:graphicFrameLocks/>
          </xdr:cNvGraphicFramePr>
        </xdr:nvGraphicFramePr>
        <xdr:xfrm>
          <a:off x="11220449" y="8715374"/>
          <a:ext cx="1609725" cy="1733549"/>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35" name="Chart 34">
            <a:extLst>
              <a:ext uri="{FF2B5EF4-FFF2-40B4-BE49-F238E27FC236}">
                <a16:creationId xmlns:a16="http://schemas.microsoft.com/office/drawing/2014/main" id="{CC73EEEC-1C79-4041-8154-BF70D4EB104A}"/>
              </a:ext>
            </a:extLst>
          </xdr:cNvPr>
          <xdr:cNvGraphicFramePr>
            <a:graphicFrameLocks/>
          </xdr:cNvGraphicFramePr>
        </xdr:nvGraphicFramePr>
        <xdr:xfrm>
          <a:off x="12849225" y="7543799"/>
          <a:ext cx="2847975" cy="2924176"/>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36" name="Chart 35">
            <a:extLst>
              <a:ext uri="{FF2B5EF4-FFF2-40B4-BE49-F238E27FC236}">
                <a16:creationId xmlns:a16="http://schemas.microsoft.com/office/drawing/2014/main" id="{24A396C6-098D-4733-8D11-D5B7EC9A7AAC}"/>
              </a:ext>
            </a:extLst>
          </xdr:cNvPr>
          <xdr:cNvGraphicFramePr>
            <a:graphicFrameLocks/>
          </xdr:cNvGraphicFramePr>
        </xdr:nvGraphicFramePr>
        <xdr:xfrm>
          <a:off x="14249400" y="8639175"/>
          <a:ext cx="1457326" cy="1781176"/>
        </xdr:xfrm>
        <a:graphic>
          <a:graphicData uri="http://schemas.openxmlformats.org/drawingml/2006/chart">
            <c:chart xmlns:c="http://schemas.openxmlformats.org/drawingml/2006/chart" xmlns:r="http://schemas.openxmlformats.org/officeDocument/2006/relationships" r:id="rId18"/>
          </a:graphicData>
        </a:graphic>
      </xdr:graphicFrame>
      <xdr:cxnSp macro="">
        <xdr:nvCxnSpPr>
          <xdr:cNvPr id="38" name="Connector: Elbow 37">
            <a:extLst>
              <a:ext uri="{FF2B5EF4-FFF2-40B4-BE49-F238E27FC236}">
                <a16:creationId xmlns:a16="http://schemas.microsoft.com/office/drawing/2014/main" id="{17DB4F2F-D2F2-4BF6-BC70-EA4BC7AC5A50}"/>
              </a:ext>
            </a:extLst>
          </xdr:cNvPr>
          <xdr:cNvCxnSpPr/>
        </xdr:nvCxnSpPr>
        <xdr:spPr>
          <a:xfrm>
            <a:off x="10582275" y="8410575"/>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2" name="Connector: Elbow 41">
            <a:extLst>
              <a:ext uri="{FF2B5EF4-FFF2-40B4-BE49-F238E27FC236}">
                <a16:creationId xmlns:a16="http://schemas.microsoft.com/office/drawing/2014/main" id="{8FE1C2A3-5FE7-4ADE-B32D-0902A172058D}"/>
              </a:ext>
            </a:extLst>
          </xdr:cNvPr>
          <xdr:cNvCxnSpPr/>
        </xdr:nvCxnSpPr>
        <xdr:spPr>
          <a:xfrm>
            <a:off x="13754100" y="8410575"/>
            <a:ext cx="1262061" cy="371474"/>
          </a:xfrm>
          <a:prstGeom prst="bentConnector3">
            <a:avLst>
              <a:gd name="adj1" fmla="val 99057"/>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57150</xdr:colOff>
      <xdr:row>61</xdr:row>
      <xdr:rowOff>142875</xdr:rowOff>
    </xdr:from>
    <xdr:to>
      <xdr:col>7</xdr:col>
      <xdr:colOff>0</xdr:colOff>
      <xdr:row>75</xdr:row>
      <xdr:rowOff>85046</xdr:rowOff>
    </xdr:to>
    <xdr:graphicFrame macro="">
      <xdr:nvGraphicFramePr>
        <xdr:cNvPr id="46" name="Chart 45">
          <a:extLst>
            <a:ext uri="{FF2B5EF4-FFF2-40B4-BE49-F238E27FC236}">
              <a16:creationId xmlns:a16="http://schemas.microsoft.com/office/drawing/2014/main" id="{960EECE7-25B3-4800-81CA-E1DB5F083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47625</xdr:colOff>
      <xdr:row>76</xdr:row>
      <xdr:rowOff>38100</xdr:rowOff>
    </xdr:from>
    <xdr:to>
      <xdr:col>6</xdr:col>
      <xdr:colOff>666750</xdr:colOff>
      <xdr:row>89</xdr:row>
      <xdr:rowOff>95250</xdr:rowOff>
    </xdr:to>
    <xdr:graphicFrame macro="">
      <xdr:nvGraphicFramePr>
        <xdr:cNvPr id="47" name="Chart 46">
          <a:extLst>
            <a:ext uri="{FF2B5EF4-FFF2-40B4-BE49-F238E27FC236}">
              <a16:creationId xmlns:a16="http://schemas.microsoft.com/office/drawing/2014/main" id="{A4500970-60F5-4CF7-8BF6-30476933E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xdr:col>
      <xdr:colOff>47625</xdr:colOff>
      <xdr:row>1</xdr:row>
      <xdr:rowOff>28575</xdr:rowOff>
    </xdr:from>
    <xdr:to>
      <xdr:col>6</xdr:col>
      <xdr:colOff>676275</xdr:colOff>
      <xdr:row>46</xdr:row>
      <xdr:rowOff>62861</xdr:rowOff>
    </xdr:to>
    <xdr:pic>
      <xdr:nvPicPr>
        <xdr:cNvPr id="22" name="Picture 21">
          <a:extLst>
            <a:ext uri="{FF2B5EF4-FFF2-40B4-BE49-F238E27FC236}">
              <a16:creationId xmlns:a16="http://schemas.microsoft.com/office/drawing/2014/main" id="{D8903DBC-EE28-4DFE-98B3-16BFE48C6DA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1925" y="438150"/>
          <a:ext cx="6219825" cy="7825736"/>
        </a:xfrm>
        <a:prstGeom prst="rect">
          <a:avLst/>
        </a:prstGeom>
      </xdr:spPr>
    </xdr:pic>
    <xdr:clientData/>
  </xdr:twoCellAnchor>
  <xdr:twoCellAnchor>
    <xdr:from>
      <xdr:col>7</xdr:col>
      <xdr:colOff>57150</xdr:colOff>
      <xdr:row>18</xdr:row>
      <xdr:rowOff>19050</xdr:rowOff>
    </xdr:from>
    <xdr:to>
      <xdr:col>9</xdr:col>
      <xdr:colOff>251298</xdr:colOff>
      <xdr:row>22</xdr:row>
      <xdr:rowOff>57560</xdr:rowOff>
    </xdr:to>
    <xdr:sp macro="" textlink="">
      <xdr:nvSpPr>
        <xdr:cNvPr id="41" name="TextBox 40">
          <a:hlinkClick xmlns:r="http://schemas.openxmlformats.org/officeDocument/2006/relationships" r:id="rId22"/>
          <a:extLst>
            <a:ext uri="{FF2B5EF4-FFF2-40B4-BE49-F238E27FC236}">
              <a16:creationId xmlns:a16="http://schemas.microsoft.com/office/drawing/2014/main" id="{932D7860-D630-4E5B-84A2-76B85A942B98}"/>
            </a:ext>
          </a:extLst>
        </xdr:cNvPr>
        <xdr:cNvSpPr txBox="1"/>
      </xdr:nvSpPr>
      <xdr:spPr>
        <a:xfrm>
          <a:off x="6448425" y="3314700"/>
          <a:ext cx="1565748" cy="68621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7</xdr:col>
      <xdr:colOff>28574</xdr:colOff>
      <xdr:row>1</xdr:row>
      <xdr:rowOff>38100</xdr:rowOff>
    </xdr:from>
    <xdr:to>
      <xdr:col>18</xdr:col>
      <xdr:colOff>323849</xdr:colOff>
      <xdr:row>3</xdr:row>
      <xdr:rowOff>80010</xdr:rowOff>
    </xdr:to>
    <xdr:sp macro="" textlink="">
      <xdr:nvSpPr>
        <xdr:cNvPr id="48" name="Rectangle 47">
          <a:extLst>
            <a:ext uri="{FF2B5EF4-FFF2-40B4-BE49-F238E27FC236}">
              <a16:creationId xmlns:a16="http://schemas.microsoft.com/office/drawing/2014/main" id="{2B511879-B17E-4705-9823-5C9BF9008605}"/>
            </a:ext>
          </a:extLst>
        </xdr:cNvPr>
        <xdr:cNvSpPr/>
      </xdr:nvSpPr>
      <xdr:spPr>
        <a:xfrm>
          <a:off x="6419849" y="581025"/>
          <a:ext cx="9248775" cy="365760"/>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79177</xdr:colOff>
      <xdr:row>88</xdr:row>
      <xdr:rowOff>181127</xdr:rowOff>
    </xdr:from>
    <xdr:to>
      <xdr:col>7</xdr:col>
      <xdr:colOff>17128</xdr:colOff>
      <xdr:row>92</xdr:row>
      <xdr:rowOff>32843</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79177" y="19110696"/>
          <a:ext cx="7415623" cy="639992"/>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a:solidFill>
                <a:schemeClr val="bg1">
                  <a:lumMod val="50000"/>
                </a:schemeClr>
              </a:solidFill>
              <a:effectLst/>
              <a:latin typeface="+mn-lt"/>
              <a:ea typeface="+mn-ea"/>
              <a:cs typeface="+mn-cs"/>
            </a:rPr>
            <a:t>DONORS</a:t>
          </a:r>
          <a:r>
            <a:rPr lang="en-US" sz="1400" b="0" i="0" u="none" strike="noStrike">
              <a:solidFill>
                <a:schemeClr val="bg1">
                  <a:lumMod val="50000"/>
                </a:schemeClr>
              </a:solidFill>
              <a:effectLst/>
              <a:latin typeface="+mn-lt"/>
              <a:ea typeface="+mn-ea"/>
              <a:cs typeface="+mn-cs"/>
            </a:rPr>
            <a:t>: GFFO, HARP, OFDA, SANYA, MHF, FFO, AA (Caritas), ECHO, MoFA Lux </a:t>
          </a:r>
          <a:endParaRPr lang="en-US" sz="1400" b="0" i="0" u="none" strike="noStrike" noProof="0">
            <a:solidFill>
              <a:schemeClr val="bg1">
                <a:lumMod val="50000"/>
              </a:schemeClr>
            </a:solidFill>
            <a:effectLst/>
            <a:latin typeface="+mn-lt"/>
            <a:ea typeface="+mn-ea"/>
            <a:cs typeface="+mn-cs"/>
          </a:endParaRPr>
        </a:p>
      </xdr:txBody>
    </xdr:sp>
    <xdr:clientData/>
  </xdr:twoCellAnchor>
  <xdr:twoCellAnchor>
    <xdr:from>
      <xdr:col>1</xdr:col>
      <xdr:colOff>7094</xdr:colOff>
      <xdr:row>92</xdr:row>
      <xdr:rowOff>116658</xdr:rowOff>
    </xdr:from>
    <xdr:to>
      <xdr:col>7</xdr:col>
      <xdr:colOff>26688</xdr:colOff>
      <xdr:row>105</xdr:row>
      <xdr:rowOff>120431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91761" y="20658908"/>
          <a:ext cx="6898760" cy="2617856"/>
          <a:chOff x="9960463" y="4190884"/>
          <a:chExt cx="5602819" cy="1812925"/>
        </a:xfrm>
      </xdr:grpSpPr>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9960463" y="4190884"/>
          <a:ext cx="5602819" cy="18129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TextBox 8">
            <a:hlinkClick xmlns:r="http://schemas.openxmlformats.org/officeDocument/2006/relationships" r:id="rId2"/>
            <a:extLst>
              <a:ext uri="{FF2B5EF4-FFF2-40B4-BE49-F238E27FC236}">
                <a16:creationId xmlns:a16="http://schemas.microsoft.com/office/drawing/2014/main" id="{00000000-0008-0000-0C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7</xdr:col>
      <xdr:colOff>143110</xdr:colOff>
      <xdr:row>22</xdr:row>
      <xdr:rowOff>10584</xdr:rowOff>
    </xdr:from>
    <xdr:to>
      <xdr:col>18</xdr:col>
      <xdr:colOff>402167</xdr:colOff>
      <xdr:row>34</xdr:row>
      <xdr:rowOff>4696</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144388</xdr:colOff>
      <xdr:row>47</xdr:row>
      <xdr:rowOff>85290</xdr:rowOff>
    </xdr:from>
    <xdr:to>
      <xdr:col>18</xdr:col>
      <xdr:colOff>386357</xdr:colOff>
      <xdr:row>70</xdr:row>
      <xdr:rowOff>142588</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7108221" y="10912040"/>
          <a:ext cx="9343636" cy="5348965"/>
          <a:chOff x="7409036" y="10135656"/>
          <a:chExt cx="8837849" cy="4267493"/>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0303595" y="12229462"/>
          <a:ext cx="2940667" cy="215664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306218" y="12246508"/>
          <a:ext cx="2940667" cy="215664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7424569" y="10135656"/>
          <a:ext cx="4324510" cy="201195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1827211" y="10158473"/>
          <a:ext cx="4411000" cy="1979874"/>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8" name="Chart 17">
            <a:extLst>
              <a:ext uri="{FF2B5EF4-FFF2-40B4-BE49-F238E27FC236}">
                <a16:creationId xmlns:a16="http://schemas.microsoft.com/office/drawing/2014/main" id="{00000000-0008-0000-0C00-000012000000}"/>
              </a:ext>
            </a:extLst>
          </xdr:cNvPr>
          <xdr:cNvGraphicFramePr>
            <a:graphicFrameLocks/>
          </xdr:cNvGraphicFramePr>
        </xdr:nvGraphicFramePr>
        <xdr:xfrm>
          <a:off x="7409036" y="12245673"/>
          <a:ext cx="2854177" cy="2156641"/>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7</xdr:col>
      <xdr:colOff>130545</xdr:colOff>
      <xdr:row>34</xdr:row>
      <xdr:rowOff>80537</xdr:rowOff>
    </xdr:from>
    <xdr:to>
      <xdr:col>18</xdr:col>
      <xdr:colOff>450847</xdr:colOff>
      <xdr:row>35</xdr:row>
      <xdr:rowOff>300683</xdr:rowOff>
    </xdr:to>
    <xdr:sp macro="" textlink="">
      <xdr:nvSpPr>
        <xdr:cNvPr id="19" name="Rectangle 18">
          <a:extLst>
            <a:ext uri="{FF2B5EF4-FFF2-40B4-BE49-F238E27FC236}">
              <a16:creationId xmlns:a16="http://schemas.microsoft.com/office/drawing/2014/main" id="{00000000-0008-0000-0C00-000013000000}"/>
            </a:ext>
          </a:extLst>
        </xdr:cNvPr>
        <xdr:cNvSpPr/>
      </xdr:nvSpPr>
      <xdr:spPr>
        <a:xfrm>
          <a:off x="7608217" y="7196916"/>
          <a:ext cx="9418320" cy="461008"/>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7</xdr:col>
      <xdr:colOff>150179</xdr:colOff>
      <xdr:row>46</xdr:row>
      <xdr:rowOff>39812</xdr:rowOff>
    </xdr:from>
    <xdr:to>
      <xdr:col>18</xdr:col>
      <xdr:colOff>379041</xdr:colOff>
      <xdr:row>47</xdr:row>
      <xdr:rowOff>54743</xdr:rowOff>
    </xdr:to>
    <xdr:sp macro="" textlink="">
      <xdr:nvSpPr>
        <xdr:cNvPr id="20" name="TextBox 19">
          <a:extLst>
            <a:ext uri="{FF2B5EF4-FFF2-40B4-BE49-F238E27FC236}">
              <a16:creationId xmlns:a16="http://schemas.microsoft.com/office/drawing/2014/main" id="{00000000-0008-0000-0C00-000014000000}"/>
            </a:ext>
          </a:extLst>
        </xdr:cNvPr>
        <xdr:cNvSpPr txBox="1"/>
      </xdr:nvSpPr>
      <xdr:spPr>
        <a:xfrm>
          <a:off x="7627851" y="10539209"/>
          <a:ext cx="9326880" cy="485706"/>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7</xdr:col>
      <xdr:colOff>137331</xdr:colOff>
      <xdr:row>71</xdr:row>
      <xdr:rowOff>52688</xdr:rowOff>
    </xdr:from>
    <xdr:to>
      <xdr:col>18</xdr:col>
      <xdr:colOff>366193</xdr:colOff>
      <xdr:row>73</xdr:row>
      <xdr:rowOff>115750</xdr:rowOff>
    </xdr:to>
    <xdr:sp macro="" textlink="">
      <xdr:nvSpPr>
        <xdr:cNvPr id="21" name="TextBox 45">
          <a:extLst>
            <a:ext uri="{FF2B5EF4-FFF2-40B4-BE49-F238E27FC236}">
              <a16:creationId xmlns:a16="http://schemas.microsoft.com/office/drawing/2014/main" id="{00000000-0008-0000-0C00-000015000000}"/>
            </a:ext>
          </a:extLst>
        </xdr:cNvPr>
        <xdr:cNvSpPr txBox="1"/>
      </xdr:nvSpPr>
      <xdr:spPr>
        <a:xfrm>
          <a:off x="7615003" y="15632085"/>
          <a:ext cx="9326880" cy="457199"/>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8</xdr:col>
      <xdr:colOff>9218</xdr:colOff>
      <xdr:row>74</xdr:row>
      <xdr:rowOff>380</xdr:rowOff>
    </xdr:from>
    <xdr:to>
      <xdr:col>18</xdr:col>
      <xdr:colOff>349250</xdr:colOff>
      <xdr:row>90</xdr:row>
      <xdr:rowOff>184720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139911</xdr:colOff>
      <xdr:row>91</xdr:row>
      <xdr:rowOff>128988</xdr:rowOff>
    </xdr:from>
    <xdr:to>
      <xdr:col>18</xdr:col>
      <xdr:colOff>368773</xdr:colOff>
      <xdr:row>105</xdr:row>
      <xdr:rowOff>115614</xdr:rowOff>
    </xdr:to>
    <xdr:grpSp>
      <xdr:nvGrpSpPr>
        <xdr:cNvPr id="26" name="Group 25">
          <a:extLst>
            <a:ext uri="{FF2B5EF4-FFF2-40B4-BE49-F238E27FC236}">
              <a16:creationId xmlns:a16="http://schemas.microsoft.com/office/drawing/2014/main" id="{678CD6E5-C678-4EA4-89A4-5778ADA3B13D}"/>
            </a:ext>
          </a:extLst>
        </xdr:cNvPr>
        <xdr:cNvGrpSpPr/>
      </xdr:nvGrpSpPr>
      <xdr:grpSpPr>
        <a:xfrm>
          <a:off x="7103744" y="20470155"/>
          <a:ext cx="9330529" cy="2801792"/>
          <a:chOff x="7606635" y="20087695"/>
          <a:chExt cx="8914314" cy="2745591"/>
        </a:xfrm>
      </xdr:grpSpPr>
      <xdr:graphicFrame macro="">
        <xdr:nvGraphicFramePr>
          <xdr:cNvPr id="22" name="Chart 21">
            <a:extLst>
              <a:ext uri="{FF2B5EF4-FFF2-40B4-BE49-F238E27FC236}">
                <a16:creationId xmlns:a16="http://schemas.microsoft.com/office/drawing/2014/main" id="{00000000-0008-0000-0C00-000016000000}"/>
              </a:ext>
            </a:extLst>
          </xdr:cNvPr>
          <xdr:cNvGraphicFramePr>
            <a:graphicFrameLocks/>
          </xdr:cNvGraphicFramePr>
        </xdr:nvGraphicFramePr>
        <xdr:xfrm>
          <a:off x="7606635" y="20087695"/>
          <a:ext cx="5706468" cy="27432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34" name="Chart 33">
            <a:extLst>
              <a:ext uri="{FF2B5EF4-FFF2-40B4-BE49-F238E27FC236}">
                <a16:creationId xmlns:a16="http://schemas.microsoft.com/office/drawing/2014/main" id="{8350158C-810A-498E-BE94-7DCC5E567F8D}"/>
              </a:ext>
            </a:extLst>
          </xdr:cNvPr>
          <xdr:cNvGraphicFramePr>
            <a:graphicFrameLocks/>
          </xdr:cNvGraphicFramePr>
        </xdr:nvGraphicFramePr>
        <xdr:xfrm>
          <a:off x="13400689" y="20090086"/>
          <a:ext cx="3120260" cy="2743200"/>
        </xdr:xfrm>
        <a:graphic>
          <a:graphicData uri="http://schemas.openxmlformats.org/drawingml/2006/chart">
            <c:chart xmlns:c="http://schemas.openxmlformats.org/drawingml/2006/chart" xmlns:r="http://schemas.openxmlformats.org/officeDocument/2006/relationships" r:id="rId11"/>
          </a:graphicData>
        </a:graphic>
      </xdr:graphicFrame>
    </xdr:grpSp>
    <xdr:clientData/>
  </xdr:twoCellAnchor>
  <xdr:twoCellAnchor>
    <xdr:from>
      <xdr:col>7</xdr:col>
      <xdr:colOff>117516</xdr:colOff>
      <xdr:row>35</xdr:row>
      <xdr:rowOff>333058</xdr:rowOff>
    </xdr:from>
    <xdr:to>
      <xdr:col>18</xdr:col>
      <xdr:colOff>388197</xdr:colOff>
      <xdr:row>46</xdr:row>
      <xdr:rowOff>21166</xdr:rowOff>
    </xdr:to>
    <xdr:grpSp>
      <xdr:nvGrpSpPr>
        <xdr:cNvPr id="14" name="Group 13">
          <a:extLst>
            <a:ext uri="{FF2B5EF4-FFF2-40B4-BE49-F238E27FC236}">
              <a16:creationId xmlns:a16="http://schemas.microsoft.com/office/drawing/2014/main" id="{46A647FB-01DD-4287-9A65-9331909672A1}"/>
            </a:ext>
          </a:extLst>
        </xdr:cNvPr>
        <xdr:cNvGrpSpPr/>
      </xdr:nvGrpSpPr>
      <xdr:grpSpPr>
        <a:xfrm>
          <a:off x="7081349" y="7572058"/>
          <a:ext cx="9372348" cy="2810191"/>
          <a:chOff x="7589349" y="7572058"/>
          <a:chExt cx="9372348" cy="2852525"/>
        </a:xfrm>
      </xdr:grpSpPr>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38" name="Chart 37">
            <a:extLst>
              <a:ext uri="{FF2B5EF4-FFF2-40B4-BE49-F238E27FC236}">
                <a16:creationId xmlns:a16="http://schemas.microsoft.com/office/drawing/2014/main" id="{FCDCF367-A1D9-4B70-8F52-CDF06233C6A7}"/>
              </a:ext>
            </a:extLst>
          </xdr:cNvPr>
          <xdr:cNvGraphicFramePr>
            <a:graphicFrameLocks/>
          </xdr:cNvGraphicFramePr>
        </xdr:nvGraphicFramePr>
        <xdr:xfrm>
          <a:off x="10369112" y="7588250"/>
          <a:ext cx="3200400" cy="2815167"/>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39" name="Chart 38">
            <a:extLst>
              <a:ext uri="{FF2B5EF4-FFF2-40B4-BE49-F238E27FC236}">
                <a16:creationId xmlns:a16="http://schemas.microsoft.com/office/drawing/2014/main" id="{2DA03ED5-C389-4741-AE1F-9F970A55867F}"/>
              </a:ext>
            </a:extLst>
          </xdr:cNvPr>
          <xdr:cNvGraphicFramePr>
            <a:graphicFrameLocks/>
          </xdr:cNvGraphicFramePr>
        </xdr:nvGraphicFramePr>
        <xdr:xfrm>
          <a:off x="11895667" y="8796937"/>
          <a:ext cx="1663044" cy="160648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0" name="Chart 39">
            <a:extLst>
              <a:ext uri="{FF2B5EF4-FFF2-40B4-BE49-F238E27FC236}">
                <a16:creationId xmlns:a16="http://schemas.microsoft.com/office/drawing/2014/main" id="{2314F41F-1A9F-470C-93F2-1C52AF6B5E3E}"/>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41" name="Chart 40">
            <a:extLst>
              <a:ext uri="{FF2B5EF4-FFF2-40B4-BE49-F238E27FC236}">
                <a16:creationId xmlns:a16="http://schemas.microsoft.com/office/drawing/2014/main" id="{85B8E870-FC86-4606-A83E-A7FD6DA3B1C9}"/>
              </a:ext>
            </a:extLst>
          </xdr:cNvPr>
          <xdr:cNvGraphicFramePr>
            <a:graphicFrameLocks/>
          </xdr:cNvGraphicFramePr>
        </xdr:nvGraphicFramePr>
        <xdr:xfrm>
          <a:off x="15165917" y="8540750"/>
          <a:ext cx="1778000" cy="1883833"/>
        </xdr:xfrm>
        <a:graphic>
          <a:graphicData uri="http://schemas.openxmlformats.org/drawingml/2006/chart">
            <c:chart xmlns:c="http://schemas.openxmlformats.org/drawingml/2006/chart" xmlns:r="http://schemas.openxmlformats.org/officeDocument/2006/relationships" r:id="rId16"/>
          </a:graphicData>
        </a:graphic>
      </xdr:graphicFrame>
      <xdr:cxnSp macro="">
        <xdr:nvCxnSpPr>
          <xdr:cNvPr id="42" name="Connector: Elbow 41">
            <a:extLst>
              <a:ext uri="{FF2B5EF4-FFF2-40B4-BE49-F238E27FC236}">
                <a16:creationId xmlns:a16="http://schemas.microsoft.com/office/drawing/2014/main" id="{9CEDF469-B592-42F6-8747-66EA32A8F1A2}"/>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6AB70086-53E1-4610-9777-8453EB310627}"/>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73026</xdr:colOff>
      <xdr:row>61</xdr:row>
      <xdr:rowOff>42339</xdr:rowOff>
    </xdr:from>
    <xdr:to>
      <xdr:col>6</xdr:col>
      <xdr:colOff>835772</xdr:colOff>
      <xdr:row>75</xdr:row>
      <xdr:rowOff>7793</xdr:rowOff>
    </xdr:to>
    <xdr:graphicFrame macro="">
      <xdr:nvGraphicFramePr>
        <xdr:cNvPr id="43" name="Chart 42">
          <a:extLst>
            <a:ext uri="{FF2B5EF4-FFF2-40B4-BE49-F238E27FC236}">
              <a16:creationId xmlns:a16="http://schemas.microsoft.com/office/drawing/2014/main" id="{F6FBB4DF-BA0A-4D12-836A-FDC6F1306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63501</xdr:colOff>
      <xdr:row>75</xdr:row>
      <xdr:rowOff>86791</xdr:rowOff>
    </xdr:from>
    <xdr:to>
      <xdr:col>6</xdr:col>
      <xdr:colOff>814917</xdr:colOff>
      <xdr:row>88</xdr:row>
      <xdr:rowOff>130183</xdr:rowOff>
    </xdr:to>
    <xdr:graphicFrame macro="">
      <xdr:nvGraphicFramePr>
        <xdr:cNvPr id="44" name="Chart 43">
          <a:extLst>
            <a:ext uri="{FF2B5EF4-FFF2-40B4-BE49-F238E27FC236}">
              <a16:creationId xmlns:a16="http://schemas.microsoft.com/office/drawing/2014/main" id="{3878AC81-3EE8-421E-A67F-1D51C56AF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10583</xdr:colOff>
      <xdr:row>1</xdr:row>
      <xdr:rowOff>52916</xdr:rowOff>
    </xdr:from>
    <xdr:to>
      <xdr:col>7</xdr:col>
      <xdr:colOff>16770</xdr:colOff>
      <xdr:row>45</xdr:row>
      <xdr:rowOff>42333</xdr:rowOff>
    </xdr:to>
    <xdr:pic>
      <xdr:nvPicPr>
        <xdr:cNvPr id="15" name="Picture 14">
          <a:extLst>
            <a:ext uri="{FF2B5EF4-FFF2-40B4-BE49-F238E27FC236}">
              <a16:creationId xmlns:a16="http://schemas.microsoft.com/office/drawing/2014/main" id="{E01C1464-B87F-4512-86B9-375B64CA46E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5250" y="497416"/>
          <a:ext cx="6885353" cy="9736667"/>
        </a:xfrm>
        <a:prstGeom prst="rect">
          <a:avLst/>
        </a:prstGeom>
        <a:ln w="3175">
          <a:solidFill>
            <a:schemeClr val="tx1"/>
          </a:solidFill>
        </a:ln>
      </xdr:spPr>
    </xdr:pic>
    <xdr:clientData/>
  </xdr:twoCellAnchor>
  <xdr:twoCellAnchor>
    <xdr:from>
      <xdr:col>7</xdr:col>
      <xdr:colOff>116417</xdr:colOff>
      <xdr:row>1</xdr:row>
      <xdr:rowOff>42334</xdr:rowOff>
    </xdr:from>
    <xdr:to>
      <xdr:col>18</xdr:col>
      <xdr:colOff>497417</xdr:colOff>
      <xdr:row>3</xdr:row>
      <xdr:rowOff>90594</xdr:rowOff>
    </xdr:to>
    <xdr:sp macro="" textlink="">
      <xdr:nvSpPr>
        <xdr:cNvPr id="51" name="Rectangle 50">
          <a:extLst>
            <a:ext uri="{FF2B5EF4-FFF2-40B4-BE49-F238E27FC236}">
              <a16:creationId xmlns:a16="http://schemas.microsoft.com/office/drawing/2014/main" id="{6A351702-A33C-4F58-A4DC-3AE4109E79D6}"/>
            </a:ext>
          </a:extLst>
        </xdr:cNvPr>
        <xdr:cNvSpPr/>
      </xdr:nvSpPr>
      <xdr:spPr>
        <a:xfrm>
          <a:off x="7080250" y="486834"/>
          <a:ext cx="9482667" cy="365760"/>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editAs="oneCell">
    <xdr:from>
      <xdr:col>7</xdr:col>
      <xdr:colOff>127001</xdr:colOff>
      <xdr:row>3</xdr:row>
      <xdr:rowOff>105833</xdr:rowOff>
    </xdr:from>
    <xdr:to>
      <xdr:col>18</xdr:col>
      <xdr:colOff>423334</xdr:colOff>
      <xdr:row>21</xdr:row>
      <xdr:rowOff>157747</xdr:rowOff>
    </xdr:to>
    <xdr:pic>
      <xdr:nvPicPr>
        <xdr:cNvPr id="12" name="Picture 11">
          <a:extLst>
            <a:ext uri="{FF2B5EF4-FFF2-40B4-BE49-F238E27FC236}">
              <a16:creationId xmlns:a16="http://schemas.microsoft.com/office/drawing/2014/main" id="{26366CE9-39F5-4DBF-BD21-E37D6D30D5A0}"/>
            </a:ext>
          </a:extLst>
        </xdr:cNvPr>
        <xdr:cNvPicPr>
          <a:picLocks noChangeAspect="1"/>
        </xdr:cNvPicPr>
      </xdr:nvPicPr>
      <xdr:blipFill>
        <a:blip xmlns:r="http://schemas.openxmlformats.org/officeDocument/2006/relationships" r:embed="rId20"/>
        <a:stretch>
          <a:fillRect/>
        </a:stretch>
      </xdr:blipFill>
      <xdr:spPr>
        <a:xfrm>
          <a:off x="7090834" y="867833"/>
          <a:ext cx="9398000" cy="3078747"/>
        </a:xfrm>
        <a:prstGeom prst="rect">
          <a:avLst/>
        </a:prstGeom>
      </xdr:spPr>
    </xdr:pic>
    <xdr:clientData/>
  </xdr:twoCellAnchor>
  <xdr:twoCellAnchor>
    <xdr:from>
      <xdr:col>7</xdr:col>
      <xdr:colOff>137584</xdr:colOff>
      <xdr:row>17</xdr:row>
      <xdr:rowOff>84667</xdr:rowOff>
    </xdr:from>
    <xdr:to>
      <xdr:col>10</xdr:col>
      <xdr:colOff>179332</xdr:colOff>
      <xdr:row>21</xdr:row>
      <xdr:rowOff>135877</xdr:rowOff>
    </xdr:to>
    <xdr:sp macro="" textlink="">
      <xdr:nvSpPr>
        <xdr:cNvPr id="52" name="TextBox 51">
          <a:hlinkClick xmlns:r="http://schemas.openxmlformats.org/officeDocument/2006/relationships" r:id="rId21"/>
          <a:extLst>
            <a:ext uri="{FF2B5EF4-FFF2-40B4-BE49-F238E27FC236}">
              <a16:creationId xmlns:a16="http://schemas.microsoft.com/office/drawing/2014/main" id="{36A7D12F-3392-4D30-903C-CEC094C6BF34}"/>
            </a:ext>
          </a:extLst>
        </xdr:cNvPr>
        <xdr:cNvSpPr txBox="1"/>
      </xdr:nvSpPr>
      <xdr:spPr>
        <a:xfrm>
          <a:off x="7101417" y="3238500"/>
          <a:ext cx="1565748" cy="68621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111370</xdr:colOff>
      <xdr:row>1</xdr:row>
      <xdr:rowOff>177209</xdr:rowOff>
    </xdr:from>
    <xdr:to>
      <xdr:col>32</xdr:col>
      <xdr:colOff>409796</xdr:colOff>
      <xdr:row>31</xdr:row>
      <xdr:rowOff>73099</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22153</xdr:colOff>
      <xdr:row>2</xdr:row>
      <xdr:rowOff>93477</xdr:rowOff>
    </xdr:from>
    <xdr:to>
      <xdr:col>10</xdr:col>
      <xdr:colOff>477581</xdr:colOff>
      <xdr:row>12</xdr:row>
      <xdr:rowOff>97710</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708839" y="625105"/>
              <a:ext cx="1828800" cy="19978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309871</xdr:colOff>
      <xdr:row>2</xdr:row>
      <xdr:rowOff>23309</xdr:rowOff>
    </xdr:from>
    <xdr:to>
      <xdr:col>16</xdr:col>
      <xdr:colOff>67833</xdr:colOff>
      <xdr:row>31</xdr:row>
      <xdr:rowOff>110756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54937"/>
              <a:ext cx="1818020" cy="586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215685</xdr:colOff>
      <xdr:row>22</xdr:row>
      <xdr:rowOff>132906</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261638</xdr:colOff>
      <xdr:row>12</xdr:row>
      <xdr:rowOff>130444</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5931821A-DDAF-4FBF-8E6A-43CBDAF27F91}"/>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mthaw\Mee%20Mee\2.%20Information%20Management\B_%204%20W\002.%204Ws%20matrix\004.Yangon\Final\2018\2018_Q4\2019_02_15_Myanmar_WASH_4W_2018_Q4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9/2019_Q2/2019-07-31_Funding%20Matrix_2019_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s>
    <sheetDataSet>
      <sheetData sheetId="0"/>
      <sheetData sheetId="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1"/>
      <sheetName val="DATABASE"/>
      <sheetName val="Site_DB"/>
      <sheetName val="Indicator Summary Eng"/>
      <sheetName val="Indicator Summary MM"/>
      <sheetName val="HRP Calculations"/>
      <sheetName val="HRP"/>
      <sheetName val="Analysis"/>
      <sheetName val="Quarterly Dashboard"/>
      <sheetName val="Kachin"/>
      <sheetName val="Rakhine"/>
      <sheetName val="Shan(n)"/>
      <sheetName val="By Camps"/>
      <sheetName val="Tracking Dashboard"/>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DistanceToCamp"/>
      <sheetName val="Definition"/>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Rakhine_funding_matrix"/>
      <sheetName val="Kachin-shan_funding_matrix"/>
      <sheetName val="fund received by partners"/>
      <sheetName val="Funding Tracking"/>
      <sheetName val="Timelinebysite"/>
      <sheetName val="Sheet5"/>
      <sheetName val="National_Analysis by donor"/>
      <sheetName val="Sheet1"/>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row r="3">
          <cell r="D3" t="str">
            <v>Cumulative Funding Received for 2019</v>
          </cell>
          <cell r="E3" t="str">
            <v>Gap</v>
          </cell>
        </row>
        <row r="4">
          <cell r="B4" t="str">
            <v>Kachin/Shan</v>
          </cell>
          <cell r="D4">
            <v>2534012.0007450287</v>
          </cell>
          <cell r="E4">
            <v>4965987.9992549717</v>
          </cell>
        </row>
        <row r="5">
          <cell r="B5" t="str">
            <v>Rakhine</v>
          </cell>
          <cell r="D5">
            <v>9716875.0312438626</v>
          </cell>
          <cell r="E5">
            <v>9983124.9687561374</v>
          </cell>
        </row>
        <row r="6">
          <cell r="B6" t="str">
            <v>National (Total)</v>
          </cell>
          <cell r="D6">
            <v>12250887.031988891</v>
          </cell>
          <cell r="E6">
            <v>14949112.968011109</v>
          </cell>
        </row>
      </sheetData>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3686.445600115738" createdVersion="6" refreshedVersion="6" minRefreshableVersion="3" recordCount="740" xr:uid="{00000000-000A-0000-FFFF-FFFF00000000}">
  <cacheSource type="worksheet">
    <worksheetSource name="WWWW"/>
  </cacheSource>
  <cacheFields count="131">
    <cacheField name="Reporting Period" numFmtId="167">
      <sharedItems containsBlank="1" count="12">
        <s v="2019_Q1"/>
        <s v="2019_Q2"/>
        <m u="1"/>
        <s v="2018-Q1" u="1"/>
        <s v="2018  Q1" u="1"/>
        <s v="2018_Q1" u="1"/>
        <s v="2018_Q2" u="1"/>
        <s v="2018_Q3" u="1"/>
        <s v="2018_Q4" u="1"/>
        <s v="2017_Q3" u="1"/>
        <s v="2017_Q4" u="1"/>
        <s v="2018 -Q1" u="1"/>
      </sharedItems>
    </cacheField>
    <cacheField name="WASH project agency" numFmtId="0">
      <sharedItems containsBlank="1" count="47">
        <s v="SI"/>
        <s v="Metta"/>
        <s v="None"/>
        <s v="KMSS"/>
        <s v="KBC"/>
        <s v="Shalom"/>
        <s v="Metta, KMSS"/>
        <s v="WPN"/>
        <s v="KBC, KMSS"/>
        <s v="SCI"/>
        <s v="PIN"/>
        <s v="UNICEF"/>
        <s v="MA_UK"/>
        <s v="CDA"/>
        <s v="OXSI (SI)"/>
        <s v="GIZ"/>
        <s v="ACF"/>
        <s v="OXSI (Oxfam)"/>
        <s v="OXSI(Oxfam), MA_UK"/>
        <s v="DRC"/>
        <s v="RI"/>
        <s v="CDN"/>
        <s v="Malteser"/>
        <s v="Others"/>
        <s v="MRCS,others"/>
        <s v="MRCS, PLAN, RI,Others"/>
        <s v="MRCS, PLAN, RI"/>
        <s v="MRCS"/>
        <s v="MRCS,Others,UNICEF/ACF"/>
        <s v="MRCS,UNICEF"/>
        <s v="UNICEF,Others"/>
        <s v="MRCS, Others"/>
        <s v="CARE"/>
        <s v="CARE,Others"/>
        <s v="Others/ WVI"/>
        <s v="Others,MRCS"/>
        <s v="WVI"/>
        <s v="SCI, Metta"/>
        <s v="HPA"/>
        <s v="KMSS, Metta"/>
        <s v="KMSS,Metta"/>
        <m u="1"/>
        <s v="MRCS,Others/ WVI" u="1"/>
        <s v="OXSI (Oxfam),ACF" u="1"/>
        <s v="MRCS,Others,UNICEF" u="1"/>
        <s v="SCI,Metta" u="1"/>
        <s v="OXSI (SI), ACF" u="1"/>
      </sharedItems>
    </cacheField>
    <cacheField name="WASH implementing agency" numFmtId="0">
      <sharedItems containsBlank="1" count="46">
        <s v="SI"/>
        <s v="Metta"/>
        <s v="None"/>
        <s v="KMSS"/>
        <s v="KBC"/>
        <s v="Shalom"/>
        <s v="Metta, KMSS"/>
        <s v="WPN"/>
        <s v="KBC, KMSS"/>
        <s v="SCI"/>
        <s v="MHDO"/>
        <s v="UNICEF"/>
        <s v="MA_UK"/>
        <s v="WFP"/>
        <s v="CDA"/>
        <s v="OXSI (SI)"/>
        <s v="GIZ"/>
        <s v="ACF"/>
        <s v="OXSI (Oxfam)"/>
        <s v="OXSI(Oxfam), MA_UK"/>
        <s v="DRC"/>
        <s v="RI"/>
        <s v="CDN"/>
        <s v="Malteser"/>
        <s v="Others"/>
        <s v="MRCS,others"/>
        <s v="MRCS, PLAN, RI,Others"/>
        <s v="MRCS, PLAN, RI"/>
        <s v="MRCS"/>
        <s v="MRCS,Others,ACF"/>
        <s v="MRCS, ACF"/>
        <s v="UNICEF,Others"/>
        <s v="MRCS, Others"/>
        <s v="UNICEF/ UNHCR/UNFPA"/>
        <s v="CARE"/>
        <s v="CARE,Others"/>
        <s v="Others/ WVI"/>
        <s v="Others,MRCS"/>
        <s v="SCI, Metta"/>
        <s v="HPA"/>
        <s v="KMSS, Metta"/>
        <s v="KMSS,Metta"/>
        <m u="1"/>
        <s v="MRCS,Others/ WVI" u="1"/>
        <s v="SCI,Metta" u="1"/>
        <s v="MRCS,ACF" u="1"/>
      </sharedItems>
    </cacheField>
    <cacheField name="Primary Donor covering WASH activities at site " numFmtId="0">
      <sharedItems containsBlank="1"/>
    </cacheField>
    <cacheField name="State" numFmtId="0">
      <sharedItems containsBlank="1" count="6">
        <s v="Kachin"/>
        <s v="Central Rakhine"/>
        <s v="Northern Rakhine"/>
        <s v="Shan (North)"/>
        <m u="1"/>
        <s v="Rakhine" u="1"/>
      </sharedItems>
    </cacheField>
    <cacheField name="Township" numFmtId="0">
      <sharedItems containsBlank="1" count="42">
        <s v="Bhamo"/>
        <s v="Momauk"/>
        <s v="Waingmaw"/>
        <s v="Myitkyina"/>
        <s v="Shwegu"/>
        <s v="Chipwi"/>
        <s v="Hpakant"/>
        <s v="Mogaung"/>
        <s v="Mohnyin"/>
        <s v="Mansi"/>
        <s v="Puta-O"/>
        <s v="Sumprabum"/>
        <s v="Tanai"/>
        <s v="Pauktaw"/>
        <s v="Buthidaung"/>
        <s v="Maungdaw"/>
        <s v="Kyauktaw"/>
        <s v="Kyaukpyu"/>
        <s v="Sittwe"/>
        <s v="Minbya"/>
        <s v="Myebon"/>
        <s v="Rathedaung"/>
        <s v="Mrauk-U"/>
        <s v="Ponnagyun"/>
        <s v="Kutkai"/>
        <s v="Muse"/>
        <s v="Namtu"/>
        <s v="Hsipaw"/>
        <s v="Manton"/>
        <s v="Namhkan"/>
        <s v="Hseni"/>
        <s v="Laukkaing (Kokang SAZ)"/>
        <s v="Lashio"/>
        <s v="Nawnghkio"/>
        <m u="1"/>
        <s v="Mohyin" u="1"/>
        <s v="Pangsang" u="1"/>
        <s v="Ann" u="1"/>
        <s v="Namatee" u="1"/>
        <s v="Buthidaung " u="1"/>
        <s v="Mai Ja Yang " u="1"/>
        <s v="Ramree" u="1"/>
      </sharedItems>
    </cacheField>
    <cacheField name="Location Type" numFmtId="0">
      <sharedItems count="10">
        <s v="Camp_not registered"/>
        <s v="Camp"/>
        <s v="Village"/>
        <s v="New Temporary Site"/>
        <s v="Village_Not HRP"/>
        <s v="Town_New_Displaced" u="1"/>
        <s v="Town" u="1"/>
        <e v="#N/A" u="1"/>
        <s v="Village_New_Displaced" u="1"/>
        <s v="New Site" u="1"/>
      </sharedItems>
    </cacheField>
    <cacheField name="Site Name" numFmtId="0">
      <sharedItems containsBlank="1" count="981">
        <s v="AD-2000 Extension camp"/>
        <s v="AD-2000 Tharthana Compound"/>
        <s v="Agritural Compound (KBC)"/>
        <s v="Bhamo_Host Families"/>
        <s v="Aung Thar Church"/>
        <s v="Border Post 8"/>
        <s v="Ban Dang"/>
        <s v="Htoi San Church"/>
        <s v="IDP Boarding School, A Len Bum"/>
        <s v="Dum Bung "/>
        <s v="Da Wei"/>
        <s v="Loi Je Baptist Church"/>
        <s v="Kachin Su Baptist Church (ECCD)"/>
        <s v="Chipwi KBC camp"/>
        <s v="Du Kahtawng Baptist"/>
        <s v="Lhaovao Baptist Church (LBC)"/>
        <s v="5 Ward RC Church(lon Khin)"/>
        <s v="Hpun Lum Yang "/>
        <s v="Jan Mai Kawng Catholic Church"/>
        <s v="AG Church, Hmaw Si Sa"/>
        <s v="AG Church, Maw Wan"/>
        <s v="Baptist Church, Hmaw Si Sar(Lon Khin)"/>
        <s v="Chin Church, Seik Mu"/>
        <s v="Dhama Rakhita, Nyein Chan Tar Yar Ward(Lon Khin)"/>
        <s v="Hkau Shau (BP 12)"/>
        <s v="Hmaw Wan, Anglican"/>
        <s v="Hpakant Baptist Church, Nam Ma Hpit"/>
        <s v="Hlaing Naung Baptist"/>
        <s v="Ka Bu Dam CoC"/>
        <s v="Lawng Hkang Shait Yang Camp​ ( Lel Pyin)​ "/>
        <s v="Lisu Baptist Church, Maw Shan Vil,. Seik Mu"/>
        <s v="Lisu Baptist Church, Maw Wan Ward"/>
        <s v="Emmanuel AG Church"/>
        <s v="Maw Wan, Mu-yin Baptist Church"/>
        <s v="Muyin church (Aung Yar pre-school compound)"/>
        <s v="Nam Ma Phyit, COC"/>
        <s v="Karmaing RC Church"/>
        <s v="Rawan Baptist Church, Maw Shan Vil., Seik Mu"/>
        <s v="Hpare Hkyer - BP6"/>
        <s v="Htai Ra Yang"/>
        <s v="Lan Gwa St.Paul RC Church"/>
        <s v="Ward 2 Sai Taung Baptist Church, Seik Mu "/>
        <s v="Yumar Baptist Church"/>
        <s v="Bum Tsit Pa"/>
        <s v="Lana Zup Ja"/>
        <s v="Jan Mai Kawng Baptist Church"/>
        <s v="Lawa RC Church"/>
        <s v="Man Wing Baptist Church"/>
        <s v="Man Wing Baptist Church Cultural Compound"/>
        <s v="Man Wing Catholic Church"/>
        <s v="Man Wing Catholic Church II"/>
        <s v="Man Wing Host Families"/>
        <s v="Khar Nan (1) Baptist Church"/>
        <s v="Mansi_Host Families"/>
        <s v="Lone Khin Catholic Church"/>
        <s v="Jaw Masat Camp"/>
        <s v="Je Yang Hka "/>
        <s v="Kyun Pin Thar Baptist Church"/>
        <s v="Maina Catholic Church (St. Joseph)"/>
        <s v="Maing Khaung Catholic Church"/>
        <s v="Kyun Taw Baptist Church "/>
        <s v="Laiza Je Yang School"/>
        <s v="Lawt Awng"/>
        <s v="Le Kone Bethlehem Church"/>
        <s v="Hopin Host Families"/>
        <s v="Le Kone Ziun Baptist Church "/>
        <s v="Moenyin Host Families"/>
        <s v="Lung Sut"/>
        <s v="Myo Oo St. Dominic RC Church"/>
        <s v="Lisu Boarding-House"/>
        <s v="Nan Kway St. John Catholic Church"/>
        <s v="Man Bung Catholic compound"/>
        <s v="Loi Je Catholic Church"/>
        <s v="Mandalay Monestry"/>
        <s v="Mansi Baptist Church"/>
        <s v="Khun Sint Village"/>
        <s v="Loi Je Lisu Camp"/>
        <s v="Lwegel High School"/>
        <s v="Man Bung Edin Baptist Church"/>
        <s v="Nyaung Na Pin "/>
        <s v="Phan Khar Kone"/>
        <s v="Momauk Baptist Church"/>
        <s v="Robert Church"/>
        <s v="Mu-yin Baptist Church"/>
        <s v="Nant Hlaing Church"/>
        <s v="Momauk_Host Families"/>
        <s v="Myo Thit "/>
        <s v="Nhkawng Pa "/>
        <s v="Robert -Middle school"/>
        <s v="Pa Kahtawng "/>
        <s v="Seng Ja "/>
        <s v="Ma Hawng Baptist Church"/>
        <s v="Mading Baptist Church"/>
        <s v="Maga Yang "/>
        <s v="Nant Ma Hpit Catholic Church"/>
        <s v="Maina KBC (Bawng Ring)"/>
        <s v="Pa Dauk Myaing(Pa La Na)"/>
        <s v="Maina Lawang Baptist Church"/>
        <s v="Lawk Awng Mare D. (Sinbo Area)"/>
        <s v="Maing Khaung"/>
        <s v="Maliyang Baptist Church"/>
        <s v="Man Hkring Baptist Church"/>
        <s v="Momauk IDP new Extension camp_x000a_(Alen Kawng Lawk)"/>
        <s v="Namatee AG"/>
        <s v="Maw Hpawng Hka Nan Baptist Church"/>
        <s v="Maw Hpawng Lhaovo Baptist Church"/>
        <s v="Pan Wa"/>
        <s v="Namti Labraw Yang KBC Camp"/>
        <s v="Post 6 Camp"/>
        <s v="Pa Dauk Myaing(Pa La Na)-II"/>
        <s v="Nat Gyi Kone Baptist Church "/>
        <s v="Shatapru Thida Aye Baptist Church"/>
        <s v="Nawng Ing (Indawgyi) Baptist Church "/>
        <s v="Ndup Yang"/>
        <s v="Tat Kone COC Baptist - Tat Kone Htoi San"/>
        <s v="Tat Kone Emanuel Church"/>
        <s v="Njang Dung Baptist Church "/>
        <s v="Pajau - Jan Mai"/>
        <s v="Pang Hkawn Yang"/>
        <s v="Qtr. 2 Myoma Baptist Church"/>
        <s v="Inn Lel Yan - Host Families"/>
        <s v="Salang Yang"/>
        <s v="Tote Tan Ward"/>
        <s v="Sar Hmaw - KBC"/>
        <s v="Sha-It Yang"/>
        <s v="Shwe Gu Baptist Church"/>
        <s v="Shwe Gu Catholic Church"/>
        <s v="Shar Du Zut KBC church "/>
        <s v="Shar Du Zut SanPya"/>
        <s v="Shatapru Sut Ngai Tawng"/>
        <s v="Hka Garan Yang "/>
        <s v="Sumprabum"/>
        <s v="Saw Zam"/>
        <s v="Shing Jai"/>
        <s v="St. Joseph Tanai RC camp "/>
        <s v="Sin Bo"/>
        <s v="Hka Shi"/>
        <s v="Hkat Cho "/>
        <s v="Shwe Zet Baptist Church"/>
        <s v="St. Patrick Catholic Church "/>
        <s v="Sut Chyai"/>
        <s v="Woi Chyai "/>
        <s v="Maina AG Church"/>
        <s v="Tanai CoC"/>
        <s v="Tat Kone Baptist Church"/>
        <s v="Tat Kone Galile Baptist Church"/>
        <s v="Nawng Hee Village"/>
        <s v="Tat Kone San Pya Baptist Church"/>
        <s v="Tanai KBC Camp"/>
        <s v="Qtr. 2 Lhaovo Baptist Church"/>
        <s v="Ti Yang Zup"/>
        <s v="Qtr. 3 Mu-yin  Baptist Church"/>
        <s v="Sadung"/>
        <s v="Trinity Camp"/>
        <s v="Waimaw Baptist Zonal Office 2"/>
        <s v="Thargaya Lisu Baptist Church"/>
        <s v="Zupra"/>
        <s v="Waingmaw AG Church"/>
        <s v="Woi Chyai (Mong Lai)"/>
        <s v="Woi Chyai host families"/>
        <s v="Yoe Kyi Monastery"/>
        <s v="Gyin Chaung"/>
        <s v="Ah Nauk Ywe"/>
        <s v="Ku Lar Te"/>
        <s v="Ku Lar Thein"/>
        <s v="Ah Twin Hnget Thay"/>
        <s v="Baw Li (Muslim)"/>
        <s v="Baw Li (Rakhine)"/>
        <s v="Gone Nar"/>
        <s v="Gwa Sone (Muslim)"/>
        <s v="Gwa Sone (Rakhine)"/>
        <s v="Htan Shauk Khan"/>
        <s v="Kin Chaung"/>
        <s v=" Zay Ywar "/>
        <s v="Kyauk Yit (Rakhine)"/>
        <s v="Na Nwin Ku"/>
        <s v="Pyar Pin Yin"/>
        <s v="Sha Kay Ywa"/>
        <s v="Shat Shar Taung"/>
        <s v="Tha Bauk Chaung"/>
        <s v="Tha Yet Pyin (Rakhine)"/>
        <s v="Than Chay (Rakhine)"/>
        <s v="Thay Kan (Muslim)"/>
        <s v="Thay Kan (Rakhine)"/>
        <s v="Ward (1)"/>
        <s v="Aung Thar Yar"/>
        <s v="Aung Zay Ya"/>
        <s v="Shwe Baho"/>
        <s v="Wai Thar Li"/>
        <s v="Shwe Yin Aye (NaTaLa)"/>
        <s v="Ar Kya"/>
        <s v="Ka Yin"/>
        <s v="Ka Nyin Taw"/>
        <s v="Nyaung Chaung"/>
        <s v="Paung Zar"/>
        <s v="Kyu Taw Chaing"/>
        <s v="Na Htoe Pyin"/>
        <s v="Sin Aing"/>
        <s v="Sin Tet Maw"/>
        <s v="Sin Tet Maw (Host)"/>
        <s v="Sin Tet Maw Rakhine(Baw Da Li)"/>
        <s v="Thit Pok Chaung"/>
        <s v="Wa  Lan"/>
        <s v="Wa Lan Kone"/>
        <s v="Yae Hnyin Chaung"/>
        <s v="NiDin"/>
        <s v="Hpa Yar Pyin Thein Tan"/>
        <s v="Ah Lel Chaung"/>
        <s v="Zay Di Taung"/>
        <s v="Hpon Nyo Leik"/>
        <s v="Kin Taung"/>
        <s v="Say Taung"/>
        <s v="Aung Tha Pyay"/>
        <s v="Yae Nauk Ngar Thar"/>
        <s v="Zaw Ma Tat"/>
        <s v="Kyauk Ta Lone"/>
        <s v="Pyin Hpyu Maw"/>
        <s v="Kar Hpi Chaung"/>
        <s v="U Gar Hton"/>
        <s v="Ma La Kyun"/>
        <s v="Dway Cha"/>
        <s v="Basare"/>
        <s v="Baw Du Pha 1"/>
        <s v="YinYeKan"/>
        <s v="OhnHnanChaung"/>
        <s v="ThonePetChaing"/>
        <s v="MiGyaungTet"/>
        <s v="KaLarChaung"/>
        <s v="PyunTo"/>
        <s v="Sar Pyin"/>
        <s v="Nga Khu Chaung"/>
        <s v="Tha Yet Cho"/>
        <s v="Tha Yet"/>
        <s v="NgweTwinDway"/>
        <s v="NgaWetSway"/>
        <s v="HlaKhaing"/>
        <s v="MinPauk"/>
        <s v="Pyein Chaung (ngwe Twin Dway tract)"/>
        <s v="Chaung New Min Gan"/>
        <s v="Kan Pyin Ywa Haung"/>
        <s v="Kan Pyin Ywar Thit"/>
        <s v="Thone Saung"/>
        <s v="Kyauk Tan Gyi"/>
        <s v="Kyauk Tan Chay"/>
        <s v="Kyar Ma Thauk"/>
        <s v="Thein Tan"/>
        <s v="Kyan Taw"/>
        <s v="Say Tha Mar Gyi village"/>
        <s v="Baw Du Pha Village"/>
        <s v="Zaw Pu Gyar"/>
        <s v="Done Pyin (North)"/>
        <s v="Done Pyin (South)"/>
        <s v="Maung Ni Pyin"/>
        <s v="Pyar Lay Chaung Ywar Haung"/>
        <s v="Thin Pone Tan"/>
        <s v="Yae Chan Pyin"/>
        <s v="Ohn Ye Paw"/>
        <s v="Kyet Taw Pyin"/>
        <s v="Kha Tin Paik"/>
        <s v="Pyin Shey Ku lar"/>
        <s v="Ywar Thar Yar"/>
        <s v="Ohn Taw Gyi"/>
        <s v="Bu May Ohn Daw Chay"/>
        <s v="Dar Paing Ywar Haung"/>
        <s v="Dar Paing Ywar Thit"/>
        <s v="Sa Ma Nya Village"/>
        <s v="San Htoe Tan"/>
        <s v="Koe Saung (1) village"/>
        <s v="Hla May Shwe"/>
        <s v="Thet Kay Pyin"/>
        <s v="Shwe Zin Khin (Ku Lar)"/>
        <s v="Kyan Taik"/>
        <s v="Sat Yon Maw (Rakhine)"/>
        <s v="Ann Thar"/>
        <s v="Naw Naw(Rakhine)"/>
        <s v="Naw Naw(Ku Lar)"/>
        <s v="Ah Pyin Done Chaung"/>
        <s v="Thin Ga Zar"/>
        <s v="Than Shin Ywar Thit"/>
        <s v="Tan Seik"/>
        <s v="Sat Kyar"/>
        <s v="Let Taw Ri"/>
        <s v="Har Ra Paing"/>
        <s v="Kan Hpay"/>
        <s v="Thin Khaung Maw"/>
        <s v="Beik Taung"/>
        <s v="Sa Par Htar"/>
        <s v="Aung Taing"/>
        <s v="Taw Tan"/>
        <s v="Sin Seik"/>
        <s v="Ta Khun Taing"/>
        <s v="Done Thar"/>
        <s v="War Taung"/>
        <s v="Athay Kar La"/>
        <s v="Myin Kan Seik"/>
        <s v="Chaik Taung"/>
        <s v="Thar Dar"/>
        <s v="Shwe Zin Khin (Rakhine)"/>
        <s v="Seik Ta Ra"/>
        <s v="Gwa Sone Chin"/>
        <s v="Taung Poke Kay"/>
        <s v="Shwe Zin Yaw"/>
        <s v="Pale Taung"/>
        <s v="Baw Du Pha 2"/>
        <s v="Dar Pai"/>
        <s v="Dar Pai (IDP in host families)"/>
        <s v="Baw Du Pha Village (IDP in host families)"/>
        <s v="Khaung Doke Khar 1"/>
        <s v="Khaung Doke Khar 2 (Hmanzi)"/>
        <s v="Maw Ti Ngar"/>
        <s v="Ohn Taw Chay"/>
        <s v="Ohn Taw Gyi (North)"/>
        <s v="Ohn Taw Gyi (South)"/>
        <s v="Thea Chaung Let Tha Mar Kone"/>
        <s v="Phwe Yar Kone (Say Tha Mar Gyi)"/>
        <s v="Sat Roe Kya 1"/>
        <s v="Sat Roe Kya 2"/>
        <s v="Say Tha Mar Gyi"/>
        <s v="Say Tha Mar Nge"/>
        <s v="Set Yone Su 1"/>
        <s v="Set Yone Su 3 (Mingan)"/>
        <s v="Thae Chaung"/>
        <s v="Thae Chaung(Rakhine)"/>
        <s v="Thea Chaung Ku Lar"/>
        <s v="Thin Ga Net"/>
        <s v="Thet Kae Pyin "/>
        <s v="Thet Kae Pyin Village (IDPs in host family)"/>
        <s v="Thet Kay Pyin Ywar Ma"/>
        <s v="Taung Paw"/>
        <s v="Kan Thar Htwat Wa"/>
        <s v="Kyein Ni Pyin"/>
        <s v="Ah Nauk Ye Ku Lar"/>
        <s v="Nget Chaung 1"/>
        <s v="Nget Chaung 2"/>
        <s v="Yar Taik"/>
        <s v="Thone Gwa"/>
        <s v="Taung Htaung Hayar_Wa Lar Kan (Ku Lar)"/>
        <s v="Pi Htu_Wa Lar Kan"/>
        <s v="Taung Htaung Ha Yar"/>
        <s v="Taung Htaung"/>
        <s v="Pyaing Chaung"/>
        <s v="Pin Zaing"/>
        <s v="Kyar Nyo Inn"/>
        <s v="Tha Yet Oke Ywar Haung"/>
        <s v="Tha Yet Oke Ywar Thit"/>
        <s v="Shauk Chaung"/>
        <s v="Palae' Kaine"/>
        <s v="Ngar Yauk Kaing"/>
        <s v="Kyauk Se"/>
        <s v="Hla Nyo Kan"/>
        <s v="Ah Htet Gar Pu"/>
        <s v="Gar Pu (Lower)"/>
        <s v="Pyaung Seik"/>
        <s v="Oke Taung Pyin"/>
        <s v="Nga Ta Paung"/>
        <s v="Nay Pu Khan"/>
        <s v="Min Thar Seik"/>
        <s v="In Bar Yi"/>
        <s v="Doke Kan Chaung"/>
        <s v="Kar Di Ha Yar"/>
        <s v="Kar Di (Middle)"/>
        <s v="Pyar"/>
        <s v="Yun Nyar"/>
        <s v="Ngar Saung Bet"/>
        <s v="San Thar Pyin"/>
        <s v="Sabei Hla"/>
        <s v="Pon Nar"/>
        <s v="Ah Pauk Wa"/>
        <s v="Goke Pi Htaunt"/>
        <s v="Khaung Htoke"/>
        <s v="Let Saung Kauk"/>
        <s v="Shwe Hlaing"/>
        <s v="Kyet Yoe Pyin (Ywa Ma)"/>
        <s v="Ta Man Thar (Thar Zay)_(Myo)"/>
        <s v="Thar Yar Kone (Rakhine)"/>
        <s v="Thin Baw Hla (Rakhine) (Thar Yar Gone)"/>
        <s v="Tha Dar"/>
        <s v="Ah Nauk Pyin"/>
        <s v="Nyaung Pin Gyi (Ku Lar)"/>
        <s v="Auk Thar Kan"/>
        <s v="Aung Tat Ward (Aung Mingalar Monastery)"/>
        <s v="Aung Tat Ward (Aung Zaydi Hpayar Thin)"/>
        <s v="Aung Tat Ward (Dein Kyi Monastery)"/>
        <s v="Aung Tat Ward (Myo Thit Monastery)"/>
        <s v="Aung Tat Ward (Naratsar Hpayar Thin)"/>
        <s v="Chaung Thit Monastery"/>
        <s v="Gwa Sone Rakhine"/>
        <s v="Htan Ma Rit (Kwet Thit)"/>
        <s v="Kyauk Reik Kay Monastery"/>
        <s v="Let Kauk Zay Monastery"/>
        <s v="Mya Ta Saung Monastery"/>
        <s v="Myet Yeik Kyun Monastery"/>
        <s v="Nyaung Bin Hla Village"/>
        <s v="Payar Por Thain Taw Gyi Monastery"/>
        <s v="Phayapaw Phayathein"/>
        <s v="Pi Pin Yin Monastery"/>
        <s v="Mra_Zay Di Taung"/>
        <s v="Shaw Me (primary school)"/>
        <s v="Shit Thaung Monastery"/>
        <s v="Shwe Taung Monastery"/>
        <s v="Sin Kae (High School)"/>
        <s v="Sin Khing Baw (Primary School)"/>
        <s v="Taung Myint"/>
        <s v="Tein Nyo"/>
        <s v="Thin Pan Kaing"/>
        <s v="Thu Yiya Yaung Chi Monastery"/>
        <s v="Tin Htein Kan Monastery"/>
        <s v="Tin Nyo (Primary school)"/>
        <s v="Tin Nyo Thit Monastery"/>
        <s v="Wet Hla Middle School"/>
        <s v="Ywar Thit Kay Monastery"/>
        <s v="Pan Myaung (Aung Mingalar Monastery)"/>
        <s v="Kyun Taw"/>
        <s v="Mya Yaike Kyun"/>
        <s v="Ywar Thit Monastery/Pan Myaung"/>
        <s v="Gye Kyaung"/>
        <s v="Win Zar"/>
        <s v="Ah Htet Myat Hle"/>
        <s v="Ah Htet Thin Pone Tan"/>
        <s v="Auk Myat Hle"/>
        <s v="Auk Thin Pone Than/ Phar Kywe"/>
        <s v="Ban Bwee"/>
        <s v="Be Kho"/>
        <s v="Hpar Kywe Wa"/>
        <s v="Kun Taung"/>
        <s v="Yoe Ta Yoke"/>
        <s v="Let Wea Myan"/>
        <s v="Nga/Pyauk Se"/>
        <s v="Sin Thi Pein Hne Taw"/>
        <s v="Taung Yin"/>
        <s v="Taung Yin School Compound"/>
        <s v="KAT_Nyaung Chaung"/>
        <s v="Nga Sin Rine Kine Primary School"/>
        <s v="Tha Lu Chaung"/>
        <s v="War Taung Camp"/>
        <s v="Kan Sauk"/>
        <s v="Taung Min Ku Lar"/>
        <s v="Hnget Pyaw Chaung"/>
        <s v="Doke Kan Chaung Monastery"/>
        <s v="Myo Thit Ward"/>
        <s v="Paik Thei Ward"/>
        <s v="Bo Min Monastery"/>
        <s v="Aung Zay Ya Monastery"/>
        <s v="Ba Ra War Monastery"/>
        <s v="Kyar Nin Kan Monastery"/>
        <s v="Zin Khar Chay Monastery"/>
        <s v="BUT_Sa Par Htar"/>
        <s v="Kyar Nyo Pyin"/>
        <s v="Kyauk Yant (Rakhine)"/>
        <s v="Min Hla Kaing"/>
        <s v="Nga Pha Yone"/>
        <s v="Say Oe Kya ( Host+ Displaced)"/>
        <s v="Shwe Thee "/>
        <s v="Thay Kan Gwa Sone ( Host)"/>
        <s v="Wah Net Yone "/>
        <s v="Zay Di Taung  ( Host + Displaced)"/>
        <s v="Oke Hpo (Oe Hpauk)"/>
        <s v="RAT_Zay Di Pyin"/>
        <s v="Yet Khone Taing"/>
        <s v="Zee Khaung"/>
        <s v="Yay Myet"/>
        <s v="Hpet Leik"/>
        <s v="Aung Zay Kone"/>
        <s v="Ah Shey (North) Ward"/>
        <s v="Pe Tha Du"/>
        <s v="Tha Mee Hla"/>
        <s v="Ray Zar Chaung"/>
        <s v="Sin Khone Taing"/>
        <s v="Gan Kya"/>
        <s v="Ba Wan Chaung Wa Su Ward / Monastery"/>
        <s v="Sin Baw Kaing (School)"/>
        <s v="Sin Baw Kaing (Monastery)"/>
        <s v="Bar Ri Zar"/>
        <s v="Done Thein"/>
        <s v="Kyar Nyo Pyin (Muslim)"/>
        <s v="Ywa Thit"/>
        <s v="Ywa Haung"/>
        <s v="Inn Hpauk"/>
        <s v="Ka Doe Seik"/>
        <s v="Nan Yah Gone Ahtet"/>
        <s v="Zay Di Taung (Rakhine)"/>
        <s v="Teik Tu Pauk"/>
        <s v="San Go Taung"/>
        <s v="Nwar Yone Taung"/>
        <s v="Thein Tan (Ku Lar)"/>
        <s v="Thein Tan (Rakhine)"/>
        <s v="Chan Pyin"/>
        <s v="Sa Bai Pin Yin"/>
        <s v="Kyauk Hlay Kar"/>
        <s v="Thar Zay Kone (Thar Zi Kone)"/>
        <s v="Ngwe Taung"/>
        <s v="Kan Thar Yar"/>
        <s v="Shwe Baho+Sein P M"/>
        <s v="Tat U Chaung (West)"/>
        <s v="Galeng (Palaung) &amp; Kone Khem"/>
        <s v="Hpai Kawng"/>
        <s v="Hpai Kawng Mare"/>
        <s v="Hu Hku &amp; Ho Hko"/>
        <s v="Kone Khem Camp"/>
        <s v="Kutkai downtown (KBC Church)"/>
        <s v="Kutkai downtown (KBC Church-2)"/>
        <s v="Kutkai downtown (RC Church)"/>
        <s v="Kyu Sot"/>
        <s v="Lisu Baptist Church"/>
        <s v="Lisu Church Namtu"/>
        <s v="Mai Yu Lay New (Ta'ang)"/>
        <s v="Man Kaung/Naung Ti Kyar Village"/>
        <s v="Man Loi"/>
        <s v="Mandung - Jinghpaw"/>
        <s v="Mandung - RC"/>
        <s v="Mine Yu Lay village ( Old)"/>
        <s v="Mong Wee Shan"/>
        <s v="Mung Hawm "/>
        <s v="Mungji Pa Dabang (Baptist Church)"/>
        <s v="Mungji Pa Dabang (Catholic Church)"/>
        <s v="Muse Baptist Church"/>
        <s v="Muse Catholic Church"/>
        <s v="Nam Hkam - Nay Win Ni (Palawng)"/>
        <s v="Nam Hkam (KBC Jaw Wang)"/>
        <s v="Nam Hkam (KBC Jaw Wang) II"/>
        <s v="Nam Hkam Catholic Church ( St. Thomas I)"/>
        <s v="Nam Hpak Ka Mare "/>
        <s v="Nam Hpak Ka Ta'ang ( Aung Tha Pyay)"/>
        <s v="Nam Sa Larp"/>
        <s v="Nam Tu Baptist"/>
        <s v="Namhkan - Pang Long KBC"/>
        <s v="New Pang Ku "/>
        <s v="Pan Law"/>
        <s v="Pan Ta Pyae"/>
        <s v="Tsan Lun - Namjarap"/>
        <s v="Zup Aung Camp"/>
        <s v="Sasana 2500 monastery"/>
        <s v="Boe Taw monastery"/>
        <s v="Man Li"/>
        <s v="Htang Nya "/>
        <s v="Ci He village"/>
        <s v="Enai (Man Pyein)"/>
        <s v="Lian Bang village"/>
        <s v="Lian He village"/>
        <s v="Mee Pho Kone"/>
        <s v="New Man Jiu village"/>
        <m u="1"/>
        <s v="Ramree Town" u="1"/>
        <s v="Tanai KBC Church " u="1"/>
        <s v="Gyit Chaung" u="1"/>
        <s v="Let Than Chi (Ywar Thit)" u="1"/>
        <s v="Taw Kan" u="1"/>
        <s v="Sa Pe Kong A Nauk Ywa" u="1"/>
        <s v="Dar Let (South)" u="1"/>
        <s v="Mang Hawng Baptist Church" u="1"/>
        <s v="Pyu Chaing" u="1"/>
        <s v="Hindu" u="1"/>
        <s v="Cheit Taung" u="1"/>
        <s v="Thein Taung pyin (Dine Net)" u="1"/>
        <s v="Tha Yet Taung" u="1"/>
        <s v="Ywa Gyi (Tha Yet Kin Ma Nu)" u="1"/>
        <s v="Hpaung Taw Pyin" u="1"/>
        <s v="Ba laung Chaung" u="1"/>
        <s v="Maw Htet" u="1"/>
        <s v="Lambraw Yang KBC, Namatee" u="1"/>
        <s v="Pyeing Chaung" u="1"/>
        <s v="Dar Shey" u="1"/>
        <s v="Chi Laing Hpin" u="1"/>
        <s v="Let Wea Det Pyin Shey" u="1"/>
        <s v="Dar Paing Village" u="1"/>
        <s v="Let Than Chi (Haung)" u="1"/>
        <s v="Godzilla (Hteik Tu Pauk Myauk)" u="1"/>
        <s v="Mingalar on" u="1"/>
        <s v="Zedi Pyin" u="1"/>
        <s v="Zin Kha Mar" u="1"/>
        <s v="Kyone Pyin" u="1"/>
        <s v="Mardilla" u="1"/>
        <s v="Thar Yar Kone (M)" u="1"/>
        <s v="Lu Fan Pyin" u="1"/>
        <s v="Taik Maw" u="1"/>
        <s v="Kha Tin Pike Gyi" u="1"/>
        <s v="Kyee Kan Pyin ( Temoprary Tent)" u="1"/>
        <s v="Muslim (Aley Ywa)" u="1"/>
        <s v="Kar Di" u="1"/>
        <s v="Ohn Chaung" u="1"/>
        <s v="Langui" u="1"/>
        <s v="Kat Pa Kaung" u="1"/>
        <s v="Inn Chaung (Muslim)" u="1"/>
        <s v="Nyaung Pin Gyi (Rakhine)" u="1"/>
        <s v="War Bo" u="1"/>
        <s v="Nant Yar Gaing (Nant Yar Gaing)" u="1"/>
        <s v="Set Yone Su 3" u="1"/>
        <s v="Qtr. 4 Monestry (Thargaya Thayett Taw)" u="1"/>
        <s v="Laung Don (Myo)" u="1"/>
        <s v="Koe Tan Kauk" u="1"/>
        <s v="Naw Wai" u="1"/>
        <s v="Trinity KBC Church" u="1"/>
        <s v="U Htoe Dan " u="1"/>
        <s v="Shwe Zar (Middle)" u="1"/>
        <s v="Kwayt Shey Ywar Thit_x000a_(Kwayt Shay)" u="1"/>
        <s v="6-Miles" u="1"/>
        <s v="Maw Staw Bis" u="1"/>
        <s v="Ywa thit Kay" u="1"/>
        <s v="Ah Htet Nan Yar" u="1"/>
        <s v="Ah Lel Mu" u="1"/>
        <s v="Wa Taung Camp" u="1"/>
        <s v="Lun Kyaw" u="1"/>
        <s v="Kun Thee Pin" u="1"/>
        <s v="Mei Za Li Kaing" u="1"/>
        <s v="Maw" u="1"/>
        <s v="Ah Nauk" u="1"/>
        <s v="Kyaung Taung" u="1"/>
        <s v="Mi Chaung Yae Thauk" u="1"/>
        <s v="Lone Tin" u="1"/>
        <s v="Tat Oo Anauk" u="1"/>
        <s v="Thit Tone Na Gwa Sone (Ywa Ma)" u="1"/>
        <s v="Ramree Ward 6" u="1"/>
        <s v="Wa Hmyaung" u="1"/>
        <s v="Kyauk Ka Lay" u="1"/>
        <s v="Mi Nyo Htaunt_Thar Si" u="1"/>
        <s v="Thit Ka Toe" u="1"/>
        <s v="Nga San Baw (Moke Soe Chaung) (Ywar Haung)" u="1"/>
        <s v="Ni Lin Paw" u="1"/>
        <s v="Rakhine Ywa" u="1"/>
        <s v="Hta Ma Rit (Kwet Thit)" u="1"/>
        <s v="Aung Pa" u="1"/>
        <s v="Faw Tay Ali " u="1"/>
        <s v="Ah Du" u="1"/>
        <s v="Kan Pyi Tha Zi" u="1"/>
        <s v="Ta Man Thar Ah Nauk (Rakhine)" u="1"/>
        <s v="Nur Ru Lar" u="1"/>
        <s v="Ma Ji Bum" u="1"/>
        <s v="Ngan Chaung_Gone Nar" u="1"/>
        <s v="Kyauk Yan (Rakhine)" u="1"/>
        <s v="Nga/ Pun Ywar Shey" u="1"/>
        <s v="Inn Din (Rakhine)" u="1"/>
        <s v="Chin Ywa(Pyaing Taung)" u="1"/>
        <s v="Ba Da Nar" u="1"/>
        <s v="Kon Tan (U Daung Ah Nauk)" u="1"/>
        <s v="Thein Taung pyin (Muslim)" u="1"/>
        <s v="Kyauk Pan Du (NTL)" u="1"/>
        <s v="Nat Maw (Upper)" u="1"/>
        <s v="Palay Taung Ywa Thit" u="1"/>
        <s v="Ahr Kar Taung" u="1"/>
        <s v="Min Gyi (Tu Lar Tu Li)" u="1"/>
        <s v="Dar Peit" u="1"/>
        <s v="Nam Hpak Ka Ta'ang" u="1"/>
        <s v="Phyar Pyin" u="1"/>
        <s v="La Mu Ta Pin" u="1"/>
        <s v="Kan Pyin" u="1"/>
        <s v="Thi Ho Kyun Tha Dar ( Myo/ Temporary)" u="1"/>
        <s v="Maung Ni" u="1"/>
        <s v="Kyauk Yit Muslim" u="1"/>
        <s v="Kan Ni" u="1"/>
        <s v="DPA" u="1"/>
        <s v="Shwe Zar (North)" u="1"/>
        <s v="Mai Yu Lay Ta'ang" u="1"/>
        <s v="Ywar Gyi (Middle)" u="1"/>
        <s v="Ywar Haung Ah Htet" u="1"/>
        <s v="Me la zi Kone" u="1"/>
        <s v="Bomu Ywa" u="1"/>
        <s v="Ngar Sar Kyu" u="1"/>
        <s v="Ashit Ywa_M" u="1"/>
        <s v="Bar Sa Yar Host" u="1"/>
        <s v="Thein Tan (Muslim)" u="1"/>
        <s v="Kha Yay Myaing (NaTaLa)" u="1"/>
        <s v="Nyaung Pin Hla" u="1"/>
        <s v="Wai Thar Le" u="1"/>
        <s v="Win Su" u="1"/>
        <s v="Thu U Lar" u="1"/>
        <s v="Aung Daing " u="1"/>
        <s v="Kauk Kyit" u="1"/>
        <s v="Ashit Ywa_R" u="1"/>
        <s v="Rakhine Ywa_R" u="1"/>
        <s v="Pa Da Kar Ywar Thit" u="1"/>
        <s v="Inn Chaung (Daing Net)" u="1"/>
        <s v="Kywi Te" u="1"/>
        <s v="Mee Taik" u="1"/>
        <s v="Chin Ywar Min Pyin" u="1"/>
        <s v="Zee kone Tan (or) Kon Tan Zay" u="1"/>
        <s v="Chin Pyin" u="1"/>
        <s v="Ohn Taw Shey" u="1"/>
        <s v="Zaw Pu Gyer" u="1"/>
        <s v="Sapar Seik (Shari)" u="1"/>
        <s v="Ah Bu Gyar" u="1"/>
        <s v="Shwe Zar (west)" u="1"/>
        <s v="Pyaing Taung" u="1"/>
        <s v="Myauk Ywa" u="1"/>
        <s v="Mi Nyo Htaunt" u="1"/>
        <s v="Kyauk Yit RK" u="1"/>
        <s v="Lambraw Yang Rc, Namatee" u="1"/>
        <s v="Sin Oe" u="1"/>
        <s v="Ah Lar Than" u="1"/>
        <s v="Honsara (Zaw Ma Tat)" u="1"/>
        <s v="Hpar Wut Chaung" u="1"/>
        <s v="Tanai RC Church - Kinsa Ra " u="1"/>
        <s v="Yai Mya" u="1"/>
        <s v="Let Wea Det Pyin Shey_Ywar Thit" u="1"/>
        <s v="Pyin  Hla Zay Ywa" u="1"/>
        <s v="Aung Thay Pyay (San Suri)" u="1"/>
        <s v="Myet Tauk" u="1"/>
        <s v="A Lei Ywar" u="1"/>
        <s v="Nga/Tauk Tet" u="1"/>
        <s v="Pan Taw Pyin" u="1"/>
        <s v="Thit Tone Nar Gwa Son" u="1"/>
        <s v="Myoma Myauk (Chitta Ywa)" u="1"/>
        <s v="Kha Maung Seik North" u="1"/>
        <s v="Koe Song (2) Village" u="1"/>
        <s v="Mee Chaung Zay_Ywar Thit" u="1"/>
        <s v="Khat Pa Kaung" u="1"/>
        <s v="Oe Pone" u="1"/>
        <s v="Kine Gyi (Rakhine)" u="1"/>
        <s v="Min Ga Lar Ahr Sheik Kyar" u="1"/>
        <s v="Shwe Hlaing Rakhine" u="1"/>
        <s v="Lin Bar Gone Nar" u="1"/>
        <s v="Ka Yin Taw" u="1"/>
        <s v="Pyin Hpyu" u="1"/>
        <s v="Pae Tha Du " u="1"/>
        <s v="Phas Kawri" u="1"/>
        <s v="Myo U" u="1"/>
        <s v="Hmanzi " u="1"/>
        <s v="Nga Pwint Gyi" u="1"/>
        <s v="Let Wea Det" u="1"/>
        <s v="Narte" u="1"/>
        <s v="Say Tha Ma" u="1"/>
        <s v="Auk Tha Kan" u="1"/>
        <s v="Phwe Yar Kone" u="1"/>
        <s v="Tha Yet Oke" u="1"/>
        <s v="Man Sa" u="1"/>
        <s v="Thaing Ta Poke" u="1"/>
        <s v="Kha Yu Chaung (Muslim)" u="1"/>
        <s v="Nga Khu Ya (Myauk Ywar)" u="1"/>
        <s v="Shwe Tee " u="1"/>
        <s v="Ka Nyin Chaung" u="1"/>
        <s v="Yin Chaung" u="1"/>
        <s v="Ah Htet Nan Yar (Muslim)" u="1"/>
        <s v="Yai Myet Taung Ywa Thit" u="1"/>
        <s v="Shwe Zar _Hindu" u="1"/>
        <s v="Phwe Yar Gone village" u="1"/>
        <s v="Sai Nai Baptish Church, Maw Shan Vil., Seki Mu" u="1"/>
        <s v="Lan Gwa KBC Church" u="1"/>
        <s v="Be Lar Mi" u="1"/>
        <s v="Sa Khan Maw" u="1"/>
        <s v="Zin Baw Gaing (school)" u="1"/>
        <s v="Doe Tan" u="1"/>
        <s v="Kyet Mauk Taung (Myauk Ywar)" u="1"/>
        <s v="Pyaung Chaung" u="1"/>
        <s v="Gaung Gyi" u="1"/>
        <s v="Pyein Chaung" u="1"/>
        <s v="Ah Hla Sin" u="1"/>
        <s v="Za Yat Kwin" u="1"/>
        <s v="Zaw Ma Tat ( Kyine Gyi)" u="1"/>
        <s v="Kutkhai KBC-2 (Block-6)" u="1"/>
        <s v="Ywar Gyi" u="1"/>
        <s v="Wa Lar Kan" u="1"/>
        <s v="Kha Yan Kyun" u="1"/>
        <s v="Thar Si" u="1"/>
        <s v="A Lei Ywar " u="1"/>
        <s v="Thet Kel Pyin Village" u="1"/>
        <s v="Kyu Yaw Chaing" u="1"/>
        <s v="Ywet Nyo Taung" u="1"/>
        <s v="Hla Tha Ma" u="1"/>
        <s v="Oe Hpauk Ywar Thit" u="1"/>
        <s v="Gaw Yaw Ma Ni" u="1"/>
        <s v="U Daung (NaTaLa)" u="1"/>
        <s v="Pyin Chay" u="1"/>
        <s v="Kan Sit" u="1"/>
        <s v="Kyauk Pyin Seik" u="1"/>
        <s v="Kywe Ta Ma" u="1"/>
        <s v="Nga/Pun Ywar Gyi" u="1"/>
        <s v="Thea Chaung Ywar Thit Kay" u="1"/>
        <s v="Shwe Yin Aye" u="1"/>
        <s v="Kan Kyar Myauk" u="1"/>
        <s v="Chut Pyin" u="1"/>
        <s v="Nawng Nan, Jaw Ma Sat KBC Church" u="1"/>
        <s v="Sin Kay ( High School)" u="1"/>
        <s v="Kan Chaung Wa" u="1"/>
        <s v="Zin Baw Gaing (Monastery)" u="1"/>
        <s v="Zon Mar" u="1"/>
        <s v="Myaung Nar" u="1"/>
        <s v="Hin Thar Ra" u="1"/>
        <s v="Sin U Taik" u="1"/>
        <s v="Pon Sar" u="1"/>
        <s v="Saw Kina Ma" u="1"/>
        <s v="Shar Du Zut RC church" u="1"/>
        <s v="Phwe Ra" u="1"/>
        <s v="Taung (Pale Taung)" u="1"/>
        <s v="Nga Let Kya" u="1"/>
        <s v="Nam Hkawng" u="1"/>
        <s v="Yae Nauk Ngar Thar (Daing Nat)" u="1"/>
        <s v="Jwan Jaw KBC" u="1"/>
        <s v="That Kaing Nyar (Thet)" u="1"/>
        <s v="Laung Chaung (Daing Net)" u="1"/>
        <s v="Zu Kaing" u="1"/>
        <s v="Ah Htet Nan Yar (Rakhine)" u="1"/>
        <s v="Nga Khu Ya" u="1"/>
        <s v="Kan Beit" u="1"/>
        <s v="Baw Du Pa" u="1"/>
        <s v="Play Taung Ywa Gyi North" u="1"/>
        <s v="Man wing gyi (host school)" u="1"/>
        <s v="Rakhine" u="1"/>
        <s v="Ah Htet See Maung" u="1"/>
        <s v="Tha Yet Oak" u="1"/>
        <s v="Kyun Pauk Ku Lar" u="1"/>
        <s v="Goke Pi Htaunt (Rakhine)" u="1"/>
        <s v="Thea Chaung Pyu Su" u="1"/>
        <s v="Zin Paing Nyar" u="1"/>
        <s v="Thin Pon Tan" u="1"/>
        <s v="Zay Teit Taung" u="1"/>
        <s v="Say Tha Ma Gyi" u="1"/>
        <s v="Aung Ba La" u="1"/>
        <s v="Let Wea Det Pyin Shey_Tha Pyay Taw" u="1"/>
        <s v="Pyin Shey" u="1"/>
        <s v="Yat Khone Taing" u="1"/>
        <s v="Bethela KBC church" u="1"/>
        <s v="Taung Chauk" u="1"/>
        <s v="Tauk Sone" u="1"/>
        <s v="Kan Za Li" u="1"/>
        <s v="Hpar Wut Chaung (Myauk Ywar)" u="1"/>
        <s v="Mine Yu Lay village" u="1"/>
        <s v="Chaung Pauk" u="1"/>
        <s v="Tanai AG Church" u="1"/>
        <s v="Ah Nauk Ka Maung Seik" u="1"/>
        <s v="Kin Taung (Taung + Myauk)" u="1"/>
        <s v="Taung Chaung" u="1"/>
        <s v="Dar Let Ah Lel Kyun" u="1"/>
        <s v="Kone Tan" u="1"/>
        <s v="Bu May" u="1"/>
        <s v="Aung Thay Pyay (NaTaLa)" u="1"/>
        <s v="Than Chay RK" u="1"/>
        <s v="Inn Din_new village" u="1"/>
        <s v="Tan Zwei" u="1"/>
        <s v="Thit Taw Ywa" u="1"/>
        <s v="Out Thar Kan Monastery" u="1"/>
        <s v="Dar Gyi Zar" u="1"/>
        <s v="Yae Myet" u="1"/>
        <s v="Gwa Sone Muslim" u="1"/>
        <s v="Yar Tan" u="1"/>
        <s v="Chein Khar Li" u="1"/>
        <s v="Nga Ku Ya (Ku Lar)" u="1"/>
        <s v="Kyauk Yan Thar Si" u="1"/>
        <s v="Raza Bil" u="1"/>
        <s v="Kan Tha Ya" u="1"/>
        <s v="Taung Pauk" u="1"/>
        <s v="War Net Chun" u="1"/>
        <s v="Auk Myat Lay" u="1"/>
        <s v="InjangYang  host families" u="1"/>
        <s v="Kan Paing Nar" u="1"/>
        <s v="Thit Poke Chaung" u="1"/>
        <s v="Say Ti Taung " u="1"/>
        <s v="Shwe Ta Mar" u="1"/>
        <s v="Pauk Pin Yin" u="1"/>
        <s v="Taung Ywa" u="1"/>
        <s v="Kyee Kan Pyin ( Surrounding)" u="1"/>
        <s v="Dar Let (North)" u="1"/>
        <s v="Ta Gun Taing Monastery (Shwe Kyi Na)" u="1"/>
        <s v="Pa Lat Kay" u="1"/>
        <s v="Zay Di Pyin" u="1"/>
        <s v="Ah Shae Myauk Quarter" u="1"/>
        <s v="Baw Li " u="1"/>
        <s v="Baw Ya Par" u="1"/>
        <s v="Wa Khote Chaung" u="1"/>
        <s v="Kyar Nyo Pyin (Rakhine)_x000a_+ Pyar Yae" u="1"/>
        <s v="Alay Mushee" u="1"/>
        <s v="Sin Khone Taing (Rakhine)" u="1"/>
        <s v="Du Than Dar" u="1"/>
        <s v="Pyaing Taung (Rakhine)" u="1"/>
        <s v="U Yin Thar" u="1"/>
        <s v="Ah Kyaw (Arisha Para)" u="1"/>
        <s v="Nga Kyi Tauk Daing Nat" u="1"/>
        <s v="Thet Kaing Ngyar" u="1"/>
        <s v="Sin Thay Pyin (Zay Di Pyin)" u="1"/>
        <s v="Shwe Zar Kat Pa Kaung" u="1"/>
        <s v="Sin Thi Pein Hne Taw (Sin Tae)" u="1"/>
        <s v="Wa Lar Kann" u="1"/>
        <s v="Tanai AG Church " u="1"/>
        <s v="Namtu RC" u="1"/>
        <s v="Taung Pyo ( 3Quarter)" u="1"/>
        <s v="Kyaung Swae Phyu" u="1"/>
        <s v="Ywa Haung_M" u="1"/>
        <s v="Muslim (Taung Ywa)" u="1"/>
        <s v="Din Gar" u="1"/>
        <s v="Baw Di Kone" u="1"/>
        <s v="Kan Kyar Taung " u="1"/>
        <s v="Nat Chaung (Garapyin)" u="1"/>
        <s v="Mingalar Nyunt (NaTaLa)" u="1"/>
        <s v="Nyaung Chaung_ann" u="1"/>
        <s v="Aung Si Kone" u="1"/>
        <s v="Ah Myet Taung" u="1"/>
        <s v="Sein Hnyin Pyar_Tha Pyay Taw" u="1"/>
        <s v="Ywa Haung_R" u="1"/>
        <s v="Ywa Ma" u="1"/>
        <s v="Let Thar Ywa" u="1"/>
        <s v="Ma Hawng RC " u="1"/>
        <s v="Wet Mee To" u="1"/>
        <s v="Girl Boarding house, A Len Bum" u="1"/>
        <s v="Ma Gyi Koung" u="1"/>
        <s v="Yan Aung Pyin" u="1"/>
        <s v="Kar Di (Kywe Cho Maw)" u="1"/>
        <s v="Zedi Taung (Muslim)" u="1"/>
        <s v="Swi Chaung" u="1"/>
        <s v="site A" u="1"/>
        <s v="Tan Khoe" u="1"/>
        <s v="Thar Yar Kone" u="1"/>
        <s v="Laung Sat" u="1"/>
        <s v="Kyauk Pan Du" u="1"/>
        <s v="Majee Ywa" u="1"/>
        <s v="Si Tar (Pa Zun Chaung)" u="1"/>
        <s v="Sin Khone Taing (Ku Lar)" u="1"/>
        <s v="Kywe Lan Chaung" u="1"/>
        <s v="Gudar Pyin" u="1"/>
        <s v="Ka Nyin Tan" u="1"/>
        <s v="Baw Du Pha (IDP in host families)" u="1"/>
        <s v="Lam Bar Gone Nah" u="1"/>
        <s v="Daung Pyauk Kay" u="1"/>
        <s v="Taungchay Ywa Muslim" u="1"/>
        <s v="Nga/ Pun Ywar Gyi" u="1"/>
        <s v="Kyeik Chaung" u="1"/>
        <s v="Chin Kone" u="1"/>
        <s v="Maung Hpyu (Da Pyu Chaung)" u="1"/>
        <s v="Kyet Mauk Taung (Taung Ywar)" u="1"/>
        <s v="Myat Yeik Kyun Monastery" u="1"/>
        <s v="Zaw Ma Tat ( Myo/ Relocation)" u="1"/>
        <s v="Gaung Nyar" u="1"/>
        <s v="Navy Seik" u="1"/>
        <s v="Ywet Nyo Taung ( Rakhine)" u="1"/>
        <s v="Yay Chan Pyin" u="1"/>
        <s v="Wet Ma Kya" u="1"/>
        <s v="Min Kha Maung (NaTaLa)" u="1"/>
        <s v="Ywa Thar Yar" u="1"/>
        <s v="Ahla Madi" u="1"/>
        <s v="Thit Tone Na Gwa Sone (Daung Ywa)" u="1"/>
        <s v="Ywar Thit Kay" u="1"/>
        <s v="Done Pyin Village" u="1"/>
        <s v="Oke Kan" u="1"/>
        <s v="Ah Lel Ywa" u="1"/>
        <s v="La Baw Zar" u="1"/>
        <s v="Kyein Chaung" u="1"/>
        <s v="Hpar Wut Chaung (Ywar Thit)" u="1"/>
        <s v="Tan Chaung" u="1"/>
        <s v="Fatar" u="1"/>
        <s v="San Pai Pin Yin" u="1"/>
        <s v="Ngan Chaung" u="1"/>
        <s v="Phat Lake" u="1"/>
        <s v="Myaunk Ywa_R" u="1"/>
        <s v="Than Pyin" u="1"/>
        <s v="Rakhine Min Pyin" u="1"/>
        <s v="Kyauk Yant" u="1"/>
        <s v="Bu Chaung" u="1"/>
        <s v="Thaung Paing Nyar" u="1"/>
        <s v="Pyin Hlyar Shey" u="1"/>
        <s v="Koun Tan" u="1"/>
        <s v="Gan Gaw Myaing ( Na Ta La )" u="1"/>
        <s v="Sar Kon Boke (Hindu Para)" u="1"/>
        <s v="Wet Kyein (Myo)" u="1"/>
        <s v="Tha Ray Kon Baung" u="1"/>
        <s v="Ward-6 (Lay Myaing)" u="1"/>
        <s v="Pann Phaw Pyin" u="1"/>
        <s v="Aung Zay Yar" u="1"/>
        <s v="Min Ga Lar Gyi" u="1"/>
        <s v="Taung Pyo ( 1 Quarter)" u="1"/>
        <s v="Taung Pyo ( 2 Quarter)" u="1"/>
        <s v="Taung Pyo ( 4 Quarter)" u="1"/>
        <s v="Taung Maw" u="1"/>
        <s v="Kha Tin Pike Chay" u="1"/>
        <s v="Tang Hpre RC Church" u="1"/>
        <s v="Kyauk Sar Dine" u="1"/>
        <s v="Pa Dauk Myaing (Pa La Na) II" u="1"/>
        <s v="Oak Pho" u="1"/>
        <s v="Pet Khwet Seik" u="1"/>
        <s v="Boys Boarding house, A Len Bum" u="1"/>
        <s v="Yoe Ngu" u="1"/>
        <s v="Aung Sit Pyin ( Done Pike)" u="1"/>
        <s v=" A Htet Myat Lay" u="1"/>
        <s v="Aung Mingalar (NaTaLa)" u="1"/>
        <s v="Aung Thar Yar (NaTaLa)" u="1"/>
        <s v="Thit Tone Nar Lay Myo" u="1"/>
        <s v="Khaung Doke Khar" u="1"/>
        <s v="Myauk Ywar" u="1"/>
        <s v="Kyauk Sar Taing" u="1"/>
        <s v="Tha Pyay Seik" u="1"/>
        <s v="Shan Kone" u="1"/>
        <s v="Aung Zay Ya (Su See)" u="1"/>
        <s v="Ka Nyin" u="1"/>
        <s v="Than Du" u="1"/>
        <s v="Yoe Ta Yote" u="1"/>
      </sharedItems>
    </cacheField>
    <cacheField name="Total HH" numFmtId="0">
      <sharedItems containsSemiMixedTypes="0" containsString="0" containsNumber="1" minValue="2" maxValue="3210"/>
    </cacheField>
    <cacheField name="Total PoP " numFmtId="0">
      <sharedItems containsSemiMixedTypes="0" containsString="0" containsNumber="1" containsInteger="1" minValue="13" maxValue="16050"/>
    </cacheField>
    <cacheField name="Project start date" numFmtId="0">
      <sharedItems containsDate="1" containsBlank="1" containsMixedTypes="1" minDate="1919-08-13T00:00:00" maxDate="2020-10-31T00:00:00"/>
    </cacheField>
    <cacheField name="Project end date" numFmtId="165">
      <sharedItems containsDate="1" containsBlank="1" containsMixedTypes="1" minDate="2018-06-30T00:00:00" maxDate="2021-12-22T00:00:00"/>
    </cacheField>
    <cacheField name="#_students at TLS_CFS" numFmtId="164">
      <sharedItems containsString="0" containsBlank="1" containsNumber="1" containsInteger="1" minValue="0" maxValue="3256"/>
    </cacheField>
    <cacheField name="#_ paid camp based WASH skilled labor" numFmtId="164">
      <sharedItems containsString="0" containsBlank="1" containsNumber="1" containsInteger="1" minValue="0" maxValue="13"/>
    </cacheField>
    <cacheField name="#_paid camp based unskilled WASH unskilled labor" numFmtId="164">
      <sharedItems containsString="0" containsBlank="1" containsNumber="1" containsInteger="1" minValue="0" maxValue="162"/>
    </cacheField>
    <cacheField name="# Work days (approx) lost in this site due to access restrictions" numFmtId="164">
      <sharedItems containsBlank="1" containsMixedTypes="1" containsNumber="1" containsInteger="1" minValue="0" maxValue="30"/>
    </cacheField>
    <cacheField name="WASH Focal in camp management structure?" numFmtId="0">
      <sharedItems containsBlank="1"/>
    </cacheField>
    <cacheField name="#_men on camp WASH team" numFmtId="164">
      <sharedItems containsString="0" containsBlank="1" containsNumber="1" containsInteger="1" minValue="0" maxValue="98"/>
    </cacheField>
    <cacheField name="#_women on camp WASH team" numFmtId="164">
      <sharedItems containsString="0" containsBlank="1" containsNumber="1" containsInteger="1" minValue="0" maxValue="76"/>
    </cacheField>
    <cacheField name="#_Constructed/existing protected hand dug well" numFmtId="164">
      <sharedItems containsString="0" containsBlank="1" containsNumber="1" containsInteger="1" minValue="0" maxValue="25"/>
    </cacheField>
    <cacheField name="#_Non-functional protected hand dug well" numFmtId="164">
      <sharedItems containsString="0" containsBlank="1" containsNumber="1" containsInteger="1" minValue="0" maxValue="4"/>
    </cacheField>
    <cacheField name="#_Operation &amp; Maintenance of hand dug well" numFmtId="164">
      <sharedItems containsString="0" containsBlank="1" containsNumber="1" containsInteger="1" minValue="0" maxValue="25"/>
    </cacheField>
    <cacheField name="#_Constructed/Existing tube wells/boreholes/handpumps_WASH_agency" numFmtId="164">
      <sharedItems containsString="0" containsBlank="1" containsNumber="1" containsInteger="1" minValue="0" maxValue="226"/>
    </cacheField>
    <cacheField name="#_Non-Cluster partner water tube-wells/boreholes/handpumps" numFmtId="164">
      <sharedItems containsString="0" containsBlank="1" containsNumber="1" containsInteger="1" minValue="0" maxValue="101"/>
    </cacheField>
    <cacheField name="#_Non-functional tube wells/boreholes/handpumps" numFmtId="164">
      <sharedItems containsString="0" containsBlank="1" containsNumber="1" containsInteger="1" minValue="0" maxValue="117"/>
    </cacheField>
    <cacheField name="#_Operation &amp; Maintenance of tube wells/boreholes/handpumps" numFmtId="164">
      <sharedItems containsBlank="1" containsMixedTypes="1" containsNumber="1" containsInteger="1" minValue="0" maxValue="135"/>
    </cacheField>
    <cacheField name="#_Constructed/Existingwater storage tank with gravity fed reticulation system" numFmtId="164">
      <sharedItems containsString="0" containsBlank="1" containsNumber="1" containsInteger="1" minValue="0" maxValue="436"/>
    </cacheField>
    <cacheField name="#_Non-functional storage tank gravity fed reticulation system" numFmtId="164">
      <sharedItems containsString="0" containsBlank="1" containsNumber="1" containsInteger="1" minValue="0" maxValue="73"/>
    </cacheField>
    <cacheField name="#_Operation &amp; maintenance of storage tank and reticulation system" numFmtId="164">
      <sharedItems containsString="0" containsBlank="1" containsNumber="1" containsInteger="1" minValue="0" maxValue="73"/>
    </cacheField>
    <cacheField name="#_Water boating or water trucking" numFmtId="164">
      <sharedItems containsString="0" containsBlank="1" containsNumber="1" containsInteger="1" minValue="0" maxValue="67160"/>
    </cacheField>
    <cacheField name="#_Constructed/Existing protected/fenced ponds" numFmtId="164">
      <sharedItems containsString="0" containsBlank="1" containsNumber="1" containsInteger="1" minValue="0" maxValue="23"/>
    </cacheField>
    <cacheField name="#_Constructed/Existing water distribution system from river or natural spring" numFmtId="164">
      <sharedItems containsString="0" containsBlank="1" containsNumber="1" containsInteger="1" minValue="0" maxValue="358250"/>
    </cacheField>
    <cacheField name="#_committes/technicians trained and maintaining the water points" numFmtId="164">
      <sharedItems containsString="0" containsBlank="1" containsNumber="1" containsInteger="1" minValue="0" maxValue="2240"/>
    </cacheField>
    <cacheField name="#_Water points fully handed over" numFmtId="164">
      <sharedItems containsBlank="1" containsMixedTypes="1" containsNumber="1" containsInteger="1" minValue="0" maxValue="226"/>
    </cacheField>
    <cacheField name="#_Water sources tested for contamination" numFmtId="164">
      <sharedItems containsString="0" containsBlank="1" containsNumber="1" containsInteger="1" minValue="0" maxValue="149"/>
    </cacheField>
    <cacheField name="#_Water sources treated" numFmtId="164">
      <sharedItems containsString="0" containsBlank="1" containsNumber="1" containsInteger="1" minValue="0" maxValue="13"/>
    </cacheField>
    <cacheField name="#_Household water samples tested for contamination" numFmtId="164">
      <sharedItems containsString="0" containsBlank="1" containsNumber="1" containsInteger="1" minValue="0" maxValue="361"/>
    </cacheField>
    <cacheField name="#_Household received remediation action due to contamination" numFmtId="164">
      <sharedItems containsString="0" containsBlank="1" containsNumber="1" containsInteger="1" minValue="0" maxValue="361"/>
    </cacheField>
    <cacheField name="#_Constructed/Existing hand washing stations at TLS" numFmtId="164">
      <sharedItems containsBlank="1" containsMixedTypes="1" containsNumber="1" containsInteger="1" minValue="0" maxValue="75"/>
    </cacheField>
    <cacheField name="#_of water points in TLS and CFS " numFmtId="164">
      <sharedItems containsBlank="1" containsMixedTypes="1" containsNumber="1" containsInteger="1" minValue="0" maxValue="13"/>
    </cacheField>
    <cacheField name="WATER Comments" numFmtId="0">
      <sharedItems containsBlank="1" longText="1"/>
    </cacheField>
    <cacheField name="#_Constructed latrines_by_WASHAgencies" numFmtId="0">
      <sharedItems containsString="0" containsBlank="1" containsNumber="1" containsInteger="1" minValue="0" maxValue="778"/>
    </cacheField>
    <cacheField name="#_Non Cluster partner latrines" numFmtId="0">
      <sharedItems containsString="0" containsBlank="1" containsNumber="1" containsInteger="1" minValue="0" maxValue="361"/>
    </cacheField>
    <cacheField name="Name of Non-Cluster partner who constructed latrines" numFmtId="0">
      <sharedItems containsBlank="1" containsMixedTypes="1" containsNumber="1" containsInteger="1" minValue="0" maxValue="0"/>
    </cacheField>
    <cacheField name="#_Non-functional latrines" numFmtId="0">
      <sharedItems containsString="0" containsBlank="1" containsNumber="1" containsInteger="1" minValue="0" maxValue="431"/>
    </cacheField>
    <cacheField name="#_Operation &amp; maintenance of latrines" numFmtId="0">
      <sharedItems containsString="0" containsBlank="1" containsNumber="1" containsInteger="1" minValue="0" maxValue="428"/>
    </cacheField>
    <cacheField name="#_Latrines desludged during the past quarter" numFmtId="0">
      <sharedItems containsString="0" containsBlank="1" containsNumber="1" containsInteger="1" minValue="0" maxValue="476"/>
    </cacheField>
    <cacheField name="#_Cubic meters of desludging in past quarter" numFmtId="0">
      <sharedItems containsBlank="1" containsMixedTypes="1" containsNumber="1" containsInteger="1" minValue="0" maxValue="4349"/>
    </cacheField>
    <cacheField name="#_Latrines fully handed over" numFmtId="0">
      <sharedItems containsString="0" containsBlank="1" containsNumber="1" containsInteger="1" minValue="0" maxValue="778"/>
    </cacheField>
    <cacheField name="Is there provision of solid waste management equipment?" numFmtId="0">
      <sharedItems containsBlank="1" count="4">
        <s v="Yes"/>
        <m/>
        <s v="No"/>
        <s v="NA"/>
      </sharedItems>
    </cacheField>
    <cacheField name="Is there constructed surface water drainage system?_x000a_" numFmtId="0">
      <sharedItems containsBlank="1" count="6">
        <s v="Functional"/>
        <m/>
        <s v="NA"/>
        <s v="Not_Functional"/>
        <s v="No"/>
        <s v="Yes"/>
      </sharedItems>
    </cacheField>
    <cacheField name="#_Constructed/Existing child friendly latrines" numFmtId="0">
      <sharedItems containsString="0" containsBlank="1" containsNumber="1" containsInteger="1" minValue="0" maxValue="45"/>
    </cacheField>
    <cacheField name="#_Constructed/Existing disabled &amp; elderly friendly latrines " numFmtId="0">
      <sharedItems containsString="0" containsBlank="1" containsNumber="1" containsInteger="1" minValue="0" maxValue="26"/>
    </cacheField>
    <cacheField name="#_Constructed/Existing latrines in TLS" numFmtId="0">
      <sharedItems containsString="0" containsBlank="1" containsNumber="1" containsInteger="1" minValue="0" maxValue="52"/>
    </cacheField>
    <cacheField name="Sanitation Comments" numFmtId="0">
      <sharedItems containsBlank="1" containsMixedTypes="1" containsNumber="1" containsInteger="1" minValue="0" maxValue="0" longText="1"/>
    </cacheField>
    <cacheField name="#_Constructed/Existing hand washing stations" numFmtId="0">
      <sharedItems containsString="0" containsBlank="1" containsNumber="1" containsInteger="1" minValue="0" maxValue="155"/>
    </cacheField>
    <cacheField name="#_Non-Functional_hand_washing_stations" numFmtId="0">
      <sharedItems containsString="0" containsBlank="1" containsNumber="1" containsInteger="1" minValue="0" maxValue="11"/>
    </cacheField>
    <cacheField name="#_Constructed/Existing_individual_bathing_spaces " numFmtId="0">
      <sharedItems containsString="0" containsBlank="1" containsNumber="1" containsInteger="1" minValue="0" maxValue="660"/>
    </cacheField>
    <cacheField name="#_Constructed/Existing communal bathing spaces " numFmtId="0">
      <sharedItems containsString="0" containsBlank="1" containsNumber="1" containsInteger="1" minValue="0" maxValue="22"/>
    </cacheField>
    <cacheField name="#_Non-Functional communal_bathing spaces " numFmtId="0">
      <sharedItems containsString="0" containsBlank="1" containsNumber="1" containsInteger="1" minValue="0" maxValue="12"/>
    </cacheField>
    <cacheField name="#_male hygiene promoters" numFmtId="0">
      <sharedItems containsString="0" containsBlank="1" containsNumber="1" containsInteger="1" minValue="0" maxValue="376"/>
    </cacheField>
    <cacheField name="#_female hygiene promoters" numFmtId="0">
      <sharedItems containsString="0" containsBlank="1" containsNumber="1" containsInteger="1" minValue="0" maxValue="376"/>
    </cacheField>
    <cacheField name="#_households that received standard amount of soap for this quarter" numFmtId="0">
      <sharedItems containsString="0" containsBlank="1" containsNumber="1" minValue="0" maxValue="3210"/>
    </cacheField>
    <cacheField name="#_households that received standard amount of sanitary pads for this quarter" numFmtId="0">
      <sharedItems containsString="0" containsBlank="1" containsNumber="1" containsInteger="1" minValue="0" maxValue="2728"/>
    </cacheField>
    <cacheField name="Is sufficient soap available for TLS? (Yes/No)" numFmtId="0">
      <sharedItems containsBlank="1"/>
    </cacheField>
    <cacheField name="#_Hygiene Promotion activities (sessions) in TLS?" numFmtId="1">
      <sharedItems containsString="0" containsBlank="1" containsNumber="1" containsInteger="1" minValue="0" maxValue="76"/>
    </cacheField>
    <cacheField name="% of students reached by HP activities" numFmtId="9">
      <sharedItems containsString="0" containsBlank="1" containsNumber="1" minValue="0" maxValue="1"/>
    </cacheField>
    <cacheField name="Hygiene_x000a_Comments " numFmtId="0">
      <sharedItems containsBlank="1" longText="1"/>
    </cacheField>
    <cacheField name="% of water sources treated" numFmtId="9">
      <sharedItems containsMixedTypes="1" containsNumber="1" minValue="0" maxValue="1"/>
    </cacheField>
    <cacheField name="% Household received corrective actions" numFmtId="9">
      <sharedItems containsMixedTypes="1" containsNumber="1" minValue="0" maxValue="1"/>
    </cacheField>
    <cacheField name="Warter quality test done" numFmtId="1">
      <sharedItems containsBlank="1" count="3">
        <s v="Tested"/>
        <s v="No Test"/>
        <m u="1"/>
      </sharedItems>
    </cacheField>
    <cacheField name="Functional protected hand dug well" numFmtId="1">
      <sharedItems containsSemiMixedTypes="0" containsString="0" containsNumber="1" containsInteger="1" minValue="0" maxValue="25"/>
    </cacheField>
    <cacheField name="Functional tube wells/boreholes/handpumps (including non-cluster partners)" numFmtId="1">
      <sharedItems containsSemiMixedTypes="0" containsString="0" containsNumber="1" containsInteger="1" minValue="-1" maxValue="210"/>
    </cacheField>
    <cacheField name="Functional storage tank with gravity fed reticulation system" numFmtId="1">
      <sharedItems containsSemiMixedTypes="0" containsString="0" containsNumber="1" containsInteger="1" minValue="-1" maxValue="436"/>
    </cacheField>
    <cacheField name="Water boating or water trucking" numFmtId="1">
      <sharedItems containsSemiMixedTypes="0" containsString="0" containsNumber="1" containsInteger="1" minValue="0" maxValue="67160"/>
    </cacheField>
    <cacheField name="Constructed water distribution system from river" numFmtId="1">
      <sharedItems containsSemiMixedTypes="0" containsString="0" containsNumber="1" containsInteger="1" minValue="0" maxValue="358250"/>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13302"/>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5750"/>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13302"/>
    </cacheField>
    <cacheField name="#Water points coverage" numFmtId="1">
      <sharedItems containsSemiMixedTypes="0" containsString="0" containsNumber="1" minValue="0" maxValue="26.603999999999999"/>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16050"/>
    </cacheField>
    <cacheField name="#Potential required new water points" numFmtId="1">
      <sharedItems containsSemiMixedTypes="0" containsString="0" containsNumber="1" minValue="0" maxValue="32"/>
    </cacheField>
    <cacheField name="Total required water points" numFmtId="1">
      <sharedItems containsSemiMixedTypes="0" containsString="0" containsNumber="1" containsInteger="1" minValue="1" maxValue="32"/>
    </cacheField>
    <cacheField name="# of Functioning latrine" numFmtId="1">
      <sharedItems containsSemiMixedTypes="0" containsString="0" containsNumber="1" containsInteger="1" minValue="0" maxValue="606"/>
    </cacheField>
    <cacheField name="% people access to functioning Latrine" numFmtId="9">
      <sharedItems containsSemiMixedTypes="0" containsString="0" containsNumber="1" minValue="0" maxValue="1"/>
    </cacheField>
    <cacheField name="HRP2" numFmtId="1">
      <sharedItems containsSemiMixedTypes="0" containsString="0" containsNumber="1" containsInteger="1" minValue="0" maxValue="11375"/>
    </cacheField>
    <cacheField name="# people access to continuous sanitation services desluding" numFmtId="1">
      <sharedItems containsMixedTypes="1" containsNumber="1" containsInteger="1" minValue="0" maxValue="9520"/>
    </cacheField>
    <cacheField name="# students access to functioning school latrines" numFmtId="1">
      <sharedItems containsMixedTypes="1" containsNumber="1" containsInteger="1" minValue="0" maxValue="2350"/>
    </cacheField>
    <cacheField name="Total required Latrines" numFmtId="1">
      <sharedItems containsSemiMixedTypes="0" containsString="0" containsNumber="1" containsInteger="1" minValue="0" maxValue="2675"/>
    </cacheField>
    <cacheField name="# potential required new latrines" numFmtId="1">
      <sharedItems containsSemiMixedTypes="0" containsString="0" containsNumber="1" containsInteger="1" minValue="0" maxValue="2675"/>
    </cacheField>
    <cacheField name="% of Latrine Gap" numFmtId="9">
      <sharedItems containsSemiMixedTypes="0" containsString="0" containsNumber="1" minValue="0" maxValue="1"/>
    </cacheField>
    <cacheField name="% Latrines requiring  repairs" numFmtId="9">
      <sharedItems containsSemiMixedTypes="0" containsString="0" containsNumber="1" minValue="0" maxValue="1"/>
    </cacheField>
    <cacheField name="# people reached by regular dedicated hygiene promotion_5" numFmtId="1">
      <sharedItems containsSemiMixedTypes="0" containsString="0" containsNumber="1" containsInteger="1" minValue="0" maxValue="13302"/>
    </cacheField>
    <cacheField name="# People with access to soap" numFmtId="1">
      <sharedItems containsSemiMixedTypes="0" containsString="0" containsNumber="1" containsInteger="1" minValue="0" maxValue="16050"/>
    </cacheField>
    <cacheField name="# People with access to Sanity Pads" numFmtId="1">
      <sharedItems containsSemiMixedTypes="0" containsString="0" containsNumber="1" containsInteger="1" minValue="0" maxValue="13302"/>
    </cacheField>
    <cacheField name="# People received regular supply of hygiene items_6" numFmtId="1">
      <sharedItems containsSemiMixedTypes="0" containsString="0" containsNumber="1" containsInteger="1" minValue="0" maxValue="16050"/>
    </cacheField>
    <cacheField name="HRP3" numFmtId="1">
      <sharedItems containsSemiMixedTypes="0" containsString="0" containsNumber="1" containsInteger="1" minValue="0" maxValue="16050"/>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 of HH with access to Sanitary Pad" numFmtId="9">
      <sharedItems containsSemiMixedTypes="0" containsString="0" containsNumber="1" minValue="0" maxValue="1"/>
    </cacheField>
    <cacheField name="# Functional hand washing stations during reporting period" numFmtId="1">
      <sharedItems containsSemiMixedTypes="0" containsString="0" containsNumber="1" containsInteger="1" minValue="0" maxValue="155"/>
    </cacheField>
    <cacheField name="#HH with access to Hand Washing Station" numFmtId="1">
      <sharedItems containsSemiMixedTypes="0" containsString="0" containsNumber="1" containsInteger="1" minValue="0" maxValue="1531"/>
    </cacheField>
    <cacheField name="# of hand washing stations with soap in TLS" numFmtId="1">
      <sharedItems containsSemiMixedTypes="0" containsString="0" containsNumber="1" containsInteger="1" minValue="0" maxValue="75"/>
    </cacheField>
    <cacheField name="# People access to Handwashing Station" numFmtId="1">
      <sharedItems containsSemiMixedTypes="0" containsString="0" containsNumber="1" containsInteger="1" minValue="0" maxValue="8743"/>
    </cacheField>
    <cacheField name="Sites with TLS" numFmtId="1">
      <sharedItems count="2">
        <s v="No"/>
        <s v="Yes"/>
      </sharedItems>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7">
        <s v="Camp"/>
        <s v="Village Type Camp"/>
        <s v="Village"/>
        <s v="Temporary location"/>
        <m u="1"/>
        <s v="Town" u="1"/>
        <e v="#N/A" u="1"/>
      </sharedItems>
    </cacheField>
    <cacheField name="Type of accommodation" numFmtId="0">
      <sharedItems containsMixedTypes="1" containsNumber="1" containsInteger="1" minValue="0" maxValue="0" count="16">
        <s v="camp"/>
        <s v="Host Families"/>
        <s v="Camp like setting"/>
        <s v="Boarding School"/>
        <s v="Closed Camp"/>
        <s v="School"/>
        <s v="Village"/>
        <s v="Planned Camp"/>
        <s v="Temporary location"/>
        <s v="Relocated"/>
        <s v="Self Settled Camp"/>
        <s v="Returned"/>
        <s v="Individual House"/>
        <s v="Village_Not HRP"/>
        <s v="Temporary location_Town"/>
        <n v="0"/>
      </sharedItems>
    </cacheField>
    <cacheField name="Ethnic or GCA/NGCA" numFmtId="0">
      <sharedItems containsMixedTypes="1" containsNumber="1" minValue="0" maxValue="97.49136" count="350">
        <s v="GCA"/>
        <s v="NGCA"/>
        <n v="0"/>
        <s v="Muslim"/>
        <s v="Rakhine"/>
        <s v="KhaMi"/>
        <s v="Mixed"/>
        <s v="Maramargyi"/>
        <s v="Dinet"/>
        <s v="Mro"/>
        <s v="Rakhine, Mro, Khami"/>
        <s v="Mro/ Kha Mee"/>
        <n v="20.181405999999999" u="1"/>
        <n v="20.8550128936768" u="1"/>
        <n v="20.201499999999999" u="1"/>
        <n v="20.645240783999999" u="1"/>
        <n v="23.682887999999998" u="1"/>
        <n v="25.371049444444399" u="1"/>
        <n v="26.569633" u="1"/>
        <n v="19.611209869384801" u="1"/>
        <n v="20.482030868999999" u="1"/>
        <n v="24.200367" u="1"/>
        <n v="24.263786" u="1"/>
        <n v="25.404752999999999" u="1"/>
        <n v="20.0641" u="1"/>
        <n v="20.713259999999998" u="1"/>
        <n v="23.400155999999999" u="1"/>
        <n v="23.4008" u="1"/>
        <n v="25.350809000000002" u="1"/>
        <n v="25.635300000000001" u="1"/>
        <n v="20.183790206909201" u="1"/>
        <n v="20.509660720999999" u="1"/>
        <n v="20.705930709838899" u="1"/>
        <n v="24.996279999999999" u="1"/>
        <n v="25.220278" u="1"/>
        <n v="25.321710740740698" u="1"/>
        <n v="19.424576999999999" u="1"/>
        <n v="20.191719055175799" u="1"/>
        <n v="24.222349999999999" u="1"/>
        <n v="97.49136" u="1"/>
        <n v="20.167421999999998" u="1"/>
        <n v="20.339799880981399" u="1"/>
        <n v="20.394809723000002" u="1"/>
        <n v="20.903770446777301" u="1"/>
        <n v="23.460349999999998" u="1"/>
        <n v="23.83013" u="1"/>
        <n v="19.421102000000001" u="1"/>
        <n v="21.000970840454102" u="1"/>
        <n v="25.493819999999999" u="1"/>
        <n v="20.494340897000001" u="1"/>
        <n v="20.711349487304702" u="1"/>
        <n v="23.591999999999999" u="1"/>
        <n v="27.337499999999999" u="1"/>
        <n v="20.398889541999999" u="1"/>
        <n v="20.569759368896499" u="1"/>
        <n v="23.829599000000002" u="1"/>
        <n v="24.08738" u="1"/>
        <n v="24.2631743589744" u="1"/>
        <n v="25.424529444444399" u="1"/>
        <n v="25.51352" u="1"/>
        <n v="20.731571197509801" u="1"/>
        <n v="22.677008000000001" u="1"/>
        <n v="19.7062797546387" u="1"/>
        <n v="20.179939999999998" u="1"/>
        <n v="20.272630691528299" u="1"/>
        <n v="23.250678000000001" u="1"/>
        <n v="23.828150000000001" u="1"/>
        <n v="24.056132999999999" u="1"/>
        <n v="24.24766" u="1"/>
        <n v="25.299679999999999" u="1"/>
        <n v="20.677059173583999" u="1"/>
        <n v="20.785770416259801" u="1"/>
        <n v="20.057860999999999" u="1"/>
        <n v="20.148584" u="1"/>
        <n v="20.151471999999998" u="1"/>
        <n v="20.16846" u="1"/>
        <n v="20.194370269775401" u="1"/>
        <n v="20.78332" u="1"/>
        <n v="23.099304" u="1"/>
        <n v="23.353999999999999" u="1"/>
        <n v="24.251860000000001" u="1"/>
        <n v="25.362420757575801" u="1"/>
        <n v="25.374343974359" u="1"/>
        <n v="26.548506" u="1"/>
        <n v="19.591590881347699" u="1"/>
        <n v="20.392137999999999" u="1"/>
        <n v="20.495670318603501" u="1"/>
        <n v="20.851089477539102" u="1"/>
        <n v="25.440928" u="1"/>
        <n v="25.656009999999998" u="1"/>
        <n v="19.721389770507798" u="1"/>
        <n v="20.786739349365199" u="1"/>
        <n v="20.806400299072301" u="1"/>
        <n v="24.245100000000001" u="1"/>
        <n v="25.265277999999999" u="1"/>
        <n v="25.415667500000001" u="1"/>
        <n v="19.725629806518601" u="1"/>
        <n v="20.18994" u="1"/>
        <n v="20.260789871215799" u="1"/>
        <n v="20.478969573974599" u="1"/>
        <n v="20.866529464721701" u="1"/>
        <n v="23.450914000000001" u="1"/>
        <n v="25.6145" u="1"/>
        <n v="20.564739227" u="1"/>
        <n v="23.694130000000001" u="1"/>
        <n v="24.200361000000001" u="1"/>
        <n v="24.404876999999999" u="1"/>
        <n v="25.423817" u="1"/>
        <n v="19.962713241577099" u="1"/>
        <n v="20.470119476318398" u="1"/>
        <n v="23.821380000000001" u="1"/>
        <n v="23.828520000000001" u="1"/>
        <n v="24.378167000000001" u="1"/>
        <n v="27.248964999999998" u="1"/>
        <n v="19.925739288330099" u="1"/>
        <n v="20.727589999999999" u="1"/>
        <n v="24.461033" u="1"/>
        <n v="25.403476999999999" u="1"/>
        <n v="25.404015000000001" u="1"/>
        <n v="25.613894999999999" u="1"/>
        <n v="25.920006000000001" u="1"/>
        <n v="20.463909149169901" u="1"/>
        <n v="20.910375595092798" u="1"/>
        <n v="24.260466999999998" u="1"/>
        <n v="25.305669999999999" u="1"/>
        <n v="25.360463124999999" u="1"/>
        <n v="20.037655000000001" u="1"/>
        <n v="24.260719999999999" u="1"/>
        <n v="24.764959999999999" u="1"/>
        <n v="25.418084" u="1"/>
        <n v="20.041981" u="1"/>
        <n v="20.497299194335898" u="1"/>
        <n v="20.8037109375" u="1"/>
        <n v="20.824777999999998" u="1"/>
        <n v="24.268292826086999" u="1"/>
        <n v="24.29138" u="1"/>
        <n v="25.305008999999998" u="1"/>
        <n v="25.401061110000001" u="1"/>
        <n v="25.4118005797101" u="1"/>
        <n v="20.212700000000002" u="1"/>
        <n v="20.596279144" u="1"/>
        <n v="20.946010589599599" u="1"/>
        <n v="24.129059999999999" u="1"/>
        <n v="97.431079999999994" u="1"/>
        <n v="19.991359710693398" u="1"/>
        <n v="20.180194" u="1"/>
        <n v="20.821479797363299" u="1"/>
        <n v="25.647649999999999" u="1"/>
        <n v="19.484790802001999" u="1"/>
        <n v="19.627199172973601" u="1"/>
        <n v="19.639009475708001" u="1"/>
        <n v="20.235199999999999" u="1"/>
        <n v="20.803529739379901" u="1"/>
        <n v="20.886997999999998" u="1"/>
        <n v="25.200333000000001" u="1"/>
        <n v="25.889410000000002" u="1"/>
        <n v="20.0087699890137" u="1"/>
        <n v="20.245159149169901" u="1"/>
        <n v="20.697889328002901" u="1"/>
        <n v="20.723630905151399" u="1"/>
        <n v="20.8490600585938" u="1"/>
        <n v="20.865687000000001" u="1"/>
        <n v="20.8950595855713" u="1"/>
        <n v="23.372409999999999" u="1"/>
        <n v="24.253067000000001" u="1"/>
        <n v="20.4625244140625" u="1"/>
        <n v="23.611999999999998" u="1"/>
        <n v="20.473930358886701" u="1"/>
        <n v="20.831729888916001" u="1"/>
        <n v="20.859569549560501" u="1"/>
        <n v="25.351250396825399" u="1"/>
        <n v="25.423209" u="1"/>
        <n v="20.155805999999998" u="1"/>
        <n v="20.632720946999999" u="1"/>
        <n v="24.002433" u="1"/>
        <n v="19.646549224853501" u="1"/>
        <n v="20.1573600769043" u="1"/>
        <n v="24.752471" u="1"/>
        <n v="25.333683333333301" u="1"/>
        <n v="25.3510167948718" u="1"/>
        <n v="25.3959740909091" u="1"/>
        <n v="20.1438598632813" u="1"/>
        <n v="20.1585" u="1"/>
        <n v="20.179417000000001" u="1"/>
        <n v="20.182987000000001" u="1"/>
        <n v="20.202525000000001" u="1"/>
        <n v="20.5047302246094" u="1"/>
        <n v="23.38503" u="1"/>
        <n v="24.32638" u="1"/>
        <n v="24.755253" u="1"/>
        <n v="25.351724999999998" u="1"/>
        <n v="23.588920000000002" u="1"/>
        <n v="25.415482000000001" u="1"/>
        <n v="20.709970473999999" u="1"/>
        <n v="23.463000000000001" u="1"/>
        <n v="23.976571" u="1"/>
        <n v="24.207332999999998" u="1"/>
        <n v="20.185917" u="1"/>
        <n v="20.218299999999999" u="1"/>
        <n v="20.453830718994102" u="1"/>
        <n v="23.24661" u="1"/>
        <n v="20.807970046997099" u="1"/>
        <n v="20.926780700683601" u="1"/>
        <n v="23.841646999999998" u="1"/>
        <n v="25.410569299999999" u="1"/>
        <n v="25.412313000000001" u="1"/>
        <n v="19.989589691162099" u="1"/>
        <n v="20.181742" u="1"/>
        <n v="20.396680832000001" u="1"/>
        <n v="20.872400283813501" u="1"/>
        <n v="24.006319999999999" u="1"/>
        <n v="24.998349999999999" u="1"/>
        <n v="25.599250000000001" u="1"/>
        <n v="25.616509000000001" u="1"/>
        <n v="97.010629910000006" u="1"/>
        <n v="19.610979080200199" u="1"/>
        <n v="20.361530303999999" u="1"/>
        <n v="20.630609511999999" u="1"/>
        <n v="24.661905999999998" u="1"/>
        <n v="24.980250000000002" u="1"/>
        <n v="25.428910999999999" u="1"/>
        <n v="25.582065" u="1"/>
        <n v="25.754110000000001" u="1"/>
        <n v="20.0839" u="1"/>
        <n v="20.108101999999999" u="1"/>
        <n v="20.1975498199463" u="1"/>
        <n v="25.356632000000001" u="1"/>
        <n v="26.541930000000001" u="1"/>
        <n v="97.104997409999996" u="1"/>
        <n v="20.162599563598601" u="1"/>
        <n v="19.955690383911101" u="1"/>
        <n v="20.1934604644775" u="1"/>
        <n v="20.987419128418001" u="1"/>
        <n v="25.637309999999999" u="1"/>
        <n v="20.480100631713899" u="1"/>
        <n v="20.785699844360401" u="1"/>
        <n v="24.250689999999999" u="1"/>
        <n v="20.206778" u="1"/>
        <n v="20.486930847168001" u="1"/>
        <n v="20.716699600219702" u="1"/>
        <n v="20.864519119262699" u="1"/>
        <n v="20.651939392089801" u="1"/>
        <n v="19.985679626464801" u="1"/>
        <n v="20.608819961999998" u="1"/>
        <n v="23.354268999999999" u="1"/>
        <n v="25.225000000000001" u="1"/>
        <n v="25.409612685185198" u="1"/>
        <n v="19.988689422607401" u="1"/>
        <n v="20.286720275878899" u="1"/>
        <n v="20.581470489501999" u="1"/>
        <n v="20.681715011596701" u="1"/>
        <n v="20.703550338745099" u="1"/>
        <n v="25.577559999999998" u="1"/>
        <n v="25.611160000000002" u="1"/>
        <n v="97.013800000000003" u="1"/>
        <n v="25.351965" u="1"/>
        <n v="20.099340438842798" u="1"/>
        <n v="20.335864000000001" u="1"/>
        <n v="25.60867" u="1"/>
        <n v="20.181778000000001" u="1"/>
        <n v="23.835319999999999" u="1"/>
        <n v="23.838190000000001" u="1"/>
        <n v="23.972453000000002" u="1"/>
        <n v="24.2744" u="1"/>
        <n v="20.204370498657202" u="1"/>
        <n v="20.399269" u="1"/>
        <n v="20.502599716186499" u="1"/>
        <n v="23.094290000000001" u="1"/>
        <n v="23.850999999999999" u="1"/>
        <n v="25.56551" u="1"/>
        <n v="19.434253692626999" u="1"/>
        <n v="19.726810455322301" u="1"/>
        <n v="25.615960999999999" u="1"/>
        <n v="20.229290008544901" u="1"/>
        <n v="20.627639770507798" u="1"/>
        <n v="21.025630950927699" u="1"/>
        <n v="23.933098999999999" u="1"/>
        <n v="20.148910522460898" u="1"/>
        <n v="20.587142" u="1"/>
        <n v="20.809240341186499" u="1"/>
        <n v="20.894269943237301" u="1"/>
        <n v="24.688338999999999" u="1"/>
        <n v="25.61842" u="1"/>
        <n v="24.118618999999999" u="1"/>
        <n v="24.251232000000002" u="1"/>
        <n v="24.764800000000001" u="1"/>
        <n v="25.422194000000001" u="1"/>
        <n v="20.207284999999999" u="1"/>
        <n v="20.805580139160199" u="1"/>
        <n v="20.903369903564499" u="1"/>
        <n v="21.0094203948975" u="1"/>
        <n v="19.615800857543899" u="1"/>
        <n v="19.930080413818398" u="1"/>
        <n v="20.218471527099599" u="1"/>
        <n v="20.46994972229" u="1"/>
        <n v="24.24953" u="1"/>
        <n v="25.3540362037037" u="1"/>
        <n v="20.5199794769287" u="1"/>
        <n v="23.827870999999998" u="1"/>
        <n v="24.205417000000001" u="1"/>
        <n v="25.417733999999999" u="1"/>
        <n v="19.738719940185501" u="1"/>
        <n v="20.506580353" u="1"/>
        <n v="24.200433" u="1"/>
        <n v="25.617998" u="1"/>
        <n v="27.311699999999998" u="1"/>
        <n v="20.2302" u="1"/>
        <n v="20.696819999999999" u="1"/>
        <n v="20.697229385376001" u="1"/>
        <n v="20.720213000000001" u="1"/>
        <n v="20.805734000000001" u="1"/>
        <n v="24.006789000000001" u="1"/>
        <n v="24.377054000000001" u="1"/>
        <n v="20.489089965820298" u="1"/>
        <n v="21.007270812988299" u="1"/>
        <n v="24.831944" u="1"/>
        <n v="25.887339999999998" u="1"/>
        <n v="19.988599777221701" u="1"/>
        <n v="20.090183" u="1"/>
        <n v="20.39902" u="1"/>
        <n v="25.668399999999998" u="1"/>
        <n v="20.128488999999998" u="1"/>
        <n v="20.202400000000001" u="1"/>
        <n v="20.424389999999999" u="1"/>
        <n v="20.644098281860401" u="1"/>
        <n v="20.782770156860401" u="1"/>
        <n v="20.936040878295898" u="1"/>
        <n v="23.833477999999999" u="1"/>
        <n v="25.345918166666699" u="1"/>
        <n v="25.645959999999999" u="1"/>
        <n v="20.064226000000001" u="1"/>
        <n v="20.292100000000001" u="1"/>
        <n v="25.296579999999999" u="1"/>
        <n v="25.3660036111111" u="1"/>
        <n v="19.619289398193398" u="1"/>
        <n v="20.127127999999999" u="1"/>
        <n v="25.30442" u="1"/>
        <n v="19.686580657958999" u="1"/>
        <n v="20.185092000000001" u="1"/>
        <n v="22.765999999999998" u="1"/>
        <n v="20.555610656738299" u="1"/>
        <n v="23.447111" u="1"/>
        <n v="19.9947109222412" u="1"/>
        <n v="20.073437999999999" u="1"/>
        <n v="20.464775085449201" u="1"/>
        <n v="20.6080207824707" u="1"/>
        <n v="25.566510000000001" u="1"/>
        <n v="19.9044303894043" u="1"/>
        <n v="20.268000000000001" u="1"/>
        <n v="24.200972" u="1"/>
      </sharedItems>
    </cacheField>
    <cacheField name="Lat" numFmtId="0">
      <sharedItems containsMixedTypes="1" containsNumber="1" minValue="0" maxValue="97.104997409999996"/>
    </cacheField>
    <cacheField name="Long" numFmtId="0">
      <sharedItems containsSemiMixedTypes="0" containsString="0" containsNumber="1" minValue="0" maxValue="98.475719999999995"/>
    </cacheField>
    <cacheField name="Pcode" numFmtId="0">
      <sharedItems containsMixedTypes="1" containsNumber="1" containsInteger="1" minValue="0" maxValue="220977"/>
    </cacheField>
    <cacheField name="Covered" numFmtId="0">
      <sharedItems containsBlank="1" count="4">
        <s v="Covered"/>
        <s v="Notcovered"/>
        <m u="1"/>
        <e v="#REF!" u="1"/>
      </sharedItems>
    </cacheField>
    <cacheField name="Remark" numFmtId="0">
      <sharedItems containsNonDate="0" containsString="0" containsBlank="1"/>
    </cacheField>
    <cacheField name="Total Latrines" numFmtId="0" formula="'#_Constructed latrines_by_WASHAgencies'+'#_Non Cluster partner latrines'" databaseField="0"/>
    <cacheField name="% Water source Treated" numFmtId="0" formula="'#_Water sources treated'/'#_Water sources tested for contamination'"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0">
  <r>
    <x v="0"/>
    <x v="0"/>
    <x v="0"/>
    <s v="ECHO, OFDA"/>
    <x v="0"/>
    <x v="0"/>
    <x v="0"/>
    <x v="0"/>
    <n v="70"/>
    <n v="356"/>
    <s v="01/01/2018, 01/07/2018"/>
    <s v="28-02-2019, 30/06/2019"/>
    <m/>
    <n v="0"/>
    <n v="0"/>
    <n v="0"/>
    <s v="Yes"/>
    <n v="0"/>
    <n v="0"/>
    <n v="0"/>
    <m/>
    <m/>
    <n v="1"/>
    <n v="0"/>
    <m/>
    <m/>
    <m/>
    <m/>
    <m/>
    <m/>
    <m/>
    <m/>
    <m/>
    <m/>
    <n v="1"/>
    <n v="1"/>
    <n v="8"/>
    <n v="0"/>
    <m/>
    <m/>
    <m/>
    <n v="13"/>
    <m/>
    <m/>
    <m/>
    <m/>
    <m/>
    <m/>
    <m/>
    <x v="0"/>
    <x v="0"/>
    <n v="0"/>
    <n v="1"/>
    <m/>
    <m/>
    <n v="3"/>
    <n v="0"/>
    <m/>
    <n v="2"/>
    <m/>
    <n v="0"/>
    <n v="1"/>
    <m/>
    <m/>
    <m/>
    <m/>
    <m/>
    <m/>
    <n v="1"/>
    <n v="0"/>
    <x v="0"/>
    <n v="0"/>
    <n v="1"/>
    <n v="0"/>
    <n v="0"/>
    <n v="0"/>
    <n v="1"/>
    <n v="0.702247191011236"/>
    <n v="1"/>
    <n v="356"/>
    <n v="0"/>
    <n v="0"/>
    <n v="1"/>
    <n v="356"/>
    <n v="0.71199999999999997"/>
    <n v="0"/>
    <n v="0"/>
    <n v="0.28800000000000003"/>
    <n v="1"/>
    <n v="13"/>
    <n v="0.7303370786516854"/>
    <n v="260"/>
    <n v="0"/>
    <n v="0"/>
    <n v="18"/>
    <n v="5"/>
    <n v="0.2696629213483146"/>
    <n v="0"/>
    <n v="356"/>
    <n v="0"/>
    <n v="0"/>
    <n v="0"/>
    <n v="356"/>
    <n v="1"/>
    <n v="0"/>
    <n v="1"/>
    <n v="0"/>
    <n v="0"/>
    <n v="3"/>
    <n v="60"/>
    <n v="0"/>
    <n v="300"/>
    <x v="0"/>
    <n v="0"/>
    <n v="0"/>
    <x v="0"/>
    <x v="0"/>
    <x v="0"/>
    <n v="0"/>
    <n v="0"/>
    <n v="0"/>
    <x v="0"/>
    <m/>
  </r>
  <r>
    <x v="0"/>
    <x v="0"/>
    <x v="0"/>
    <s v="ECHO, OFDA"/>
    <x v="0"/>
    <x v="0"/>
    <x v="1"/>
    <x v="1"/>
    <n v="166"/>
    <n v="815"/>
    <s v="01/01/2018, 01/07/2018"/>
    <s v="28-02-2019, 30/06/2019"/>
    <m/>
    <n v="0"/>
    <n v="0"/>
    <n v="0"/>
    <s v="Yes"/>
    <n v="11"/>
    <n v="9"/>
    <n v="2"/>
    <n v="0"/>
    <m/>
    <n v="8"/>
    <n v="0"/>
    <m/>
    <m/>
    <m/>
    <m/>
    <m/>
    <n v="0"/>
    <m/>
    <m/>
    <m/>
    <m/>
    <n v="3"/>
    <n v="3"/>
    <n v="10"/>
    <n v="1"/>
    <m/>
    <m/>
    <m/>
    <n v="38"/>
    <m/>
    <m/>
    <m/>
    <m/>
    <n v="50"/>
    <m/>
    <m/>
    <x v="0"/>
    <x v="0"/>
    <n v="0"/>
    <n v="0"/>
    <m/>
    <s v="we put combine data information for AD 2000 &amp; AD ext"/>
    <n v="6"/>
    <n v="3"/>
    <m/>
    <n v="3"/>
    <m/>
    <n v="0"/>
    <n v="2"/>
    <n v="80"/>
    <n v="213"/>
    <m/>
    <m/>
    <m/>
    <s v="we put combine data information for AD 2000 &amp; AD ext"/>
    <n v="1"/>
    <n v="0.1"/>
    <x v="0"/>
    <n v="2"/>
    <n v="8"/>
    <n v="0"/>
    <n v="0"/>
    <n v="0"/>
    <n v="1"/>
    <n v="1"/>
    <n v="1"/>
    <n v="815"/>
    <n v="0"/>
    <n v="0"/>
    <n v="1"/>
    <n v="815"/>
    <n v="1.63"/>
    <n v="0"/>
    <n v="0"/>
    <n v="0.37000000000000011"/>
    <n v="2"/>
    <n v="38"/>
    <n v="0.93251533742331283"/>
    <n v="760"/>
    <n v="815"/>
    <n v="0"/>
    <n v="41"/>
    <n v="3"/>
    <n v="6.7484662576687171E-2"/>
    <n v="0"/>
    <n v="815"/>
    <n v="400"/>
    <n v="815"/>
    <n v="815"/>
    <n v="815"/>
    <n v="1"/>
    <n v="0"/>
    <n v="1"/>
    <n v="0.48192771084337349"/>
    <n v="1"/>
    <n v="3"/>
    <n v="60"/>
    <n v="0"/>
    <n v="300"/>
    <x v="0"/>
    <s v="Yes"/>
    <s v="KMSS-BMO"/>
    <x v="0"/>
    <x v="0"/>
    <x v="0"/>
    <n v="24.260719999999999"/>
    <n v="97.238829999999993"/>
    <s v="MMR001CMP050"/>
    <x v="0"/>
    <m/>
  </r>
  <r>
    <x v="0"/>
    <x v="1"/>
    <x v="1"/>
    <s v="WHH-AA / USAID"/>
    <x v="0"/>
    <x v="1"/>
    <x v="0"/>
    <x v="2"/>
    <n v="141"/>
    <n v="665"/>
    <d v="2019-01-01T00:00:00"/>
    <d v="2019-12-31T00:00:00"/>
    <m/>
    <m/>
    <m/>
    <m/>
    <s v="Yes"/>
    <n v="2"/>
    <n v="3"/>
    <n v="1"/>
    <m/>
    <m/>
    <n v="1"/>
    <n v="1"/>
    <m/>
    <m/>
    <m/>
    <m/>
    <m/>
    <m/>
    <m/>
    <m/>
    <m/>
    <m/>
    <m/>
    <m/>
    <m/>
    <m/>
    <m/>
    <m/>
    <m/>
    <n v="28"/>
    <m/>
    <m/>
    <m/>
    <m/>
    <m/>
    <m/>
    <m/>
    <x v="0"/>
    <x v="0"/>
    <m/>
    <m/>
    <m/>
    <m/>
    <n v="10"/>
    <m/>
    <m/>
    <n v="3"/>
    <m/>
    <m/>
    <m/>
    <m/>
    <m/>
    <m/>
    <m/>
    <m/>
    <m/>
    <s v="no test"/>
    <s v="no test"/>
    <x v="1"/>
    <n v="1"/>
    <n v="2"/>
    <n v="0"/>
    <n v="0"/>
    <n v="0"/>
    <n v="1"/>
    <n v="1"/>
    <n v="1"/>
    <n v="665"/>
    <n v="0"/>
    <n v="0"/>
    <n v="1"/>
    <n v="665"/>
    <n v="1.33"/>
    <n v="0"/>
    <n v="0"/>
    <n v="0"/>
    <n v="1"/>
    <n v="28"/>
    <n v="0.84210526315789469"/>
    <n v="560"/>
    <n v="0"/>
    <n v="0"/>
    <n v="33"/>
    <n v="5"/>
    <n v="0.15789473684210531"/>
    <n v="0"/>
    <n v="0"/>
    <n v="0"/>
    <n v="0"/>
    <n v="0"/>
    <n v="0"/>
    <n v="0"/>
    <n v="1"/>
    <n v="0"/>
    <n v="0"/>
    <n v="0"/>
    <n v="10"/>
    <n v="141"/>
    <n v="0"/>
    <n v="665"/>
    <x v="0"/>
    <n v="0"/>
    <n v="0"/>
    <x v="0"/>
    <x v="0"/>
    <x v="0"/>
    <n v="0"/>
    <n v="0"/>
    <n v="0"/>
    <x v="0"/>
    <m/>
  </r>
  <r>
    <x v="0"/>
    <x v="2"/>
    <x v="2"/>
    <m/>
    <x v="0"/>
    <x v="0"/>
    <x v="1"/>
    <x v="3"/>
    <n v="190"/>
    <n v="928"/>
    <m/>
    <m/>
    <m/>
    <m/>
    <m/>
    <m/>
    <m/>
    <m/>
    <m/>
    <m/>
    <m/>
    <m/>
    <m/>
    <m/>
    <m/>
    <m/>
    <m/>
    <m/>
    <m/>
    <m/>
    <m/>
    <m/>
    <m/>
    <m/>
    <m/>
    <m/>
    <m/>
    <m/>
    <m/>
    <m/>
    <m/>
    <m/>
    <m/>
    <m/>
    <m/>
    <m/>
    <m/>
    <m/>
    <m/>
    <x v="1"/>
    <x v="1"/>
    <m/>
    <m/>
    <m/>
    <m/>
    <m/>
    <m/>
    <m/>
    <m/>
    <m/>
    <m/>
    <m/>
    <m/>
    <m/>
    <m/>
    <m/>
    <m/>
    <m/>
    <s v="no test"/>
    <s v="no test"/>
    <x v="1"/>
    <n v="0"/>
    <n v="0"/>
    <n v="0"/>
    <n v="0"/>
    <n v="0"/>
    <n v="0"/>
    <n v="0"/>
    <n v="0"/>
    <n v="0"/>
    <n v="0"/>
    <n v="0"/>
    <n v="0"/>
    <n v="0"/>
    <n v="0"/>
    <n v="1"/>
    <n v="928"/>
    <n v="2"/>
    <n v="2"/>
    <n v="0"/>
    <n v="0"/>
    <n v="0"/>
    <n v="0"/>
    <n v="0"/>
    <n v="46"/>
    <n v="46"/>
    <n v="1"/>
    <n v="0"/>
    <n v="0"/>
    <n v="0"/>
    <n v="0"/>
    <n v="0"/>
    <n v="0"/>
    <n v="0"/>
    <n v="1"/>
    <n v="0"/>
    <n v="0"/>
    <n v="0"/>
    <n v="0"/>
    <n v="0"/>
    <n v="0"/>
    <n v="0"/>
    <x v="0"/>
    <n v="0"/>
    <s v="uncovered"/>
    <x v="0"/>
    <x v="1"/>
    <x v="0"/>
    <n v="24.263786"/>
    <n v="97.228835000000004"/>
    <s v="MMR001CMP163"/>
    <x v="1"/>
    <m/>
  </r>
  <r>
    <x v="0"/>
    <x v="1"/>
    <x v="1"/>
    <s v="WHH-AA / USAID"/>
    <x v="0"/>
    <x v="0"/>
    <x v="1"/>
    <x v="4"/>
    <n v="11"/>
    <n v="52"/>
    <d v="2019-01-01T00:00:00"/>
    <d v="2019-12-31T00:00:00"/>
    <m/>
    <m/>
    <m/>
    <m/>
    <s v="No"/>
    <m/>
    <m/>
    <m/>
    <m/>
    <m/>
    <m/>
    <n v="1"/>
    <m/>
    <m/>
    <m/>
    <m/>
    <m/>
    <m/>
    <m/>
    <m/>
    <m/>
    <m/>
    <m/>
    <m/>
    <m/>
    <m/>
    <m/>
    <m/>
    <m/>
    <n v="2"/>
    <m/>
    <m/>
    <m/>
    <m/>
    <m/>
    <m/>
    <m/>
    <x v="0"/>
    <x v="2"/>
    <m/>
    <m/>
    <m/>
    <m/>
    <n v="1"/>
    <m/>
    <m/>
    <n v="1"/>
    <m/>
    <m/>
    <m/>
    <n v="11"/>
    <n v="2"/>
    <m/>
    <m/>
    <m/>
    <m/>
    <s v="no test"/>
    <s v="no test"/>
    <x v="1"/>
    <n v="0"/>
    <n v="1"/>
    <n v="0"/>
    <n v="0"/>
    <n v="0"/>
    <n v="1"/>
    <n v="1"/>
    <n v="1"/>
    <n v="52"/>
    <n v="0"/>
    <n v="0"/>
    <n v="1"/>
    <n v="52"/>
    <n v="0.104"/>
    <n v="0"/>
    <n v="0"/>
    <n v="0.89600000000000002"/>
    <n v="1"/>
    <n v="2"/>
    <n v="0.76923076923076927"/>
    <n v="40"/>
    <n v="0"/>
    <n v="0"/>
    <n v="3"/>
    <n v="1"/>
    <n v="0.23076923076923073"/>
    <n v="0"/>
    <n v="0"/>
    <n v="52"/>
    <n v="10"/>
    <n v="52"/>
    <n v="52"/>
    <n v="1"/>
    <n v="0"/>
    <n v="0"/>
    <n v="1"/>
    <n v="0.18181818181818182"/>
    <n v="1"/>
    <n v="11"/>
    <n v="0"/>
    <n v="52"/>
    <x v="0"/>
    <s v="Yes"/>
    <s v="KBC"/>
    <x v="0"/>
    <x v="0"/>
    <x v="0"/>
    <n v="24.260466999999998"/>
    <n v="97.252650000000003"/>
    <s v="MMR001CMP194"/>
    <x v="0"/>
    <m/>
  </r>
  <r>
    <x v="0"/>
    <x v="3"/>
    <x v="3"/>
    <s v="DFID(HARP)/UNICEF"/>
    <x v="0"/>
    <x v="2"/>
    <x v="1"/>
    <x v="5"/>
    <n v="101"/>
    <n v="458"/>
    <s v="1-Jan-2019 / 1-Dec-2018"/>
    <s v="31-3-2019 / 30-Nov-2019"/>
    <n v="132"/>
    <m/>
    <m/>
    <m/>
    <s v="Yes"/>
    <m/>
    <m/>
    <m/>
    <m/>
    <m/>
    <m/>
    <m/>
    <m/>
    <m/>
    <n v="1"/>
    <m/>
    <m/>
    <m/>
    <m/>
    <m/>
    <m/>
    <m/>
    <m/>
    <m/>
    <m/>
    <m/>
    <m/>
    <m/>
    <m/>
    <n v="90"/>
    <m/>
    <m/>
    <m/>
    <m/>
    <m/>
    <m/>
    <m/>
    <x v="0"/>
    <x v="0"/>
    <n v="3"/>
    <m/>
    <m/>
    <m/>
    <n v="2"/>
    <m/>
    <m/>
    <n v="3"/>
    <m/>
    <m/>
    <n v="2"/>
    <n v="40"/>
    <m/>
    <s v="No"/>
    <m/>
    <m/>
    <m/>
    <s v="no test"/>
    <s v="no test"/>
    <x v="1"/>
    <n v="0"/>
    <n v="0"/>
    <n v="1"/>
    <n v="0"/>
    <n v="0"/>
    <n v="0.14556040756914121"/>
    <n v="0.14556040756914121"/>
    <n v="0.14556040756914121"/>
    <n v="66.666666666666671"/>
    <n v="0"/>
    <n v="0"/>
    <n v="0.14556040756914121"/>
    <n v="66.666666666666671"/>
    <n v="0.13333333333333333"/>
    <n v="0.85443959243085876"/>
    <n v="391.33333333333331"/>
    <n v="0.8666666666666667"/>
    <n v="1"/>
    <n v="90"/>
    <n v="1"/>
    <n v="458"/>
    <n v="0"/>
    <n v="0"/>
    <n v="23"/>
    <n v="0"/>
    <n v="0"/>
    <n v="0"/>
    <n v="458"/>
    <n v="200"/>
    <n v="0"/>
    <n v="200"/>
    <n v="458"/>
    <n v="1"/>
    <n v="0"/>
    <n v="1"/>
    <n v="0.39603960396039606"/>
    <n v="0"/>
    <n v="2"/>
    <n v="40"/>
    <n v="0"/>
    <n v="200"/>
    <x v="1"/>
    <s v="Yes"/>
    <s v="KMSS-MYT"/>
    <x v="0"/>
    <x v="0"/>
    <x v="1"/>
    <n v="25.220278"/>
    <n v="97.915833000000006"/>
    <s v="MMR001CMP113"/>
    <x v="0"/>
    <m/>
  </r>
  <r>
    <x v="0"/>
    <x v="4"/>
    <x v="4"/>
    <m/>
    <x v="0"/>
    <x v="3"/>
    <x v="0"/>
    <x v="6"/>
    <n v="24"/>
    <n v="103"/>
    <m/>
    <m/>
    <m/>
    <m/>
    <m/>
    <m/>
    <m/>
    <m/>
    <m/>
    <n v="0"/>
    <m/>
    <m/>
    <n v="0"/>
    <m/>
    <m/>
    <m/>
    <m/>
    <m/>
    <m/>
    <m/>
    <m/>
    <m/>
    <m/>
    <n v="0"/>
    <m/>
    <m/>
    <m/>
    <m/>
    <m/>
    <m/>
    <m/>
    <n v="0"/>
    <m/>
    <m/>
    <m/>
    <m/>
    <n v="0"/>
    <m/>
    <n v="0"/>
    <x v="2"/>
    <x v="2"/>
    <m/>
    <m/>
    <m/>
    <m/>
    <m/>
    <m/>
    <m/>
    <m/>
    <m/>
    <m/>
    <m/>
    <m/>
    <m/>
    <m/>
    <m/>
    <m/>
    <m/>
    <s v="no test"/>
    <s v="no test"/>
    <x v="1"/>
    <n v="0"/>
    <n v="0"/>
    <n v="0"/>
    <n v="0"/>
    <n v="0"/>
    <n v="0"/>
    <n v="0"/>
    <n v="0"/>
    <n v="0"/>
    <n v="0"/>
    <n v="0"/>
    <n v="0"/>
    <n v="0"/>
    <n v="0"/>
    <n v="1"/>
    <n v="103"/>
    <n v="1"/>
    <n v="1"/>
    <n v="0"/>
    <n v="0"/>
    <n v="0"/>
    <n v="0"/>
    <n v="0"/>
    <n v="5"/>
    <n v="5"/>
    <n v="1"/>
    <n v="0"/>
    <n v="0"/>
    <n v="0"/>
    <n v="0"/>
    <n v="0"/>
    <n v="0"/>
    <n v="0"/>
    <n v="1"/>
    <n v="0"/>
    <n v="0"/>
    <n v="0"/>
    <n v="0"/>
    <n v="0"/>
    <n v="0"/>
    <n v="0"/>
    <x v="0"/>
    <n v="0"/>
    <n v="0"/>
    <x v="0"/>
    <x v="2"/>
    <x v="1"/>
    <n v="0"/>
    <n v="0"/>
    <n v="0"/>
    <x v="0"/>
    <m/>
  </r>
  <r>
    <x v="0"/>
    <x v="1"/>
    <x v="1"/>
    <s v="WHH-AA / USAID"/>
    <x v="0"/>
    <x v="0"/>
    <x v="1"/>
    <x v="7"/>
    <n v="40"/>
    <n v="235"/>
    <d v="2019-01-01T00:00:00"/>
    <d v="2019-12-31T00:00:00"/>
    <m/>
    <m/>
    <m/>
    <m/>
    <s v="Yes"/>
    <n v="1"/>
    <n v="2"/>
    <n v="1"/>
    <m/>
    <m/>
    <m/>
    <n v="2"/>
    <m/>
    <m/>
    <m/>
    <m/>
    <m/>
    <m/>
    <m/>
    <m/>
    <m/>
    <m/>
    <m/>
    <m/>
    <m/>
    <m/>
    <m/>
    <m/>
    <m/>
    <n v="7"/>
    <m/>
    <m/>
    <m/>
    <m/>
    <m/>
    <m/>
    <m/>
    <x v="0"/>
    <x v="0"/>
    <m/>
    <m/>
    <m/>
    <m/>
    <n v="3"/>
    <m/>
    <m/>
    <n v="2"/>
    <m/>
    <m/>
    <m/>
    <n v="40"/>
    <n v="5"/>
    <m/>
    <m/>
    <m/>
    <m/>
    <s v="no test"/>
    <s v="no test"/>
    <x v="1"/>
    <n v="1"/>
    <n v="2"/>
    <n v="0"/>
    <n v="0"/>
    <n v="0"/>
    <n v="1"/>
    <n v="1"/>
    <n v="1"/>
    <n v="235"/>
    <n v="0"/>
    <n v="0"/>
    <n v="1"/>
    <n v="235"/>
    <n v="0.47"/>
    <n v="0"/>
    <n v="0"/>
    <n v="0.53"/>
    <n v="1"/>
    <n v="7"/>
    <n v="0.5957446808510638"/>
    <n v="140"/>
    <n v="0"/>
    <n v="0"/>
    <n v="12"/>
    <n v="5"/>
    <n v="0.4042553191489362"/>
    <n v="0"/>
    <n v="0"/>
    <n v="235"/>
    <n v="25"/>
    <n v="235"/>
    <n v="235"/>
    <n v="1"/>
    <n v="0"/>
    <n v="0"/>
    <n v="1"/>
    <n v="0.125"/>
    <n v="3"/>
    <n v="40"/>
    <n v="0"/>
    <n v="235"/>
    <x v="0"/>
    <s v="Yes"/>
    <s v="KBC"/>
    <x v="0"/>
    <x v="0"/>
    <x v="0"/>
    <n v="24.24766"/>
    <n v="97.236919999999998"/>
    <s v="MMR001CMP052"/>
    <x v="0"/>
    <m/>
  </r>
  <r>
    <x v="0"/>
    <x v="1"/>
    <x v="1"/>
    <s v="WHH-BMZ,WHH-AA"/>
    <x v="0"/>
    <x v="2"/>
    <x v="1"/>
    <x v="8"/>
    <n v="144"/>
    <n v="862"/>
    <m/>
    <d v="2018-12-31T00:00:00"/>
    <m/>
    <m/>
    <m/>
    <m/>
    <m/>
    <m/>
    <m/>
    <m/>
    <m/>
    <m/>
    <m/>
    <m/>
    <m/>
    <m/>
    <m/>
    <m/>
    <m/>
    <m/>
    <m/>
    <m/>
    <m/>
    <m/>
    <m/>
    <m/>
    <m/>
    <m/>
    <m/>
    <m/>
    <m/>
    <m/>
    <m/>
    <m/>
    <m/>
    <m/>
    <m/>
    <m/>
    <m/>
    <x v="0"/>
    <x v="0"/>
    <m/>
    <m/>
    <m/>
    <m/>
    <m/>
    <m/>
    <m/>
    <m/>
    <m/>
    <m/>
    <m/>
    <m/>
    <m/>
    <m/>
    <m/>
    <m/>
    <m/>
    <s v="no test"/>
    <s v="no test"/>
    <x v="1"/>
    <n v="0"/>
    <n v="0"/>
    <n v="0"/>
    <n v="0"/>
    <n v="0"/>
    <n v="0"/>
    <n v="0"/>
    <n v="0"/>
    <n v="0"/>
    <n v="0"/>
    <n v="0"/>
    <n v="0"/>
    <n v="0"/>
    <n v="0"/>
    <n v="1"/>
    <n v="862"/>
    <n v="2"/>
    <n v="2"/>
    <n v="0"/>
    <n v="0"/>
    <n v="0"/>
    <n v="0"/>
    <n v="0"/>
    <n v="43"/>
    <n v="43"/>
    <n v="1"/>
    <n v="0"/>
    <n v="0"/>
    <n v="0"/>
    <n v="0"/>
    <n v="0"/>
    <n v="0"/>
    <n v="0"/>
    <n v="1"/>
    <n v="0"/>
    <n v="0"/>
    <n v="0"/>
    <n v="0"/>
    <n v="0"/>
    <n v="0"/>
    <n v="0"/>
    <x v="0"/>
    <n v="0"/>
    <s v="uncovered"/>
    <x v="0"/>
    <x v="3"/>
    <x v="1"/>
    <n v="24.752471"/>
    <n v="97.541793999999996"/>
    <s v="MMR001CMP208"/>
    <x v="0"/>
    <m/>
  </r>
  <r>
    <x v="0"/>
    <x v="3"/>
    <x v="3"/>
    <s v="DFID(HARP)/UNICEF"/>
    <x v="0"/>
    <x v="1"/>
    <x v="1"/>
    <x v="9"/>
    <n v="101"/>
    <n v="458"/>
    <s v="1-Jan-2019 / 1-Dec-2018"/>
    <s v="31-3-2019 / 30-Nov-2019"/>
    <n v="260"/>
    <m/>
    <m/>
    <m/>
    <s v="Yes"/>
    <m/>
    <m/>
    <m/>
    <m/>
    <m/>
    <m/>
    <m/>
    <m/>
    <m/>
    <n v="1"/>
    <m/>
    <m/>
    <m/>
    <m/>
    <m/>
    <m/>
    <m/>
    <m/>
    <m/>
    <m/>
    <m/>
    <m/>
    <m/>
    <m/>
    <n v="86"/>
    <m/>
    <m/>
    <m/>
    <m/>
    <m/>
    <m/>
    <m/>
    <x v="0"/>
    <x v="0"/>
    <n v="3"/>
    <m/>
    <m/>
    <m/>
    <m/>
    <m/>
    <m/>
    <n v="3"/>
    <m/>
    <m/>
    <n v="2"/>
    <n v="40"/>
    <m/>
    <s v="No"/>
    <m/>
    <m/>
    <m/>
    <s v="no test"/>
    <s v="no test"/>
    <x v="1"/>
    <n v="0"/>
    <n v="0"/>
    <n v="1"/>
    <n v="0"/>
    <n v="0"/>
    <n v="0.14556040756914121"/>
    <n v="0.14556040756914121"/>
    <n v="0.14556040756914121"/>
    <n v="66.666666666666671"/>
    <n v="0"/>
    <n v="0"/>
    <n v="0.14556040756914121"/>
    <n v="66.666666666666671"/>
    <n v="0.13333333333333333"/>
    <n v="0.85443959243085876"/>
    <n v="391.33333333333331"/>
    <n v="0.8666666666666667"/>
    <n v="1"/>
    <n v="86"/>
    <n v="1"/>
    <n v="458"/>
    <n v="0"/>
    <n v="0"/>
    <n v="23"/>
    <n v="0"/>
    <n v="0"/>
    <n v="0"/>
    <n v="458"/>
    <n v="200"/>
    <n v="0"/>
    <n v="200"/>
    <n v="458"/>
    <n v="1"/>
    <n v="0"/>
    <n v="1"/>
    <n v="0.39603960396039606"/>
    <n v="0"/>
    <n v="0"/>
    <n v="0"/>
    <n v="0"/>
    <n v="0"/>
    <x v="1"/>
    <s v="Yes"/>
    <s v="KMSS-MYT"/>
    <x v="0"/>
    <x v="0"/>
    <x v="1"/>
    <n v="24.461033"/>
    <n v="97.537099999999995"/>
    <s v="MMR001CMP123"/>
    <x v="0"/>
    <m/>
  </r>
  <r>
    <x v="0"/>
    <x v="4"/>
    <x v="4"/>
    <m/>
    <x v="0"/>
    <x v="4"/>
    <x v="0"/>
    <x v="10"/>
    <n v="86"/>
    <n v="381"/>
    <m/>
    <m/>
    <m/>
    <m/>
    <m/>
    <m/>
    <m/>
    <m/>
    <m/>
    <n v="0"/>
    <m/>
    <m/>
    <n v="0"/>
    <m/>
    <m/>
    <m/>
    <m/>
    <m/>
    <m/>
    <m/>
    <m/>
    <m/>
    <m/>
    <n v="0"/>
    <m/>
    <m/>
    <m/>
    <m/>
    <m/>
    <m/>
    <m/>
    <n v="0"/>
    <m/>
    <m/>
    <m/>
    <m/>
    <m/>
    <m/>
    <n v="0"/>
    <x v="2"/>
    <x v="2"/>
    <m/>
    <m/>
    <m/>
    <m/>
    <m/>
    <m/>
    <m/>
    <m/>
    <m/>
    <m/>
    <m/>
    <m/>
    <m/>
    <m/>
    <m/>
    <m/>
    <m/>
    <s v="no test"/>
    <s v="no test"/>
    <x v="1"/>
    <n v="0"/>
    <n v="0"/>
    <n v="0"/>
    <n v="0"/>
    <n v="0"/>
    <n v="0"/>
    <n v="0"/>
    <n v="0"/>
    <n v="0"/>
    <n v="0"/>
    <n v="0"/>
    <n v="0"/>
    <n v="0"/>
    <n v="0"/>
    <n v="1"/>
    <n v="381"/>
    <n v="1"/>
    <n v="1"/>
    <n v="0"/>
    <n v="0"/>
    <n v="0"/>
    <n v="0"/>
    <n v="0"/>
    <n v="19"/>
    <n v="19"/>
    <n v="1"/>
    <n v="0"/>
    <n v="0"/>
    <n v="0"/>
    <n v="0"/>
    <n v="0"/>
    <n v="0"/>
    <n v="0"/>
    <n v="1"/>
    <n v="0"/>
    <n v="0"/>
    <n v="0"/>
    <n v="0"/>
    <n v="0"/>
    <n v="0"/>
    <n v="0"/>
    <x v="0"/>
    <n v="0"/>
    <n v="0"/>
    <x v="0"/>
    <x v="2"/>
    <x v="1"/>
    <n v="0"/>
    <n v="0"/>
    <n v="0"/>
    <x v="0"/>
    <m/>
  </r>
  <r>
    <x v="0"/>
    <x v="0"/>
    <x v="0"/>
    <s v="ECHO, OFDA"/>
    <x v="0"/>
    <x v="1"/>
    <x v="1"/>
    <x v="11"/>
    <n v="40"/>
    <n v="240"/>
    <s v="01/01/2018, 01/07/2018"/>
    <s v="28-02-2019, 30/06/2019"/>
    <m/>
    <n v="0"/>
    <n v="0"/>
    <n v="0"/>
    <s v="Yes"/>
    <n v="4"/>
    <n v="7"/>
    <n v="1"/>
    <n v="0"/>
    <m/>
    <n v="0"/>
    <n v="0"/>
    <m/>
    <m/>
    <m/>
    <m/>
    <m/>
    <m/>
    <m/>
    <m/>
    <m/>
    <m/>
    <n v="1"/>
    <n v="1"/>
    <n v="4"/>
    <n v="0"/>
    <m/>
    <m/>
    <m/>
    <n v="9"/>
    <m/>
    <m/>
    <m/>
    <m/>
    <n v="9"/>
    <m/>
    <m/>
    <x v="0"/>
    <x v="0"/>
    <n v="0"/>
    <n v="0"/>
    <m/>
    <m/>
    <n v="4"/>
    <n v="2"/>
    <m/>
    <n v="1"/>
    <m/>
    <n v="0"/>
    <n v="1"/>
    <n v="3"/>
    <n v="38"/>
    <m/>
    <m/>
    <m/>
    <m/>
    <n v="1"/>
    <n v="0"/>
    <x v="0"/>
    <n v="1"/>
    <n v="0"/>
    <n v="0"/>
    <n v="0"/>
    <n v="0"/>
    <n v="1"/>
    <n v="1"/>
    <n v="1"/>
    <n v="240"/>
    <n v="0"/>
    <n v="0"/>
    <n v="1"/>
    <n v="240"/>
    <n v="0.48"/>
    <n v="0"/>
    <n v="0"/>
    <n v="0.52"/>
    <n v="1"/>
    <n v="9"/>
    <n v="0.75"/>
    <n v="180"/>
    <n v="180"/>
    <n v="0"/>
    <n v="12"/>
    <n v="3"/>
    <n v="0.25"/>
    <n v="0"/>
    <n v="240"/>
    <n v="15"/>
    <n v="190"/>
    <n v="190"/>
    <n v="240"/>
    <n v="1"/>
    <n v="0"/>
    <n v="1"/>
    <n v="7.4999999999999997E-2"/>
    <n v="0.95"/>
    <n v="2"/>
    <n v="40"/>
    <n v="0"/>
    <n v="200"/>
    <x v="0"/>
    <s v="Yes"/>
    <s v="KBC"/>
    <x v="0"/>
    <x v="0"/>
    <x v="0"/>
    <n v="24.200972"/>
    <n v="97.718582999999995"/>
    <s v="MMR001CMP071"/>
    <x v="0"/>
    <m/>
  </r>
  <r>
    <x v="0"/>
    <x v="1"/>
    <x v="1"/>
    <s v="WHH-AA / USAID"/>
    <x v="0"/>
    <x v="1"/>
    <x v="0"/>
    <x v="12"/>
    <n v="17"/>
    <n v="106"/>
    <d v="2019-01-01T00:00:00"/>
    <d v="2019-12-31T00:00:00"/>
    <m/>
    <m/>
    <m/>
    <m/>
    <s v="No"/>
    <m/>
    <m/>
    <n v="1"/>
    <m/>
    <m/>
    <m/>
    <m/>
    <m/>
    <m/>
    <m/>
    <m/>
    <m/>
    <m/>
    <m/>
    <m/>
    <m/>
    <m/>
    <m/>
    <m/>
    <m/>
    <m/>
    <m/>
    <m/>
    <m/>
    <n v="4"/>
    <m/>
    <m/>
    <n v="1"/>
    <m/>
    <m/>
    <m/>
    <m/>
    <x v="0"/>
    <x v="0"/>
    <m/>
    <m/>
    <m/>
    <m/>
    <n v="2"/>
    <m/>
    <m/>
    <n v="2"/>
    <m/>
    <m/>
    <m/>
    <m/>
    <m/>
    <m/>
    <m/>
    <m/>
    <m/>
    <s v="no test"/>
    <s v="no test"/>
    <x v="1"/>
    <n v="1"/>
    <n v="0"/>
    <n v="0"/>
    <n v="0"/>
    <n v="0"/>
    <n v="1"/>
    <n v="1"/>
    <n v="1"/>
    <n v="106"/>
    <n v="0"/>
    <n v="0"/>
    <n v="1"/>
    <n v="106"/>
    <n v="0.21199999999999999"/>
    <n v="0"/>
    <n v="0"/>
    <n v="0.78800000000000003"/>
    <n v="1"/>
    <n v="3"/>
    <n v="0.56603773584905659"/>
    <n v="60"/>
    <n v="0"/>
    <n v="0"/>
    <n v="5"/>
    <n v="1"/>
    <n v="0.43396226415094341"/>
    <n v="0.25"/>
    <n v="0"/>
    <n v="0"/>
    <n v="0"/>
    <n v="0"/>
    <n v="0"/>
    <n v="0"/>
    <n v="1"/>
    <n v="0"/>
    <n v="0"/>
    <n v="0"/>
    <n v="2"/>
    <n v="17"/>
    <n v="0"/>
    <n v="106"/>
    <x v="0"/>
    <n v="0"/>
    <n v="0"/>
    <x v="0"/>
    <x v="0"/>
    <x v="0"/>
    <n v="0"/>
    <n v="0"/>
    <n v="0"/>
    <x v="0"/>
    <m/>
  </r>
  <r>
    <x v="0"/>
    <x v="5"/>
    <x v="5"/>
    <s v="DFID"/>
    <x v="0"/>
    <x v="5"/>
    <x v="1"/>
    <x v="13"/>
    <n v="162"/>
    <n v="830"/>
    <d v="2018-08-01T00:00:00"/>
    <d v="2020-07-31T00:00:00"/>
    <m/>
    <n v="1"/>
    <m/>
    <m/>
    <s v="Yes"/>
    <n v="2"/>
    <n v="3"/>
    <n v="0"/>
    <m/>
    <m/>
    <n v="0"/>
    <m/>
    <m/>
    <m/>
    <n v="1"/>
    <m/>
    <m/>
    <m/>
    <m/>
    <m/>
    <m/>
    <n v="1"/>
    <m/>
    <m/>
    <m/>
    <m/>
    <m/>
    <m/>
    <m/>
    <n v="40"/>
    <n v="12"/>
    <s v="ICRC"/>
    <n v="0"/>
    <n v="0"/>
    <n v="0"/>
    <n v="0"/>
    <n v="0"/>
    <x v="2"/>
    <x v="3"/>
    <n v="0"/>
    <n v="0"/>
    <n v="0"/>
    <m/>
    <n v="5"/>
    <n v="5"/>
    <n v="0"/>
    <n v="8"/>
    <n v="8"/>
    <n v="2"/>
    <n v="3"/>
    <n v="0"/>
    <n v="0"/>
    <s v="No"/>
    <n v="0"/>
    <n v="0.2"/>
    <m/>
    <s v="no test"/>
    <s v="no test"/>
    <x v="1"/>
    <n v="0"/>
    <n v="0"/>
    <n v="1"/>
    <n v="0"/>
    <n v="0"/>
    <n v="8.0321285140562249E-2"/>
    <n v="8.0321285140562249E-2"/>
    <n v="8.0321285140562249E-2"/>
    <n v="66.666666666666671"/>
    <n v="0"/>
    <n v="0"/>
    <n v="8.0321285140562249E-2"/>
    <n v="66.666666666666671"/>
    <n v="0.13333333333333333"/>
    <n v="0.91967871485943775"/>
    <n v="763.33333333333337"/>
    <n v="1.8666666666666667"/>
    <n v="2"/>
    <n v="52"/>
    <n v="1"/>
    <n v="830"/>
    <n v="0"/>
    <n v="0"/>
    <n v="42"/>
    <n v="0"/>
    <n v="0"/>
    <n v="0"/>
    <n v="830"/>
    <n v="0"/>
    <n v="0"/>
    <n v="0"/>
    <n v="830"/>
    <n v="1"/>
    <n v="0"/>
    <n v="1"/>
    <n v="0"/>
    <n v="0"/>
    <n v="0"/>
    <n v="0"/>
    <n v="0"/>
    <n v="0"/>
    <x v="0"/>
    <s v="Yes"/>
    <s v="Shalom"/>
    <x v="0"/>
    <x v="0"/>
    <x v="0"/>
    <n v="25.889410000000002"/>
    <n v="98.131550000000004"/>
    <s v="MMR001CMP042"/>
    <x v="0"/>
    <m/>
  </r>
  <r>
    <x v="0"/>
    <x v="4"/>
    <x v="4"/>
    <s v="Plan/GFFO,ADRA/CANADA  "/>
    <x v="0"/>
    <x v="3"/>
    <x v="1"/>
    <x v="14"/>
    <n v="43"/>
    <n v="197"/>
    <d v="2019-04-01T00:00:00"/>
    <d v="2019-07-31T00:00:00"/>
    <m/>
    <m/>
    <m/>
    <m/>
    <s v="Yes"/>
    <m/>
    <m/>
    <n v="0"/>
    <m/>
    <m/>
    <n v="3"/>
    <m/>
    <m/>
    <m/>
    <m/>
    <m/>
    <m/>
    <m/>
    <m/>
    <m/>
    <m/>
    <n v="3"/>
    <m/>
    <m/>
    <m/>
    <m/>
    <m/>
    <m/>
    <m/>
    <n v="7"/>
    <m/>
    <m/>
    <m/>
    <m/>
    <n v="9"/>
    <m/>
    <n v="7"/>
    <x v="0"/>
    <x v="0"/>
    <m/>
    <m/>
    <m/>
    <m/>
    <m/>
    <m/>
    <m/>
    <n v="3"/>
    <m/>
    <m/>
    <n v="2"/>
    <m/>
    <m/>
    <m/>
    <m/>
    <m/>
    <m/>
    <s v="no test"/>
    <s v="no test"/>
    <x v="1"/>
    <n v="0"/>
    <n v="3"/>
    <n v="0"/>
    <n v="0"/>
    <n v="0"/>
    <n v="1"/>
    <n v="1"/>
    <n v="1"/>
    <n v="197"/>
    <n v="0"/>
    <n v="0"/>
    <n v="1"/>
    <n v="197"/>
    <n v="0.39400000000000002"/>
    <n v="0"/>
    <n v="0"/>
    <n v="0.60599999999999998"/>
    <n v="1"/>
    <n v="7"/>
    <n v="0.71065989847715738"/>
    <n v="140"/>
    <n v="180"/>
    <n v="0"/>
    <n v="10"/>
    <n v="3"/>
    <n v="0.28934010152284262"/>
    <n v="0"/>
    <n v="197"/>
    <n v="0"/>
    <n v="0"/>
    <n v="0"/>
    <n v="197"/>
    <n v="1"/>
    <n v="0"/>
    <n v="1"/>
    <n v="0"/>
    <n v="0"/>
    <n v="0"/>
    <n v="0"/>
    <n v="0"/>
    <n v="0"/>
    <x v="0"/>
    <s v="Yes"/>
    <s v="KBC"/>
    <x v="0"/>
    <x v="0"/>
    <x v="0"/>
    <n v="25.395974089999999"/>
    <n v="97.382997579999994"/>
    <s v="MMR001CMP010"/>
    <x v="0"/>
    <m/>
  </r>
  <r>
    <x v="0"/>
    <x v="5"/>
    <x v="5"/>
    <s v="DFID"/>
    <x v="0"/>
    <x v="5"/>
    <x v="1"/>
    <x v="15"/>
    <n v="205"/>
    <n v="856"/>
    <d v="2018-08-01T00:00:00"/>
    <d v="2020-07-31T00:00:00"/>
    <m/>
    <n v="1"/>
    <m/>
    <m/>
    <s v="Yes"/>
    <n v="4"/>
    <n v="2"/>
    <n v="0"/>
    <m/>
    <m/>
    <n v="0"/>
    <m/>
    <m/>
    <m/>
    <n v="0"/>
    <m/>
    <m/>
    <m/>
    <m/>
    <m/>
    <m/>
    <n v="2"/>
    <m/>
    <m/>
    <m/>
    <m/>
    <m/>
    <m/>
    <m/>
    <n v="47"/>
    <n v="14"/>
    <s v="Oxfam/ ICRC"/>
    <n v="0"/>
    <n v="0"/>
    <n v="0"/>
    <n v="0"/>
    <n v="0"/>
    <x v="2"/>
    <x v="3"/>
    <n v="0"/>
    <n v="0"/>
    <n v="0"/>
    <m/>
    <n v="3"/>
    <n v="3"/>
    <n v="0"/>
    <n v="12"/>
    <n v="12"/>
    <n v="4"/>
    <n v="2"/>
    <n v="0"/>
    <n v="0"/>
    <s v="No"/>
    <n v="0"/>
    <n v="0.2"/>
    <m/>
    <s v="no test"/>
    <s v="no test"/>
    <x v="1"/>
    <n v="0"/>
    <n v="0"/>
    <n v="0"/>
    <n v="0"/>
    <n v="0"/>
    <n v="0"/>
    <n v="0"/>
    <n v="0"/>
    <n v="0"/>
    <n v="0"/>
    <n v="0"/>
    <n v="0"/>
    <n v="0"/>
    <n v="0"/>
    <n v="1"/>
    <n v="856"/>
    <n v="2"/>
    <n v="2"/>
    <n v="61"/>
    <n v="1"/>
    <n v="856"/>
    <n v="0"/>
    <n v="0"/>
    <n v="43"/>
    <n v="0"/>
    <n v="0"/>
    <n v="0"/>
    <n v="856"/>
    <n v="0"/>
    <n v="0"/>
    <n v="0"/>
    <n v="856"/>
    <n v="1"/>
    <n v="0"/>
    <n v="1"/>
    <n v="0"/>
    <n v="0"/>
    <n v="0"/>
    <n v="0"/>
    <n v="0"/>
    <n v="0"/>
    <x v="0"/>
    <s v="Yes"/>
    <s v="Shalom"/>
    <x v="0"/>
    <x v="0"/>
    <x v="0"/>
    <n v="25.887339999999998"/>
    <n v="98.129990000000006"/>
    <s v="MMR001CMP195"/>
    <x v="0"/>
    <m/>
  </r>
  <r>
    <x v="0"/>
    <x v="2"/>
    <x v="2"/>
    <m/>
    <x v="0"/>
    <x v="6"/>
    <x v="1"/>
    <x v="16"/>
    <n v="70"/>
    <n v="350"/>
    <m/>
    <m/>
    <m/>
    <m/>
    <m/>
    <m/>
    <m/>
    <m/>
    <m/>
    <m/>
    <m/>
    <m/>
    <m/>
    <m/>
    <m/>
    <m/>
    <m/>
    <m/>
    <m/>
    <m/>
    <m/>
    <m/>
    <m/>
    <m/>
    <m/>
    <m/>
    <m/>
    <m/>
    <m/>
    <m/>
    <m/>
    <m/>
    <m/>
    <m/>
    <m/>
    <m/>
    <m/>
    <m/>
    <m/>
    <x v="1"/>
    <x v="1"/>
    <m/>
    <m/>
    <m/>
    <m/>
    <m/>
    <m/>
    <m/>
    <m/>
    <m/>
    <m/>
    <m/>
    <m/>
    <m/>
    <m/>
    <m/>
    <m/>
    <m/>
    <s v="no test"/>
    <s v="no test"/>
    <x v="1"/>
    <n v="0"/>
    <n v="0"/>
    <n v="0"/>
    <n v="0"/>
    <n v="0"/>
    <n v="0"/>
    <n v="0"/>
    <n v="0"/>
    <n v="0"/>
    <n v="0"/>
    <n v="0"/>
    <n v="0"/>
    <n v="0"/>
    <n v="0"/>
    <n v="1"/>
    <n v="350"/>
    <n v="1"/>
    <n v="1"/>
    <n v="0"/>
    <n v="0"/>
    <n v="0"/>
    <n v="0"/>
    <n v="0"/>
    <n v="18"/>
    <n v="18"/>
    <n v="1"/>
    <n v="0"/>
    <n v="0"/>
    <n v="0"/>
    <n v="0"/>
    <n v="0"/>
    <n v="0"/>
    <n v="0"/>
    <n v="1"/>
    <n v="0"/>
    <n v="0"/>
    <n v="0"/>
    <n v="0"/>
    <n v="0"/>
    <n v="0"/>
    <n v="0"/>
    <x v="0"/>
    <s v="Yes"/>
    <s v="KMSS-MYT"/>
    <x v="0"/>
    <x v="0"/>
    <x v="0"/>
    <n v="25.656009999999998"/>
    <n v="96.361609999999999"/>
    <s v="MMR001CMP168"/>
    <x v="1"/>
    <m/>
  </r>
  <r>
    <x v="0"/>
    <x v="6"/>
    <x v="6"/>
    <s v="WHH-AA, UNIUCEF"/>
    <x v="0"/>
    <x v="1"/>
    <x v="1"/>
    <x v="17"/>
    <n v="718"/>
    <n v="3652"/>
    <s v="12/1/2018,10/1/2018"/>
    <s v="11.30/2019,9/30/2020"/>
    <n v="772"/>
    <n v="0"/>
    <n v="0"/>
    <n v="0"/>
    <s v="Yes"/>
    <n v="0"/>
    <n v="0"/>
    <n v="3"/>
    <m/>
    <m/>
    <m/>
    <m/>
    <m/>
    <m/>
    <n v="2"/>
    <m/>
    <m/>
    <m/>
    <m/>
    <m/>
    <m/>
    <n v="1"/>
    <n v="1"/>
    <n v="0"/>
    <n v="1"/>
    <n v="0"/>
    <m/>
    <m/>
    <m/>
    <n v="300"/>
    <m/>
    <m/>
    <m/>
    <n v="2"/>
    <m/>
    <m/>
    <m/>
    <x v="0"/>
    <x v="0"/>
    <n v="6"/>
    <m/>
    <m/>
    <m/>
    <n v="50"/>
    <m/>
    <m/>
    <n v="22"/>
    <m/>
    <m/>
    <n v="3"/>
    <n v="0"/>
    <n v="0"/>
    <s v="No"/>
    <m/>
    <m/>
    <m/>
    <n v="0"/>
    <n v="0"/>
    <x v="0"/>
    <n v="3"/>
    <n v="0"/>
    <n v="2"/>
    <n v="0"/>
    <n v="0"/>
    <n v="0.36509675063891928"/>
    <n v="0.24187659729828406"/>
    <n v="0.36509675063891928"/>
    <n v="1333.3333333333333"/>
    <n v="0"/>
    <n v="0"/>
    <n v="0.36509675063891928"/>
    <n v="1333.3333333333333"/>
    <n v="2.6666666666666665"/>
    <n v="0.63490324936108067"/>
    <n v="2318.6666666666665"/>
    <n v="4.3333333333333339"/>
    <n v="7"/>
    <n v="300"/>
    <n v="1"/>
    <n v="3652"/>
    <n v="0"/>
    <n v="0"/>
    <n v="183"/>
    <n v="0"/>
    <n v="0"/>
    <n v="0"/>
    <n v="1500"/>
    <n v="0"/>
    <n v="0"/>
    <n v="0"/>
    <n v="1500"/>
    <n v="0.41073384446878425"/>
    <n v="0.58926615553121575"/>
    <n v="0.41073384446878425"/>
    <n v="0"/>
    <n v="0"/>
    <n v="50"/>
    <n v="718"/>
    <n v="0"/>
    <n v="3652"/>
    <x v="1"/>
    <s v="Yes"/>
    <s v="KMSS-MYT"/>
    <x v="0"/>
    <x v="0"/>
    <x v="1"/>
    <n v="24.661905999999998"/>
    <n v="97.573126000000002"/>
    <s v="MMR001CMP122"/>
    <x v="0"/>
    <m/>
  </r>
  <r>
    <x v="0"/>
    <x v="3"/>
    <x v="3"/>
    <s v="DFID(HARP)"/>
    <x v="0"/>
    <x v="3"/>
    <x v="1"/>
    <x v="18"/>
    <n v="90"/>
    <n v="430"/>
    <d v="2019-01-01T00:00:00"/>
    <s v="31-3-2019"/>
    <m/>
    <m/>
    <m/>
    <m/>
    <s v="Yes"/>
    <m/>
    <m/>
    <n v="1"/>
    <m/>
    <m/>
    <m/>
    <m/>
    <m/>
    <m/>
    <m/>
    <m/>
    <m/>
    <m/>
    <m/>
    <m/>
    <m/>
    <m/>
    <m/>
    <m/>
    <m/>
    <m/>
    <m/>
    <m/>
    <m/>
    <n v="22"/>
    <m/>
    <m/>
    <m/>
    <m/>
    <m/>
    <m/>
    <m/>
    <x v="0"/>
    <x v="0"/>
    <m/>
    <m/>
    <m/>
    <m/>
    <m/>
    <m/>
    <m/>
    <n v="3"/>
    <m/>
    <m/>
    <n v="2"/>
    <n v="40"/>
    <m/>
    <m/>
    <m/>
    <m/>
    <m/>
    <s v="no test"/>
    <s v="no test"/>
    <x v="1"/>
    <n v="1"/>
    <n v="0"/>
    <n v="0"/>
    <n v="0"/>
    <n v="0"/>
    <n v="0.93023255813953487"/>
    <n v="0.58139534883720934"/>
    <n v="0.93023255813953487"/>
    <n v="400"/>
    <n v="0"/>
    <n v="0"/>
    <n v="0.93023255813953487"/>
    <n v="400"/>
    <n v="0.8"/>
    <n v="6.9767441860465129E-2"/>
    <n v="30.000000000000007"/>
    <n v="0.19999999999999996"/>
    <n v="1"/>
    <n v="22"/>
    <n v="1"/>
    <n v="430"/>
    <n v="0"/>
    <n v="0"/>
    <n v="22"/>
    <n v="0"/>
    <n v="0"/>
    <n v="0"/>
    <n v="430"/>
    <n v="200"/>
    <n v="0"/>
    <n v="200"/>
    <n v="430"/>
    <n v="1"/>
    <n v="0"/>
    <n v="1"/>
    <n v="0.44444444444444442"/>
    <n v="0"/>
    <n v="0"/>
    <n v="0"/>
    <n v="0"/>
    <n v="0"/>
    <x v="0"/>
    <s v="Yes"/>
    <s v="KMSS-MYT"/>
    <x v="0"/>
    <x v="0"/>
    <x v="0"/>
    <n v="25.401061110000001"/>
    <n v="97.379594999999995"/>
    <s v="MMR001CMP019"/>
    <x v="0"/>
    <m/>
  </r>
  <r>
    <x v="0"/>
    <x v="5"/>
    <x v="5"/>
    <s v="DFID"/>
    <x v="0"/>
    <x v="6"/>
    <x v="1"/>
    <x v="19"/>
    <n v="70"/>
    <n v="371"/>
    <d v="2018-08-01T00:00:00"/>
    <d v="2020-07-31T00:00:00"/>
    <n v="0"/>
    <n v="1"/>
    <n v="0"/>
    <n v="0"/>
    <s v="Yes"/>
    <n v="10"/>
    <n v="3"/>
    <n v="0"/>
    <n v="0"/>
    <n v="0"/>
    <n v="0"/>
    <n v="0"/>
    <n v="0"/>
    <n v="0"/>
    <n v="0"/>
    <n v="0"/>
    <n v="0"/>
    <n v="0"/>
    <n v="0"/>
    <n v="0"/>
    <n v="0"/>
    <n v="1"/>
    <m/>
    <m/>
    <m/>
    <m/>
    <n v="0"/>
    <n v="0"/>
    <m/>
    <n v="15"/>
    <n v="7"/>
    <s v="Chruch"/>
    <n v="0"/>
    <n v="2"/>
    <n v="0"/>
    <m/>
    <n v="0"/>
    <x v="0"/>
    <x v="0"/>
    <n v="0"/>
    <n v="0"/>
    <n v="0"/>
    <m/>
    <n v="0"/>
    <n v="0"/>
    <n v="0"/>
    <n v="2"/>
    <n v="0"/>
    <n v="8"/>
    <n v="5"/>
    <n v="0"/>
    <n v="0"/>
    <s v="No"/>
    <n v="0"/>
    <n v="0.1"/>
    <m/>
    <s v="no test"/>
    <s v="no test"/>
    <x v="1"/>
    <n v="0"/>
    <n v="0"/>
    <n v="0"/>
    <n v="0"/>
    <n v="0"/>
    <n v="0"/>
    <n v="0"/>
    <n v="0"/>
    <n v="0"/>
    <n v="0"/>
    <n v="0"/>
    <n v="0"/>
    <n v="0"/>
    <n v="0"/>
    <n v="1"/>
    <n v="371"/>
    <n v="1"/>
    <n v="1"/>
    <n v="22"/>
    <n v="1"/>
    <n v="371"/>
    <n v="0"/>
    <n v="0"/>
    <n v="19"/>
    <n v="0"/>
    <n v="0"/>
    <n v="0"/>
    <n v="371"/>
    <n v="0"/>
    <n v="0"/>
    <n v="0"/>
    <n v="371"/>
    <n v="1"/>
    <n v="0"/>
    <n v="1"/>
    <n v="0"/>
    <n v="0"/>
    <n v="0"/>
    <n v="0"/>
    <n v="0"/>
    <n v="0"/>
    <x v="0"/>
    <s v="Yes"/>
    <s v="Shalom"/>
    <x v="0"/>
    <x v="0"/>
    <x v="0"/>
    <n v="25.635300000000001"/>
    <n v="96.345569999999995"/>
    <s v="MMR001CMP176"/>
    <x v="0"/>
    <m/>
  </r>
  <r>
    <x v="0"/>
    <x v="5"/>
    <x v="5"/>
    <s v="DFID"/>
    <x v="0"/>
    <x v="6"/>
    <x v="1"/>
    <x v="20"/>
    <n v="13"/>
    <n v="83"/>
    <d v="2018-08-01T00:00:00"/>
    <d v="2020-07-31T00:00:00"/>
    <n v="0"/>
    <n v="1"/>
    <n v="0"/>
    <n v="0"/>
    <s v="Yes"/>
    <n v="0"/>
    <n v="1"/>
    <n v="2"/>
    <n v="1"/>
    <n v="1"/>
    <n v="0"/>
    <n v="0"/>
    <n v="0"/>
    <n v="0"/>
    <n v="0"/>
    <n v="0"/>
    <n v="0"/>
    <n v="0"/>
    <n v="0"/>
    <n v="0"/>
    <n v="0"/>
    <n v="0"/>
    <m/>
    <m/>
    <m/>
    <m/>
    <n v="0"/>
    <n v="0"/>
    <m/>
    <n v="4"/>
    <n v="1"/>
    <s v="Shalom"/>
    <n v="0"/>
    <n v="4"/>
    <n v="0"/>
    <m/>
    <n v="0"/>
    <x v="0"/>
    <x v="4"/>
    <n v="0"/>
    <n v="0"/>
    <n v="0"/>
    <m/>
    <n v="3"/>
    <n v="2"/>
    <n v="0"/>
    <n v="1"/>
    <n v="0"/>
    <n v="1"/>
    <n v="2"/>
    <n v="0"/>
    <n v="0"/>
    <s v="No"/>
    <n v="0"/>
    <n v="0.3"/>
    <m/>
    <s v="no test"/>
    <s v="no test"/>
    <x v="1"/>
    <n v="1"/>
    <n v="0"/>
    <n v="0"/>
    <n v="0"/>
    <n v="0"/>
    <n v="1"/>
    <n v="1"/>
    <n v="1"/>
    <n v="83"/>
    <n v="0"/>
    <n v="0"/>
    <n v="1"/>
    <n v="83"/>
    <n v="0.16600000000000001"/>
    <n v="0"/>
    <n v="0"/>
    <n v="0.83399999999999996"/>
    <n v="1"/>
    <n v="5"/>
    <n v="1"/>
    <n v="83"/>
    <n v="0"/>
    <n v="0"/>
    <n v="4"/>
    <n v="0"/>
    <n v="0"/>
    <n v="0"/>
    <n v="83"/>
    <n v="0"/>
    <n v="0"/>
    <n v="0"/>
    <n v="83"/>
    <n v="1"/>
    <n v="0"/>
    <n v="1"/>
    <n v="0"/>
    <n v="0"/>
    <n v="1"/>
    <n v="13"/>
    <n v="0"/>
    <n v="83"/>
    <x v="0"/>
    <s v="Yes"/>
    <s v="Shalom"/>
    <x v="0"/>
    <x v="0"/>
    <x v="0"/>
    <n v="25.616509000000001"/>
    <n v="96.317350000000005"/>
    <s v="MMR001CMP190"/>
    <x v="0"/>
    <m/>
  </r>
  <r>
    <x v="0"/>
    <x v="5"/>
    <x v="5"/>
    <s v="DFID"/>
    <x v="0"/>
    <x v="6"/>
    <x v="1"/>
    <x v="21"/>
    <n v="36"/>
    <n v="228"/>
    <d v="2018-08-01T00:00:00"/>
    <d v="2020-07-31T00:00:00"/>
    <n v="0"/>
    <n v="1"/>
    <n v="0"/>
    <n v="0"/>
    <s v="Yes"/>
    <n v="2"/>
    <n v="2"/>
    <n v="1"/>
    <n v="0"/>
    <n v="0"/>
    <n v="0"/>
    <n v="0"/>
    <n v="0"/>
    <n v="0"/>
    <n v="0"/>
    <n v="0"/>
    <n v="0"/>
    <n v="0"/>
    <n v="0"/>
    <n v="0"/>
    <n v="0"/>
    <n v="1"/>
    <m/>
    <m/>
    <m/>
    <m/>
    <n v="0"/>
    <n v="0"/>
    <m/>
    <n v="10"/>
    <n v="0"/>
    <s v="Shalom"/>
    <n v="0"/>
    <n v="0"/>
    <n v="0"/>
    <m/>
    <n v="0"/>
    <x v="0"/>
    <x v="0"/>
    <n v="0"/>
    <n v="0"/>
    <n v="0"/>
    <m/>
    <n v="0"/>
    <n v="0"/>
    <n v="0"/>
    <n v="3"/>
    <n v="0"/>
    <n v="2"/>
    <n v="2"/>
    <n v="0"/>
    <n v="0"/>
    <s v="No"/>
    <n v="0"/>
    <n v="0.9"/>
    <m/>
    <s v="no test"/>
    <s v="no test"/>
    <x v="1"/>
    <n v="1"/>
    <n v="0"/>
    <n v="0"/>
    <n v="0"/>
    <n v="0"/>
    <n v="1"/>
    <n v="1"/>
    <n v="1"/>
    <n v="228"/>
    <n v="0"/>
    <n v="0"/>
    <n v="1"/>
    <n v="228"/>
    <n v="0.45600000000000002"/>
    <n v="0"/>
    <n v="0"/>
    <n v="0.54400000000000004"/>
    <n v="1"/>
    <n v="10"/>
    <n v="0.8771929824561403"/>
    <n v="200"/>
    <n v="0"/>
    <n v="0"/>
    <n v="11"/>
    <n v="1"/>
    <n v="0.1228070175438597"/>
    <n v="0"/>
    <n v="228"/>
    <n v="0"/>
    <n v="0"/>
    <n v="0"/>
    <n v="228"/>
    <n v="1"/>
    <n v="0"/>
    <n v="1"/>
    <n v="0"/>
    <n v="0"/>
    <n v="0"/>
    <n v="0"/>
    <n v="0"/>
    <n v="0"/>
    <x v="0"/>
    <s v="Yes"/>
    <s v="KBC"/>
    <x v="0"/>
    <x v="0"/>
    <x v="0"/>
    <n v="25.647649999999999"/>
    <n v="96.346469999999997"/>
    <s v="MMR001CMP169"/>
    <x v="0"/>
    <m/>
  </r>
  <r>
    <x v="0"/>
    <x v="5"/>
    <x v="5"/>
    <s v="DFID"/>
    <x v="0"/>
    <x v="6"/>
    <x v="1"/>
    <x v="22"/>
    <n v="6"/>
    <n v="31"/>
    <d v="2018-08-01T00:00:00"/>
    <d v="2020-07-31T00:00:00"/>
    <n v="0"/>
    <n v="1"/>
    <n v="0"/>
    <n v="0"/>
    <s v="Yes"/>
    <n v="1"/>
    <n v="2"/>
    <n v="0"/>
    <n v="0"/>
    <n v="0"/>
    <n v="0"/>
    <n v="0"/>
    <n v="0"/>
    <n v="0"/>
    <n v="0"/>
    <n v="0"/>
    <n v="0"/>
    <n v="0"/>
    <n v="0"/>
    <n v="0"/>
    <n v="0"/>
    <n v="0"/>
    <m/>
    <m/>
    <m/>
    <m/>
    <n v="0"/>
    <n v="0"/>
    <m/>
    <n v="2"/>
    <n v="0"/>
    <s v="Shalom"/>
    <n v="0"/>
    <n v="0"/>
    <n v="0"/>
    <m/>
    <n v="0"/>
    <x v="0"/>
    <x v="4"/>
    <n v="0"/>
    <n v="0"/>
    <n v="0"/>
    <m/>
    <n v="0"/>
    <n v="0"/>
    <n v="0"/>
    <n v="1"/>
    <n v="0"/>
    <n v="1"/>
    <n v="2"/>
    <n v="0"/>
    <n v="0"/>
    <s v="No"/>
    <n v="0"/>
    <n v="0.3"/>
    <m/>
    <s v="no test"/>
    <s v="no test"/>
    <x v="1"/>
    <n v="0"/>
    <n v="0"/>
    <n v="0"/>
    <n v="0"/>
    <n v="0"/>
    <n v="0"/>
    <n v="0"/>
    <n v="0"/>
    <n v="0"/>
    <n v="0"/>
    <n v="0"/>
    <n v="0"/>
    <n v="0"/>
    <n v="0"/>
    <n v="1"/>
    <n v="31"/>
    <n v="1"/>
    <n v="1"/>
    <n v="2"/>
    <n v="1"/>
    <n v="31"/>
    <n v="0"/>
    <n v="0"/>
    <n v="2"/>
    <n v="0"/>
    <n v="0"/>
    <n v="0"/>
    <n v="31"/>
    <n v="0"/>
    <n v="0"/>
    <n v="0"/>
    <n v="31"/>
    <n v="1"/>
    <n v="0"/>
    <n v="1"/>
    <n v="0"/>
    <n v="0"/>
    <n v="0"/>
    <n v="0"/>
    <n v="0"/>
    <n v="0"/>
    <x v="0"/>
    <s v="Yes"/>
    <s v="uncovered"/>
    <x v="0"/>
    <x v="2"/>
    <x v="0"/>
    <n v="25.582065"/>
    <n v="96.283377000000002"/>
    <s v="MMR001CMP109"/>
    <x v="0"/>
    <m/>
  </r>
  <r>
    <x v="0"/>
    <x v="5"/>
    <x v="5"/>
    <s v="DFID"/>
    <x v="0"/>
    <x v="6"/>
    <x v="1"/>
    <x v="23"/>
    <n v="70"/>
    <n v="377"/>
    <d v="2018-08-01T00:00:00"/>
    <d v="2020-07-31T00:00:00"/>
    <n v="0"/>
    <n v="1"/>
    <n v="0"/>
    <n v="0"/>
    <s v="Yes"/>
    <n v="4"/>
    <n v="4"/>
    <n v="0"/>
    <n v="0"/>
    <n v="0"/>
    <n v="0"/>
    <n v="0"/>
    <n v="0"/>
    <n v="0"/>
    <n v="0"/>
    <n v="0"/>
    <n v="0"/>
    <n v="0"/>
    <n v="0"/>
    <n v="0"/>
    <n v="0"/>
    <n v="0"/>
    <m/>
    <m/>
    <m/>
    <m/>
    <n v="0"/>
    <n v="0"/>
    <m/>
    <n v="24"/>
    <n v="0"/>
    <s v="Shalom"/>
    <n v="0"/>
    <n v="4"/>
    <n v="0"/>
    <m/>
    <n v="0"/>
    <x v="0"/>
    <x v="0"/>
    <n v="0"/>
    <n v="1"/>
    <n v="0"/>
    <m/>
    <n v="3"/>
    <n v="0"/>
    <n v="0"/>
    <n v="3"/>
    <n v="0"/>
    <n v="2"/>
    <n v="3"/>
    <n v="0"/>
    <n v="0"/>
    <s v="No"/>
    <n v="0"/>
    <n v="0.25"/>
    <m/>
    <s v="no test"/>
    <s v="no test"/>
    <x v="1"/>
    <n v="0"/>
    <n v="0"/>
    <n v="0"/>
    <n v="0"/>
    <n v="0"/>
    <n v="0"/>
    <n v="0"/>
    <n v="0"/>
    <n v="0"/>
    <n v="0"/>
    <n v="0"/>
    <n v="0"/>
    <n v="0"/>
    <n v="0"/>
    <n v="1"/>
    <n v="377"/>
    <n v="1"/>
    <n v="1"/>
    <n v="24"/>
    <n v="1"/>
    <n v="377"/>
    <n v="0"/>
    <n v="0"/>
    <n v="19"/>
    <n v="0"/>
    <n v="0"/>
    <n v="0"/>
    <n v="377"/>
    <n v="0"/>
    <n v="0"/>
    <n v="0"/>
    <n v="377"/>
    <n v="1"/>
    <n v="0"/>
    <n v="1"/>
    <n v="0"/>
    <n v="0"/>
    <n v="3"/>
    <n v="60"/>
    <n v="0"/>
    <n v="300"/>
    <x v="0"/>
    <s v="Yes"/>
    <s v="Shalom"/>
    <x v="0"/>
    <x v="0"/>
    <x v="0"/>
    <n v="25.637309999999999"/>
    <n v="96.35257"/>
    <s v="MMR001CMP174"/>
    <x v="0"/>
    <m/>
  </r>
  <r>
    <x v="0"/>
    <x v="4"/>
    <x v="4"/>
    <s v="ADRA/CANADA"/>
    <x v="0"/>
    <x v="2"/>
    <x v="1"/>
    <x v="24"/>
    <n v="140"/>
    <n v="875"/>
    <d v="2019-04-01T00:00:00"/>
    <d v="2019-07-31T00:00:00"/>
    <m/>
    <m/>
    <m/>
    <m/>
    <s v="Yes"/>
    <m/>
    <m/>
    <n v="0"/>
    <m/>
    <m/>
    <n v="0"/>
    <m/>
    <m/>
    <m/>
    <n v="1"/>
    <m/>
    <m/>
    <m/>
    <m/>
    <m/>
    <m/>
    <n v="0"/>
    <m/>
    <m/>
    <m/>
    <m/>
    <m/>
    <m/>
    <m/>
    <n v="50"/>
    <m/>
    <m/>
    <m/>
    <m/>
    <m/>
    <m/>
    <n v="50"/>
    <x v="0"/>
    <x v="0"/>
    <m/>
    <m/>
    <m/>
    <m/>
    <m/>
    <m/>
    <m/>
    <n v="4"/>
    <m/>
    <m/>
    <n v="3"/>
    <m/>
    <m/>
    <m/>
    <m/>
    <m/>
    <m/>
    <s v="no test"/>
    <s v="no test"/>
    <x v="1"/>
    <n v="0"/>
    <n v="0"/>
    <n v="1"/>
    <n v="0"/>
    <n v="0"/>
    <n v="7.6190476190476197E-2"/>
    <n v="7.6190476190476197E-2"/>
    <n v="7.6190476190476197E-2"/>
    <n v="66.666666666666671"/>
    <n v="0"/>
    <n v="0"/>
    <n v="7.6190476190476197E-2"/>
    <n v="66.666666666666671"/>
    <n v="0.13333333333333333"/>
    <n v="0.92380952380952386"/>
    <n v="808.33333333333337"/>
    <n v="1.8666666666666667"/>
    <n v="2"/>
    <n v="50"/>
    <n v="1"/>
    <n v="875"/>
    <n v="0"/>
    <n v="0"/>
    <n v="44"/>
    <n v="0"/>
    <n v="0"/>
    <n v="0"/>
    <n v="875"/>
    <n v="0"/>
    <n v="0"/>
    <n v="0"/>
    <n v="875"/>
    <n v="1"/>
    <n v="0"/>
    <n v="1"/>
    <n v="0"/>
    <n v="0"/>
    <n v="0"/>
    <n v="0"/>
    <n v="0"/>
    <n v="0"/>
    <x v="0"/>
    <s v="Yes"/>
    <s v="KBC-MYT"/>
    <x v="0"/>
    <x v="0"/>
    <x v="1"/>
    <n v="25.200333000000001"/>
    <n v="97.807182999999995"/>
    <s v="MMR001CMP115"/>
    <x v="0"/>
    <m/>
  </r>
  <r>
    <x v="0"/>
    <x v="5"/>
    <x v="5"/>
    <s v="DFID"/>
    <x v="0"/>
    <x v="6"/>
    <x v="1"/>
    <x v="25"/>
    <n v="2"/>
    <n v="14"/>
    <d v="2018-08-01T00:00:00"/>
    <d v="2020-07-31T00:00:00"/>
    <m/>
    <n v="0"/>
    <m/>
    <m/>
    <m/>
    <m/>
    <m/>
    <m/>
    <m/>
    <m/>
    <n v="0"/>
    <m/>
    <m/>
    <m/>
    <m/>
    <m/>
    <m/>
    <m/>
    <m/>
    <m/>
    <m/>
    <m/>
    <m/>
    <m/>
    <m/>
    <m/>
    <m/>
    <m/>
    <m/>
    <n v="0"/>
    <m/>
    <m/>
    <m/>
    <m/>
    <m/>
    <m/>
    <n v="0"/>
    <x v="1"/>
    <x v="1"/>
    <m/>
    <m/>
    <m/>
    <m/>
    <m/>
    <m/>
    <n v="0"/>
    <m/>
    <m/>
    <m/>
    <m/>
    <m/>
    <m/>
    <m/>
    <m/>
    <m/>
    <m/>
    <s v="no test"/>
    <s v="no test"/>
    <x v="1"/>
    <n v="0"/>
    <n v="0"/>
    <n v="0"/>
    <n v="0"/>
    <n v="0"/>
    <n v="0"/>
    <n v="0"/>
    <n v="0"/>
    <n v="0"/>
    <n v="0"/>
    <n v="0"/>
    <n v="0"/>
    <n v="0"/>
    <n v="0"/>
    <n v="1"/>
    <n v="14"/>
    <n v="1"/>
    <n v="1"/>
    <n v="0"/>
    <n v="0"/>
    <n v="0"/>
    <n v="0"/>
    <n v="0"/>
    <n v="1"/>
    <n v="1"/>
    <n v="1"/>
    <n v="0"/>
    <n v="0"/>
    <n v="0"/>
    <n v="0"/>
    <n v="0"/>
    <n v="0"/>
    <n v="0"/>
    <n v="1"/>
    <n v="0"/>
    <n v="0"/>
    <n v="0"/>
    <n v="0"/>
    <n v="0"/>
    <n v="0"/>
    <n v="0"/>
    <x v="0"/>
    <s v="Yes"/>
    <s v="uncovered"/>
    <x v="0"/>
    <x v="2"/>
    <x v="0"/>
    <n v="25.615960999999999"/>
    <n v="96.316564"/>
    <s v="MMR001CMP191"/>
    <x v="0"/>
    <m/>
  </r>
  <r>
    <x v="0"/>
    <x v="5"/>
    <x v="5"/>
    <s v="DFID"/>
    <x v="0"/>
    <x v="6"/>
    <x v="1"/>
    <x v="26"/>
    <n v="107"/>
    <n v="519"/>
    <d v="2018-08-01T00:00:00"/>
    <d v="2020-07-31T00:00:00"/>
    <n v="28"/>
    <n v="1"/>
    <n v="0"/>
    <n v="0"/>
    <s v="Yes"/>
    <n v="4"/>
    <n v="1"/>
    <n v="0"/>
    <n v="0"/>
    <n v="0"/>
    <n v="0"/>
    <n v="0"/>
    <n v="0"/>
    <n v="0"/>
    <n v="1"/>
    <n v="0"/>
    <n v="1"/>
    <n v="0"/>
    <n v="4"/>
    <n v="1"/>
    <n v="0"/>
    <n v="1"/>
    <m/>
    <m/>
    <m/>
    <m/>
    <n v="0"/>
    <n v="0"/>
    <m/>
    <n v="34"/>
    <n v="0"/>
    <s v="Shalom"/>
    <n v="2"/>
    <n v="16"/>
    <n v="14"/>
    <m/>
    <n v="0"/>
    <x v="0"/>
    <x v="0"/>
    <n v="0"/>
    <n v="0"/>
    <n v="2"/>
    <m/>
    <n v="5"/>
    <n v="0"/>
    <n v="0"/>
    <n v="5"/>
    <n v="0"/>
    <n v="4"/>
    <n v="4"/>
    <n v="0"/>
    <n v="0"/>
    <s v="No"/>
    <n v="0"/>
    <n v="0.3"/>
    <m/>
    <s v="no test"/>
    <s v="no test"/>
    <x v="1"/>
    <n v="0"/>
    <n v="0"/>
    <n v="1"/>
    <n v="0"/>
    <n v="1"/>
    <n v="0.1285806037251124"/>
    <n v="0.1285806037251124"/>
    <n v="0.1285806037251124"/>
    <n v="66.733333333333334"/>
    <n v="1"/>
    <n v="519"/>
    <n v="1"/>
    <n v="519"/>
    <n v="1.038"/>
    <n v="0"/>
    <n v="0"/>
    <n v="0"/>
    <n v="1"/>
    <n v="32"/>
    <n v="1"/>
    <n v="519"/>
    <n v="280"/>
    <n v="28"/>
    <n v="26"/>
    <n v="0"/>
    <n v="0"/>
    <n v="5.8823529411764705E-2"/>
    <n v="519"/>
    <n v="0"/>
    <n v="0"/>
    <n v="0"/>
    <n v="519"/>
    <n v="1"/>
    <n v="0"/>
    <n v="1"/>
    <n v="0"/>
    <n v="0"/>
    <n v="5"/>
    <n v="100"/>
    <n v="0"/>
    <n v="500"/>
    <x v="1"/>
    <s v="Yes"/>
    <s v="KBC"/>
    <x v="0"/>
    <x v="0"/>
    <x v="0"/>
    <n v="25.611160000000002"/>
    <n v="96.312790000000007"/>
    <s v="MMR001CMP229"/>
    <x v="0"/>
    <m/>
  </r>
  <r>
    <x v="0"/>
    <x v="4"/>
    <x v="4"/>
    <s v="ADRA/CANADA"/>
    <x v="0"/>
    <x v="6"/>
    <x v="1"/>
    <x v="27"/>
    <n v="31"/>
    <n v="132"/>
    <d v="2019-04-01T00:00:00"/>
    <d v="2019-07-31T00:00:00"/>
    <m/>
    <m/>
    <m/>
    <m/>
    <s v="Yes"/>
    <m/>
    <m/>
    <n v="0"/>
    <m/>
    <m/>
    <n v="1"/>
    <m/>
    <m/>
    <m/>
    <m/>
    <m/>
    <m/>
    <m/>
    <m/>
    <m/>
    <m/>
    <n v="0"/>
    <m/>
    <m/>
    <m/>
    <m/>
    <m/>
    <m/>
    <m/>
    <n v="9"/>
    <m/>
    <m/>
    <m/>
    <m/>
    <m/>
    <m/>
    <n v="9"/>
    <x v="0"/>
    <x v="0"/>
    <m/>
    <m/>
    <m/>
    <m/>
    <m/>
    <m/>
    <m/>
    <n v="2"/>
    <m/>
    <m/>
    <n v="1"/>
    <m/>
    <m/>
    <m/>
    <m/>
    <m/>
    <m/>
    <s v="no test"/>
    <s v="no test"/>
    <x v="1"/>
    <n v="0"/>
    <n v="1"/>
    <n v="0"/>
    <n v="0"/>
    <n v="0"/>
    <n v="1"/>
    <n v="1"/>
    <n v="1"/>
    <n v="132"/>
    <n v="0"/>
    <n v="0"/>
    <n v="1"/>
    <n v="132"/>
    <n v="0.26400000000000001"/>
    <n v="0"/>
    <n v="0"/>
    <n v="0.73599999999999999"/>
    <n v="1"/>
    <n v="9"/>
    <n v="1"/>
    <n v="132"/>
    <n v="0"/>
    <n v="0"/>
    <n v="7"/>
    <n v="0"/>
    <n v="0"/>
    <n v="0"/>
    <n v="132"/>
    <n v="0"/>
    <n v="0"/>
    <n v="0"/>
    <n v="132"/>
    <n v="1"/>
    <n v="0"/>
    <n v="1"/>
    <n v="0"/>
    <n v="0"/>
    <n v="0"/>
    <n v="0"/>
    <n v="0"/>
    <n v="0"/>
    <x v="0"/>
    <s v="Yes"/>
    <s v="KBC"/>
    <x v="0"/>
    <x v="0"/>
    <x v="0"/>
    <n v="25.51352"/>
    <n v="96.705960000000005"/>
    <s v="MMR001CMP148"/>
    <x v="0"/>
    <m/>
  </r>
  <r>
    <x v="0"/>
    <x v="3"/>
    <x v="3"/>
    <s v="AA"/>
    <x v="0"/>
    <x v="3"/>
    <x v="1"/>
    <x v="28"/>
    <n v="14"/>
    <n v="39"/>
    <d v="2018-10-01T00:00:00"/>
    <d v="2019-12-31T00:00:00"/>
    <m/>
    <m/>
    <m/>
    <m/>
    <m/>
    <m/>
    <m/>
    <m/>
    <m/>
    <m/>
    <n v="1"/>
    <m/>
    <m/>
    <m/>
    <m/>
    <m/>
    <m/>
    <m/>
    <m/>
    <m/>
    <m/>
    <m/>
    <m/>
    <m/>
    <m/>
    <m/>
    <m/>
    <m/>
    <m/>
    <n v="4"/>
    <m/>
    <m/>
    <m/>
    <m/>
    <m/>
    <m/>
    <m/>
    <x v="2"/>
    <x v="4"/>
    <m/>
    <m/>
    <m/>
    <m/>
    <m/>
    <m/>
    <m/>
    <n v="2"/>
    <m/>
    <m/>
    <n v="1"/>
    <n v="14"/>
    <n v="9"/>
    <m/>
    <m/>
    <m/>
    <m/>
    <s v="no test"/>
    <s v="no test"/>
    <x v="1"/>
    <n v="0"/>
    <n v="1"/>
    <n v="0"/>
    <n v="0"/>
    <n v="0"/>
    <n v="1"/>
    <n v="1"/>
    <n v="1"/>
    <n v="39"/>
    <n v="0"/>
    <n v="0"/>
    <n v="1"/>
    <n v="39"/>
    <n v="7.8E-2"/>
    <n v="0"/>
    <n v="0"/>
    <n v="0.92200000000000004"/>
    <n v="1"/>
    <n v="4"/>
    <n v="1"/>
    <n v="39"/>
    <n v="0"/>
    <n v="0"/>
    <n v="2"/>
    <n v="0"/>
    <n v="0"/>
    <n v="0"/>
    <n v="39"/>
    <n v="39"/>
    <n v="39"/>
    <n v="39"/>
    <n v="39"/>
    <n v="1"/>
    <n v="0"/>
    <n v="1"/>
    <n v="1"/>
    <n v="0.6428571428571429"/>
    <n v="0"/>
    <n v="0"/>
    <n v="0"/>
    <n v="0"/>
    <x v="0"/>
    <n v="0"/>
    <s v="KMSS-MYT"/>
    <x v="0"/>
    <x v="0"/>
    <x v="0"/>
    <n v="0"/>
    <n v="0"/>
    <s v="MMR001CMP256"/>
    <x v="0"/>
    <m/>
  </r>
  <r>
    <x v="0"/>
    <x v="5"/>
    <x v="5"/>
    <s v="DFID"/>
    <x v="0"/>
    <x v="6"/>
    <x v="1"/>
    <x v="29"/>
    <n v="123"/>
    <n v="672"/>
    <d v="2018-08-01T00:00:00"/>
    <d v="2020-07-31T00:00:00"/>
    <n v="23"/>
    <n v="2"/>
    <n v="0"/>
    <n v="0"/>
    <s v="Yes"/>
    <n v="1"/>
    <n v="2"/>
    <n v="0"/>
    <n v="0"/>
    <n v="0"/>
    <n v="0"/>
    <n v="0"/>
    <n v="0"/>
    <n v="0"/>
    <n v="1"/>
    <n v="0"/>
    <n v="1"/>
    <n v="0"/>
    <n v="1"/>
    <n v="1"/>
    <n v="0"/>
    <n v="0"/>
    <m/>
    <m/>
    <m/>
    <m/>
    <n v="0"/>
    <n v="0"/>
    <m/>
    <n v="18"/>
    <n v="1"/>
    <s v="Chruch"/>
    <n v="1"/>
    <n v="0"/>
    <n v="0"/>
    <m/>
    <n v="0"/>
    <x v="0"/>
    <x v="0"/>
    <n v="0"/>
    <n v="0"/>
    <n v="0"/>
    <m/>
    <n v="3"/>
    <n v="5"/>
    <n v="0"/>
    <n v="4"/>
    <m/>
    <n v="1"/>
    <n v="2"/>
    <n v="0"/>
    <n v="0"/>
    <s v="No"/>
    <n v="0"/>
    <n v="0.05"/>
    <m/>
    <s v="no test"/>
    <s v="no test"/>
    <x v="1"/>
    <n v="0"/>
    <n v="0"/>
    <n v="1"/>
    <n v="0"/>
    <n v="1"/>
    <n v="9.9305555555555564E-2"/>
    <n v="9.9305555555555564E-2"/>
    <n v="9.9305555555555564E-2"/>
    <n v="66.733333333333334"/>
    <n v="0.37202380952380953"/>
    <n v="250"/>
    <n v="0.47132936507936507"/>
    <n v="316.73333333333335"/>
    <n v="0.63346666666666673"/>
    <n v="0.52867063492063493"/>
    <n v="355.26666666666665"/>
    <n v="0.36653333333333327"/>
    <n v="1"/>
    <n v="18"/>
    <n v="0.5357142857142857"/>
    <n v="360"/>
    <n v="0"/>
    <n v="0"/>
    <n v="34"/>
    <n v="15"/>
    <n v="0.4642857142857143"/>
    <n v="5.2631578947368418E-2"/>
    <n v="672"/>
    <n v="0"/>
    <n v="0"/>
    <n v="0"/>
    <n v="672"/>
    <n v="1"/>
    <n v="0"/>
    <n v="1"/>
    <n v="0"/>
    <n v="0"/>
    <n v="2"/>
    <n v="40"/>
    <n v="0"/>
    <n v="200"/>
    <x v="1"/>
    <s v="Yes"/>
    <s v="KBC"/>
    <x v="0"/>
    <x v="0"/>
    <x v="0"/>
    <n v="0"/>
    <n v="0"/>
    <s v="MMR001CMP250"/>
    <x v="0"/>
    <m/>
  </r>
  <r>
    <x v="0"/>
    <x v="5"/>
    <x v="5"/>
    <s v="DFID"/>
    <x v="0"/>
    <x v="6"/>
    <x v="1"/>
    <x v="30"/>
    <n v="18"/>
    <n v="103"/>
    <d v="2018-08-01T00:00:00"/>
    <d v="2020-07-31T00:00:00"/>
    <n v="0"/>
    <n v="1"/>
    <n v="0"/>
    <n v="0"/>
    <s v="Yes"/>
    <n v="1"/>
    <n v="2"/>
    <n v="0"/>
    <n v="0"/>
    <n v="0"/>
    <n v="0"/>
    <n v="0"/>
    <n v="0"/>
    <n v="0"/>
    <n v="2"/>
    <n v="0"/>
    <n v="1"/>
    <n v="0"/>
    <n v="2"/>
    <n v="1"/>
    <n v="1"/>
    <n v="0"/>
    <m/>
    <m/>
    <m/>
    <m/>
    <n v="0"/>
    <n v="0"/>
    <m/>
    <n v="4"/>
    <n v="0"/>
    <s v="Shalom"/>
    <n v="0"/>
    <n v="0"/>
    <n v="0"/>
    <m/>
    <n v="0"/>
    <x v="0"/>
    <x v="4"/>
    <n v="0"/>
    <n v="0"/>
    <n v="0"/>
    <m/>
    <n v="2"/>
    <n v="0"/>
    <n v="0"/>
    <n v="2"/>
    <n v="0"/>
    <n v="1"/>
    <n v="2"/>
    <n v="0"/>
    <n v="0"/>
    <s v="No"/>
    <n v="0"/>
    <n v="0.3"/>
    <m/>
    <s v="no test"/>
    <s v="no test"/>
    <x v="1"/>
    <n v="0"/>
    <n v="0"/>
    <n v="2"/>
    <n v="0"/>
    <n v="1"/>
    <n v="1"/>
    <n v="1"/>
    <n v="1"/>
    <n v="103"/>
    <n v="1"/>
    <n v="103"/>
    <n v="1"/>
    <n v="103"/>
    <n v="0.20599999999999999"/>
    <n v="0"/>
    <n v="0"/>
    <n v="0.79400000000000004"/>
    <n v="1"/>
    <n v="4"/>
    <n v="0.77669902912621358"/>
    <n v="80"/>
    <n v="0"/>
    <n v="0"/>
    <n v="5"/>
    <n v="1"/>
    <n v="0.22330097087378642"/>
    <n v="0"/>
    <n v="103"/>
    <n v="0"/>
    <n v="0"/>
    <n v="0"/>
    <n v="103"/>
    <n v="1"/>
    <n v="0"/>
    <n v="1"/>
    <n v="0"/>
    <n v="0"/>
    <n v="2"/>
    <n v="18"/>
    <n v="0"/>
    <n v="103"/>
    <x v="0"/>
    <s v="Yes"/>
    <s v="Shalom"/>
    <x v="0"/>
    <x v="0"/>
    <x v="0"/>
    <n v="25.566510000000001"/>
    <n v="96.269199999999998"/>
    <s v="MMR001CMP181"/>
    <x v="0"/>
    <m/>
  </r>
  <r>
    <x v="0"/>
    <x v="5"/>
    <x v="5"/>
    <s v="DFID"/>
    <x v="0"/>
    <x v="6"/>
    <x v="1"/>
    <x v="31"/>
    <n v="12"/>
    <n v="60"/>
    <d v="2018-08-01T00:00:00"/>
    <d v="2020-07-31T00:00:00"/>
    <n v="0"/>
    <n v="1"/>
    <n v="0"/>
    <n v="0"/>
    <s v="Yes"/>
    <n v="3"/>
    <n v="4"/>
    <n v="0"/>
    <n v="0"/>
    <n v="0"/>
    <n v="0"/>
    <n v="0"/>
    <n v="0"/>
    <n v="0"/>
    <n v="0"/>
    <n v="0"/>
    <n v="0"/>
    <n v="0"/>
    <n v="0"/>
    <n v="1"/>
    <n v="0"/>
    <n v="1"/>
    <m/>
    <m/>
    <m/>
    <m/>
    <n v="0"/>
    <n v="0"/>
    <m/>
    <n v="2"/>
    <n v="0"/>
    <s v="Shalom"/>
    <n v="0"/>
    <n v="0"/>
    <n v="0"/>
    <m/>
    <n v="0"/>
    <x v="0"/>
    <x v="4"/>
    <n v="0"/>
    <n v="0"/>
    <n v="0"/>
    <m/>
    <n v="1"/>
    <n v="0"/>
    <n v="0"/>
    <n v="2"/>
    <n v="0"/>
    <n v="3"/>
    <n v="4"/>
    <n v="0"/>
    <n v="0"/>
    <s v="No"/>
    <n v="0"/>
    <n v="0.4"/>
    <m/>
    <s v="no test"/>
    <s v="no test"/>
    <x v="1"/>
    <n v="0"/>
    <n v="0"/>
    <n v="0"/>
    <n v="0"/>
    <n v="1"/>
    <n v="1.1111111111111111E-3"/>
    <n v="1.1111111111111111E-3"/>
    <n v="1.1111111111111111E-3"/>
    <n v="6.6666666666666666E-2"/>
    <n v="0"/>
    <n v="0"/>
    <n v="1.1111111111111111E-3"/>
    <n v="6.6666666666666666E-2"/>
    <n v="1.3333333333333334E-4"/>
    <n v="0.99888888888888894"/>
    <n v="59.933333333333337"/>
    <n v="0.99986666666666668"/>
    <n v="1"/>
    <n v="2"/>
    <n v="0.66666666666666663"/>
    <n v="40"/>
    <n v="0"/>
    <n v="0"/>
    <n v="3"/>
    <n v="1"/>
    <n v="0.33333333333333337"/>
    <n v="0"/>
    <n v="60"/>
    <n v="0"/>
    <n v="0"/>
    <n v="0"/>
    <n v="60"/>
    <n v="1"/>
    <n v="0"/>
    <n v="1"/>
    <n v="0"/>
    <n v="0"/>
    <n v="1"/>
    <n v="12"/>
    <n v="0"/>
    <n v="60"/>
    <x v="0"/>
    <s v="Yes"/>
    <s v="Shalom"/>
    <x v="0"/>
    <x v="0"/>
    <x v="0"/>
    <n v="25.61842"/>
    <n v="96.316400000000002"/>
    <s v="MMR001CMP167"/>
    <x v="0"/>
    <m/>
  </r>
  <r>
    <x v="0"/>
    <x v="2"/>
    <x v="2"/>
    <m/>
    <x v="0"/>
    <x v="7"/>
    <x v="1"/>
    <x v="32"/>
    <n v="6"/>
    <n v="32"/>
    <m/>
    <m/>
    <m/>
    <m/>
    <m/>
    <m/>
    <m/>
    <m/>
    <m/>
    <m/>
    <m/>
    <m/>
    <m/>
    <m/>
    <m/>
    <m/>
    <m/>
    <m/>
    <m/>
    <m/>
    <m/>
    <m/>
    <m/>
    <m/>
    <m/>
    <m/>
    <m/>
    <m/>
    <m/>
    <m/>
    <m/>
    <m/>
    <m/>
    <m/>
    <m/>
    <m/>
    <m/>
    <m/>
    <m/>
    <x v="1"/>
    <x v="1"/>
    <m/>
    <m/>
    <m/>
    <m/>
    <m/>
    <m/>
    <m/>
    <m/>
    <m/>
    <m/>
    <m/>
    <m/>
    <m/>
    <m/>
    <m/>
    <m/>
    <m/>
    <s v="no test"/>
    <s v="no test"/>
    <x v="1"/>
    <n v="0"/>
    <n v="0"/>
    <n v="0"/>
    <n v="0"/>
    <n v="0"/>
    <n v="0"/>
    <n v="0"/>
    <n v="0"/>
    <n v="0"/>
    <n v="0"/>
    <n v="0"/>
    <n v="0"/>
    <n v="0"/>
    <n v="0"/>
    <n v="1"/>
    <n v="32"/>
    <n v="1"/>
    <n v="1"/>
    <n v="0"/>
    <n v="0"/>
    <n v="0"/>
    <n v="0"/>
    <n v="0"/>
    <n v="2"/>
    <n v="2"/>
    <n v="1"/>
    <n v="0"/>
    <n v="0"/>
    <n v="0"/>
    <n v="0"/>
    <n v="0"/>
    <n v="0"/>
    <n v="0"/>
    <n v="1"/>
    <n v="0"/>
    <n v="0"/>
    <n v="0"/>
    <n v="0"/>
    <n v="0"/>
    <n v="0"/>
    <n v="0"/>
    <x v="0"/>
    <n v="0"/>
    <s v="uncovered"/>
    <x v="0"/>
    <x v="2"/>
    <x v="0"/>
    <n v="0"/>
    <n v="0"/>
    <s v="MMR001CMP262"/>
    <x v="1"/>
    <m/>
  </r>
  <r>
    <x v="0"/>
    <x v="2"/>
    <x v="2"/>
    <m/>
    <x v="0"/>
    <x v="6"/>
    <x v="1"/>
    <x v="33"/>
    <n v="3"/>
    <n v="15"/>
    <m/>
    <d v="2020-07-31T00:00:00"/>
    <m/>
    <n v="0"/>
    <m/>
    <m/>
    <s v="Yes"/>
    <m/>
    <m/>
    <n v="1"/>
    <m/>
    <m/>
    <n v="1"/>
    <m/>
    <m/>
    <m/>
    <n v="0"/>
    <m/>
    <m/>
    <m/>
    <m/>
    <m/>
    <m/>
    <n v="1"/>
    <m/>
    <m/>
    <m/>
    <m/>
    <m/>
    <m/>
    <m/>
    <n v="0"/>
    <m/>
    <m/>
    <m/>
    <m/>
    <m/>
    <m/>
    <n v="0"/>
    <x v="0"/>
    <x v="3"/>
    <m/>
    <m/>
    <m/>
    <m/>
    <m/>
    <m/>
    <n v="0"/>
    <m/>
    <m/>
    <m/>
    <m/>
    <m/>
    <m/>
    <m/>
    <m/>
    <m/>
    <m/>
    <s v="no test"/>
    <s v="no test"/>
    <x v="1"/>
    <n v="1"/>
    <n v="1"/>
    <n v="0"/>
    <n v="0"/>
    <n v="0"/>
    <n v="1"/>
    <n v="1"/>
    <n v="1"/>
    <n v="15"/>
    <n v="0"/>
    <n v="0"/>
    <n v="1"/>
    <n v="15"/>
    <n v="0.03"/>
    <n v="0"/>
    <n v="0"/>
    <n v="0.97"/>
    <n v="1"/>
    <n v="0"/>
    <n v="0"/>
    <n v="0"/>
    <n v="0"/>
    <n v="0"/>
    <n v="1"/>
    <n v="1"/>
    <n v="1"/>
    <n v="0"/>
    <n v="0"/>
    <n v="0"/>
    <n v="0"/>
    <n v="0"/>
    <n v="0"/>
    <n v="0"/>
    <n v="1"/>
    <n v="0"/>
    <n v="0"/>
    <n v="0"/>
    <n v="0"/>
    <n v="0"/>
    <n v="0"/>
    <n v="0"/>
    <x v="0"/>
    <s v="Yes"/>
    <s v="uncovered"/>
    <x v="0"/>
    <x v="2"/>
    <x v="0"/>
    <n v="25.6145"/>
    <n v="96.319829999999996"/>
    <s v="MMR001CMP091"/>
    <x v="1"/>
    <m/>
  </r>
  <r>
    <x v="0"/>
    <x v="2"/>
    <x v="2"/>
    <s v="ADRA/CANADA"/>
    <x v="0"/>
    <x v="6"/>
    <x v="1"/>
    <x v="34"/>
    <n v="10"/>
    <n v="18"/>
    <m/>
    <d v="2018-12-31T00:00:00"/>
    <m/>
    <m/>
    <m/>
    <m/>
    <m/>
    <m/>
    <m/>
    <m/>
    <m/>
    <m/>
    <m/>
    <m/>
    <m/>
    <m/>
    <m/>
    <m/>
    <m/>
    <m/>
    <m/>
    <m/>
    <m/>
    <m/>
    <m/>
    <m/>
    <m/>
    <m/>
    <m/>
    <m/>
    <m/>
    <m/>
    <m/>
    <m/>
    <m/>
    <m/>
    <m/>
    <m/>
    <m/>
    <x v="1"/>
    <x v="1"/>
    <m/>
    <m/>
    <m/>
    <m/>
    <m/>
    <m/>
    <m/>
    <m/>
    <m/>
    <m/>
    <m/>
    <m/>
    <m/>
    <m/>
    <m/>
    <m/>
    <m/>
    <s v="no test"/>
    <s v="no test"/>
    <x v="1"/>
    <n v="0"/>
    <n v="0"/>
    <n v="0"/>
    <n v="0"/>
    <n v="0"/>
    <n v="0"/>
    <n v="0"/>
    <n v="0"/>
    <n v="0"/>
    <n v="0"/>
    <n v="0"/>
    <n v="0"/>
    <n v="0"/>
    <n v="0"/>
    <n v="1"/>
    <n v="18"/>
    <n v="1"/>
    <n v="1"/>
    <n v="0"/>
    <n v="0"/>
    <n v="0"/>
    <n v="0"/>
    <n v="0"/>
    <n v="1"/>
    <n v="1"/>
    <n v="1"/>
    <n v="0"/>
    <n v="0"/>
    <n v="0"/>
    <n v="0"/>
    <n v="0"/>
    <n v="0"/>
    <n v="0"/>
    <n v="1"/>
    <n v="0"/>
    <n v="0"/>
    <n v="0"/>
    <n v="0"/>
    <n v="0"/>
    <n v="0"/>
    <n v="0"/>
    <x v="0"/>
    <s v="Yes"/>
    <s v="KMSS-MYT"/>
    <x v="0"/>
    <x v="0"/>
    <x v="0"/>
    <n v="25.920006000000001"/>
    <n v="96.662092000000001"/>
    <s v="MMR001CMP247"/>
    <x v="1"/>
    <m/>
  </r>
  <r>
    <x v="0"/>
    <x v="5"/>
    <x v="5"/>
    <s v="DFID"/>
    <x v="0"/>
    <x v="6"/>
    <x v="1"/>
    <x v="35"/>
    <n v="11"/>
    <n v="42"/>
    <d v="2018-08-01T00:00:00"/>
    <d v="2020-07-31T00:00:00"/>
    <n v="0"/>
    <n v="1"/>
    <n v="0"/>
    <n v="0"/>
    <s v="Yes"/>
    <n v="4"/>
    <n v="2"/>
    <n v="1"/>
    <n v="0"/>
    <n v="0"/>
    <n v="0"/>
    <n v="0"/>
    <n v="0"/>
    <n v="0"/>
    <n v="2"/>
    <n v="0"/>
    <n v="0"/>
    <n v="0"/>
    <n v="0"/>
    <n v="1"/>
    <n v="0"/>
    <n v="1"/>
    <m/>
    <m/>
    <m/>
    <m/>
    <n v="0"/>
    <n v="0"/>
    <m/>
    <n v="4"/>
    <n v="0"/>
    <s v="Shalom"/>
    <n v="0"/>
    <n v="3"/>
    <n v="0"/>
    <n v="0"/>
    <n v="0"/>
    <x v="0"/>
    <x v="4"/>
    <n v="0"/>
    <n v="0"/>
    <n v="0"/>
    <n v="0"/>
    <n v="0"/>
    <n v="0"/>
    <n v="0"/>
    <n v="2"/>
    <n v="0"/>
    <n v="4"/>
    <n v="2"/>
    <n v="0"/>
    <n v="0"/>
    <s v="No"/>
    <n v="0"/>
    <n v="0.4"/>
    <m/>
    <s v="no test"/>
    <s v="no test"/>
    <x v="1"/>
    <n v="1"/>
    <n v="0"/>
    <n v="2"/>
    <n v="0"/>
    <n v="1"/>
    <n v="1"/>
    <n v="1"/>
    <n v="1"/>
    <n v="42"/>
    <n v="0"/>
    <n v="0"/>
    <n v="1"/>
    <n v="42"/>
    <n v="8.4000000000000005E-2"/>
    <n v="0"/>
    <n v="0"/>
    <n v="0.91600000000000004"/>
    <n v="1"/>
    <n v="4"/>
    <n v="1"/>
    <n v="42"/>
    <n v="0"/>
    <n v="0"/>
    <n v="2"/>
    <n v="0"/>
    <n v="0"/>
    <n v="0"/>
    <n v="42"/>
    <n v="0"/>
    <n v="0"/>
    <n v="0"/>
    <n v="42"/>
    <n v="1"/>
    <n v="0"/>
    <n v="1"/>
    <n v="0"/>
    <n v="0"/>
    <n v="0"/>
    <n v="0"/>
    <n v="0"/>
    <n v="0"/>
    <x v="0"/>
    <s v="Yes"/>
    <s v="uncovered"/>
    <x v="0"/>
    <x v="2"/>
    <x v="0"/>
    <n v="25.617998"/>
    <n v="96.339590000000001"/>
    <s v="MMR001CMP192"/>
    <x v="0"/>
    <m/>
  </r>
  <r>
    <x v="0"/>
    <x v="3"/>
    <x v="3"/>
    <s v="AA"/>
    <x v="0"/>
    <x v="6"/>
    <x v="1"/>
    <x v="36"/>
    <n v="16"/>
    <n v="63"/>
    <d v="2018-10-01T00:00:00"/>
    <d v="2019-12-31T00:00:00"/>
    <m/>
    <m/>
    <m/>
    <m/>
    <m/>
    <m/>
    <m/>
    <m/>
    <m/>
    <m/>
    <m/>
    <n v="1"/>
    <m/>
    <m/>
    <m/>
    <m/>
    <m/>
    <m/>
    <m/>
    <m/>
    <m/>
    <m/>
    <m/>
    <m/>
    <m/>
    <m/>
    <m/>
    <m/>
    <m/>
    <n v="2"/>
    <m/>
    <m/>
    <m/>
    <n v="2"/>
    <m/>
    <m/>
    <m/>
    <x v="2"/>
    <x v="4"/>
    <m/>
    <m/>
    <m/>
    <m/>
    <m/>
    <m/>
    <m/>
    <n v="2"/>
    <m/>
    <m/>
    <n v="1"/>
    <n v="16"/>
    <n v="24"/>
    <m/>
    <m/>
    <m/>
    <m/>
    <s v="no test"/>
    <s v="no test"/>
    <x v="1"/>
    <n v="0"/>
    <n v="1"/>
    <n v="0"/>
    <n v="0"/>
    <n v="0"/>
    <n v="1"/>
    <n v="1"/>
    <n v="1"/>
    <n v="63"/>
    <n v="0"/>
    <n v="0"/>
    <n v="1"/>
    <n v="63"/>
    <n v="0.126"/>
    <n v="0"/>
    <n v="0"/>
    <n v="0.874"/>
    <n v="1"/>
    <n v="2"/>
    <n v="0.63492063492063489"/>
    <n v="40"/>
    <n v="0"/>
    <n v="0"/>
    <n v="3"/>
    <n v="1"/>
    <n v="0.36507936507936511"/>
    <n v="0"/>
    <n v="63"/>
    <n v="63"/>
    <n v="63"/>
    <n v="63"/>
    <n v="63"/>
    <n v="1"/>
    <n v="0"/>
    <n v="1"/>
    <n v="1"/>
    <n v="1"/>
    <n v="0"/>
    <n v="0"/>
    <n v="0"/>
    <n v="0"/>
    <x v="0"/>
    <n v="0"/>
    <s v="KMSS-MYT"/>
    <x v="0"/>
    <x v="0"/>
    <x v="0"/>
    <n v="0"/>
    <n v="0"/>
    <s v="MMR001CMP270"/>
    <x v="0"/>
    <m/>
  </r>
  <r>
    <x v="0"/>
    <x v="5"/>
    <x v="5"/>
    <s v="DFID"/>
    <x v="0"/>
    <x v="6"/>
    <x v="1"/>
    <x v="37"/>
    <n v="10"/>
    <n v="38"/>
    <d v="2018-08-01T00:00:00"/>
    <d v="2020-07-31T00:00:00"/>
    <n v="0"/>
    <n v="1"/>
    <n v="0"/>
    <n v="0"/>
    <s v="Yes"/>
    <n v="2"/>
    <n v="2"/>
    <n v="1"/>
    <n v="0"/>
    <n v="0"/>
    <n v="0"/>
    <n v="0"/>
    <n v="0"/>
    <n v="0"/>
    <n v="2"/>
    <n v="0"/>
    <n v="1"/>
    <n v="0"/>
    <n v="1"/>
    <n v="1"/>
    <n v="0"/>
    <n v="1"/>
    <m/>
    <m/>
    <m/>
    <m/>
    <n v="0"/>
    <n v="0"/>
    <m/>
    <n v="2"/>
    <n v="0"/>
    <s v="Shalom"/>
    <n v="0"/>
    <n v="0"/>
    <n v="0"/>
    <m/>
    <n v="0"/>
    <x v="0"/>
    <x v="0"/>
    <n v="0"/>
    <n v="0"/>
    <n v="0"/>
    <m/>
    <n v="1"/>
    <n v="0"/>
    <n v="0"/>
    <n v="1"/>
    <n v="0"/>
    <n v="2"/>
    <n v="2"/>
    <n v="0"/>
    <n v="0"/>
    <s v="No"/>
    <n v="0"/>
    <n v="0.4"/>
    <m/>
    <s v="no test"/>
    <s v="no test"/>
    <x v="1"/>
    <n v="1"/>
    <n v="0"/>
    <n v="2"/>
    <n v="0"/>
    <n v="1"/>
    <n v="1"/>
    <n v="1"/>
    <n v="1"/>
    <n v="38"/>
    <n v="1"/>
    <n v="38"/>
    <n v="1"/>
    <n v="38"/>
    <n v="7.5999999999999998E-2"/>
    <n v="0"/>
    <n v="0"/>
    <n v="0.92400000000000004"/>
    <n v="1"/>
    <n v="2"/>
    <n v="1"/>
    <n v="38"/>
    <n v="0"/>
    <n v="0"/>
    <n v="2"/>
    <n v="0"/>
    <n v="0"/>
    <n v="0"/>
    <n v="38"/>
    <n v="0"/>
    <n v="0"/>
    <n v="0"/>
    <n v="38"/>
    <n v="1"/>
    <n v="0"/>
    <n v="1"/>
    <n v="0"/>
    <n v="0"/>
    <n v="1"/>
    <n v="10"/>
    <n v="0"/>
    <n v="38"/>
    <x v="0"/>
    <s v="Yes"/>
    <s v="uncovered"/>
    <x v="0"/>
    <x v="2"/>
    <x v="0"/>
    <n v="25.56551"/>
    <n v="96.279200000000003"/>
    <s v="MMR001CMP182"/>
    <x v="0"/>
    <m/>
  </r>
  <r>
    <x v="0"/>
    <x v="4"/>
    <x v="4"/>
    <s v="Plan/GFFO,ADRA/CANADA  "/>
    <x v="0"/>
    <x v="5"/>
    <x v="1"/>
    <x v="38"/>
    <n v="169"/>
    <n v="837"/>
    <d v="2019-04-01T00:00:00"/>
    <d v="2019-07-31T00:00:00"/>
    <m/>
    <m/>
    <m/>
    <m/>
    <s v="Yes"/>
    <m/>
    <m/>
    <n v="0"/>
    <m/>
    <m/>
    <n v="0"/>
    <m/>
    <m/>
    <m/>
    <n v="1"/>
    <m/>
    <m/>
    <m/>
    <m/>
    <m/>
    <m/>
    <n v="0"/>
    <m/>
    <m/>
    <m/>
    <m/>
    <m/>
    <m/>
    <m/>
    <n v="32"/>
    <m/>
    <m/>
    <m/>
    <m/>
    <m/>
    <m/>
    <n v="32"/>
    <x v="0"/>
    <x v="0"/>
    <m/>
    <m/>
    <n v="5"/>
    <m/>
    <m/>
    <m/>
    <m/>
    <n v="4"/>
    <m/>
    <m/>
    <n v="3"/>
    <m/>
    <m/>
    <m/>
    <m/>
    <m/>
    <m/>
    <s v="no test"/>
    <s v="no test"/>
    <x v="1"/>
    <n v="0"/>
    <n v="0"/>
    <n v="1"/>
    <n v="0"/>
    <n v="0"/>
    <n v="7.9649542015133412E-2"/>
    <n v="7.9649542015133412E-2"/>
    <n v="7.9649542015133412E-2"/>
    <n v="66.666666666666671"/>
    <n v="0"/>
    <n v="0"/>
    <n v="7.9649542015133412E-2"/>
    <n v="66.666666666666671"/>
    <n v="0.13333333333333333"/>
    <n v="0.92035045798486659"/>
    <n v="770.33333333333337"/>
    <n v="1.8666666666666667"/>
    <n v="2"/>
    <n v="32"/>
    <n v="0.7646356033452808"/>
    <n v="640"/>
    <n v="0"/>
    <n v="0"/>
    <n v="42"/>
    <n v="10"/>
    <n v="0.2353643966547192"/>
    <n v="0"/>
    <n v="837"/>
    <n v="0"/>
    <n v="0"/>
    <n v="0"/>
    <n v="837"/>
    <n v="1"/>
    <n v="0"/>
    <n v="1"/>
    <n v="0"/>
    <n v="0"/>
    <n v="0"/>
    <n v="0"/>
    <n v="0"/>
    <n v="0"/>
    <x v="0"/>
    <s v="Yes"/>
    <s v="KBC"/>
    <x v="0"/>
    <x v="0"/>
    <x v="1"/>
    <n v="25.754110000000001"/>
    <n v="98.475719999999995"/>
    <s v="MMR001CMP043"/>
    <x v="0"/>
    <m/>
  </r>
  <r>
    <x v="0"/>
    <x v="4"/>
    <x v="4"/>
    <m/>
    <x v="0"/>
    <x v="8"/>
    <x v="0"/>
    <x v="39"/>
    <n v="39"/>
    <n v="121"/>
    <m/>
    <m/>
    <m/>
    <m/>
    <m/>
    <m/>
    <m/>
    <m/>
    <m/>
    <n v="0"/>
    <m/>
    <m/>
    <n v="0"/>
    <m/>
    <m/>
    <m/>
    <m/>
    <m/>
    <m/>
    <m/>
    <m/>
    <m/>
    <m/>
    <n v="0"/>
    <m/>
    <m/>
    <m/>
    <m/>
    <m/>
    <m/>
    <m/>
    <n v="0"/>
    <m/>
    <m/>
    <m/>
    <m/>
    <m/>
    <m/>
    <n v="0"/>
    <x v="2"/>
    <x v="2"/>
    <m/>
    <m/>
    <m/>
    <m/>
    <m/>
    <m/>
    <m/>
    <m/>
    <m/>
    <m/>
    <m/>
    <m/>
    <m/>
    <m/>
    <m/>
    <m/>
    <m/>
    <s v="no test"/>
    <s v="no test"/>
    <x v="1"/>
    <n v="0"/>
    <n v="0"/>
    <n v="0"/>
    <n v="0"/>
    <n v="0"/>
    <n v="0"/>
    <n v="0"/>
    <n v="0"/>
    <n v="0"/>
    <n v="0"/>
    <n v="0"/>
    <n v="0"/>
    <n v="0"/>
    <n v="0"/>
    <n v="1"/>
    <n v="121"/>
    <n v="1"/>
    <n v="1"/>
    <n v="0"/>
    <n v="0"/>
    <n v="0"/>
    <n v="0"/>
    <n v="0"/>
    <n v="6"/>
    <n v="6"/>
    <n v="1"/>
    <n v="0"/>
    <n v="0"/>
    <n v="0"/>
    <n v="0"/>
    <n v="0"/>
    <n v="0"/>
    <n v="0"/>
    <n v="1"/>
    <n v="0"/>
    <n v="0"/>
    <n v="0"/>
    <n v="0"/>
    <n v="0"/>
    <n v="0"/>
    <n v="0"/>
    <x v="0"/>
    <n v="0"/>
    <n v="0"/>
    <x v="0"/>
    <x v="2"/>
    <x v="1"/>
    <n v="0"/>
    <n v="0"/>
    <n v="0"/>
    <x v="0"/>
    <m/>
  </r>
  <r>
    <x v="0"/>
    <x v="3"/>
    <x v="3"/>
    <s v="AA"/>
    <x v="0"/>
    <x v="7"/>
    <x v="1"/>
    <x v="40"/>
    <n v="79"/>
    <n v="396"/>
    <d v="2018-10-01T00:00:00"/>
    <d v="2019-12-31T00:00:00"/>
    <m/>
    <m/>
    <m/>
    <m/>
    <m/>
    <m/>
    <m/>
    <m/>
    <m/>
    <m/>
    <m/>
    <n v="1"/>
    <m/>
    <m/>
    <m/>
    <m/>
    <m/>
    <m/>
    <m/>
    <m/>
    <m/>
    <m/>
    <m/>
    <m/>
    <m/>
    <m/>
    <m/>
    <m/>
    <m/>
    <n v="6"/>
    <m/>
    <m/>
    <n v="4"/>
    <m/>
    <m/>
    <m/>
    <m/>
    <x v="0"/>
    <x v="3"/>
    <m/>
    <m/>
    <m/>
    <m/>
    <m/>
    <m/>
    <m/>
    <n v="2"/>
    <m/>
    <m/>
    <n v="1"/>
    <n v="79"/>
    <n v="94"/>
    <m/>
    <m/>
    <m/>
    <m/>
    <s v="no test"/>
    <s v="no test"/>
    <x v="1"/>
    <n v="0"/>
    <n v="1"/>
    <n v="0"/>
    <n v="0"/>
    <n v="0"/>
    <n v="1"/>
    <n v="0.63131313131313127"/>
    <n v="1"/>
    <n v="396"/>
    <n v="0"/>
    <n v="0"/>
    <n v="1"/>
    <n v="396"/>
    <n v="0.79200000000000004"/>
    <n v="0"/>
    <n v="0"/>
    <n v="0.20799999999999996"/>
    <n v="1"/>
    <n v="2"/>
    <n v="0.10101010101010101"/>
    <n v="40"/>
    <n v="0"/>
    <n v="0"/>
    <n v="20"/>
    <n v="14"/>
    <n v="0.89898989898989901"/>
    <n v="0.66666666666666663"/>
    <n v="396"/>
    <n v="396"/>
    <n v="396"/>
    <n v="396"/>
    <n v="396"/>
    <n v="1"/>
    <n v="0"/>
    <n v="1"/>
    <n v="1"/>
    <n v="1"/>
    <n v="0"/>
    <n v="0"/>
    <n v="0"/>
    <n v="0"/>
    <x v="0"/>
    <n v="0"/>
    <s v="KMSS-MYT"/>
    <x v="0"/>
    <x v="0"/>
    <x v="0"/>
    <n v="97.013800000000003"/>
    <n v="25.383465999999999"/>
    <s v="MMR001CMP260"/>
    <x v="0"/>
    <m/>
  </r>
  <r>
    <x v="0"/>
    <x v="5"/>
    <x v="5"/>
    <s v="DFID"/>
    <x v="0"/>
    <x v="6"/>
    <x v="1"/>
    <x v="41"/>
    <n v="32"/>
    <n v="172"/>
    <d v="2018-08-01T00:00:00"/>
    <d v="2020-07-31T00:00:00"/>
    <n v="0"/>
    <n v="1"/>
    <n v="0"/>
    <n v="0"/>
    <s v="Yes"/>
    <n v="4"/>
    <n v="1"/>
    <n v="0"/>
    <n v="0"/>
    <n v="0"/>
    <n v="0"/>
    <n v="0"/>
    <n v="0"/>
    <n v="0"/>
    <n v="1"/>
    <n v="0"/>
    <n v="1"/>
    <n v="0"/>
    <n v="1"/>
    <n v="1"/>
    <n v="0"/>
    <n v="1"/>
    <m/>
    <m/>
    <m/>
    <m/>
    <n v="0"/>
    <n v="0"/>
    <m/>
    <n v="10"/>
    <n v="1"/>
    <s v="Shalom"/>
    <n v="0"/>
    <n v="4"/>
    <n v="0"/>
    <m/>
    <n v="0"/>
    <x v="0"/>
    <x v="4"/>
    <n v="0"/>
    <n v="0"/>
    <n v="0"/>
    <m/>
    <n v="2"/>
    <n v="0"/>
    <n v="2"/>
    <n v="0"/>
    <n v="1"/>
    <n v="1"/>
    <n v="0"/>
    <n v="0"/>
    <n v="0"/>
    <s v="No"/>
    <n v="0"/>
    <n v="0.05"/>
    <m/>
    <s v="no test"/>
    <s v="no test"/>
    <x v="1"/>
    <n v="0"/>
    <n v="0"/>
    <n v="1"/>
    <n v="0"/>
    <n v="1"/>
    <n v="0.38798449612403102"/>
    <n v="0.38798449612403102"/>
    <n v="0.38798449612403102"/>
    <n v="66.733333333333334"/>
    <n v="1"/>
    <n v="172"/>
    <n v="1"/>
    <n v="172"/>
    <n v="0.34399999999999997"/>
    <n v="0"/>
    <n v="0"/>
    <n v="0.65600000000000003"/>
    <n v="1"/>
    <n v="11"/>
    <n v="1"/>
    <n v="172"/>
    <n v="0"/>
    <n v="0"/>
    <n v="9"/>
    <n v="0"/>
    <n v="0"/>
    <n v="0"/>
    <n v="172"/>
    <n v="0"/>
    <n v="0"/>
    <n v="0"/>
    <n v="172"/>
    <n v="1"/>
    <n v="0"/>
    <n v="1"/>
    <n v="0"/>
    <n v="0"/>
    <n v="2"/>
    <n v="32"/>
    <n v="0"/>
    <n v="172"/>
    <x v="0"/>
    <s v="Yes"/>
    <s v="KBC"/>
    <x v="0"/>
    <x v="0"/>
    <x v="0"/>
    <n v="25.577559999999998"/>
    <n v="96.286680000000004"/>
    <s v="MMR001CMP184"/>
    <x v="0"/>
    <m/>
  </r>
  <r>
    <x v="0"/>
    <x v="5"/>
    <x v="5"/>
    <s v="DFID"/>
    <x v="0"/>
    <x v="6"/>
    <x v="1"/>
    <x v="42"/>
    <n v="15"/>
    <n v="67"/>
    <d v="2018-08-01T00:00:00"/>
    <d v="2020-07-31T00:00:00"/>
    <n v="0"/>
    <n v="1"/>
    <n v="0"/>
    <n v="0"/>
    <s v="Yes"/>
    <n v="2"/>
    <n v="2"/>
    <n v="0"/>
    <n v="0"/>
    <n v="0"/>
    <n v="0"/>
    <n v="0"/>
    <n v="0"/>
    <n v="0"/>
    <n v="0"/>
    <n v="0"/>
    <n v="0"/>
    <n v="0"/>
    <n v="0"/>
    <n v="0"/>
    <n v="0"/>
    <n v="0"/>
    <m/>
    <m/>
    <m/>
    <m/>
    <n v="0"/>
    <n v="0"/>
    <m/>
    <n v="4"/>
    <n v="1"/>
    <s v="Shalom &amp; Chruch"/>
    <n v="0"/>
    <n v="0"/>
    <n v="0"/>
    <m/>
    <n v="0"/>
    <x v="0"/>
    <x v="4"/>
    <n v="0"/>
    <n v="0"/>
    <n v="0"/>
    <m/>
    <n v="0"/>
    <n v="0"/>
    <n v="0"/>
    <n v="2"/>
    <n v="0"/>
    <n v="2"/>
    <n v="0"/>
    <n v="0"/>
    <n v="0"/>
    <s v="No"/>
    <n v="0"/>
    <n v="0.65"/>
    <m/>
    <s v="no test"/>
    <s v="no test"/>
    <x v="1"/>
    <n v="0"/>
    <n v="0"/>
    <n v="0"/>
    <n v="0"/>
    <n v="0"/>
    <n v="0"/>
    <n v="0"/>
    <n v="0"/>
    <n v="0"/>
    <n v="0"/>
    <n v="0"/>
    <n v="0"/>
    <n v="0"/>
    <n v="0"/>
    <n v="1"/>
    <n v="67"/>
    <n v="1"/>
    <n v="1"/>
    <n v="5"/>
    <n v="1"/>
    <n v="67"/>
    <n v="0"/>
    <n v="0"/>
    <n v="3"/>
    <n v="0"/>
    <n v="0"/>
    <n v="0"/>
    <n v="67"/>
    <n v="0"/>
    <n v="0"/>
    <n v="0"/>
    <n v="67"/>
    <n v="1"/>
    <n v="0"/>
    <n v="1"/>
    <n v="0"/>
    <n v="0"/>
    <n v="0"/>
    <n v="0"/>
    <n v="0"/>
    <n v="0"/>
    <x v="0"/>
    <s v="Yes"/>
    <s v="KBC"/>
    <x v="0"/>
    <x v="0"/>
    <x v="0"/>
    <n v="25.599250000000001"/>
    <n v="96.306910999999999"/>
    <s v="MMR001CMP105"/>
    <x v="0"/>
    <m/>
  </r>
  <r>
    <x v="0"/>
    <x v="7"/>
    <x v="7"/>
    <s v="SCI/FFO"/>
    <x v="0"/>
    <x v="9"/>
    <x v="1"/>
    <x v="43"/>
    <n v="358"/>
    <n v="1661"/>
    <m/>
    <d v="2019-11-30T00:00:00"/>
    <m/>
    <n v="7"/>
    <n v="15"/>
    <m/>
    <s v="Yes"/>
    <m/>
    <m/>
    <n v="4"/>
    <m/>
    <m/>
    <m/>
    <m/>
    <m/>
    <m/>
    <m/>
    <m/>
    <m/>
    <m/>
    <n v="5"/>
    <m/>
    <m/>
    <n v="5"/>
    <m/>
    <m/>
    <n v="47"/>
    <n v="10"/>
    <n v="0"/>
    <n v="5"/>
    <m/>
    <n v="186"/>
    <m/>
    <m/>
    <n v="56"/>
    <m/>
    <n v="0"/>
    <m/>
    <m/>
    <x v="2"/>
    <x v="3"/>
    <m/>
    <m/>
    <m/>
    <m/>
    <m/>
    <m/>
    <m/>
    <n v="14"/>
    <m/>
    <m/>
    <n v="1"/>
    <n v="352"/>
    <m/>
    <m/>
    <n v="7"/>
    <m/>
    <m/>
    <s v="no test"/>
    <n v="0.21276595744680851"/>
    <x v="0"/>
    <n v="4"/>
    <n v="0"/>
    <n v="0"/>
    <n v="0"/>
    <n v="0"/>
    <n v="0.96327513546056598"/>
    <n v="0.60204695966285371"/>
    <n v="0.96327513546056598"/>
    <n v="1600"/>
    <n v="0.75255869957856714"/>
    <n v="1250"/>
    <n v="1"/>
    <n v="1661"/>
    <n v="3.3220000000000001"/>
    <n v="0"/>
    <n v="0"/>
    <n v="0"/>
    <n v="3"/>
    <n v="130"/>
    <n v="1"/>
    <n v="1661"/>
    <n v="0"/>
    <n v="0"/>
    <n v="83"/>
    <n v="0"/>
    <n v="0"/>
    <n v="0.30107526881720431"/>
    <n v="500"/>
    <n v="1661"/>
    <n v="0"/>
    <n v="1661"/>
    <n v="1661"/>
    <n v="1"/>
    <n v="0"/>
    <n v="0.30102347983142685"/>
    <n v="0.98324022346368711"/>
    <n v="0"/>
    <n v="0"/>
    <n v="0"/>
    <n v="0"/>
    <n v="0"/>
    <x v="0"/>
    <s v="Yes"/>
    <s v="KMSS-BMO"/>
    <x v="0"/>
    <x v="0"/>
    <x v="1"/>
    <n v="24.002433"/>
    <n v="97.609832999999995"/>
    <s v="MMR001CMP129"/>
    <x v="0"/>
    <m/>
  </r>
  <r>
    <x v="0"/>
    <x v="7"/>
    <x v="7"/>
    <s v="SCI/FFO"/>
    <x v="0"/>
    <x v="9"/>
    <x v="1"/>
    <x v="44"/>
    <n v="491"/>
    <n v="2581"/>
    <m/>
    <d v="2019-11-30T00:00:00"/>
    <m/>
    <n v="13"/>
    <n v="20"/>
    <m/>
    <s v="Yes"/>
    <m/>
    <m/>
    <n v="3"/>
    <m/>
    <m/>
    <m/>
    <m/>
    <m/>
    <m/>
    <m/>
    <m/>
    <m/>
    <m/>
    <n v="1"/>
    <m/>
    <m/>
    <n v="1"/>
    <m/>
    <m/>
    <n v="32"/>
    <n v="5"/>
    <n v="5"/>
    <n v="2"/>
    <m/>
    <n v="136"/>
    <m/>
    <m/>
    <n v="32"/>
    <m/>
    <n v="2"/>
    <m/>
    <m/>
    <x v="2"/>
    <x v="3"/>
    <m/>
    <m/>
    <m/>
    <m/>
    <m/>
    <m/>
    <m/>
    <n v="6"/>
    <m/>
    <m/>
    <m/>
    <n v="476"/>
    <m/>
    <m/>
    <n v="13"/>
    <m/>
    <m/>
    <s v="no test"/>
    <n v="0.15625"/>
    <x v="0"/>
    <n v="3"/>
    <n v="0"/>
    <n v="0"/>
    <n v="0"/>
    <n v="0"/>
    <n v="0.46493607129019759"/>
    <n v="0.29058504455637352"/>
    <n v="0.46493607129019759"/>
    <n v="1200"/>
    <n v="9.6861681518791168E-2"/>
    <n v="250"/>
    <n v="0.5617977528089888"/>
    <n v="1450"/>
    <n v="2.9"/>
    <n v="0.4382022471910112"/>
    <n v="1131"/>
    <n v="2.1"/>
    <n v="5"/>
    <n v="104"/>
    <n v="0.80588919023634253"/>
    <n v="2080"/>
    <n v="40"/>
    <n v="0"/>
    <n v="129"/>
    <n v="0"/>
    <n v="0.19411080976365747"/>
    <n v="0.23529411764705882"/>
    <n v="0"/>
    <n v="2380"/>
    <n v="0"/>
    <n v="2380"/>
    <n v="2380"/>
    <n v="0.92212320805889192"/>
    <n v="7.7876791941108081E-2"/>
    <n v="0"/>
    <n v="0.96945010183299385"/>
    <n v="0"/>
    <n v="0"/>
    <n v="0"/>
    <n v="0"/>
    <n v="0"/>
    <x v="0"/>
    <s v="Yes"/>
    <s v="KMSS-BMO"/>
    <x v="0"/>
    <x v="0"/>
    <x v="1"/>
    <n v="24.056132999999999"/>
    <n v="97.625617000000005"/>
    <s v="MMR001CMP128"/>
    <x v="0"/>
    <m/>
  </r>
  <r>
    <x v="0"/>
    <x v="4"/>
    <x v="4"/>
    <s v="Plan/GFFO,ADRA/CANADA  "/>
    <x v="0"/>
    <x v="3"/>
    <x v="1"/>
    <x v="45"/>
    <n v="197"/>
    <n v="1050"/>
    <d v="2019-04-01T00:00:00"/>
    <d v="2019-07-31T00:00:00"/>
    <m/>
    <m/>
    <m/>
    <m/>
    <s v="Yes"/>
    <m/>
    <m/>
    <n v="1"/>
    <m/>
    <m/>
    <n v="4"/>
    <m/>
    <m/>
    <m/>
    <m/>
    <m/>
    <m/>
    <m/>
    <m/>
    <m/>
    <m/>
    <n v="5"/>
    <m/>
    <m/>
    <m/>
    <m/>
    <m/>
    <m/>
    <m/>
    <n v="43"/>
    <m/>
    <m/>
    <m/>
    <m/>
    <n v="41"/>
    <m/>
    <n v="43"/>
    <x v="0"/>
    <x v="0"/>
    <m/>
    <m/>
    <m/>
    <m/>
    <m/>
    <m/>
    <m/>
    <n v="3"/>
    <m/>
    <m/>
    <n v="5"/>
    <m/>
    <m/>
    <m/>
    <m/>
    <m/>
    <m/>
    <s v="no test"/>
    <s v="no test"/>
    <x v="1"/>
    <n v="1"/>
    <n v="4"/>
    <n v="0"/>
    <n v="0"/>
    <n v="0"/>
    <n v="1"/>
    <n v="1"/>
    <n v="1"/>
    <n v="1050"/>
    <n v="0"/>
    <n v="0"/>
    <n v="1"/>
    <n v="1050"/>
    <n v="2.1"/>
    <n v="0"/>
    <n v="0"/>
    <n v="0"/>
    <n v="2"/>
    <n v="43"/>
    <n v="0.81904761904761902"/>
    <n v="860"/>
    <n v="820"/>
    <n v="0"/>
    <n v="53"/>
    <n v="10"/>
    <n v="0.18095238095238098"/>
    <n v="0"/>
    <n v="1050"/>
    <n v="0"/>
    <n v="0"/>
    <n v="0"/>
    <n v="1050"/>
    <n v="1"/>
    <n v="0"/>
    <n v="1"/>
    <n v="0"/>
    <n v="0"/>
    <n v="0"/>
    <n v="0"/>
    <n v="0"/>
    <n v="0"/>
    <x v="0"/>
    <s v="Yes"/>
    <s v="KBC"/>
    <x v="0"/>
    <x v="0"/>
    <x v="0"/>
    <n v="25.403476999999999"/>
    <n v="97.373361000000003"/>
    <s v="MMR001CMP018"/>
    <x v="0"/>
    <m/>
  </r>
  <r>
    <x v="0"/>
    <x v="3"/>
    <x v="3"/>
    <s v="AA"/>
    <x v="0"/>
    <x v="6"/>
    <x v="1"/>
    <x v="46"/>
    <n v="48"/>
    <n v="218"/>
    <d v="2018-10-01T00:00:00"/>
    <d v="2019-12-31T00:00:00"/>
    <m/>
    <m/>
    <m/>
    <m/>
    <m/>
    <m/>
    <m/>
    <m/>
    <m/>
    <m/>
    <m/>
    <m/>
    <m/>
    <m/>
    <n v="1"/>
    <m/>
    <m/>
    <m/>
    <m/>
    <m/>
    <m/>
    <m/>
    <m/>
    <m/>
    <m/>
    <m/>
    <m/>
    <m/>
    <m/>
    <n v="8"/>
    <n v="4"/>
    <m/>
    <n v="4"/>
    <m/>
    <m/>
    <m/>
    <m/>
    <x v="2"/>
    <x v="4"/>
    <m/>
    <m/>
    <m/>
    <m/>
    <m/>
    <m/>
    <m/>
    <n v="2"/>
    <m/>
    <m/>
    <n v="1"/>
    <n v="42"/>
    <n v="42"/>
    <m/>
    <m/>
    <m/>
    <m/>
    <s v="no test"/>
    <s v="no test"/>
    <x v="1"/>
    <n v="0"/>
    <n v="0"/>
    <n v="1"/>
    <n v="0"/>
    <n v="0"/>
    <n v="0.30581039755351686"/>
    <n v="0.30581039755351686"/>
    <n v="0.30581039755351686"/>
    <n v="66.666666666666671"/>
    <n v="0"/>
    <n v="0"/>
    <n v="0.30581039755351686"/>
    <n v="66.666666666666671"/>
    <n v="0.13333333333333333"/>
    <n v="0.69418960244648309"/>
    <n v="151.33333333333331"/>
    <n v="0.8666666666666667"/>
    <n v="1"/>
    <n v="8"/>
    <n v="0.73394495412844041"/>
    <n v="160"/>
    <n v="0"/>
    <n v="0"/>
    <n v="11"/>
    <n v="0"/>
    <n v="0.26605504587155959"/>
    <n v="0.33333333333333331"/>
    <n v="218"/>
    <n v="210"/>
    <n v="210"/>
    <n v="210"/>
    <n v="218"/>
    <n v="1"/>
    <n v="0"/>
    <n v="1"/>
    <n v="0.875"/>
    <n v="0.875"/>
    <n v="0"/>
    <n v="0"/>
    <n v="0"/>
    <n v="0"/>
    <x v="0"/>
    <n v="0"/>
    <s v="KMSS-MYT"/>
    <x v="0"/>
    <x v="0"/>
    <x v="0"/>
    <n v="0"/>
    <n v="0"/>
    <s v="MMR001CMP268"/>
    <x v="0"/>
    <m/>
  </r>
  <r>
    <x v="0"/>
    <x v="2"/>
    <x v="2"/>
    <m/>
    <x v="0"/>
    <x v="9"/>
    <x v="1"/>
    <x v="47"/>
    <n v="127"/>
    <n v="647"/>
    <m/>
    <m/>
    <m/>
    <m/>
    <m/>
    <m/>
    <m/>
    <m/>
    <m/>
    <m/>
    <m/>
    <m/>
    <m/>
    <m/>
    <m/>
    <m/>
    <m/>
    <m/>
    <m/>
    <m/>
    <m/>
    <m/>
    <m/>
    <m/>
    <m/>
    <m/>
    <m/>
    <m/>
    <m/>
    <m/>
    <m/>
    <m/>
    <m/>
    <m/>
    <m/>
    <m/>
    <m/>
    <m/>
    <m/>
    <x v="1"/>
    <x v="1"/>
    <m/>
    <m/>
    <m/>
    <m/>
    <m/>
    <m/>
    <m/>
    <m/>
    <m/>
    <m/>
    <m/>
    <m/>
    <m/>
    <m/>
    <m/>
    <m/>
    <m/>
    <s v="no test"/>
    <s v="no test"/>
    <x v="1"/>
    <n v="0"/>
    <n v="0"/>
    <n v="0"/>
    <n v="0"/>
    <n v="0"/>
    <n v="0"/>
    <n v="0"/>
    <n v="0"/>
    <n v="0"/>
    <n v="0"/>
    <n v="0"/>
    <n v="0"/>
    <n v="0"/>
    <n v="0"/>
    <n v="1"/>
    <n v="647"/>
    <n v="1"/>
    <n v="1"/>
    <n v="0"/>
    <n v="0"/>
    <n v="0"/>
    <n v="0"/>
    <n v="0"/>
    <n v="32"/>
    <n v="32"/>
    <n v="1"/>
    <n v="0"/>
    <n v="0"/>
    <n v="0"/>
    <n v="0"/>
    <n v="0"/>
    <n v="0"/>
    <n v="0"/>
    <n v="1"/>
    <n v="0"/>
    <n v="0"/>
    <n v="0"/>
    <n v="0"/>
    <n v="0"/>
    <n v="0"/>
    <n v="0"/>
    <x v="0"/>
    <s v="Yes"/>
    <s v="KBC"/>
    <x v="0"/>
    <x v="0"/>
    <x v="0"/>
    <n v="23.83013"/>
    <n v="97.589979999999997"/>
    <s v="MMR001CMP133"/>
    <x v="1"/>
    <m/>
  </r>
  <r>
    <x v="0"/>
    <x v="2"/>
    <x v="2"/>
    <m/>
    <x v="0"/>
    <x v="9"/>
    <x v="1"/>
    <x v="48"/>
    <n v="117"/>
    <n v="524"/>
    <m/>
    <m/>
    <m/>
    <m/>
    <m/>
    <m/>
    <m/>
    <m/>
    <m/>
    <m/>
    <m/>
    <m/>
    <m/>
    <m/>
    <m/>
    <m/>
    <m/>
    <m/>
    <m/>
    <m/>
    <m/>
    <m/>
    <m/>
    <m/>
    <m/>
    <m/>
    <m/>
    <m/>
    <m/>
    <m/>
    <m/>
    <m/>
    <m/>
    <m/>
    <m/>
    <m/>
    <m/>
    <m/>
    <m/>
    <x v="1"/>
    <x v="1"/>
    <m/>
    <m/>
    <m/>
    <m/>
    <m/>
    <m/>
    <m/>
    <m/>
    <m/>
    <m/>
    <m/>
    <m/>
    <m/>
    <m/>
    <m/>
    <m/>
    <m/>
    <s v="no test"/>
    <s v="no test"/>
    <x v="1"/>
    <n v="0"/>
    <n v="0"/>
    <n v="0"/>
    <n v="0"/>
    <n v="0"/>
    <n v="0"/>
    <n v="0"/>
    <n v="0"/>
    <n v="0"/>
    <n v="0"/>
    <n v="0"/>
    <n v="0"/>
    <n v="0"/>
    <n v="0"/>
    <n v="1"/>
    <n v="524"/>
    <n v="1"/>
    <n v="1"/>
    <n v="0"/>
    <n v="0"/>
    <n v="0"/>
    <n v="0"/>
    <n v="0"/>
    <n v="26"/>
    <n v="26"/>
    <n v="1"/>
    <n v="0"/>
    <n v="0"/>
    <n v="0"/>
    <n v="0"/>
    <n v="0"/>
    <n v="0"/>
    <n v="0"/>
    <n v="1"/>
    <n v="0"/>
    <n v="0"/>
    <n v="0"/>
    <n v="0"/>
    <n v="0"/>
    <n v="0"/>
    <n v="0"/>
    <x v="0"/>
    <s v="Yes"/>
    <s v="KBC"/>
    <x v="0"/>
    <x v="0"/>
    <x v="0"/>
    <n v="23.829599000000002"/>
    <n v="97.590767"/>
    <s v="MMR001CMP230"/>
    <x v="1"/>
    <m/>
  </r>
  <r>
    <x v="0"/>
    <x v="2"/>
    <x v="2"/>
    <m/>
    <x v="0"/>
    <x v="9"/>
    <x v="1"/>
    <x v="49"/>
    <n v="443"/>
    <n v="2338"/>
    <m/>
    <m/>
    <m/>
    <m/>
    <m/>
    <m/>
    <m/>
    <m/>
    <m/>
    <m/>
    <m/>
    <m/>
    <m/>
    <m/>
    <m/>
    <m/>
    <m/>
    <m/>
    <m/>
    <m/>
    <m/>
    <m/>
    <m/>
    <m/>
    <m/>
    <m/>
    <m/>
    <m/>
    <m/>
    <m/>
    <m/>
    <m/>
    <m/>
    <m/>
    <m/>
    <m/>
    <m/>
    <m/>
    <m/>
    <x v="1"/>
    <x v="1"/>
    <m/>
    <m/>
    <m/>
    <m/>
    <m/>
    <m/>
    <m/>
    <m/>
    <m/>
    <m/>
    <m/>
    <m/>
    <m/>
    <m/>
    <m/>
    <m/>
    <m/>
    <s v="no test"/>
    <s v="no test"/>
    <x v="1"/>
    <n v="0"/>
    <n v="0"/>
    <n v="0"/>
    <n v="0"/>
    <n v="0"/>
    <n v="0"/>
    <n v="0"/>
    <n v="0"/>
    <n v="0"/>
    <n v="0"/>
    <n v="0"/>
    <n v="0"/>
    <n v="0"/>
    <n v="0"/>
    <n v="1"/>
    <n v="2338"/>
    <n v="5"/>
    <n v="5"/>
    <n v="0"/>
    <n v="0"/>
    <n v="0"/>
    <n v="0"/>
    <n v="0"/>
    <n v="117"/>
    <n v="117"/>
    <n v="1"/>
    <n v="0"/>
    <n v="0"/>
    <n v="0"/>
    <n v="0"/>
    <n v="0"/>
    <n v="0"/>
    <n v="0"/>
    <n v="1"/>
    <n v="0"/>
    <n v="0"/>
    <n v="0"/>
    <n v="0"/>
    <n v="0"/>
    <n v="0"/>
    <n v="0"/>
    <x v="0"/>
    <s v="Yes"/>
    <s v="KMSS-BMO"/>
    <x v="0"/>
    <x v="0"/>
    <x v="0"/>
    <n v="23.835319999999999"/>
    <n v="97.578490000000002"/>
    <s v="MMR001CMP132"/>
    <x v="1"/>
    <m/>
  </r>
  <r>
    <x v="0"/>
    <x v="2"/>
    <x v="2"/>
    <m/>
    <x v="0"/>
    <x v="9"/>
    <x v="1"/>
    <x v="50"/>
    <n v="119"/>
    <n v="637"/>
    <m/>
    <m/>
    <m/>
    <m/>
    <m/>
    <m/>
    <m/>
    <m/>
    <m/>
    <m/>
    <m/>
    <m/>
    <m/>
    <m/>
    <m/>
    <m/>
    <m/>
    <m/>
    <m/>
    <m/>
    <m/>
    <m/>
    <m/>
    <m/>
    <m/>
    <m/>
    <m/>
    <m/>
    <m/>
    <m/>
    <m/>
    <m/>
    <m/>
    <m/>
    <m/>
    <m/>
    <m/>
    <m/>
    <m/>
    <x v="1"/>
    <x v="1"/>
    <m/>
    <m/>
    <m/>
    <m/>
    <m/>
    <m/>
    <m/>
    <m/>
    <m/>
    <m/>
    <m/>
    <m/>
    <m/>
    <m/>
    <m/>
    <m/>
    <m/>
    <s v="no test"/>
    <s v="no test"/>
    <x v="1"/>
    <n v="0"/>
    <n v="0"/>
    <n v="0"/>
    <n v="0"/>
    <n v="0"/>
    <n v="0"/>
    <n v="0"/>
    <n v="0"/>
    <n v="0"/>
    <n v="0"/>
    <n v="0"/>
    <n v="0"/>
    <n v="0"/>
    <n v="0"/>
    <n v="1"/>
    <n v="637"/>
    <n v="1"/>
    <n v="1"/>
    <n v="0"/>
    <n v="0"/>
    <n v="0"/>
    <n v="0"/>
    <n v="0"/>
    <n v="32"/>
    <n v="32"/>
    <n v="1"/>
    <n v="0"/>
    <n v="0"/>
    <n v="0"/>
    <n v="0"/>
    <n v="0"/>
    <n v="0"/>
    <n v="0"/>
    <n v="1"/>
    <n v="0"/>
    <n v="0"/>
    <n v="0"/>
    <n v="0"/>
    <n v="0"/>
    <n v="0"/>
    <n v="0"/>
    <x v="0"/>
    <s v="Yes"/>
    <s v="KMSS-BMO"/>
    <x v="0"/>
    <x v="0"/>
    <x v="0"/>
    <n v="23.833477999999999"/>
    <n v="97.578367"/>
    <s v="MMR001CMP228"/>
    <x v="1"/>
    <m/>
  </r>
  <r>
    <x v="0"/>
    <x v="2"/>
    <x v="2"/>
    <m/>
    <x v="0"/>
    <x v="9"/>
    <x v="1"/>
    <x v="51"/>
    <n v="175"/>
    <n v="834"/>
    <m/>
    <m/>
    <m/>
    <m/>
    <m/>
    <m/>
    <m/>
    <m/>
    <m/>
    <m/>
    <m/>
    <m/>
    <m/>
    <m/>
    <m/>
    <m/>
    <m/>
    <m/>
    <m/>
    <m/>
    <m/>
    <m/>
    <m/>
    <m/>
    <m/>
    <m/>
    <m/>
    <m/>
    <m/>
    <m/>
    <m/>
    <m/>
    <m/>
    <m/>
    <m/>
    <m/>
    <m/>
    <m/>
    <m/>
    <x v="1"/>
    <x v="1"/>
    <m/>
    <m/>
    <m/>
    <m/>
    <m/>
    <m/>
    <m/>
    <m/>
    <m/>
    <m/>
    <m/>
    <m/>
    <m/>
    <m/>
    <m/>
    <m/>
    <m/>
    <s v="no test"/>
    <s v="no test"/>
    <x v="1"/>
    <n v="0"/>
    <n v="0"/>
    <n v="0"/>
    <n v="0"/>
    <n v="0"/>
    <n v="0"/>
    <n v="0"/>
    <n v="0"/>
    <n v="0"/>
    <n v="0"/>
    <n v="0"/>
    <n v="0"/>
    <n v="0"/>
    <n v="0"/>
    <n v="1"/>
    <n v="834"/>
    <n v="2"/>
    <n v="2"/>
    <n v="0"/>
    <n v="0"/>
    <n v="0"/>
    <n v="0"/>
    <n v="0"/>
    <n v="42"/>
    <n v="42"/>
    <n v="1"/>
    <n v="0"/>
    <n v="0"/>
    <n v="0"/>
    <n v="0"/>
    <n v="0"/>
    <n v="0"/>
    <n v="0"/>
    <n v="1"/>
    <n v="0"/>
    <n v="0"/>
    <n v="0"/>
    <n v="0"/>
    <n v="0"/>
    <n v="0"/>
    <n v="0"/>
    <x v="0"/>
    <n v="0"/>
    <s v="uncovered"/>
    <x v="0"/>
    <x v="1"/>
    <x v="0"/>
    <n v="23.827870999999998"/>
    <n v="97.588291999999996"/>
    <s v="MMR001CMP134"/>
    <x v="1"/>
    <m/>
  </r>
  <r>
    <x v="0"/>
    <x v="1"/>
    <x v="1"/>
    <s v="WHH-AA / USAID"/>
    <x v="0"/>
    <x v="1"/>
    <x v="0"/>
    <x v="52"/>
    <n v="19"/>
    <n v="94"/>
    <d v="2019-01-01T00:00:00"/>
    <d v="2019-12-31T00:00:00"/>
    <m/>
    <m/>
    <m/>
    <m/>
    <s v="No"/>
    <m/>
    <m/>
    <m/>
    <m/>
    <m/>
    <m/>
    <n v="1"/>
    <m/>
    <m/>
    <m/>
    <m/>
    <m/>
    <m/>
    <m/>
    <m/>
    <m/>
    <m/>
    <m/>
    <m/>
    <m/>
    <m/>
    <m/>
    <m/>
    <m/>
    <n v="5"/>
    <m/>
    <m/>
    <m/>
    <m/>
    <m/>
    <m/>
    <m/>
    <x v="0"/>
    <x v="0"/>
    <m/>
    <m/>
    <m/>
    <m/>
    <n v="2"/>
    <m/>
    <m/>
    <n v="1"/>
    <m/>
    <m/>
    <m/>
    <m/>
    <m/>
    <m/>
    <m/>
    <m/>
    <m/>
    <s v="no test"/>
    <s v="no test"/>
    <x v="1"/>
    <n v="0"/>
    <n v="1"/>
    <n v="0"/>
    <n v="0"/>
    <n v="0"/>
    <n v="1"/>
    <n v="1"/>
    <n v="1"/>
    <n v="94"/>
    <n v="0"/>
    <n v="0"/>
    <n v="1"/>
    <n v="94"/>
    <n v="0.188"/>
    <n v="0"/>
    <n v="0"/>
    <n v="0.81200000000000006"/>
    <n v="1"/>
    <n v="5"/>
    <n v="1"/>
    <n v="94"/>
    <n v="0"/>
    <n v="0"/>
    <n v="5"/>
    <n v="0"/>
    <n v="0"/>
    <n v="0"/>
    <n v="0"/>
    <n v="0"/>
    <n v="0"/>
    <n v="0"/>
    <n v="0"/>
    <n v="0"/>
    <n v="1"/>
    <n v="0"/>
    <n v="0"/>
    <n v="0"/>
    <n v="2"/>
    <n v="19"/>
    <n v="0"/>
    <n v="94"/>
    <x v="0"/>
    <n v="0"/>
    <n v="0"/>
    <x v="0"/>
    <x v="0"/>
    <x v="0"/>
    <n v="0"/>
    <n v="0"/>
    <n v="0"/>
    <x v="0"/>
    <m/>
  </r>
  <r>
    <x v="0"/>
    <x v="2"/>
    <x v="2"/>
    <m/>
    <x v="0"/>
    <x v="9"/>
    <x v="1"/>
    <x v="53"/>
    <n v="80"/>
    <n v="290"/>
    <m/>
    <m/>
    <m/>
    <m/>
    <m/>
    <m/>
    <m/>
    <m/>
    <m/>
    <m/>
    <m/>
    <m/>
    <m/>
    <m/>
    <m/>
    <m/>
    <m/>
    <m/>
    <m/>
    <m/>
    <m/>
    <m/>
    <m/>
    <m/>
    <m/>
    <m/>
    <m/>
    <m/>
    <m/>
    <m/>
    <m/>
    <m/>
    <m/>
    <m/>
    <m/>
    <m/>
    <m/>
    <m/>
    <m/>
    <x v="1"/>
    <x v="1"/>
    <m/>
    <m/>
    <m/>
    <m/>
    <m/>
    <m/>
    <m/>
    <m/>
    <m/>
    <m/>
    <m/>
    <m/>
    <m/>
    <m/>
    <m/>
    <m/>
    <m/>
    <s v="no test"/>
    <s v="no test"/>
    <x v="1"/>
    <n v="0"/>
    <n v="0"/>
    <n v="0"/>
    <n v="0"/>
    <n v="0"/>
    <n v="0"/>
    <n v="0"/>
    <n v="0"/>
    <n v="0"/>
    <n v="0"/>
    <n v="0"/>
    <n v="0"/>
    <n v="0"/>
    <n v="0"/>
    <n v="1"/>
    <n v="290"/>
    <n v="1"/>
    <n v="1"/>
    <n v="0"/>
    <n v="0"/>
    <n v="0"/>
    <n v="0"/>
    <n v="0"/>
    <n v="15"/>
    <n v="15"/>
    <n v="1"/>
    <n v="0"/>
    <n v="0"/>
    <n v="0"/>
    <n v="0"/>
    <n v="0"/>
    <n v="0"/>
    <n v="0"/>
    <n v="1"/>
    <n v="0"/>
    <n v="0"/>
    <n v="0"/>
    <n v="0"/>
    <n v="0"/>
    <n v="0"/>
    <n v="0"/>
    <x v="0"/>
    <n v="0"/>
    <s v="uncovered"/>
    <x v="0"/>
    <x v="1"/>
    <x v="0"/>
    <n v="24.118618999999999"/>
    <n v="97.298055000000005"/>
    <s v="MMR001CMP196"/>
    <x v="1"/>
    <m/>
  </r>
  <r>
    <x v="0"/>
    <x v="3"/>
    <x v="3"/>
    <s v="DFID(HARP)"/>
    <x v="0"/>
    <x v="6"/>
    <x v="0"/>
    <x v="54"/>
    <n v="72"/>
    <n v="329"/>
    <d v="2019-01-01T00:00:00"/>
    <s v="31-3-2019"/>
    <m/>
    <m/>
    <m/>
    <m/>
    <s v="Yes"/>
    <m/>
    <m/>
    <n v="2"/>
    <m/>
    <m/>
    <m/>
    <m/>
    <m/>
    <m/>
    <n v="1"/>
    <m/>
    <m/>
    <m/>
    <m/>
    <m/>
    <m/>
    <m/>
    <m/>
    <m/>
    <m/>
    <m/>
    <m/>
    <m/>
    <m/>
    <n v="12"/>
    <m/>
    <m/>
    <m/>
    <m/>
    <m/>
    <m/>
    <m/>
    <x v="0"/>
    <x v="0"/>
    <m/>
    <m/>
    <m/>
    <m/>
    <m/>
    <m/>
    <m/>
    <n v="2"/>
    <m/>
    <n v="1"/>
    <n v="1"/>
    <n v="40"/>
    <m/>
    <m/>
    <m/>
    <m/>
    <m/>
    <s v="no test"/>
    <s v="no test"/>
    <x v="1"/>
    <n v="2"/>
    <n v="0"/>
    <n v="1"/>
    <n v="0"/>
    <n v="0"/>
    <n v="1"/>
    <n v="1"/>
    <n v="1"/>
    <n v="329"/>
    <n v="0"/>
    <n v="0"/>
    <n v="1"/>
    <n v="329"/>
    <n v="0.65800000000000003"/>
    <n v="0"/>
    <n v="0"/>
    <n v="0.34199999999999997"/>
    <n v="1"/>
    <n v="12"/>
    <n v="0.72948328267477203"/>
    <n v="240"/>
    <n v="0"/>
    <n v="0"/>
    <n v="16"/>
    <n v="4"/>
    <n v="0.27051671732522797"/>
    <n v="0"/>
    <n v="329"/>
    <n v="200"/>
    <n v="0"/>
    <n v="200"/>
    <n v="329"/>
    <n v="1"/>
    <n v="0"/>
    <n v="1"/>
    <n v="0.55555555555555558"/>
    <n v="0"/>
    <n v="0"/>
    <n v="0"/>
    <n v="0"/>
    <n v="0"/>
    <x v="0"/>
    <n v="0"/>
    <n v="0"/>
    <x v="0"/>
    <x v="2"/>
    <x v="0"/>
    <n v="0"/>
    <n v="0"/>
    <n v="0"/>
    <x v="0"/>
    <m/>
  </r>
  <r>
    <x v="0"/>
    <x v="4"/>
    <x v="4"/>
    <s v="ADRA/CANADA"/>
    <x v="0"/>
    <x v="3"/>
    <x v="1"/>
    <x v="55"/>
    <n v="118"/>
    <n v="489"/>
    <d v="2019-04-01T00:00:00"/>
    <d v="2019-07-31T00:00:00"/>
    <m/>
    <m/>
    <m/>
    <m/>
    <s v="Yes"/>
    <m/>
    <m/>
    <n v="1"/>
    <m/>
    <m/>
    <n v="7"/>
    <m/>
    <n v="4"/>
    <m/>
    <m/>
    <m/>
    <m/>
    <m/>
    <m/>
    <m/>
    <m/>
    <n v="6"/>
    <m/>
    <m/>
    <m/>
    <m/>
    <m/>
    <m/>
    <m/>
    <n v="16"/>
    <m/>
    <m/>
    <m/>
    <m/>
    <m/>
    <m/>
    <n v="16"/>
    <x v="0"/>
    <x v="0"/>
    <m/>
    <m/>
    <m/>
    <m/>
    <m/>
    <m/>
    <m/>
    <n v="0"/>
    <m/>
    <m/>
    <n v="2"/>
    <m/>
    <m/>
    <m/>
    <m/>
    <m/>
    <m/>
    <s v="no test"/>
    <s v="no test"/>
    <x v="1"/>
    <n v="1"/>
    <n v="3"/>
    <n v="0"/>
    <n v="0"/>
    <n v="0"/>
    <n v="1"/>
    <n v="1"/>
    <n v="1"/>
    <n v="489"/>
    <n v="0"/>
    <n v="0"/>
    <n v="1"/>
    <n v="489"/>
    <n v="0.97799999999999998"/>
    <n v="0"/>
    <n v="0"/>
    <n v="2.200000000000002E-2"/>
    <n v="1"/>
    <n v="16"/>
    <n v="0.65439672801635995"/>
    <n v="320"/>
    <n v="0"/>
    <n v="0"/>
    <n v="24"/>
    <n v="8"/>
    <n v="0.34560327198364005"/>
    <n v="0"/>
    <n v="489"/>
    <n v="0"/>
    <n v="0"/>
    <n v="0"/>
    <n v="489"/>
    <n v="1"/>
    <n v="0"/>
    <n v="1"/>
    <n v="0"/>
    <n v="0"/>
    <n v="0"/>
    <n v="0"/>
    <n v="0"/>
    <n v="0"/>
    <x v="0"/>
    <n v="0"/>
    <s v="KBC"/>
    <x v="0"/>
    <x v="0"/>
    <x v="0"/>
    <n v="0"/>
    <n v="0"/>
    <s v="MMR001CMP265"/>
    <x v="0"/>
    <m/>
  </r>
  <r>
    <x v="0"/>
    <x v="3"/>
    <x v="3"/>
    <s v="UNICEF"/>
    <x v="0"/>
    <x v="1"/>
    <x v="1"/>
    <x v="56"/>
    <n v="1490"/>
    <n v="8486"/>
    <d v="2018-12-01T00:00:00"/>
    <d v="2019-11-30T00:00:00"/>
    <n v="1140"/>
    <m/>
    <m/>
    <m/>
    <s v="Yes"/>
    <m/>
    <m/>
    <n v="1"/>
    <m/>
    <m/>
    <m/>
    <m/>
    <m/>
    <m/>
    <m/>
    <m/>
    <m/>
    <m/>
    <m/>
    <m/>
    <m/>
    <m/>
    <m/>
    <m/>
    <m/>
    <m/>
    <m/>
    <m/>
    <m/>
    <n v="22"/>
    <m/>
    <m/>
    <m/>
    <m/>
    <m/>
    <m/>
    <m/>
    <x v="0"/>
    <x v="0"/>
    <n v="6"/>
    <m/>
    <m/>
    <m/>
    <m/>
    <m/>
    <m/>
    <n v="3"/>
    <m/>
    <m/>
    <n v="2"/>
    <n v="40"/>
    <m/>
    <s v="No"/>
    <m/>
    <m/>
    <m/>
    <s v="no test"/>
    <s v="no test"/>
    <x v="1"/>
    <n v="1"/>
    <n v="0"/>
    <n v="0"/>
    <n v="0"/>
    <n v="0"/>
    <n v="4.7136460051850106E-2"/>
    <n v="2.9460287532406315E-2"/>
    <n v="4.7136460051850106E-2"/>
    <n v="400"/>
    <n v="0"/>
    <n v="0"/>
    <n v="4.7136460051850106E-2"/>
    <n v="400"/>
    <n v="0.8"/>
    <n v="0.95286353994814987"/>
    <n v="8086"/>
    <n v="16.2"/>
    <n v="17"/>
    <n v="22"/>
    <n v="5.185010605703512E-2"/>
    <n v="440"/>
    <n v="0"/>
    <n v="0"/>
    <n v="424"/>
    <n v="402"/>
    <n v="0.94814989394296489"/>
    <n v="0"/>
    <n v="1000"/>
    <n v="200"/>
    <n v="0"/>
    <n v="200"/>
    <n v="1000"/>
    <n v="0.11784115012962526"/>
    <n v="0.88215884987037474"/>
    <n v="0.11784115012962526"/>
    <n v="2.6845637583892617E-2"/>
    <n v="0"/>
    <n v="0"/>
    <n v="0"/>
    <n v="0"/>
    <n v="0"/>
    <x v="1"/>
    <s v="Yes"/>
    <s v="KMSS-MYT"/>
    <x v="0"/>
    <x v="0"/>
    <x v="1"/>
    <n v="24.688338999999999"/>
    <n v="97.568331999999998"/>
    <s v="MMR001CMP121"/>
    <x v="0"/>
    <m/>
  </r>
  <r>
    <x v="0"/>
    <x v="4"/>
    <x v="4"/>
    <s v="Plan/GFFO,ADRA/CANADA  "/>
    <x v="0"/>
    <x v="3"/>
    <x v="1"/>
    <x v="57"/>
    <n v="43"/>
    <n v="194"/>
    <d v="2019-04-01T00:00:00"/>
    <d v="2019-07-31T00:00:00"/>
    <m/>
    <m/>
    <m/>
    <m/>
    <s v="Yes"/>
    <m/>
    <m/>
    <n v="0"/>
    <m/>
    <m/>
    <n v="1"/>
    <m/>
    <m/>
    <m/>
    <m/>
    <m/>
    <m/>
    <m/>
    <m/>
    <m/>
    <m/>
    <n v="2"/>
    <m/>
    <m/>
    <m/>
    <m/>
    <m/>
    <m/>
    <m/>
    <n v="4"/>
    <m/>
    <m/>
    <m/>
    <m/>
    <m/>
    <m/>
    <n v="8"/>
    <x v="0"/>
    <x v="0"/>
    <m/>
    <m/>
    <m/>
    <m/>
    <m/>
    <m/>
    <m/>
    <n v="1"/>
    <m/>
    <m/>
    <n v="1"/>
    <m/>
    <m/>
    <m/>
    <m/>
    <m/>
    <m/>
    <s v="no test"/>
    <s v="no test"/>
    <x v="1"/>
    <n v="0"/>
    <n v="1"/>
    <n v="0"/>
    <n v="0"/>
    <n v="0"/>
    <n v="1"/>
    <n v="1"/>
    <n v="1"/>
    <n v="194"/>
    <n v="0"/>
    <n v="0"/>
    <n v="1"/>
    <n v="194"/>
    <n v="0.38800000000000001"/>
    <n v="0"/>
    <n v="0"/>
    <n v="0.61199999999999999"/>
    <n v="1"/>
    <n v="4"/>
    <n v="0.41237113402061853"/>
    <n v="80"/>
    <n v="0"/>
    <n v="0"/>
    <n v="10"/>
    <n v="6"/>
    <n v="0.58762886597938147"/>
    <n v="0"/>
    <n v="194"/>
    <n v="0"/>
    <n v="0"/>
    <n v="0"/>
    <n v="194"/>
    <n v="1"/>
    <n v="0"/>
    <n v="1"/>
    <n v="0"/>
    <n v="0"/>
    <n v="0"/>
    <n v="0"/>
    <n v="0"/>
    <n v="0"/>
    <x v="0"/>
    <s v="Yes"/>
    <s v="KBC"/>
    <x v="0"/>
    <x v="4"/>
    <x v="0"/>
    <n v="25.36600361"/>
    <n v="97.405202779999996"/>
    <s v="MMR001CMP013"/>
    <x v="0"/>
    <m/>
  </r>
  <r>
    <x v="0"/>
    <x v="3"/>
    <x v="3"/>
    <s v="DFID(HARP)/UNICEF"/>
    <x v="0"/>
    <x v="2"/>
    <x v="1"/>
    <x v="58"/>
    <n v="283"/>
    <n v="1481"/>
    <s v="1-Jan-2019 / 1-Dec-2018"/>
    <s v="31-3-2019 / 30-Nov-2019"/>
    <n v="85"/>
    <m/>
    <m/>
    <m/>
    <s v="Yes"/>
    <m/>
    <m/>
    <n v="10"/>
    <m/>
    <n v="1"/>
    <m/>
    <m/>
    <m/>
    <m/>
    <m/>
    <m/>
    <m/>
    <m/>
    <m/>
    <m/>
    <m/>
    <m/>
    <m/>
    <m/>
    <m/>
    <m/>
    <m/>
    <m/>
    <m/>
    <n v="97"/>
    <m/>
    <m/>
    <m/>
    <m/>
    <m/>
    <m/>
    <m/>
    <x v="0"/>
    <x v="0"/>
    <n v="4"/>
    <m/>
    <m/>
    <m/>
    <m/>
    <m/>
    <m/>
    <n v="6"/>
    <m/>
    <m/>
    <n v="4"/>
    <n v="40"/>
    <m/>
    <s v="No"/>
    <m/>
    <m/>
    <m/>
    <s v="no test"/>
    <s v="no test"/>
    <x v="1"/>
    <n v="10"/>
    <n v="0"/>
    <n v="0"/>
    <n v="0"/>
    <n v="0"/>
    <n v="1"/>
    <n v="1"/>
    <n v="1"/>
    <n v="1481"/>
    <n v="0"/>
    <n v="0"/>
    <n v="1"/>
    <n v="1481"/>
    <n v="2.9620000000000002"/>
    <n v="0"/>
    <n v="0"/>
    <n v="3.7999999999999812E-2"/>
    <n v="3"/>
    <n v="97"/>
    <n v="1"/>
    <n v="1481"/>
    <n v="0"/>
    <n v="0"/>
    <n v="74"/>
    <n v="0"/>
    <n v="0"/>
    <n v="0"/>
    <n v="1481"/>
    <n v="200"/>
    <n v="0"/>
    <n v="200"/>
    <n v="1481"/>
    <n v="1"/>
    <n v="0"/>
    <n v="1"/>
    <n v="0.14134275618374559"/>
    <n v="0"/>
    <n v="0"/>
    <n v="0"/>
    <n v="0"/>
    <n v="0"/>
    <x v="1"/>
    <s v="Yes"/>
    <s v="KMSS-MYT"/>
    <x v="0"/>
    <x v="0"/>
    <x v="0"/>
    <n v="25.415667500000001"/>
    <n v="97.437782499999997"/>
    <s v="MMR001CMP029"/>
    <x v="0"/>
    <m/>
  </r>
  <r>
    <x v="0"/>
    <x v="3"/>
    <x v="3"/>
    <s v="DFID/HARP"/>
    <x v="0"/>
    <x v="9"/>
    <x v="1"/>
    <x v="59"/>
    <n v="154"/>
    <n v="694"/>
    <m/>
    <d v="2020-12-31T00:00:00"/>
    <m/>
    <m/>
    <m/>
    <m/>
    <m/>
    <m/>
    <m/>
    <n v="1"/>
    <m/>
    <m/>
    <n v="3"/>
    <n v="2"/>
    <m/>
    <m/>
    <m/>
    <m/>
    <m/>
    <m/>
    <m/>
    <m/>
    <m/>
    <m/>
    <m/>
    <m/>
    <m/>
    <m/>
    <m/>
    <m/>
    <m/>
    <n v="61"/>
    <m/>
    <m/>
    <n v="13"/>
    <n v="10"/>
    <m/>
    <m/>
    <m/>
    <x v="0"/>
    <x v="0"/>
    <m/>
    <m/>
    <m/>
    <m/>
    <n v="10"/>
    <m/>
    <m/>
    <n v="7"/>
    <n v="0"/>
    <m/>
    <n v="2"/>
    <n v="694"/>
    <m/>
    <m/>
    <m/>
    <m/>
    <s v="IDP received hygiene icentive items; body soap 6 pcs, laundry soap 30 pcs and detergant powder 15 pcs from HE Session, its about 3 months covered. "/>
    <s v="no test"/>
    <s v="no test"/>
    <x v="1"/>
    <n v="1"/>
    <n v="5"/>
    <n v="0"/>
    <n v="0"/>
    <n v="0"/>
    <n v="1"/>
    <n v="1"/>
    <n v="1"/>
    <n v="694"/>
    <n v="0"/>
    <n v="0"/>
    <n v="1"/>
    <n v="694"/>
    <n v="1.3879999999999999"/>
    <n v="0"/>
    <n v="0"/>
    <n v="0"/>
    <n v="1"/>
    <n v="48"/>
    <n v="1"/>
    <n v="694"/>
    <n v="0"/>
    <n v="0"/>
    <n v="35"/>
    <n v="0"/>
    <n v="0"/>
    <n v="0.21311475409836064"/>
    <n v="694"/>
    <n v="694"/>
    <n v="0"/>
    <n v="694"/>
    <n v="694"/>
    <n v="1"/>
    <n v="0"/>
    <n v="1"/>
    <n v="1"/>
    <n v="0"/>
    <n v="10"/>
    <n v="154"/>
    <n v="0"/>
    <n v="694"/>
    <x v="0"/>
    <s v="Yes"/>
    <s v="KMSS-BMO"/>
    <x v="0"/>
    <x v="0"/>
    <x v="0"/>
    <n v="23.976571"/>
    <n v="97.227057000000002"/>
    <s v="MMR001CMP223"/>
    <x v="0"/>
    <m/>
  </r>
  <r>
    <x v="0"/>
    <x v="4"/>
    <x v="4"/>
    <s v="ADRA/CANADA"/>
    <x v="0"/>
    <x v="7"/>
    <x v="1"/>
    <x v="60"/>
    <n v="13"/>
    <n v="66"/>
    <d v="2019-04-01T00:00:00"/>
    <d v="2019-07-31T00:00:00"/>
    <m/>
    <m/>
    <m/>
    <m/>
    <s v="Yes"/>
    <m/>
    <m/>
    <n v="0"/>
    <m/>
    <m/>
    <n v="1"/>
    <m/>
    <m/>
    <m/>
    <m/>
    <m/>
    <m/>
    <m/>
    <m/>
    <m/>
    <m/>
    <n v="2"/>
    <m/>
    <m/>
    <m/>
    <m/>
    <m/>
    <m/>
    <m/>
    <n v="6"/>
    <m/>
    <m/>
    <m/>
    <m/>
    <m/>
    <m/>
    <n v="6"/>
    <x v="0"/>
    <x v="3"/>
    <m/>
    <m/>
    <m/>
    <m/>
    <m/>
    <m/>
    <m/>
    <n v="2"/>
    <m/>
    <m/>
    <n v="1"/>
    <m/>
    <m/>
    <m/>
    <m/>
    <m/>
    <m/>
    <s v="no test"/>
    <s v="no test"/>
    <x v="1"/>
    <n v="0"/>
    <n v="1"/>
    <n v="0"/>
    <n v="0"/>
    <n v="0"/>
    <n v="1"/>
    <n v="1"/>
    <n v="1"/>
    <n v="66"/>
    <n v="0"/>
    <n v="0"/>
    <n v="1"/>
    <n v="66"/>
    <n v="0.13200000000000001"/>
    <n v="0"/>
    <n v="0"/>
    <n v="0.86799999999999999"/>
    <n v="1"/>
    <n v="6"/>
    <n v="1"/>
    <n v="66"/>
    <n v="0"/>
    <n v="0"/>
    <n v="3"/>
    <n v="0"/>
    <n v="0"/>
    <n v="0"/>
    <n v="66"/>
    <n v="0"/>
    <n v="0"/>
    <n v="0"/>
    <n v="66"/>
    <n v="1"/>
    <n v="0"/>
    <n v="1"/>
    <n v="0"/>
    <n v="0"/>
    <n v="0"/>
    <n v="0"/>
    <n v="0"/>
    <n v="0"/>
    <x v="0"/>
    <s v="Yes"/>
    <s v="KBC"/>
    <x v="0"/>
    <x v="0"/>
    <x v="0"/>
    <n v="25.305669999999999"/>
    <n v="96.922619999999995"/>
    <s v="MMR001CMP078"/>
    <x v="0"/>
    <m/>
  </r>
  <r>
    <x v="0"/>
    <x v="4"/>
    <x v="4"/>
    <s v="OFDA"/>
    <x v="0"/>
    <x v="1"/>
    <x v="0"/>
    <x v="61"/>
    <n v="440"/>
    <n v="2199"/>
    <m/>
    <s v="30/06/2019"/>
    <m/>
    <m/>
    <m/>
    <m/>
    <m/>
    <m/>
    <m/>
    <n v="0"/>
    <m/>
    <m/>
    <n v="1"/>
    <m/>
    <m/>
    <m/>
    <m/>
    <m/>
    <m/>
    <m/>
    <m/>
    <m/>
    <m/>
    <n v="0"/>
    <m/>
    <m/>
    <m/>
    <m/>
    <m/>
    <m/>
    <m/>
    <n v="16"/>
    <m/>
    <m/>
    <m/>
    <m/>
    <m/>
    <m/>
    <n v="0"/>
    <x v="0"/>
    <x v="2"/>
    <m/>
    <m/>
    <m/>
    <m/>
    <m/>
    <m/>
    <m/>
    <n v="0"/>
    <m/>
    <m/>
    <m/>
    <m/>
    <m/>
    <m/>
    <m/>
    <m/>
    <m/>
    <s v="no test"/>
    <s v="no test"/>
    <x v="1"/>
    <n v="0"/>
    <n v="1"/>
    <n v="0"/>
    <n v="0"/>
    <n v="0"/>
    <n v="0.22737608003638018"/>
    <n v="0.11368804001819009"/>
    <n v="0.22737608003638018"/>
    <n v="500"/>
    <n v="0"/>
    <n v="0"/>
    <n v="0.22737608003638018"/>
    <n v="500"/>
    <n v="1"/>
    <n v="0.77262391996361979"/>
    <n v="1699"/>
    <n v="3"/>
    <n v="4"/>
    <n v="16"/>
    <n v="0.14552069122328332"/>
    <n v="320"/>
    <n v="0"/>
    <n v="0"/>
    <n v="110"/>
    <n v="94"/>
    <n v="0.85447930877671663"/>
    <n v="0"/>
    <n v="0"/>
    <n v="0"/>
    <n v="0"/>
    <n v="0"/>
    <n v="0"/>
    <n v="0"/>
    <n v="1"/>
    <n v="0"/>
    <n v="0"/>
    <n v="0"/>
    <n v="0"/>
    <n v="0"/>
    <n v="0"/>
    <n v="0"/>
    <x v="0"/>
    <n v="0"/>
    <n v="0"/>
    <x v="0"/>
    <x v="5"/>
    <x v="1"/>
    <n v="0"/>
    <n v="0"/>
    <n v="0"/>
    <x v="0"/>
    <m/>
  </r>
  <r>
    <x v="0"/>
    <x v="4"/>
    <x v="4"/>
    <m/>
    <x v="0"/>
    <x v="3"/>
    <x v="0"/>
    <x v="62"/>
    <n v="51"/>
    <n v="252"/>
    <m/>
    <m/>
    <m/>
    <m/>
    <m/>
    <m/>
    <m/>
    <m/>
    <m/>
    <n v="0"/>
    <m/>
    <m/>
    <n v="0"/>
    <m/>
    <m/>
    <m/>
    <m/>
    <m/>
    <m/>
    <m/>
    <m/>
    <m/>
    <m/>
    <n v="0"/>
    <m/>
    <m/>
    <m/>
    <m/>
    <m/>
    <m/>
    <m/>
    <n v="0"/>
    <m/>
    <m/>
    <m/>
    <m/>
    <m/>
    <m/>
    <n v="0"/>
    <x v="2"/>
    <x v="2"/>
    <m/>
    <m/>
    <m/>
    <m/>
    <m/>
    <m/>
    <m/>
    <n v="0"/>
    <m/>
    <m/>
    <m/>
    <m/>
    <m/>
    <m/>
    <m/>
    <m/>
    <m/>
    <s v="no test"/>
    <s v="no test"/>
    <x v="1"/>
    <n v="0"/>
    <n v="0"/>
    <n v="0"/>
    <n v="0"/>
    <n v="0"/>
    <n v="0"/>
    <n v="0"/>
    <n v="0"/>
    <n v="0"/>
    <n v="0"/>
    <n v="0"/>
    <n v="0"/>
    <n v="0"/>
    <n v="0"/>
    <n v="1"/>
    <n v="252"/>
    <n v="1"/>
    <n v="1"/>
    <n v="0"/>
    <n v="0"/>
    <n v="0"/>
    <n v="0"/>
    <n v="0"/>
    <n v="13"/>
    <n v="13"/>
    <n v="1"/>
    <n v="0"/>
    <n v="0"/>
    <n v="0"/>
    <n v="0"/>
    <n v="0"/>
    <n v="0"/>
    <n v="0"/>
    <n v="1"/>
    <n v="0"/>
    <n v="0"/>
    <n v="0"/>
    <n v="0"/>
    <n v="0"/>
    <n v="0"/>
    <n v="0"/>
    <x v="0"/>
    <n v="0"/>
    <n v="0"/>
    <x v="0"/>
    <x v="2"/>
    <x v="1"/>
    <n v="0"/>
    <n v="0"/>
    <n v="0"/>
    <x v="0"/>
    <m/>
  </r>
  <r>
    <x v="0"/>
    <x v="4"/>
    <x v="4"/>
    <s v="Plan/GFFO,ADRA/CANADA  "/>
    <x v="0"/>
    <x v="3"/>
    <x v="1"/>
    <x v="63"/>
    <n v="99"/>
    <n v="547"/>
    <d v="2019-04-01T00:00:00"/>
    <d v="2019-07-31T00:00:00"/>
    <m/>
    <m/>
    <m/>
    <m/>
    <s v="Yes"/>
    <m/>
    <m/>
    <n v="1"/>
    <m/>
    <m/>
    <n v="0"/>
    <m/>
    <m/>
    <m/>
    <m/>
    <m/>
    <m/>
    <m/>
    <m/>
    <m/>
    <m/>
    <n v="2"/>
    <m/>
    <m/>
    <m/>
    <m/>
    <m/>
    <m/>
    <m/>
    <n v="8"/>
    <m/>
    <m/>
    <m/>
    <m/>
    <m/>
    <m/>
    <n v="8"/>
    <x v="0"/>
    <x v="3"/>
    <m/>
    <m/>
    <m/>
    <m/>
    <m/>
    <m/>
    <m/>
    <n v="2"/>
    <m/>
    <m/>
    <n v="1"/>
    <m/>
    <m/>
    <m/>
    <m/>
    <m/>
    <m/>
    <s v="no test"/>
    <s v="no test"/>
    <x v="1"/>
    <n v="1"/>
    <n v="0"/>
    <n v="0"/>
    <n v="0"/>
    <n v="0"/>
    <n v="0.73126142595978061"/>
    <n v="0.45703839122486289"/>
    <n v="0.73126142595978061"/>
    <n v="400"/>
    <n v="0"/>
    <n v="0"/>
    <n v="0.73126142595978061"/>
    <n v="400"/>
    <n v="0.8"/>
    <n v="0.26873857404021939"/>
    <n v="147"/>
    <n v="0.19999999999999996"/>
    <n v="1"/>
    <n v="8"/>
    <n v="0.29250457038391225"/>
    <n v="160"/>
    <n v="0"/>
    <n v="0"/>
    <n v="27"/>
    <n v="19"/>
    <n v="0.7074954296160878"/>
    <n v="0"/>
    <n v="500"/>
    <n v="0"/>
    <n v="0"/>
    <n v="0"/>
    <n v="500"/>
    <n v="0.91407678244972579"/>
    <n v="8.5923217550274211E-2"/>
    <n v="0.91407678244972579"/>
    <n v="0"/>
    <n v="0"/>
    <n v="0"/>
    <n v="0"/>
    <n v="0"/>
    <n v="0"/>
    <x v="0"/>
    <s v="Yes"/>
    <s v="KBC-MYT"/>
    <x v="0"/>
    <x v="0"/>
    <x v="0"/>
    <n v="25.362420757575801"/>
    <n v="97.409035000000003"/>
    <s v="MMR001CMP015"/>
    <x v="0"/>
    <m/>
  </r>
  <r>
    <x v="0"/>
    <x v="2"/>
    <x v="2"/>
    <m/>
    <x v="0"/>
    <x v="8"/>
    <x v="1"/>
    <x v="64"/>
    <n v="27"/>
    <n v="121"/>
    <m/>
    <m/>
    <m/>
    <m/>
    <m/>
    <m/>
    <m/>
    <m/>
    <m/>
    <m/>
    <m/>
    <m/>
    <m/>
    <m/>
    <m/>
    <m/>
    <m/>
    <m/>
    <m/>
    <m/>
    <m/>
    <m/>
    <m/>
    <m/>
    <m/>
    <m/>
    <m/>
    <m/>
    <m/>
    <m/>
    <m/>
    <m/>
    <m/>
    <m/>
    <m/>
    <m/>
    <m/>
    <m/>
    <m/>
    <x v="1"/>
    <x v="1"/>
    <m/>
    <m/>
    <m/>
    <m/>
    <m/>
    <m/>
    <m/>
    <m/>
    <m/>
    <m/>
    <m/>
    <m/>
    <m/>
    <m/>
    <m/>
    <m/>
    <m/>
    <s v="no test"/>
    <s v="no test"/>
    <x v="1"/>
    <n v="0"/>
    <n v="0"/>
    <n v="0"/>
    <n v="0"/>
    <n v="0"/>
    <n v="0"/>
    <n v="0"/>
    <n v="0"/>
    <n v="0"/>
    <n v="0"/>
    <n v="0"/>
    <n v="0"/>
    <n v="0"/>
    <n v="0"/>
    <n v="1"/>
    <n v="121"/>
    <n v="1"/>
    <n v="1"/>
    <n v="0"/>
    <n v="0"/>
    <n v="0"/>
    <n v="0"/>
    <n v="0"/>
    <n v="6"/>
    <n v="6"/>
    <n v="1"/>
    <n v="0"/>
    <n v="0"/>
    <n v="0"/>
    <n v="0"/>
    <n v="0"/>
    <n v="0"/>
    <n v="0"/>
    <n v="1"/>
    <n v="0"/>
    <n v="0"/>
    <n v="0"/>
    <n v="0"/>
    <n v="0"/>
    <n v="0"/>
    <n v="0"/>
    <x v="0"/>
    <n v="0"/>
    <s v="uncovered"/>
    <x v="0"/>
    <x v="1"/>
    <x v="0"/>
    <n v="24.996279999999999"/>
    <n v="96.52534"/>
    <s v="MMR001CMP232"/>
    <x v="1"/>
    <m/>
  </r>
  <r>
    <x v="0"/>
    <x v="4"/>
    <x v="4"/>
    <s v="Plan/GFFO,ADRA/CANADA  "/>
    <x v="0"/>
    <x v="3"/>
    <x v="1"/>
    <x v="65"/>
    <n v="132"/>
    <n v="676"/>
    <d v="2019-04-01T00:00:00"/>
    <d v="2019-07-31T00:00:00"/>
    <m/>
    <m/>
    <m/>
    <m/>
    <s v="Yes"/>
    <m/>
    <m/>
    <n v="0"/>
    <m/>
    <m/>
    <n v="3"/>
    <m/>
    <m/>
    <m/>
    <m/>
    <m/>
    <m/>
    <m/>
    <m/>
    <m/>
    <m/>
    <n v="2"/>
    <m/>
    <m/>
    <m/>
    <m/>
    <m/>
    <m/>
    <m/>
    <n v="32"/>
    <m/>
    <m/>
    <m/>
    <m/>
    <n v="18"/>
    <m/>
    <n v="32"/>
    <x v="0"/>
    <x v="0"/>
    <m/>
    <m/>
    <m/>
    <m/>
    <m/>
    <m/>
    <m/>
    <n v="2"/>
    <m/>
    <m/>
    <n v="1"/>
    <m/>
    <m/>
    <m/>
    <m/>
    <m/>
    <m/>
    <s v="no test"/>
    <s v="no test"/>
    <x v="1"/>
    <n v="0"/>
    <n v="3"/>
    <n v="0"/>
    <n v="0"/>
    <n v="0"/>
    <n v="1"/>
    <n v="1"/>
    <n v="1"/>
    <n v="676"/>
    <n v="0"/>
    <n v="0"/>
    <n v="1"/>
    <n v="676"/>
    <n v="1.3520000000000001"/>
    <n v="0"/>
    <n v="0"/>
    <n v="0"/>
    <n v="1"/>
    <n v="32"/>
    <n v="0.94674556213017746"/>
    <n v="640"/>
    <n v="360"/>
    <n v="0"/>
    <n v="34"/>
    <n v="2"/>
    <n v="5.3254437869822535E-2"/>
    <n v="0"/>
    <n v="500"/>
    <n v="0"/>
    <n v="0"/>
    <n v="0"/>
    <n v="500"/>
    <n v="0.73964497041420119"/>
    <n v="0.26035502958579881"/>
    <n v="0.73964497041420119"/>
    <n v="0"/>
    <n v="0"/>
    <n v="0"/>
    <n v="0"/>
    <n v="0"/>
    <n v="0"/>
    <x v="0"/>
    <s v="Yes"/>
    <s v="KBC-MYT"/>
    <x v="0"/>
    <x v="0"/>
    <x v="0"/>
    <n v="25.3510167948718"/>
    <n v="97.403402307692303"/>
    <s v="MMR001CMP014"/>
    <x v="0"/>
    <m/>
  </r>
  <r>
    <x v="0"/>
    <x v="2"/>
    <x v="2"/>
    <m/>
    <x v="0"/>
    <x v="8"/>
    <x v="1"/>
    <x v="66"/>
    <n v="14"/>
    <n v="63"/>
    <m/>
    <m/>
    <m/>
    <m/>
    <m/>
    <m/>
    <m/>
    <m/>
    <m/>
    <m/>
    <m/>
    <m/>
    <m/>
    <m/>
    <m/>
    <m/>
    <m/>
    <m/>
    <m/>
    <m/>
    <m/>
    <m/>
    <m/>
    <m/>
    <m/>
    <m/>
    <m/>
    <m/>
    <m/>
    <m/>
    <m/>
    <m/>
    <m/>
    <m/>
    <m/>
    <m/>
    <m/>
    <m/>
    <m/>
    <x v="1"/>
    <x v="1"/>
    <m/>
    <m/>
    <m/>
    <m/>
    <m/>
    <m/>
    <m/>
    <m/>
    <m/>
    <m/>
    <m/>
    <m/>
    <m/>
    <m/>
    <m/>
    <m/>
    <m/>
    <s v="no test"/>
    <s v="no test"/>
    <x v="1"/>
    <n v="0"/>
    <n v="0"/>
    <n v="0"/>
    <n v="0"/>
    <n v="0"/>
    <n v="0"/>
    <n v="0"/>
    <n v="0"/>
    <n v="0"/>
    <n v="0"/>
    <n v="0"/>
    <n v="0"/>
    <n v="0"/>
    <n v="0"/>
    <n v="1"/>
    <n v="63"/>
    <n v="1"/>
    <n v="1"/>
    <n v="0"/>
    <n v="0"/>
    <n v="0"/>
    <n v="0"/>
    <n v="0"/>
    <n v="3"/>
    <n v="3"/>
    <n v="1"/>
    <n v="0"/>
    <n v="0"/>
    <n v="0"/>
    <n v="0"/>
    <n v="0"/>
    <n v="0"/>
    <n v="0"/>
    <n v="1"/>
    <n v="0"/>
    <n v="0"/>
    <n v="0"/>
    <n v="0"/>
    <n v="0"/>
    <n v="0"/>
    <n v="0"/>
    <x v="0"/>
    <n v="0"/>
    <s v="uncovered"/>
    <x v="0"/>
    <x v="1"/>
    <x v="0"/>
    <n v="24.764959999999999"/>
    <n v="96.366919999999993"/>
    <s v="MMR001CMP233"/>
    <x v="1"/>
    <m/>
  </r>
  <r>
    <x v="0"/>
    <x v="4"/>
    <x v="4"/>
    <s v="ADRA/CANADA"/>
    <x v="0"/>
    <x v="10"/>
    <x v="1"/>
    <x v="67"/>
    <n v="60"/>
    <n v="289"/>
    <d v="2019-04-01T00:00:00"/>
    <d v="2019-07-31T00:00:00"/>
    <m/>
    <m/>
    <m/>
    <m/>
    <s v="Yes"/>
    <m/>
    <m/>
    <n v="1"/>
    <m/>
    <m/>
    <n v="1"/>
    <m/>
    <m/>
    <m/>
    <m/>
    <m/>
    <m/>
    <m/>
    <m/>
    <m/>
    <m/>
    <n v="1"/>
    <m/>
    <m/>
    <m/>
    <m/>
    <m/>
    <m/>
    <m/>
    <n v="12"/>
    <m/>
    <m/>
    <n v="10"/>
    <n v="30"/>
    <m/>
    <m/>
    <n v="12"/>
    <x v="0"/>
    <x v="0"/>
    <m/>
    <m/>
    <m/>
    <m/>
    <m/>
    <m/>
    <m/>
    <n v="2"/>
    <m/>
    <m/>
    <n v="2"/>
    <m/>
    <m/>
    <m/>
    <m/>
    <m/>
    <m/>
    <s v="no test"/>
    <s v="no test"/>
    <x v="1"/>
    <n v="1"/>
    <n v="1"/>
    <n v="0"/>
    <n v="0"/>
    <n v="0"/>
    <n v="1"/>
    <n v="1"/>
    <n v="1"/>
    <n v="289"/>
    <n v="0"/>
    <n v="0"/>
    <n v="1"/>
    <n v="289"/>
    <n v="0.57799999999999996"/>
    <n v="0"/>
    <n v="0"/>
    <n v="0.42200000000000004"/>
    <n v="1"/>
    <n v="2"/>
    <n v="0.13840830449826991"/>
    <n v="40"/>
    <n v="0"/>
    <n v="0"/>
    <n v="14"/>
    <n v="2"/>
    <n v="0.86159169550173009"/>
    <n v="0.83333333333333337"/>
    <n v="289"/>
    <n v="0"/>
    <n v="0"/>
    <n v="0"/>
    <n v="289"/>
    <n v="1"/>
    <n v="0"/>
    <n v="1"/>
    <n v="0"/>
    <n v="0"/>
    <n v="0"/>
    <n v="0"/>
    <n v="0"/>
    <n v="0"/>
    <x v="0"/>
    <s v="Yes"/>
    <s v="KBC-MYT"/>
    <x v="0"/>
    <x v="0"/>
    <x v="0"/>
    <n v="27.337499999999999"/>
    <n v="97.416121000000004"/>
    <s v="MMR001CMP234"/>
    <x v="0"/>
    <m/>
  </r>
  <r>
    <x v="0"/>
    <x v="3"/>
    <x v="3"/>
    <s v="AA"/>
    <x v="0"/>
    <x v="7"/>
    <x v="1"/>
    <x v="68"/>
    <n v="45"/>
    <n v="235"/>
    <d v="2018-10-01T00:00:00"/>
    <d v="2019-12-31T00:00:00"/>
    <m/>
    <m/>
    <m/>
    <m/>
    <m/>
    <m/>
    <m/>
    <m/>
    <m/>
    <m/>
    <m/>
    <n v="2"/>
    <m/>
    <n v="1"/>
    <m/>
    <m/>
    <m/>
    <m/>
    <m/>
    <m/>
    <m/>
    <m/>
    <m/>
    <m/>
    <m/>
    <m/>
    <m/>
    <m/>
    <m/>
    <n v="8"/>
    <m/>
    <m/>
    <m/>
    <m/>
    <m/>
    <m/>
    <m/>
    <x v="0"/>
    <x v="3"/>
    <m/>
    <m/>
    <m/>
    <m/>
    <m/>
    <m/>
    <m/>
    <n v="2"/>
    <m/>
    <m/>
    <n v="1"/>
    <n v="45"/>
    <n v="59"/>
    <m/>
    <m/>
    <m/>
    <m/>
    <s v="no test"/>
    <s v="no test"/>
    <x v="1"/>
    <n v="0"/>
    <n v="2"/>
    <n v="0"/>
    <n v="0"/>
    <n v="0"/>
    <n v="1"/>
    <n v="1"/>
    <n v="1"/>
    <n v="235"/>
    <n v="0"/>
    <n v="0"/>
    <n v="1"/>
    <n v="235"/>
    <n v="0.47"/>
    <n v="0"/>
    <n v="0"/>
    <n v="0.53"/>
    <n v="1"/>
    <n v="8"/>
    <n v="0.68085106382978722"/>
    <n v="160"/>
    <n v="0"/>
    <n v="0"/>
    <n v="12"/>
    <n v="4"/>
    <n v="0.31914893617021278"/>
    <n v="0"/>
    <n v="235"/>
    <n v="235"/>
    <n v="235"/>
    <n v="235"/>
    <n v="235"/>
    <n v="1"/>
    <n v="0"/>
    <n v="1"/>
    <n v="1"/>
    <n v="1"/>
    <n v="0"/>
    <n v="0"/>
    <n v="0"/>
    <n v="0"/>
    <x v="0"/>
    <n v="0"/>
    <s v="KMSS-MYT"/>
    <x v="0"/>
    <x v="0"/>
    <x v="0"/>
    <n v="97.010629910000006"/>
    <n v="25.37033053"/>
    <s v="MMR001CMP259"/>
    <x v="0"/>
    <m/>
  </r>
  <r>
    <x v="0"/>
    <x v="1"/>
    <x v="1"/>
    <s v="WHH-AA / USAID"/>
    <x v="0"/>
    <x v="0"/>
    <x v="1"/>
    <x v="69"/>
    <n v="141"/>
    <n v="800"/>
    <d v="2019-01-01T00:00:00"/>
    <d v="2019-12-31T00:00:00"/>
    <m/>
    <m/>
    <m/>
    <m/>
    <s v="Yes"/>
    <n v="2"/>
    <n v="2"/>
    <n v="1"/>
    <m/>
    <m/>
    <m/>
    <n v="1"/>
    <m/>
    <m/>
    <m/>
    <m/>
    <m/>
    <m/>
    <m/>
    <m/>
    <m/>
    <m/>
    <m/>
    <m/>
    <m/>
    <m/>
    <m/>
    <m/>
    <m/>
    <n v="21"/>
    <m/>
    <m/>
    <n v="2"/>
    <m/>
    <m/>
    <m/>
    <m/>
    <x v="0"/>
    <x v="0"/>
    <m/>
    <m/>
    <m/>
    <m/>
    <n v="9"/>
    <m/>
    <m/>
    <n v="5"/>
    <m/>
    <m/>
    <m/>
    <n v="141"/>
    <n v="16"/>
    <m/>
    <m/>
    <m/>
    <m/>
    <s v="no test"/>
    <s v="no test"/>
    <x v="1"/>
    <n v="1"/>
    <n v="1"/>
    <n v="0"/>
    <n v="0"/>
    <n v="0"/>
    <n v="1"/>
    <n v="0.625"/>
    <n v="1"/>
    <n v="800"/>
    <n v="0"/>
    <n v="0"/>
    <n v="1"/>
    <n v="800"/>
    <n v="1.6"/>
    <n v="0"/>
    <n v="0"/>
    <n v="0.39999999999999991"/>
    <n v="2"/>
    <n v="19"/>
    <n v="0.47499999999999998"/>
    <n v="380"/>
    <n v="0"/>
    <n v="0"/>
    <n v="40"/>
    <n v="19"/>
    <n v="0.52500000000000002"/>
    <n v="9.5238095238095233E-2"/>
    <n v="0"/>
    <n v="800"/>
    <n v="80"/>
    <n v="800"/>
    <n v="800"/>
    <n v="1"/>
    <n v="0"/>
    <n v="0"/>
    <n v="1"/>
    <n v="0.11347517730496454"/>
    <n v="9"/>
    <n v="141"/>
    <n v="0"/>
    <n v="800"/>
    <x v="0"/>
    <s v="Yes"/>
    <s v="Shalom"/>
    <x v="0"/>
    <x v="0"/>
    <x v="0"/>
    <n v="24.263174360000001"/>
    <n v="97.240183459999997"/>
    <s v="MMR001CMP049"/>
    <x v="0"/>
    <m/>
  </r>
  <r>
    <x v="0"/>
    <x v="3"/>
    <x v="3"/>
    <s v="DFID(HARP)"/>
    <x v="0"/>
    <x v="3"/>
    <x v="1"/>
    <x v="70"/>
    <n v="63"/>
    <n v="309"/>
    <d v="2019-01-01T00:00:00"/>
    <s v="31-3-2019"/>
    <m/>
    <m/>
    <m/>
    <m/>
    <s v="Yes"/>
    <m/>
    <m/>
    <m/>
    <m/>
    <m/>
    <n v="4"/>
    <m/>
    <m/>
    <m/>
    <m/>
    <m/>
    <m/>
    <m/>
    <m/>
    <m/>
    <m/>
    <m/>
    <m/>
    <m/>
    <m/>
    <m/>
    <m/>
    <m/>
    <m/>
    <n v="20"/>
    <m/>
    <m/>
    <m/>
    <m/>
    <m/>
    <m/>
    <m/>
    <x v="0"/>
    <x v="0"/>
    <m/>
    <m/>
    <m/>
    <m/>
    <m/>
    <m/>
    <m/>
    <n v="2"/>
    <m/>
    <n v="1"/>
    <n v="1"/>
    <n v="30"/>
    <m/>
    <m/>
    <m/>
    <m/>
    <m/>
    <s v="no test"/>
    <s v="no test"/>
    <x v="1"/>
    <n v="0"/>
    <n v="4"/>
    <n v="0"/>
    <n v="0"/>
    <n v="0"/>
    <n v="1"/>
    <n v="1"/>
    <n v="1"/>
    <n v="309"/>
    <n v="0"/>
    <n v="0"/>
    <n v="1"/>
    <n v="309"/>
    <n v="0.61799999999999999"/>
    <n v="0"/>
    <n v="0"/>
    <n v="0.38200000000000001"/>
    <n v="1"/>
    <n v="20"/>
    <n v="1"/>
    <n v="309"/>
    <n v="0"/>
    <n v="0"/>
    <n v="15"/>
    <n v="0"/>
    <n v="0"/>
    <n v="0"/>
    <n v="309"/>
    <n v="150"/>
    <n v="0"/>
    <n v="150"/>
    <n v="309"/>
    <n v="1"/>
    <n v="0"/>
    <n v="1"/>
    <n v="0.47619047619047616"/>
    <n v="0"/>
    <n v="0"/>
    <n v="0"/>
    <n v="0"/>
    <n v="0"/>
    <x v="0"/>
    <s v="Yes"/>
    <s v="KMSS-MYT"/>
    <x v="0"/>
    <x v="0"/>
    <x v="0"/>
    <n v="25.410569299999999"/>
    <n v="97.359320179999997"/>
    <s v="MMR001CMP024"/>
    <x v="0"/>
    <m/>
  </r>
  <r>
    <x v="0"/>
    <x v="1"/>
    <x v="1"/>
    <s v="WHH-AA / USAID"/>
    <x v="0"/>
    <x v="1"/>
    <x v="1"/>
    <x v="71"/>
    <n v="242"/>
    <n v="1258"/>
    <d v="2019-01-01T00:00:00"/>
    <d v="2019-12-31T00:00:00"/>
    <m/>
    <m/>
    <m/>
    <m/>
    <s v="No"/>
    <m/>
    <m/>
    <m/>
    <m/>
    <m/>
    <n v="2"/>
    <n v="1"/>
    <m/>
    <m/>
    <m/>
    <m/>
    <m/>
    <m/>
    <m/>
    <m/>
    <m/>
    <m/>
    <m/>
    <m/>
    <m/>
    <m/>
    <m/>
    <m/>
    <m/>
    <n v="40"/>
    <m/>
    <m/>
    <n v="2"/>
    <m/>
    <m/>
    <m/>
    <m/>
    <x v="0"/>
    <x v="0"/>
    <m/>
    <m/>
    <m/>
    <m/>
    <n v="17"/>
    <m/>
    <m/>
    <n v="5"/>
    <m/>
    <m/>
    <m/>
    <n v="242"/>
    <n v="38"/>
    <m/>
    <m/>
    <m/>
    <m/>
    <s v="no test"/>
    <s v="no test"/>
    <x v="1"/>
    <n v="0"/>
    <n v="3"/>
    <n v="0"/>
    <n v="0"/>
    <n v="0"/>
    <n v="1"/>
    <n v="0.59618441971383151"/>
    <n v="1"/>
    <n v="1258"/>
    <n v="0"/>
    <n v="0"/>
    <n v="1"/>
    <n v="1258"/>
    <n v="2.516"/>
    <n v="0"/>
    <n v="0"/>
    <n v="0.48399999999999999"/>
    <n v="3"/>
    <n v="38"/>
    <n v="0.60413354531001595"/>
    <n v="760"/>
    <n v="0"/>
    <n v="0"/>
    <n v="63"/>
    <n v="23"/>
    <n v="0.39586645468998405"/>
    <n v="0.05"/>
    <n v="0"/>
    <n v="1258"/>
    <n v="190"/>
    <n v="1258"/>
    <n v="1258"/>
    <n v="1"/>
    <n v="0"/>
    <n v="0"/>
    <n v="1"/>
    <n v="0.15702479338842976"/>
    <n v="17"/>
    <n v="242"/>
    <n v="0"/>
    <n v="1258"/>
    <x v="0"/>
    <s v="Yes"/>
    <s v="KMSS-BMO"/>
    <x v="0"/>
    <x v="0"/>
    <x v="0"/>
    <n v="24.245100000000001"/>
    <n v="97.325019999999995"/>
    <s v="MMR001CMP062"/>
    <x v="0"/>
    <m/>
  </r>
  <r>
    <x v="0"/>
    <x v="0"/>
    <x v="0"/>
    <s v="ECHO, OFDA"/>
    <x v="0"/>
    <x v="1"/>
    <x v="1"/>
    <x v="72"/>
    <n v="70"/>
    <n v="405"/>
    <s v="01/01/2018, 01/07/2018"/>
    <s v="28-02-2019, 30/06/2019"/>
    <m/>
    <m/>
    <m/>
    <n v="0"/>
    <s v="Yes"/>
    <n v="10"/>
    <n v="12"/>
    <n v="0"/>
    <n v="0"/>
    <m/>
    <n v="1"/>
    <n v="0"/>
    <m/>
    <n v="1"/>
    <m/>
    <m/>
    <m/>
    <m/>
    <m/>
    <m/>
    <m/>
    <m/>
    <n v="2"/>
    <n v="2"/>
    <n v="8"/>
    <n v="0"/>
    <m/>
    <m/>
    <m/>
    <n v="18"/>
    <m/>
    <m/>
    <m/>
    <m/>
    <n v="4"/>
    <m/>
    <m/>
    <x v="0"/>
    <x v="0"/>
    <n v="0"/>
    <n v="0"/>
    <m/>
    <m/>
    <n v="5"/>
    <n v="0"/>
    <m/>
    <n v="3"/>
    <m/>
    <n v="0"/>
    <n v="2"/>
    <n v="15"/>
    <n v="64"/>
    <m/>
    <m/>
    <m/>
    <m/>
    <n v="1"/>
    <n v="0"/>
    <x v="0"/>
    <n v="0"/>
    <n v="1"/>
    <n v="0"/>
    <n v="0"/>
    <n v="0"/>
    <n v="1"/>
    <n v="0.61728395061728392"/>
    <n v="1"/>
    <n v="405"/>
    <n v="0"/>
    <n v="0"/>
    <n v="1"/>
    <n v="405"/>
    <n v="0.81"/>
    <n v="0"/>
    <n v="0"/>
    <n v="0.18999999999999995"/>
    <n v="1"/>
    <n v="18"/>
    <n v="0.88888888888888884"/>
    <n v="360"/>
    <n v="80"/>
    <n v="0"/>
    <n v="20"/>
    <n v="2"/>
    <n v="0.11111111111111116"/>
    <n v="0"/>
    <n v="405"/>
    <n v="75"/>
    <n v="320"/>
    <n v="320"/>
    <n v="405"/>
    <n v="1"/>
    <n v="0"/>
    <n v="1"/>
    <n v="0.21428571428571427"/>
    <n v="0.91428571428571426"/>
    <n v="5"/>
    <n v="70"/>
    <n v="0"/>
    <n v="405"/>
    <x v="0"/>
    <s v="Yes"/>
    <s v="KMSS-BMO"/>
    <x v="0"/>
    <x v="0"/>
    <x v="0"/>
    <n v="24.205417000000001"/>
    <n v="97.724566999999993"/>
    <s v="MMR001CMP069"/>
    <x v="0"/>
    <m/>
  </r>
  <r>
    <x v="0"/>
    <x v="1"/>
    <x v="1"/>
    <s v="WHH-AA / USAID"/>
    <x v="0"/>
    <x v="1"/>
    <x v="1"/>
    <x v="73"/>
    <n v="3"/>
    <n v="13"/>
    <d v="2019-01-01T00:00:00"/>
    <d v="2019-12-31T00:00:00"/>
    <m/>
    <m/>
    <m/>
    <m/>
    <s v="No"/>
    <m/>
    <m/>
    <m/>
    <m/>
    <m/>
    <m/>
    <n v="1"/>
    <m/>
    <m/>
    <m/>
    <m/>
    <m/>
    <m/>
    <m/>
    <m/>
    <m/>
    <m/>
    <m/>
    <m/>
    <m/>
    <m/>
    <m/>
    <m/>
    <m/>
    <n v="1"/>
    <m/>
    <m/>
    <m/>
    <m/>
    <m/>
    <m/>
    <m/>
    <x v="0"/>
    <x v="0"/>
    <m/>
    <m/>
    <m/>
    <m/>
    <n v="0"/>
    <m/>
    <m/>
    <n v="1"/>
    <m/>
    <m/>
    <m/>
    <m/>
    <m/>
    <m/>
    <m/>
    <m/>
    <m/>
    <s v="no test"/>
    <s v="no test"/>
    <x v="1"/>
    <n v="0"/>
    <n v="1"/>
    <n v="0"/>
    <n v="0"/>
    <n v="0"/>
    <n v="1"/>
    <n v="1"/>
    <n v="1"/>
    <n v="13"/>
    <n v="0"/>
    <n v="0"/>
    <n v="1"/>
    <n v="13"/>
    <n v="2.5999999999999999E-2"/>
    <n v="0"/>
    <n v="0"/>
    <n v="0.97399999999999998"/>
    <n v="1"/>
    <n v="1"/>
    <n v="1"/>
    <n v="13"/>
    <n v="0"/>
    <n v="0"/>
    <n v="1"/>
    <n v="0"/>
    <n v="0"/>
    <n v="0"/>
    <n v="0"/>
    <n v="0"/>
    <n v="0"/>
    <n v="0"/>
    <n v="0"/>
    <n v="0"/>
    <n v="1"/>
    <n v="0"/>
    <n v="0"/>
    <n v="0"/>
    <n v="0"/>
    <n v="0"/>
    <n v="0"/>
    <n v="0"/>
    <x v="0"/>
    <n v="0"/>
    <n v="0"/>
    <x v="0"/>
    <x v="4"/>
    <x v="0"/>
    <n v="24.251860000000001"/>
    <n v="97.346940000000004"/>
    <s v="MMR001CMP058"/>
    <x v="0"/>
    <m/>
  </r>
  <r>
    <x v="0"/>
    <x v="1"/>
    <x v="1"/>
    <s v="WHH-AA / USAID"/>
    <x v="0"/>
    <x v="9"/>
    <x v="1"/>
    <x v="74"/>
    <n v="175"/>
    <n v="807"/>
    <d v="2019-01-01T00:00:00"/>
    <d v="2019-12-31T00:00:00"/>
    <m/>
    <m/>
    <m/>
    <m/>
    <s v="Yes"/>
    <n v="2"/>
    <n v="3"/>
    <n v="2"/>
    <m/>
    <m/>
    <n v="2"/>
    <n v="3"/>
    <m/>
    <m/>
    <m/>
    <m/>
    <m/>
    <m/>
    <m/>
    <m/>
    <m/>
    <m/>
    <m/>
    <m/>
    <m/>
    <m/>
    <m/>
    <m/>
    <m/>
    <n v="40"/>
    <m/>
    <m/>
    <m/>
    <m/>
    <m/>
    <m/>
    <m/>
    <x v="0"/>
    <x v="0"/>
    <m/>
    <n v="1"/>
    <m/>
    <m/>
    <n v="16"/>
    <m/>
    <m/>
    <n v="7"/>
    <m/>
    <m/>
    <m/>
    <n v="175"/>
    <n v="50"/>
    <m/>
    <m/>
    <m/>
    <m/>
    <s v="no test"/>
    <s v="no test"/>
    <x v="1"/>
    <n v="2"/>
    <n v="5"/>
    <n v="0"/>
    <n v="0"/>
    <n v="0"/>
    <n v="1"/>
    <n v="1"/>
    <n v="1"/>
    <n v="807"/>
    <n v="0"/>
    <n v="0"/>
    <n v="1"/>
    <n v="807"/>
    <n v="1.6140000000000001"/>
    <n v="0"/>
    <n v="0"/>
    <n v="0.3859999999999999"/>
    <n v="2"/>
    <n v="40"/>
    <n v="0.99132589838909546"/>
    <n v="800"/>
    <n v="0"/>
    <n v="0"/>
    <n v="40"/>
    <n v="0"/>
    <n v="8.6741016109045388E-3"/>
    <n v="0"/>
    <n v="0"/>
    <n v="807"/>
    <n v="250"/>
    <n v="807"/>
    <n v="807"/>
    <n v="1"/>
    <n v="0"/>
    <n v="0"/>
    <n v="1"/>
    <n v="0.2857142857142857"/>
    <n v="16"/>
    <n v="175"/>
    <n v="0"/>
    <n v="807"/>
    <x v="0"/>
    <s v="Yes"/>
    <s v="KBC"/>
    <x v="0"/>
    <x v="0"/>
    <x v="0"/>
    <n v="24.129059999999999"/>
    <n v="97.291820000000001"/>
    <s v="MMR001CMP066"/>
    <x v="0"/>
    <m/>
  </r>
  <r>
    <x v="0"/>
    <x v="2"/>
    <x v="2"/>
    <m/>
    <x v="0"/>
    <x v="1"/>
    <x v="1"/>
    <x v="75"/>
    <n v="3"/>
    <n v="18"/>
    <m/>
    <m/>
    <m/>
    <m/>
    <m/>
    <m/>
    <m/>
    <m/>
    <m/>
    <m/>
    <m/>
    <m/>
    <m/>
    <m/>
    <m/>
    <m/>
    <m/>
    <m/>
    <m/>
    <m/>
    <m/>
    <m/>
    <m/>
    <m/>
    <m/>
    <m/>
    <m/>
    <m/>
    <m/>
    <m/>
    <m/>
    <m/>
    <m/>
    <m/>
    <m/>
    <m/>
    <m/>
    <m/>
    <m/>
    <x v="1"/>
    <x v="1"/>
    <m/>
    <m/>
    <m/>
    <m/>
    <m/>
    <m/>
    <m/>
    <m/>
    <m/>
    <m/>
    <m/>
    <m/>
    <m/>
    <m/>
    <m/>
    <m/>
    <m/>
    <s v="no test"/>
    <s v="no test"/>
    <x v="1"/>
    <n v="0"/>
    <n v="0"/>
    <n v="0"/>
    <n v="0"/>
    <n v="0"/>
    <n v="0"/>
    <n v="0"/>
    <n v="0"/>
    <n v="0"/>
    <n v="0"/>
    <n v="0"/>
    <n v="0"/>
    <n v="0"/>
    <n v="0"/>
    <n v="1"/>
    <n v="18"/>
    <n v="1"/>
    <n v="1"/>
    <n v="0"/>
    <n v="0"/>
    <n v="0"/>
    <n v="0"/>
    <n v="0"/>
    <n v="1"/>
    <n v="1"/>
    <n v="1"/>
    <n v="0"/>
    <n v="0"/>
    <n v="0"/>
    <n v="0"/>
    <n v="0"/>
    <n v="0"/>
    <n v="0"/>
    <n v="1"/>
    <n v="0"/>
    <n v="0"/>
    <n v="0"/>
    <n v="0"/>
    <n v="0"/>
    <n v="0"/>
    <n v="0"/>
    <x v="0"/>
    <n v="0"/>
    <s v="uncovered"/>
    <x v="0"/>
    <x v="1"/>
    <x v="0"/>
    <n v="24.377054000000001"/>
    <n v="97.343406999999999"/>
    <s v="MMR001CMP200"/>
    <x v="1"/>
    <m/>
  </r>
  <r>
    <x v="0"/>
    <x v="0"/>
    <x v="0"/>
    <s v="ECHO, OFDA"/>
    <x v="0"/>
    <x v="1"/>
    <x v="1"/>
    <x v="76"/>
    <n v="203"/>
    <n v="1138"/>
    <s v="01/01/2018, 01/07/2018"/>
    <s v="28-02-2019, 30/06/2019"/>
    <m/>
    <n v="0"/>
    <n v="0"/>
    <n v="0"/>
    <s v="Yes"/>
    <n v="6"/>
    <n v="9"/>
    <n v="5"/>
    <n v="0"/>
    <n v="0"/>
    <n v="1"/>
    <n v="0"/>
    <n v="0"/>
    <m/>
    <m/>
    <m/>
    <m/>
    <m/>
    <m/>
    <m/>
    <m/>
    <m/>
    <n v="4"/>
    <n v="4"/>
    <n v="22"/>
    <n v="0"/>
    <m/>
    <m/>
    <m/>
    <n v="38"/>
    <n v="0"/>
    <n v="0"/>
    <m/>
    <m/>
    <n v="32"/>
    <m/>
    <m/>
    <x v="0"/>
    <x v="0"/>
    <m/>
    <m/>
    <m/>
    <s v="we put combine data information for all lisu camps."/>
    <n v="12"/>
    <n v="1"/>
    <m/>
    <n v="5"/>
    <m/>
    <m/>
    <n v="4"/>
    <n v="71"/>
    <n v="218"/>
    <m/>
    <m/>
    <m/>
    <s v="we put combine data information for AD 2000 &amp; AD ext"/>
    <n v="1"/>
    <n v="0"/>
    <x v="0"/>
    <n v="5"/>
    <n v="1"/>
    <n v="0"/>
    <n v="0"/>
    <n v="0"/>
    <n v="1"/>
    <n v="1"/>
    <n v="1"/>
    <n v="1138"/>
    <n v="0"/>
    <n v="0"/>
    <n v="1"/>
    <n v="1138"/>
    <n v="2.2759999999999998"/>
    <n v="0"/>
    <n v="0"/>
    <n v="0"/>
    <n v="2"/>
    <n v="38"/>
    <n v="0.66783831282952544"/>
    <n v="760"/>
    <n v="640"/>
    <n v="0"/>
    <n v="57"/>
    <n v="19"/>
    <n v="0.33216168717047456"/>
    <n v="0"/>
    <n v="1138"/>
    <n v="355"/>
    <n v="1090"/>
    <n v="1090"/>
    <n v="1138"/>
    <n v="1"/>
    <n v="0"/>
    <n v="1"/>
    <n v="0.34975369458128081"/>
    <n v="1"/>
    <n v="11"/>
    <n v="203"/>
    <n v="0"/>
    <n v="1100"/>
    <x v="0"/>
    <s v="Yes"/>
    <s v="KBC"/>
    <x v="0"/>
    <x v="0"/>
    <x v="0"/>
    <n v="24.200433"/>
    <n v="97.717133000000004"/>
    <s v="MMR001CMP070"/>
    <x v="0"/>
    <m/>
  </r>
  <r>
    <x v="0"/>
    <x v="0"/>
    <x v="0"/>
    <s v="OFDA"/>
    <x v="0"/>
    <x v="1"/>
    <x v="0"/>
    <x v="77"/>
    <n v="470"/>
    <n v="2350"/>
    <d v="2018-07-01T00:00:00"/>
    <d v="2019-06-30T00:00:00"/>
    <n v="2350"/>
    <n v="0"/>
    <n v="0"/>
    <n v="0"/>
    <m/>
    <m/>
    <m/>
    <n v="0"/>
    <n v="0"/>
    <m/>
    <m/>
    <n v="0"/>
    <m/>
    <m/>
    <m/>
    <m/>
    <m/>
    <m/>
    <m/>
    <m/>
    <m/>
    <m/>
    <m/>
    <m/>
    <m/>
    <m/>
    <m/>
    <n v="1"/>
    <m/>
    <m/>
    <m/>
    <m/>
    <m/>
    <m/>
    <m/>
    <m/>
    <m/>
    <x v="0"/>
    <x v="0"/>
    <n v="0"/>
    <n v="0"/>
    <n v="52"/>
    <m/>
    <m/>
    <m/>
    <m/>
    <n v="0"/>
    <m/>
    <n v="0"/>
    <n v="0"/>
    <n v="0"/>
    <m/>
    <s v="Yes"/>
    <n v="0"/>
    <n v="0"/>
    <m/>
    <s v="no test"/>
    <s v="no test"/>
    <x v="1"/>
    <n v="0"/>
    <n v="0"/>
    <n v="0"/>
    <n v="0"/>
    <n v="0"/>
    <n v="0"/>
    <n v="0"/>
    <n v="0"/>
    <n v="0"/>
    <n v="0"/>
    <n v="0"/>
    <n v="0"/>
    <n v="0"/>
    <n v="0"/>
    <n v="1"/>
    <n v="2350"/>
    <n v="5"/>
    <n v="5"/>
    <n v="0"/>
    <n v="0"/>
    <n v="0"/>
    <n v="0"/>
    <n v="2350"/>
    <n v="118"/>
    <n v="118"/>
    <n v="1"/>
    <n v="0"/>
    <n v="0"/>
    <n v="0"/>
    <n v="0"/>
    <n v="0"/>
    <n v="0"/>
    <n v="0"/>
    <n v="1"/>
    <n v="0"/>
    <n v="0"/>
    <n v="0"/>
    <n v="0"/>
    <n v="0"/>
    <n v="0"/>
    <n v="0"/>
    <x v="1"/>
    <n v="0"/>
    <n v="0"/>
    <x v="0"/>
    <x v="5"/>
    <x v="0"/>
    <n v="0"/>
    <n v="0"/>
    <n v="0"/>
    <x v="0"/>
    <m/>
  </r>
  <r>
    <x v="0"/>
    <x v="0"/>
    <x v="0"/>
    <s v="ECHO, OFDA"/>
    <x v="0"/>
    <x v="1"/>
    <x v="0"/>
    <x v="78"/>
    <n v="117"/>
    <n v="650"/>
    <s v="01/01/2018, 01/07/2018"/>
    <s v="28-02-2019, 30/06/2019"/>
    <m/>
    <n v="0"/>
    <n v="0"/>
    <n v="0"/>
    <s v="Yes"/>
    <n v="5"/>
    <n v="10"/>
    <n v="1"/>
    <n v="0"/>
    <m/>
    <n v="1"/>
    <n v="0"/>
    <m/>
    <m/>
    <m/>
    <m/>
    <m/>
    <m/>
    <m/>
    <m/>
    <m/>
    <m/>
    <n v="1"/>
    <n v="1"/>
    <n v="8"/>
    <n v="0"/>
    <m/>
    <m/>
    <m/>
    <n v="28"/>
    <m/>
    <m/>
    <m/>
    <m/>
    <n v="31"/>
    <m/>
    <m/>
    <x v="0"/>
    <x v="0"/>
    <n v="0"/>
    <n v="0"/>
    <m/>
    <m/>
    <n v="9"/>
    <n v="0"/>
    <m/>
    <n v="4"/>
    <m/>
    <n v="0"/>
    <n v="2"/>
    <n v="45"/>
    <n v="135"/>
    <m/>
    <m/>
    <m/>
    <m/>
    <n v="1"/>
    <n v="0"/>
    <x v="0"/>
    <n v="1"/>
    <n v="1"/>
    <n v="0"/>
    <n v="0"/>
    <n v="0"/>
    <n v="1"/>
    <n v="0.76923076923076927"/>
    <n v="1"/>
    <n v="650"/>
    <n v="0"/>
    <n v="0"/>
    <n v="1"/>
    <n v="650"/>
    <n v="1.3"/>
    <n v="0"/>
    <n v="0"/>
    <n v="0"/>
    <n v="1"/>
    <n v="28"/>
    <n v="0.86153846153846159"/>
    <n v="560"/>
    <n v="620"/>
    <n v="0"/>
    <n v="33"/>
    <n v="5"/>
    <n v="0.13846153846153841"/>
    <n v="0"/>
    <n v="650"/>
    <n v="225"/>
    <n v="650"/>
    <n v="650"/>
    <n v="650"/>
    <n v="1"/>
    <n v="0"/>
    <n v="1"/>
    <n v="0.38461538461538464"/>
    <n v="1"/>
    <n v="9"/>
    <n v="117"/>
    <n v="0"/>
    <n v="650"/>
    <x v="0"/>
    <n v="0"/>
    <n v="0"/>
    <x v="0"/>
    <x v="0"/>
    <x v="0"/>
    <n v="0"/>
    <n v="0"/>
    <n v="0"/>
    <x v="0"/>
    <m/>
  </r>
  <r>
    <x v="0"/>
    <x v="0"/>
    <x v="0"/>
    <s v="ECHO, OFDA"/>
    <x v="0"/>
    <x v="1"/>
    <x v="1"/>
    <x v="79"/>
    <n v="49"/>
    <n v="300"/>
    <s v="01/01/2018, 01/07/2018"/>
    <s v="28-02-2019, 30/06/2019"/>
    <m/>
    <n v="0"/>
    <n v="0"/>
    <n v="0"/>
    <s v="Yes"/>
    <n v="4"/>
    <n v="7"/>
    <n v="3"/>
    <n v="0"/>
    <m/>
    <n v="0"/>
    <n v="0"/>
    <m/>
    <m/>
    <m/>
    <m/>
    <m/>
    <m/>
    <m/>
    <m/>
    <m/>
    <m/>
    <n v="1"/>
    <n v="1"/>
    <n v="6"/>
    <n v="0"/>
    <m/>
    <m/>
    <m/>
    <n v="18"/>
    <m/>
    <m/>
    <m/>
    <m/>
    <n v="16"/>
    <m/>
    <m/>
    <x v="0"/>
    <x v="0"/>
    <n v="0"/>
    <n v="0"/>
    <m/>
    <m/>
    <n v="5"/>
    <n v="1"/>
    <m/>
    <n v="3"/>
    <m/>
    <n v="0"/>
    <n v="1"/>
    <n v="14"/>
    <n v="41"/>
    <m/>
    <m/>
    <m/>
    <m/>
    <n v="1"/>
    <n v="0"/>
    <x v="0"/>
    <n v="3"/>
    <n v="0"/>
    <n v="0"/>
    <n v="0"/>
    <n v="0"/>
    <n v="1"/>
    <n v="1"/>
    <n v="1"/>
    <n v="300"/>
    <n v="0"/>
    <n v="0"/>
    <n v="1"/>
    <n v="300"/>
    <n v="0.6"/>
    <n v="0"/>
    <n v="0"/>
    <n v="0.4"/>
    <n v="1"/>
    <n v="18"/>
    <n v="1"/>
    <n v="300"/>
    <n v="300"/>
    <n v="0"/>
    <n v="15"/>
    <n v="0"/>
    <n v="0"/>
    <n v="0"/>
    <n v="300"/>
    <n v="70"/>
    <n v="205"/>
    <n v="205"/>
    <n v="300"/>
    <n v="1"/>
    <n v="0"/>
    <n v="1"/>
    <n v="0.2857142857142857"/>
    <n v="0.83673469387755106"/>
    <n v="4"/>
    <n v="49"/>
    <n v="0"/>
    <n v="300"/>
    <x v="0"/>
    <s v="Yes"/>
    <s v="KBC"/>
    <x v="0"/>
    <x v="0"/>
    <x v="0"/>
    <n v="24.205417000000001"/>
    <n v="97.724483000000006"/>
    <s v="MMR001CMP072"/>
    <x v="0"/>
    <m/>
  </r>
  <r>
    <x v="0"/>
    <x v="0"/>
    <x v="0"/>
    <s v="ECHO, OFDA"/>
    <x v="0"/>
    <x v="0"/>
    <x v="1"/>
    <x v="80"/>
    <n v="148"/>
    <n v="778"/>
    <s v="01/01/2018, 01/07/2018"/>
    <s v="28-02-2019, 30/06/2019"/>
    <m/>
    <n v="0"/>
    <n v="0"/>
    <n v="0"/>
    <s v="Yes"/>
    <n v="7"/>
    <n v="15"/>
    <n v="1"/>
    <n v="0"/>
    <m/>
    <n v="3"/>
    <n v="0"/>
    <m/>
    <m/>
    <m/>
    <m/>
    <m/>
    <m/>
    <m/>
    <m/>
    <m/>
    <m/>
    <n v="3"/>
    <n v="3"/>
    <n v="10"/>
    <n v="0"/>
    <m/>
    <m/>
    <m/>
    <n v="48"/>
    <m/>
    <m/>
    <m/>
    <m/>
    <n v="34"/>
    <m/>
    <m/>
    <x v="0"/>
    <x v="0"/>
    <n v="0"/>
    <n v="0"/>
    <m/>
    <m/>
    <n v="18"/>
    <n v="5"/>
    <m/>
    <n v="10"/>
    <m/>
    <n v="0"/>
    <n v="3"/>
    <n v="63"/>
    <n v="200"/>
    <m/>
    <m/>
    <m/>
    <m/>
    <n v="1"/>
    <n v="0"/>
    <x v="0"/>
    <n v="1"/>
    <n v="3"/>
    <n v="0"/>
    <n v="0"/>
    <n v="0"/>
    <n v="1"/>
    <n v="1"/>
    <n v="1"/>
    <n v="778"/>
    <n v="0"/>
    <n v="0"/>
    <n v="1"/>
    <n v="778"/>
    <n v="1.556"/>
    <n v="0"/>
    <n v="0"/>
    <n v="0.44399999999999995"/>
    <n v="2"/>
    <n v="48"/>
    <n v="1"/>
    <n v="778"/>
    <n v="680"/>
    <n v="0"/>
    <n v="39"/>
    <n v="0"/>
    <n v="0"/>
    <n v="0"/>
    <n v="778"/>
    <n v="315"/>
    <n v="778"/>
    <n v="778"/>
    <n v="778"/>
    <n v="1"/>
    <n v="0"/>
    <n v="1"/>
    <n v="0.42567567567567566"/>
    <n v="1"/>
    <n v="13"/>
    <n v="148"/>
    <n v="0"/>
    <n v="778"/>
    <x v="0"/>
    <s v="Yes"/>
    <s v="KBC"/>
    <x v="0"/>
    <x v="0"/>
    <x v="0"/>
    <n v="24.222349999999999"/>
    <n v="97.252650000000003"/>
    <s v="MMR001CMP193"/>
    <x v="0"/>
    <m/>
  </r>
  <r>
    <x v="0"/>
    <x v="1"/>
    <x v="1"/>
    <s v="WHH-AA / USAID"/>
    <x v="0"/>
    <x v="1"/>
    <x v="1"/>
    <x v="81"/>
    <n v="109"/>
    <n v="453"/>
    <d v="2019-01-01T00:00:00"/>
    <d v="2019-12-31T00:00:00"/>
    <m/>
    <m/>
    <m/>
    <m/>
    <s v="Yes"/>
    <n v="1"/>
    <n v="1"/>
    <n v="2"/>
    <m/>
    <m/>
    <n v="1"/>
    <n v="1"/>
    <m/>
    <m/>
    <m/>
    <m/>
    <m/>
    <m/>
    <m/>
    <m/>
    <m/>
    <m/>
    <m/>
    <m/>
    <m/>
    <m/>
    <m/>
    <m/>
    <m/>
    <n v="14"/>
    <m/>
    <m/>
    <n v="6"/>
    <m/>
    <m/>
    <m/>
    <m/>
    <x v="0"/>
    <x v="0"/>
    <m/>
    <m/>
    <m/>
    <m/>
    <n v="6"/>
    <m/>
    <m/>
    <n v="4"/>
    <m/>
    <m/>
    <m/>
    <m/>
    <m/>
    <m/>
    <m/>
    <m/>
    <m/>
    <s v="no test"/>
    <s v="no test"/>
    <x v="1"/>
    <n v="2"/>
    <n v="2"/>
    <n v="0"/>
    <n v="0"/>
    <n v="0"/>
    <n v="1"/>
    <n v="1"/>
    <n v="1"/>
    <n v="453"/>
    <n v="0"/>
    <n v="0"/>
    <n v="1"/>
    <n v="453"/>
    <n v="0.90600000000000003"/>
    <n v="0"/>
    <n v="0"/>
    <n v="9.3999999999999972E-2"/>
    <n v="1"/>
    <n v="8"/>
    <n v="0.35320088300220753"/>
    <n v="160"/>
    <n v="0"/>
    <n v="0"/>
    <n v="23"/>
    <n v="9"/>
    <n v="0.64679911699779247"/>
    <n v="0.42857142857142855"/>
    <n v="0"/>
    <n v="0"/>
    <n v="0"/>
    <n v="0"/>
    <n v="0"/>
    <n v="0"/>
    <n v="1"/>
    <n v="0"/>
    <n v="0"/>
    <n v="0"/>
    <n v="6"/>
    <n v="109"/>
    <n v="0"/>
    <n v="453"/>
    <x v="0"/>
    <s v="Yes"/>
    <s v="KBC"/>
    <x v="0"/>
    <x v="0"/>
    <x v="0"/>
    <n v="24.250689999999999"/>
    <n v="97.344359999999995"/>
    <s v="MMR001CMP056"/>
    <x v="0"/>
    <m/>
  </r>
  <r>
    <x v="0"/>
    <x v="0"/>
    <x v="0"/>
    <s v="ECHO, OFDA"/>
    <x v="0"/>
    <x v="0"/>
    <x v="1"/>
    <x v="82"/>
    <n v="638"/>
    <n v="4010"/>
    <s v="01/01/2018, 01/07/2018"/>
    <s v="28-02-2019, 30/06/2019"/>
    <m/>
    <n v="0"/>
    <n v="0"/>
    <n v="0"/>
    <s v="Yes"/>
    <n v="13"/>
    <n v="10"/>
    <n v="2"/>
    <n v="0"/>
    <m/>
    <n v="20"/>
    <n v="0"/>
    <m/>
    <m/>
    <m/>
    <m/>
    <m/>
    <m/>
    <m/>
    <m/>
    <m/>
    <m/>
    <n v="13"/>
    <n v="13"/>
    <n v="14"/>
    <n v="1"/>
    <m/>
    <m/>
    <m/>
    <n v="150"/>
    <m/>
    <m/>
    <m/>
    <m/>
    <n v="110"/>
    <m/>
    <m/>
    <x v="0"/>
    <x v="0"/>
    <n v="0"/>
    <n v="0"/>
    <m/>
    <m/>
    <n v="20"/>
    <n v="10"/>
    <m/>
    <n v="13"/>
    <m/>
    <n v="0"/>
    <n v="5"/>
    <n v="226"/>
    <n v="695"/>
    <m/>
    <m/>
    <m/>
    <m/>
    <n v="1"/>
    <n v="7.1428571428571425E-2"/>
    <x v="0"/>
    <n v="2"/>
    <n v="20"/>
    <n v="0"/>
    <n v="0"/>
    <n v="0"/>
    <n v="1"/>
    <n v="1"/>
    <n v="1"/>
    <n v="4010"/>
    <n v="0"/>
    <n v="0"/>
    <n v="1"/>
    <n v="4010"/>
    <n v="8.02"/>
    <n v="0"/>
    <n v="0"/>
    <n v="0"/>
    <n v="8"/>
    <n v="150"/>
    <n v="0.74812967581047385"/>
    <n v="3000"/>
    <n v="2200"/>
    <n v="0"/>
    <n v="201"/>
    <n v="51"/>
    <n v="0.25187032418952615"/>
    <n v="0"/>
    <n v="2500"/>
    <n v="1130"/>
    <n v="3475"/>
    <n v="3475"/>
    <n v="3475"/>
    <n v="0.86658354114713221"/>
    <n v="0.13341645885286779"/>
    <n v="0.62344139650872821"/>
    <n v="0.35423197492163011"/>
    <n v="1"/>
    <n v="10"/>
    <n v="200"/>
    <n v="0"/>
    <n v="1000"/>
    <x v="0"/>
    <s v="Yes"/>
    <s v="KBC"/>
    <x v="0"/>
    <x v="0"/>
    <x v="0"/>
    <n v="24.26829283"/>
    <n v="97.229116809999994"/>
    <s v="MMR001CMP047"/>
    <x v="0"/>
    <m/>
  </r>
  <r>
    <x v="0"/>
    <x v="1"/>
    <x v="1"/>
    <s v="WHH-AA / USAID"/>
    <x v="0"/>
    <x v="0"/>
    <x v="1"/>
    <x v="83"/>
    <n v="11"/>
    <n v="49"/>
    <d v="2019-01-01T00:00:00"/>
    <d v="2019-12-31T00:00:00"/>
    <m/>
    <m/>
    <m/>
    <m/>
    <s v="No"/>
    <m/>
    <m/>
    <m/>
    <m/>
    <m/>
    <n v="1"/>
    <n v="1"/>
    <m/>
    <m/>
    <m/>
    <m/>
    <m/>
    <m/>
    <m/>
    <m/>
    <m/>
    <m/>
    <m/>
    <m/>
    <m/>
    <m/>
    <m/>
    <m/>
    <m/>
    <n v="4"/>
    <m/>
    <m/>
    <n v="2"/>
    <m/>
    <m/>
    <m/>
    <m/>
    <x v="0"/>
    <x v="0"/>
    <m/>
    <m/>
    <m/>
    <m/>
    <n v="2"/>
    <m/>
    <m/>
    <n v="2"/>
    <m/>
    <m/>
    <m/>
    <n v="11"/>
    <n v="5"/>
    <m/>
    <m/>
    <m/>
    <m/>
    <s v="no test"/>
    <s v="no test"/>
    <x v="1"/>
    <n v="0"/>
    <n v="2"/>
    <n v="0"/>
    <n v="0"/>
    <n v="0"/>
    <n v="1"/>
    <n v="1"/>
    <n v="1"/>
    <n v="49"/>
    <n v="0"/>
    <n v="0"/>
    <n v="1"/>
    <n v="49"/>
    <n v="9.8000000000000004E-2"/>
    <n v="0"/>
    <n v="0"/>
    <n v="0.90200000000000002"/>
    <n v="1"/>
    <n v="2"/>
    <n v="0.81632653061224492"/>
    <n v="40"/>
    <n v="0"/>
    <n v="0"/>
    <n v="2"/>
    <n v="0"/>
    <n v="0.18367346938775508"/>
    <n v="0.5"/>
    <n v="0"/>
    <n v="49"/>
    <n v="25"/>
    <n v="49"/>
    <n v="49"/>
    <n v="1"/>
    <n v="0"/>
    <n v="0"/>
    <n v="1"/>
    <n v="0.45454545454545453"/>
    <n v="2"/>
    <n v="11"/>
    <n v="0"/>
    <n v="49"/>
    <x v="0"/>
    <s v="Yes"/>
    <s v="Shalom"/>
    <x v="0"/>
    <x v="0"/>
    <x v="0"/>
    <n v="24.253067000000001"/>
    <n v="97.234200000000001"/>
    <s v="MMR001CMP051"/>
    <x v="0"/>
    <m/>
  </r>
  <r>
    <x v="0"/>
    <x v="1"/>
    <x v="1"/>
    <s v="WHH-AA / USAID"/>
    <x v="0"/>
    <x v="0"/>
    <x v="1"/>
    <x v="84"/>
    <n v="17"/>
    <n v="76"/>
    <d v="2019-01-01T00:00:00"/>
    <d v="2019-12-31T00:00:00"/>
    <m/>
    <m/>
    <m/>
    <m/>
    <s v="No"/>
    <m/>
    <m/>
    <m/>
    <m/>
    <m/>
    <m/>
    <n v="1"/>
    <m/>
    <m/>
    <m/>
    <m/>
    <m/>
    <m/>
    <m/>
    <m/>
    <m/>
    <m/>
    <m/>
    <m/>
    <m/>
    <m/>
    <m/>
    <m/>
    <m/>
    <n v="4"/>
    <m/>
    <m/>
    <m/>
    <m/>
    <m/>
    <m/>
    <m/>
    <x v="0"/>
    <x v="0"/>
    <m/>
    <m/>
    <m/>
    <m/>
    <n v="2"/>
    <m/>
    <m/>
    <n v="2"/>
    <m/>
    <m/>
    <m/>
    <n v="17"/>
    <n v="2"/>
    <m/>
    <m/>
    <m/>
    <m/>
    <s v="no test"/>
    <s v="no test"/>
    <x v="1"/>
    <n v="0"/>
    <n v="1"/>
    <n v="0"/>
    <n v="0"/>
    <n v="0"/>
    <n v="1"/>
    <n v="1"/>
    <n v="1"/>
    <n v="76"/>
    <n v="0"/>
    <n v="0"/>
    <n v="1"/>
    <n v="76"/>
    <n v="0.152"/>
    <n v="0"/>
    <n v="0"/>
    <n v="0.84799999999999998"/>
    <n v="1"/>
    <n v="4"/>
    <n v="1"/>
    <n v="76"/>
    <n v="0"/>
    <n v="0"/>
    <n v="4"/>
    <n v="0"/>
    <n v="0"/>
    <n v="0"/>
    <n v="0"/>
    <n v="76"/>
    <n v="10"/>
    <n v="76"/>
    <n v="76"/>
    <n v="1"/>
    <n v="0"/>
    <n v="0"/>
    <n v="1"/>
    <n v="0.11764705882352941"/>
    <n v="2"/>
    <n v="17"/>
    <n v="0"/>
    <n v="76"/>
    <x v="0"/>
    <s v="Yes"/>
    <s v="KMSS-BMO"/>
    <x v="0"/>
    <x v="4"/>
    <x v="0"/>
    <n v="24.32638"/>
    <n v="97.315860000000001"/>
    <s v="MMR001CMP054"/>
    <x v="0"/>
    <m/>
  </r>
  <r>
    <x v="0"/>
    <x v="2"/>
    <x v="2"/>
    <m/>
    <x v="0"/>
    <x v="1"/>
    <x v="1"/>
    <x v="85"/>
    <n v="223"/>
    <n v="1067"/>
    <m/>
    <m/>
    <m/>
    <m/>
    <m/>
    <m/>
    <m/>
    <m/>
    <m/>
    <m/>
    <m/>
    <m/>
    <m/>
    <m/>
    <m/>
    <m/>
    <m/>
    <m/>
    <m/>
    <m/>
    <m/>
    <m/>
    <m/>
    <m/>
    <m/>
    <m/>
    <m/>
    <m/>
    <m/>
    <m/>
    <m/>
    <m/>
    <m/>
    <m/>
    <m/>
    <m/>
    <m/>
    <m/>
    <m/>
    <x v="1"/>
    <x v="1"/>
    <m/>
    <m/>
    <m/>
    <m/>
    <m/>
    <m/>
    <m/>
    <m/>
    <m/>
    <m/>
    <m/>
    <m/>
    <m/>
    <m/>
    <m/>
    <m/>
    <m/>
    <s v="no test"/>
    <s v="no test"/>
    <x v="1"/>
    <n v="0"/>
    <n v="0"/>
    <n v="0"/>
    <n v="0"/>
    <n v="0"/>
    <n v="0"/>
    <n v="0"/>
    <n v="0"/>
    <n v="0"/>
    <n v="0"/>
    <n v="0"/>
    <n v="0"/>
    <n v="0"/>
    <n v="0"/>
    <n v="1"/>
    <n v="1067"/>
    <n v="2"/>
    <n v="2"/>
    <n v="0"/>
    <n v="0"/>
    <n v="0"/>
    <n v="0"/>
    <n v="0"/>
    <n v="53"/>
    <n v="53"/>
    <n v="1"/>
    <n v="0"/>
    <n v="0"/>
    <n v="0"/>
    <n v="0"/>
    <n v="0"/>
    <n v="0"/>
    <n v="0"/>
    <n v="1"/>
    <n v="0"/>
    <n v="0"/>
    <n v="0"/>
    <n v="0"/>
    <n v="0"/>
    <n v="0"/>
    <n v="0"/>
    <x v="0"/>
    <n v="0"/>
    <s v="uncovered"/>
    <x v="0"/>
    <x v="1"/>
    <x v="0"/>
    <n v="24.251232000000002"/>
    <n v="97.348405"/>
    <s v="MMR001CMP197"/>
    <x v="1"/>
    <m/>
  </r>
  <r>
    <x v="0"/>
    <x v="2"/>
    <x v="2"/>
    <m/>
    <x v="0"/>
    <x v="1"/>
    <x v="1"/>
    <x v="86"/>
    <n v="47"/>
    <n v="153"/>
    <m/>
    <m/>
    <m/>
    <m/>
    <m/>
    <m/>
    <m/>
    <m/>
    <m/>
    <m/>
    <m/>
    <m/>
    <m/>
    <m/>
    <m/>
    <m/>
    <m/>
    <m/>
    <m/>
    <m/>
    <m/>
    <m/>
    <m/>
    <m/>
    <m/>
    <m/>
    <m/>
    <m/>
    <m/>
    <m/>
    <m/>
    <m/>
    <m/>
    <m/>
    <m/>
    <m/>
    <m/>
    <m/>
    <m/>
    <x v="1"/>
    <x v="1"/>
    <m/>
    <m/>
    <m/>
    <m/>
    <m/>
    <m/>
    <m/>
    <m/>
    <m/>
    <m/>
    <m/>
    <m/>
    <m/>
    <m/>
    <m/>
    <m/>
    <m/>
    <s v="no test"/>
    <s v="no test"/>
    <x v="1"/>
    <n v="0"/>
    <n v="0"/>
    <n v="0"/>
    <n v="0"/>
    <n v="0"/>
    <n v="0"/>
    <n v="0"/>
    <n v="0"/>
    <n v="0"/>
    <n v="0"/>
    <n v="0"/>
    <n v="0"/>
    <n v="0"/>
    <n v="0"/>
    <n v="1"/>
    <n v="153"/>
    <n v="1"/>
    <n v="1"/>
    <n v="0"/>
    <n v="0"/>
    <n v="0"/>
    <n v="0"/>
    <n v="0"/>
    <n v="8"/>
    <n v="8"/>
    <n v="1"/>
    <n v="0"/>
    <n v="0"/>
    <n v="0"/>
    <n v="0"/>
    <n v="0"/>
    <n v="0"/>
    <n v="0"/>
    <n v="1"/>
    <n v="0"/>
    <n v="0"/>
    <n v="0"/>
    <n v="0"/>
    <n v="0"/>
    <n v="0"/>
    <n v="0"/>
    <x v="0"/>
    <n v="0"/>
    <s v="uncovered"/>
    <x v="0"/>
    <x v="1"/>
    <x v="0"/>
    <n v="24.404876999999999"/>
    <n v="97.407787999999996"/>
    <s v="MMR001CMP061"/>
    <x v="1"/>
    <m/>
  </r>
  <r>
    <x v="0"/>
    <x v="7"/>
    <x v="7"/>
    <s v="SCI/FFO"/>
    <x v="0"/>
    <x v="1"/>
    <x v="1"/>
    <x v="87"/>
    <n v="336"/>
    <n v="1722"/>
    <m/>
    <d v="2019-11-30T00:00:00"/>
    <m/>
    <n v="9"/>
    <n v="10"/>
    <m/>
    <s v="Yes"/>
    <m/>
    <m/>
    <n v="2"/>
    <m/>
    <m/>
    <m/>
    <m/>
    <m/>
    <m/>
    <m/>
    <m/>
    <m/>
    <m/>
    <n v="6"/>
    <m/>
    <m/>
    <n v="6"/>
    <m/>
    <m/>
    <n v="60"/>
    <n v="8"/>
    <n v="4"/>
    <n v="2"/>
    <m/>
    <n v="123"/>
    <m/>
    <m/>
    <n v="25"/>
    <m/>
    <n v="2"/>
    <m/>
    <m/>
    <x v="2"/>
    <x v="3"/>
    <m/>
    <m/>
    <m/>
    <m/>
    <m/>
    <m/>
    <m/>
    <n v="16"/>
    <m/>
    <m/>
    <m/>
    <n v="276"/>
    <m/>
    <m/>
    <n v="9"/>
    <m/>
    <m/>
    <s v="no test"/>
    <n v="0.13333333333333333"/>
    <x v="0"/>
    <n v="2"/>
    <n v="0"/>
    <n v="0"/>
    <n v="0"/>
    <n v="0"/>
    <n v="0.46457607433217191"/>
    <n v="0.29036004645760743"/>
    <n v="0.46457607433217191"/>
    <n v="800"/>
    <n v="0.87108013937282225"/>
    <n v="1500"/>
    <n v="1"/>
    <n v="1722"/>
    <n v="3.444"/>
    <n v="0"/>
    <n v="0"/>
    <n v="0"/>
    <n v="3"/>
    <n v="98"/>
    <n v="1"/>
    <n v="1722"/>
    <n v="40"/>
    <n v="0"/>
    <n v="86"/>
    <n v="0"/>
    <n v="0"/>
    <n v="0.2032520325203252"/>
    <n v="0"/>
    <n v="1380"/>
    <n v="0"/>
    <n v="1380"/>
    <n v="1380"/>
    <n v="0.80139372822299648"/>
    <n v="0.19860627177700352"/>
    <n v="0"/>
    <n v="0.8214285714285714"/>
    <n v="0"/>
    <n v="0"/>
    <n v="0"/>
    <n v="0"/>
    <n v="0"/>
    <x v="0"/>
    <s v="Yes"/>
    <s v="KMSS-BMO"/>
    <x v="0"/>
    <x v="0"/>
    <x v="1"/>
    <n v="24.378167000000001"/>
    <n v="97.669366999999994"/>
    <s v="MMR001CMP131"/>
    <x v="0"/>
    <m/>
  </r>
  <r>
    <x v="0"/>
    <x v="0"/>
    <x v="0"/>
    <s v="OFDA"/>
    <x v="0"/>
    <x v="0"/>
    <x v="0"/>
    <x v="88"/>
    <n v="281"/>
    <n v="1409"/>
    <d v="2018-07-01T00:00:00"/>
    <d v="2019-06-30T00:00:00"/>
    <n v="1409"/>
    <n v="0"/>
    <n v="0"/>
    <n v="0"/>
    <m/>
    <m/>
    <m/>
    <n v="0"/>
    <n v="0"/>
    <m/>
    <m/>
    <n v="0"/>
    <m/>
    <m/>
    <m/>
    <m/>
    <m/>
    <m/>
    <m/>
    <m/>
    <m/>
    <m/>
    <m/>
    <m/>
    <m/>
    <m/>
    <m/>
    <n v="2"/>
    <m/>
    <m/>
    <m/>
    <m/>
    <m/>
    <m/>
    <m/>
    <m/>
    <m/>
    <x v="0"/>
    <x v="0"/>
    <n v="0"/>
    <n v="0"/>
    <n v="22"/>
    <m/>
    <m/>
    <m/>
    <m/>
    <n v="0"/>
    <m/>
    <n v="0"/>
    <n v="0"/>
    <n v="0"/>
    <m/>
    <s v="Yes"/>
    <n v="0"/>
    <n v="0"/>
    <m/>
    <s v="no test"/>
    <s v="no test"/>
    <x v="1"/>
    <n v="0"/>
    <n v="0"/>
    <n v="0"/>
    <n v="0"/>
    <n v="0"/>
    <n v="0"/>
    <n v="0"/>
    <n v="0"/>
    <n v="0"/>
    <n v="0"/>
    <n v="0"/>
    <n v="0"/>
    <n v="0"/>
    <n v="0"/>
    <n v="1"/>
    <n v="1409"/>
    <n v="3"/>
    <n v="3"/>
    <n v="0"/>
    <n v="0"/>
    <n v="0"/>
    <n v="0"/>
    <n v="1100"/>
    <n v="70"/>
    <n v="70"/>
    <n v="1"/>
    <n v="0"/>
    <n v="0"/>
    <n v="0"/>
    <n v="0"/>
    <n v="0"/>
    <n v="0"/>
    <n v="0"/>
    <n v="1"/>
    <n v="0"/>
    <n v="0"/>
    <n v="0"/>
    <n v="0"/>
    <n v="0"/>
    <n v="0"/>
    <n v="0"/>
    <x v="1"/>
    <s v="No"/>
    <n v="0"/>
    <x v="0"/>
    <x v="0"/>
    <x v="0"/>
    <n v="0"/>
    <n v="0"/>
    <n v="0"/>
    <x v="0"/>
    <m/>
  </r>
  <r>
    <x v="0"/>
    <x v="7"/>
    <x v="7"/>
    <s v="SCI/FFO"/>
    <x v="0"/>
    <x v="1"/>
    <x v="1"/>
    <x v="89"/>
    <n v="669"/>
    <n v="3316"/>
    <m/>
    <d v="2019-11-30T00:00:00"/>
    <m/>
    <n v="9"/>
    <n v="10"/>
    <m/>
    <s v="Yes"/>
    <m/>
    <m/>
    <n v="0"/>
    <m/>
    <m/>
    <n v="2"/>
    <m/>
    <m/>
    <m/>
    <m/>
    <m/>
    <m/>
    <m/>
    <n v="1"/>
    <m/>
    <m/>
    <n v="1"/>
    <m/>
    <m/>
    <n v="16"/>
    <n v="5"/>
    <n v="21"/>
    <n v="6"/>
    <m/>
    <n v="257"/>
    <m/>
    <m/>
    <n v="37"/>
    <m/>
    <n v="3"/>
    <m/>
    <m/>
    <x v="2"/>
    <x v="0"/>
    <m/>
    <m/>
    <m/>
    <m/>
    <m/>
    <m/>
    <m/>
    <n v="7"/>
    <m/>
    <m/>
    <m/>
    <n v="449"/>
    <m/>
    <m/>
    <n v="9"/>
    <m/>
    <m/>
    <s v="no test"/>
    <n v="0.3125"/>
    <x v="0"/>
    <n v="0"/>
    <n v="2"/>
    <n v="0"/>
    <n v="0"/>
    <n v="0"/>
    <n v="0.30156815440289503"/>
    <n v="0.15078407720144751"/>
    <n v="0.30156815440289503"/>
    <n v="999.99999999999989"/>
    <n v="7.5392038600723757E-2"/>
    <n v="249.99999999999997"/>
    <n v="0.37696019300361877"/>
    <n v="1249.9999999999998"/>
    <n v="2.4999999999999996"/>
    <n v="0.62303980699638117"/>
    <n v="2066"/>
    <n v="4.5"/>
    <n v="7"/>
    <n v="220"/>
    <n v="1"/>
    <n v="3316"/>
    <n v="60"/>
    <n v="0"/>
    <n v="166"/>
    <n v="0"/>
    <n v="0"/>
    <n v="0.14396887159533073"/>
    <n v="0"/>
    <n v="2245"/>
    <n v="0"/>
    <n v="2245"/>
    <n v="2245"/>
    <n v="0.67702050663449942"/>
    <n v="0.32297949336550058"/>
    <n v="0"/>
    <n v="0.67115097159940207"/>
    <n v="0"/>
    <n v="0"/>
    <n v="0"/>
    <n v="0"/>
    <n v="0"/>
    <x v="0"/>
    <s v="Yes"/>
    <s v="KMSS-BMO"/>
    <x v="0"/>
    <x v="0"/>
    <x v="1"/>
    <n v="24.2744"/>
    <n v="97.752667000000002"/>
    <s v="MMR001CMP126"/>
    <x v="0"/>
    <m/>
  </r>
  <r>
    <x v="0"/>
    <x v="0"/>
    <x v="0"/>
    <s v="ECHO, OFDA"/>
    <x v="0"/>
    <x v="1"/>
    <x v="1"/>
    <x v="90"/>
    <n v="41"/>
    <n v="253"/>
    <s v="01/01/2018, 01/07/2018"/>
    <s v="28-02-2019, 30/06/2019"/>
    <m/>
    <n v="0"/>
    <n v="0"/>
    <n v="0"/>
    <s v="Yes"/>
    <n v="4"/>
    <n v="6"/>
    <n v="2"/>
    <n v="0"/>
    <m/>
    <n v="0"/>
    <n v="0"/>
    <m/>
    <m/>
    <m/>
    <m/>
    <m/>
    <m/>
    <m/>
    <m/>
    <m/>
    <m/>
    <n v="1"/>
    <n v="1"/>
    <n v="4"/>
    <n v="0"/>
    <m/>
    <m/>
    <m/>
    <n v="16"/>
    <m/>
    <m/>
    <m/>
    <m/>
    <n v="15"/>
    <m/>
    <m/>
    <x v="0"/>
    <x v="0"/>
    <n v="0"/>
    <n v="0"/>
    <m/>
    <m/>
    <n v="7"/>
    <n v="0"/>
    <m/>
    <n v="1"/>
    <m/>
    <n v="0"/>
    <n v="1"/>
    <n v="13"/>
    <n v="52"/>
    <m/>
    <m/>
    <m/>
    <m/>
    <n v="1"/>
    <n v="0"/>
    <x v="0"/>
    <n v="2"/>
    <n v="0"/>
    <n v="0"/>
    <n v="0"/>
    <n v="0"/>
    <n v="1"/>
    <n v="1"/>
    <n v="1"/>
    <n v="253"/>
    <n v="0"/>
    <n v="0"/>
    <n v="1"/>
    <n v="253"/>
    <n v="0.50600000000000001"/>
    <n v="0"/>
    <n v="0"/>
    <n v="0.49399999999999999"/>
    <n v="1"/>
    <n v="16"/>
    <n v="1"/>
    <n v="253"/>
    <n v="253"/>
    <n v="0"/>
    <n v="13"/>
    <n v="0"/>
    <n v="0"/>
    <n v="0"/>
    <n v="253"/>
    <n v="65"/>
    <n v="253"/>
    <n v="253"/>
    <n v="253"/>
    <n v="1"/>
    <n v="0"/>
    <n v="1"/>
    <n v="0.31707317073170732"/>
    <n v="1"/>
    <n v="7"/>
    <n v="41"/>
    <n v="0"/>
    <n v="253"/>
    <x v="0"/>
    <s v="Yes"/>
    <s v="KBC"/>
    <x v="0"/>
    <x v="0"/>
    <x v="0"/>
    <n v="24.207332999999998"/>
    <n v="97.710864000000001"/>
    <s v="MMR001CMP073"/>
    <x v="0"/>
    <m/>
  </r>
  <r>
    <x v="0"/>
    <x v="4"/>
    <x v="4"/>
    <s v="ADRA/CANADA"/>
    <x v="0"/>
    <x v="7"/>
    <x v="1"/>
    <x v="91"/>
    <n v="16"/>
    <n v="78"/>
    <d v="2019-04-01T00:00:00"/>
    <d v="2019-07-31T00:00:00"/>
    <m/>
    <m/>
    <m/>
    <m/>
    <s v="Yes"/>
    <m/>
    <m/>
    <n v="0"/>
    <m/>
    <m/>
    <n v="1"/>
    <m/>
    <m/>
    <m/>
    <m/>
    <m/>
    <m/>
    <m/>
    <m/>
    <m/>
    <m/>
    <n v="2"/>
    <m/>
    <m/>
    <m/>
    <m/>
    <m/>
    <m/>
    <m/>
    <n v="2"/>
    <m/>
    <m/>
    <m/>
    <m/>
    <m/>
    <m/>
    <n v="2"/>
    <x v="0"/>
    <x v="0"/>
    <m/>
    <m/>
    <m/>
    <m/>
    <m/>
    <m/>
    <m/>
    <n v="2"/>
    <m/>
    <m/>
    <n v="1"/>
    <m/>
    <m/>
    <m/>
    <m/>
    <m/>
    <m/>
    <s v="no test"/>
    <s v="no test"/>
    <x v="1"/>
    <n v="0"/>
    <n v="1"/>
    <n v="0"/>
    <n v="0"/>
    <n v="0"/>
    <n v="1"/>
    <n v="1"/>
    <n v="1"/>
    <n v="78"/>
    <n v="0"/>
    <n v="0"/>
    <n v="1"/>
    <n v="78"/>
    <n v="0.156"/>
    <n v="0"/>
    <n v="0"/>
    <n v="0.84399999999999997"/>
    <n v="1"/>
    <n v="2"/>
    <n v="0.51282051282051277"/>
    <n v="40"/>
    <n v="0"/>
    <n v="0"/>
    <n v="4"/>
    <n v="2"/>
    <n v="0.48717948717948723"/>
    <n v="0"/>
    <n v="78"/>
    <n v="0"/>
    <n v="0"/>
    <n v="0"/>
    <n v="78"/>
    <n v="1"/>
    <n v="0"/>
    <n v="1"/>
    <n v="0"/>
    <n v="0"/>
    <n v="0"/>
    <n v="0"/>
    <n v="0"/>
    <n v="0"/>
    <x v="0"/>
    <s v="Yes"/>
    <s v="KBC"/>
    <x v="0"/>
    <x v="0"/>
    <x v="0"/>
    <n v="25.296579999999999"/>
    <n v="96.942279999999997"/>
    <s v="MMR001CMP077"/>
    <x v="0"/>
    <m/>
  </r>
  <r>
    <x v="0"/>
    <x v="4"/>
    <x v="4"/>
    <s v="Plan/GFFO,ADRA/CANADA  "/>
    <x v="0"/>
    <x v="2"/>
    <x v="1"/>
    <x v="92"/>
    <n v="28"/>
    <n v="159"/>
    <d v="2019-04-01T00:00:00"/>
    <d v="2019-07-31T00:00:00"/>
    <m/>
    <m/>
    <m/>
    <m/>
    <s v="Yes"/>
    <m/>
    <m/>
    <n v="2"/>
    <m/>
    <m/>
    <n v="1"/>
    <m/>
    <m/>
    <m/>
    <n v="0"/>
    <m/>
    <m/>
    <m/>
    <m/>
    <m/>
    <m/>
    <n v="3"/>
    <m/>
    <m/>
    <m/>
    <m/>
    <m/>
    <m/>
    <m/>
    <n v="6"/>
    <m/>
    <m/>
    <m/>
    <m/>
    <m/>
    <m/>
    <n v="6"/>
    <x v="0"/>
    <x v="0"/>
    <m/>
    <m/>
    <m/>
    <m/>
    <m/>
    <m/>
    <m/>
    <n v="3"/>
    <m/>
    <m/>
    <n v="1"/>
    <m/>
    <m/>
    <m/>
    <m/>
    <m/>
    <m/>
    <s v="no test"/>
    <s v="no test"/>
    <x v="1"/>
    <n v="2"/>
    <n v="1"/>
    <n v="0"/>
    <n v="0"/>
    <n v="0"/>
    <n v="1"/>
    <n v="1"/>
    <n v="1"/>
    <n v="159"/>
    <n v="0"/>
    <n v="0"/>
    <n v="1"/>
    <n v="159"/>
    <n v="0.318"/>
    <n v="0"/>
    <n v="0"/>
    <n v="0.68199999999999994"/>
    <n v="1"/>
    <n v="6"/>
    <n v="0.75471698113207553"/>
    <n v="120"/>
    <n v="0"/>
    <n v="0"/>
    <n v="8"/>
    <n v="2"/>
    <n v="0.24528301886792447"/>
    <n v="0"/>
    <n v="159"/>
    <n v="0"/>
    <n v="0"/>
    <n v="0"/>
    <n v="159"/>
    <n v="1"/>
    <n v="0"/>
    <n v="1"/>
    <n v="0"/>
    <n v="0"/>
    <n v="0"/>
    <n v="0"/>
    <n v="0"/>
    <n v="0"/>
    <x v="0"/>
    <s v="Yes"/>
    <s v="KBC-MYT"/>
    <x v="0"/>
    <x v="0"/>
    <x v="0"/>
    <n v="25.356632000000001"/>
    <n v="97.451965000000001"/>
    <s v="MMR001CMP027"/>
    <x v="0"/>
    <m/>
  </r>
  <r>
    <x v="0"/>
    <x v="8"/>
    <x v="8"/>
    <s v="Plan/GFFO,ADRA/CANADA ,UNICEF"/>
    <x v="0"/>
    <x v="2"/>
    <x v="1"/>
    <x v="93"/>
    <n v="407"/>
    <n v="1801"/>
    <s v="1/4/19,12/1/2018"/>
    <s v="7/31/19,31/3/2019"/>
    <n v="218"/>
    <m/>
    <m/>
    <m/>
    <s v="Yes"/>
    <m/>
    <m/>
    <m/>
    <m/>
    <m/>
    <m/>
    <m/>
    <m/>
    <m/>
    <n v="6"/>
    <m/>
    <m/>
    <m/>
    <m/>
    <m/>
    <m/>
    <m/>
    <m/>
    <m/>
    <m/>
    <m/>
    <m/>
    <m/>
    <m/>
    <n v="407"/>
    <m/>
    <m/>
    <n v="195"/>
    <n v="30"/>
    <m/>
    <m/>
    <m/>
    <x v="0"/>
    <x v="0"/>
    <n v="3"/>
    <m/>
    <m/>
    <m/>
    <m/>
    <m/>
    <m/>
    <m/>
    <m/>
    <m/>
    <m/>
    <m/>
    <m/>
    <s v="No"/>
    <m/>
    <m/>
    <m/>
    <s v="no test"/>
    <s v="no test"/>
    <x v="1"/>
    <n v="0"/>
    <n v="0"/>
    <n v="6"/>
    <n v="0"/>
    <n v="0"/>
    <n v="0.2220988339811216"/>
    <n v="0.2220988339811216"/>
    <n v="0.2220988339811216"/>
    <n v="400"/>
    <n v="0"/>
    <n v="0"/>
    <n v="0.2220988339811216"/>
    <n v="400"/>
    <n v="0.8"/>
    <n v="0.77790116601887838"/>
    <n v="1401"/>
    <n v="3.2"/>
    <n v="4"/>
    <n v="212"/>
    <n v="0.70627429205996672"/>
    <n v="1272"/>
    <n v="0"/>
    <n v="0"/>
    <n v="300"/>
    <n v="0"/>
    <n v="0.29372570794003328"/>
    <n v="0.47911547911547914"/>
    <n v="0"/>
    <n v="0"/>
    <n v="0"/>
    <n v="0"/>
    <n v="0"/>
    <n v="0"/>
    <n v="1"/>
    <n v="0"/>
    <n v="0"/>
    <n v="0"/>
    <n v="0"/>
    <n v="0"/>
    <n v="0"/>
    <n v="0"/>
    <x v="1"/>
    <s v="Yes"/>
    <s v="KMSS-MYT"/>
    <x v="1"/>
    <x v="0"/>
    <x v="1"/>
    <n v="24.980250000000002"/>
    <n v="97.715230000000005"/>
    <s v="MMR001CMP119"/>
    <x v="0"/>
    <m/>
  </r>
  <r>
    <x v="0"/>
    <x v="3"/>
    <x v="3"/>
    <s v="DFID(HARP)"/>
    <x v="0"/>
    <x v="6"/>
    <x v="1"/>
    <x v="94"/>
    <n v="50"/>
    <n v="218"/>
    <d v="2019-01-01T00:00:00"/>
    <s v="31-3-2019"/>
    <m/>
    <m/>
    <m/>
    <m/>
    <s v="Yes"/>
    <m/>
    <m/>
    <n v="1"/>
    <m/>
    <m/>
    <m/>
    <m/>
    <m/>
    <m/>
    <m/>
    <m/>
    <m/>
    <m/>
    <m/>
    <m/>
    <m/>
    <m/>
    <m/>
    <m/>
    <m/>
    <m/>
    <m/>
    <m/>
    <m/>
    <n v="16"/>
    <m/>
    <m/>
    <m/>
    <m/>
    <m/>
    <m/>
    <m/>
    <x v="0"/>
    <x v="0"/>
    <m/>
    <m/>
    <m/>
    <m/>
    <m/>
    <m/>
    <m/>
    <n v="2"/>
    <m/>
    <m/>
    <n v="2"/>
    <n v="30"/>
    <m/>
    <m/>
    <m/>
    <m/>
    <m/>
    <s v="no test"/>
    <s v="no test"/>
    <x v="1"/>
    <n v="1"/>
    <n v="0"/>
    <n v="0"/>
    <n v="0"/>
    <n v="0"/>
    <n v="1"/>
    <n v="1"/>
    <n v="1"/>
    <n v="218"/>
    <n v="0"/>
    <n v="0"/>
    <n v="1"/>
    <n v="218"/>
    <n v="0.436"/>
    <n v="0"/>
    <n v="0"/>
    <n v="0.56400000000000006"/>
    <n v="1"/>
    <n v="16"/>
    <n v="1"/>
    <n v="218"/>
    <n v="0"/>
    <n v="0"/>
    <n v="11"/>
    <n v="0"/>
    <n v="0"/>
    <n v="0"/>
    <n v="218"/>
    <n v="150"/>
    <n v="0"/>
    <n v="150"/>
    <n v="218"/>
    <n v="1"/>
    <n v="0"/>
    <n v="1"/>
    <n v="0.6"/>
    <n v="0"/>
    <n v="0"/>
    <n v="0"/>
    <n v="0"/>
    <n v="0"/>
    <x v="0"/>
    <s v="Yes"/>
    <s v="KMSS-MYT"/>
    <x v="0"/>
    <x v="0"/>
    <x v="0"/>
    <n v="25.613894999999999"/>
    <n v="96.341352999999998"/>
    <s v="MMR001CMP103"/>
    <x v="0"/>
    <m/>
  </r>
  <r>
    <x v="0"/>
    <x v="4"/>
    <x v="4"/>
    <s v="Plan/GFFO,ADRA/CANADA  "/>
    <x v="0"/>
    <x v="2"/>
    <x v="1"/>
    <x v="95"/>
    <n v="494"/>
    <n v="2500"/>
    <d v="2019-04-01T00:00:00"/>
    <d v="2019-07-31T00:00:00"/>
    <m/>
    <m/>
    <m/>
    <m/>
    <s v="Yes"/>
    <m/>
    <m/>
    <n v="9"/>
    <m/>
    <m/>
    <n v="2"/>
    <m/>
    <m/>
    <m/>
    <m/>
    <m/>
    <m/>
    <m/>
    <m/>
    <m/>
    <m/>
    <n v="9"/>
    <m/>
    <m/>
    <m/>
    <m/>
    <m/>
    <m/>
    <m/>
    <n v="130"/>
    <m/>
    <m/>
    <n v="104"/>
    <n v="30"/>
    <n v="32"/>
    <m/>
    <n v="130"/>
    <x v="0"/>
    <x v="0"/>
    <m/>
    <m/>
    <m/>
    <m/>
    <m/>
    <m/>
    <m/>
    <n v="6"/>
    <m/>
    <m/>
    <n v="5"/>
    <m/>
    <m/>
    <m/>
    <m/>
    <m/>
    <m/>
    <s v="no test"/>
    <s v="no test"/>
    <x v="1"/>
    <n v="9"/>
    <n v="2"/>
    <n v="0"/>
    <n v="0"/>
    <n v="0"/>
    <n v="1"/>
    <n v="1"/>
    <n v="1"/>
    <n v="2500"/>
    <n v="0"/>
    <n v="0"/>
    <n v="1"/>
    <n v="2500"/>
    <n v="5"/>
    <n v="0"/>
    <n v="0"/>
    <n v="0"/>
    <n v="5"/>
    <n v="26"/>
    <n v="0.20799999999999999"/>
    <n v="520"/>
    <n v="640"/>
    <n v="0"/>
    <n v="125"/>
    <n v="0"/>
    <n v="0.79200000000000004"/>
    <n v="0.8"/>
    <n v="2500"/>
    <n v="0"/>
    <n v="0"/>
    <n v="0"/>
    <n v="2500"/>
    <n v="1"/>
    <n v="0"/>
    <n v="1"/>
    <n v="0"/>
    <n v="0"/>
    <n v="0"/>
    <n v="0"/>
    <n v="0"/>
    <n v="0"/>
    <x v="0"/>
    <s v="Yes"/>
    <s v="KBC-MYT"/>
    <x v="0"/>
    <x v="0"/>
    <x v="0"/>
    <n v="25.4118005797101"/>
    <n v="97.434855869565197"/>
    <s v="MMR001CMP040"/>
    <x v="0"/>
    <m/>
  </r>
  <r>
    <x v="0"/>
    <x v="3"/>
    <x v="3"/>
    <s v="DFID(HARP)"/>
    <x v="0"/>
    <x v="3"/>
    <x v="1"/>
    <x v="96"/>
    <n v="147"/>
    <n v="882"/>
    <d v="2019-01-01T00:00:00"/>
    <s v="31-3-2019"/>
    <m/>
    <m/>
    <m/>
    <m/>
    <s v="Yes"/>
    <m/>
    <m/>
    <n v="8"/>
    <m/>
    <n v="1"/>
    <n v="2"/>
    <m/>
    <m/>
    <m/>
    <m/>
    <m/>
    <m/>
    <m/>
    <m/>
    <m/>
    <m/>
    <m/>
    <m/>
    <m/>
    <m/>
    <m/>
    <m/>
    <m/>
    <m/>
    <n v="74"/>
    <m/>
    <m/>
    <m/>
    <m/>
    <m/>
    <m/>
    <m/>
    <x v="0"/>
    <x v="0"/>
    <m/>
    <m/>
    <m/>
    <m/>
    <m/>
    <m/>
    <m/>
    <n v="13"/>
    <m/>
    <m/>
    <n v="4"/>
    <n v="30"/>
    <m/>
    <m/>
    <m/>
    <m/>
    <m/>
    <s v="no test"/>
    <s v="no test"/>
    <x v="1"/>
    <n v="8"/>
    <n v="2"/>
    <n v="0"/>
    <n v="0"/>
    <n v="0"/>
    <n v="1"/>
    <n v="1"/>
    <n v="1"/>
    <n v="882"/>
    <n v="0"/>
    <n v="0"/>
    <n v="1"/>
    <n v="882"/>
    <n v="1.764"/>
    <n v="0"/>
    <n v="0"/>
    <n v="0.23599999999999999"/>
    <n v="2"/>
    <n v="74"/>
    <n v="1"/>
    <n v="882"/>
    <n v="0"/>
    <n v="0"/>
    <n v="44"/>
    <n v="0"/>
    <n v="0"/>
    <n v="0"/>
    <n v="882"/>
    <n v="150"/>
    <n v="0"/>
    <n v="150"/>
    <n v="882"/>
    <n v="1"/>
    <n v="0"/>
    <n v="1"/>
    <n v="0.20408163265306123"/>
    <n v="0"/>
    <n v="0"/>
    <n v="0"/>
    <n v="0"/>
    <n v="0"/>
    <x v="0"/>
    <s v="Yes"/>
    <s v="KMSS-MYT"/>
    <x v="0"/>
    <x v="0"/>
    <x v="0"/>
    <n v="25.493819999999999"/>
    <n v="97.4345"/>
    <s v="MMR001CMP162"/>
    <x v="0"/>
    <m/>
  </r>
  <r>
    <x v="0"/>
    <x v="4"/>
    <x v="4"/>
    <s v="Plan/GFFO,ADRA/CANADA  "/>
    <x v="0"/>
    <x v="2"/>
    <x v="1"/>
    <x v="97"/>
    <n v="43"/>
    <n v="191"/>
    <d v="2019-04-01T00:00:00"/>
    <d v="2019-07-31T00:00:00"/>
    <m/>
    <m/>
    <m/>
    <m/>
    <s v="Yes"/>
    <m/>
    <m/>
    <n v="1"/>
    <m/>
    <m/>
    <n v="0"/>
    <m/>
    <m/>
    <m/>
    <m/>
    <m/>
    <m/>
    <m/>
    <m/>
    <m/>
    <m/>
    <n v="2"/>
    <m/>
    <m/>
    <m/>
    <m/>
    <m/>
    <m/>
    <m/>
    <n v="10"/>
    <m/>
    <m/>
    <m/>
    <m/>
    <n v="3"/>
    <m/>
    <n v="10"/>
    <x v="0"/>
    <x v="0"/>
    <m/>
    <m/>
    <m/>
    <m/>
    <m/>
    <m/>
    <m/>
    <n v="2"/>
    <m/>
    <m/>
    <n v="1"/>
    <m/>
    <m/>
    <m/>
    <m/>
    <m/>
    <m/>
    <s v="no test"/>
    <s v="no test"/>
    <x v="1"/>
    <n v="1"/>
    <n v="0"/>
    <n v="0"/>
    <n v="0"/>
    <n v="0"/>
    <n v="1"/>
    <n v="1"/>
    <n v="1"/>
    <n v="191"/>
    <n v="0"/>
    <n v="0"/>
    <n v="1"/>
    <n v="191"/>
    <n v="0.38200000000000001"/>
    <n v="0"/>
    <n v="0"/>
    <n v="0.61799999999999999"/>
    <n v="1"/>
    <n v="10"/>
    <n v="1"/>
    <n v="191"/>
    <n v="60"/>
    <n v="0"/>
    <n v="10"/>
    <n v="0"/>
    <n v="0"/>
    <n v="0"/>
    <n v="191"/>
    <n v="0"/>
    <n v="0"/>
    <n v="0"/>
    <n v="191"/>
    <n v="1"/>
    <n v="0"/>
    <n v="1"/>
    <n v="0"/>
    <n v="0"/>
    <n v="0"/>
    <n v="0"/>
    <n v="0"/>
    <n v="0"/>
    <x v="0"/>
    <s v="Yes"/>
    <s v="KBC-MYT"/>
    <x v="0"/>
    <x v="0"/>
    <x v="0"/>
    <n v="25.409612685185198"/>
    <n v="97.426536944444507"/>
    <s v="MMR001CMP039"/>
    <x v="0"/>
    <m/>
  </r>
  <r>
    <x v="0"/>
    <x v="2"/>
    <x v="2"/>
    <m/>
    <x v="0"/>
    <x v="3"/>
    <x v="1"/>
    <x v="98"/>
    <n v="375"/>
    <n v="1691"/>
    <m/>
    <m/>
    <m/>
    <m/>
    <m/>
    <m/>
    <m/>
    <m/>
    <m/>
    <m/>
    <m/>
    <m/>
    <m/>
    <m/>
    <m/>
    <m/>
    <m/>
    <m/>
    <m/>
    <m/>
    <m/>
    <m/>
    <m/>
    <m/>
    <m/>
    <m/>
    <m/>
    <m/>
    <m/>
    <m/>
    <m/>
    <m/>
    <m/>
    <m/>
    <m/>
    <m/>
    <m/>
    <m/>
    <m/>
    <x v="1"/>
    <x v="1"/>
    <m/>
    <m/>
    <m/>
    <m/>
    <m/>
    <m/>
    <m/>
    <m/>
    <m/>
    <m/>
    <m/>
    <m/>
    <m/>
    <m/>
    <m/>
    <m/>
    <m/>
    <s v="no test"/>
    <s v="no test"/>
    <x v="1"/>
    <n v="0"/>
    <n v="0"/>
    <n v="0"/>
    <n v="0"/>
    <n v="0"/>
    <n v="0"/>
    <n v="0"/>
    <n v="0"/>
    <n v="0"/>
    <n v="0"/>
    <n v="0"/>
    <n v="0"/>
    <n v="0"/>
    <n v="0"/>
    <n v="1"/>
    <n v="1691"/>
    <n v="3"/>
    <n v="3"/>
    <n v="0"/>
    <n v="0"/>
    <n v="0"/>
    <n v="0"/>
    <n v="0"/>
    <n v="85"/>
    <n v="85"/>
    <n v="1"/>
    <n v="0"/>
    <n v="0"/>
    <n v="0"/>
    <n v="0"/>
    <n v="0"/>
    <n v="0"/>
    <n v="0"/>
    <n v="1"/>
    <n v="0"/>
    <n v="0"/>
    <n v="0"/>
    <n v="0"/>
    <n v="0"/>
    <n v="0"/>
    <n v="0"/>
    <x v="0"/>
    <n v="0"/>
    <s v="uncovered"/>
    <x v="0"/>
    <x v="4"/>
    <x v="0"/>
    <n v="0"/>
    <n v="0"/>
    <s v="MMR001CMP147"/>
    <x v="1"/>
    <m/>
  </r>
  <r>
    <x v="0"/>
    <x v="4"/>
    <x v="4"/>
    <s v="Plan/GFFO"/>
    <x v="0"/>
    <x v="9"/>
    <x v="1"/>
    <x v="99"/>
    <n v="432"/>
    <n v="1855"/>
    <m/>
    <d v="2019-03-31T00:00:00"/>
    <m/>
    <m/>
    <m/>
    <m/>
    <s v="Yes"/>
    <m/>
    <m/>
    <n v="0"/>
    <m/>
    <m/>
    <n v="4"/>
    <m/>
    <m/>
    <m/>
    <m/>
    <m/>
    <m/>
    <m/>
    <m/>
    <m/>
    <m/>
    <n v="4"/>
    <m/>
    <m/>
    <m/>
    <m/>
    <m/>
    <m/>
    <m/>
    <n v="110"/>
    <m/>
    <m/>
    <m/>
    <m/>
    <m/>
    <m/>
    <n v="110"/>
    <x v="0"/>
    <x v="0"/>
    <m/>
    <m/>
    <m/>
    <m/>
    <m/>
    <m/>
    <m/>
    <n v="10"/>
    <m/>
    <m/>
    <n v="3"/>
    <m/>
    <m/>
    <m/>
    <m/>
    <m/>
    <m/>
    <s v="no test"/>
    <s v="no test"/>
    <x v="1"/>
    <n v="0"/>
    <n v="4"/>
    <n v="0"/>
    <n v="0"/>
    <n v="0"/>
    <n v="1"/>
    <n v="0.53908355795148244"/>
    <n v="1"/>
    <n v="1855"/>
    <n v="0"/>
    <n v="0"/>
    <n v="1"/>
    <n v="1855"/>
    <n v="3.71"/>
    <n v="0"/>
    <n v="0"/>
    <n v="0.29000000000000004"/>
    <n v="4"/>
    <n v="110"/>
    <n v="1"/>
    <n v="1855"/>
    <n v="0"/>
    <n v="0"/>
    <n v="93"/>
    <n v="0"/>
    <n v="0"/>
    <n v="0"/>
    <n v="1500"/>
    <n v="0"/>
    <n v="0"/>
    <n v="0"/>
    <n v="1500"/>
    <n v="0.80862533692722371"/>
    <n v="0.19137466307277629"/>
    <n v="0.80862533692722371"/>
    <n v="0"/>
    <n v="0"/>
    <n v="0"/>
    <n v="0"/>
    <n v="0"/>
    <n v="0"/>
    <x v="0"/>
    <s v="Yes"/>
    <s v="KBC"/>
    <x v="0"/>
    <x v="0"/>
    <x v="0"/>
    <n v="23.972453000000002"/>
    <n v="97.225881000000001"/>
    <s v="MMR001CMP218"/>
    <x v="0"/>
    <m/>
  </r>
  <r>
    <x v="0"/>
    <x v="4"/>
    <x v="4"/>
    <s v="Plan/GFFO,ADRA/CANADA  "/>
    <x v="0"/>
    <x v="3"/>
    <x v="1"/>
    <x v="100"/>
    <n v="61"/>
    <n v="290"/>
    <d v="2019-04-01T00:00:00"/>
    <d v="2019-07-31T00:00:00"/>
    <m/>
    <m/>
    <m/>
    <m/>
    <s v="Yes"/>
    <m/>
    <m/>
    <n v="1"/>
    <m/>
    <m/>
    <n v="1"/>
    <m/>
    <m/>
    <m/>
    <m/>
    <m/>
    <m/>
    <m/>
    <m/>
    <m/>
    <m/>
    <n v="2"/>
    <m/>
    <m/>
    <m/>
    <m/>
    <m/>
    <m/>
    <m/>
    <n v="7"/>
    <m/>
    <m/>
    <m/>
    <m/>
    <n v="0"/>
    <m/>
    <n v="7"/>
    <x v="0"/>
    <x v="0"/>
    <m/>
    <m/>
    <m/>
    <m/>
    <m/>
    <m/>
    <m/>
    <n v="3"/>
    <m/>
    <m/>
    <n v="1"/>
    <m/>
    <m/>
    <m/>
    <m/>
    <m/>
    <m/>
    <s v="no test"/>
    <s v="no test"/>
    <x v="1"/>
    <n v="1"/>
    <n v="1"/>
    <n v="0"/>
    <n v="0"/>
    <n v="0"/>
    <n v="1"/>
    <n v="1"/>
    <n v="1"/>
    <n v="290"/>
    <n v="0"/>
    <n v="0"/>
    <n v="1"/>
    <n v="290"/>
    <n v="0.57999999999999996"/>
    <n v="0"/>
    <n v="0"/>
    <n v="0.42000000000000004"/>
    <n v="1"/>
    <n v="7"/>
    <n v="0.48275862068965519"/>
    <n v="140"/>
    <n v="0"/>
    <n v="0"/>
    <n v="15"/>
    <n v="8"/>
    <n v="0.51724137931034475"/>
    <n v="0"/>
    <n v="290"/>
    <n v="0"/>
    <n v="0"/>
    <n v="0"/>
    <n v="290"/>
    <n v="1"/>
    <n v="0"/>
    <n v="1"/>
    <n v="0"/>
    <n v="0"/>
    <n v="0"/>
    <n v="0"/>
    <n v="0"/>
    <n v="0"/>
    <x v="0"/>
    <s v="Yes"/>
    <s v="KBC-MYT"/>
    <x v="0"/>
    <x v="0"/>
    <x v="0"/>
    <n v="25.360463124999999"/>
    <n v="97.4113064583333"/>
    <s v="MMR001CMP016"/>
    <x v="0"/>
    <m/>
  </r>
  <r>
    <x v="0"/>
    <x v="4"/>
    <x v="4"/>
    <s v="Plan/GFFO,ADRA/CANADA  "/>
    <x v="0"/>
    <x v="3"/>
    <x v="1"/>
    <x v="101"/>
    <n v="101"/>
    <n v="547"/>
    <d v="2019-04-01T00:00:00"/>
    <d v="2019-07-31T00:00:00"/>
    <m/>
    <m/>
    <m/>
    <m/>
    <s v="Yes"/>
    <m/>
    <m/>
    <n v="0"/>
    <m/>
    <m/>
    <n v="2"/>
    <m/>
    <m/>
    <m/>
    <m/>
    <m/>
    <m/>
    <m/>
    <m/>
    <m/>
    <m/>
    <n v="3"/>
    <m/>
    <m/>
    <m/>
    <m/>
    <m/>
    <m/>
    <m/>
    <n v="34"/>
    <m/>
    <m/>
    <m/>
    <m/>
    <n v="8"/>
    <m/>
    <n v="34"/>
    <x v="0"/>
    <x v="3"/>
    <m/>
    <m/>
    <m/>
    <m/>
    <m/>
    <m/>
    <m/>
    <n v="2"/>
    <m/>
    <m/>
    <n v="2"/>
    <m/>
    <m/>
    <m/>
    <m/>
    <m/>
    <m/>
    <s v="no test"/>
    <s v="no test"/>
    <x v="1"/>
    <n v="0"/>
    <n v="2"/>
    <n v="0"/>
    <n v="0"/>
    <n v="0"/>
    <n v="1"/>
    <n v="0.91407678244972579"/>
    <n v="1"/>
    <n v="547"/>
    <n v="0"/>
    <n v="0"/>
    <n v="1"/>
    <n v="547"/>
    <n v="1.0940000000000001"/>
    <n v="0"/>
    <n v="0"/>
    <n v="0"/>
    <n v="1"/>
    <n v="34"/>
    <n v="1"/>
    <n v="547"/>
    <n v="160"/>
    <n v="0"/>
    <n v="27"/>
    <n v="0"/>
    <n v="0"/>
    <n v="0"/>
    <n v="547"/>
    <n v="0"/>
    <n v="0"/>
    <n v="0"/>
    <n v="547"/>
    <n v="1"/>
    <n v="0"/>
    <n v="1"/>
    <n v="0"/>
    <n v="0"/>
    <n v="0"/>
    <n v="0"/>
    <n v="0"/>
    <n v="0"/>
    <x v="0"/>
    <s v="Yes"/>
    <s v="KBC-MYT"/>
    <x v="0"/>
    <x v="0"/>
    <x v="0"/>
    <n v="25.428910999999999"/>
    <n v="97.418694000000002"/>
    <s v="MMR001CMP008"/>
    <x v="0"/>
    <m/>
  </r>
  <r>
    <x v="0"/>
    <x v="4"/>
    <x v="4"/>
    <s v="OFDA"/>
    <x v="0"/>
    <x v="0"/>
    <x v="0"/>
    <x v="102"/>
    <n v="37"/>
    <n v="161"/>
    <m/>
    <d v="2019-02-15T00:00:00"/>
    <m/>
    <m/>
    <m/>
    <m/>
    <s v="Yes"/>
    <m/>
    <m/>
    <n v="0"/>
    <m/>
    <m/>
    <n v="2"/>
    <m/>
    <m/>
    <m/>
    <m/>
    <m/>
    <m/>
    <m/>
    <m/>
    <m/>
    <m/>
    <n v="2"/>
    <m/>
    <m/>
    <m/>
    <m/>
    <m/>
    <m/>
    <m/>
    <n v="6"/>
    <m/>
    <m/>
    <m/>
    <m/>
    <m/>
    <m/>
    <n v="6"/>
    <x v="0"/>
    <x v="0"/>
    <m/>
    <m/>
    <m/>
    <m/>
    <m/>
    <m/>
    <m/>
    <n v="0"/>
    <m/>
    <m/>
    <n v="1"/>
    <m/>
    <m/>
    <m/>
    <m/>
    <m/>
    <m/>
    <s v="no test"/>
    <s v="no test"/>
    <x v="1"/>
    <n v="0"/>
    <n v="2"/>
    <n v="0"/>
    <n v="0"/>
    <n v="0"/>
    <n v="1"/>
    <n v="1"/>
    <n v="1"/>
    <n v="161"/>
    <n v="0"/>
    <n v="0"/>
    <n v="1"/>
    <n v="161"/>
    <n v="0.32200000000000001"/>
    <n v="0"/>
    <n v="0"/>
    <n v="0.67799999999999994"/>
    <n v="1"/>
    <n v="6"/>
    <n v="0.74534161490683226"/>
    <n v="120"/>
    <n v="0"/>
    <n v="0"/>
    <n v="8"/>
    <n v="2"/>
    <n v="0.25465838509316774"/>
    <n v="0"/>
    <n v="161"/>
    <n v="0"/>
    <n v="0"/>
    <n v="0"/>
    <n v="161"/>
    <n v="1"/>
    <n v="0"/>
    <n v="1"/>
    <n v="0"/>
    <n v="0"/>
    <n v="0"/>
    <n v="0"/>
    <n v="0"/>
    <n v="0"/>
    <x v="0"/>
    <n v="0"/>
    <n v="0"/>
    <x v="0"/>
    <x v="0"/>
    <x v="0"/>
    <n v="0"/>
    <n v="0"/>
    <n v="0"/>
    <x v="0"/>
    <m/>
  </r>
  <r>
    <x v="0"/>
    <x v="4"/>
    <x v="4"/>
    <s v="ADRA/CANADA"/>
    <x v="0"/>
    <x v="7"/>
    <x v="0"/>
    <x v="103"/>
    <n v="6"/>
    <n v="36"/>
    <d v="2019-04-01T00:00:00"/>
    <d v="2019-07-31T00:00:00"/>
    <m/>
    <m/>
    <m/>
    <m/>
    <s v="Yes"/>
    <m/>
    <m/>
    <n v="0"/>
    <m/>
    <m/>
    <n v="1"/>
    <m/>
    <m/>
    <m/>
    <m/>
    <m/>
    <m/>
    <m/>
    <m/>
    <m/>
    <m/>
    <n v="3"/>
    <m/>
    <m/>
    <m/>
    <m/>
    <m/>
    <m/>
    <m/>
    <n v="2"/>
    <m/>
    <m/>
    <m/>
    <m/>
    <m/>
    <m/>
    <n v="2"/>
    <x v="0"/>
    <x v="0"/>
    <m/>
    <m/>
    <m/>
    <m/>
    <m/>
    <m/>
    <m/>
    <n v="0"/>
    <m/>
    <m/>
    <n v="1"/>
    <m/>
    <m/>
    <m/>
    <m/>
    <m/>
    <m/>
    <s v="no test"/>
    <s v="no test"/>
    <x v="1"/>
    <n v="0"/>
    <n v="1"/>
    <n v="0"/>
    <n v="0"/>
    <n v="0"/>
    <n v="1"/>
    <n v="1"/>
    <n v="1"/>
    <n v="36"/>
    <n v="0"/>
    <n v="0"/>
    <n v="1"/>
    <n v="36"/>
    <n v="7.1999999999999995E-2"/>
    <n v="0"/>
    <n v="0"/>
    <n v="0.92800000000000005"/>
    <n v="1"/>
    <n v="2"/>
    <n v="1"/>
    <n v="36"/>
    <n v="0"/>
    <n v="0"/>
    <n v="2"/>
    <n v="0"/>
    <n v="0"/>
    <n v="0"/>
    <n v="36"/>
    <n v="0"/>
    <n v="0"/>
    <n v="0"/>
    <n v="36"/>
    <n v="1"/>
    <n v="0"/>
    <n v="1"/>
    <n v="0"/>
    <n v="0"/>
    <n v="0"/>
    <n v="0"/>
    <n v="0"/>
    <n v="0"/>
    <x v="0"/>
    <n v="0"/>
    <n v="0"/>
    <x v="0"/>
    <x v="2"/>
    <x v="0"/>
    <n v="0"/>
    <n v="0"/>
    <n v="0"/>
    <x v="0"/>
    <m/>
  </r>
  <r>
    <x v="0"/>
    <x v="5"/>
    <x v="5"/>
    <s v="DFID"/>
    <x v="0"/>
    <x v="3"/>
    <x v="1"/>
    <x v="104"/>
    <n v="22"/>
    <n v="92"/>
    <d v="2018-08-01T00:00:00"/>
    <d v="2020-07-31T00:00:00"/>
    <m/>
    <n v="1"/>
    <m/>
    <m/>
    <s v="Yes"/>
    <n v="3"/>
    <n v="7"/>
    <n v="1"/>
    <n v="1"/>
    <m/>
    <n v="1"/>
    <n v="1"/>
    <n v="0"/>
    <m/>
    <m/>
    <m/>
    <m/>
    <m/>
    <m/>
    <m/>
    <m/>
    <m/>
    <m/>
    <m/>
    <m/>
    <m/>
    <m/>
    <m/>
    <m/>
    <n v="5"/>
    <n v="5"/>
    <m/>
    <n v="0"/>
    <n v="0"/>
    <n v="2"/>
    <m/>
    <m/>
    <x v="0"/>
    <x v="3"/>
    <m/>
    <m/>
    <m/>
    <m/>
    <n v="2"/>
    <n v="1"/>
    <n v="0"/>
    <n v="0"/>
    <n v="0"/>
    <n v="0"/>
    <n v="0"/>
    <n v="0"/>
    <n v="0"/>
    <s v="No"/>
    <n v="0"/>
    <n v="0"/>
    <m/>
    <s v="no test"/>
    <s v="no test"/>
    <x v="1"/>
    <n v="0"/>
    <n v="2"/>
    <n v="0"/>
    <n v="0"/>
    <n v="0"/>
    <n v="1"/>
    <n v="1"/>
    <n v="1"/>
    <n v="92"/>
    <n v="0"/>
    <n v="0"/>
    <n v="1"/>
    <n v="92"/>
    <n v="0.184"/>
    <n v="0"/>
    <n v="0"/>
    <n v="0.81600000000000006"/>
    <n v="1"/>
    <n v="10"/>
    <n v="1"/>
    <n v="92"/>
    <n v="40"/>
    <n v="0"/>
    <n v="5"/>
    <n v="0"/>
    <n v="0"/>
    <n v="0"/>
    <n v="0"/>
    <n v="0"/>
    <n v="0"/>
    <n v="0"/>
    <n v="0"/>
    <n v="0"/>
    <n v="1"/>
    <n v="0"/>
    <n v="0"/>
    <n v="0"/>
    <n v="1"/>
    <n v="20"/>
    <n v="0"/>
    <n v="92"/>
    <x v="0"/>
    <s v="Yes"/>
    <s v="Shalom"/>
    <x v="0"/>
    <x v="0"/>
    <x v="0"/>
    <n v="25.374343974359"/>
    <n v="97.2843958974359"/>
    <s v="MMR001CMP020"/>
    <x v="0"/>
    <m/>
  </r>
  <r>
    <x v="0"/>
    <x v="5"/>
    <x v="5"/>
    <s v="DFID"/>
    <x v="0"/>
    <x v="3"/>
    <x v="1"/>
    <x v="105"/>
    <n v="21"/>
    <n v="123"/>
    <d v="2018-08-01T00:00:00"/>
    <d v="2020-07-31T00:00:00"/>
    <m/>
    <n v="1"/>
    <m/>
    <m/>
    <s v="Yes"/>
    <n v="1"/>
    <n v="4"/>
    <n v="0"/>
    <m/>
    <m/>
    <n v="1"/>
    <n v="1"/>
    <n v="1"/>
    <m/>
    <m/>
    <m/>
    <m/>
    <m/>
    <m/>
    <m/>
    <n v="1"/>
    <n v="1"/>
    <m/>
    <m/>
    <m/>
    <m/>
    <m/>
    <m/>
    <m/>
    <n v="3"/>
    <n v="3"/>
    <s v="Oxfam"/>
    <n v="1"/>
    <n v="1"/>
    <n v="2"/>
    <m/>
    <m/>
    <x v="0"/>
    <x v="3"/>
    <m/>
    <m/>
    <m/>
    <m/>
    <n v="1"/>
    <n v="0"/>
    <n v="0"/>
    <n v="2"/>
    <n v="0"/>
    <n v="1"/>
    <n v="0"/>
    <n v="0"/>
    <n v="0"/>
    <s v="No"/>
    <n v="0"/>
    <n v="0"/>
    <m/>
    <s v="no test"/>
    <s v="no test"/>
    <x v="1"/>
    <n v="0"/>
    <n v="1"/>
    <n v="0"/>
    <n v="0"/>
    <n v="0"/>
    <n v="1"/>
    <n v="1"/>
    <n v="1"/>
    <n v="123"/>
    <n v="0"/>
    <n v="0"/>
    <n v="1"/>
    <n v="123"/>
    <n v="0.246"/>
    <n v="0"/>
    <n v="0"/>
    <n v="0.754"/>
    <n v="1"/>
    <n v="5"/>
    <n v="0.81300813008130079"/>
    <n v="100"/>
    <n v="40"/>
    <n v="0"/>
    <n v="6"/>
    <n v="0"/>
    <n v="0.18699186991869921"/>
    <n v="0.16666666666666666"/>
    <n v="123"/>
    <n v="0"/>
    <n v="0"/>
    <n v="0"/>
    <n v="123"/>
    <n v="1"/>
    <n v="0"/>
    <n v="1"/>
    <n v="0"/>
    <n v="0"/>
    <n v="1"/>
    <n v="20"/>
    <n v="0"/>
    <n v="100"/>
    <x v="0"/>
    <s v="Yes"/>
    <s v="Shalom"/>
    <x v="0"/>
    <x v="0"/>
    <x v="0"/>
    <n v="25.371049444444399"/>
    <n v="97.290952037037002"/>
    <s v="MMR001CMP021"/>
    <x v="0"/>
    <m/>
  </r>
  <r>
    <x v="0"/>
    <x v="3"/>
    <x v="3"/>
    <s v="DFID(HARP)/UNICEF"/>
    <x v="0"/>
    <x v="5"/>
    <x v="1"/>
    <x v="106"/>
    <n v="57"/>
    <n v="264"/>
    <s v="1-Jan-2019 / 1-Dec-2018"/>
    <s v="31-3-2019 / 30-Nov-2019"/>
    <n v="148"/>
    <m/>
    <m/>
    <m/>
    <s v="Yes"/>
    <m/>
    <m/>
    <m/>
    <m/>
    <m/>
    <m/>
    <m/>
    <m/>
    <m/>
    <n v="1"/>
    <m/>
    <m/>
    <m/>
    <m/>
    <m/>
    <m/>
    <m/>
    <m/>
    <m/>
    <m/>
    <m/>
    <m/>
    <m/>
    <m/>
    <n v="28"/>
    <m/>
    <m/>
    <m/>
    <m/>
    <m/>
    <m/>
    <m/>
    <x v="0"/>
    <x v="0"/>
    <n v="2"/>
    <m/>
    <m/>
    <m/>
    <m/>
    <m/>
    <m/>
    <n v="2"/>
    <m/>
    <n v="1"/>
    <m/>
    <n v="30"/>
    <m/>
    <s v="No"/>
    <m/>
    <m/>
    <m/>
    <s v="no test"/>
    <s v="no test"/>
    <x v="1"/>
    <n v="0"/>
    <n v="0"/>
    <n v="1"/>
    <n v="0"/>
    <n v="0"/>
    <n v="0.25252525252525254"/>
    <n v="0.25252525252525254"/>
    <n v="0.25252525252525254"/>
    <n v="66.666666666666671"/>
    <n v="0"/>
    <n v="0"/>
    <n v="0.25252525252525254"/>
    <n v="66.666666666666671"/>
    <n v="0.13333333333333333"/>
    <n v="0.7474747474747474"/>
    <n v="197.33333333333331"/>
    <n v="0.8666666666666667"/>
    <n v="1"/>
    <n v="28"/>
    <n v="1"/>
    <n v="264"/>
    <n v="0"/>
    <n v="0"/>
    <n v="13"/>
    <n v="0"/>
    <n v="0"/>
    <n v="0"/>
    <n v="264"/>
    <n v="150"/>
    <n v="0"/>
    <n v="150"/>
    <n v="264"/>
    <n v="1"/>
    <n v="0"/>
    <n v="1"/>
    <n v="0.52631578947368418"/>
    <n v="0"/>
    <n v="0"/>
    <n v="0"/>
    <n v="0"/>
    <n v="0"/>
    <x v="1"/>
    <s v="Yes"/>
    <s v="KMSS-MYT"/>
    <x v="0"/>
    <x v="0"/>
    <x v="0"/>
    <n v="25.60867"/>
    <n v="98.377780000000001"/>
    <s v="MMR001CMP210"/>
    <x v="0"/>
    <m/>
  </r>
  <r>
    <x v="0"/>
    <x v="4"/>
    <x v="4"/>
    <s v="ADRA/CANADA"/>
    <x v="0"/>
    <x v="7"/>
    <x v="1"/>
    <x v="107"/>
    <n v="105"/>
    <n v="474"/>
    <d v="2019-04-01T00:00:00"/>
    <d v="2019-07-31T00:00:00"/>
    <m/>
    <m/>
    <m/>
    <m/>
    <s v="Yes"/>
    <m/>
    <m/>
    <n v="1"/>
    <m/>
    <m/>
    <n v="0"/>
    <m/>
    <m/>
    <m/>
    <m/>
    <m/>
    <m/>
    <m/>
    <m/>
    <m/>
    <m/>
    <n v="2"/>
    <m/>
    <m/>
    <m/>
    <m/>
    <m/>
    <m/>
    <m/>
    <n v="12"/>
    <m/>
    <m/>
    <m/>
    <m/>
    <m/>
    <m/>
    <n v="12"/>
    <x v="0"/>
    <x v="0"/>
    <m/>
    <m/>
    <m/>
    <m/>
    <m/>
    <m/>
    <m/>
    <n v="3"/>
    <m/>
    <m/>
    <n v="2"/>
    <m/>
    <m/>
    <m/>
    <m/>
    <m/>
    <m/>
    <s v="no test"/>
    <s v="no test"/>
    <x v="1"/>
    <n v="1"/>
    <n v="0"/>
    <n v="0"/>
    <n v="0"/>
    <n v="0"/>
    <n v="0.84388185654008441"/>
    <n v="0.52742616033755274"/>
    <n v="0.84388185654008441"/>
    <n v="400"/>
    <n v="0"/>
    <n v="0"/>
    <n v="0.84388185654008441"/>
    <n v="400"/>
    <n v="0.8"/>
    <n v="0.15611814345991559"/>
    <n v="73.999999999999986"/>
    <n v="0.19999999999999996"/>
    <n v="1"/>
    <n v="12"/>
    <n v="0.50632911392405067"/>
    <n v="240"/>
    <n v="0"/>
    <n v="0"/>
    <n v="24"/>
    <n v="12"/>
    <n v="0.49367088607594933"/>
    <n v="0"/>
    <n v="474"/>
    <n v="0"/>
    <n v="0"/>
    <n v="0"/>
    <n v="474"/>
    <n v="1"/>
    <n v="0"/>
    <n v="1"/>
    <n v="0"/>
    <n v="0"/>
    <n v="0"/>
    <n v="0"/>
    <n v="0"/>
    <n v="0"/>
    <x v="0"/>
    <n v="0"/>
    <s v="KBC"/>
    <x v="0"/>
    <x v="0"/>
    <x v="0"/>
    <n v="97.104997409999996"/>
    <n v="25.379014999999999"/>
    <s v="MMR001CMP261"/>
    <x v="0"/>
    <m/>
  </r>
  <r>
    <x v="0"/>
    <x v="3"/>
    <x v="3"/>
    <s v="DFID(HARP)/UNICEF"/>
    <x v="0"/>
    <x v="2"/>
    <x v="1"/>
    <x v="108"/>
    <n v="100"/>
    <n v="612"/>
    <s v="1-Jan-2019 / 1-Dec-2018"/>
    <s v="31-3-2019 / 30-Nov-2019"/>
    <n v="133"/>
    <m/>
    <m/>
    <m/>
    <s v="Yes"/>
    <m/>
    <m/>
    <m/>
    <m/>
    <m/>
    <m/>
    <m/>
    <m/>
    <m/>
    <n v="1"/>
    <m/>
    <m/>
    <m/>
    <m/>
    <m/>
    <m/>
    <m/>
    <m/>
    <m/>
    <m/>
    <m/>
    <m/>
    <m/>
    <m/>
    <n v="98"/>
    <m/>
    <m/>
    <m/>
    <m/>
    <m/>
    <m/>
    <m/>
    <x v="0"/>
    <x v="0"/>
    <n v="3"/>
    <m/>
    <m/>
    <m/>
    <m/>
    <m/>
    <m/>
    <n v="4"/>
    <m/>
    <n v="1"/>
    <n v="1"/>
    <n v="50"/>
    <m/>
    <s v="No"/>
    <m/>
    <m/>
    <m/>
    <s v="no test"/>
    <s v="no test"/>
    <x v="1"/>
    <n v="0"/>
    <n v="0"/>
    <n v="1"/>
    <n v="0"/>
    <n v="0"/>
    <n v="0.10893246187363835"/>
    <n v="0.10893246187363835"/>
    <n v="0.10893246187363835"/>
    <n v="66.666666666666671"/>
    <n v="0"/>
    <n v="0"/>
    <n v="0.10893246187363835"/>
    <n v="66.666666666666671"/>
    <n v="0.13333333333333333"/>
    <n v="0.89106753812636164"/>
    <n v="545.33333333333337"/>
    <n v="0.8666666666666667"/>
    <n v="1"/>
    <n v="98"/>
    <n v="1"/>
    <n v="612"/>
    <n v="0"/>
    <n v="0"/>
    <n v="31"/>
    <n v="0"/>
    <n v="0"/>
    <n v="0"/>
    <n v="612"/>
    <n v="250"/>
    <n v="0"/>
    <n v="250"/>
    <n v="612"/>
    <n v="1"/>
    <n v="0"/>
    <n v="1"/>
    <n v="0.5"/>
    <n v="0"/>
    <n v="0"/>
    <n v="0"/>
    <n v="0"/>
    <n v="0"/>
    <x v="1"/>
    <s v="Yes"/>
    <s v="KMSS-MYT"/>
    <x v="0"/>
    <x v="0"/>
    <x v="1"/>
    <n v="25.265277999999999"/>
    <n v="97.990555999999998"/>
    <s v="MMR001CMP160"/>
    <x v="0"/>
    <m/>
  </r>
  <r>
    <x v="0"/>
    <x v="2"/>
    <x v="2"/>
    <m/>
    <x v="0"/>
    <x v="3"/>
    <x v="1"/>
    <x v="109"/>
    <n v="255"/>
    <n v="1374"/>
    <m/>
    <m/>
    <m/>
    <m/>
    <m/>
    <m/>
    <m/>
    <m/>
    <m/>
    <m/>
    <m/>
    <m/>
    <m/>
    <m/>
    <m/>
    <m/>
    <m/>
    <m/>
    <m/>
    <m/>
    <m/>
    <m/>
    <m/>
    <m/>
    <m/>
    <m/>
    <m/>
    <m/>
    <m/>
    <m/>
    <m/>
    <m/>
    <m/>
    <m/>
    <m/>
    <m/>
    <m/>
    <m/>
    <m/>
    <x v="1"/>
    <x v="1"/>
    <m/>
    <m/>
    <m/>
    <m/>
    <m/>
    <m/>
    <m/>
    <m/>
    <m/>
    <m/>
    <m/>
    <m/>
    <m/>
    <m/>
    <m/>
    <m/>
    <m/>
    <s v="no test"/>
    <s v="no test"/>
    <x v="1"/>
    <n v="0"/>
    <n v="0"/>
    <n v="0"/>
    <n v="0"/>
    <n v="0"/>
    <n v="0"/>
    <n v="0"/>
    <n v="0"/>
    <n v="0"/>
    <n v="0"/>
    <n v="0"/>
    <n v="0"/>
    <n v="0"/>
    <n v="0"/>
    <n v="1"/>
    <n v="1374"/>
    <n v="3"/>
    <n v="3"/>
    <n v="0"/>
    <n v="0"/>
    <n v="0"/>
    <n v="0"/>
    <n v="0"/>
    <n v="69"/>
    <n v="69"/>
    <n v="1"/>
    <n v="0"/>
    <n v="0"/>
    <n v="0"/>
    <n v="0"/>
    <n v="0"/>
    <n v="0"/>
    <n v="0"/>
    <n v="1"/>
    <n v="0"/>
    <n v="0"/>
    <n v="0"/>
    <n v="0"/>
    <n v="0"/>
    <n v="0"/>
    <n v="0"/>
    <x v="0"/>
    <s v="Yes"/>
    <s v="KMSS-MYT"/>
    <x v="0"/>
    <x v="0"/>
    <x v="0"/>
    <n v="25.493819999999999"/>
    <n v="97.4345"/>
    <s v="MMR001CMP271"/>
    <x v="1"/>
    <m/>
  </r>
  <r>
    <x v="0"/>
    <x v="4"/>
    <x v="4"/>
    <s v="ADRA/CANADA"/>
    <x v="0"/>
    <x v="7"/>
    <x v="1"/>
    <x v="110"/>
    <n v="10"/>
    <n v="41"/>
    <d v="2019-04-01T00:00:00"/>
    <d v="2019-07-31T00:00:00"/>
    <m/>
    <m/>
    <m/>
    <m/>
    <s v="Yes"/>
    <m/>
    <m/>
    <n v="1"/>
    <m/>
    <m/>
    <n v="0"/>
    <m/>
    <m/>
    <m/>
    <m/>
    <m/>
    <m/>
    <m/>
    <m/>
    <m/>
    <m/>
    <n v="3"/>
    <m/>
    <m/>
    <m/>
    <m/>
    <m/>
    <m/>
    <m/>
    <n v="3"/>
    <m/>
    <m/>
    <m/>
    <m/>
    <m/>
    <m/>
    <n v="3"/>
    <x v="0"/>
    <x v="0"/>
    <m/>
    <m/>
    <m/>
    <m/>
    <m/>
    <m/>
    <m/>
    <n v="2"/>
    <m/>
    <m/>
    <n v="1"/>
    <m/>
    <m/>
    <m/>
    <m/>
    <m/>
    <m/>
    <s v="no test"/>
    <s v="no test"/>
    <x v="1"/>
    <n v="1"/>
    <n v="0"/>
    <n v="0"/>
    <n v="0"/>
    <n v="0"/>
    <n v="1"/>
    <n v="1"/>
    <n v="1"/>
    <n v="41"/>
    <n v="0"/>
    <n v="0"/>
    <n v="1"/>
    <n v="41"/>
    <n v="8.2000000000000003E-2"/>
    <n v="0"/>
    <n v="0"/>
    <n v="0.91800000000000004"/>
    <n v="1"/>
    <n v="3"/>
    <n v="1"/>
    <n v="41"/>
    <n v="0"/>
    <n v="0"/>
    <n v="2"/>
    <n v="0"/>
    <n v="0"/>
    <n v="0"/>
    <n v="41"/>
    <n v="0"/>
    <n v="0"/>
    <n v="0"/>
    <n v="41"/>
    <n v="1"/>
    <n v="0"/>
    <n v="1"/>
    <n v="0"/>
    <n v="0"/>
    <n v="0"/>
    <n v="0"/>
    <n v="0"/>
    <n v="0"/>
    <x v="0"/>
    <s v="Yes"/>
    <s v="KBC"/>
    <x v="0"/>
    <x v="0"/>
    <x v="0"/>
    <n v="25.30442"/>
    <n v="96.948740000000001"/>
    <s v="MMR001CMP079"/>
    <x v="0"/>
    <m/>
  </r>
  <r>
    <x v="0"/>
    <x v="5"/>
    <x v="5"/>
    <s v="DFID"/>
    <x v="0"/>
    <x v="3"/>
    <x v="1"/>
    <x v="111"/>
    <n v="24"/>
    <n v="111"/>
    <d v="2018-08-01T00:00:00"/>
    <d v="2020-07-31T00:00:00"/>
    <m/>
    <n v="1"/>
    <m/>
    <m/>
    <s v="Yes"/>
    <n v="1"/>
    <n v="3"/>
    <n v="1"/>
    <m/>
    <m/>
    <n v="0"/>
    <n v="0"/>
    <n v="0"/>
    <m/>
    <m/>
    <m/>
    <m/>
    <m/>
    <m/>
    <m/>
    <m/>
    <m/>
    <m/>
    <m/>
    <m/>
    <m/>
    <m/>
    <m/>
    <m/>
    <n v="2"/>
    <n v="5"/>
    <s v="Chruch"/>
    <n v="1"/>
    <n v="1"/>
    <n v="2"/>
    <m/>
    <m/>
    <x v="0"/>
    <x v="3"/>
    <m/>
    <m/>
    <m/>
    <m/>
    <n v="2"/>
    <n v="0"/>
    <n v="0"/>
    <n v="0"/>
    <n v="0"/>
    <n v="0"/>
    <n v="0"/>
    <n v="0"/>
    <n v="0"/>
    <s v="No"/>
    <n v="0"/>
    <n v="0"/>
    <m/>
    <s v="no test"/>
    <s v="no test"/>
    <x v="1"/>
    <n v="1"/>
    <n v="0"/>
    <n v="0"/>
    <n v="0"/>
    <n v="0"/>
    <n v="1"/>
    <n v="1"/>
    <n v="1"/>
    <n v="111"/>
    <n v="0"/>
    <n v="0"/>
    <n v="1"/>
    <n v="111"/>
    <n v="0.222"/>
    <n v="0"/>
    <n v="0"/>
    <n v="0.77800000000000002"/>
    <n v="1"/>
    <n v="6"/>
    <n v="1"/>
    <n v="111"/>
    <n v="40"/>
    <n v="0"/>
    <n v="6"/>
    <n v="0"/>
    <n v="0"/>
    <n v="0.14285714285714285"/>
    <n v="0"/>
    <n v="0"/>
    <n v="0"/>
    <n v="0"/>
    <n v="0"/>
    <n v="0"/>
    <n v="1"/>
    <n v="0"/>
    <n v="0"/>
    <n v="0"/>
    <n v="2"/>
    <n v="24"/>
    <n v="0"/>
    <n v="111"/>
    <x v="0"/>
    <s v="Yes"/>
    <s v="Shalom"/>
    <x v="0"/>
    <x v="0"/>
    <x v="0"/>
    <n v="25.423817"/>
    <n v="97.418004999999994"/>
    <s v="MMR001CMP007"/>
    <x v="0"/>
    <m/>
  </r>
  <r>
    <x v="0"/>
    <x v="4"/>
    <x v="4"/>
    <s v="ADRA/CANADA"/>
    <x v="0"/>
    <x v="8"/>
    <x v="1"/>
    <x v="112"/>
    <n v="22"/>
    <n v="113"/>
    <d v="2019-04-01T00:00:00"/>
    <d v="2019-07-31T00:00:00"/>
    <m/>
    <m/>
    <m/>
    <m/>
    <s v="Yes"/>
    <m/>
    <m/>
    <n v="0"/>
    <m/>
    <m/>
    <n v="3"/>
    <m/>
    <m/>
    <m/>
    <m/>
    <m/>
    <m/>
    <m/>
    <m/>
    <m/>
    <m/>
    <n v="0"/>
    <m/>
    <m/>
    <m/>
    <m/>
    <m/>
    <m/>
    <m/>
    <n v="5"/>
    <m/>
    <m/>
    <m/>
    <m/>
    <m/>
    <m/>
    <m/>
    <x v="0"/>
    <x v="3"/>
    <m/>
    <m/>
    <m/>
    <m/>
    <m/>
    <m/>
    <m/>
    <n v="2"/>
    <m/>
    <m/>
    <n v="1"/>
    <m/>
    <m/>
    <m/>
    <m/>
    <m/>
    <m/>
    <s v="no test"/>
    <s v="no test"/>
    <x v="1"/>
    <n v="0"/>
    <n v="3"/>
    <n v="0"/>
    <n v="0"/>
    <n v="0"/>
    <n v="1"/>
    <n v="1"/>
    <n v="1"/>
    <n v="113"/>
    <n v="0"/>
    <n v="0"/>
    <n v="1"/>
    <n v="113"/>
    <n v="0.22600000000000001"/>
    <n v="0"/>
    <n v="0"/>
    <n v="0.77400000000000002"/>
    <n v="1"/>
    <n v="5"/>
    <n v="0.88495575221238942"/>
    <n v="100"/>
    <n v="0"/>
    <n v="0"/>
    <n v="6"/>
    <n v="1"/>
    <n v="0.11504424778761058"/>
    <n v="0"/>
    <n v="113"/>
    <n v="0"/>
    <n v="0"/>
    <n v="0"/>
    <n v="113"/>
    <n v="1"/>
    <n v="0"/>
    <n v="1"/>
    <n v="0"/>
    <n v="0"/>
    <n v="0"/>
    <n v="0"/>
    <n v="0"/>
    <n v="0"/>
    <x v="0"/>
    <s v="Yes"/>
    <s v="KBC"/>
    <x v="0"/>
    <x v="0"/>
    <x v="0"/>
    <n v="24.998349999999999"/>
    <n v="96.364949999999993"/>
    <s v="MMR001CMP152"/>
    <x v="0"/>
    <m/>
  </r>
  <r>
    <x v="0"/>
    <x v="4"/>
    <x v="4"/>
    <s v="ADRA/CANADA"/>
    <x v="0"/>
    <x v="11"/>
    <x v="1"/>
    <x v="113"/>
    <n v="127"/>
    <n v="547"/>
    <d v="2019-04-01T00:00:00"/>
    <d v="2019-07-31T00:00:00"/>
    <m/>
    <m/>
    <m/>
    <n v="30"/>
    <s v="Yes"/>
    <m/>
    <m/>
    <n v="0"/>
    <m/>
    <m/>
    <n v="0"/>
    <m/>
    <m/>
    <m/>
    <n v="1"/>
    <n v="1"/>
    <m/>
    <m/>
    <m/>
    <m/>
    <m/>
    <n v="0"/>
    <m/>
    <m/>
    <m/>
    <m/>
    <m/>
    <m/>
    <m/>
    <n v="74"/>
    <m/>
    <m/>
    <m/>
    <m/>
    <m/>
    <m/>
    <n v="74"/>
    <x v="0"/>
    <x v="0"/>
    <m/>
    <m/>
    <m/>
    <m/>
    <m/>
    <m/>
    <m/>
    <n v="0"/>
    <m/>
    <m/>
    <n v="2"/>
    <m/>
    <m/>
    <m/>
    <m/>
    <m/>
    <m/>
    <s v="no test"/>
    <s v="no test"/>
    <x v="1"/>
    <n v="0"/>
    <n v="0"/>
    <n v="0"/>
    <n v="0"/>
    <n v="0"/>
    <n v="0"/>
    <n v="0"/>
    <n v="0"/>
    <n v="0"/>
    <n v="0"/>
    <n v="0"/>
    <n v="0"/>
    <n v="0"/>
    <n v="0"/>
    <n v="1"/>
    <n v="547"/>
    <n v="1"/>
    <n v="1"/>
    <n v="74"/>
    <n v="1"/>
    <n v="547"/>
    <n v="0"/>
    <n v="0"/>
    <n v="27"/>
    <n v="0"/>
    <n v="0"/>
    <n v="0"/>
    <n v="547"/>
    <n v="0"/>
    <n v="0"/>
    <n v="0"/>
    <n v="547"/>
    <n v="1"/>
    <n v="0"/>
    <n v="1"/>
    <n v="0"/>
    <n v="0"/>
    <n v="0"/>
    <n v="0"/>
    <n v="0"/>
    <n v="0"/>
    <x v="0"/>
    <s v="Yes"/>
    <s v="KBC-MYT"/>
    <x v="0"/>
    <x v="0"/>
    <x v="1"/>
    <n v="26.569633"/>
    <n v="97.745480999999998"/>
    <s v="MMR001CMP238"/>
    <x v="0"/>
    <m/>
  </r>
  <r>
    <x v="0"/>
    <x v="5"/>
    <x v="5"/>
    <s v="DFID"/>
    <x v="0"/>
    <x v="3"/>
    <x v="1"/>
    <x v="114"/>
    <n v="54"/>
    <n v="253"/>
    <d v="2018-08-01T00:00:00"/>
    <d v="2020-07-31T00:00:00"/>
    <m/>
    <n v="1"/>
    <m/>
    <m/>
    <s v="Yes"/>
    <n v="2"/>
    <n v="3"/>
    <n v="1"/>
    <m/>
    <m/>
    <n v="4"/>
    <n v="0"/>
    <n v="0"/>
    <m/>
    <m/>
    <m/>
    <m/>
    <m/>
    <m/>
    <m/>
    <m/>
    <m/>
    <m/>
    <m/>
    <m/>
    <m/>
    <m/>
    <m/>
    <m/>
    <n v="18"/>
    <n v="0"/>
    <m/>
    <n v="0"/>
    <n v="0"/>
    <n v="10"/>
    <m/>
    <m/>
    <x v="0"/>
    <x v="0"/>
    <m/>
    <n v="1"/>
    <m/>
    <m/>
    <n v="3"/>
    <n v="0"/>
    <m/>
    <n v="4"/>
    <n v="0"/>
    <n v="2"/>
    <n v="3"/>
    <n v="0"/>
    <n v="0"/>
    <s v="No"/>
    <n v="0"/>
    <n v="0"/>
    <m/>
    <s v="no test"/>
    <s v="no test"/>
    <x v="1"/>
    <n v="1"/>
    <n v="4"/>
    <n v="0"/>
    <n v="0"/>
    <n v="0"/>
    <n v="1"/>
    <n v="1"/>
    <n v="1"/>
    <n v="253"/>
    <n v="0"/>
    <n v="0"/>
    <n v="1"/>
    <n v="253"/>
    <n v="0.50600000000000001"/>
    <n v="0"/>
    <n v="0"/>
    <n v="0.49399999999999999"/>
    <n v="1"/>
    <n v="18"/>
    <n v="1"/>
    <n v="253"/>
    <n v="200"/>
    <n v="0"/>
    <n v="13"/>
    <n v="0"/>
    <n v="0"/>
    <n v="0"/>
    <n v="253"/>
    <n v="0"/>
    <n v="0"/>
    <n v="0"/>
    <n v="253"/>
    <n v="1"/>
    <n v="0"/>
    <n v="1"/>
    <n v="0"/>
    <n v="0"/>
    <n v="3"/>
    <n v="54"/>
    <n v="0"/>
    <n v="253"/>
    <x v="0"/>
    <s v="Yes"/>
    <s v="Shalom"/>
    <x v="0"/>
    <x v="0"/>
    <x v="0"/>
    <n v="25.423209"/>
    <n v="97.379987"/>
    <s v="MMR001CMP023"/>
    <x v="0"/>
    <m/>
  </r>
  <r>
    <x v="0"/>
    <x v="5"/>
    <x v="5"/>
    <s v="DFID"/>
    <x v="0"/>
    <x v="3"/>
    <x v="1"/>
    <x v="115"/>
    <n v="16"/>
    <n v="77"/>
    <d v="2018-08-01T00:00:00"/>
    <d v="2020-07-31T00:00:00"/>
    <m/>
    <n v="1"/>
    <m/>
    <m/>
    <s v="Yes"/>
    <n v="0"/>
    <n v="3"/>
    <n v="1"/>
    <m/>
    <m/>
    <n v="3"/>
    <n v="3"/>
    <n v="1"/>
    <m/>
    <m/>
    <m/>
    <m/>
    <m/>
    <m/>
    <m/>
    <m/>
    <n v="0"/>
    <m/>
    <m/>
    <m/>
    <m/>
    <m/>
    <m/>
    <m/>
    <n v="7"/>
    <n v="4"/>
    <s v="Chruch"/>
    <n v="1"/>
    <n v="1"/>
    <n v="2"/>
    <m/>
    <m/>
    <x v="0"/>
    <x v="3"/>
    <m/>
    <m/>
    <m/>
    <m/>
    <n v="2"/>
    <n v="0"/>
    <n v="0"/>
    <n v="2"/>
    <n v="0"/>
    <n v="0"/>
    <n v="0"/>
    <n v="0"/>
    <n v="0"/>
    <s v="No"/>
    <n v="0"/>
    <n v="0"/>
    <m/>
    <s v="no test"/>
    <s v="no test"/>
    <x v="1"/>
    <n v="1"/>
    <n v="5"/>
    <n v="0"/>
    <n v="0"/>
    <n v="0"/>
    <n v="1"/>
    <n v="1"/>
    <n v="1"/>
    <n v="77"/>
    <n v="0"/>
    <n v="0"/>
    <n v="1"/>
    <n v="77"/>
    <n v="0.154"/>
    <n v="0"/>
    <n v="0"/>
    <n v="0.84599999999999997"/>
    <n v="1"/>
    <n v="10"/>
    <n v="1"/>
    <n v="77"/>
    <n v="40"/>
    <n v="0"/>
    <n v="4"/>
    <n v="0"/>
    <n v="0"/>
    <n v="9.0909090909090912E-2"/>
    <n v="0"/>
    <n v="0"/>
    <n v="0"/>
    <n v="0"/>
    <n v="0"/>
    <n v="0"/>
    <n v="1"/>
    <n v="0"/>
    <n v="0"/>
    <n v="0"/>
    <n v="2"/>
    <n v="16"/>
    <n v="0"/>
    <n v="77"/>
    <x v="0"/>
    <s v="Yes"/>
    <s v="Shalom"/>
    <x v="0"/>
    <x v="0"/>
    <x v="0"/>
    <n v="25.417733999999999"/>
    <n v="97.389778000000007"/>
    <s v="MMR001CMP004"/>
    <x v="0"/>
    <m/>
  </r>
  <r>
    <x v="0"/>
    <x v="4"/>
    <x v="4"/>
    <s v="Plan/GFFO,ADRA/CANADA  "/>
    <x v="0"/>
    <x v="3"/>
    <x v="1"/>
    <x v="116"/>
    <n v="67"/>
    <n v="281"/>
    <d v="2019-04-01T00:00:00"/>
    <d v="2019-07-31T00:00:00"/>
    <m/>
    <m/>
    <m/>
    <m/>
    <s v="Yes"/>
    <m/>
    <m/>
    <n v="1"/>
    <m/>
    <m/>
    <n v="2"/>
    <m/>
    <m/>
    <m/>
    <m/>
    <m/>
    <m/>
    <m/>
    <m/>
    <m/>
    <m/>
    <n v="3"/>
    <m/>
    <m/>
    <m/>
    <m/>
    <m/>
    <m/>
    <m/>
    <n v="15"/>
    <m/>
    <m/>
    <m/>
    <m/>
    <n v="0"/>
    <m/>
    <n v="15"/>
    <x v="0"/>
    <x v="0"/>
    <m/>
    <m/>
    <m/>
    <m/>
    <m/>
    <m/>
    <m/>
    <n v="2"/>
    <m/>
    <m/>
    <n v="1"/>
    <m/>
    <m/>
    <m/>
    <m/>
    <m/>
    <m/>
    <s v="no test"/>
    <s v="no test"/>
    <x v="1"/>
    <n v="1"/>
    <n v="2"/>
    <n v="0"/>
    <n v="0"/>
    <n v="0"/>
    <n v="1"/>
    <n v="1"/>
    <n v="1"/>
    <n v="281"/>
    <n v="0"/>
    <n v="0"/>
    <n v="1"/>
    <n v="281"/>
    <n v="0.56200000000000006"/>
    <n v="0"/>
    <n v="0"/>
    <n v="0.43799999999999994"/>
    <n v="1"/>
    <n v="15"/>
    <n v="1"/>
    <n v="281"/>
    <n v="0"/>
    <n v="0"/>
    <n v="14"/>
    <n v="0"/>
    <n v="0"/>
    <n v="0"/>
    <n v="281"/>
    <n v="0"/>
    <n v="0"/>
    <n v="0"/>
    <n v="281"/>
    <n v="1"/>
    <n v="0"/>
    <n v="1"/>
    <n v="0"/>
    <n v="0"/>
    <n v="0"/>
    <n v="0"/>
    <n v="0"/>
    <n v="0"/>
    <x v="0"/>
    <s v="Yes"/>
    <s v="KBC-MYT"/>
    <x v="0"/>
    <x v="0"/>
    <x v="0"/>
    <n v="25.422194000000001"/>
    <n v="97.394547000000003"/>
    <s v="MMR001CMP002"/>
    <x v="0"/>
    <m/>
  </r>
  <r>
    <x v="0"/>
    <x v="4"/>
    <x v="4"/>
    <s v="ADRA/CANADA"/>
    <x v="0"/>
    <x v="2"/>
    <x v="1"/>
    <x v="117"/>
    <n v="178"/>
    <n v="846"/>
    <d v="2019-04-01T00:00:00"/>
    <d v="2019-07-31T00:00:00"/>
    <m/>
    <m/>
    <m/>
    <m/>
    <s v="Yes"/>
    <m/>
    <m/>
    <n v="0"/>
    <m/>
    <m/>
    <n v="0"/>
    <m/>
    <m/>
    <m/>
    <n v="3"/>
    <m/>
    <m/>
    <m/>
    <m/>
    <m/>
    <m/>
    <n v="0"/>
    <m/>
    <m/>
    <m/>
    <m/>
    <m/>
    <m/>
    <m/>
    <n v="150"/>
    <m/>
    <m/>
    <m/>
    <m/>
    <m/>
    <m/>
    <n v="150"/>
    <x v="0"/>
    <x v="0"/>
    <m/>
    <m/>
    <m/>
    <m/>
    <m/>
    <m/>
    <m/>
    <n v="4"/>
    <m/>
    <m/>
    <n v="3"/>
    <m/>
    <m/>
    <m/>
    <m/>
    <m/>
    <m/>
    <s v="no test"/>
    <s v="no test"/>
    <x v="1"/>
    <n v="0"/>
    <n v="0"/>
    <n v="3"/>
    <n v="0"/>
    <n v="0"/>
    <n v="0.2364066193853428"/>
    <n v="0.2364066193853428"/>
    <n v="0.2364066193853428"/>
    <n v="200"/>
    <n v="0"/>
    <n v="0"/>
    <n v="0.2364066193853428"/>
    <n v="200"/>
    <n v="0.4"/>
    <n v="0.7635933806146572"/>
    <n v="646"/>
    <n v="1.6"/>
    <n v="2"/>
    <n v="150"/>
    <n v="1"/>
    <n v="846"/>
    <n v="0"/>
    <n v="0"/>
    <n v="141"/>
    <n v="0"/>
    <n v="0"/>
    <n v="0"/>
    <n v="846"/>
    <n v="0"/>
    <n v="0"/>
    <n v="0"/>
    <n v="846"/>
    <n v="1"/>
    <n v="0"/>
    <n v="1"/>
    <n v="0"/>
    <n v="0"/>
    <n v="0"/>
    <n v="0"/>
    <n v="0"/>
    <n v="0"/>
    <x v="0"/>
    <s v="Yes"/>
    <s v="KBC-MYT"/>
    <x v="1"/>
    <x v="0"/>
    <x v="1"/>
    <n v="24.831944"/>
    <n v="97.751389000000003"/>
    <s v="MMR001CMP120"/>
    <x v="0"/>
    <m/>
  </r>
  <r>
    <x v="0"/>
    <x v="4"/>
    <x v="4"/>
    <s v="MHF"/>
    <x v="0"/>
    <x v="4"/>
    <x v="1"/>
    <x v="118"/>
    <n v="228"/>
    <n v="1015"/>
    <m/>
    <d v="2019-10-30T00:00:00"/>
    <m/>
    <m/>
    <m/>
    <m/>
    <m/>
    <m/>
    <m/>
    <n v="13"/>
    <m/>
    <m/>
    <n v="1"/>
    <m/>
    <m/>
    <m/>
    <m/>
    <m/>
    <m/>
    <m/>
    <m/>
    <m/>
    <m/>
    <n v="0"/>
    <m/>
    <m/>
    <m/>
    <m/>
    <m/>
    <m/>
    <m/>
    <n v="16"/>
    <m/>
    <m/>
    <m/>
    <m/>
    <m/>
    <m/>
    <n v="16"/>
    <x v="0"/>
    <x v="4"/>
    <m/>
    <m/>
    <m/>
    <m/>
    <m/>
    <m/>
    <m/>
    <n v="0"/>
    <m/>
    <m/>
    <n v="0"/>
    <m/>
    <m/>
    <m/>
    <m/>
    <m/>
    <m/>
    <s v="no test"/>
    <s v="no test"/>
    <x v="1"/>
    <n v="13"/>
    <n v="1"/>
    <n v="0"/>
    <n v="0"/>
    <n v="0"/>
    <n v="1"/>
    <n v="1"/>
    <n v="1"/>
    <n v="1015"/>
    <n v="0"/>
    <n v="0"/>
    <n v="1"/>
    <n v="1015"/>
    <n v="2.0299999999999998"/>
    <n v="0"/>
    <n v="0"/>
    <n v="0"/>
    <n v="2"/>
    <n v="16"/>
    <n v="0.31527093596059114"/>
    <n v="320"/>
    <n v="0"/>
    <n v="0"/>
    <n v="51"/>
    <n v="35"/>
    <n v="0.68472906403940881"/>
    <n v="0"/>
    <n v="0"/>
    <n v="0"/>
    <n v="0"/>
    <n v="0"/>
    <n v="0"/>
    <n v="0"/>
    <n v="1"/>
    <n v="0"/>
    <n v="0"/>
    <n v="0"/>
    <n v="0"/>
    <n v="0"/>
    <n v="0"/>
    <n v="0"/>
    <x v="0"/>
    <n v="0"/>
    <n v="0"/>
    <x v="0"/>
    <x v="2"/>
    <x v="1"/>
    <n v="0"/>
    <n v="0"/>
    <s v="MMR001CMP273"/>
    <x v="0"/>
    <m/>
  </r>
  <r>
    <x v="0"/>
    <x v="4"/>
    <x v="4"/>
    <s v="Plan/GFFO,ADRA/CANADA  "/>
    <x v="0"/>
    <x v="2"/>
    <x v="1"/>
    <x v="119"/>
    <n v="60"/>
    <n v="307"/>
    <d v="2019-04-01T00:00:00"/>
    <d v="2019-07-31T00:00:00"/>
    <m/>
    <m/>
    <m/>
    <m/>
    <s v="Yes"/>
    <m/>
    <m/>
    <n v="1"/>
    <m/>
    <m/>
    <n v="0"/>
    <m/>
    <m/>
    <m/>
    <m/>
    <m/>
    <m/>
    <m/>
    <m/>
    <m/>
    <m/>
    <n v="1"/>
    <m/>
    <m/>
    <m/>
    <m/>
    <m/>
    <m/>
    <m/>
    <n v="10"/>
    <m/>
    <m/>
    <m/>
    <m/>
    <m/>
    <m/>
    <n v="10"/>
    <x v="0"/>
    <x v="0"/>
    <m/>
    <m/>
    <m/>
    <m/>
    <m/>
    <m/>
    <m/>
    <n v="2"/>
    <m/>
    <m/>
    <n v="1"/>
    <m/>
    <m/>
    <m/>
    <m/>
    <m/>
    <m/>
    <s v="no test"/>
    <s v="no test"/>
    <x v="1"/>
    <n v="1"/>
    <n v="0"/>
    <n v="0"/>
    <n v="0"/>
    <n v="0"/>
    <n v="1"/>
    <n v="0.81433224755700329"/>
    <n v="1"/>
    <n v="307"/>
    <n v="0"/>
    <n v="0"/>
    <n v="1"/>
    <n v="307"/>
    <n v="0.61399999999999999"/>
    <n v="0"/>
    <n v="0"/>
    <n v="0.38600000000000001"/>
    <n v="1"/>
    <n v="10"/>
    <n v="0.65146579804560256"/>
    <n v="200"/>
    <n v="0"/>
    <n v="0"/>
    <n v="15"/>
    <n v="5"/>
    <n v="0.34853420195439744"/>
    <n v="0"/>
    <n v="307"/>
    <n v="0"/>
    <n v="0"/>
    <n v="0"/>
    <n v="307"/>
    <n v="1"/>
    <n v="0"/>
    <n v="1"/>
    <n v="0"/>
    <n v="0"/>
    <n v="0"/>
    <n v="0"/>
    <n v="0"/>
    <n v="0"/>
    <x v="0"/>
    <s v="Yes"/>
    <s v="KBC-MYT"/>
    <x v="0"/>
    <x v="0"/>
    <x v="0"/>
    <n v="25.351724999999998"/>
    <n v="97.438432380952406"/>
    <s v="MMR001CMP025"/>
    <x v="0"/>
    <m/>
  </r>
  <r>
    <x v="0"/>
    <x v="2"/>
    <x v="2"/>
    <m/>
    <x v="0"/>
    <x v="10"/>
    <x v="1"/>
    <x v="120"/>
    <n v="10"/>
    <n v="56"/>
    <m/>
    <m/>
    <m/>
    <m/>
    <m/>
    <m/>
    <m/>
    <m/>
    <m/>
    <m/>
    <m/>
    <m/>
    <m/>
    <m/>
    <m/>
    <m/>
    <m/>
    <m/>
    <m/>
    <m/>
    <m/>
    <m/>
    <m/>
    <m/>
    <m/>
    <m/>
    <m/>
    <m/>
    <m/>
    <m/>
    <m/>
    <m/>
    <m/>
    <m/>
    <m/>
    <m/>
    <m/>
    <m/>
    <m/>
    <x v="1"/>
    <x v="1"/>
    <m/>
    <m/>
    <m/>
    <m/>
    <m/>
    <m/>
    <m/>
    <m/>
    <m/>
    <m/>
    <m/>
    <m/>
    <m/>
    <m/>
    <m/>
    <m/>
    <m/>
    <s v="no test"/>
    <s v="no test"/>
    <x v="1"/>
    <n v="0"/>
    <n v="0"/>
    <n v="0"/>
    <n v="0"/>
    <n v="0"/>
    <n v="0"/>
    <n v="0"/>
    <n v="0"/>
    <n v="0"/>
    <n v="0"/>
    <n v="0"/>
    <n v="0"/>
    <n v="0"/>
    <n v="0"/>
    <n v="1"/>
    <n v="56"/>
    <n v="1"/>
    <n v="1"/>
    <n v="0"/>
    <n v="0"/>
    <n v="0"/>
    <n v="0"/>
    <n v="0"/>
    <n v="3"/>
    <n v="3"/>
    <n v="1"/>
    <n v="0"/>
    <n v="0"/>
    <n v="0"/>
    <n v="0"/>
    <n v="0"/>
    <n v="0"/>
    <n v="0"/>
    <n v="1"/>
    <n v="0"/>
    <n v="0"/>
    <n v="0"/>
    <n v="0"/>
    <n v="0"/>
    <n v="0"/>
    <n v="0"/>
    <x v="0"/>
    <n v="0"/>
    <s v="uncovered"/>
    <x v="0"/>
    <x v="1"/>
    <x v="0"/>
    <n v="27.248964999999998"/>
    <n v="97.561105999999995"/>
    <s v="MMR001CMP227"/>
    <x v="1"/>
    <m/>
  </r>
  <r>
    <x v="0"/>
    <x v="4"/>
    <x v="4"/>
    <s v="ADRA/CANADA"/>
    <x v="0"/>
    <x v="11"/>
    <x v="1"/>
    <x v="121"/>
    <n v="63"/>
    <n v="325"/>
    <d v="2019-04-01T00:00:00"/>
    <d v="2019-07-31T00:00:00"/>
    <m/>
    <m/>
    <m/>
    <n v="30"/>
    <s v="Yes"/>
    <m/>
    <m/>
    <n v="0"/>
    <m/>
    <m/>
    <n v="0"/>
    <m/>
    <m/>
    <m/>
    <n v="1"/>
    <n v="1"/>
    <m/>
    <m/>
    <m/>
    <m/>
    <m/>
    <n v="0"/>
    <m/>
    <m/>
    <m/>
    <m/>
    <m/>
    <m/>
    <m/>
    <n v="65"/>
    <m/>
    <m/>
    <m/>
    <m/>
    <m/>
    <m/>
    <n v="65"/>
    <x v="0"/>
    <x v="0"/>
    <m/>
    <m/>
    <m/>
    <m/>
    <m/>
    <m/>
    <m/>
    <n v="0"/>
    <m/>
    <m/>
    <n v="2"/>
    <m/>
    <m/>
    <m/>
    <m/>
    <m/>
    <m/>
    <s v="no test"/>
    <s v="no test"/>
    <x v="1"/>
    <n v="0"/>
    <n v="0"/>
    <n v="0"/>
    <n v="0"/>
    <n v="0"/>
    <n v="0"/>
    <n v="0"/>
    <n v="0"/>
    <n v="0"/>
    <n v="0"/>
    <n v="0"/>
    <n v="0"/>
    <n v="0"/>
    <n v="0"/>
    <n v="1"/>
    <n v="325"/>
    <n v="1"/>
    <n v="1"/>
    <n v="65"/>
    <n v="1"/>
    <n v="325"/>
    <n v="0"/>
    <n v="0"/>
    <n v="16"/>
    <n v="0"/>
    <n v="0"/>
    <n v="0"/>
    <n v="325"/>
    <n v="0"/>
    <n v="0"/>
    <n v="0"/>
    <n v="325"/>
    <n v="1"/>
    <n v="0"/>
    <n v="1"/>
    <n v="0"/>
    <n v="0"/>
    <n v="0"/>
    <n v="0"/>
    <n v="0"/>
    <n v="0"/>
    <x v="0"/>
    <s v="Yes"/>
    <s v="KBC-MYT"/>
    <x v="0"/>
    <x v="0"/>
    <x v="1"/>
    <n v="26.548506"/>
    <n v="97.75609"/>
    <s v="MMR001CMP239"/>
    <x v="0"/>
    <m/>
  </r>
  <r>
    <x v="0"/>
    <x v="2"/>
    <x v="2"/>
    <m/>
    <x v="0"/>
    <x v="10"/>
    <x v="1"/>
    <x v="122"/>
    <n v="14"/>
    <n v="75"/>
    <m/>
    <m/>
    <m/>
    <m/>
    <m/>
    <m/>
    <m/>
    <m/>
    <m/>
    <m/>
    <m/>
    <m/>
    <m/>
    <m/>
    <m/>
    <m/>
    <m/>
    <m/>
    <m/>
    <m/>
    <m/>
    <m/>
    <m/>
    <m/>
    <m/>
    <m/>
    <m/>
    <m/>
    <m/>
    <m/>
    <m/>
    <m/>
    <m/>
    <m/>
    <m/>
    <m/>
    <m/>
    <m/>
    <m/>
    <x v="1"/>
    <x v="1"/>
    <m/>
    <m/>
    <m/>
    <m/>
    <m/>
    <m/>
    <m/>
    <m/>
    <m/>
    <m/>
    <m/>
    <m/>
    <m/>
    <m/>
    <m/>
    <m/>
    <m/>
    <s v="no test"/>
    <s v="no test"/>
    <x v="1"/>
    <n v="0"/>
    <n v="0"/>
    <n v="0"/>
    <n v="0"/>
    <n v="0"/>
    <n v="0"/>
    <n v="0"/>
    <n v="0"/>
    <n v="0"/>
    <n v="0"/>
    <n v="0"/>
    <n v="0"/>
    <n v="0"/>
    <n v="0"/>
    <n v="1"/>
    <n v="75"/>
    <n v="1"/>
    <n v="1"/>
    <n v="0"/>
    <n v="0"/>
    <n v="0"/>
    <n v="0"/>
    <n v="0"/>
    <n v="4"/>
    <n v="4"/>
    <n v="1"/>
    <n v="0"/>
    <n v="0"/>
    <n v="0"/>
    <n v="0"/>
    <n v="0"/>
    <n v="0"/>
    <n v="0"/>
    <n v="1"/>
    <n v="0"/>
    <n v="0"/>
    <n v="0"/>
    <n v="0"/>
    <n v="0"/>
    <n v="0"/>
    <n v="0"/>
    <x v="0"/>
    <n v="0"/>
    <s v="uncovered"/>
    <x v="0"/>
    <x v="1"/>
    <x v="0"/>
    <n v="27.311699999999998"/>
    <n v="97.415289999999999"/>
    <s v="MMR001CMP075"/>
    <x v="1"/>
    <m/>
  </r>
  <r>
    <x v="0"/>
    <x v="4"/>
    <x v="4"/>
    <s v="ADRA/CANADA"/>
    <x v="0"/>
    <x v="7"/>
    <x v="1"/>
    <x v="123"/>
    <n v="28"/>
    <n v="136"/>
    <d v="2019-04-01T00:00:00"/>
    <d v="2019-07-31T00:00:00"/>
    <m/>
    <m/>
    <m/>
    <m/>
    <s v="Yes"/>
    <m/>
    <m/>
    <n v="1"/>
    <m/>
    <m/>
    <n v="1"/>
    <m/>
    <m/>
    <m/>
    <m/>
    <m/>
    <m/>
    <m/>
    <m/>
    <m/>
    <m/>
    <n v="3"/>
    <m/>
    <m/>
    <m/>
    <m/>
    <m/>
    <m/>
    <m/>
    <n v="12"/>
    <m/>
    <m/>
    <m/>
    <m/>
    <m/>
    <m/>
    <n v="12"/>
    <x v="0"/>
    <x v="3"/>
    <m/>
    <m/>
    <m/>
    <m/>
    <m/>
    <m/>
    <m/>
    <n v="2"/>
    <m/>
    <m/>
    <n v="1"/>
    <m/>
    <m/>
    <m/>
    <m/>
    <m/>
    <m/>
    <s v="no test"/>
    <s v="no test"/>
    <x v="1"/>
    <n v="1"/>
    <n v="1"/>
    <n v="0"/>
    <n v="0"/>
    <n v="0"/>
    <n v="1"/>
    <n v="1"/>
    <n v="1"/>
    <n v="136"/>
    <n v="0"/>
    <n v="0"/>
    <n v="1"/>
    <n v="136"/>
    <n v="0.27200000000000002"/>
    <n v="0"/>
    <n v="0"/>
    <n v="0.72799999999999998"/>
    <n v="1"/>
    <n v="12"/>
    <n v="1"/>
    <n v="136"/>
    <n v="0"/>
    <n v="0"/>
    <n v="7"/>
    <n v="0"/>
    <n v="0"/>
    <n v="0"/>
    <n v="136"/>
    <n v="0"/>
    <n v="0"/>
    <n v="0"/>
    <n v="136"/>
    <n v="1"/>
    <n v="0"/>
    <n v="1"/>
    <n v="0"/>
    <n v="0"/>
    <n v="0"/>
    <n v="0"/>
    <n v="0"/>
    <n v="0"/>
    <x v="0"/>
    <s v="Yes"/>
    <s v="KBC"/>
    <x v="0"/>
    <x v="0"/>
    <x v="0"/>
    <n v="25.225000000000001"/>
    <n v="96.793999999999997"/>
    <s v="MMR001CMP236"/>
    <x v="0"/>
    <m/>
  </r>
  <r>
    <x v="0"/>
    <x v="4"/>
    <x v="4"/>
    <s v="Plan/GFFO,ADRA/CANADA  "/>
    <x v="0"/>
    <x v="2"/>
    <x v="1"/>
    <x v="124"/>
    <n v="391"/>
    <n v="1775"/>
    <d v="2019-04-01T00:00:00"/>
    <d v="2019-07-31T00:00:00"/>
    <m/>
    <m/>
    <m/>
    <m/>
    <s v="Yes"/>
    <m/>
    <m/>
    <n v="0"/>
    <m/>
    <m/>
    <n v="0"/>
    <m/>
    <m/>
    <m/>
    <n v="4"/>
    <m/>
    <m/>
    <m/>
    <m/>
    <m/>
    <m/>
    <n v="0"/>
    <m/>
    <m/>
    <m/>
    <m/>
    <m/>
    <m/>
    <m/>
    <n v="391"/>
    <m/>
    <m/>
    <m/>
    <m/>
    <m/>
    <m/>
    <n v="413"/>
    <x v="0"/>
    <x v="0"/>
    <m/>
    <m/>
    <m/>
    <m/>
    <m/>
    <m/>
    <m/>
    <n v="9"/>
    <m/>
    <m/>
    <n v="5"/>
    <m/>
    <m/>
    <m/>
    <m/>
    <m/>
    <m/>
    <s v="no test"/>
    <s v="no test"/>
    <x v="1"/>
    <n v="0"/>
    <n v="0"/>
    <n v="4"/>
    <n v="0"/>
    <n v="0"/>
    <n v="0.15023474178403756"/>
    <n v="0.15023474178403756"/>
    <n v="0.15023474178403756"/>
    <n v="266.66666666666669"/>
    <n v="0"/>
    <n v="0"/>
    <n v="0.15023474178403756"/>
    <n v="266.66666666666669"/>
    <n v="0.53333333333333333"/>
    <n v="0.84976525821596249"/>
    <n v="1508.3333333333335"/>
    <n v="3.4666666666666668"/>
    <n v="4"/>
    <n v="391"/>
    <n v="1"/>
    <n v="1775"/>
    <n v="0"/>
    <n v="0"/>
    <n v="89"/>
    <n v="0"/>
    <n v="0"/>
    <n v="0"/>
    <n v="1775"/>
    <n v="0"/>
    <n v="0"/>
    <n v="0"/>
    <n v="1775"/>
    <n v="1"/>
    <n v="0"/>
    <n v="1"/>
    <n v="0"/>
    <n v="0"/>
    <n v="0"/>
    <n v="0"/>
    <n v="0"/>
    <n v="0"/>
    <x v="0"/>
    <s v="Yes"/>
    <s v="KBC-MYT"/>
    <x v="0"/>
    <x v="0"/>
    <x v="1"/>
    <n v="0"/>
    <n v="0"/>
    <s v="MMR001CMP249"/>
    <x v="0"/>
    <m/>
  </r>
  <r>
    <x v="0"/>
    <x v="1"/>
    <x v="1"/>
    <s v="WHH-AA / USAID"/>
    <x v="0"/>
    <x v="4"/>
    <x v="1"/>
    <x v="125"/>
    <n v="45"/>
    <n v="259"/>
    <d v="2019-01-01T00:00:00"/>
    <d v="2019-12-31T00:00:00"/>
    <m/>
    <m/>
    <m/>
    <m/>
    <s v="Yes"/>
    <n v="1"/>
    <n v="2"/>
    <m/>
    <m/>
    <m/>
    <m/>
    <n v="2"/>
    <m/>
    <m/>
    <m/>
    <m/>
    <m/>
    <m/>
    <m/>
    <m/>
    <m/>
    <m/>
    <m/>
    <m/>
    <m/>
    <m/>
    <m/>
    <m/>
    <m/>
    <n v="13"/>
    <m/>
    <m/>
    <n v="4"/>
    <m/>
    <m/>
    <m/>
    <m/>
    <x v="0"/>
    <x v="0"/>
    <m/>
    <m/>
    <m/>
    <m/>
    <n v="4"/>
    <m/>
    <m/>
    <n v="3"/>
    <m/>
    <m/>
    <m/>
    <m/>
    <m/>
    <m/>
    <m/>
    <m/>
    <m/>
    <s v="no test"/>
    <s v="no test"/>
    <x v="1"/>
    <n v="0"/>
    <n v="2"/>
    <n v="0"/>
    <n v="0"/>
    <n v="0"/>
    <n v="1"/>
    <n v="1"/>
    <n v="1"/>
    <n v="259"/>
    <n v="0"/>
    <n v="0"/>
    <n v="1"/>
    <n v="259"/>
    <n v="0.51800000000000002"/>
    <n v="0"/>
    <n v="0"/>
    <n v="0.48199999999999998"/>
    <n v="1"/>
    <n v="9"/>
    <n v="0.69498069498069504"/>
    <n v="180"/>
    <n v="0"/>
    <n v="0"/>
    <n v="13"/>
    <n v="0"/>
    <n v="0.30501930501930496"/>
    <n v="0.30769230769230771"/>
    <n v="0"/>
    <n v="0"/>
    <n v="0"/>
    <n v="0"/>
    <n v="0"/>
    <n v="0"/>
    <n v="1"/>
    <n v="0"/>
    <n v="0"/>
    <n v="0"/>
    <n v="4"/>
    <n v="45"/>
    <n v="0"/>
    <n v="259"/>
    <x v="0"/>
    <s v="Yes"/>
    <s v="KBC-BMO"/>
    <x v="0"/>
    <x v="0"/>
    <x v="0"/>
    <n v="24.200361000000001"/>
    <n v="96.807353000000006"/>
    <s v="MMR001CMP067"/>
    <x v="0"/>
    <m/>
  </r>
  <r>
    <x v="0"/>
    <x v="1"/>
    <x v="1"/>
    <s v="WHH-AA / USAID"/>
    <x v="0"/>
    <x v="4"/>
    <x v="1"/>
    <x v="126"/>
    <n v="33"/>
    <n v="169"/>
    <d v="2019-01-01T00:00:00"/>
    <d v="2019-12-31T00:00:00"/>
    <m/>
    <m/>
    <m/>
    <m/>
    <s v="Yes"/>
    <n v="1"/>
    <n v="1"/>
    <m/>
    <m/>
    <m/>
    <m/>
    <n v="1"/>
    <m/>
    <m/>
    <m/>
    <m/>
    <m/>
    <m/>
    <m/>
    <m/>
    <m/>
    <m/>
    <m/>
    <m/>
    <m/>
    <m/>
    <m/>
    <m/>
    <m/>
    <n v="9"/>
    <m/>
    <m/>
    <m/>
    <m/>
    <m/>
    <m/>
    <m/>
    <x v="0"/>
    <x v="0"/>
    <m/>
    <m/>
    <m/>
    <m/>
    <n v="0"/>
    <m/>
    <m/>
    <n v="2"/>
    <m/>
    <m/>
    <m/>
    <m/>
    <m/>
    <m/>
    <m/>
    <m/>
    <m/>
    <s v="no test"/>
    <s v="no test"/>
    <x v="1"/>
    <n v="0"/>
    <n v="1"/>
    <n v="0"/>
    <n v="0"/>
    <n v="0"/>
    <n v="1"/>
    <n v="1"/>
    <n v="1"/>
    <n v="169"/>
    <n v="0"/>
    <n v="0"/>
    <n v="1"/>
    <n v="169"/>
    <n v="0.33800000000000002"/>
    <n v="0"/>
    <n v="0"/>
    <n v="0.66199999999999992"/>
    <n v="1"/>
    <n v="9"/>
    <n v="1"/>
    <n v="169"/>
    <n v="0"/>
    <n v="0"/>
    <n v="8"/>
    <n v="0"/>
    <n v="0"/>
    <n v="0"/>
    <n v="0"/>
    <n v="0"/>
    <n v="0"/>
    <n v="0"/>
    <n v="0"/>
    <n v="0"/>
    <n v="1"/>
    <n v="0"/>
    <n v="0"/>
    <n v="0"/>
    <n v="0"/>
    <n v="0"/>
    <n v="0"/>
    <n v="0"/>
    <x v="0"/>
    <s v="Yes"/>
    <s v="KMSS-BMO"/>
    <x v="0"/>
    <x v="0"/>
    <x v="0"/>
    <n v="24.200367"/>
    <n v="96.807353000000006"/>
    <s v="MMR001CMP068"/>
    <x v="0"/>
    <m/>
  </r>
  <r>
    <x v="0"/>
    <x v="4"/>
    <x v="4"/>
    <s v="ADRA/CANADA"/>
    <x v="0"/>
    <x v="6"/>
    <x v="1"/>
    <x v="127"/>
    <n v="28"/>
    <n v="103"/>
    <d v="2019-04-01T00:00:00"/>
    <d v="2019-07-31T00:00:00"/>
    <m/>
    <m/>
    <m/>
    <m/>
    <s v="Yes"/>
    <m/>
    <m/>
    <n v="1"/>
    <m/>
    <m/>
    <n v="1"/>
    <m/>
    <m/>
    <m/>
    <m/>
    <m/>
    <m/>
    <m/>
    <m/>
    <m/>
    <m/>
    <n v="0"/>
    <m/>
    <m/>
    <m/>
    <m/>
    <m/>
    <m/>
    <m/>
    <n v="8"/>
    <m/>
    <m/>
    <m/>
    <m/>
    <m/>
    <m/>
    <n v="8"/>
    <x v="0"/>
    <x v="3"/>
    <m/>
    <m/>
    <m/>
    <m/>
    <m/>
    <m/>
    <m/>
    <n v="2"/>
    <m/>
    <m/>
    <n v="1"/>
    <m/>
    <m/>
    <m/>
    <m/>
    <m/>
    <m/>
    <s v="no test"/>
    <s v="no test"/>
    <x v="1"/>
    <n v="1"/>
    <n v="1"/>
    <n v="0"/>
    <n v="0"/>
    <n v="0"/>
    <n v="1"/>
    <n v="1"/>
    <n v="1"/>
    <n v="103"/>
    <n v="0"/>
    <n v="0"/>
    <n v="1"/>
    <n v="103"/>
    <n v="0.20599999999999999"/>
    <n v="0"/>
    <n v="0"/>
    <n v="0.79400000000000004"/>
    <n v="1"/>
    <n v="8"/>
    <n v="1"/>
    <n v="103"/>
    <n v="0"/>
    <n v="0"/>
    <n v="5"/>
    <n v="0"/>
    <n v="0"/>
    <n v="0"/>
    <n v="103"/>
    <n v="0"/>
    <n v="0"/>
    <n v="0"/>
    <n v="103"/>
    <n v="1"/>
    <n v="0"/>
    <n v="1"/>
    <n v="0"/>
    <n v="0"/>
    <n v="0"/>
    <n v="0"/>
    <n v="0"/>
    <n v="0"/>
    <x v="0"/>
    <s v="Yes"/>
    <s v="KBC"/>
    <x v="0"/>
    <x v="0"/>
    <x v="0"/>
    <n v="25.920006000000001"/>
    <n v="96.662092000000001"/>
    <s v="MMR001CMP244"/>
    <x v="0"/>
    <m/>
  </r>
  <r>
    <x v="0"/>
    <x v="4"/>
    <x v="4"/>
    <s v="ADRA/CANADA"/>
    <x v="0"/>
    <x v="6"/>
    <x v="0"/>
    <x v="128"/>
    <n v="18"/>
    <n v="80"/>
    <d v="2019-04-01T00:00:00"/>
    <d v="2019-07-31T00:00:00"/>
    <m/>
    <m/>
    <m/>
    <m/>
    <s v="Yes"/>
    <m/>
    <m/>
    <n v="2"/>
    <m/>
    <m/>
    <m/>
    <m/>
    <m/>
    <m/>
    <m/>
    <m/>
    <m/>
    <m/>
    <m/>
    <m/>
    <m/>
    <n v="0"/>
    <m/>
    <m/>
    <m/>
    <m/>
    <m/>
    <m/>
    <m/>
    <n v="4"/>
    <m/>
    <m/>
    <m/>
    <m/>
    <m/>
    <m/>
    <n v="4"/>
    <x v="0"/>
    <x v="0"/>
    <m/>
    <m/>
    <m/>
    <m/>
    <m/>
    <m/>
    <m/>
    <n v="1"/>
    <m/>
    <m/>
    <n v="1"/>
    <m/>
    <m/>
    <m/>
    <m/>
    <m/>
    <m/>
    <s v="no test"/>
    <s v="no test"/>
    <x v="1"/>
    <n v="2"/>
    <n v="0"/>
    <n v="0"/>
    <n v="0"/>
    <n v="0"/>
    <n v="1"/>
    <n v="1"/>
    <n v="1"/>
    <n v="80"/>
    <n v="0"/>
    <n v="0"/>
    <n v="1"/>
    <n v="80"/>
    <n v="0.16"/>
    <n v="0"/>
    <n v="0"/>
    <n v="0.84"/>
    <n v="1"/>
    <n v="4"/>
    <n v="1"/>
    <n v="80"/>
    <n v="0"/>
    <n v="0"/>
    <n v="4"/>
    <n v="0"/>
    <n v="0"/>
    <n v="0"/>
    <n v="80"/>
    <n v="0"/>
    <n v="0"/>
    <n v="0"/>
    <n v="80"/>
    <n v="1"/>
    <n v="0"/>
    <n v="1"/>
    <n v="0"/>
    <n v="0"/>
    <n v="0"/>
    <n v="0"/>
    <n v="0"/>
    <n v="0"/>
    <x v="0"/>
    <n v="0"/>
    <n v="0"/>
    <x v="0"/>
    <x v="0"/>
    <x v="0"/>
    <n v="0"/>
    <n v="0"/>
    <n v="0"/>
    <x v="0"/>
    <m/>
  </r>
  <r>
    <x v="0"/>
    <x v="4"/>
    <x v="4"/>
    <s v="Plan/GFFO,ADRA/CANADA  "/>
    <x v="0"/>
    <x v="3"/>
    <x v="1"/>
    <x v="129"/>
    <n v="107"/>
    <n v="534"/>
    <d v="2019-04-01T00:00:00"/>
    <d v="2019-07-31T00:00:00"/>
    <m/>
    <m/>
    <m/>
    <m/>
    <s v="Yes"/>
    <m/>
    <m/>
    <n v="1"/>
    <m/>
    <m/>
    <n v="1"/>
    <m/>
    <m/>
    <m/>
    <m/>
    <m/>
    <m/>
    <m/>
    <m/>
    <m/>
    <m/>
    <n v="2"/>
    <m/>
    <m/>
    <m/>
    <m/>
    <m/>
    <m/>
    <m/>
    <n v="13"/>
    <m/>
    <m/>
    <m/>
    <m/>
    <n v="14"/>
    <m/>
    <n v="13"/>
    <x v="0"/>
    <x v="0"/>
    <m/>
    <m/>
    <m/>
    <m/>
    <m/>
    <m/>
    <m/>
    <n v="2"/>
    <m/>
    <m/>
    <n v="2"/>
    <m/>
    <m/>
    <m/>
    <m/>
    <m/>
    <m/>
    <s v="no test"/>
    <s v="no test"/>
    <x v="1"/>
    <n v="1"/>
    <n v="1"/>
    <n v="0"/>
    <n v="0"/>
    <n v="0"/>
    <n v="1"/>
    <n v="0.93632958801498123"/>
    <n v="1"/>
    <n v="534"/>
    <n v="0"/>
    <n v="0"/>
    <n v="1"/>
    <n v="534"/>
    <n v="1.0680000000000001"/>
    <n v="0"/>
    <n v="0"/>
    <n v="0"/>
    <n v="1"/>
    <n v="13"/>
    <n v="0.48689138576779029"/>
    <n v="260"/>
    <n v="280"/>
    <n v="0"/>
    <n v="27"/>
    <n v="14"/>
    <n v="0.51310861423220966"/>
    <n v="0"/>
    <n v="534"/>
    <n v="0"/>
    <n v="0"/>
    <n v="0"/>
    <n v="534"/>
    <n v="1"/>
    <n v="0"/>
    <n v="1"/>
    <n v="0"/>
    <n v="0"/>
    <n v="0"/>
    <n v="0"/>
    <n v="0"/>
    <n v="0"/>
    <x v="0"/>
    <s v="Yes"/>
    <s v="KBC-MYT"/>
    <x v="0"/>
    <x v="0"/>
    <x v="0"/>
    <n v="25.412313000000001"/>
    <n v="97.399628000000007"/>
    <s v="MMR001CMP006"/>
    <x v="0"/>
    <m/>
  </r>
  <r>
    <x v="0"/>
    <x v="2"/>
    <x v="2"/>
    <m/>
    <x v="0"/>
    <x v="11"/>
    <x v="1"/>
    <x v="130"/>
    <n v="29"/>
    <n v="140"/>
    <m/>
    <m/>
    <m/>
    <m/>
    <m/>
    <m/>
    <m/>
    <m/>
    <m/>
    <m/>
    <m/>
    <m/>
    <m/>
    <m/>
    <m/>
    <m/>
    <m/>
    <m/>
    <m/>
    <m/>
    <m/>
    <m/>
    <m/>
    <m/>
    <m/>
    <m/>
    <m/>
    <m/>
    <m/>
    <m/>
    <m/>
    <m/>
    <m/>
    <m/>
    <m/>
    <m/>
    <m/>
    <m/>
    <m/>
    <x v="1"/>
    <x v="1"/>
    <m/>
    <m/>
    <m/>
    <m/>
    <m/>
    <m/>
    <m/>
    <m/>
    <m/>
    <m/>
    <m/>
    <m/>
    <m/>
    <m/>
    <m/>
    <m/>
    <m/>
    <s v="no test"/>
    <s v="no test"/>
    <x v="1"/>
    <n v="0"/>
    <n v="0"/>
    <n v="0"/>
    <n v="0"/>
    <n v="0"/>
    <n v="0"/>
    <n v="0"/>
    <n v="0"/>
    <n v="0"/>
    <n v="0"/>
    <n v="0"/>
    <n v="0"/>
    <n v="0"/>
    <n v="0"/>
    <n v="1"/>
    <n v="140"/>
    <n v="1"/>
    <n v="1"/>
    <n v="0"/>
    <n v="0"/>
    <n v="0"/>
    <n v="0"/>
    <n v="0"/>
    <n v="7"/>
    <n v="7"/>
    <n v="1"/>
    <n v="0"/>
    <n v="0"/>
    <n v="0"/>
    <n v="0"/>
    <n v="0"/>
    <n v="0"/>
    <n v="0"/>
    <n v="1"/>
    <n v="0"/>
    <n v="0"/>
    <n v="0"/>
    <n v="0"/>
    <n v="0"/>
    <n v="0"/>
    <n v="0"/>
    <x v="0"/>
    <n v="0"/>
    <s v="uncovered"/>
    <x v="0"/>
    <x v="2"/>
    <x v="0"/>
    <n v="25.415667500000001"/>
    <n v="97.437782499999997"/>
    <s v="MMR001CMP272"/>
    <x v="1"/>
    <m/>
  </r>
  <r>
    <x v="0"/>
    <x v="2"/>
    <x v="2"/>
    <m/>
    <x v="0"/>
    <x v="11"/>
    <x v="1"/>
    <x v="131"/>
    <n v="5"/>
    <n v="32"/>
    <m/>
    <m/>
    <m/>
    <m/>
    <m/>
    <m/>
    <m/>
    <m/>
    <m/>
    <m/>
    <m/>
    <m/>
    <m/>
    <m/>
    <m/>
    <m/>
    <m/>
    <m/>
    <m/>
    <m/>
    <m/>
    <m/>
    <m/>
    <m/>
    <m/>
    <m/>
    <m/>
    <m/>
    <m/>
    <m/>
    <m/>
    <m/>
    <m/>
    <m/>
    <m/>
    <m/>
    <m/>
    <m/>
    <m/>
    <x v="1"/>
    <x v="1"/>
    <m/>
    <m/>
    <m/>
    <m/>
    <m/>
    <m/>
    <m/>
    <m/>
    <m/>
    <m/>
    <m/>
    <m/>
    <m/>
    <m/>
    <m/>
    <m/>
    <m/>
    <s v="no test"/>
    <s v="no test"/>
    <x v="1"/>
    <n v="0"/>
    <n v="0"/>
    <n v="0"/>
    <n v="0"/>
    <n v="0"/>
    <n v="0"/>
    <n v="0"/>
    <n v="0"/>
    <n v="0"/>
    <n v="0"/>
    <n v="0"/>
    <n v="0"/>
    <n v="0"/>
    <n v="0"/>
    <n v="1"/>
    <n v="32"/>
    <n v="1"/>
    <n v="1"/>
    <n v="0"/>
    <n v="0"/>
    <n v="0"/>
    <n v="0"/>
    <n v="0"/>
    <n v="2"/>
    <n v="2"/>
    <n v="1"/>
    <n v="0"/>
    <n v="0"/>
    <n v="0"/>
    <n v="0"/>
    <n v="0"/>
    <n v="0"/>
    <n v="0"/>
    <n v="1"/>
    <n v="0"/>
    <n v="0"/>
    <n v="0"/>
    <n v="0"/>
    <n v="0"/>
    <n v="0"/>
    <n v="0"/>
    <x v="0"/>
    <n v="0"/>
    <s v="uncovered"/>
    <x v="0"/>
    <x v="2"/>
    <x v="0"/>
    <n v="26.541930000000001"/>
    <n v="97.568836000000005"/>
    <s v="MMR001CMP206"/>
    <x v="1"/>
    <m/>
  </r>
  <r>
    <x v="0"/>
    <x v="3"/>
    <x v="3"/>
    <s v="DFID(HARP)/UNICEF"/>
    <x v="0"/>
    <x v="5"/>
    <x v="1"/>
    <x v="132"/>
    <n v="31"/>
    <n v="173"/>
    <s v="1-Jan-2019 / 1-Dec-2018"/>
    <s v="31-3-2019 / 30-Nov-2019"/>
    <n v="66"/>
    <m/>
    <m/>
    <m/>
    <s v="Yes"/>
    <m/>
    <m/>
    <m/>
    <m/>
    <m/>
    <m/>
    <m/>
    <m/>
    <m/>
    <m/>
    <m/>
    <m/>
    <m/>
    <m/>
    <m/>
    <m/>
    <m/>
    <m/>
    <m/>
    <m/>
    <m/>
    <m/>
    <m/>
    <m/>
    <n v="10"/>
    <m/>
    <m/>
    <m/>
    <m/>
    <m/>
    <m/>
    <m/>
    <x v="0"/>
    <x v="0"/>
    <n v="2"/>
    <m/>
    <m/>
    <m/>
    <m/>
    <m/>
    <m/>
    <m/>
    <m/>
    <m/>
    <n v="1"/>
    <n v="25"/>
    <m/>
    <s v="No"/>
    <m/>
    <m/>
    <m/>
    <s v="no test"/>
    <s v="no test"/>
    <x v="1"/>
    <n v="0"/>
    <n v="0"/>
    <n v="0"/>
    <n v="0"/>
    <n v="0"/>
    <n v="0"/>
    <n v="0"/>
    <n v="0"/>
    <n v="0"/>
    <n v="0"/>
    <n v="0"/>
    <n v="0"/>
    <n v="0"/>
    <n v="0"/>
    <n v="1"/>
    <n v="173"/>
    <n v="1"/>
    <n v="1"/>
    <n v="10"/>
    <n v="1"/>
    <n v="173"/>
    <n v="0"/>
    <n v="0"/>
    <n v="9"/>
    <n v="0"/>
    <n v="0"/>
    <n v="0"/>
    <n v="173"/>
    <n v="125"/>
    <n v="0"/>
    <n v="125"/>
    <n v="173"/>
    <n v="1"/>
    <n v="0"/>
    <n v="1"/>
    <n v="0.80645161290322576"/>
    <n v="0"/>
    <n v="0"/>
    <n v="0"/>
    <n v="0"/>
    <n v="0"/>
    <x v="1"/>
    <s v="Yes"/>
    <s v="KMSS-MYT"/>
    <x v="0"/>
    <x v="0"/>
    <x v="0"/>
    <n v="25.645959999999999"/>
    <n v="98.356260000000006"/>
    <s v="MMR001CMP225"/>
    <x v="0"/>
    <m/>
  </r>
  <r>
    <x v="0"/>
    <x v="4"/>
    <x v="4"/>
    <s v="ADRA/CANADA"/>
    <x v="0"/>
    <x v="2"/>
    <x v="1"/>
    <x v="133"/>
    <n v="179"/>
    <n v="958"/>
    <d v="2019-04-01T00:00:00"/>
    <d v="2019-07-31T00:00:00"/>
    <m/>
    <m/>
    <m/>
    <m/>
    <s v="Yes"/>
    <m/>
    <m/>
    <n v="0"/>
    <m/>
    <m/>
    <n v="0"/>
    <m/>
    <m/>
    <m/>
    <n v="1"/>
    <n v="1"/>
    <m/>
    <m/>
    <m/>
    <m/>
    <m/>
    <n v="0"/>
    <m/>
    <m/>
    <m/>
    <m/>
    <m/>
    <m/>
    <m/>
    <n v="158"/>
    <m/>
    <m/>
    <m/>
    <m/>
    <m/>
    <m/>
    <n v="158"/>
    <x v="0"/>
    <x v="0"/>
    <m/>
    <m/>
    <m/>
    <m/>
    <m/>
    <m/>
    <m/>
    <n v="4"/>
    <m/>
    <m/>
    <n v="2"/>
    <m/>
    <m/>
    <m/>
    <m/>
    <m/>
    <m/>
    <s v="no test"/>
    <s v="no test"/>
    <x v="1"/>
    <n v="0"/>
    <n v="0"/>
    <n v="0"/>
    <n v="0"/>
    <n v="0"/>
    <n v="0"/>
    <n v="0"/>
    <n v="0"/>
    <n v="0"/>
    <n v="0"/>
    <n v="0"/>
    <n v="0"/>
    <n v="0"/>
    <n v="0"/>
    <n v="1"/>
    <n v="958"/>
    <n v="2"/>
    <n v="2"/>
    <n v="158"/>
    <n v="1"/>
    <n v="958"/>
    <n v="0"/>
    <n v="0"/>
    <n v="48"/>
    <n v="0"/>
    <n v="0"/>
    <n v="0"/>
    <n v="958"/>
    <n v="0"/>
    <n v="0"/>
    <n v="0"/>
    <n v="958"/>
    <n v="1"/>
    <n v="0"/>
    <n v="1"/>
    <n v="0"/>
    <n v="0"/>
    <n v="0"/>
    <n v="0"/>
    <n v="0"/>
    <n v="0"/>
    <x v="0"/>
    <s v="Yes"/>
    <s v="KBC-MYT"/>
    <x v="0"/>
    <x v="0"/>
    <x v="0"/>
    <n v="25.418084"/>
    <n v="98.025662999999994"/>
    <s v="MMR001CMP041"/>
    <x v="0"/>
    <m/>
  </r>
  <r>
    <x v="0"/>
    <x v="2"/>
    <x v="2"/>
    <m/>
    <x v="0"/>
    <x v="12"/>
    <x v="1"/>
    <x v="134"/>
    <n v="31"/>
    <n v="129"/>
    <m/>
    <m/>
    <m/>
    <m/>
    <m/>
    <m/>
    <m/>
    <m/>
    <m/>
    <m/>
    <m/>
    <m/>
    <m/>
    <m/>
    <m/>
    <m/>
    <m/>
    <m/>
    <m/>
    <m/>
    <m/>
    <m/>
    <m/>
    <m/>
    <m/>
    <m/>
    <m/>
    <m/>
    <m/>
    <m/>
    <m/>
    <m/>
    <m/>
    <m/>
    <m/>
    <m/>
    <m/>
    <m/>
    <m/>
    <x v="1"/>
    <x v="1"/>
    <m/>
    <m/>
    <m/>
    <m/>
    <m/>
    <m/>
    <m/>
    <m/>
    <m/>
    <m/>
    <m/>
    <m/>
    <m/>
    <m/>
    <m/>
    <m/>
    <m/>
    <s v="no test"/>
    <s v="no test"/>
    <x v="1"/>
    <n v="0"/>
    <n v="0"/>
    <n v="0"/>
    <n v="0"/>
    <n v="0"/>
    <n v="0"/>
    <n v="0"/>
    <n v="0"/>
    <n v="0"/>
    <n v="0"/>
    <n v="0"/>
    <n v="0"/>
    <n v="0"/>
    <n v="0"/>
    <n v="1"/>
    <n v="129"/>
    <n v="1"/>
    <n v="1"/>
    <n v="0"/>
    <n v="0"/>
    <n v="0"/>
    <n v="0"/>
    <n v="0"/>
    <n v="6"/>
    <n v="6"/>
    <n v="1"/>
    <n v="0"/>
    <n v="0"/>
    <n v="0"/>
    <n v="0"/>
    <n v="0"/>
    <n v="0"/>
    <n v="0"/>
    <n v="1"/>
    <n v="0"/>
    <n v="0"/>
    <n v="0"/>
    <n v="0"/>
    <n v="0"/>
    <n v="0"/>
    <n v="0"/>
    <x v="0"/>
    <s v="Yes"/>
    <s v="KMSS-MYT"/>
    <x v="0"/>
    <x v="0"/>
    <x v="0"/>
    <n v="0"/>
    <n v="0"/>
    <s v="MMR001CMP251"/>
    <x v="1"/>
    <m/>
  </r>
  <r>
    <x v="0"/>
    <x v="3"/>
    <x v="3"/>
    <s v="DFID/HARP"/>
    <x v="0"/>
    <x v="9"/>
    <x v="0"/>
    <x v="135"/>
    <n v="22"/>
    <n v="122"/>
    <m/>
    <d v="2019-04-30T00:00:00"/>
    <m/>
    <m/>
    <m/>
    <m/>
    <m/>
    <m/>
    <m/>
    <m/>
    <m/>
    <m/>
    <m/>
    <n v="1"/>
    <m/>
    <m/>
    <m/>
    <m/>
    <m/>
    <m/>
    <m/>
    <m/>
    <m/>
    <m/>
    <m/>
    <m/>
    <m/>
    <m/>
    <m/>
    <m/>
    <s v="Water shortage in summer and inadequate water "/>
    <n v="6"/>
    <m/>
    <m/>
    <m/>
    <m/>
    <m/>
    <m/>
    <m/>
    <x v="0"/>
    <x v="0"/>
    <m/>
    <m/>
    <m/>
    <m/>
    <n v="2"/>
    <m/>
    <m/>
    <n v="2"/>
    <n v="1"/>
    <m/>
    <n v="1"/>
    <n v="122"/>
    <m/>
    <m/>
    <m/>
    <m/>
    <s v="IDP received hygiene icentive items; body soap 6 pcs, laundry soap 30 pcs and detergant powder 15 pcs from HE Session, its about 3 months covered. "/>
    <s v="no test"/>
    <s v="no test"/>
    <x v="1"/>
    <n v="0"/>
    <n v="1"/>
    <n v="0"/>
    <n v="0"/>
    <n v="0"/>
    <n v="1"/>
    <n v="1"/>
    <n v="1"/>
    <n v="122"/>
    <n v="0"/>
    <n v="0"/>
    <n v="1"/>
    <n v="122"/>
    <n v="0.24399999999999999"/>
    <n v="0"/>
    <n v="0"/>
    <n v="0.75600000000000001"/>
    <n v="1"/>
    <n v="6"/>
    <n v="0.98360655737704916"/>
    <n v="120"/>
    <n v="0"/>
    <n v="0"/>
    <n v="6"/>
    <n v="0"/>
    <n v="1.6393442622950838E-2"/>
    <n v="0"/>
    <n v="122"/>
    <n v="122"/>
    <n v="0"/>
    <n v="122"/>
    <n v="122"/>
    <n v="1"/>
    <n v="0"/>
    <n v="1"/>
    <n v="1"/>
    <n v="0"/>
    <n v="2"/>
    <n v="22"/>
    <n v="0"/>
    <n v="122"/>
    <x v="0"/>
    <n v="0"/>
    <n v="0"/>
    <x v="0"/>
    <x v="0"/>
    <x v="0"/>
    <n v="0"/>
    <n v="0"/>
    <n v="0"/>
    <x v="0"/>
    <m/>
  </r>
  <r>
    <x v="0"/>
    <x v="2"/>
    <x v="2"/>
    <m/>
    <x v="0"/>
    <x v="2"/>
    <x v="1"/>
    <x v="136"/>
    <n v="62"/>
    <n v="410"/>
    <m/>
    <m/>
    <m/>
    <m/>
    <m/>
    <m/>
    <m/>
    <m/>
    <m/>
    <m/>
    <m/>
    <m/>
    <m/>
    <m/>
    <m/>
    <m/>
    <m/>
    <m/>
    <m/>
    <m/>
    <m/>
    <m/>
    <m/>
    <m/>
    <m/>
    <m/>
    <m/>
    <m/>
    <m/>
    <m/>
    <m/>
    <m/>
    <m/>
    <m/>
    <m/>
    <m/>
    <m/>
    <m/>
    <m/>
    <x v="1"/>
    <x v="1"/>
    <m/>
    <m/>
    <m/>
    <m/>
    <m/>
    <m/>
    <m/>
    <m/>
    <m/>
    <m/>
    <m/>
    <m/>
    <m/>
    <m/>
    <m/>
    <m/>
    <m/>
    <s v="no test"/>
    <s v="no test"/>
    <x v="1"/>
    <n v="0"/>
    <n v="0"/>
    <n v="0"/>
    <n v="0"/>
    <n v="0"/>
    <n v="0"/>
    <n v="0"/>
    <n v="0"/>
    <n v="0"/>
    <n v="0"/>
    <n v="0"/>
    <n v="0"/>
    <n v="0"/>
    <n v="0"/>
    <n v="1"/>
    <n v="410"/>
    <n v="1"/>
    <n v="1"/>
    <n v="0"/>
    <n v="0"/>
    <n v="0"/>
    <n v="0"/>
    <n v="0"/>
    <n v="21"/>
    <n v="21"/>
    <n v="1"/>
    <n v="0"/>
    <n v="0"/>
    <n v="0"/>
    <n v="0"/>
    <n v="0"/>
    <n v="0"/>
    <n v="0"/>
    <n v="1"/>
    <n v="0"/>
    <n v="0"/>
    <n v="0"/>
    <n v="0"/>
    <n v="0"/>
    <n v="0"/>
    <n v="0"/>
    <x v="0"/>
    <n v="0"/>
    <s v="uncovered"/>
    <x v="0"/>
    <x v="2"/>
    <x v="0"/>
    <n v="25.305008999999998"/>
    <n v="97.430321000000006"/>
    <s v="MMR001CMP248"/>
    <x v="1"/>
    <m/>
  </r>
  <r>
    <x v="0"/>
    <x v="5"/>
    <x v="5"/>
    <s v="DFID"/>
    <x v="0"/>
    <x v="2"/>
    <x v="1"/>
    <x v="137"/>
    <n v="92"/>
    <n v="448"/>
    <d v="2018-08-01T00:00:00"/>
    <d v="2020-07-31T00:00:00"/>
    <n v="0"/>
    <n v="1"/>
    <n v="0"/>
    <n v="0"/>
    <s v="Yes"/>
    <n v="4"/>
    <n v="4"/>
    <n v="2"/>
    <n v="0"/>
    <n v="0"/>
    <n v="3"/>
    <n v="3"/>
    <n v="1"/>
    <n v="1"/>
    <n v="0"/>
    <n v="0"/>
    <n v="0"/>
    <n v="0"/>
    <n v="0"/>
    <n v="0"/>
    <n v="0"/>
    <n v="2"/>
    <m/>
    <m/>
    <m/>
    <m/>
    <n v="0"/>
    <n v="0"/>
    <m/>
    <n v="16"/>
    <n v="6"/>
    <s v="Unicef &amp; World vision"/>
    <n v="2"/>
    <n v="0"/>
    <n v="7"/>
    <m/>
    <n v="0"/>
    <x v="0"/>
    <x v="0"/>
    <n v="2"/>
    <n v="2"/>
    <n v="0"/>
    <m/>
    <n v="0"/>
    <n v="0"/>
    <n v="0"/>
    <n v="0"/>
    <n v="0"/>
    <n v="0"/>
    <n v="0"/>
    <n v="0"/>
    <n v="0"/>
    <s v="No"/>
    <n v="0"/>
    <n v="0"/>
    <m/>
    <s v="no test"/>
    <s v="no test"/>
    <x v="1"/>
    <n v="2"/>
    <n v="5"/>
    <n v="0"/>
    <n v="0"/>
    <n v="0"/>
    <n v="1"/>
    <n v="1"/>
    <n v="1"/>
    <n v="448"/>
    <n v="0"/>
    <n v="0"/>
    <n v="1"/>
    <n v="448"/>
    <n v="0.89600000000000002"/>
    <n v="0"/>
    <n v="0"/>
    <n v="0.10399999999999998"/>
    <n v="1"/>
    <n v="20"/>
    <n v="0.8928571428571429"/>
    <n v="400"/>
    <n v="140"/>
    <n v="0"/>
    <n v="22"/>
    <n v="0"/>
    <n v="0.1071428571428571"/>
    <n v="9.0909090909090912E-2"/>
    <n v="0"/>
    <n v="0"/>
    <n v="0"/>
    <n v="0"/>
    <n v="0"/>
    <n v="0"/>
    <n v="1"/>
    <n v="0"/>
    <n v="0"/>
    <n v="0"/>
    <n v="0"/>
    <n v="0"/>
    <n v="0"/>
    <n v="0"/>
    <x v="0"/>
    <s v="Yes"/>
    <s v="Shalom"/>
    <x v="0"/>
    <x v="0"/>
    <x v="0"/>
    <n v="25.321710740740698"/>
    <n v="97.404195925926004"/>
    <s v="MMR001CMP028"/>
    <x v="0"/>
    <m/>
  </r>
  <r>
    <x v="0"/>
    <x v="4"/>
    <x v="4"/>
    <s v="Plan/GFFO,ADRA/CANADA  "/>
    <x v="0"/>
    <x v="3"/>
    <x v="1"/>
    <x v="138"/>
    <n v="93"/>
    <n v="499"/>
    <d v="2019-04-01T00:00:00"/>
    <d v="2019-07-31T00:00:00"/>
    <m/>
    <m/>
    <m/>
    <m/>
    <s v="Yes"/>
    <m/>
    <m/>
    <n v="2"/>
    <m/>
    <m/>
    <n v="2"/>
    <m/>
    <m/>
    <m/>
    <m/>
    <m/>
    <m/>
    <m/>
    <m/>
    <m/>
    <m/>
    <n v="2"/>
    <m/>
    <m/>
    <m/>
    <m/>
    <m/>
    <m/>
    <m/>
    <n v="17"/>
    <m/>
    <m/>
    <m/>
    <m/>
    <n v="0"/>
    <m/>
    <n v="17"/>
    <x v="0"/>
    <x v="0"/>
    <m/>
    <m/>
    <m/>
    <m/>
    <m/>
    <m/>
    <m/>
    <n v="2"/>
    <m/>
    <m/>
    <n v="2"/>
    <m/>
    <m/>
    <m/>
    <m/>
    <m/>
    <m/>
    <s v="no test"/>
    <s v="no test"/>
    <x v="1"/>
    <n v="2"/>
    <n v="2"/>
    <n v="0"/>
    <n v="0"/>
    <n v="0"/>
    <n v="1"/>
    <n v="1"/>
    <n v="1"/>
    <n v="499"/>
    <n v="0"/>
    <n v="0"/>
    <n v="1"/>
    <n v="499"/>
    <n v="0.998"/>
    <n v="0"/>
    <n v="0"/>
    <n v="2.0000000000000018E-3"/>
    <n v="1"/>
    <n v="17"/>
    <n v="0.68136272545090182"/>
    <n v="340"/>
    <n v="0"/>
    <n v="0"/>
    <n v="25"/>
    <n v="8"/>
    <n v="0.31863727454909818"/>
    <n v="0"/>
    <n v="499"/>
    <n v="0"/>
    <n v="0"/>
    <n v="0"/>
    <n v="499"/>
    <n v="1"/>
    <n v="0"/>
    <n v="1"/>
    <n v="0"/>
    <n v="0"/>
    <n v="0"/>
    <n v="0"/>
    <n v="0"/>
    <n v="0"/>
    <x v="0"/>
    <s v="Yes"/>
    <s v="KBC-MYT"/>
    <x v="0"/>
    <x v="0"/>
    <x v="0"/>
    <n v="25.440928"/>
    <n v="97.419403000000003"/>
    <s v="MMR001CMP009"/>
    <x v="0"/>
    <m/>
  </r>
  <r>
    <x v="0"/>
    <x v="3"/>
    <x v="3"/>
    <s v="DFID(HARP)"/>
    <x v="0"/>
    <x v="8"/>
    <x v="1"/>
    <x v="139"/>
    <n v="11"/>
    <n v="52"/>
    <d v="2019-01-01T00:00:00"/>
    <s v="31-3-2019"/>
    <m/>
    <m/>
    <m/>
    <m/>
    <s v="Yes"/>
    <m/>
    <m/>
    <n v="1"/>
    <m/>
    <m/>
    <m/>
    <m/>
    <m/>
    <m/>
    <m/>
    <m/>
    <m/>
    <m/>
    <m/>
    <m/>
    <m/>
    <m/>
    <m/>
    <m/>
    <m/>
    <m/>
    <m/>
    <m/>
    <m/>
    <n v="7"/>
    <m/>
    <m/>
    <m/>
    <m/>
    <m/>
    <m/>
    <m/>
    <x v="0"/>
    <x v="0"/>
    <m/>
    <m/>
    <m/>
    <m/>
    <m/>
    <m/>
    <m/>
    <n v="2"/>
    <m/>
    <m/>
    <n v="1"/>
    <n v="11"/>
    <m/>
    <m/>
    <m/>
    <m/>
    <m/>
    <s v="no test"/>
    <s v="no test"/>
    <x v="1"/>
    <n v="1"/>
    <n v="0"/>
    <n v="0"/>
    <n v="0"/>
    <n v="0"/>
    <n v="1"/>
    <n v="1"/>
    <n v="1"/>
    <n v="52"/>
    <n v="0"/>
    <n v="0"/>
    <n v="1"/>
    <n v="52"/>
    <n v="0.104"/>
    <n v="0"/>
    <n v="0"/>
    <n v="0.89600000000000002"/>
    <n v="1"/>
    <n v="7"/>
    <n v="1"/>
    <n v="52"/>
    <n v="0"/>
    <n v="0"/>
    <n v="3"/>
    <n v="0"/>
    <n v="0"/>
    <n v="0"/>
    <n v="52"/>
    <n v="52"/>
    <n v="0"/>
    <n v="52"/>
    <n v="52"/>
    <n v="1"/>
    <n v="0"/>
    <n v="1"/>
    <n v="1"/>
    <n v="0"/>
    <n v="0"/>
    <n v="0"/>
    <n v="0"/>
    <n v="0"/>
    <x v="0"/>
    <s v="Yes"/>
    <s v="KMSS-MYT"/>
    <x v="0"/>
    <x v="0"/>
    <x v="0"/>
    <n v="24.764800000000001"/>
    <n v="96.367059999999995"/>
    <s v="MMR001CMP080"/>
    <x v="0"/>
    <m/>
  </r>
  <r>
    <x v="0"/>
    <x v="4"/>
    <x v="4"/>
    <m/>
    <x v="0"/>
    <x v="4"/>
    <x v="0"/>
    <x v="140"/>
    <n v="63"/>
    <n v="270"/>
    <m/>
    <m/>
    <m/>
    <m/>
    <m/>
    <m/>
    <m/>
    <m/>
    <m/>
    <n v="0"/>
    <m/>
    <m/>
    <n v="0"/>
    <m/>
    <m/>
    <m/>
    <m/>
    <m/>
    <m/>
    <m/>
    <m/>
    <m/>
    <m/>
    <n v="0"/>
    <m/>
    <m/>
    <m/>
    <m/>
    <m/>
    <m/>
    <m/>
    <n v="0"/>
    <m/>
    <m/>
    <m/>
    <m/>
    <m/>
    <m/>
    <n v="0"/>
    <x v="2"/>
    <x v="2"/>
    <m/>
    <m/>
    <m/>
    <m/>
    <m/>
    <m/>
    <m/>
    <n v="0"/>
    <m/>
    <m/>
    <m/>
    <m/>
    <m/>
    <m/>
    <m/>
    <m/>
    <m/>
    <s v="no test"/>
    <s v="no test"/>
    <x v="1"/>
    <n v="0"/>
    <n v="0"/>
    <n v="0"/>
    <n v="0"/>
    <n v="0"/>
    <n v="0"/>
    <n v="0"/>
    <n v="0"/>
    <n v="0"/>
    <n v="0"/>
    <n v="0"/>
    <n v="0"/>
    <n v="0"/>
    <n v="0"/>
    <n v="1"/>
    <n v="270"/>
    <n v="1"/>
    <n v="1"/>
    <n v="0"/>
    <n v="0"/>
    <n v="0"/>
    <n v="0"/>
    <n v="0"/>
    <n v="14"/>
    <n v="14"/>
    <n v="1"/>
    <n v="0"/>
    <n v="0"/>
    <n v="0"/>
    <n v="0"/>
    <n v="0"/>
    <n v="0"/>
    <n v="0"/>
    <n v="1"/>
    <n v="0"/>
    <n v="0"/>
    <n v="0"/>
    <n v="0"/>
    <n v="0"/>
    <n v="0"/>
    <n v="0"/>
    <x v="0"/>
    <n v="0"/>
    <n v="0"/>
    <x v="0"/>
    <x v="2"/>
    <x v="1"/>
    <n v="0"/>
    <n v="0"/>
    <n v="0"/>
    <x v="0"/>
    <m/>
  </r>
  <r>
    <x v="0"/>
    <x v="6"/>
    <x v="6"/>
    <s v="WHH-AA, UNICEF"/>
    <x v="0"/>
    <x v="2"/>
    <x v="1"/>
    <x v="141"/>
    <n v="1467"/>
    <n v="6992"/>
    <s v="10/1/2018, 12/1/2018"/>
    <s v="9/30/2020, 11/30/2019"/>
    <n v="313"/>
    <m/>
    <m/>
    <n v="0"/>
    <s v="Yes"/>
    <n v="5"/>
    <n v="2"/>
    <n v="5"/>
    <m/>
    <m/>
    <m/>
    <m/>
    <m/>
    <m/>
    <n v="3"/>
    <m/>
    <m/>
    <m/>
    <n v="2"/>
    <m/>
    <m/>
    <n v="3"/>
    <n v="1"/>
    <n v="0"/>
    <n v="1"/>
    <n v="0"/>
    <m/>
    <m/>
    <m/>
    <n v="225"/>
    <m/>
    <m/>
    <m/>
    <n v="20"/>
    <m/>
    <m/>
    <m/>
    <x v="0"/>
    <x v="0"/>
    <n v="6"/>
    <n v="2"/>
    <m/>
    <m/>
    <n v="50"/>
    <m/>
    <m/>
    <n v="22"/>
    <m/>
    <m/>
    <n v="7"/>
    <n v="0"/>
    <n v="0"/>
    <s v="No"/>
    <m/>
    <m/>
    <m/>
    <n v="0"/>
    <n v="0"/>
    <x v="0"/>
    <n v="5"/>
    <n v="0"/>
    <n v="3"/>
    <n v="0"/>
    <n v="0"/>
    <n v="0.31464530892448511"/>
    <n v="0.20737986270022885"/>
    <n v="0.31464530892448511"/>
    <n v="2200"/>
    <n v="7.1510297482837534E-2"/>
    <n v="500.00000000000006"/>
    <n v="0.38615560640732266"/>
    <n v="2700"/>
    <n v="5.4"/>
    <n v="0.6138443935926774"/>
    <n v="4292"/>
    <n v="8.6"/>
    <n v="14"/>
    <n v="225"/>
    <n v="0.64359267734553771"/>
    <n v="4500"/>
    <n v="0"/>
    <n v="0"/>
    <n v="350"/>
    <n v="125"/>
    <n v="0.35640732265446229"/>
    <n v="0"/>
    <n v="3500"/>
    <n v="0"/>
    <n v="0"/>
    <n v="0"/>
    <n v="3500"/>
    <n v="0.50057208237986273"/>
    <n v="0.49942791762013727"/>
    <n v="0.50057208237986273"/>
    <n v="0"/>
    <n v="0"/>
    <n v="50"/>
    <n v="1000"/>
    <n v="0"/>
    <n v="5000"/>
    <x v="1"/>
    <s v="Yes"/>
    <s v="KMSS-MYT"/>
    <x v="0"/>
    <x v="0"/>
    <x v="1"/>
    <n v="24.755253"/>
    <n v="97.546893999999995"/>
    <s v="MMR001CMP116"/>
    <x v="0"/>
    <m/>
  </r>
  <r>
    <x v="0"/>
    <x v="5"/>
    <x v="5"/>
    <s v="DFID"/>
    <x v="0"/>
    <x v="2"/>
    <x v="1"/>
    <x v="142"/>
    <n v="347"/>
    <n v="2065"/>
    <d v="2018-08-01T00:00:00"/>
    <d v="2020-07-31T00:00:00"/>
    <n v="80"/>
    <n v="1"/>
    <n v="0"/>
    <n v="0"/>
    <s v="Yes"/>
    <n v="1"/>
    <n v="3"/>
    <n v="4"/>
    <n v="0"/>
    <n v="4"/>
    <n v="0"/>
    <n v="7"/>
    <n v="0"/>
    <n v="0"/>
    <n v="0"/>
    <n v="0"/>
    <n v="0"/>
    <n v="0"/>
    <n v="0"/>
    <n v="0"/>
    <n v="0"/>
    <n v="0"/>
    <m/>
    <m/>
    <m/>
    <m/>
    <n v="0"/>
    <n v="0"/>
    <m/>
    <n v="13"/>
    <n v="28"/>
    <s v="KBC &amp; World vision"/>
    <n v="0"/>
    <n v="0"/>
    <n v="15"/>
    <m/>
    <n v="0"/>
    <x v="0"/>
    <x v="0"/>
    <n v="0"/>
    <n v="0"/>
    <n v="0"/>
    <m/>
    <n v="5"/>
    <n v="0"/>
    <n v="0"/>
    <n v="4"/>
    <n v="0"/>
    <n v="0"/>
    <n v="0"/>
    <n v="0"/>
    <n v="0"/>
    <s v="No"/>
    <n v="4"/>
    <n v="0"/>
    <m/>
    <s v="no test"/>
    <s v="no test"/>
    <x v="1"/>
    <n v="4"/>
    <n v="7"/>
    <n v="0"/>
    <n v="0"/>
    <n v="0"/>
    <n v="1"/>
    <n v="1"/>
    <n v="1"/>
    <n v="2065"/>
    <n v="0"/>
    <n v="0"/>
    <n v="1"/>
    <n v="2065"/>
    <n v="4.13"/>
    <n v="0"/>
    <n v="0"/>
    <n v="0"/>
    <n v="4"/>
    <n v="41"/>
    <n v="0.39709443099273606"/>
    <n v="820"/>
    <n v="300"/>
    <n v="0"/>
    <n v="103"/>
    <n v="62"/>
    <n v="0.602905569007264"/>
    <n v="0"/>
    <n v="0"/>
    <n v="0"/>
    <n v="0"/>
    <n v="0"/>
    <n v="0"/>
    <n v="0"/>
    <n v="1"/>
    <n v="0"/>
    <n v="0"/>
    <n v="0"/>
    <n v="5"/>
    <n v="100"/>
    <n v="0"/>
    <n v="500"/>
    <x v="1"/>
    <s v="Yes"/>
    <s v="Shalom"/>
    <x v="0"/>
    <x v="0"/>
    <x v="0"/>
    <n v="25.424529444444399"/>
    <n v="97.433419259259296"/>
    <s v="MMR001CMP031"/>
    <x v="0"/>
    <m/>
  </r>
  <r>
    <x v="0"/>
    <x v="2"/>
    <x v="2"/>
    <m/>
    <x v="0"/>
    <x v="12"/>
    <x v="1"/>
    <x v="143"/>
    <n v="36"/>
    <n v="152"/>
    <m/>
    <m/>
    <m/>
    <m/>
    <m/>
    <m/>
    <m/>
    <m/>
    <m/>
    <m/>
    <m/>
    <m/>
    <m/>
    <m/>
    <m/>
    <m/>
    <m/>
    <m/>
    <m/>
    <m/>
    <m/>
    <m/>
    <m/>
    <m/>
    <m/>
    <m/>
    <m/>
    <m/>
    <m/>
    <m/>
    <m/>
    <m/>
    <m/>
    <m/>
    <m/>
    <m/>
    <m/>
    <m/>
    <m/>
    <x v="1"/>
    <x v="1"/>
    <m/>
    <m/>
    <m/>
    <m/>
    <m/>
    <m/>
    <m/>
    <m/>
    <m/>
    <m/>
    <m/>
    <m/>
    <m/>
    <m/>
    <m/>
    <m/>
    <m/>
    <s v="no test"/>
    <s v="no test"/>
    <x v="1"/>
    <n v="0"/>
    <n v="0"/>
    <n v="0"/>
    <n v="0"/>
    <n v="0"/>
    <n v="0"/>
    <n v="0"/>
    <n v="0"/>
    <n v="0"/>
    <n v="0"/>
    <n v="0"/>
    <n v="0"/>
    <n v="0"/>
    <n v="0"/>
    <n v="1"/>
    <n v="152"/>
    <n v="1"/>
    <n v="1"/>
    <n v="0"/>
    <n v="0"/>
    <n v="0"/>
    <n v="0"/>
    <n v="0"/>
    <n v="8"/>
    <n v="8"/>
    <n v="1"/>
    <n v="0"/>
    <n v="0"/>
    <n v="0"/>
    <n v="0"/>
    <n v="0"/>
    <n v="0"/>
    <n v="0"/>
    <n v="1"/>
    <n v="0"/>
    <n v="0"/>
    <n v="0"/>
    <n v="0"/>
    <n v="0"/>
    <n v="0"/>
    <n v="0"/>
    <x v="0"/>
    <s v="Yes"/>
    <s v="KMSS-MYT"/>
    <x v="0"/>
    <x v="0"/>
    <x v="0"/>
    <n v="0"/>
    <n v="0"/>
    <s v="MMR001CMP254"/>
    <x v="1"/>
    <m/>
  </r>
  <r>
    <x v="0"/>
    <x v="4"/>
    <x v="4"/>
    <s v="Plan/GFFO,ADRA/CANADA  "/>
    <x v="0"/>
    <x v="3"/>
    <x v="1"/>
    <x v="144"/>
    <n v="69"/>
    <n v="351"/>
    <d v="2019-04-01T00:00:00"/>
    <d v="2019-07-31T00:00:00"/>
    <m/>
    <m/>
    <m/>
    <m/>
    <s v="Yes"/>
    <m/>
    <m/>
    <n v="0"/>
    <m/>
    <m/>
    <n v="2"/>
    <m/>
    <m/>
    <m/>
    <m/>
    <m/>
    <m/>
    <m/>
    <m/>
    <m/>
    <m/>
    <n v="2"/>
    <m/>
    <m/>
    <m/>
    <m/>
    <m/>
    <m/>
    <m/>
    <n v="11"/>
    <m/>
    <m/>
    <m/>
    <m/>
    <n v="60"/>
    <m/>
    <n v="11"/>
    <x v="0"/>
    <x v="0"/>
    <m/>
    <m/>
    <m/>
    <m/>
    <m/>
    <m/>
    <m/>
    <n v="2"/>
    <m/>
    <m/>
    <n v="1"/>
    <m/>
    <m/>
    <m/>
    <m/>
    <m/>
    <m/>
    <s v="no test"/>
    <s v="no test"/>
    <x v="1"/>
    <n v="0"/>
    <n v="2"/>
    <n v="0"/>
    <n v="0"/>
    <n v="0"/>
    <n v="1"/>
    <n v="1"/>
    <n v="1"/>
    <n v="351"/>
    <n v="0"/>
    <n v="0"/>
    <n v="1"/>
    <n v="351"/>
    <n v="0.70199999999999996"/>
    <n v="0"/>
    <n v="0"/>
    <n v="0.29800000000000004"/>
    <n v="1"/>
    <n v="11"/>
    <n v="0.62678062678062674"/>
    <n v="220"/>
    <n v="351"/>
    <n v="0"/>
    <n v="18"/>
    <n v="7"/>
    <n v="0.37321937321937326"/>
    <n v="0"/>
    <n v="351"/>
    <n v="0"/>
    <n v="0"/>
    <n v="0"/>
    <n v="351"/>
    <n v="1"/>
    <n v="0"/>
    <n v="1"/>
    <n v="0"/>
    <n v="0"/>
    <n v="0"/>
    <n v="0"/>
    <n v="0"/>
    <n v="0"/>
    <x v="0"/>
    <s v="Yes"/>
    <s v="KBC-MYT"/>
    <x v="0"/>
    <x v="0"/>
    <x v="0"/>
    <n v="25.415482000000001"/>
    <n v="97.386718999999999"/>
    <s v="MMR001CMP001"/>
    <x v="0"/>
    <m/>
  </r>
  <r>
    <x v="0"/>
    <x v="4"/>
    <x v="4"/>
    <s v="Plan/GFFO,ADRA/CANADA  "/>
    <x v="0"/>
    <x v="3"/>
    <x v="1"/>
    <x v="145"/>
    <n v="30"/>
    <n v="165"/>
    <d v="2019-04-01T00:00:00"/>
    <d v="2019-07-31T00:00:00"/>
    <m/>
    <m/>
    <m/>
    <m/>
    <s v="Yes"/>
    <m/>
    <m/>
    <n v="0"/>
    <m/>
    <m/>
    <n v="2"/>
    <m/>
    <m/>
    <m/>
    <m/>
    <m/>
    <m/>
    <m/>
    <m/>
    <m/>
    <m/>
    <n v="3"/>
    <m/>
    <m/>
    <m/>
    <m/>
    <m/>
    <m/>
    <m/>
    <n v="5"/>
    <m/>
    <m/>
    <m/>
    <m/>
    <n v="24"/>
    <m/>
    <n v="5"/>
    <x v="0"/>
    <x v="0"/>
    <m/>
    <m/>
    <m/>
    <m/>
    <m/>
    <m/>
    <m/>
    <n v="2"/>
    <m/>
    <m/>
    <n v="1"/>
    <m/>
    <m/>
    <m/>
    <m/>
    <m/>
    <m/>
    <s v="no test"/>
    <s v="no test"/>
    <x v="1"/>
    <n v="0"/>
    <n v="2"/>
    <n v="0"/>
    <n v="0"/>
    <n v="0"/>
    <n v="1"/>
    <n v="1"/>
    <n v="1"/>
    <n v="165"/>
    <n v="0"/>
    <n v="0"/>
    <n v="1"/>
    <n v="165"/>
    <n v="0.33"/>
    <n v="0"/>
    <n v="0"/>
    <n v="0.66999999999999993"/>
    <n v="1"/>
    <n v="5"/>
    <n v="0.60606060606060608"/>
    <n v="100"/>
    <n v="165"/>
    <n v="0"/>
    <n v="8"/>
    <n v="3"/>
    <n v="0.39393939393939392"/>
    <n v="0"/>
    <n v="165"/>
    <n v="0"/>
    <n v="0"/>
    <n v="0"/>
    <n v="165"/>
    <n v="1"/>
    <n v="0"/>
    <n v="1"/>
    <n v="0"/>
    <n v="0"/>
    <n v="0"/>
    <n v="0"/>
    <n v="0"/>
    <n v="0"/>
    <x v="0"/>
    <s v="Yes"/>
    <s v="KBC-MYT"/>
    <x v="0"/>
    <x v="0"/>
    <x v="0"/>
    <n v="25.404752999999999"/>
    <n v="97.377662999999998"/>
    <s v="MMR001CMP003"/>
    <x v="0"/>
    <m/>
  </r>
  <r>
    <x v="0"/>
    <x v="5"/>
    <x v="5"/>
    <s v="DFID"/>
    <x v="0"/>
    <x v="2"/>
    <x v="1"/>
    <x v="146"/>
    <n v="19"/>
    <n v="82"/>
    <d v="2018-08-01T00:00:00"/>
    <d v="2020-07-31T00:00:00"/>
    <n v="0"/>
    <n v="1"/>
    <n v="0"/>
    <n v="0"/>
    <s v="Yes"/>
    <n v="0"/>
    <n v="4"/>
    <n v="1"/>
    <n v="0"/>
    <n v="0"/>
    <n v="2"/>
    <n v="0"/>
    <n v="0"/>
    <n v="0"/>
    <n v="0"/>
    <n v="0"/>
    <n v="0"/>
    <n v="0"/>
    <n v="0"/>
    <n v="0"/>
    <n v="0"/>
    <n v="0"/>
    <m/>
    <m/>
    <m/>
    <m/>
    <n v="0"/>
    <m/>
    <m/>
    <n v="6"/>
    <n v="0"/>
    <m/>
    <n v="0"/>
    <n v="0"/>
    <n v="0"/>
    <m/>
    <n v="0"/>
    <x v="0"/>
    <x v="0"/>
    <n v="0"/>
    <n v="0"/>
    <n v="0"/>
    <m/>
    <n v="1"/>
    <n v="0"/>
    <n v="0"/>
    <n v="2"/>
    <n v="0"/>
    <n v="0"/>
    <n v="0"/>
    <n v="0"/>
    <n v="0"/>
    <s v="No"/>
    <n v="0"/>
    <n v="0"/>
    <m/>
    <s v="no test"/>
    <s v="no test"/>
    <x v="1"/>
    <n v="1"/>
    <n v="2"/>
    <n v="0"/>
    <n v="0"/>
    <n v="0"/>
    <n v="1"/>
    <n v="1"/>
    <n v="1"/>
    <n v="82"/>
    <n v="0"/>
    <n v="0"/>
    <n v="1"/>
    <n v="82"/>
    <n v="0.16400000000000001"/>
    <n v="0"/>
    <n v="0"/>
    <n v="0.83599999999999997"/>
    <n v="1"/>
    <n v="6"/>
    <n v="1"/>
    <n v="82"/>
    <n v="0"/>
    <n v="0"/>
    <n v="4"/>
    <n v="0"/>
    <n v="0"/>
    <n v="0"/>
    <n v="0"/>
    <n v="0"/>
    <n v="0"/>
    <n v="0"/>
    <n v="0"/>
    <n v="0"/>
    <n v="1"/>
    <n v="0"/>
    <n v="0"/>
    <n v="0"/>
    <n v="1"/>
    <n v="19"/>
    <n v="0"/>
    <n v="82"/>
    <x v="0"/>
    <s v="Yes"/>
    <s v="Shalom"/>
    <x v="0"/>
    <x v="0"/>
    <x v="0"/>
    <n v="25.351965"/>
    <n v="97.345039"/>
    <s v="MMR001CMP033"/>
    <x v="0"/>
    <m/>
  </r>
  <r>
    <x v="0"/>
    <x v="4"/>
    <x v="4"/>
    <s v="Plan/GFFO,ADRA/CANADA  "/>
    <x v="0"/>
    <x v="3"/>
    <x v="1"/>
    <x v="147"/>
    <n v="43"/>
    <n v="219"/>
    <d v="2019-04-01T00:00:00"/>
    <d v="2019-07-31T00:00:00"/>
    <m/>
    <m/>
    <m/>
    <m/>
    <s v="Yes"/>
    <m/>
    <m/>
    <n v="0"/>
    <m/>
    <m/>
    <n v="2"/>
    <m/>
    <m/>
    <m/>
    <m/>
    <m/>
    <m/>
    <m/>
    <m/>
    <m/>
    <m/>
    <n v="3"/>
    <m/>
    <m/>
    <m/>
    <m/>
    <m/>
    <m/>
    <m/>
    <n v="13"/>
    <m/>
    <m/>
    <m/>
    <m/>
    <n v="7"/>
    <m/>
    <n v="13"/>
    <x v="0"/>
    <x v="0"/>
    <m/>
    <m/>
    <m/>
    <m/>
    <m/>
    <m/>
    <m/>
    <n v="3"/>
    <m/>
    <m/>
    <n v="1"/>
    <m/>
    <m/>
    <m/>
    <m/>
    <m/>
    <m/>
    <s v="no test"/>
    <s v="no test"/>
    <x v="1"/>
    <n v="0"/>
    <n v="2"/>
    <n v="0"/>
    <n v="0"/>
    <n v="0"/>
    <n v="1"/>
    <n v="1"/>
    <n v="1"/>
    <n v="219"/>
    <n v="0"/>
    <n v="0"/>
    <n v="1"/>
    <n v="219"/>
    <n v="0.438"/>
    <n v="0"/>
    <n v="0"/>
    <n v="0.56200000000000006"/>
    <n v="1"/>
    <n v="13"/>
    <n v="1"/>
    <n v="219"/>
    <n v="140"/>
    <n v="0"/>
    <n v="11"/>
    <n v="0"/>
    <n v="0"/>
    <n v="0"/>
    <n v="219"/>
    <n v="0"/>
    <n v="0"/>
    <n v="0"/>
    <n v="219"/>
    <n v="1"/>
    <n v="0"/>
    <n v="1"/>
    <n v="0"/>
    <n v="0"/>
    <n v="0"/>
    <n v="0"/>
    <n v="0"/>
    <n v="0"/>
    <x v="0"/>
    <s v="Yes"/>
    <s v="KBC-MYT"/>
    <x v="0"/>
    <x v="0"/>
    <x v="0"/>
    <n v="25.404015000000001"/>
    <n v="97.382192000000003"/>
    <s v="MMR001CMP005"/>
    <x v="0"/>
    <m/>
  </r>
  <r>
    <x v="0"/>
    <x v="2"/>
    <x v="2"/>
    <m/>
    <x v="0"/>
    <x v="12"/>
    <x v="1"/>
    <x v="148"/>
    <n v="127"/>
    <n v="450"/>
    <m/>
    <m/>
    <m/>
    <m/>
    <m/>
    <m/>
    <m/>
    <m/>
    <m/>
    <m/>
    <m/>
    <m/>
    <m/>
    <m/>
    <m/>
    <m/>
    <m/>
    <m/>
    <m/>
    <m/>
    <m/>
    <m/>
    <m/>
    <m/>
    <m/>
    <m/>
    <m/>
    <m/>
    <m/>
    <m/>
    <m/>
    <m/>
    <m/>
    <m/>
    <m/>
    <m/>
    <m/>
    <m/>
    <m/>
    <x v="1"/>
    <x v="1"/>
    <m/>
    <m/>
    <m/>
    <m/>
    <m/>
    <m/>
    <m/>
    <m/>
    <m/>
    <m/>
    <m/>
    <m/>
    <m/>
    <m/>
    <m/>
    <m/>
    <m/>
    <s v="no test"/>
    <s v="no test"/>
    <x v="1"/>
    <n v="0"/>
    <n v="0"/>
    <n v="0"/>
    <n v="0"/>
    <n v="0"/>
    <n v="0"/>
    <n v="0"/>
    <n v="0"/>
    <n v="0"/>
    <n v="0"/>
    <n v="0"/>
    <n v="0"/>
    <n v="0"/>
    <n v="0"/>
    <n v="1"/>
    <n v="450"/>
    <n v="1"/>
    <n v="1"/>
    <n v="0"/>
    <n v="0"/>
    <n v="0"/>
    <n v="0"/>
    <n v="0"/>
    <n v="23"/>
    <n v="23"/>
    <n v="1"/>
    <n v="0"/>
    <n v="0"/>
    <n v="0"/>
    <n v="0"/>
    <n v="0"/>
    <n v="0"/>
    <n v="0"/>
    <n v="1"/>
    <n v="0"/>
    <n v="0"/>
    <n v="0"/>
    <n v="0"/>
    <n v="0"/>
    <n v="0"/>
    <n v="0"/>
    <x v="0"/>
    <s v="Yes"/>
    <s v="KBC-MYT"/>
    <x v="0"/>
    <x v="0"/>
    <x v="0"/>
    <n v="0"/>
    <n v="0"/>
    <s v="MMR001CMP253"/>
    <x v="1"/>
    <m/>
  </r>
  <r>
    <x v="0"/>
    <x v="5"/>
    <x v="5"/>
    <s v="DFID"/>
    <x v="0"/>
    <x v="2"/>
    <x v="1"/>
    <x v="149"/>
    <n v="115"/>
    <n v="493"/>
    <d v="2018-08-01T00:00:00"/>
    <d v="2020-07-31T00:00:00"/>
    <n v="134"/>
    <n v="1"/>
    <n v="0"/>
    <n v="0"/>
    <s v="Yes"/>
    <n v="3"/>
    <n v="4"/>
    <n v="1"/>
    <n v="1"/>
    <n v="0"/>
    <n v="1"/>
    <n v="4"/>
    <n v="1"/>
    <n v="4"/>
    <n v="0"/>
    <n v="0"/>
    <n v="0"/>
    <n v="0"/>
    <n v="0"/>
    <n v="0"/>
    <n v="0"/>
    <n v="0"/>
    <m/>
    <m/>
    <m/>
    <m/>
    <n v="0"/>
    <n v="0"/>
    <m/>
    <n v="0"/>
    <n v="10"/>
    <s v="ICRC"/>
    <n v="0"/>
    <n v="0"/>
    <n v="4"/>
    <m/>
    <n v="0"/>
    <x v="0"/>
    <x v="0"/>
    <n v="0"/>
    <n v="0"/>
    <n v="0"/>
    <m/>
    <n v="5"/>
    <n v="0"/>
    <n v="0"/>
    <n v="2"/>
    <n v="0"/>
    <n v="0"/>
    <n v="0"/>
    <n v="0"/>
    <n v="0"/>
    <s v="Yes"/>
    <n v="20"/>
    <n v="0.2"/>
    <m/>
    <s v="no test"/>
    <s v="no test"/>
    <x v="1"/>
    <n v="0"/>
    <n v="4"/>
    <n v="0"/>
    <n v="0"/>
    <n v="0"/>
    <n v="1"/>
    <n v="1"/>
    <n v="1"/>
    <n v="493"/>
    <n v="0"/>
    <n v="0"/>
    <n v="1"/>
    <n v="493"/>
    <n v="0.98599999999999999"/>
    <n v="0"/>
    <n v="0"/>
    <n v="1.4000000000000012E-2"/>
    <n v="1"/>
    <n v="10"/>
    <n v="0.40567951318458417"/>
    <n v="200"/>
    <n v="80"/>
    <n v="0"/>
    <n v="25"/>
    <n v="15"/>
    <n v="0.59432048681541583"/>
    <n v="0"/>
    <n v="0"/>
    <n v="0"/>
    <n v="0"/>
    <n v="0"/>
    <n v="0"/>
    <n v="0"/>
    <n v="1"/>
    <n v="0"/>
    <n v="0"/>
    <n v="0"/>
    <n v="5"/>
    <n v="100"/>
    <n v="0"/>
    <n v="493"/>
    <x v="1"/>
    <s v="Yes"/>
    <s v="Shalom"/>
    <x v="0"/>
    <x v="0"/>
    <x v="0"/>
    <n v="25.3540362037037"/>
    <n v="97.441166388888902"/>
    <s v="MMR001CMP032"/>
    <x v="0"/>
    <m/>
  </r>
  <r>
    <x v="0"/>
    <x v="4"/>
    <x v="4"/>
    <s v="ADRA/CANADA"/>
    <x v="0"/>
    <x v="3"/>
    <x v="1"/>
    <x v="150"/>
    <n v="18"/>
    <n v="87"/>
    <d v="2019-04-01T00:00:00"/>
    <d v="2019-07-31T00:00:00"/>
    <m/>
    <m/>
    <m/>
    <m/>
    <s v="Yes"/>
    <m/>
    <m/>
    <n v="0"/>
    <m/>
    <m/>
    <n v="0"/>
    <m/>
    <m/>
    <m/>
    <n v="1"/>
    <m/>
    <m/>
    <m/>
    <m/>
    <m/>
    <m/>
    <n v="0"/>
    <m/>
    <m/>
    <m/>
    <m/>
    <m/>
    <m/>
    <m/>
    <n v="10"/>
    <m/>
    <m/>
    <m/>
    <m/>
    <m/>
    <m/>
    <n v="10"/>
    <x v="0"/>
    <x v="0"/>
    <m/>
    <m/>
    <m/>
    <m/>
    <m/>
    <m/>
    <m/>
    <n v="0"/>
    <m/>
    <m/>
    <n v="1"/>
    <m/>
    <m/>
    <m/>
    <m/>
    <m/>
    <m/>
    <s v="no test"/>
    <s v="no test"/>
    <x v="1"/>
    <n v="0"/>
    <n v="0"/>
    <n v="1"/>
    <n v="0"/>
    <n v="0"/>
    <n v="0.76628352490421459"/>
    <n v="0.76628352490421459"/>
    <n v="0.76628352490421459"/>
    <n v="66.666666666666671"/>
    <n v="0"/>
    <n v="0"/>
    <n v="0.76628352490421459"/>
    <n v="66.666666666666671"/>
    <n v="0.13333333333333333"/>
    <n v="0.23371647509578541"/>
    <n v="20.333333333333332"/>
    <n v="0.8666666666666667"/>
    <n v="1"/>
    <n v="10"/>
    <n v="1"/>
    <n v="87"/>
    <n v="0"/>
    <n v="0"/>
    <n v="4"/>
    <n v="0"/>
    <n v="0"/>
    <n v="0"/>
    <n v="87"/>
    <n v="0"/>
    <n v="0"/>
    <n v="0"/>
    <n v="87"/>
    <n v="1"/>
    <n v="0"/>
    <n v="1"/>
    <n v="0"/>
    <n v="0"/>
    <n v="0"/>
    <n v="0"/>
    <n v="0"/>
    <n v="0"/>
    <x v="0"/>
    <n v="0"/>
    <s v="uncovered"/>
    <x v="0"/>
    <x v="2"/>
    <x v="0"/>
    <n v="0"/>
    <n v="0"/>
    <s v="MMR001CMP267"/>
    <x v="0"/>
    <m/>
  </r>
  <r>
    <x v="0"/>
    <x v="5"/>
    <x v="5"/>
    <s v="DFID"/>
    <x v="0"/>
    <x v="2"/>
    <x v="1"/>
    <x v="151"/>
    <n v="36"/>
    <n v="189"/>
    <d v="2018-08-01T00:00:00"/>
    <d v="2020-07-31T00:00:00"/>
    <n v="0"/>
    <n v="1"/>
    <n v="0"/>
    <n v="0"/>
    <s v="Yes"/>
    <n v="2"/>
    <n v="2"/>
    <n v="2"/>
    <n v="0"/>
    <n v="0"/>
    <n v="0"/>
    <n v="2"/>
    <n v="0"/>
    <n v="0"/>
    <n v="0"/>
    <n v="0"/>
    <n v="0"/>
    <n v="0"/>
    <n v="0"/>
    <n v="0"/>
    <n v="0"/>
    <n v="0"/>
    <m/>
    <m/>
    <m/>
    <m/>
    <n v="0"/>
    <n v="0"/>
    <m/>
    <n v="8"/>
    <n v="0"/>
    <n v="0"/>
    <n v="0"/>
    <n v="0"/>
    <n v="8"/>
    <m/>
    <n v="0"/>
    <x v="0"/>
    <x v="0"/>
    <n v="0"/>
    <n v="0"/>
    <n v="0"/>
    <m/>
    <n v="3"/>
    <n v="1"/>
    <n v="4"/>
    <n v="4"/>
    <n v="0"/>
    <n v="0"/>
    <n v="0"/>
    <n v="0"/>
    <n v="0"/>
    <s v="No"/>
    <n v="0"/>
    <n v="0"/>
    <m/>
    <s v="no test"/>
    <s v="no test"/>
    <x v="1"/>
    <n v="2"/>
    <n v="2"/>
    <n v="0"/>
    <n v="0"/>
    <n v="0"/>
    <n v="1"/>
    <n v="1"/>
    <n v="1"/>
    <n v="189"/>
    <n v="0"/>
    <n v="0"/>
    <n v="1"/>
    <n v="189"/>
    <n v="0.378"/>
    <n v="0"/>
    <n v="0"/>
    <n v="0.622"/>
    <n v="1"/>
    <n v="8"/>
    <n v="0.84656084656084651"/>
    <n v="160"/>
    <n v="160"/>
    <n v="0"/>
    <n v="9"/>
    <n v="1"/>
    <n v="0.15343915343915349"/>
    <n v="0"/>
    <n v="0"/>
    <n v="0"/>
    <n v="0"/>
    <n v="0"/>
    <n v="0"/>
    <n v="0"/>
    <n v="1"/>
    <n v="0"/>
    <n v="0"/>
    <n v="0"/>
    <n v="2"/>
    <n v="36"/>
    <n v="0"/>
    <n v="189"/>
    <x v="0"/>
    <s v="Yes"/>
    <s v="Shalom"/>
    <x v="0"/>
    <x v="0"/>
    <x v="0"/>
    <n v="25.345918166666699"/>
    <n v="97.437472666666693"/>
    <s v="MMR001CMP030"/>
    <x v="0"/>
    <m/>
  </r>
  <r>
    <x v="0"/>
    <x v="2"/>
    <x v="2"/>
    <m/>
    <x v="0"/>
    <x v="2"/>
    <x v="1"/>
    <x v="152"/>
    <n v="80"/>
    <n v="449"/>
    <m/>
    <m/>
    <m/>
    <m/>
    <m/>
    <m/>
    <m/>
    <m/>
    <m/>
    <m/>
    <m/>
    <m/>
    <m/>
    <m/>
    <m/>
    <m/>
    <m/>
    <m/>
    <m/>
    <m/>
    <m/>
    <m/>
    <m/>
    <m/>
    <m/>
    <m/>
    <m/>
    <m/>
    <m/>
    <m/>
    <m/>
    <m/>
    <m/>
    <m/>
    <m/>
    <m/>
    <m/>
    <m/>
    <m/>
    <x v="1"/>
    <x v="1"/>
    <m/>
    <m/>
    <m/>
    <m/>
    <m/>
    <m/>
    <m/>
    <m/>
    <m/>
    <m/>
    <m/>
    <m/>
    <m/>
    <m/>
    <m/>
    <m/>
    <m/>
    <s v="no test"/>
    <s v="no test"/>
    <x v="1"/>
    <n v="0"/>
    <n v="0"/>
    <n v="0"/>
    <n v="0"/>
    <n v="0"/>
    <n v="0"/>
    <n v="0"/>
    <n v="0"/>
    <n v="0"/>
    <n v="0"/>
    <n v="0"/>
    <n v="0"/>
    <n v="0"/>
    <n v="0"/>
    <n v="1"/>
    <n v="449"/>
    <n v="1"/>
    <n v="1"/>
    <n v="0"/>
    <n v="0"/>
    <n v="0"/>
    <n v="0"/>
    <n v="0"/>
    <n v="22"/>
    <n v="22"/>
    <n v="1"/>
    <n v="0"/>
    <n v="0"/>
    <n v="0"/>
    <n v="0"/>
    <n v="0"/>
    <n v="0"/>
    <n v="0"/>
    <n v="1"/>
    <n v="0"/>
    <n v="0"/>
    <n v="0"/>
    <n v="0"/>
    <n v="0"/>
    <n v="0"/>
    <n v="0"/>
    <x v="0"/>
    <n v="0"/>
    <s v="uncovered"/>
    <x v="0"/>
    <x v="2"/>
    <x v="0"/>
    <n v="0"/>
    <n v="0"/>
    <s v="MMR001CMP258"/>
    <x v="1"/>
    <m/>
  </r>
  <r>
    <x v="0"/>
    <x v="4"/>
    <x v="4"/>
    <s v="ADRA/CANADA"/>
    <x v="0"/>
    <x v="3"/>
    <x v="1"/>
    <x v="153"/>
    <n v="169"/>
    <n v="724"/>
    <d v="2019-04-01T00:00:00"/>
    <d v="2019-07-31T00:00:00"/>
    <m/>
    <m/>
    <m/>
    <m/>
    <s v="Yes"/>
    <m/>
    <m/>
    <n v="1"/>
    <m/>
    <m/>
    <n v="3"/>
    <m/>
    <m/>
    <m/>
    <m/>
    <m/>
    <m/>
    <n v="900"/>
    <m/>
    <m/>
    <m/>
    <n v="4"/>
    <m/>
    <m/>
    <m/>
    <m/>
    <m/>
    <m/>
    <m/>
    <n v="28"/>
    <m/>
    <m/>
    <m/>
    <m/>
    <n v="7"/>
    <m/>
    <n v="10"/>
    <x v="0"/>
    <x v="0"/>
    <m/>
    <m/>
    <m/>
    <m/>
    <m/>
    <m/>
    <m/>
    <n v="0"/>
    <m/>
    <m/>
    <n v="2"/>
    <m/>
    <m/>
    <m/>
    <m/>
    <m/>
    <m/>
    <s v="no test"/>
    <s v="no test"/>
    <x v="1"/>
    <n v="1"/>
    <n v="3"/>
    <n v="0"/>
    <n v="900"/>
    <n v="0"/>
    <n v="1"/>
    <n v="1"/>
    <n v="1"/>
    <n v="724"/>
    <n v="0"/>
    <n v="0"/>
    <n v="1"/>
    <n v="724"/>
    <n v="1.448"/>
    <n v="0"/>
    <n v="0"/>
    <n v="0"/>
    <n v="1"/>
    <n v="28"/>
    <n v="0.77348066298342544"/>
    <n v="560"/>
    <n v="140"/>
    <n v="0"/>
    <n v="36"/>
    <n v="8"/>
    <n v="0.22651933701657456"/>
    <n v="0"/>
    <n v="724"/>
    <n v="0"/>
    <n v="0"/>
    <n v="0"/>
    <n v="724"/>
    <n v="1"/>
    <n v="0"/>
    <n v="1"/>
    <n v="0"/>
    <n v="0"/>
    <n v="0"/>
    <n v="0"/>
    <n v="0"/>
    <n v="0"/>
    <x v="0"/>
    <s v="Yes"/>
    <s v="KBC-MYT"/>
    <x v="0"/>
    <x v="0"/>
    <x v="0"/>
    <n v="25.480989999999998"/>
    <n v="97.431079999999994"/>
    <s v="MMR001CMP263"/>
    <x v="0"/>
    <m/>
  </r>
  <r>
    <x v="0"/>
    <x v="4"/>
    <x v="4"/>
    <s v="ADRA/CANADA"/>
    <x v="0"/>
    <x v="2"/>
    <x v="1"/>
    <x v="154"/>
    <n v="79"/>
    <n v="356"/>
    <d v="2019-04-01T00:00:00"/>
    <d v="2019-07-31T00:00:00"/>
    <m/>
    <m/>
    <m/>
    <m/>
    <s v="Yes"/>
    <m/>
    <m/>
    <n v="0"/>
    <m/>
    <m/>
    <n v="1"/>
    <m/>
    <m/>
    <m/>
    <m/>
    <m/>
    <m/>
    <m/>
    <m/>
    <m/>
    <m/>
    <n v="3"/>
    <m/>
    <m/>
    <m/>
    <m/>
    <m/>
    <m/>
    <m/>
    <n v="6"/>
    <m/>
    <m/>
    <m/>
    <m/>
    <n v="2"/>
    <m/>
    <n v="6"/>
    <x v="0"/>
    <x v="0"/>
    <m/>
    <m/>
    <m/>
    <m/>
    <m/>
    <m/>
    <m/>
    <n v="0"/>
    <m/>
    <m/>
    <n v="1"/>
    <m/>
    <m/>
    <m/>
    <m/>
    <m/>
    <m/>
    <s v="no test"/>
    <s v="no test"/>
    <x v="1"/>
    <n v="0"/>
    <n v="1"/>
    <n v="0"/>
    <n v="0"/>
    <n v="0"/>
    <n v="1"/>
    <n v="0.702247191011236"/>
    <n v="1"/>
    <n v="356"/>
    <n v="0"/>
    <n v="0"/>
    <n v="1"/>
    <n v="356"/>
    <n v="0.71199999999999997"/>
    <n v="0"/>
    <n v="0"/>
    <n v="0.28800000000000003"/>
    <n v="1"/>
    <n v="6"/>
    <n v="0.33707865168539325"/>
    <n v="120"/>
    <n v="40"/>
    <n v="0"/>
    <n v="18"/>
    <n v="12"/>
    <n v="0.66292134831460681"/>
    <n v="0"/>
    <n v="356"/>
    <n v="0"/>
    <n v="0"/>
    <n v="0"/>
    <n v="356"/>
    <n v="1"/>
    <n v="0"/>
    <n v="1"/>
    <n v="0"/>
    <n v="0"/>
    <n v="0"/>
    <n v="0"/>
    <n v="0"/>
    <n v="0"/>
    <x v="0"/>
    <s v="Yes"/>
    <s v="KBC-MYT"/>
    <x v="0"/>
    <x v="0"/>
    <x v="0"/>
    <n v="0"/>
    <n v="0"/>
    <s v="MMR001CMP269"/>
    <x v="0"/>
    <m/>
  </r>
  <r>
    <x v="0"/>
    <x v="5"/>
    <x v="5"/>
    <s v="DFID"/>
    <x v="0"/>
    <x v="2"/>
    <x v="1"/>
    <x v="155"/>
    <n v="45"/>
    <n v="186"/>
    <d v="2018-08-01T00:00:00"/>
    <d v="2020-07-31T00:00:00"/>
    <n v="0"/>
    <n v="1"/>
    <n v="0"/>
    <n v="0"/>
    <s v="Yes"/>
    <n v="0"/>
    <n v="5"/>
    <n v="1"/>
    <n v="1"/>
    <n v="0"/>
    <n v="0"/>
    <n v="1"/>
    <n v="1"/>
    <n v="0"/>
    <n v="0"/>
    <n v="0"/>
    <n v="0"/>
    <n v="0"/>
    <n v="0"/>
    <n v="0"/>
    <n v="0"/>
    <n v="0"/>
    <m/>
    <m/>
    <m/>
    <m/>
    <n v="0"/>
    <n v="0"/>
    <m/>
    <n v="0"/>
    <n v="7"/>
    <s v="UNHCR &amp; World vision"/>
    <n v="0"/>
    <n v="0"/>
    <n v="0"/>
    <m/>
    <n v="0"/>
    <x v="0"/>
    <x v="0"/>
    <n v="0"/>
    <n v="0"/>
    <n v="0"/>
    <m/>
    <n v="2"/>
    <n v="0"/>
    <n v="0"/>
    <n v="2"/>
    <n v="2"/>
    <n v="0"/>
    <n v="0"/>
    <n v="0"/>
    <n v="0"/>
    <s v="No"/>
    <n v="0"/>
    <n v="0"/>
    <m/>
    <s v="no test"/>
    <s v="no test"/>
    <x v="1"/>
    <n v="0"/>
    <n v="0"/>
    <n v="0"/>
    <n v="0"/>
    <n v="0"/>
    <n v="0"/>
    <n v="0"/>
    <n v="0"/>
    <n v="0"/>
    <n v="0"/>
    <n v="0"/>
    <n v="0"/>
    <n v="0"/>
    <n v="0"/>
    <n v="1"/>
    <n v="186"/>
    <n v="1"/>
    <n v="1"/>
    <n v="7"/>
    <n v="0.75268817204301075"/>
    <n v="140"/>
    <n v="0"/>
    <n v="0"/>
    <n v="9"/>
    <n v="2"/>
    <n v="0.24731182795698925"/>
    <n v="0"/>
    <n v="0"/>
    <n v="0"/>
    <n v="0"/>
    <n v="0"/>
    <n v="0"/>
    <n v="0"/>
    <n v="1"/>
    <n v="0"/>
    <n v="0"/>
    <n v="0"/>
    <n v="2"/>
    <n v="40"/>
    <n v="0"/>
    <n v="186"/>
    <x v="0"/>
    <s v="Yes"/>
    <s v="Shalom"/>
    <x v="0"/>
    <x v="0"/>
    <x v="0"/>
    <n v="25.333683333333301"/>
    <n v="97.428251153846105"/>
    <s v="MMR001CMP037"/>
    <x v="0"/>
    <m/>
  </r>
  <r>
    <x v="0"/>
    <x v="4"/>
    <x v="4"/>
    <m/>
    <x v="0"/>
    <x v="4"/>
    <x v="0"/>
    <x v="156"/>
    <n v="78"/>
    <n v="324"/>
    <m/>
    <m/>
    <m/>
    <m/>
    <m/>
    <m/>
    <m/>
    <m/>
    <m/>
    <n v="0"/>
    <m/>
    <m/>
    <n v="0"/>
    <m/>
    <m/>
    <m/>
    <m/>
    <m/>
    <m/>
    <m/>
    <m/>
    <m/>
    <m/>
    <n v="0"/>
    <m/>
    <m/>
    <m/>
    <m/>
    <m/>
    <m/>
    <m/>
    <n v="0"/>
    <m/>
    <m/>
    <m/>
    <m/>
    <m/>
    <m/>
    <n v="0"/>
    <x v="2"/>
    <x v="2"/>
    <m/>
    <m/>
    <m/>
    <m/>
    <m/>
    <m/>
    <m/>
    <m/>
    <m/>
    <m/>
    <m/>
    <m/>
    <m/>
    <m/>
    <m/>
    <m/>
    <m/>
    <s v="no test"/>
    <s v="no test"/>
    <x v="1"/>
    <n v="0"/>
    <n v="0"/>
    <n v="0"/>
    <n v="0"/>
    <n v="0"/>
    <n v="0"/>
    <n v="0"/>
    <n v="0"/>
    <n v="0"/>
    <n v="0"/>
    <n v="0"/>
    <n v="0"/>
    <n v="0"/>
    <n v="0"/>
    <n v="1"/>
    <n v="324"/>
    <n v="1"/>
    <n v="1"/>
    <n v="0"/>
    <n v="0"/>
    <n v="0"/>
    <n v="0"/>
    <n v="0"/>
    <n v="16"/>
    <n v="16"/>
    <n v="1"/>
    <n v="0"/>
    <n v="0"/>
    <n v="0"/>
    <n v="0"/>
    <n v="0"/>
    <n v="0"/>
    <n v="0"/>
    <n v="1"/>
    <n v="0"/>
    <n v="0"/>
    <n v="0"/>
    <n v="0"/>
    <n v="0"/>
    <n v="0"/>
    <n v="0"/>
    <x v="0"/>
    <n v="0"/>
    <n v="0"/>
    <x v="0"/>
    <x v="2"/>
    <x v="1"/>
    <n v="0"/>
    <n v="0"/>
    <n v="0"/>
    <x v="0"/>
    <m/>
  </r>
  <r>
    <x v="0"/>
    <x v="5"/>
    <x v="5"/>
    <s v="DFID"/>
    <x v="0"/>
    <x v="2"/>
    <x v="1"/>
    <x v="157"/>
    <n v="66"/>
    <n v="263"/>
    <d v="2018-08-01T00:00:00"/>
    <d v="2020-07-31T00:00:00"/>
    <n v="0"/>
    <n v="1"/>
    <n v="0"/>
    <n v="0"/>
    <s v="Yes"/>
    <n v="3"/>
    <n v="2"/>
    <n v="3"/>
    <n v="0"/>
    <n v="2"/>
    <n v="1"/>
    <n v="3"/>
    <n v="0"/>
    <n v="2"/>
    <n v="0"/>
    <n v="0"/>
    <n v="0"/>
    <n v="0"/>
    <n v="0"/>
    <n v="0"/>
    <n v="0"/>
    <n v="0"/>
    <m/>
    <m/>
    <m/>
    <m/>
    <n v="0"/>
    <n v="0"/>
    <m/>
    <n v="0"/>
    <n v="7"/>
    <n v="0"/>
    <n v="2"/>
    <n v="0"/>
    <n v="2"/>
    <m/>
    <n v="0"/>
    <x v="0"/>
    <x v="0"/>
    <n v="0"/>
    <n v="0"/>
    <n v="0"/>
    <m/>
    <n v="2"/>
    <n v="0"/>
    <n v="0"/>
    <n v="4"/>
    <n v="0"/>
    <n v="0"/>
    <n v="0"/>
    <n v="0"/>
    <n v="0"/>
    <s v="No"/>
    <n v="0"/>
    <n v="0"/>
    <m/>
    <s v="no test"/>
    <s v="no test"/>
    <x v="1"/>
    <n v="3"/>
    <n v="4"/>
    <n v="0"/>
    <n v="0"/>
    <n v="0"/>
    <n v="1"/>
    <n v="1"/>
    <n v="1"/>
    <n v="263"/>
    <n v="0"/>
    <n v="0"/>
    <n v="1"/>
    <n v="263"/>
    <n v="0.52600000000000002"/>
    <n v="0"/>
    <n v="0"/>
    <n v="0.47399999999999998"/>
    <n v="1"/>
    <n v="5"/>
    <n v="0.38022813688212925"/>
    <n v="100"/>
    <n v="40"/>
    <n v="0"/>
    <n v="13"/>
    <n v="6"/>
    <n v="0.6197718631178708"/>
    <n v="0.2857142857142857"/>
    <n v="0"/>
    <n v="0"/>
    <n v="0"/>
    <n v="0"/>
    <n v="0"/>
    <n v="0"/>
    <n v="1"/>
    <n v="0"/>
    <n v="0"/>
    <n v="0"/>
    <n v="2"/>
    <n v="40"/>
    <n v="0"/>
    <n v="200"/>
    <x v="0"/>
    <s v="Yes"/>
    <s v="Shalom"/>
    <x v="0"/>
    <x v="0"/>
    <x v="0"/>
    <n v="25.351250396825399"/>
    <n v="97.444283730158702"/>
    <s v="MMR001CMP038"/>
    <x v="0"/>
    <m/>
  </r>
  <r>
    <x v="0"/>
    <x v="1"/>
    <x v="1"/>
    <s v="WHH-BMZ,WHH-AA"/>
    <x v="0"/>
    <x v="2"/>
    <x v="0"/>
    <x v="158"/>
    <n v="134"/>
    <n v="709"/>
    <m/>
    <d v="2018-06-30T00:00:00"/>
    <m/>
    <m/>
    <m/>
    <m/>
    <m/>
    <m/>
    <m/>
    <m/>
    <m/>
    <m/>
    <m/>
    <m/>
    <m/>
    <m/>
    <m/>
    <m/>
    <m/>
    <m/>
    <m/>
    <m/>
    <m/>
    <m/>
    <m/>
    <m/>
    <m/>
    <m/>
    <m/>
    <m/>
    <m/>
    <m/>
    <m/>
    <m/>
    <m/>
    <m/>
    <m/>
    <m/>
    <m/>
    <x v="0"/>
    <x v="3"/>
    <m/>
    <m/>
    <m/>
    <m/>
    <m/>
    <m/>
    <m/>
    <m/>
    <m/>
    <m/>
    <m/>
    <m/>
    <m/>
    <m/>
    <m/>
    <m/>
    <m/>
    <s v="no test"/>
    <s v="no test"/>
    <x v="1"/>
    <n v="0"/>
    <n v="0"/>
    <n v="0"/>
    <n v="0"/>
    <n v="0"/>
    <n v="0"/>
    <n v="0"/>
    <n v="0"/>
    <n v="0"/>
    <n v="0"/>
    <n v="0"/>
    <n v="0"/>
    <n v="0"/>
    <n v="0"/>
    <n v="1"/>
    <n v="709"/>
    <n v="1"/>
    <n v="1"/>
    <n v="0"/>
    <n v="0"/>
    <n v="0"/>
    <n v="0"/>
    <n v="0"/>
    <n v="35"/>
    <n v="35"/>
    <n v="1"/>
    <n v="0"/>
    <n v="0"/>
    <n v="0"/>
    <n v="0"/>
    <n v="0"/>
    <n v="0"/>
    <n v="0"/>
    <n v="1"/>
    <n v="0"/>
    <n v="0"/>
    <n v="0"/>
    <n v="0"/>
    <n v="0"/>
    <n v="0"/>
    <n v="0"/>
    <x v="0"/>
    <n v="0"/>
    <n v="0"/>
    <x v="0"/>
    <x v="0"/>
    <x v="1"/>
    <n v="0"/>
    <n v="0"/>
    <n v="0"/>
    <x v="0"/>
    <m/>
  </r>
  <r>
    <x v="0"/>
    <x v="1"/>
    <x v="1"/>
    <s v="WHH-BMZ,WHH-AA"/>
    <x v="0"/>
    <x v="2"/>
    <x v="0"/>
    <x v="159"/>
    <n v="546"/>
    <n v="2550"/>
    <m/>
    <d v="2018-06-30T00:00:00"/>
    <m/>
    <m/>
    <m/>
    <m/>
    <m/>
    <m/>
    <m/>
    <m/>
    <m/>
    <m/>
    <m/>
    <m/>
    <m/>
    <m/>
    <m/>
    <m/>
    <m/>
    <m/>
    <m/>
    <m/>
    <m/>
    <m/>
    <m/>
    <m/>
    <m/>
    <m/>
    <m/>
    <m/>
    <m/>
    <m/>
    <m/>
    <m/>
    <m/>
    <m/>
    <m/>
    <m/>
    <m/>
    <x v="2"/>
    <x v="4"/>
    <m/>
    <m/>
    <m/>
    <m/>
    <m/>
    <m/>
    <m/>
    <m/>
    <m/>
    <m/>
    <m/>
    <m/>
    <m/>
    <m/>
    <m/>
    <m/>
    <m/>
    <s v="no test"/>
    <s v="no test"/>
    <x v="1"/>
    <n v="0"/>
    <n v="0"/>
    <n v="0"/>
    <n v="0"/>
    <n v="0"/>
    <n v="0"/>
    <n v="0"/>
    <n v="0"/>
    <n v="0"/>
    <n v="0"/>
    <n v="0"/>
    <n v="0"/>
    <n v="0"/>
    <n v="0"/>
    <n v="1"/>
    <n v="2550"/>
    <n v="5"/>
    <n v="5"/>
    <n v="0"/>
    <n v="0"/>
    <n v="0"/>
    <n v="0"/>
    <n v="0"/>
    <n v="128"/>
    <n v="128"/>
    <n v="1"/>
    <n v="0"/>
    <n v="0"/>
    <n v="0"/>
    <n v="0"/>
    <n v="0"/>
    <n v="0"/>
    <n v="0"/>
    <n v="1"/>
    <n v="0"/>
    <n v="0"/>
    <n v="0"/>
    <n v="0"/>
    <n v="0"/>
    <n v="0"/>
    <n v="0"/>
    <x v="0"/>
    <n v="0"/>
    <n v="0"/>
    <x v="0"/>
    <x v="1"/>
    <x v="1"/>
    <n v="0"/>
    <n v="0"/>
    <n v="0"/>
    <x v="0"/>
    <m/>
  </r>
  <r>
    <x v="0"/>
    <x v="1"/>
    <x v="1"/>
    <s v="WHH-AA / USAID"/>
    <x v="0"/>
    <x v="0"/>
    <x v="1"/>
    <x v="160"/>
    <n v="10"/>
    <n v="59"/>
    <d v="2019-01-01T00:00:00"/>
    <d v="2019-12-31T00:00:00"/>
    <m/>
    <m/>
    <m/>
    <m/>
    <s v="No"/>
    <m/>
    <m/>
    <m/>
    <m/>
    <m/>
    <m/>
    <n v="1"/>
    <m/>
    <m/>
    <m/>
    <m/>
    <m/>
    <m/>
    <m/>
    <m/>
    <m/>
    <m/>
    <m/>
    <m/>
    <m/>
    <m/>
    <m/>
    <m/>
    <m/>
    <n v="10"/>
    <m/>
    <m/>
    <m/>
    <m/>
    <m/>
    <m/>
    <m/>
    <x v="0"/>
    <x v="0"/>
    <m/>
    <m/>
    <m/>
    <m/>
    <n v="1"/>
    <m/>
    <m/>
    <n v="2"/>
    <m/>
    <m/>
    <m/>
    <n v="10"/>
    <n v="2"/>
    <m/>
    <m/>
    <m/>
    <m/>
    <s v="no test"/>
    <s v="no test"/>
    <x v="1"/>
    <n v="0"/>
    <n v="1"/>
    <n v="0"/>
    <n v="0"/>
    <n v="0"/>
    <n v="1"/>
    <n v="1"/>
    <n v="1"/>
    <n v="59"/>
    <n v="0"/>
    <n v="0"/>
    <n v="1"/>
    <n v="59"/>
    <n v="0.11799999999999999"/>
    <n v="0"/>
    <n v="0"/>
    <n v="0.88200000000000001"/>
    <n v="1"/>
    <n v="10"/>
    <n v="1"/>
    <n v="59"/>
    <n v="0"/>
    <n v="0"/>
    <n v="3"/>
    <n v="0"/>
    <n v="0"/>
    <n v="0"/>
    <n v="0"/>
    <n v="59"/>
    <n v="10"/>
    <n v="59"/>
    <n v="59"/>
    <n v="1"/>
    <n v="0"/>
    <n v="0"/>
    <n v="1"/>
    <n v="0.2"/>
    <n v="1"/>
    <n v="10"/>
    <n v="0"/>
    <n v="59"/>
    <x v="0"/>
    <s v="Yes"/>
    <s v="Shalom"/>
    <x v="0"/>
    <x v="4"/>
    <x v="0"/>
    <n v="24.24953"/>
    <n v="97.240639999999999"/>
    <s v="MMR001CMP053"/>
    <x v="0"/>
    <m/>
  </r>
  <r>
    <x v="0"/>
    <x v="9"/>
    <x v="9"/>
    <s v="BMZ"/>
    <x v="1"/>
    <x v="13"/>
    <x v="2"/>
    <x v="161"/>
    <n v="217"/>
    <n v="663"/>
    <d v="2018-09-16T00:00:00"/>
    <d v="2019-12-31T00:00:00"/>
    <m/>
    <m/>
    <m/>
    <m/>
    <m/>
    <m/>
    <m/>
    <m/>
    <m/>
    <m/>
    <m/>
    <m/>
    <m/>
    <m/>
    <m/>
    <m/>
    <m/>
    <m/>
    <m/>
    <m/>
    <m/>
    <m/>
    <m/>
    <m/>
    <m/>
    <m/>
    <m/>
    <m/>
    <m/>
    <m/>
    <m/>
    <m/>
    <m/>
    <m/>
    <m/>
    <m/>
    <m/>
    <x v="1"/>
    <x v="1"/>
    <m/>
    <m/>
    <m/>
    <m/>
    <m/>
    <m/>
    <m/>
    <m/>
    <m/>
    <m/>
    <m/>
    <m/>
    <m/>
    <m/>
    <m/>
    <m/>
    <m/>
    <s v="no test"/>
    <s v="no test"/>
    <x v="1"/>
    <n v="0"/>
    <n v="0"/>
    <n v="0"/>
    <n v="0"/>
    <n v="0"/>
    <n v="0"/>
    <n v="0"/>
    <n v="0"/>
    <n v="0"/>
    <n v="0"/>
    <n v="0"/>
    <n v="0"/>
    <n v="0"/>
    <n v="0"/>
    <n v="1"/>
    <n v="663"/>
    <n v="1"/>
    <n v="1"/>
    <n v="0"/>
    <n v="0"/>
    <n v="0"/>
    <s v="N/A"/>
    <s v="NA"/>
    <n v="111"/>
    <n v="111"/>
    <n v="1"/>
    <n v="0"/>
    <n v="0"/>
    <n v="0"/>
    <n v="0"/>
    <n v="0"/>
    <n v="0"/>
    <n v="0"/>
    <n v="1"/>
    <n v="0"/>
    <n v="0"/>
    <n v="0"/>
    <n v="0"/>
    <n v="0"/>
    <n v="0"/>
    <n v="0"/>
    <x v="0"/>
    <n v="0"/>
    <n v="0"/>
    <x v="2"/>
    <x v="6"/>
    <x v="2"/>
    <n v="20.072999954223601"/>
    <n v="92.924957275390597"/>
    <n v="197561"/>
    <x v="0"/>
    <m/>
  </r>
  <r>
    <x v="0"/>
    <x v="0"/>
    <x v="0"/>
    <s v="ECHO, OFDA, MHF"/>
    <x v="1"/>
    <x v="13"/>
    <x v="1"/>
    <x v="162"/>
    <n v="1249"/>
    <n v="4717"/>
    <s v="28/02/2018 and 28/02/2019, 01/07/2018, 01/10/2018"/>
    <s v="28/02/2019 and 28/02/2020, 30/06/2019, 30/09/2019"/>
    <m/>
    <m/>
    <m/>
    <s v=" -   "/>
    <s v="Yes"/>
    <n v="13"/>
    <n v="2"/>
    <n v="0"/>
    <n v="0"/>
    <n v="0"/>
    <n v="0"/>
    <n v="0"/>
    <n v="0"/>
    <n v="0"/>
    <n v="73"/>
    <m/>
    <n v="73"/>
    <m/>
    <n v="5"/>
    <n v="0"/>
    <m/>
    <n v="0"/>
    <n v="1"/>
    <n v="1"/>
    <n v="27"/>
    <n v="9"/>
    <s v=" -   "/>
    <s v=" -   "/>
    <m/>
    <n v="178"/>
    <n v="0"/>
    <m/>
    <n v="10"/>
    <n v="178"/>
    <m/>
    <m/>
    <m/>
    <x v="0"/>
    <x v="0"/>
    <n v="45"/>
    <n v="0"/>
    <m/>
    <m/>
    <n v="0"/>
    <n v="0"/>
    <n v="0"/>
    <n v="0"/>
    <n v="0"/>
    <n v="8"/>
    <n v="3"/>
    <n v="1245"/>
    <n v="1245"/>
    <s v="No"/>
    <n v="28"/>
    <m/>
    <s v="the HHs use to have bathing place inside the shelter or as shelter extension"/>
    <n v="1"/>
    <n v="0.33333333333333331"/>
    <x v="0"/>
    <n v="0"/>
    <n v="0"/>
    <n v="73"/>
    <n v="0"/>
    <n v="0"/>
    <n v="1"/>
    <n v="1"/>
    <n v="1"/>
    <n v="4717"/>
    <n v="0.26499894000423996"/>
    <n v="1249.9999999999998"/>
    <n v="1"/>
    <n v="4717"/>
    <n v="9.4339999999999993"/>
    <n v="0"/>
    <n v="0"/>
    <n v="0"/>
    <n v="9"/>
    <n v="168"/>
    <n v="0.71231715073139712"/>
    <n v="3360"/>
    <n v="0"/>
    <n v="0"/>
    <n v="236"/>
    <n v="58"/>
    <n v="0.28768284926860288"/>
    <n v="5.6179775280898875E-2"/>
    <n v="4717"/>
    <n v="4717"/>
    <n v="4717"/>
    <n v="4717"/>
    <n v="4717"/>
    <n v="1"/>
    <n v="0"/>
    <n v="1"/>
    <n v="0.99679743795036024"/>
    <n v="0.99679743795036024"/>
    <n v="0"/>
    <n v="0"/>
    <n v="0"/>
    <n v="0"/>
    <x v="0"/>
    <s v="Yes"/>
    <n v="0"/>
    <x v="0"/>
    <x v="7"/>
    <x v="3"/>
    <n v="20.108101999999999"/>
    <n v="92.985095000000001"/>
    <s v="MMR012CMP016"/>
    <x v="0"/>
    <m/>
  </r>
  <r>
    <x v="0"/>
    <x v="9"/>
    <x v="9"/>
    <s v="BMZ"/>
    <x v="1"/>
    <x v="13"/>
    <x v="2"/>
    <x v="163"/>
    <n v="90"/>
    <n v="393"/>
    <d v="2018-09-16T00:00:00"/>
    <d v="2019-12-31T00:00:00"/>
    <m/>
    <m/>
    <m/>
    <m/>
    <m/>
    <m/>
    <m/>
    <m/>
    <m/>
    <m/>
    <m/>
    <m/>
    <m/>
    <m/>
    <m/>
    <m/>
    <m/>
    <m/>
    <m/>
    <m/>
    <m/>
    <m/>
    <m/>
    <m/>
    <m/>
    <m/>
    <m/>
    <m/>
    <m/>
    <m/>
    <m/>
    <m/>
    <m/>
    <m/>
    <m/>
    <m/>
    <m/>
    <x v="1"/>
    <x v="1"/>
    <m/>
    <m/>
    <m/>
    <m/>
    <m/>
    <m/>
    <m/>
    <m/>
    <m/>
    <m/>
    <m/>
    <m/>
    <m/>
    <m/>
    <m/>
    <m/>
    <m/>
    <s v="no test"/>
    <s v="no test"/>
    <x v="1"/>
    <n v="0"/>
    <n v="0"/>
    <n v="0"/>
    <n v="0"/>
    <n v="0"/>
    <n v="0"/>
    <n v="0"/>
    <n v="0"/>
    <n v="0"/>
    <n v="0"/>
    <n v="0"/>
    <n v="0"/>
    <n v="0"/>
    <n v="0"/>
    <n v="1"/>
    <n v="393"/>
    <n v="1"/>
    <n v="1"/>
    <n v="0"/>
    <n v="0"/>
    <n v="0"/>
    <s v="N/A"/>
    <s v="NA"/>
    <n v="66"/>
    <n v="66"/>
    <n v="1"/>
    <n v="0"/>
    <n v="0"/>
    <n v="0"/>
    <n v="0"/>
    <n v="0"/>
    <n v="0"/>
    <n v="0"/>
    <n v="1"/>
    <n v="0"/>
    <n v="0"/>
    <n v="0"/>
    <n v="0"/>
    <n v="0"/>
    <n v="0"/>
    <n v="0"/>
    <x v="0"/>
    <n v="0"/>
    <n v="0"/>
    <x v="2"/>
    <x v="6"/>
    <x v="2"/>
    <n v="19.986650466918899"/>
    <n v="92.986160278320298"/>
    <n v="197546"/>
    <x v="0"/>
    <m/>
  </r>
  <r>
    <x v="0"/>
    <x v="9"/>
    <x v="9"/>
    <s v="BMZ"/>
    <x v="1"/>
    <x v="13"/>
    <x v="2"/>
    <x v="164"/>
    <n v="53"/>
    <n v="248"/>
    <d v="2018-09-16T00:00:00"/>
    <d v="2019-12-31T00:00:00"/>
    <m/>
    <m/>
    <m/>
    <m/>
    <m/>
    <m/>
    <m/>
    <m/>
    <m/>
    <m/>
    <m/>
    <m/>
    <m/>
    <m/>
    <m/>
    <m/>
    <m/>
    <m/>
    <m/>
    <m/>
    <m/>
    <m/>
    <m/>
    <m/>
    <m/>
    <m/>
    <m/>
    <m/>
    <m/>
    <m/>
    <m/>
    <m/>
    <m/>
    <m/>
    <m/>
    <m/>
    <m/>
    <x v="1"/>
    <x v="1"/>
    <m/>
    <m/>
    <m/>
    <m/>
    <m/>
    <m/>
    <m/>
    <m/>
    <m/>
    <m/>
    <m/>
    <m/>
    <m/>
    <m/>
    <m/>
    <m/>
    <m/>
    <s v="no test"/>
    <s v="no test"/>
    <x v="1"/>
    <n v="0"/>
    <n v="0"/>
    <n v="0"/>
    <n v="0"/>
    <n v="0"/>
    <n v="0"/>
    <n v="0"/>
    <n v="0"/>
    <n v="0"/>
    <n v="0"/>
    <n v="0"/>
    <n v="0"/>
    <n v="0"/>
    <n v="0"/>
    <n v="1"/>
    <n v="248"/>
    <n v="1"/>
    <n v="1"/>
    <n v="0"/>
    <n v="0"/>
    <n v="0"/>
    <s v="N/A"/>
    <s v="NA"/>
    <n v="41"/>
    <n v="41"/>
    <n v="1"/>
    <n v="0"/>
    <n v="0"/>
    <n v="0"/>
    <n v="0"/>
    <n v="0"/>
    <n v="0"/>
    <n v="0"/>
    <n v="1"/>
    <n v="0"/>
    <n v="0"/>
    <n v="0"/>
    <n v="0"/>
    <n v="0"/>
    <n v="0"/>
    <n v="0"/>
    <x v="0"/>
    <n v="0"/>
    <n v="0"/>
    <x v="2"/>
    <x v="6"/>
    <x v="2"/>
    <n v="0"/>
    <n v="0"/>
    <n v="0"/>
    <x v="0"/>
    <m/>
  </r>
  <r>
    <x v="0"/>
    <x v="10"/>
    <x v="10"/>
    <s v="IOM"/>
    <x v="2"/>
    <x v="14"/>
    <x v="2"/>
    <x v="165"/>
    <n v="153"/>
    <n v="838"/>
    <d v="2019-01-15T00:00:00"/>
    <d v="2019-09-15T00:00:00"/>
    <m/>
    <m/>
    <m/>
    <m/>
    <m/>
    <m/>
    <m/>
    <m/>
    <m/>
    <m/>
    <m/>
    <m/>
    <m/>
    <m/>
    <m/>
    <m/>
    <m/>
    <m/>
    <m/>
    <m/>
    <m/>
    <m/>
    <m/>
    <m/>
    <m/>
    <m/>
    <m/>
    <m/>
    <m/>
    <m/>
    <m/>
    <m/>
    <m/>
    <m/>
    <m/>
    <m/>
    <m/>
    <x v="1"/>
    <x v="1"/>
    <m/>
    <m/>
    <m/>
    <m/>
    <m/>
    <m/>
    <m/>
    <m/>
    <m/>
    <n v="153"/>
    <n v="153"/>
    <m/>
    <m/>
    <m/>
    <m/>
    <m/>
    <m/>
    <s v="no test"/>
    <s v="no test"/>
    <x v="1"/>
    <n v="0"/>
    <n v="0"/>
    <n v="0"/>
    <n v="0"/>
    <n v="0"/>
    <n v="0"/>
    <n v="0"/>
    <n v="0"/>
    <n v="0"/>
    <n v="0"/>
    <n v="0"/>
    <n v="0"/>
    <n v="0"/>
    <n v="0"/>
    <n v="1"/>
    <n v="838"/>
    <n v="2"/>
    <n v="2"/>
    <n v="0"/>
    <n v="0"/>
    <n v="0"/>
    <s v="N/A"/>
    <s v="NA"/>
    <n v="140"/>
    <n v="140"/>
    <n v="1"/>
    <n v="0"/>
    <n v="838"/>
    <n v="0"/>
    <n v="0"/>
    <n v="0"/>
    <n v="838"/>
    <n v="1"/>
    <n v="0"/>
    <n v="1"/>
    <n v="0"/>
    <n v="0"/>
    <n v="0"/>
    <n v="0"/>
    <n v="0"/>
    <n v="0"/>
    <x v="0"/>
    <n v="0"/>
    <n v="0"/>
    <x v="2"/>
    <x v="6"/>
    <x v="3"/>
    <n v="20.819919586181602"/>
    <n v="92.589729309082003"/>
    <n v="198349"/>
    <x v="0"/>
    <m/>
  </r>
  <r>
    <x v="0"/>
    <x v="10"/>
    <x v="10"/>
    <s v="IOM"/>
    <x v="2"/>
    <x v="14"/>
    <x v="2"/>
    <x v="166"/>
    <n v="95"/>
    <n v="570"/>
    <d v="2019-01-15T00:00:00"/>
    <d v="2019-09-15T00:00:00"/>
    <m/>
    <m/>
    <m/>
    <m/>
    <m/>
    <m/>
    <m/>
    <m/>
    <m/>
    <m/>
    <m/>
    <m/>
    <m/>
    <m/>
    <m/>
    <m/>
    <m/>
    <m/>
    <m/>
    <m/>
    <m/>
    <m/>
    <m/>
    <m/>
    <m/>
    <m/>
    <m/>
    <m/>
    <m/>
    <m/>
    <m/>
    <m/>
    <m/>
    <m/>
    <m/>
    <m/>
    <m/>
    <x v="1"/>
    <x v="1"/>
    <m/>
    <m/>
    <m/>
    <m/>
    <m/>
    <m/>
    <m/>
    <m/>
    <m/>
    <n v="95"/>
    <n v="95"/>
    <m/>
    <m/>
    <m/>
    <m/>
    <m/>
    <m/>
    <s v="no test"/>
    <s v="no test"/>
    <x v="1"/>
    <n v="0"/>
    <n v="0"/>
    <n v="0"/>
    <n v="0"/>
    <n v="0"/>
    <n v="0"/>
    <n v="0"/>
    <n v="0"/>
    <n v="0"/>
    <n v="0"/>
    <n v="0"/>
    <n v="0"/>
    <n v="0"/>
    <n v="0"/>
    <n v="1"/>
    <n v="570"/>
    <n v="1"/>
    <n v="1"/>
    <n v="0"/>
    <n v="0"/>
    <n v="0"/>
    <s v="N/A"/>
    <s v="NA"/>
    <n v="95"/>
    <n v="95"/>
    <n v="1"/>
    <n v="0"/>
    <n v="570"/>
    <n v="0"/>
    <n v="0"/>
    <n v="0"/>
    <n v="570"/>
    <n v="1"/>
    <n v="0"/>
    <n v="1"/>
    <n v="0"/>
    <n v="0"/>
    <n v="0"/>
    <n v="0"/>
    <n v="0"/>
    <n v="0"/>
    <x v="0"/>
    <n v="0"/>
    <n v="0"/>
    <x v="2"/>
    <x v="6"/>
    <x v="3"/>
    <n v="0"/>
    <n v="0"/>
    <n v="198427"/>
    <x v="0"/>
    <m/>
  </r>
  <r>
    <x v="0"/>
    <x v="10"/>
    <x v="10"/>
    <s v="IOM"/>
    <x v="2"/>
    <x v="14"/>
    <x v="2"/>
    <x v="167"/>
    <n v="8"/>
    <n v="42"/>
    <d v="2019-01-15T00:00:00"/>
    <d v="2019-09-15T00:00:00"/>
    <m/>
    <m/>
    <m/>
    <m/>
    <m/>
    <m/>
    <m/>
    <m/>
    <m/>
    <m/>
    <m/>
    <m/>
    <m/>
    <m/>
    <m/>
    <m/>
    <m/>
    <m/>
    <m/>
    <m/>
    <m/>
    <m/>
    <m/>
    <m/>
    <m/>
    <m/>
    <m/>
    <m/>
    <m/>
    <m/>
    <m/>
    <m/>
    <m/>
    <m/>
    <m/>
    <m/>
    <m/>
    <x v="1"/>
    <x v="1"/>
    <m/>
    <m/>
    <m/>
    <m/>
    <m/>
    <m/>
    <m/>
    <m/>
    <m/>
    <n v="8"/>
    <n v="8"/>
    <m/>
    <m/>
    <m/>
    <m/>
    <m/>
    <m/>
    <s v="no test"/>
    <s v="no test"/>
    <x v="1"/>
    <n v="0"/>
    <n v="0"/>
    <n v="0"/>
    <n v="0"/>
    <n v="0"/>
    <n v="0"/>
    <n v="0"/>
    <n v="0"/>
    <n v="0"/>
    <n v="0"/>
    <n v="0"/>
    <n v="0"/>
    <n v="0"/>
    <n v="0"/>
    <n v="1"/>
    <n v="42"/>
    <n v="1"/>
    <n v="1"/>
    <n v="0"/>
    <n v="0"/>
    <n v="0"/>
    <s v="N/A"/>
    <s v="NA"/>
    <n v="7"/>
    <n v="7"/>
    <n v="1"/>
    <n v="0"/>
    <n v="42"/>
    <n v="0"/>
    <n v="0"/>
    <n v="0"/>
    <n v="42"/>
    <n v="1"/>
    <n v="0"/>
    <n v="1"/>
    <n v="0"/>
    <n v="0"/>
    <n v="0"/>
    <n v="0"/>
    <n v="0"/>
    <n v="0"/>
    <x v="0"/>
    <n v="0"/>
    <n v="0"/>
    <x v="2"/>
    <x v="6"/>
    <x v="4"/>
    <n v="0"/>
    <n v="0"/>
    <n v="198426"/>
    <x v="0"/>
    <m/>
  </r>
  <r>
    <x v="0"/>
    <x v="10"/>
    <x v="10"/>
    <s v="IOM"/>
    <x v="2"/>
    <x v="14"/>
    <x v="2"/>
    <x v="168"/>
    <n v="96"/>
    <n v="533"/>
    <d v="2019-01-15T00:00:00"/>
    <d v="2019-09-15T00:00:00"/>
    <m/>
    <m/>
    <m/>
    <m/>
    <m/>
    <m/>
    <m/>
    <m/>
    <m/>
    <m/>
    <m/>
    <m/>
    <m/>
    <m/>
    <m/>
    <m/>
    <m/>
    <m/>
    <m/>
    <m/>
    <m/>
    <m/>
    <m/>
    <m/>
    <m/>
    <m/>
    <m/>
    <m/>
    <m/>
    <m/>
    <m/>
    <m/>
    <m/>
    <m/>
    <m/>
    <m/>
    <m/>
    <x v="1"/>
    <x v="1"/>
    <m/>
    <m/>
    <m/>
    <m/>
    <m/>
    <m/>
    <m/>
    <m/>
    <m/>
    <n v="96"/>
    <n v="96"/>
    <m/>
    <m/>
    <m/>
    <m/>
    <m/>
    <m/>
    <s v="no test"/>
    <s v="no test"/>
    <x v="1"/>
    <n v="0"/>
    <n v="0"/>
    <n v="0"/>
    <n v="0"/>
    <n v="0"/>
    <n v="0"/>
    <n v="0"/>
    <n v="0"/>
    <n v="0"/>
    <n v="0"/>
    <n v="0"/>
    <n v="0"/>
    <n v="0"/>
    <n v="0"/>
    <n v="1"/>
    <n v="533"/>
    <n v="1"/>
    <n v="1"/>
    <n v="0"/>
    <n v="0"/>
    <n v="0"/>
    <s v="N/A"/>
    <s v="NA"/>
    <n v="89"/>
    <n v="89"/>
    <n v="1"/>
    <n v="0"/>
    <n v="533"/>
    <n v="0"/>
    <n v="0"/>
    <n v="0"/>
    <n v="533"/>
    <n v="1"/>
    <n v="0"/>
    <n v="1"/>
    <n v="0"/>
    <n v="0"/>
    <n v="0"/>
    <n v="0"/>
    <n v="0"/>
    <n v="0"/>
    <x v="0"/>
    <n v="0"/>
    <n v="0"/>
    <x v="2"/>
    <x v="6"/>
    <x v="3"/>
    <n v="0"/>
    <n v="0"/>
    <n v="198435"/>
    <x v="0"/>
    <m/>
  </r>
  <r>
    <x v="0"/>
    <x v="10"/>
    <x v="10"/>
    <s v="IOM"/>
    <x v="2"/>
    <x v="14"/>
    <x v="2"/>
    <x v="169"/>
    <n v="217"/>
    <n v="1155"/>
    <d v="2019-01-15T00:00:00"/>
    <d v="2019-09-15T00:00:00"/>
    <m/>
    <m/>
    <m/>
    <m/>
    <m/>
    <m/>
    <m/>
    <m/>
    <m/>
    <m/>
    <m/>
    <m/>
    <m/>
    <m/>
    <m/>
    <m/>
    <m/>
    <m/>
    <m/>
    <m/>
    <m/>
    <m/>
    <m/>
    <m/>
    <m/>
    <m/>
    <m/>
    <m/>
    <m/>
    <m/>
    <m/>
    <m/>
    <m/>
    <m/>
    <m/>
    <m/>
    <m/>
    <x v="1"/>
    <x v="1"/>
    <m/>
    <m/>
    <m/>
    <m/>
    <m/>
    <m/>
    <m/>
    <m/>
    <m/>
    <n v="217"/>
    <n v="217"/>
    <m/>
    <m/>
    <m/>
    <m/>
    <m/>
    <m/>
    <s v="no test"/>
    <s v="no test"/>
    <x v="1"/>
    <n v="0"/>
    <n v="0"/>
    <n v="0"/>
    <n v="0"/>
    <n v="0"/>
    <n v="0"/>
    <n v="0"/>
    <n v="0"/>
    <n v="0"/>
    <n v="0"/>
    <n v="0"/>
    <n v="0"/>
    <n v="0"/>
    <n v="0"/>
    <n v="1"/>
    <n v="1155"/>
    <n v="2"/>
    <n v="2"/>
    <n v="0"/>
    <n v="0"/>
    <n v="0"/>
    <s v="N/A"/>
    <s v="NA"/>
    <n v="193"/>
    <n v="193"/>
    <n v="1"/>
    <n v="0"/>
    <n v="1155"/>
    <n v="0"/>
    <n v="0"/>
    <n v="0"/>
    <n v="1155"/>
    <n v="1"/>
    <n v="0"/>
    <n v="1"/>
    <n v="0"/>
    <n v="0"/>
    <n v="0"/>
    <n v="0"/>
    <n v="0"/>
    <n v="0"/>
    <x v="0"/>
    <n v="0"/>
    <n v="0"/>
    <x v="2"/>
    <x v="6"/>
    <x v="3"/>
    <n v="20.703790659999999"/>
    <n v="92.628463749999995"/>
    <n v="198431"/>
    <x v="0"/>
    <m/>
  </r>
  <r>
    <x v="0"/>
    <x v="10"/>
    <x v="10"/>
    <s v="IOM"/>
    <x v="2"/>
    <x v="14"/>
    <x v="2"/>
    <x v="170"/>
    <n v="129"/>
    <n v="664"/>
    <d v="2019-01-15T00:00:00"/>
    <d v="2019-09-15T00:00:00"/>
    <m/>
    <m/>
    <m/>
    <m/>
    <m/>
    <m/>
    <m/>
    <m/>
    <m/>
    <m/>
    <m/>
    <m/>
    <m/>
    <m/>
    <m/>
    <m/>
    <m/>
    <m/>
    <m/>
    <m/>
    <m/>
    <m/>
    <m/>
    <m/>
    <m/>
    <m/>
    <m/>
    <m/>
    <m/>
    <m/>
    <m/>
    <m/>
    <m/>
    <m/>
    <m/>
    <m/>
    <m/>
    <x v="1"/>
    <x v="1"/>
    <m/>
    <m/>
    <m/>
    <m/>
    <m/>
    <m/>
    <m/>
    <m/>
    <m/>
    <n v="129"/>
    <n v="129"/>
    <m/>
    <m/>
    <m/>
    <m/>
    <m/>
    <m/>
    <s v="no test"/>
    <s v="no test"/>
    <x v="1"/>
    <n v="0"/>
    <n v="0"/>
    <n v="0"/>
    <n v="0"/>
    <n v="0"/>
    <n v="0"/>
    <n v="0"/>
    <n v="0"/>
    <n v="0"/>
    <n v="0"/>
    <n v="0"/>
    <n v="0"/>
    <n v="0"/>
    <n v="0"/>
    <n v="1"/>
    <n v="664"/>
    <n v="1"/>
    <n v="1"/>
    <n v="0"/>
    <n v="0"/>
    <n v="0"/>
    <s v="N/A"/>
    <s v="NA"/>
    <n v="111"/>
    <n v="111"/>
    <n v="1"/>
    <n v="0"/>
    <n v="664"/>
    <n v="0"/>
    <n v="0"/>
    <n v="0"/>
    <n v="664"/>
    <n v="1"/>
    <n v="0"/>
    <n v="1"/>
    <n v="0"/>
    <n v="0"/>
    <n v="0"/>
    <n v="0"/>
    <n v="0"/>
    <n v="0"/>
    <x v="0"/>
    <n v="0"/>
    <n v="0"/>
    <x v="2"/>
    <x v="6"/>
    <x v="4"/>
    <n v="20.703920360000001"/>
    <n v="92.631500239999994"/>
    <n v="198428"/>
    <x v="0"/>
    <m/>
  </r>
  <r>
    <x v="0"/>
    <x v="10"/>
    <x v="10"/>
    <s v="IOM"/>
    <x v="2"/>
    <x v="14"/>
    <x v="2"/>
    <x v="171"/>
    <n v="171"/>
    <n v="908"/>
    <d v="2019-01-15T00:00:00"/>
    <d v="2019-09-15T00:00:00"/>
    <m/>
    <m/>
    <m/>
    <m/>
    <m/>
    <m/>
    <m/>
    <m/>
    <m/>
    <m/>
    <m/>
    <m/>
    <m/>
    <m/>
    <m/>
    <m/>
    <m/>
    <m/>
    <m/>
    <m/>
    <m/>
    <m/>
    <m/>
    <m/>
    <m/>
    <m/>
    <m/>
    <m/>
    <m/>
    <m/>
    <m/>
    <m/>
    <m/>
    <m/>
    <m/>
    <m/>
    <m/>
    <x v="1"/>
    <x v="1"/>
    <m/>
    <m/>
    <m/>
    <m/>
    <m/>
    <m/>
    <m/>
    <m/>
    <m/>
    <n v="171"/>
    <n v="171"/>
    <m/>
    <m/>
    <m/>
    <m/>
    <m/>
    <m/>
    <s v="no test"/>
    <s v="no test"/>
    <x v="1"/>
    <n v="0"/>
    <n v="0"/>
    <n v="0"/>
    <n v="0"/>
    <n v="0"/>
    <n v="0"/>
    <n v="0"/>
    <n v="0"/>
    <n v="0"/>
    <n v="0"/>
    <n v="0"/>
    <n v="0"/>
    <n v="0"/>
    <n v="0"/>
    <n v="1"/>
    <n v="908"/>
    <n v="2"/>
    <n v="2"/>
    <n v="0"/>
    <n v="0"/>
    <n v="0"/>
    <s v="N/A"/>
    <s v="NA"/>
    <n v="151"/>
    <n v="151"/>
    <n v="1"/>
    <n v="0"/>
    <n v="908"/>
    <n v="0"/>
    <n v="0"/>
    <n v="0"/>
    <n v="908"/>
    <n v="1"/>
    <n v="0"/>
    <n v="1"/>
    <n v="0"/>
    <n v="0"/>
    <n v="0"/>
    <n v="0"/>
    <n v="0"/>
    <n v="0"/>
    <x v="0"/>
    <n v="0"/>
    <n v="0"/>
    <x v="2"/>
    <x v="6"/>
    <x v="3"/>
    <n v="0"/>
    <n v="0"/>
    <n v="198350"/>
    <x v="0"/>
    <m/>
  </r>
  <r>
    <x v="0"/>
    <x v="10"/>
    <x v="10"/>
    <s v="IOM"/>
    <x v="2"/>
    <x v="14"/>
    <x v="2"/>
    <x v="172"/>
    <n v="22"/>
    <n v="100"/>
    <d v="2019-01-15T00:00:00"/>
    <d v="2019-09-15T00:00:00"/>
    <m/>
    <m/>
    <m/>
    <m/>
    <m/>
    <m/>
    <m/>
    <m/>
    <m/>
    <m/>
    <m/>
    <m/>
    <m/>
    <m/>
    <m/>
    <m/>
    <m/>
    <m/>
    <m/>
    <m/>
    <m/>
    <m/>
    <m/>
    <m/>
    <m/>
    <m/>
    <m/>
    <m/>
    <m/>
    <m/>
    <m/>
    <m/>
    <m/>
    <m/>
    <m/>
    <m/>
    <m/>
    <x v="1"/>
    <x v="1"/>
    <m/>
    <m/>
    <m/>
    <m/>
    <m/>
    <m/>
    <m/>
    <m/>
    <m/>
    <n v="22"/>
    <n v="22"/>
    <m/>
    <m/>
    <m/>
    <m/>
    <m/>
    <m/>
    <s v="no test"/>
    <s v="no test"/>
    <x v="1"/>
    <n v="0"/>
    <n v="0"/>
    <n v="0"/>
    <n v="0"/>
    <n v="0"/>
    <n v="0"/>
    <n v="0"/>
    <n v="0"/>
    <n v="0"/>
    <n v="0"/>
    <n v="0"/>
    <n v="0"/>
    <n v="0"/>
    <n v="0"/>
    <n v="1"/>
    <n v="100"/>
    <n v="1"/>
    <n v="1"/>
    <n v="0"/>
    <n v="0"/>
    <n v="0"/>
    <s v="N/A"/>
    <s v="NA"/>
    <n v="17"/>
    <n v="17"/>
    <n v="1"/>
    <n v="0"/>
    <n v="100"/>
    <n v="0"/>
    <n v="0"/>
    <n v="0"/>
    <n v="100"/>
    <n v="1"/>
    <n v="0"/>
    <n v="1"/>
    <n v="0"/>
    <n v="0"/>
    <n v="0"/>
    <n v="0"/>
    <n v="0"/>
    <n v="0"/>
    <x v="0"/>
    <n v="0"/>
    <n v="0"/>
    <x v="2"/>
    <x v="6"/>
    <x v="4"/>
    <n v="20.80558014"/>
    <n v="92.549842830000003"/>
    <n v="198336"/>
    <x v="0"/>
    <m/>
  </r>
  <r>
    <x v="0"/>
    <x v="11"/>
    <x v="11"/>
    <m/>
    <x v="2"/>
    <x v="14"/>
    <x v="3"/>
    <x v="173"/>
    <n v="30"/>
    <n v="118"/>
    <m/>
    <m/>
    <m/>
    <m/>
    <m/>
    <m/>
    <m/>
    <m/>
    <m/>
    <m/>
    <m/>
    <m/>
    <m/>
    <m/>
    <m/>
    <m/>
    <m/>
    <m/>
    <m/>
    <m/>
    <m/>
    <m/>
    <m/>
    <m/>
    <m/>
    <m/>
    <m/>
    <m/>
    <m/>
    <m/>
    <m/>
    <m/>
    <m/>
    <m/>
    <m/>
    <m/>
    <m/>
    <m/>
    <m/>
    <x v="1"/>
    <x v="1"/>
    <m/>
    <m/>
    <m/>
    <m/>
    <m/>
    <m/>
    <m/>
    <m/>
    <m/>
    <m/>
    <m/>
    <n v="30"/>
    <n v="30"/>
    <m/>
    <m/>
    <m/>
    <m/>
    <s v="no test"/>
    <s v="no test"/>
    <x v="1"/>
    <n v="0"/>
    <n v="0"/>
    <n v="0"/>
    <n v="0"/>
    <n v="0"/>
    <n v="0"/>
    <n v="0"/>
    <n v="0"/>
    <n v="0"/>
    <n v="0"/>
    <n v="0"/>
    <n v="0"/>
    <n v="0"/>
    <n v="0"/>
    <n v="1"/>
    <n v="118"/>
    <n v="1"/>
    <n v="1"/>
    <n v="0"/>
    <n v="0"/>
    <n v="0"/>
    <n v="0"/>
    <n v="0"/>
    <n v="2"/>
    <n v="2"/>
    <n v="1"/>
    <n v="0"/>
    <n v="0"/>
    <n v="118"/>
    <n v="118"/>
    <n v="118"/>
    <n v="118"/>
    <n v="1"/>
    <n v="0"/>
    <n v="0"/>
    <n v="1"/>
    <n v="1"/>
    <n v="0"/>
    <n v="0"/>
    <n v="0"/>
    <n v="0"/>
    <x v="0"/>
    <n v="0"/>
    <n v="0"/>
    <x v="3"/>
    <x v="8"/>
    <x v="2"/>
    <n v="0"/>
    <n v="0"/>
    <n v="0"/>
    <x v="0"/>
    <m/>
  </r>
  <r>
    <x v="0"/>
    <x v="10"/>
    <x v="10"/>
    <s v="IOM"/>
    <x v="2"/>
    <x v="14"/>
    <x v="2"/>
    <x v="174"/>
    <n v="18"/>
    <n v="85"/>
    <d v="2019-01-15T00:00:00"/>
    <d v="2019-09-15T00:00:00"/>
    <m/>
    <m/>
    <m/>
    <m/>
    <m/>
    <m/>
    <m/>
    <m/>
    <m/>
    <m/>
    <m/>
    <m/>
    <m/>
    <m/>
    <m/>
    <m/>
    <m/>
    <m/>
    <m/>
    <m/>
    <m/>
    <m/>
    <m/>
    <m/>
    <m/>
    <m/>
    <m/>
    <m/>
    <m/>
    <m/>
    <m/>
    <m/>
    <m/>
    <m/>
    <m/>
    <m/>
    <m/>
    <x v="1"/>
    <x v="1"/>
    <m/>
    <m/>
    <m/>
    <m/>
    <m/>
    <m/>
    <m/>
    <m/>
    <m/>
    <n v="18"/>
    <n v="18"/>
    <m/>
    <m/>
    <m/>
    <m/>
    <m/>
    <m/>
    <s v="no test"/>
    <s v="no test"/>
    <x v="1"/>
    <n v="0"/>
    <n v="0"/>
    <n v="0"/>
    <n v="0"/>
    <n v="0"/>
    <n v="0"/>
    <n v="0"/>
    <n v="0"/>
    <n v="0"/>
    <n v="0"/>
    <n v="0"/>
    <n v="0"/>
    <n v="0"/>
    <n v="0"/>
    <n v="1"/>
    <n v="85"/>
    <n v="1"/>
    <n v="1"/>
    <n v="0"/>
    <n v="0"/>
    <n v="0"/>
    <s v="N/A"/>
    <s v="NA"/>
    <n v="14"/>
    <n v="14"/>
    <n v="1"/>
    <n v="0"/>
    <n v="85"/>
    <n v="0"/>
    <n v="0"/>
    <n v="0"/>
    <n v="85"/>
    <n v="1"/>
    <n v="0"/>
    <n v="1"/>
    <n v="0"/>
    <n v="0"/>
    <n v="0"/>
    <n v="0"/>
    <n v="0"/>
    <n v="0"/>
    <x v="0"/>
    <n v="0"/>
    <n v="0"/>
    <x v="2"/>
    <x v="6"/>
    <x v="4"/>
    <n v="20.892290119999998"/>
    <n v="92.550079350000004"/>
    <n v="198303"/>
    <x v="0"/>
    <m/>
  </r>
  <r>
    <x v="0"/>
    <x v="10"/>
    <x v="10"/>
    <s v="IOM"/>
    <x v="2"/>
    <x v="14"/>
    <x v="2"/>
    <x v="175"/>
    <n v="162"/>
    <n v="927"/>
    <d v="2019-01-15T00:00:00"/>
    <d v="2019-09-15T00:00:00"/>
    <m/>
    <m/>
    <m/>
    <m/>
    <m/>
    <m/>
    <m/>
    <m/>
    <m/>
    <m/>
    <m/>
    <m/>
    <m/>
    <m/>
    <m/>
    <m/>
    <m/>
    <m/>
    <m/>
    <m/>
    <m/>
    <m/>
    <m/>
    <m/>
    <m/>
    <m/>
    <m/>
    <m/>
    <m/>
    <m/>
    <m/>
    <m/>
    <m/>
    <m/>
    <m/>
    <m/>
    <m/>
    <x v="1"/>
    <x v="1"/>
    <m/>
    <m/>
    <m/>
    <m/>
    <m/>
    <m/>
    <m/>
    <m/>
    <m/>
    <n v="162"/>
    <n v="162"/>
    <m/>
    <m/>
    <m/>
    <m/>
    <m/>
    <m/>
    <s v="no test"/>
    <s v="no test"/>
    <x v="1"/>
    <n v="0"/>
    <n v="0"/>
    <n v="0"/>
    <n v="0"/>
    <n v="0"/>
    <n v="0"/>
    <n v="0"/>
    <n v="0"/>
    <n v="0"/>
    <n v="0"/>
    <n v="0"/>
    <n v="0"/>
    <n v="0"/>
    <n v="0"/>
    <n v="1"/>
    <n v="927"/>
    <n v="2"/>
    <n v="2"/>
    <n v="0"/>
    <n v="0"/>
    <n v="0"/>
    <s v="N/A"/>
    <s v="NA"/>
    <n v="155"/>
    <n v="155"/>
    <n v="1"/>
    <n v="0"/>
    <n v="927"/>
    <n v="0"/>
    <n v="0"/>
    <n v="0"/>
    <n v="927"/>
    <n v="1"/>
    <n v="0"/>
    <n v="1"/>
    <n v="0"/>
    <n v="0"/>
    <n v="0"/>
    <n v="0"/>
    <n v="0"/>
    <n v="0"/>
    <x v="0"/>
    <n v="0"/>
    <n v="0"/>
    <x v="2"/>
    <x v="6"/>
    <x v="3"/>
    <n v="0"/>
    <n v="0"/>
    <n v="198405"/>
    <x v="0"/>
    <m/>
  </r>
  <r>
    <x v="0"/>
    <x v="10"/>
    <x v="10"/>
    <s v="IOM"/>
    <x v="2"/>
    <x v="14"/>
    <x v="2"/>
    <x v="176"/>
    <n v="152"/>
    <n v="798"/>
    <d v="2019-01-15T00:00:00"/>
    <d v="2019-09-15T00:00:00"/>
    <m/>
    <m/>
    <m/>
    <m/>
    <m/>
    <m/>
    <m/>
    <m/>
    <m/>
    <m/>
    <m/>
    <m/>
    <m/>
    <m/>
    <m/>
    <m/>
    <m/>
    <m/>
    <m/>
    <m/>
    <m/>
    <m/>
    <m/>
    <m/>
    <m/>
    <m/>
    <m/>
    <m/>
    <m/>
    <m/>
    <m/>
    <m/>
    <m/>
    <m/>
    <m/>
    <m/>
    <m/>
    <x v="1"/>
    <x v="1"/>
    <m/>
    <m/>
    <m/>
    <m/>
    <m/>
    <m/>
    <m/>
    <m/>
    <m/>
    <n v="152"/>
    <n v="152"/>
    <m/>
    <m/>
    <m/>
    <m/>
    <m/>
    <m/>
    <s v="no test"/>
    <s v="no test"/>
    <x v="1"/>
    <n v="0"/>
    <n v="0"/>
    <n v="0"/>
    <n v="0"/>
    <n v="0"/>
    <n v="0"/>
    <n v="0"/>
    <n v="0"/>
    <n v="0"/>
    <n v="0"/>
    <n v="0"/>
    <n v="0"/>
    <n v="0"/>
    <n v="0"/>
    <n v="1"/>
    <n v="798"/>
    <n v="2"/>
    <n v="2"/>
    <n v="0"/>
    <n v="0"/>
    <n v="0"/>
    <s v="N/A"/>
    <s v="NA"/>
    <n v="133"/>
    <n v="133"/>
    <n v="1"/>
    <n v="0"/>
    <n v="798"/>
    <n v="0"/>
    <n v="0"/>
    <n v="0"/>
    <n v="798"/>
    <n v="1"/>
    <n v="0"/>
    <n v="1"/>
    <n v="0"/>
    <n v="0"/>
    <n v="0"/>
    <n v="0"/>
    <n v="0"/>
    <n v="0"/>
    <x v="0"/>
    <n v="0"/>
    <n v="0"/>
    <x v="2"/>
    <x v="6"/>
    <x v="3"/>
    <n v="0"/>
    <n v="0"/>
    <n v="198351"/>
    <x v="0"/>
    <m/>
  </r>
  <r>
    <x v="0"/>
    <x v="10"/>
    <x v="10"/>
    <s v="IOM"/>
    <x v="2"/>
    <x v="14"/>
    <x v="2"/>
    <x v="177"/>
    <n v="136"/>
    <n v="847"/>
    <d v="2019-01-15T00:00:00"/>
    <d v="2019-09-15T00:00:00"/>
    <m/>
    <m/>
    <m/>
    <m/>
    <m/>
    <m/>
    <m/>
    <m/>
    <m/>
    <m/>
    <m/>
    <m/>
    <m/>
    <m/>
    <m/>
    <m/>
    <m/>
    <m/>
    <m/>
    <m/>
    <m/>
    <m/>
    <m/>
    <m/>
    <m/>
    <m/>
    <m/>
    <m/>
    <m/>
    <m/>
    <m/>
    <m/>
    <m/>
    <m/>
    <m/>
    <m/>
    <m/>
    <x v="1"/>
    <x v="1"/>
    <m/>
    <m/>
    <m/>
    <m/>
    <m/>
    <m/>
    <m/>
    <m/>
    <m/>
    <n v="136"/>
    <n v="136"/>
    <m/>
    <m/>
    <m/>
    <m/>
    <m/>
    <m/>
    <s v="no test"/>
    <s v="no test"/>
    <x v="1"/>
    <n v="0"/>
    <n v="0"/>
    <n v="0"/>
    <n v="0"/>
    <n v="0"/>
    <n v="0"/>
    <n v="0"/>
    <n v="0"/>
    <n v="0"/>
    <n v="0"/>
    <n v="0"/>
    <n v="0"/>
    <n v="0"/>
    <n v="0"/>
    <n v="1"/>
    <n v="847"/>
    <n v="2"/>
    <n v="2"/>
    <n v="0"/>
    <n v="0"/>
    <n v="0"/>
    <s v="N/A"/>
    <s v="NA"/>
    <n v="141"/>
    <n v="141"/>
    <n v="1"/>
    <n v="0"/>
    <n v="847"/>
    <n v="0"/>
    <n v="0"/>
    <n v="0"/>
    <n v="847"/>
    <n v="1"/>
    <n v="0"/>
    <n v="1"/>
    <n v="0"/>
    <n v="0"/>
    <n v="0"/>
    <n v="0"/>
    <n v="0"/>
    <n v="0"/>
    <x v="0"/>
    <n v="0"/>
    <n v="0"/>
    <x v="2"/>
    <x v="6"/>
    <x v="3"/>
    <n v="0"/>
    <n v="0"/>
    <n v="0"/>
    <x v="0"/>
    <m/>
  </r>
  <r>
    <x v="0"/>
    <x v="10"/>
    <x v="10"/>
    <s v="IOM"/>
    <x v="2"/>
    <x v="14"/>
    <x v="2"/>
    <x v="178"/>
    <n v="20"/>
    <n v="91"/>
    <d v="2019-01-15T00:00:00"/>
    <d v="2019-09-15T00:00:00"/>
    <m/>
    <m/>
    <m/>
    <m/>
    <m/>
    <m/>
    <m/>
    <m/>
    <m/>
    <m/>
    <m/>
    <m/>
    <m/>
    <m/>
    <m/>
    <m/>
    <m/>
    <m/>
    <m/>
    <m/>
    <m/>
    <m/>
    <m/>
    <m/>
    <m/>
    <m/>
    <m/>
    <m/>
    <m/>
    <m/>
    <m/>
    <m/>
    <m/>
    <m/>
    <m/>
    <m/>
    <m/>
    <x v="1"/>
    <x v="1"/>
    <m/>
    <m/>
    <m/>
    <m/>
    <m/>
    <m/>
    <m/>
    <m/>
    <m/>
    <n v="20"/>
    <n v="20"/>
    <m/>
    <m/>
    <m/>
    <m/>
    <m/>
    <m/>
    <s v="no test"/>
    <s v="no test"/>
    <x v="1"/>
    <n v="0"/>
    <n v="0"/>
    <n v="0"/>
    <n v="0"/>
    <n v="0"/>
    <n v="0"/>
    <n v="0"/>
    <n v="0"/>
    <n v="0"/>
    <n v="0"/>
    <n v="0"/>
    <n v="0"/>
    <n v="0"/>
    <n v="0"/>
    <n v="1"/>
    <n v="91"/>
    <n v="1"/>
    <n v="1"/>
    <n v="0"/>
    <n v="0"/>
    <n v="0"/>
    <s v="N/A"/>
    <s v="NA"/>
    <n v="15"/>
    <n v="15"/>
    <n v="1"/>
    <n v="0"/>
    <n v="91"/>
    <n v="0"/>
    <n v="0"/>
    <n v="0"/>
    <n v="91"/>
    <n v="1"/>
    <n v="0"/>
    <n v="1"/>
    <n v="0"/>
    <n v="0"/>
    <n v="0"/>
    <n v="0"/>
    <n v="0"/>
    <n v="0"/>
    <x v="0"/>
    <n v="0"/>
    <n v="0"/>
    <x v="2"/>
    <x v="6"/>
    <x v="4"/>
    <n v="20.767719270000001"/>
    <n v="92.631736759999995"/>
    <n v="198409"/>
    <x v="0"/>
    <m/>
  </r>
  <r>
    <x v="0"/>
    <x v="10"/>
    <x v="10"/>
    <s v="IOM"/>
    <x v="2"/>
    <x v="14"/>
    <x v="2"/>
    <x v="179"/>
    <n v="23"/>
    <n v="86"/>
    <d v="2019-01-15T00:00:00"/>
    <d v="2019-09-15T00:00:00"/>
    <m/>
    <m/>
    <m/>
    <m/>
    <m/>
    <m/>
    <m/>
    <m/>
    <m/>
    <m/>
    <m/>
    <m/>
    <m/>
    <m/>
    <m/>
    <m/>
    <m/>
    <m/>
    <m/>
    <m/>
    <m/>
    <m/>
    <m/>
    <m/>
    <m/>
    <m/>
    <m/>
    <m/>
    <m/>
    <m/>
    <m/>
    <m/>
    <m/>
    <m/>
    <m/>
    <m/>
    <m/>
    <x v="1"/>
    <x v="1"/>
    <m/>
    <m/>
    <m/>
    <m/>
    <m/>
    <m/>
    <m/>
    <m/>
    <m/>
    <n v="23"/>
    <n v="23"/>
    <m/>
    <m/>
    <m/>
    <m/>
    <m/>
    <m/>
    <s v="no test"/>
    <s v="no test"/>
    <x v="1"/>
    <n v="0"/>
    <n v="0"/>
    <n v="0"/>
    <n v="0"/>
    <n v="0"/>
    <n v="0"/>
    <n v="0"/>
    <n v="0"/>
    <n v="0"/>
    <n v="0"/>
    <n v="0"/>
    <n v="0"/>
    <n v="0"/>
    <n v="0"/>
    <n v="1"/>
    <n v="86"/>
    <n v="1"/>
    <n v="1"/>
    <n v="0"/>
    <n v="0"/>
    <n v="0"/>
    <s v="N/A"/>
    <s v="NA"/>
    <n v="14"/>
    <n v="14"/>
    <n v="1"/>
    <n v="0"/>
    <n v="86"/>
    <n v="0"/>
    <n v="0"/>
    <n v="0"/>
    <n v="86"/>
    <n v="1"/>
    <n v="0"/>
    <n v="1"/>
    <n v="0"/>
    <n v="0"/>
    <n v="0"/>
    <n v="0"/>
    <n v="0"/>
    <n v="0"/>
    <x v="0"/>
    <n v="0"/>
    <n v="0"/>
    <x v="2"/>
    <x v="6"/>
    <x v="4"/>
    <n v="0"/>
    <n v="0"/>
    <n v="198337"/>
    <x v="0"/>
    <m/>
  </r>
  <r>
    <x v="0"/>
    <x v="10"/>
    <x v="10"/>
    <s v="IOM"/>
    <x v="2"/>
    <x v="14"/>
    <x v="2"/>
    <x v="180"/>
    <n v="74"/>
    <n v="343"/>
    <d v="2019-01-15T00:00:00"/>
    <d v="2019-09-15T00:00:00"/>
    <m/>
    <m/>
    <m/>
    <m/>
    <m/>
    <m/>
    <m/>
    <m/>
    <m/>
    <m/>
    <m/>
    <m/>
    <m/>
    <m/>
    <m/>
    <m/>
    <m/>
    <m/>
    <m/>
    <m/>
    <m/>
    <m/>
    <m/>
    <m/>
    <m/>
    <m/>
    <m/>
    <m/>
    <m/>
    <m/>
    <m/>
    <m/>
    <m/>
    <m/>
    <m/>
    <m/>
    <m/>
    <x v="1"/>
    <x v="1"/>
    <m/>
    <m/>
    <m/>
    <m/>
    <m/>
    <m/>
    <m/>
    <m/>
    <m/>
    <n v="74"/>
    <n v="74"/>
    <m/>
    <m/>
    <m/>
    <m/>
    <m/>
    <m/>
    <s v="no test"/>
    <s v="no test"/>
    <x v="1"/>
    <n v="0"/>
    <n v="0"/>
    <n v="0"/>
    <n v="0"/>
    <n v="0"/>
    <n v="0"/>
    <n v="0"/>
    <n v="0"/>
    <n v="0"/>
    <n v="0"/>
    <n v="0"/>
    <n v="0"/>
    <n v="0"/>
    <n v="0"/>
    <n v="1"/>
    <n v="343"/>
    <n v="1"/>
    <n v="1"/>
    <n v="0"/>
    <n v="0"/>
    <n v="0"/>
    <s v="N/A"/>
    <s v="NA"/>
    <n v="57"/>
    <n v="57"/>
    <n v="1"/>
    <n v="0"/>
    <n v="343"/>
    <n v="0"/>
    <n v="0"/>
    <n v="0"/>
    <n v="343"/>
    <n v="1"/>
    <n v="0"/>
    <n v="1"/>
    <n v="0"/>
    <n v="0"/>
    <n v="0"/>
    <n v="0"/>
    <n v="0"/>
    <n v="0"/>
    <x v="0"/>
    <n v="0"/>
    <n v="0"/>
    <x v="2"/>
    <x v="6"/>
    <x v="4"/>
    <n v="0"/>
    <n v="0"/>
    <n v="198363"/>
    <x v="0"/>
    <m/>
  </r>
  <r>
    <x v="0"/>
    <x v="10"/>
    <x v="10"/>
    <s v="IOM"/>
    <x v="2"/>
    <x v="14"/>
    <x v="2"/>
    <x v="181"/>
    <n v="18"/>
    <n v="73"/>
    <d v="2019-01-15T00:00:00"/>
    <d v="2019-09-15T00:00:00"/>
    <m/>
    <m/>
    <m/>
    <m/>
    <m/>
    <m/>
    <m/>
    <m/>
    <m/>
    <m/>
    <m/>
    <m/>
    <m/>
    <m/>
    <m/>
    <m/>
    <m/>
    <m/>
    <m/>
    <m/>
    <m/>
    <m/>
    <m/>
    <m/>
    <m/>
    <m/>
    <m/>
    <m/>
    <m/>
    <m/>
    <m/>
    <m/>
    <m/>
    <m/>
    <m/>
    <m/>
    <m/>
    <x v="1"/>
    <x v="1"/>
    <m/>
    <m/>
    <m/>
    <m/>
    <m/>
    <m/>
    <m/>
    <m/>
    <m/>
    <n v="18"/>
    <n v="18"/>
    <m/>
    <m/>
    <m/>
    <m/>
    <m/>
    <m/>
    <s v="no test"/>
    <s v="no test"/>
    <x v="1"/>
    <n v="0"/>
    <n v="0"/>
    <n v="0"/>
    <n v="0"/>
    <n v="0"/>
    <n v="0"/>
    <n v="0"/>
    <n v="0"/>
    <n v="0"/>
    <n v="0"/>
    <n v="0"/>
    <n v="0"/>
    <n v="0"/>
    <n v="0"/>
    <n v="1"/>
    <n v="73"/>
    <n v="1"/>
    <n v="1"/>
    <n v="0"/>
    <n v="0"/>
    <n v="0"/>
    <s v="N/A"/>
    <s v="NA"/>
    <n v="12"/>
    <n v="12"/>
    <n v="1"/>
    <n v="0"/>
    <n v="73"/>
    <n v="0"/>
    <n v="0"/>
    <n v="0"/>
    <n v="73"/>
    <n v="1"/>
    <n v="0"/>
    <n v="1"/>
    <n v="0"/>
    <n v="0"/>
    <n v="0"/>
    <n v="0"/>
    <n v="0"/>
    <n v="0"/>
    <x v="0"/>
    <n v="0"/>
    <n v="0"/>
    <x v="2"/>
    <x v="6"/>
    <x v="4"/>
    <n v="20.887420649999999"/>
    <n v="92.545410160000003"/>
    <n v="198300"/>
    <x v="0"/>
    <m/>
  </r>
  <r>
    <x v="0"/>
    <x v="10"/>
    <x v="10"/>
    <s v="IOM"/>
    <x v="2"/>
    <x v="14"/>
    <x v="2"/>
    <x v="182"/>
    <n v="218"/>
    <n v="1207"/>
    <d v="2019-01-15T00:00:00"/>
    <d v="2019-09-15T00:00:00"/>
    <m/>
    <m/>
    <m/>
    <m/>
    <m/>
    <m/>
    <m/>
    <m/>
    <m/>
    <m/>
    <m/>
    <m/>
    <m/>
    <m/>
    <m/>
    <m/>
    <m/>
    <m/>
    <m/>
    <m/>
    <m/>
    <m/>
    <m/>
    <m/>
    <m/>
    <m/>
    <m/>
    <m/>
    <m/>
    <m/>
    <m/>
    <m/>
    <m/>
    <m/>
    <m/>
    <m/>
    <m/>
    <x v="1"/>
    <x v="1"/>
    <m/>
    <m/>
    <m/>
    <m/>
    <m/>
    <m/>
    <m/>
    <m/>
    <m/>
    <n v="218"/>
    <n v="218"/>
    <m/>
    <m/>
    <m/>
    <m/>
    <m/>
    <m/>
    <s v="no test"/>
    <s v="no test"/>
    <x v="1"/>
    <n v="0"/>
    <n v="0"/>
    <n v="0"/>
    <n v="0"/>
    <n v="0"/>
    <n v="0"/>
    <n v="0"/>
    <n v="0"/>
    <n v="0"/>
    <n v="0"/>
    <n v="0"/>
    <n v="0"/>
    <n v="0"/>
    <n v="0"/>
    <n v="1"/>
    <n v="1207"/>
    <n v="2"/>
    <n v="2"/>
    <n v="0"/>
    <n v="0"/>
    <n v="0"/>
    <s v="N/A"/>
    <s v="NA"/>
    <n v="201"/>
    <n v="201"/>
    <n v="1"/>
    <n v="0"/>
    <n v="1207"/>
    <n v="0"/>
    <n v="0"/>
    <n v="0"/>
    <n v="1207"/>
    <n v="1"/>
    <n v="0"/>
    <n v="1"/>
    <n v="0"/>
    <n v="0"/>
    <n v="0"/>
    <n v="0"/>
    <n v="0"/>
    <n v="0"/>
    <x v="0"/>
    <n v="0"/>
    <n v="0"/>
    <x v="2"/>
    <x v="6"/>
    <x v="3"/>
    <n v="0"/>
    <n v="0"/>
    <n v="198434"/>
    <x v="0"/>
    <m/>
  </r>
  <r>
    <x v="0"/>
    <x v="10"/>
    <x v="10"/>
    <s v="IOM"/>
    <x v="2"/>
    <x v="14"/>
    <x v="2"/>
    <x v="183"/>
    <n v="11"/>
    <n v="39"/>
    <d v="2019-01-15T00:00:00"/>
    <d v="2019-09-15T00:00:00"/>
    <m/>
    <m/>
    <m/>
    <m/>
    <m/>
    <m/>
    <m/>
    <m/>
    <m/>
    <m/>
    <m/>
    <m/>
    <m/>
    <m/>
    <m/>
    <m/>
    <m/>
    <m/>
    <m/>
    <m/>
    <m/>
    <m/>
    <m/>
    <m/>
    <m/>
    <m/>
    <m/>
    <m/>
    <m/>
    <m/>
    <m/>
    <m/>
    <m/>
    <m/>
    <m/>
    <m/>
    <m/>
    <x v="1"/>
    <x v="1"/>
    <m/>
    <m/>
    <m/>
    <m/>
    <m/>
    <m/>
    <m/>
    <m/>
    <m/>
    <n v="11"/>
    <n v="11"/>
    <m/>
    <m/>
    <m/>
    <m/>
    <m/>
    <m/>
    <s v="no test"/>
    <s v="no test"/>
    <x v="1"/>
    <n v="0"/>
    <n v="0"/>
    <n v="0"/>
    <n v="0"/>
    <n v="0"/>
    <n v="0"/>
    <n v="0"/>
    <n v="0"/>
    <n v="0"/>
    <n v="0"/>
    <n v="0"/>
    <n v="0"/>
    <n v="0"/>
    <n v="0"/>
    <n v="1"/>
    <n v="39"/>
    <n v="1"/>
    <n v="1"/>
    <n v="0"/>
    <n v="0"/>
    <n v="0"/>
    <s v="N/A"/>
    <s v="NA"/>
    <n v="7"/>
    <n v="7"/>
    <n v="1"/>
    <n v="0"/>
    <n v="39"/>
    <n v="0"/>
    <n v="0"/>
    <n v="0"/>
    <n v="39"/>
    <n v="1"/>
    <n v="0"/>
    <n v="1"/>
    <n v="0"/>
    <n v="0"/>
    <n v="0"/>
    <n v="0"/>
    <n v="0"/>
    <n v="0"/>
    <x v="0"/>
    <n v="0"/>
    <n v="0"/>
    <x v="2"/>
    <x v="6"/>
    <x v="4"/>
    <n v="0"/>
    <n v="0"/>
    <n v="198433"/>
    <x v="0"/>
    <m/>
  </r>
  <r>
    <x v="0"/>
    <x v="10"/>
    <x v="10"/>
    <s v="IOM"/>
    <x v="2"/>
    <x v="14"/>
    <x v="2"/>
    <x v="184"/>
    <n v="125"/>
    <n v="580"/>
    <d v="2019-01-15T00:00:00"/>
    <d v="2019-09-15T00:00:00"/>
    <m/>
    <m/>
    <m/>
    <m/>
    <m/>
    <m/>
    <m/>
    <m/>
    <m/>
    <m/>
    <m/>
    <m/>
    <m/>
    <m/>
    <m/>
    <m/>
    <m/>
    <m/>
    <m/>
    <m/>
    <m/>
    <m/>
    <m/>
    <m/>
    <m/>
    <m/>
    <m/>
    <m/>
    <m/>
    <m/>
    <m/>
    <m/>
    <m/>
    <m/>
    <m/>
    <m/>
    <m/>
    <x v="1"/>
    <x v="1"/>
    <m/>
    <m/>
    <m/>
    <m/>
    <m/>
    <m/>
    <m/>
    <m/>
    <m/>
    <n v="125"/>
    <n v="125"/>
    <m/>
    <m/>
    <m/>
    <m/>
    <m/>
    <m/>
    <s v="no test"/>
    <s v="no test"/>
    <x v="1"/>
    <n v="0"/>
    <n v="0"/>
    <n v="0"/>
    <n v="0"/>
    <n v="0"/>
    <n v="0"/>
    <n v="0"/>
    <n v="0"/>
    <n v="0"/>
    <n v="0"/>
    <n v="0"/>
    <n v="0"/>
    <n v="0"/>
    <n v="0"/>
    <n v="1"/>
    <n v="580"/>
    <n v="1"/>
    <n v="1"/>
    <n v="0"/>
    <n v="0"/>
    <n v="0"/>
    <s v="N/A"/>
    <s v="NA"/>
    <n v="97"/>
    <n v="97"/>
    <n v="1"/>
    <n v="0"/>
    <n v="580"/>
    <n v="0"/>
    <n v="0"/>
    <n v="0"/>
    <n v="580"/>
    <n v="1"/>
    <n v="0"/>
    <n v="1"/>
    <n v="0"/>
    <n v="0"/>
    <n v="0"/>
    <n v="0"/>
    <n v="0"/>
    <n v="0"/>
    <x v="0"/>
    <n v="0"/>
    <n v="0"/>
    <x v="2"/>
    <x v="6"/>
    <x v="3"/>
    <n v="0"/>
    <n v="0"/>
    <n v="198370"/>
    <x v="0"/>
    <m/>
  </r>
  <r>
    <x v="0"/>
    <x v="10"/>
    <x v="10"/>
    <s v="IOM"/>
    <x v="2"/>
    <x v="15"/>
    <x v="2"/>
    <x v="185"/>
    <n v="119"/>
    <n v="428"/>
    <d v="2019-01-15T00:00:00"/>
    <d v="2019-09-15T00:00:00"/>
    <m/>
    <m/>
    <m/>
    <m/>
    <m/>
    <m/>
    <m/>
    <m/>
    <m/>
    <m/>
    <m/>
    <m/>
    <m/>
    <m/>
    <m/>
    <m/>
    <m/>
    <m/>
    <m/>
    <m/>
    <m/>
    <m/>
    <m/>
    <m/>
    <m/>
    <m/>
    <m/>
    <m/>
    <m/>
    <m/>
    <m/>
    <m/>
    <m/>
    <m/>
    <m/>
    <m/>
    <m/>
    <x v="1"/>
    <x v="1"/>
    <m/>
    <m/>
    <m/>
    <m/>
    <m/>
    <m/>
    <m/>
    <m/>
    <m/>
    <n v="119"/>
    <n v="119"/>
    <m/>
    <m/>
    <m/>
    <m/>
    <m/>
    <m/>
    <s v="no test"/>
    <s v="no test"/>
    <x v="1"/>
    <n v="0"/>
    <n v="0"/>
    <n v="0"/>
    <n v="0"/>
    <n v="0"/>
    <n v="0"/>
    <n v="0"/>
    <n v="0"/>
    <n v="0"/>
    <n v="0"/>
    <n v="0"/>
    <n v="0"/>
    <n v="0"/>
    <n v="0"/>
    <n v="1"/>
    <n v="428"/>
    <n v="1"/>
    <n v="1"/>
    <n v="0"/>
    <n v="0"/>
    <n v="0"/>
    <s v="N/A"/>
    <s v="NA"/>
    <n v="71"/>
    <n v="71"/>
    <n v="1"/>
    <n v="0"/>
    <n v="428"/>
    <n v="0"/>
    <n v="0"/>
    <n v="0"/>
    <n v="428"/>
    <n v="1"/>
    <n v="0"/>
    <n v="1"/>
    <n v="0"/>
    <n v="0"/>
    <n v="0"/>
    <n v="0"/>
    <n v="0"/>
    <n v="0"/>
    <x v="0"/>
    <n v="0"/>
    <n v="0"/>
    <x v="2"/>
    <x v="6"/>
    <x v="4"/>
    <n v="0"/>
    <n v="0"/>
    <n v="220977"/>
    <x v="0"/>
    <m/>
  </r>
  <r>
    <x v="0"/>
    <x v="10"/>
    <x v="10"/>
    <s v="IOM"/>
    <x v="2"/>
    <x v="15"/>
    <x v="2"/>
    <x v="186"/>
    <n v="60"/>
    <n v="314"/>
    <d v="2019-01-15T00:00:00"/>
    <d v="2019-09-15T00:00:00"/>
    <m/>
    <m/>
    <m/>
    <m/>
    <m/>
    <m/>
    <m/>
    <m/>
    <m/>
    <m/>
    <m/>
    <m/>
    <m/>
    <m/>
    <m/>
    <m/>
    <m/>
    <m/>
    <m/>
    <m/>
    <m/>
    <m/>
    <m/>
    <m/>
    <m/>
    <m/>
    <m/>
    <m/>
    <m/>
    <m/>
    <m/>
    <m/>
    <m/>
    <m/>
    <m/>
    <m/>
    <m/>
    <x v="1"/>
    <x v="1"/>
    <m/>
    <m/>
    <m/>
    <m/>
    <m/>
    <m/>
    <m/>
    <m/>
    <m/>
    <n v="60"/>
    <n v="60"/>
    <m/>
    <m/>
    <m/>
    <m/>
    <m/>
    <m/>
    <s v="no test"/>
    <s v="no test"/>
    <x v="1"/>
    <n v="0"/>
    <n v="0"/>
    <n v="0"/>
    <n v="0"/>
    <n v="0"/>
    <n v="0"/>
    <n v="0"/>
    <n v="0"/>
    <n v="0"/>
    <n v="0"/>
    <n v="0"/>
    <n v="0"/>
    <n v="0"/>
    <n v="0"/>
    <n v="1"/>
    <n v="314"/>
    <n v="1"/>
    <n v="1"/>
    <n v="0"/>
    <n v="0"/>
    <n v="0"/>
    <s v="N/A"/>
    <s v="NA"/>
    <n v="52"/>
    <n v="52"/>
    <n v="1"/>
    <n v="0"/>
    <n v="314"/>
    <n v="0"/>
    <n v="0"/>
    <n v="0"/>
    <n v="314"/>
    <n v="1"/>
    <n v="0"/>
    <n v="1"/>
    <n v="0"/>
    <n v="0"/>
    <n v="0"/>
    <n v="0"/>
    <n v="0"/>
    <n v="0"/>
    <x v="0"/>
    <n v="0"/>
    <n v="0"/>
    <x v="2"/>
    <x v="6"/>
    <x v="4"/>
    <n v="20.646560668945298"/>
    <n v="92.976043701171903"/>
    <n v="196937"/>
    <x v="0"/>
    <m/>
  </r>
  <r>
    <x v="0"/>
    <x v="10"/>
    <x v="10"/>
    <s v="IOM"/>
    <x v="2"/>
    <x v="15"/>
    <x v="2"/>
    <x v="187"/>
    <n v="31"/>
    <n v="256"/>
    <d v="2019-01-15T00:00:00"/>
    <d v="2019-09-15T00:00:00"/>
    <m/>
    <m/>
    <m/>
    <m/>
    <m/>
    <m/>
    <m/>
    <m/>
    <m/>
    <m/>
    <m/>
    <m/>
    <m/>
    <m/>
    <m/>
    <m/>
    <m/>
    <m/>
    <m/>
    <m/>
    <m/>
    <m/>
    <m/>
    <m/>
    <m/>
    <m/>
    <m/>
    <m/>
    <m/>
    <m/>
    <m/>
    <m/>
    <m/>
    <m/>
    <m/>
    <m/>
    <m/>
    <x v="1"/>
    <x v="1"/>
    <m/>
    <m/>
    <m/>
    <m/>
    <m/>
    <m/>
    <m/>
    <m/>
    <m/>
    <n v="31"/>
    <n v="31"/>
    <m/>
    <m/>
    <m/>
    <m/>
    <m/>
    <m/>
    <s v="no test"/>
    <s v="no test"/>
    <x v="1"/>
    <n v="0"/>
    <n v="0"/>
    <n v="0"/>
    <n v="0"/>
    <n v="0"/>
    <n v="0"/>
    <n v="0"/>
    <n v="0"/>
    <n v="0"/>
    <n v="0"/>
    <n v="0"/>
    <n v="0"/>
    <n v="0"/>
    <n v="0"/>
    <n v="1"/>
    <n v="256"/>
    <n v="1"/>
    <n v="1"/>
    <n v="0"/>
    <n v="0"/>
    <n v="0"/>
    <s v="N/A"/>
    <s v="NA"/>
    <n v="43"/>
    <n v="43"/>
    <n v="1"/>
    <n v="0"/>
    <n v="256"/>
    <n v="0"/>
    <n v="0"/>
    <n v="0"/>
    <n v="256"/>
    <n v="1"/>
    <n v="0"/>
    <n v="1"/>
    <n v="0"/>
    <n v="0"/>
    <n v="0"/>
    <n v="0"/>
    <n v="0"/>
    <n v="0"/>
    <x v="0"/>
    <n v="0"/>
    <n v="0"/>
    <x v="2"/>
    <x v="6"/>
    <x v="4"/>
    <n v="0"/>
    <n v="0"/>
    <n v="0"/>
    <x v="0"/>
    <m/>
  </r>
  <r>
    <x v="0"/>
    <x v="10"/>
    <x v="10"/>
    <s v="IOM"/>
    <x v="2"/>
    <x v="15"/>
    <x v="2"/>
    <x v="188"/>
    <n v="53"/>
    <n v="263"/>
    <d v="2019-01-15T00:00:00"/>
    <d v="2019-09-15T00:00:00"/>
    <m/>
    <m/>
    <m/>
    <m/>
    <m/>
    <m/>
    <m/>
    <m/>
    <m/>
    <m/>
    <m/>
    <m/>
    <m/>
    <m/>
    <m/>
    <m/>
    <m/>
    <m/>
    <m/>
    <m/>
    <m/>
    <m/>
    <m/>
    <m/>
    <m/>
    <m/>
    <m/>
    <m/>
    <m/>
    <m/>
    <m/>
    <m/>
    <m/>
    <m/>
    <m/>
    <m/>
    <m/>
    <x v="1"/>
    <x v="1"/>
    <m/>
    <m/>
    <m/>
    <m/>
    <m/>
    <m/>
    <m/>
    <m/>
    <m/>
    <n v="53"/>
    <n v="53"/>
    <m/>
    <m/>
    <m/>
    <m/>
    <m/>
    <m/>
    <s v="no test"/>
    <s v="no test"/>
    <x v="1"/>
    <n v="0"/>
    <n v="0"/>
    <n v="0"/>
    <n v="0"/>
    <n v="0"/>
    <n v="0"/>
    <n v="0"/>
    <n v="0"/>
    <n v="0"/>
    <n v="0"/>
    <n v="0"/>
    <n v="0"/>
    <n v="0"/>
    <n v="0"/>
    <n v="1"/>
    <n v="263"/>
    <n v="1"/>
    <n v="1"/>
    <n v="0"/>
    <n v="0"/>
    <n v="0"/>
    <s v="N/A"/>
    <s v="NA"/>
    <n v="44"/>
    <n v="44"/>
    <n v="1"/>
    <n v="0"/>
    <n v="263"/>
    <n v="0"/>
    <n v="0"/>
    <n v="0"/>
    <n v="263"/>
    <n v="1"/>
    <n v="0"/>
    <n v="1"/>
    <n v="0"/>
    <n v="0"/>
    <n v="0"/>
    <n v="0"/>
    <n v="0"/>
    <n v="0"/>
    <x v="0"/>
    <n v="0"/>
    <n v="0"/>
    <x v="2"/>
    <x v="6"/>
    <x v="4"/>
    <n v="0"/>
    <n v="0"/>
    <n v="220736"/>
    <x v="0"/>
    <m/>
  </r>
  <r>
    <x v="0"/>
    <x v="10"/>
    <x v="10"/>
    <s v="IOM"/>
    <x v="2"/>
    <x v="15"/>
    <x v="2"/>
    <x v="189"/>
    <n v="86"/>
    <n v="401"/>
    <d v="2019-01-15T00:00:00"/>
    <d v="2019-09-15T00:00:00"/>
    <m/>
    <m/>
    <m/>
    <m/>
    <m/>
    <m/>
    <m/>
    <m/>
    <m/>
    <m/>
    <m/>
    <m/>
    <m/>
    <m/>
    <m/>
    <m/>
    <m/>
    <m/>
    <m/>
    <m/>
    <m/>
    <m/>
    <m/>
    <m/>
    <m/>
    <m/>
    <m/>
    <m/>
    <m/>
    <m/>
    <m/>
    <m/>
    <m/>
    <m/>
    <m/>
    <m/>
    <m/>
    <x v="1"/>
    <x v="1"/>
    <m/>
    <m/>
    <m/>
    <m/>
    <m/>
    <m/>
    <m/>
    <m/>
    <m/>
    <n v="86"/>
    <n v="86"/>
    <m/>
    <m/>
    <m/>
    <m/>
    <m/>
    <m/>
    <s v="no test"/>
    <s v="no test"/>
    <x v="1"/>
    <n v="0"/>
    <n v="0"/>
    <n v="0"/>
    <n v="0"/>
    <n v="0"/>
    <n v="0"/>
    <n v="0"/>
    <n v="0"/>
    <n v="0"/>
    <n v="0"/>
    <n v="0"/>
    <n v="0"/>
    <n v="0"/>
    <n v="0"/>
    <n v="1"/>
    <n v="401"/>
    <n v="1"/>
    <n v="1"/>
    <n v="0"/>
    <n v="0"/>
    <n v="0"/>
    <s v="N/A"/>
    <s v="NA"/>
    <n v="67"/>
    <n v="67"/>
    <n v="1"/>
    <n v="0"/>
    <n v="401"/>
    <n v="0"/>
    <n v="0"/>
    <n v="0"/>
    <n v="401"/>
    <n v="1"/>
    <n v="0"/>
    <n v="1"/>
    <n v="0"/>
    <n v="0"/>
    <n v="0"/>
    <n v="0"/>
    <n v="0"/>
    <n v="0"/>
    <x v="0"/>
    <n v="0"/>
    <n v="0"/>
    <x v="2"/>
    <x v="6"/>
    <x v="4"/>
    <n v="20.806211470000001"/>
    <n v="92.404357910000002"/>
    <n v="220737"/>
    <x v="0"/>
    <m/>
  </r>
  <r>
    <x v="0"/>
    <x v="10"/>
    <x v="10"/>
    <s v="IOM"/>
    <x v="2"/>
    <x v="15"/>
    <x v="2"/>
    <x v="190"/>
    <n v="275"/>
    <n v="1698"/>
    <d v="2019-01-15T00:00:00"/>
    <d v="2019-09-15T00:00:00"/>
    <m/>
    <m/>
    <m/>
    <m/>
    <m/>
    <m/>
    <m/>
    <m/>
    <m/>
    <m/>
    <m/>
    <m/>
    <m/>
    <m/>
    <m/>
    <m/>
    <m/>
    <m/>
    <m/>
    <m/>
    <m/>
    <m/>
    <m/>
    <m/>
    <m/>
    <m/>
    <m/>
    <m/>
    <m/>
    <m/>
    <m/>
    <m/>
    <m/>
    <m/>
    <m/>
    <m/>
    <m/>
    <x v="1"/>
    <x v="1"/>
    <m/>
    <m/>
    <m/>
    <m/>
    <m/>
    <m/>
    <m/>
    <m/>
    <m/>
    <n v="275"/>
    <n v="275"/>
    <m/>
    <m/>
    <m/>
    <m/>
    <m/>
    <m/>
    <s v="no test"/>
    <s v="no test"/>
    <x v="1"/>
    <n v="0"/>
    <n v="0"/>
    <n v="0"/>
    <n v="0"/>
    <n v="0"/>
    <n v="0"/>
    <n v="0"/>
    <n v="0"/>
    <n v="0"/>
    <n v="0"/>
    <n v="0"/>
    <n v="0"/>
    <n v="0"/>
    <n v="0"/>
    <n v="1"/>
    <n v="1698"/>
    <n v="3"/>
    <n v="3"/>
    <n v="0"/>
    <n v="0"/>
    <n v="0"/>
    <s v="N/A"/>
    <s v="NA"/>
    <n v="283"/>
    <n v="283"/>
    <n v="1"/>
    <n v="0"/>
    <n v="1698"/>
    <n v="0"/>
    <n v="0"/>
    <n v="0"/>
    <n v="1698"/>
    <n v="1"/>
    <n v="0"/>
    <n v="1"/>
    <n v="0"/>
    <n v="0"/>
    <n v="0"/>
    <n v="0"/>
    <n v="0"/>
    <n v="0"/>
    <x v="0"/>
    <n v="0"/>
    <n v="0"/>
    <x v="2"/>
    <x v="6"/>
    <x v="3"/>
    <n v="0"/>
    <n v="0"/>
    <n v="197968"/>
    <x v="0"/>
    <m/>
  </r>
  <r>
    <x v="0"/>
    <x v="10"/>
    <x v="10"/>
    <s v="IOM"/>
    <x v="2"/>
    <x v="15"/>
    <x v="2"/>
    <x v="191"/>
    <n v="145"/>
    <n v="702"/>
    <d v="2019-01-15T00:00:00"/>
    <d v="2019-09-15T00:00:00"/>
    <m/>
    <m/>
    <m/>
    <m/>
    <m/>
    <m/>
    <m/>
    <m/>
    <m/>
    <m/>
    <m/>
    <m/>
    <m/>
    <m/>
    <m/>
    <m/>
    <m/>
    <m/>
    <m/>
    <m/>
    <m/>
    <m/>
    <m/>
    <m/>
    <m/>
    <m/>
    <m/>
    <m/>
    <m/>
    <m/>
    <m/>
    <m/>
    <m/>
    <m/>
    <m/>
    <m/>
    <m/>
    <x v="1"/>
    <x v="1"/>
    <m/>
    <m/>
    <m/>
    <m/>
    <m/>
    <m/>
    <m/>
    <m/>
    <m/>
    <n v="145"/>
    <n v="145"/>
    <m/>
    <m/>
    <m/>
    <m/>
    <m/>
    <m/>
    <s v="no test"/>
    <s v="no test"/>
    <x v="1"/>
    <n v="0"/>
    <n v="0"/>
    <n v="0"/>
    <n v="0"/>
    <n v="0"/>
    <n v="0"/>
    <n v="0"/>
    <n v="0"/>
    <n v="0"/>
    <n v="0"/>
    <n v="0"/>
    <n v="0"/>
    <n v="0"/>
    <n v="0"/>
    <n v="1"/>
    <n v="702"/>
    <n v="1"/>
    <n v="1"/>
    <n v="0"/>
    <n v="0"/>
    <n v="0"/>
    <s v="N/A"/>
    <s v="NA"/>
    <n v="117"/>
    <n v="117"/>
    <n v="1"/>
    <n v="0"/>
    <n v="702"/>
    <n v="0"/>
    <n v="0"/>
    <n v="0"/>
    <n v="702"/>
    <n v="1"/>
    <n v="0"/>
    <n v="1"/>
    <n v="0"/>
    <n v="0"/>
    <n v="0"/>
    <n v="0"/>
    <n v="0"/>
    <n v="0"/>
    <x v="0"/>
    <n v="0"/>
    <n v="0"/>
    <x v="2"/>
    <x v="6"/>
    <x v="3"/>
    <n v="0"/>
    <n v="0"/>
    <n v="0"/>
    <x v="0"/>
    <m/>
  </r>
  <r>
    <x v="0"/>
    <x v="10"/>
    <x v="10"/>
    <s v="IOM"/>
    <x v="2"/>
    <x v="15"/>
    <x v="2"/>
    <x v="192"/>
    <n v="376"/>
    <n v="2392"/>
    <d v="2019-01-15T00:00:00"/>
    <d v="2019-09-15T00:00:00"/>
    <m/>
    <m/>
    <m/>
    <m/>
    <m/>
    <m/>
    <m/>
    <m/>
    <m/>
    <m/>
    <m/>
    <m/>
    <m/>
    <m/>
    <m/>
    <m/>
    <m/>
    <m/>
    <m/>
    <m/>
    <m/>
    <m/>
    <m/>
    <m/>
    <m/>
    <m/>
    <m/>
    <m/>
    <m/>
    <m/>
    <m/>
    <m/>
    <m/>
    <m/>
    <m/>
    <m/>
    <m/>
    <x v="1"/>
    <x v="1"/>
    <m/>
    <m/>
    <m/>
    <m/>
    <m/>
    <m/>
    <m/>
    <m/>
    <m/>
    <n v="376"/>
    <n v="376"/>
    <m/>
    <m/>
    <m/>
    <m/>
    <m/>
    <m/>
    <s v="no test"/>
    <s v="no test"/>
    <x v="1"/>
    <n v="0"/>
    <n v="0"/>
    <n v="0"/>
    <n v="0"/>
    <n v="0"/>
    <n v="0"/>
    <n v="0"/>
    <n v="0"/>
    <n v="0"/>
    <n v="0"/>
    <n v="0"/>
    <n v="0"/>
    <n v="0"/>
    <n v="0"/>
    <n v="1"/>
    <n v="2392"/>
    <n v="5"/>
    <n v="5"/>
    <n v="0"/>
    <n v="0"/>
    <n v="0"/>
    <s v="N/A"/>
    <s v="NA"/>
    <n v="399"/>
    <n v="399"/>
    <n v="1"/>
    <n v="0"/>
    <n v="2392"/>
    <n v="0"/>
    <n v="0"/>
    <n v="0"/>
    <n v="2392"/>
    <n v="1"/>
    <n v="0"/>
    <n v="1"/>
    <n v="0"/>
    <n v="0"/>
    <n v="0"/>
    <n v="0"/>
    <n v="0"/>
    <n v="0"/>
    <x v="0"/>
    <s v="Yes"/>
    <n v="0"/>
    <x v="2"/>
    <x v="9"/>
    <x v="4"/>
    <n v="19.421102000000001"/>
    <n v="93.552452000000002"/>
    <s v="MMR012CMP036"/>
    <x v="0"/>
    <m/>
  </r>
  <r>
    <x v="0"/>
    <x v="10"/>
    <x v="10"/>
    <s v="IOM"/>
    <x v="2"/>
    <x v="15"/>
    <x v="2"/>
    <x v="193"/>
    <n v="181"/>
    <n v="1089"/>
    <d v="2019-01-15T00:00:00"/>
    <d v="2019-09-15T00:00:00"/>
    <m/>
    <m/>
    <m/>
    <m/>
    <m/>
    <m/>
    <m/>
    <m/>
    <m/>
    <m/>
    <m/>
    <m/>
    <m/>
    <m/>
    <m/>
    <m/>
    <m/>
    <m/>
    <m/>
    <m/>
    <m/>
    <m/>
    <m/>
    <m/>
    <m/>
    <m/>
    <m/>
    <m/>
    <m/>
    <m/>
    <m/>
    <m/>
    <m/>
    <m/>
    <m/>
    <m/>
    <m/>
    <x v="1"/>
    <x v="1"/>
    <m/>
    <m/>
    <m/>
    <m/>
    <m/>
    <m/>
    <m/>
    <m/>
    <m/>
    <n v="181"/>
    <n v="181"/>
    <m/>
    <m/>
    <m/>
    <m/>
    <m/>
    <m/>
    <s v="no test"/>
    <s v="no test"/>
    <x v="1"/>
    <n v="0"/>
    <n v="0"/>
    <n v="0"/>
    <n v="0"/>
    <n v="0"/>
    <n v="0"/>
    <n v="0"/>
    <n v="0"/>
    <n v="0"/>
    <n v="0"/>
    <n v="0"/>
    <n v="0"/>
    <n v="0"/>
    <n v="0"/>
    <n v="1"/>
    <n v="1089"/>
    <n v="2"/>
    <n v="2"/>
    <n v="0"/>
    <n v="0"/>
    <n v="0"/>
    <s v="N/A"/>
    <s v="NA"/>
    <n v="182"/>
    <n v="182"/>
    <n v="1"/>
    <n v="0"/>
    <n v="1089"/>
    <n v="0"/>
    <n v="0"/>
    <n v="0"/>
    <n v="1089"/>
    <n v="1"/>
    <n v="0"/>
    <n v="1"/>
    <n v="0"/>
    <n v="0"/>
    <n v="0"/>
    <n v="0"/>
    <n v="0"/>
    <n v="0"/>
    <x v="0"/>
    <n v="0"/>
    <n v="0"/>
    <x v="2"/>
    <x v="6"/>
    <x v="4"/>
    <n v="20.691099170000001"/>
    <n v="92.590652469999995"/>
    <n v="198446"/>
    <x v="0"/>
    <m/>
  </r>
  <r>
    <x v="0"/>
    <x v="10"/>
    <x v="10"/>
    <s v="IOM"/>
    <x v="2"/>
    <x v="15"/>
    <x v="2"/>
    <x v="194"/>
    <n v="241"/>
    <n v="1397"/>
    <d v="2019-01-15T00:00:00"/>
    <d v="2019-09-15T00:00:00"/>
    <m/>
    <m/>
    <m/>
    <m/>
    <m/>
    <m/>
    <m/>
    <m/>
    <m/>
    <m/>
    <m/>
    <m/>
    <m/>
    <m/>
    <m/>
    <m/>
    <m/>
    <m/>
    <m/>
    <m/>
    <m/>
    <m/>
    <m/>
    <m/>
    <m/>
    <m/>
    <m/>
    <m/>
    <m/>
    <m/>
    <m/>
    <m/>
    <m/>
    <m/>
    <m/>
    <m/>
    <m/>
    <x v="1"/>
    <x v="1"/>
    <m/>
    <m/>
    <m/>
    <m/>
    <m/>
    <m/>
    <m/>
    <m/>
    <m/>
    <n v="241"/>
    <n v="241"/>
    <m/>
    <m/>
    <m/>
    <m/>
    <m/>
    <m/>
    <s v="no test"/>
    <s v="no test"/>
    <x v="1"/>
    <n v="0"/>
    <n v="0"/>
    <n v="0"/>
    <n v="0"/>
    <n v="0"/>
    <n v="0"/>
    <n v="0"/>
    <n v="0"/>
    <n v="0"/>
    <n v="0"/>
    <n v="0"/>
    <n v="0"/>
    <n v="0"/>
    <n v="0"/>
    <n v="1"/>
    <n v="1397"/>
    <n v="3"/>
    <n v="3"/>
    <n v="0"/>
    <n v="0"/>
    <n v="0"/>
    <s v="N/A"/>
    <s v="NA"/>
    <n v="233"/>
    <n v="233"/>
    <n v="1"/>
    <n v="0"/>
    <n v="1397"/>
    <n v="0"/>
    <n v="0"/>
    <n v="0"/>
    <n v="1397"/>
    <n v="1"/>
    <n v="0"/>
    <n v="1"/>
    <n v="0"/>
    <n v="0"/>
    <n v="0"/>
    <n v="0"/>
    <n v="0"/>
    <n v="0"/>
    <x v="0"/>
    <n v="0"/>
    <n v="0"/>
    <x v="2"/>
    <x v="6"/>
    <x v="3"/>
    <n v="20.872400280000001"/>
    <n v="92.337608340000003"/>
    <n v="197971"/>
    <x v="0"/>
    <m/>
  </r>
  <r>
    <x v="0"/>
    <x v="9"/>
    <x v="9"/>
    <s v="BMZ"/>
    <x v="1"/>
    <x v="13"/>
    <x v="2"/>
    <x v="195"/>
    <n v="43"/>
    <n v="193"/>
    <d v="2018-09-16T00:00:00"/>
    <d v="2019-12-31T00:00:00"/>
    <m/>
    <m/>
    <m/>
    <m/>
    <m/>
    <m/>
    <m/>
    <m/>
    <m/>
    <m/>
    <m/>
    <m/>
    <m/>
    <m/>
    <m/>
    <m/>
    <m/>
    <m/>
    <m/>
    <m/>
    <m/>
    <m/>
    <m/>
    <m/>
    <m/>
    <m/>
    <m/>
    <m/>
    <m/>
    <m/>
    <m/>
    <m/>
    <m/>
    <m/>
    <m/>
    <m/>
    <m/>
    <x v="1"/>
    <x v="1"/>
    <m/>
    <m/>
    <m/>
    <m/>
    <m/>
    <m/>
    <m/>
    <m/>
    <m/>
    <m/>
    <m/>
    <m/>
    <m/>
    <m/>
    <m/>
    <m/>
    <m/>
    <s v="no test"/>
    <s v="no test"/>
    <x v="1"/>
    <n v="0"/>
    <n v="0"/>
    <n v="0"/>
    <n v="0"/>
    <n v="0"/>
    <n v="0"/>
    <n v="0"/>
    <n v="0"/>
    <n v="0"/>
    <n v="0"/>
    <n v="0"/>
    <n v="0"/>
    <n v="0"/>
    <n v="0"/>
    <n v="1"/>
    <n v="193"/>
    <n v="1"/>
    <n v="1"/>
    <n v="0"/>
    <n v="0"/>
    <n v="0"/>
    <s v="N/A"/>
    <s v="NA"/>
    <n v="32"/>
    <n v="32"/>
    <n v="1"/>
    <n v="0"/>
    <n v="0"/>
    <n v="0"/>
    <n v="0"/>
    <n v="0"/>
    <n v="0"/>
    <n v="0"/>
    <n v="1"/>
    <n v="0"/>
    <n v="0"/>
    <n v="0"/>
    <n v="0"/>
    <n v="0"/>
    <n v="0"/>
    <n v="0"/>
    <x v="0"/>
    <n v="0"/>
    <n v="0"/>
    <x v="2"/>
    <x v="6"/>
    <x v="2"/>
    <n v="19.9233303070068"/>
    <n v="93.018592834472699"/>
    <n v="197547"/>
    <x v="0"/>
    <m/>
  </r>
  <r>
    <x v="0"/>
    <x v="9"/>
    <x v="9"/>
    <s v="BMZ"/>
    <x v="1"/>
    <x v="13"/>
    <x v="2"/>
    <x v="196"/>
    <n v="38"/>
    <n v="81"/>
    <d v="2018-09-16T00:00:00"/>
    <d v="2019-12-31T00:00:00"/>
    <m/>
    <m/>
    <m/>
    <m/>
    <m/>
    <m/>
    <m/>
    <m/>
    <m/>
    <m/>
    <m/>
    <m/>
    <m/>
    <m/>
    <m/>
    <m/>
    <m/>
    <m/>
    <m/>
    <m/>
    <m/>
    <m/>
    <m/>
    <m/>
    <m/>
    <m/>
    <m/>
    <m/>
    <m/>
    <m/>
    <m/>
    <m/>
    <m/>
    <m/>
    <m/>
    <m/>
    <m/>
    <x v="1"/>
    <x v="1"/>
    <m/>
    <m/>
    <m/>
    <m/>
    <m/>
    <m/>
    <m/>
    <m/>
    <m/>
    <m/>
    <m/>
    <m/>
    <m/>
    <m/>
    <m/>
    <m/>
    <m/>
    <s v="no test"/>
    <s v="no test"/>
    <x v="1"/>
    <n v="0"/>
    <n v="0"/>
    <n v="0"/>
    <n v="0"/>
    <n v="0"/>
    <n v="0"/>
    <n v="0"/>
    <n v="0"/>
    <n v="0"/>
    <n v="0"/>
    <n v="0"/>
    <n v="0"/>
    <n v="0"/>
    <n v="0"/>
    <n v="1"/>
    <n v="81"/>
    <n v="1"/>
    <n v="1"/>
    <n v="0"/>
    <n v="0"/>
    <n v="0"/>
    <s v="N/A"/>
    <s v="NA"/>
    <n v="14"/>
    <n v="14"/>
    <n v="1"/>
    <n v="0"/>
    <n v="0"/>
    <n v="0"/>
    <n v="0"/>
    <n v="0"/>
    <n v="0"/>
    <n v="0"/>
    <n v="1"/>
    <n v="0"/>
    <n v="0"/>
    <n v="0"/>
    <n v="0"/>
    <n v="0"/>
    <n v="0"/>
    <n v="0"/>
    <x v="0"/>
    <n v="0"/>
    <n v="0"/>
    <x v="2"/>
    <x v="6"/>
    <x v="2"/>
    <n v="20.005199432373001"/>
    <n v="92.948463439941406"/>
    <n v="197565"/>
    <x v="0"/>
    <m/>
  </r>
  <r>
    <x v="0"/>
    <x v="9"/>
    <x v="9"/>
    <s v="OFDA"/>
    <x v="1"/>
    <x v="13"/>
    <x v="2"/>
    <x v="197"/>
    <n v="204"/>
    <n v="1055"/>
    <d v="2019-04-01T00:00:00"/>
    <d v="2020-03-31T00:00:00"/>
    <n v="0"/>
    <n v="0"/>
    <n v="3"/>
    <n v="0"/>
    <s v="No"/>
    <n v="1"/>
    <n v="2"/>
    <n v="0"/>
    <m/>
    <m/>
    <m/>
    <m/>
    <m/>
    <m/>
    <m/>
    <m/>
    <m/>
    <m/>
    <n v="4"/>
    <m/>
    <m/>
    <n v="4"/>
    <n v="4"/>
    <m/>
    <n v="109"/>
    <m/>
    <m/>
    <m/>
    <m/>
    <n v="79"/>
    <m/>
    <m/>
    <m/>
    <m/>
    <m/>
    <m/>
    <n v="79"/>
    <x v="0"/>
    <x v="0"/>
    <m/>
    <m/>
    <m/>
    <m/>
    <n v="0"/>
    <m/>
    <m/>
    <m/>
    <m/>
    <n v="1"/>
    <n v="2"/>
    <m/>
    <m/>
    <m/>
    <m/>
    <m/>
    <m/>
    <n v="0"/>
    <n v="0"/>
    <x v="0"/>
    <n v="0"/>
    <n v="0"/>
    <n v="0"/>
    <n v="0"/>
    <n v="0"/>
    <n v="0"/>
    <n v="0"/>
    <n v="0"/>
    <n v="0"/>
    <n v="0.94786729857819907"/>
    <n v="1000"/>
    <n v="0.94786729857819907"/>
    <n v="1000"/>
    <n v="2"/>
    <n v="5.2132701421800931E-2"/>
    <n v="54.999999999999986"/>
    <n v="0"/>
    <n v="2"/>
    <n v="79"/>
    <n v="0.44928909952606633"/>
    <n v="474"/>
    <s v="N/A"/>
    <s v="NA"/>
    <n v="176"/>
    <n v="97"/>
    <n v="0.55071090047393367"/>
    <n v="0"/>
    <n v="1055"/>
    <n v="0"/>
    <n v="0"/>
    <n v="0"/>
    <n v="1055"/>
    <n v="1"/>
    <n v="0"/>
    <n v="1"/>
    <n v="0"/>
    <n v="0"/>
    <n v="0"/>
    <n v="0"/>
    <n v="0"/>
    <n v="0"/>
    <x v="0"/>
    <n v="0"/>
    <n v="0"/>
    <x v="2"/>
    <x v="6"/>
    <x v="4"/>
    <n v="20.0839"/>
    <n v="92.993799999999993"/>
    <n v="197557"/>
    <x v="0"/>
    <m/>
  </r>
  <r>
    <x v="0"/>
    <x v="9"/>
    <x v="9"/>
    <s v="OFDA"/>
    <x v="1"/>
    <x v="13"/>
    <x v="1"/>
    <x v="198"/>
    <n v="744"/>
    <n v="2810"/>
    <d v="2019-04-01T00:00:00"/>
    <d v="2020-03-31T00:00:00"/>
    <n v="510"/>
    <n v="3"/>
    <n v="15"/>
    <n v="0"/>
    <s v="Yes"/>
    <n v="13"/>
    <n v="5"/>
    <n v="25"/>
    <m/>
    <n v="25"/>
    <n v="10"/>
    <m/>
    <m/>
    <n v="10"/>
    <n v="2"/>
    <m/>
    <n v="2"/>
    <m/>
    <n v="1"/>
    <m/>
    <m/>
    <n v="1"/>
    <n v="1"/>
    <m/>
    <m/>
    <m/>
    <n v="75"/>
    <n v="3"/>
    <m/>
    <n v="370"/>
    <m/>
    <m/>
    <m/>
    <n v="370"/>
    <n v="370"/>
    <m/>
    <n v="370"/>
    <x v="0"/>
    <x v="0"/>
    <n v="4"/>
    <n v="15"/>
    <n v="10"/>
    <m/>
    <n v="77"/>
    <m/>
    <n v="660"/>
    <m/>
    <m/>
    <n v="4"/>
    <n v="4"/>
    <n v="744"/>
    <n v="744"/>
    <s v="Yes"/>
    <n v="13"/>
    <m/>
    <m/>
    <n v="0"/>
    <s v="no test"/>
    <x v="0"/>
    <n v="25"/>
    <n v="10"/>
    <n v="2"/>
    <n v="0"/>
    <n v="0"/>
    <n v="1"/>
    <n v="1"/>
    <n v="1"/>
    <n v="2810"/>
    <n v="8.8967971530249115E-2"/>
    <n v="250"/>
    <n v="1"/>
    <n v="2810"/>
    <n v="5.62"/>
    <n v="0"/>
    <n v="0"/>
    <n v="0.37999999999999989"/>
    <n v="6"/>
    <n v="370"/>
    <n v="1"/>
    <n v="2810"/>
    <n v="2810"/>
    <n v="500"/>
    <n v="141"/>
    <n v="0"/>
    <n v="0"/>
    <n v="0"/>
    <n v="2810"/>
    <n v="2810"/>
    <n v="2810"/>
    <n v="2810"/>
    <n v="2810"/>
    <n v="1"/>
    <n v="0"/>
    <n v="1"/>
    <n v="1"/>
    <n v="1"/>
    <n v="77"/>
    <n v="744"/>
    <n v="75"/>
    <n v="2810"/>
    <x v="1"/>
    <s v="Yes"/>
    <n v="0"/>
    <x v="0"/>
    <x v="7"/>
    <x v="3"/>
    <n v="20.064226000000001"/>
    <n v="92.993758999999997"/>
    <s v="MMR012CMP019"/>
    <x v="0"/>
    <m/>
  </r>
  <r>
    <x v="0"/>
    <x v="9"/>
    <x v="9"/>
    <s v="OFDA"/>
    <x v="1"/>
    <x v="13"/>
    <x v="2"/>
    <x v="199"/>
    <n v="948"/>
    <n v="3946"/>
    <d v="2019-04-01T00:00:00"/>
    <d v="2020-03-31T00:00:00"/>
    <n v="342"/>
    <n v="1"/>
    <n v="8"/>
    <n v="0"/>
    <s v="No"/>
    <n v="5"/>
    <n v="4"/>
    <n v="8"/>
    <m/>
    <n v="8"/>
    <n v="59"/>
    <m/>
    <m/>
    <n v="59"/>
    <n v="2"/>
    <m/>
    <n v="2"/>
    <m/>
    <n v="3"/>
    <m/>
    <m/>
    <n v="3"/>
    <n v="3"/>
    <m/>
    <n v="148"/>
    <m/>
    <n v="15"/>
    <n v="2"/>
    <m/>
    <n v="343"/>
    <m/>
    <m/>
    <m/>
    <m/>
    <m/>
    <m/>
    <n v="343"/>
    <x v="0"/>
    <x v="0"/>
    <n v="4"/>
    <n v="0"/>
    <n v="10"/>
    <m/>
    <n v="17"/>
    <m/>
    <m/>
    <m/>
    <m/>
    <n v="4"/>
    <n v="4"/>
    <m/>
    <m/>
    <s v="Yes"/>
    <n v="46"/>
    <m/>
    <m/>
    <n v="0"/>
    <n v="0"/>
    <x v="0"/>
    <n v="8"/>
    <n v="59"/>
    <n v="2"/>
    <n v="0"/>
    <n v="0"/>
    <n v="1"/>
    <n v="1"/>
    <n v="1"/>
    <n v="3946"/>
    <n v="0.1900658895083629"/>
    <n v="750"/>
    <n v="1"/>
    <n v="3946"/>
    <n v="7.8920000000000003"/>
    <n v="0"/>
    <n v="0"/>
    <n v="0.10799999999999965"/>
    <n v="8"/>
    <n v="343"/>
    <n v="0.52154080081094778"/>
    <n v="2058"/>
    <s v="N/A"/>
    <s v="NA"/>
    <n v="658"/>
    <n v="315"/>
    <n v="0.47845919918905222"/>
    <n v="0"/>
    <n v="3946"/>
    <n v="0"/>
    <n v="0"/>
    <n v="0"/>
    <n v="3946"/>
    <n v="1"/>
    <n v="0"/>
    <n v="1"/>
    <n v="0"/>
    <n v="0"/>
    <n v="17"/>
    <n v="340"/>
    <n v="15"/>
    <n v="1700"/>
    <x v="1"/>
    <n v="0"/>
    <n v="0"/>
    <x v="2"/>
    <x v="6"/>
    <x v="3"/>
    <n v="20.0641"/>
    <n v="92.994600000000005"/>
    <n v="197548"/>
    <x v="0"/>
    <m/>
  </r>
  <r>
    <x v="0"/>
    <x v="9"/>
    <x v="9"/>
    <s v="OFDA"/>
    <x v="1"/>
    <x v="13"/>
    <x v="2"/>
    <x v="200"/>
    <n v="477"/>
    <n v="2034"/>
    <d v="2019-04-01T00:00:00"/>
    <d v="2020-03-31T00:00:00"/>
    <n v="0"/>
    <n v="1"/>
    <n v="4"/>
    <n v="0"/>
    <s v="No"/>
    <n v="1"/>
    <n v="4"/>
    <n v="4"/>
    <m/>
    <n v="4"/>
    <n v="28"/>
    <m/>
    <m/>
    <n v="28"/>
    <m/>
    <m/>
    <m/>
    <m/>
    <n v="2"/>
    <m/>
    <m/>
    <n v="2"/>
    <n v="2"/>
    <m/>
    <n v="125"/>
    <m/>
    <n v="15"/>
    <m/>
    <m/>
    <n v="200"/>
    <m/>
    <m/>
    <m/>
    <m/>
    <m/>
    <m/>
    <n v="200"/>
    <x v="0"/>
    <x v="0"/>
    <n v="0"/>
    <n v="0"/>
    <n v="4"/>
    <m/>
    <n v="15"/>
    <m/>
    <m/>
    <m/>
    <m/>
    <n v="1"/>
    <n v="3"/>
    <m/>
    <m/>
    <m/>
    <m/>
    <m/>
    <m/>
    <n v="0"/>
    <n v="0"/>
    <x v="0"/>
    <n v="4"/>
    <n v="28"/>
    <n v="0"/>
    <n v="0"/>
    <n v="0"/>
    <n v="1"/>
    <n v="1"/>
    <n v="1"/>
    <n v="2034"/>
    <n v="0.24582104228121926"/>
    <n v="500"/>
    <n v="1"/>
    <n v="2034"/>
    <n v="4.0679999999999996"/>
    <n v="0"/>
    <n v="0"/>
    <n v="0"/>
    <n v="4"/>
    <n v="200"/>
    <n v="0.58997050147492625"/>
    <n v="1200"/>
    <s v="N/A"/>
    <s v="NA"/>
    <n v="339"/>
    <n v="139"/>
    <n v="0.41002949852507375"/>
    <n v="0"/>
    <n v="2000"/>
    <n v="0"/>
    <n v="0"/>
    <n v="0"/>
    <n v="2000"/>
    <n v="0.98328416912487704"/>
    <n v="1.6715830875122961E-2"/>
    <n v="0.98328416912487704"/>
    <n v="0"/>
    <n v="0"/>
    <n v="15"/>
    <n v="300"/>
    <n v="0"/>
    <n v="1500"/>
    <x v="0"/>
    <n v="0"/>
    <n v="0"/>
    <x v="2"/>
    <x v="6"/>
    <x v="4"/>
    <n v="20.057860999999999"/>
    <n v="92.995181000000002"/>
    <n v="197550"/>
    <x v="0"/>
    <m/>
  </r>
  <r>
    <x v="0"/>
    <x v="9"/>
    <x v="9"/>
    <s v="BMZ"/>
    <x v="1"/>
    <x v="13"/>
    <x v="2"/>
    <x v="201"/>
    <n v="97"/>
    <n v="97"/>
    <d v="2018-09-16T00:00:00"/>
    <d v="2019-12-31T00:00:00"/>
    <m/>
    <m/>
    <m/>
    <m/>
    <m/>
    <m/>
    <m/>
    <m/>
    <m/>
    <m/>
    <m/>
    <m/>
    <m/>
    <m/>
    <m/>
    <m/>
    <m/>
    <m/>
    <m/>
    <m/>
    <m/>
    <m/>
    <m/>
    <m/>
    <m/>
    <m/>
    <m/>
    <m/>
    <m/>
    <m/>
    <m/>
    <m/>
    <m/>
    <m/>
    <m/>
    <m/>
    <m/>
    <x v="1"/>
    <x v="1"/>
    <m/>
    <m/>
    <m/>
    <m/>
    <m/>
    <m/>
    <m/>
    <m/>
    <m/>
    <m/>
    <m/>
    <m/>
    <m/>
    <m/>
    <m/>
    <m/>
    <m/>
    <s v="no test"/>
    <s v="no test"/>
    <x v="1"/>
    <n v="0"/>
    <n v="0"/>
    <n v="0"/>
    <n v="0"/>
    <n v="0"/>
    <n v="0"/>
    <n v="0"/>
    <n v="0"/>
    <n v="0"/>
    <n v="0"/>
    <n v="0"/>
    <n v="0"/>
    <n v="0"/>
    <n v="0"/>
    <n v="1"/>
    <n v="97"/>
    <n v="1"/>
    <n v="1"/>
    <n v="0"/>
    <n v="0"/>
    <n v="0"/>
    <s v="N/A"/>
    <s v="NA"/>
    <n v="16"/>
    <n v="16"/>
    <n v="1"/>
    <n v="0"/>
    <n v="0"/>
    <n v="0"/>
    <n v="0"/>
    <n v="0"/>
    <n v="0"/>
    <n v="0"/>
    <n v="1"/>
    <n v="0"/>
    <n v="0"/>
    <n v="0"/>
    <n v="0"/>
    <n v="0"/>
    <n v="0"/>
    <n v="0"/>
    <x v="0"/>
    <n v="0"/>
    <n v="0"/>
    <x v="2"/>
    <x v="6"/>
    <x v="2"/>
    <n v="19.9964408874512"/>
    <n v="92.951683044433594"/>
    <n v="217986"/>
    <x v="0"/>
    <m/>
  </r>
  <r>
    <x v="0"/>
    <x v="9"/>
    <x v="9"/>
    <s v="BMZ"/>
    <x v="1"/>
    <x v="13"/>
    <x v="2"/>
    <x v="202"/>
    <n v="47"/>
    <n v="239"/>
    <d v="2018-09-16T00:00:00"/>
    <d v="2019-12-31T00:00:00"/>
    <m/>
    <m/>
    <m/>
    <m/>
    <m/>
    <m/>
    <m/>
    <m/>
    <m/>
    <m/>
    <m/>
    <m/>
    <m/>
    <m/>
    <m/>
    <m/>
    <m/>
    <m/>
    <m/>
    <m/>
    <m/>
    <m/>
    <m/>
    <m/>
    <m/>
    <m/>
    <m/>
    <m/>
    <m/>
    <m/>
    <m/>
    <m/>
    <m/>
    <m/>
    <m/>
    <m/>
    <m/>
    <x v="1"/>
    <x v="1"/>
    <m/>
    <m/>
    <m/>
    <m/>
    <m/>
    <m/>
    <m/>
    <m/>
    <m/>
    <m/>
    <m/>
    <m/>
    <m/>
    <m/>
    <m/>
    <m/>
    <m/>
    <s v="no test"/>
    <s v="no test"/>
    <x v="1"/>
    <n v="0"/>
    <n v="0"/>
    <n v="0"/>
    <n v="0"/>
    <n v="0"/>
    <n v="0"/>
    <n v="0"/>
    <n v="0"/>
    <n v="0"/>
    <n v="0"/>
    <n v="0"/>
    <n v="0"/>
    <n v="0"/>
    <n v="0"/>
    <n v="1"/>
    <n v="239"/>
    <n v="1"/>
    <n v="1"/>
    <n v="0"/>
    <n v="0"/>
    <n v="0"/>
    <s v="N/A"/>
    <s v="NA"/>
    <n v="40"/>
    <n v="40"/>
    <n v="1"/>
    <n v="0"/>
    <n v="0"/>
    <n v="0"/>
    <n v="0"/>
    <n v="0"/>
    <n v="0"/>
    <n v="0"/>
    <n v="1"/>
    <n v="0"/>
    <n v="0"/>
    <n v="0"/>
    <n v="0"/>
    <n v="0"/>
    <n v="0"/>
    <n v="0"/>
    <x v="0"/>
    <n v="0"/>
    <n v="0"/>
    <x v="2"/>
    <x v="6"/>
    <x v="2"/>
    <n v="0"/>
    <n v="0"/>
    <n v="0"/>
    <x v="0"/>
    <m/>
  </r>
  <r>
    <x v="0"/>
    <x v="9"/>
    <x v="9"/>
    <s v="BMZ"/>
    <x v="1"/>
    <x v="13"/>
    <x v="2"/>
    <x v="203"/>
    <n v="113"/>
    <n v="506"/>
    <d v="2018-09-16T00:00:00"/>
    <d v="2019-12-31T00:00:00"/>
    <m/>
    <m/>
    <m/>
    <m/>
    <m/>
    <m/>
    <m/>
    <m/>
    <m/>
    <m/>
    <m/>
    <m/>
    <m/>
    <m/>
    <m/>
    <m/>
    <m/>
    <m/>
    <m/>
    <m/>
    <m/>
    <m/>
    <m/>
    <m/>
    <m/>
    <m/>
    <m/>
    <m/>
    <m/>
    <m/>
    <m/>
    <m/>
    <m/>
    <m/>
    <m/>
    <m/>
    <m/>
    <x v="1"/>
    <x v="1"/>
    <m/>
    <m/>
    <m/>
    <m/>
    <m/>
    <m/>
    <m/>
    <m/>
    <m/>
    <m/>
    <m/>
    <m/>
    <m/>
    <m/>
    <m/>
    <m/>
    <m/>
    <s v="no test"/>
    <s v="no test"/>
    <x v="1"/>
    <n v="0"/>
    <n v="0"/>
    <n v="0"/>
    <n v="0"/>
    <n v="0"/>
    <n v="0"/>
    <n v="0"/>
    <n v="0"/>
    <n v="0"/>
    <n v="0"/>
    <n v="0"/>
    <n v="0"/>
    <n v="0"/>
    <n v="0"/>
    <n v="1"/>
    <n v="506"/>
    <n v="1"/>
    <n v="1"/>
    <n v="0"/>
    <n v="0"/>
    <n v="0"/>
    <s v="N/A"/>
    <s v="NA"/>
    <n v="84"/>
    <n v="84"/>
    <n v="1"/>
    <n v="0"/>
    <n v="0"/>
    <n v="0"/>
    <n v="0"/>
    <n v="0"/>
    <n v="0"/>
    <n v="0"/>
    <n v="1"/>
    <n v="0"/>
    <n v="0"/>
    <n v="0"/>
    <n v="0"/>
    <n v="0"/>
    <n v="0"/>
    <n v="0"/>
    <x v="0"/>
    <n v="0"/>
    <n v="0"/>
    <x v="2"/>
    <x v="6"/>
    <x v="2"/>
    <n v="0"/>
    <n v="0"/>
    <n v="0"/>
    <x v="0"/>
    <m/>
  </r>
  <r>
    <x v="0"/>
    <x v="9"/>
    <x v="9"/>
    <s v="BMZ"/>
    <x v="1"/>
    <x v="13"/>
    <x v="2"/>
    <x v="204"/>
    <n v="66"/>
    <n v="315"/>
    <d v="2018-09-16T00:00:00"/>
    <d v="2019-12-31T00:00:00"/>
    <m/>
    <m/>
    <m/>
    <m/>
    <m/>
    <m/>
    <m/>
    <m/>
    <m/>
    <m/>
    <m/>
    <m/>
    <m/>
    <m/>
    <m/>
    <m/>
    <m/>
    <m/>
    <m/>
    <m/>
    <m/>
    <m/>
    <m/>
    <m/>
    <m/>
    <m/>
    <m/>
    <m/>
    <m/>
    <m/>
    <m/>
    <m/>
    <m/>
    <m/>
    <m/>
    <m/>
    <m/>
    <x v="1"/>
    <x v="1"/>
    <m/>
    <m/>
    <m/>
    <m/>
    <m/>
    <m/>
    <m/>
    <m/>
    <m/>
    <m/>
    <m/>
    <m/>
    <m/>
    <m/>
    <m/>
    <m/>
    <m/>
    <s v="no test"/>
    <s v="no test"/>
    <x v="1"/>
    <n v="0"/>
    <n v="0"/>
    <n v="0"/>
    <n v="0"/>
    <n v="0"/>
    <n v="0"/>
    <n v="0"/>
    <n v="0"/>
    <n v="0"/>
    <n v="0"/>
    <n v="0"/>
    <n v="0"/>
    <n v="0"/>
    <n v="0"/>
    <n v="1"/>
    <n v="315"/>
    <n v="1"/>
    <n v="1"/>
    <n v="0"/>
    <n v="0"/>
    <n v="0"/>
    <s v="N/A"/>
    <s v="NA"/>
    <n v="53"/>
    <n v="53"/>
    <n v="1"/>
    <n v="0"/>
    <n v="0"/>
    <n v="0"/>
    <n v="0"/>
    <n v="0"/>
    <n v="0"/>
    <n v="0"/>
    <n v="1"/>
    <n v="0"/>
    <n v="0"/>
    <n v="0"/>
    <n v="0"/>
    <n v="0"/>
    <n v="0"/>
    <n v="0"/>
    <x v="0"/>
    <n v="0"/>
    <n v="0"/>
    <x v="2"/>
    <x v="6"/>
    <x v="2"/>
    <n v="19.9403591156006"/>
    <n v="93.009452819824205"/>
    <n v="197543"/>
    <x v="0"/>
    <m/>
  </r>
  <r>
    <x v="0"/>
    <x v="12"/>
    <x v="12"/>
    <s v="UMCOR"/>
    <x v="1"/>
    <x v="16"/>
    <x v="1"/>
    <x v="205"/>
    <n v="91"/>
    <n v="581"/>
    <m/>
    <d v="2019-03-30T00:00:00"/>
    <m/>
    <m/>
    <m/>
    <m/>
    <m/>
    <m/>
    <m/>
    <m/>
    <m/>
    <m/>
    <m/>
    <m/>
    <m/>
    <m/>
    <m/>
    <m/>
    <m/>
    <m/>
    <n v="3"/>
    <m/>
    <m/>
    <m/>
    <m/>
    <m/>
    <m/>
    <m/>
    <m/>
    <m/>
    <m/>
    <n v="13"/>
    <m/>
    <m/>
    <m/>
    <m/>
    <m/>
    <m/>
    <m/>
    <x v="2"/>
    <x v="3"/>
    <m/>
    <m/>
    <m/>
    <m/>
    <m/>
    <m/>
    <m/>
    <m/>
    <m/>
    <m/>
    <m/>
    <m/>
    <m/>
    <m/>
    <m/>
    <m/>
    <m/>
    <s v="no test"/>
    <s v="no test"/>
    <x v="1"/>
    <n v="0"/>
    <n v="0"/>
    <n v="0"/>
    <n v="0"/>
    <n v="0"/>
    <n v="0"/>
    <n v="0"/>
    <n v="0"/>
    <n v="0"/>
    <n v="1"/>
    <n v="581"/>
    <n v="1"/>
    <n v="581"/>
    <n v="1.1619999999999999"/>
    <n v="0"/>
    <n v="0"/>
    <n v="0"/>
    <n v="1"/>
    <n v="13"/>
    <n v="0.44750430292598969"/>
    <n v="260"/>
    <n v="0"/>
    <n v="0"/>
    <n v="29"/>
    <n v="16"/>
    <n v="0.55249569707401025"/>
    <n v="0"/>
    <n v="0"/>
    <n v="0"/>
    <n v="0"/>
    <n v="0"/>
    <n v="0"/>
    <n v="0"/>
    <n v="1"/>
    <n v="0"/>
    <n v="0"/>
    <n v="0"/>
    <n v="0"/>
    <n v="0"/>
    <n v="0"/>
    <n v="0"/>
    <x v="0"/>
    <s v="Yes"/>
    <n v="0"/>
    <x v="0"/>
    <x v="10"/>
    <x v="3"/>
    <n v="20.865687000000001"/>
    <n v="92.965980999999999"/>
    <s v="MMR012CMP023"/>
    <x v="0"/>
    <m/>
  </r>
  <r>
    <x v="0"/>
    <x v="11"/>
    <x v="13"/>
    <m/>
    <x v="2"/>
    <x v="14"/>
    <x v="2"/>
    <x v="206"/>
    <n v="935.8"/>
    <n v="4679"/>
    <m/>
    <m/>
    <m/>
    <m/>
    <m/>
    <m/>
    <m/>
    <m/>
    <m/>
    <m/>
    <m/>
    <m/>
    <m/>
    <m/>
    <m/>
    <m/>
    <m/>
    <m/>
    <m/>
    <m/>
    <m/>
    <m/>
    <m/>
    <m/>
    <m/>
    <m/>
    <m/>
    <m/>
    <m/>
    <m/>
    <m/>
    <m/>
    <m/>
    <m/>
    <m/>
    <m/>
    <m/>
    <m/>
    <m/>
    <x v="1"/>
    <x v="1"/>
    <m/>
    <m/>
    <m/>
    <m/>
    <m/>
    <m/>
    <m/>
    <m/>
    <m/>
    <m/>
    <m/>
    <n v="935.8"/>
    <m/>
    <m/>
    <m/>
    <m/>
    <m/>
    <s v="no test"/>
    <s v="no test"/>
    <x v="1"/>
    <n v="0"/>
    <n v="0"/>
    <n v="0"/>
    <n v="0"/>
    <n v="0"/>
    <n v="0"/>
    <n v="0"/>
    <n v="0"/>
    <n v="0"/>
    <n v="0"/>
    <n v="0"/>
    <n v="0"/>
    <n v="0"/>
    <n v="0"/>
    <n v="1"/>
    <n v="4679"/>
    <n v="9"/>
    <n v="9"/>
    <n v="0"/>
    <n v="0"/>
    <n v="0"/>
    <s v="N/A"/>
    <s v="NA"/>
    <n v="780"/>
    <n v="780"/>
    <n v="1"/>
    <n v="0"/>
    <n v="0"/>
    <n v="4679"/>
    <n v="0"/>
    <n v="4679"/>
    <n v="4679"/>
    <n v="1"/>
    <n v="0"/>
    <n v="0"/>
    <n v="1"/>
    <n v="0"/>
    <n v="0"/>
    <n v="0"/>
    <n v="0"/>
    <n v="0"/>
    <x v="0"/>
    <n v="0"/>
    <n v="0"/>
    <x v="2"/>
    <x v="6"/>
    <x v="2"/>
    <n v="0"/>
    <n v="0"/>
    <n v="0"/>
    <x v="0"/>
    <m/>
  </r>
  <r>
    <x v="0"/>
    <x v="11"/>
    <x v="13"/>
    <m/>
    <x v="2"/>
    <x v="14"/>
    <x v="2"/>
    <x v="207"/>
    <n v="3210"/>
    <n v="16050"/>
    <m/>
    <m/>
    <m/>
    <m/>
    <m/>
    <m/>
    <m/>
    <m/>
    <m/>
    <m/>
    <m/>
    <m/>
    <m/>
    <m/>
    <m/>
    <m/>
    <m/>
    <m/>
    <m/>
    <m/>
    <m/>
    <m/>
    <m/>
    <m/>
    <m/>
    <m/>
    <m/>
    <m/>
    <m/>
    <m/>
    <m/>
    <m/>
    <m/>
    <m/>
    <m/>
    <m/>
    <m/>
    <m/>
    <m/>
    <x v="1"/>
    <x v="1"/>
    <m/>
    <m/>
    <m/>
    <m/>
    <m/>
    <m/>
    <m/>
    <m/>
    <m/>
    <m/>
    <m/>
    <n v="3210"/>
    <m/>
    <m/>
    <m/>
    <m/>
    <m/>
    <s v="no test"/>
    <s v="no test"/>
    <x v="1"/>
    <n v="0"/>
    <n v="0"/>
    <n v="0"/>
    <n v="0"/>
    <n v="0"/>
    <n v="0"/>
    <n v="0"/>
    <n v="0"/>
    <n v="0"/>
    <n v="0"/>
    <n v="0"/>
    <n v="0"/>
    <n v="0"/>
    <n v="0"/>
    <n v="1"/>
    <n v="16050"/>
    <n v="32"/>
    <n v="32"/>
    <n v="0"/>
    <n v="0"/>
    <n v="0"/>
    <s v="N/A"/>
    <s v="NA"/>
    <n v="2675"/>
    <n v="2675"/>
    <n v="1"/>
    <n v="0"/>
    <n v="0"/>
    <n v="16050"/>
    <n v="0"/>
    <n v="16050"/>
    <n v="16050"/>
    <n v="1"/>
    <n v="0"/>
    <n v="0"/>
    <n v="1"/>
    <n v="0"/>
    <n v="0"/>
    <n v="0"/>
    <n v="0"/>
    <n v="0"/>
    <x v="0"/>
    <n v="0"/>
    <n v="0"/>
    <x v="2"/>
    <x v="6"/>
    <x v="2"/>
    <n v="20.825700759887699"/>
    <n v="92.542686462402301"/>
    <n v="198334"/>
    <x v="0"/>
    <m/>
  </r>
  <r>
    <x v="0"/>
    <x v="11"/>
    <x v="13"/>
    <m/>
    <x v="2"/>
    <x v="14"/>
    <x v="2"/>
    <x v="208"/>
    <n v="1048"/>
    <n v="5240"/>
    <m/>
    <m/>
    <m/>
    <m/>
    <m/>
    <m/>
    <m/>
    <m/>
    <m/>
    <m/>
    <m/>
    <m/>
    <m/>
    <m/>
    <m/>
    <m/>
    <m/>
    <m/>
    <m/>
    <m/>
    <m/>
    <m/>
    <m/>
    <m/>
    <m/>
    <m/>
    <m/>
    <m/>
    <m/>
    <m/>
    <m/>
    <m/>
    <m/>
    <m/>
    <m/>
    <m/>
    <m/>
    <m/>
    <m/>
    <x v="1"/>
    <x v="1"/>
    <m/>
    <m/>
    <m/>
    <m/>
    <m/>
    <m/>
    <m/>
    <m/>
    <m/>
    <m/>
    <m/>
    <n v="1048"/>
    <m/>
    <m/>
    <m/>
    <m/>
    <m/>
    <s v="no test"/>
    <s v="no test"/>
    <x v="1"/>
    <n v="0"/>
    <n v="0"/>
    <n v="0"/>
    <n v="0"/>
    <n v="0"/>
    <n v="0"/>
    <n v="0"/>
    <n v="0"/>
    <n v="0"/>
    <n v="0"/>
    <n v="0"/>
    <n v="0"/>
    <n v="0"/>
    <n v="0"/>
    <n v="1"/>
    <n v="5240"/>
    <n v="10"/>
    <n v="10"/>
    <n v="0"/>
    <n v="0"/>
    <n v="0"/>
    <s v="N/A"/>
    <s v="NA"/>
    <n v="873"/>
    <n v="873"/>
    <n v="1"/>
    <n v="0"/>
    <n v="0"/>
    <n v="5240"/>
    <n v="0"/>
    <n v="5240"/>
    <n v="5240"/>
    <n v="1"/>
    <n v="0"/>
    <n v="0"/>
    <n v="1"/>
    <n v="0"/>
    <n v="0"/>
    <n v="0"/>
    <n v="0"/>
    <n v="0"/>
    <x v="0"/>
    <n v="0"/>
    <n v="0"/>
    <x v="2"/>
    <x v="6"/>
    <x v="2"/>
    <n v="20.8608493804932"/>
    <n v="92.539390563964801"/>
    <n v="198326"/>
    <x v="0"/>
    <m/>
  </r>
  <r>
    <x v="0"/>
    <x v="11"/>
    <x v="13"/>
    <m/>
    <x v="2"/>
    <x v="14"/>
    <x v="2"/>
    <x v="209"/>
    <n v="1634.4"/>
    <n v="8172"/>
    <m/>
    <m/>
    <m/>
    <m/>
    <m/>
    <m/>
    <m/>
    <m/>
    <m/>
    <m/>
    <m/>
    <m/>
    <m/>
    <m/>
    <m/>
    <m/>
    <m/>
    <m/>
    <m/>
    <m/>
    <m/>
    <m/>
    <m/>
    <m/>
    <m/>
    <m/>
    <m/>
    <m/>
    <m/>
    <m/>
    <m/>
    <m/>
    <m/>
    <m/>
    <m/>
    <m/>
    <m/>
    <m/>
    <m/>
    <x v="1"/>
    <x v="1"/>
    <m/>
    <m/>
    <m/>
    <m/>
    <m/>
    <m/>
    <m/>
    <m/>
    <m/>
    <m/>
    <m/>
    <n v="1634.4"/>
    <m/>
    <m/>
    <m/>
    <m/>
    <m/>
    <s v="no test"/>
    <s v="no test"/>
    <x v="1"/>
    <n v="0"/>
    <n v="0"/>
    <n v="0"/>
    <n v="0"/>
    <n v="0"/>
    <n v="0"/>
    <n v="0"/>
    <n v="0"/>
    <n v="0"/>
    <n v="0"/>
    <n v="0"/>
    <n v="0"/>
    <n v="0"/>
    <n v="0"/>
    <n v="1"/>
    <n v="8172"/>
    <n v="16"/>
    <n v="16"/>
    <n v="0"/>
    <n v="0"/>
    <n v="0"/>
    <s v="N/A"/>
    <s v="NA"/>
    <n v="1362"/>
    <n v="1362"/>
    <n v="1"/>
    <n v="0"/>
    <n v="0"/>
    <n v="8172"/>
    <n v="0"/>
    <n v="8172"/>
    <n v="8172"/>
    <n v="1"/>
    <n v="0"/>
    <n v="0"/>
    <n v="1"/>
    <n v="0"/>
    <n v="0"/>
    <n v="0"/>
    <n v="0"/>
    <n v="0"/>
    <x v="0"/>
    <n v="0"/>
    <n v="0"/>
    <x v="2"/>
    <x v="6"/>
    <x v="2"/>
    <n v="20.793779373168899"/>
    <n v="92.597961425781307"/>
    <n v="198370"/>
    <x v="0"/>
    <m/>
  </r>
  <r>
    <x v="0"/>
    <x v="11"/>
    <x v="13"/>
    <m/>
    <x v="2"/>
    <x v="14"/>
    <x v="2"/>
    <x v="210"/>
    <n v="403"/>
    <n v="2015"/>
    <m/>
    <m/>
    <m/>
    <m/>
    <m/>
    <m/>
    <m/>
    <m/>
    <m/>
    <m/>
    <m/>
    <m/>
    <m/>
    <m/>
    <m/>
    <m/>
    <m/>
    <m/>
    <m/>
    <m/>
    <m/>
    <m/>
    <m/>
    <m/>
    <m/>
    <m/>
    <m/>
    <m/>
    <m/>
    <m/>
    <m/>
    <m/>
    <m/>
    <m/>
    <m/>
    <m/>
    <m/>
    <m/>
    <m/>
    <x v="1"/>
    <x v="1"/>
    <m/>
    <m/>
    <m/>
    <m/>
    <m/>
    <m/>
    <m/>
    <m/>
    <m/>
    <m/>
    <m/>
    <n v="403"/>
    <m/>
    <m/>
    <m/>
    <m/>
    <m/>
    <s v="no test"/>
    <s v="no test"/>
    <x v="1"/>
    <n v="0"/>
    <n v="0"/>
    <n v="0"/>
    <n v="0"/>
    <n v="0"/>
    <n v="0"/>
    <n v="0"/>
    <n v="0"/>
    <n v="0"/>
    <n v="0"/>
    <n v="0"/>
    <n v="0"/>
    <n v="0"/>
    <n v="0"/>
    <n v="1"/>
    <n v="2015"/>
    <n v="4"/>
    <n v="4"/>
    <n v="0"/>
    <n v="0"/>
    <n v="0"/>
    <s v="N/A"/>
    <s v="NA"/>
    <n v="336"/>
    <n v="336"/>
    <n v="1"/>
    <n v="0"/>
    <n v="0"/>
    <n v="2015"/>
    <n v="0"/>
    <n v="2015"/>
    <n v="2015"/>
    <n v="1"/>
    <n v="0"/>
    <n v="0"/>
    <n v="1"/>
    <n v="0"/>
    <n v="0"/>
    <n v="0"/>
    <n v="0"/>
    <n v="0"/>
    <x v="0"/>
    <n v="0"/>
    <n v="0"/>
    <x v="2"/>
    <x v="6"/>
    <x v="2"/>
    <n v="20.821479797363299"/>
    <n v="92.603950500488295"/>
    <n v="198356"/>
    <x v="0"/>
    <m/>
  </r>
  <r>
    <x v="0"/>
    <x v="11"/>
    <x v="13"/>
    <m/>
    <x v="2"/>
    <x v="14"/>
    <x v="2"/>
    <x v="211"/>
    <n v="51.2"/>
    <n v="256"/>
    <m/>
    <m/>
    <m/>
    <m/>
    <m/>
    <m/>
    <m/>
    <m/>
    <m/>
    <m/>
    <m/>
    <m/>
    <m/>
    <m/>
    <m/>
    <m/>
    <m/>
    <m/>
    <m/>
    <m/>
    <m/>
    <m/>
    <m/>
    <m/>
    <m/>
    <m/>
    <m/>
    <m/>
    <m/>
    <m/>
    <m/>
    <m/>
    <m/>
    <m/>
    <m/>
    <m/>
    <m/>
    <m/>
    <m/>
    <x v="1"/>
    <x v="1"/>
    <m/>
    <m/>
    <m/>
    <m/>
    <m/>
    <m/>
    <m/>
    <m/>
    <m/>
    <m/>
    <m/>
    <n v="51.2"/>
    <m/>
    <m/>
    <m/>
    <m/>
    <m/>
    <s v="no test"/>
    <s v="no test"/>
    <x v="1"/>
    <n v="0"/>
    <n v="0"/>
    <n v="0"/>
    <n v="0"/>
    <n v="0"/>
    <n v="0"/>
    <n v="0"/>
    <n v="0"/>
    <n v="0"/>
    <n v="0"/>
    <n v="0"/>
    <n v="0"/>
    <n v="0"/>
    <n v="0"/>
    <n v="1"/>
    <n v="256"/>
    <n v="1"/>
    <n v="1"/>
    <n v="0"/>
    <n v="0"/>
    <n v="0"/>
    <s v="N/A"/>
    <s v="NA"/>
    <n v="43"/>
    <n v="43"/>
    <n v="1"/>
    <n v="0"/>
    <n v="0"/>
    <n v="256"/>
    <n v="0"/>
    <n v="256"/>
    <n v="256"/>
    <n v="1"/>
    <n v="0"/>
    <n v="0"/>
    <n v="1"/>
    <n v="0"/>
    <n v="0"/>
    <n v="0"/>
    <n v="0"/>
    <n v="0"/>
    <x v="0"/>
    <n v="0"/>
    <n v="0"/>
    <x v="2"/>
    <x v="6"/>
    <x v="4"/>
    <n v="20.7264194488525"/>
    <n v="92.671180730000003"/>
    <n v="198418"/>
    <x v="0"/>
    <m/>
  </r>
  <r>
    <x v="0"/>
    <x v="11"/>
    <x v="13"/>
    <m/>
    <x v="2"/>
    <x v="15"/>
    <x v="2"/>
    <x v="212"/>
    <n v="673.6"/>
    <n v="3368"/>
    <m/>
    <m/>
    <m/>
    <m/>
    <m/>
    <m/>
    <m/>
    <m/>
    <m/>
    <m/>
    <m/>
    <m/>
    <m/>
    <m/>
    <m/>
    <m/>
    <m/>
    <m/>
    <m/>
    <m/>
    <m/>
    <m/>
    <m/>
    <m/>
    <m/>
    <m/>
    <m/>
    <m/>
    <m/>
    <m/>
    <m/>
    <m/>
    <m/>
    <m/>
    <m/>
    <m/>
    <m/>
    <m/>
    <m/>
    <x v="1"/>
    <x v="1"/>
    <m/>
    <m/>
    <m/>
    <m/>
    <m/>
    <m/>
    <m/>
    <m/>
    <m/>
    <m/>
    <m/>
    <n v="673.6"/>
    <m/>
    <m/>
    <m/>
    <m/>
    <m/>
    <s v="no test"/>
    <s v="no test"/>
    <x v="1"/>
    <n v="0"/>
    <n v="0"/>
    <n v="0"/>
    <n v="0"/>
    <n v="0"/>
    <n v="0"/>
    <n v="0"/>
    <n v="0"/>
    <n v="0"/>
    <n v="0"/>
    <n v="0"/>
    <n v="0"/>
    <n v="0"/>
    <n v="0"/>
    <n v="1"/>
    <n v="3368"/>
    <n v="7"/>
    <n v="7"/>
    <n v="0"/>
    <n v="0"/>
    <n v="0"/>
    <s v="N/A"/>
    <s v="NA"/>
    <n v="561"/>
    <n v="561"/>
    <n v="1"/>
    <n v="0"/>
    <n v="0"/>
    <n v="3368"/>
    <n v="0"/>
    <n v="3368"/>
    <n v="3368"/>
    <n v="1"/>
    <n v="0"/>
    <n v="0"/>
    <n v="1"/>
    <n v="0"/>
    <n v="0"/>
    <n v="0"/>
    <n v="0"/>
    <n v="0"/>
    <x v="0"/>
    <n v="0"/>
    <n v="0"/>
    <x v="2"/>
    <x v="6"/>
    <x v="2"/>
    <n v="21.363349914550799"/>
    <n v="92.280487060546903"/>
    <n v="197800"/>
    <x v="0"/>
    <m/>
  </r>
  <r>
    <x v="0"/>
    <x v="11"/>
    <x v="13"/>
    <m/>
    <x v="2"/>
    <x v="15"/>
    <x v="2"/>
    <x v="213"/>
    <n v="151.19999999999999"/>
    <n v="756"/>
    <m/>
    <m/>
    <m/>
    <m/>
    <m/>
    <m/>
    <m/>
    <m/>
    <m/>
    <m/>
    <m/>
    <m/>
    <m/>
    <m/>
    <m/>
    <m/>
    <m/>
    <m/>
    <m/>
    <m/>
    <m/>
    <m/>
    <m/>
    <m/>
    <m/>
    <m/>
    <m/>
    <m/>
    <m/>
    <m/>
    <m/>
    <m/>
    <m/>
    <m/>
    <m/>
    <m/>
    <m/>
    <m/>
    <m/>
    <x v="1"/>
    <x v="1"/>
    <m/>
    <m/>
    <m/>
    <m/>
    <m/>
    <m/>
    <m/>
    <m/>
    <m/>
    <m/>
    <m/>
    <n v="151.19999999999999"/>
    <m/>
    <m/>
    <m/>
    <m/>
    <m/>
    <s v="no test"/>
    <s v="no test"/>
    <x v="1"/>
    <n v="0"/>
    <n v="0"/>
    <n v="0"/>
    <n v="0"/>
    <n v="0"/>
    <n v="0"/>
    <n v="0"/>
    <n v="0"/>
    <n v="0"/>
    <n v="0"/>
    <n v="0"/>
    <n v="0"/>
    <n v="0"/>
    <n v="0"/>
    <n v="1"/>
    <n v="756"/>
    <n v="2"/>
    <n v="2"/>
    <n v="0"/>
    <n v="0"/>
    <n v="0"/>
    <s v="N/A"/>
    <s v="NA"/>
    <n v="126"/>
    <n v="126"/>
    <n v="1"/>
    <n v="0"/>
    <n v="0"/>
    <n v="756"/>
    <n v="0"/>
    <n v="756"/>
    <n v="756"/>
    <n v="1"/>
    <n v="0"/>
    <n v="0"/>
    <n v="1"/>
    <n v="0"/>
    <n v="0"/>
    <n v="0"/>
    <n v="0"/>
    <n v="0"/>
    <x v="0"/>
    <n v="0"/>
    <n v="0"/>
    <x v="2"/>
    <x v="6"/>
    <x v="2"/>
    <n v="21.2080974578857"/>
    <n v="92.308609008789105"/>
    <n v="197841"/>
    <x v="0"/>
    <m/>
  </r>
  <r>
    <x v="0"/>
    <x v="11"/>
    <x v="13"/>
    <m/>
    <x v="2"/>
    <x v="15"/>
    <x v="2"/>
    <x v="214"/>
    <n v="104.6"/>
    <n v="523"/>
    <m/>
    <m/>
    <m/>
    <m/>
    <m/>
    <m/>
    <m/>
    <m/>
    <m/>
    <m/>
    <m/>
    <m/>
    <m/>
    <m/>
    <m/>
    <m/>
    <m/>
    <m/>
    <m/>
    <m/>
    <m/>
    <m/>
    <m/>
    <m/>
    <m/>
    <m/>
    <m/>
    <m/>
    <m/>
    <m/>
    <m/>
    <m/>
    <m/>
    <m/>
    <m/>
    <m/>
    <m/>
    <m/>
    <m/>
    <x v="1"/>
    <x v="1"/>
    <m/>
    <m/>
    <m/>
    <m/>
    <m/>
    <m/>
    <m/>
    <m/>
    <m/>
    <m/>
    <m/>
    <n v="104.6"/>
    <m/>
    <m/>
    <m/>
    <m/>
    <m/>
    <s v="no test"/>
    <s v="no test"/>
    <x v="1"/>
    <n v="0"/>
    <n v="0"/>
    <n v="0"/>
    <n v="0"/>
    <n v="0"/>
    <n v="0"/>
    <n v="0"/>
    <n v="0"/>
    <n v="0"/>
    <n v="0"/>
    <n v="0"/>
    <n v="0"/>
    <n v="0"/>
    <n v="0"/>
    <n v="1"/>
    <n v="523"/>
    <n v="1"/>
    <n v="1"/>
    <n v="0"/>
    <n v="0"/>
    <n v="0"/>
    <s v="N/A"/>
    <s v="NA"/>
    <n v="87"/>
    <n v="87"/>
    <n v="1"/>
    <n v="0"/>
    <n v="0"/>
    <n v="523"/>
    <n v="0"/>
    <n v="523"/>
    <n v="523"/>
    <n v="1"/>
    <n v="0"/>
    <n v="0"/>
    <n v="1"/>
    <n v="0"/>
    <n v="0"/>
    <n v="0"/>
    <n v="0"/>
    <n v="0"/>
    <x v="0"/>
    <n v="0"/>
    <n v="0"/>
    <x v="2"/>
    <x v="6"/>
    <x v="3"/>
    <n v="20.71759033"/>
    <n v="92.426422119999998"/>
    <n v="198045"/>
    <x v="0"/>
    <m/>
  </r>
  <r>
    <x v="0"/>
    <x v="13"/>
    <x v="14"/>
    <s v="UNICEF"/>
    <x v="1"/>
    <x v="17"/>
    <x v="1"/>
    <x v="215"/>
    <n v="358"/>
    <n v="989"/>
    <d v="2019-03-15T00:00:00"/>
    <d v="2020-03-14T00:00:00"/>
    <n v="259"/>
    <n v="6"/>
    <n v="22"/>
    <n v="0"/>
    <s v="No"/>
    <n v="23"/>
    <n v="5"/>
    <n v="8"/>
    <n v="0"/>
    <n v="8"/>
    <n v="5"/>
    <n v="0"/>
    <n v="1"/>
    <n v="4"/>
    <n v="0"/>
    <n v="0"/>
    <n v="0"/>
    <n v="0"/>
    <n v="0"/>
    <n v="0"/>
    <n v="0"/>
    <n v="0"/>
    <n v="6"/>
    <n v="0"/>
    <n v="6"/>
    <n v="0"/>
    <n v="4"/>
    <n v="1"/>
    <s v="Nil"/>
    <n v="94"/>
    <n v="0"/>
    <n v="0"/>
    <n v="0"/>
    <n v="0"/>
    <n v="282"/>
    <m/>
    <n v="0"/>
    <x v="0"/>
    <x v="0"/>
    <n v="10"/>
    <n v="0"/>
    <n v="10"/>
    <s v="Nil"/>
    <n v="3"/>
    <n v="3"/>
    <n v="0"/>
    <n v="3"/>
    <n v="0"/>
    <n v="22"/>
    <n v="6"/>
    <n v="358"/>
    <n v="257"/>
    <s v="Yes"/>
    <n v="12"/>
    <n v="1"/>
    <s v="Nil"/>
    <n v="0"/>
    <n v="0"/>
    <x v="0"/>
    <n v="8"/>
    <n v="4"/>
    <n v="0"/>
    <n v="0"/>
    <n v="0"/>
    <n v="1"/>
    <n v="1"/>
    <n v="1"/>
    <n v="989"/>
    <n v="0"/>
    <n v="0"/>
    <n v="1"/>
    <n v="989"/>
    <n v="1.978"/>
    <n v="0"/>
    <n v="0"/>
    <n v="2.200000000000002E-2"/>
    <n v="2"/>
    <n v="94"/>
    <n v="1"/>
    <n v="989"/>
    <n v="989"/>
    <n v="259"/>
    <n v="49"/>
    <n v="0"/>
    <n v="0"/>
    <n v="0"/>
    <n v="989"/>
    <n v="989"/>
    <n v="989"/>
    <n v="989"/>
    <n v="989"/>
    <n v="1"/>
    <n v="0"/>
    <n v="1"/>
    <n v="1"/>
    <n v="0.71787709497206709"/>
    <n v="0"/>
    <n v="0"/>
    <n v="4"/>
    <n v="0"/>
    <x v="1"/>
    <s v="Yes"/>
    <n v="0"/>
    <x v="0"/>
    <x v="7"/>
    <x v="3"/>
    <n v="19.424576999999999"/>
    <n v="93.512326000000002"/>
    <s v="MMR012CMP035"/>
    <x v="0"/>
    <m/>
  </r>
  <r>
    <x v="0"/>
    <x v="13"/>
    <x v="14"/>
    <s v="UNICEF"/>
    <x v="1"/>
    <x v="17"/>
    <x v="2"/>
    <x v="216"/>
    <n v="65"/>
    <n v="323"/>
    <d v="2019-03-15T00:00:00"/>
    <d v="2020-03-14T00:00:00"/>
    <n v="48"/>
    <n v="0"/>
    <n v="1"/>
    <n v="0"/>
    <s v="No"/>
    <n v="1"/>
    <n v="0"/>
    <n v="0"/>
    <n v="0"/>
    <n v="0"/>
    <n v="1"/>
    <n v="0"/>
    <n v="0"/>
    <n v="1"/>
    <n v="0"/>
    <n v="0"/>
    <n v="0"/>
    <n v="0"/>
    <n v="0"/>
    <n v="0"/>
    <n v="0"/>
    <n v="0"/>
    <n v="0"/>
    <n v="0"/>
    <n v="0"/>
    <n v="0"/>
    <s v=" -   "/>
    <n v="0"/>
    <s v="Nil"/>
    <n v="65"/>
    <n v="0"/>
    <n v="0"/>
    <n v="0"/>
    <n v="0"/>
    <n v="0"/>
    <m/>
    <n v="65"/>
    <x v="0"/>
    <x v="0"/>
    <n v="0"/>
    <n v="0"/>
    <n v="4"/>
    <s v="Nil"/>
    <n v="0"/>
    <n v="0"/>
    <n v="0"/>
    <n v="0"/>
    <n v="0"/>
    <n v="1"/>
    <n v="0"/>
    <n v="0"/>
    <n v="0"/>
    <s v="No"/>
    <n v="0"/>
    <n v="0"/>
    <s v="Nil"/>
    <s v="no test"/>
    <s v="no test"/>
    <x v="1"/>
    <n v="0"/>
    <n v="1"/>
    <n v="0"/>
    <n v="0"/>
    <n v="0"/>
    <n v="1"/>
    <n v="0.77399380804953566"/>
    <n v="0.77399380804953566"/>
    <n v="250.00000000000003"/>
    <n v="0"/>
    <n v="0"/>
    <n v="0.77399380804953566"/>
    <n v="250.00000000000003"/>
    <n v="0.50000000000000011"/>
    <n v="0.22600619195046434"/>
    <n v="72.999999999999986"/>
    <n v="0.49999999999999989"/>
    <n v="1"/>
    <n v="65"/>
    <n v="1"/>
    <n v="323"/>
    <s v="N/A"/>
    <s v="NA"/>
    <n v="54"/>
    <n v="0"/>
    <n v="0"/>
    <n v="0"/>
    <n v="323"/>
    <n v="0"/>
    <n v="0"/>
    <n v="0"/>
    <n v="323"/>
    <n v="1"/>
    <n v="0"/>
    <n v="1"/>
    <n v="0"/>
    <n v="0"/>
    <n v="0"/>
    <n v="0"/>
    <n v="0"/>
    <n v="0"/>
    <x v="1"/>
    <n v="0"/>
    <n v="0"/>
    <x v="2"/>
    <x v="6"/>
    <x v="4"/>
    <n v="19.417640689999999"/>
    <n v="93.565246579999993"/>
    <n v="198464"/>
    <x v="0"/>
    <m/>
  </r>
  <r>
    <x v="0"/>
    <x v="13"/>
    <x v="14"/>
    <s v="UNICEF"/>
    <x v="1"/>
    <x v="17"/>
    <x v="2"/>
    <x v="217"/>
    <n v="275"/>
    <n v="1018"/>
    <d v="2019-03-15T00:00:00"/>
    <d v="2020-03-14T00:00:00"/>
    <m/>
    <m/>
    <m/>
    <m/>
    <m/>
    <m/>
    <m/>
    <m/>
    <m/>
    <m/>
    <m/>
    <m/>
    <m/>
    <m/>
    <m/>
    <m/>
    <m/>
    <m/>
    <m/>
    <m/>
    <m/>
    <m/>
    <m/>
    <m/>
    <m/>
    <m/>
    <m/>
    <m/>
    <s v="Nil"/>
    <m/>
    <m/>
    <m/>
    <m/>
    <m/>
    <m/>
    <m/>
    <m/>
    <x v="1"/>
    <x v="1"/>
    <m/>
    <m/>
    <m/>
    <m/>
    <m/>
    <m/>
    <m/>
    <m/>
    <m/>
    <m/>
    <m/>
    <m/>
    <m/>
    <m/>
    <m/>
    <m/>
    <m/>
    <s v="no test"/>
    <s v="no test"/>
    <x v="1"/>
    <n v="0"/>
    <n v="0"/>
    <n v="0"/>
    <n v="0"/>
    <n v="0"/>
    <n v="0"/>
    <n v="0"/>
    <n v="0"/>
    <n v="0"/>
    <n v="0"/>
    <n v="0"/>
    <n v="0"/>
    <n v="0"/>
    <n v="0"/>
    <n v="1"/>
    <n v="1018"/>
    <n v="2"/>
    <n v="2"/>
    <n v="0"/>
    <n v="0"/>
    <n v="0"/>
    <s v="N/A"/>
    <s v="NA"/>
    <n v="170"/>
    <n v="170"/>
    <n v="1"/>
    <n v="0"/>
    <n v="0"/>
    <n v="0"/>
    <n v="0"/>
    <n v="0"/>
    <n v="0"/>
    <n v="0"/>
    <n v="1"/>
    <n v="0"/>
    <n v="0"/>
    <n v="0"/>
    <n v="0"/>
    <n v="0"/>
    <n v="0"/>
    <n v="0"/>
    <x v="0"/>
    <n v="0"/>
    <n v="0"/>
    <x v="2"/>
    <x v="6"/>
    <x v="4"/>
    <n v="0"/>
    <n v="0"/>
    <n v="198475"/>
    <x v="0"/>
    <m/>
  </r>
  <r>
    <x v="0"/>
    <x v="13"/>
    <x v="14"/>
    <s v="UNICEF"/>
    <x v="1"/>
    <x v="17"/>
    <x v="2"/>
    <x v="218"/>
    <n v="76"/>
    <n v="276"/>
    <d v="2019-03-15T00:00:00"/>
    <d v="2020-03-14T00:00:00"/>
    <m/>
    <m/>
    <m/>
    <m/>
    <m/>
    <m/>
    <m/>
    <m/>
    <m/>
    <m/>
    <m/>
    <m/>
    <m/>
    <m/>
    <m/>
    <m/>
    <m/>
    <m/>
    <m/>
    <m/>
    <m/>
    <m/>
    <m/>
    <m/>
    <m/>
    <m/>
    <m/>
    <m/>
    <s v="Nil"/>
    <m/>
    <m/>
    <m/>
    <m/>
    <m/>
    <m/>
    <m/>
    <m/>
    <x v="1"/>
    <x v="1"/>
    <m/>
    <m/>
    <m/>
    <m/>
    <m/>
    <m/>
    <m/>
    <m/>
    <m/>
    <m/>
    <m/>
    <m/>
    <m/>
    <m/>
    <m/>
    <m/>
    <m/>
    <s v="no test"/>
    <s v="no test"/>
    <x v="1"/>
    <n v="0"/>
    <n v="0"/>
    <n v="0"/>
    <n v="0"/>
    <n v="0"/>
    <n v="0"/>
    <n v="0"/>
    <n v="0"/>
    <n v="0"/>
    <n v="0"/>
    <n v="0"/>
    <n v="0"/>
    <n v="0"/>
    <n v="0"/>
    <n v="1"/>
    <n v="276"/>
    <n v="1"/>
    <n v="1"/>
    <n v="0"/>
    <n v="0"/>
    <n v="0"/>
    <s v="N/A"/>
    <s v="NA"/>
    <n v="46"/>
    <n v="46"/>
    <n v="1"/>
    <n v="0"/>
    <n v="0"/>
    <n v="0"/>
    <n v="0"/>
    <n v="0"/>
    <n v="0"/>
    <n v="0"/>
    <n v="1"/>
    <n v="0"/>
    <n v="0"/>
    <n v="0"/>
    <n v="0"/>
    <n v="0"/>
    <n v="0"/>
    <n v="0"/>
    <x v="0"/>
    <n v="0"/>
    <n v="0"/>
    <x v="2"/>
    <x v="6"/>
    <x v="4"/>
    <n v="0"/>
    <n v="0"/>
    <n v="198476"/>
    <x v="0"/>
    <m/>
  </r>
  <r>
    <x v="0"/>
    <x v="13"/>
    <x v="14"/>
    <s v="UNICEF"/>
    <x v="1"/>
    <x v="17"/>
    <x v="2"/>
    <x v="219"/>
    <n v="251"/>
    <n v="970"/>
    <d v="2019-03-15T00:00:00"/>
    <d v="2020-03-14T00:00:00"/>
    <m/>
    <m/>
    <m/>
    <m/>
    <m/>
    <m/>
    <m/>
    <m/>
    <m/>
    <m/>
    <m/>
    <m/>
    <m/>
    <m/>
    <m/>
    <m/>
    <m/>
    <m/>
    <m/>
    <m/>
    <m/>
    <m/>
    <m/>
    <m/>
    <m/>
    <m/>
    <m/>
    <m/>
    <s v="Nil"/>
    <m/>
    <m/>
    <m/>
    <m/>
    <m/>
    <m/>
    <m/>
    <m/>
    <x v="1"/>
    <x v="1"/>
    <m/>
    <m/>
    <m/>
    <m/>
    <m/>
    <m/>
    <m/>
    <m/>
    <m/>
    <m/>
    <m/>
    <m/>
    <m/>
    <m/>
    <m/>
    <m/>
    <m/>
    <s v="no test"/>
    <s v="no test"/>
    <x v="1"/>
    <n v="0"/>
    <n v="0"/>
    <n v="0"/>
    <n v="0"/>
    <n v="0"/>
    <n v="0"/>
    <n v="0"/>
    <n v="0"/>
    <n v="0"/>
    <n v="0"/>
    <n v="0"/>
    <n v="0"/>
    <n v="0"/>
    <n v="0"/>
    <n v="1"/>
    <n v="970"/>
    <n v="2"/>
    <n v="2"/>
    <n v="0"/>
    <n v="0"/>
    <n v="0"/>
    <s v="N/A"/>
    <s v="NA"/>
    <n v="162"/>
    <n v="162"/>
    <n v="1"/>
    <n v="0"/>
    <n v="0"/>
    <n v="0"/>
    <n v="0"/>
    <n v="0"/>
    <n v="0"/>
    <n v="0"/>
    <n v="1"/>
    <n v="0"/>
    <n v="0"/>
    <n v="0"/>
    <n v="0"/>
    <n v="0"/>
    <n v="0"/>
    <n v="0"/>
    <x v="0"/>
    <n v="0"/>
    <n v="0"/>
    <x v="2"/>
    <x v="6"/>
    <x v="4"/>
    <n v="0"/>
    <n v="0"/>
    <n v="198508"/>
    <x v="0"/>
    <m/>
  </r>
  <r>
    <x v="0"/>
    <x v="13"/>
    <x v="14"/>
    <s v="UNICEF"/>
    <x v="1"/>
    <x v="17"/>
    <x v="2"/>
    <x v="220"/>
    <n v="152"/>
    <n v="864"/>
    <d v="2019-03-15T00:00:00"/>
    <d v="2020-03-14T00:00:00"/>
    <m/>
    <m/>
    <m/>
    <m/>
    <m/>
    <m/>
    <m/>
    <m/>
    <m/>
    <m/>
    <m/>
    <m/>
    <m/>
    <m/>
    <m/>
    <m/>
    <m/>
    <m/>
    <m/>
    <m/>
    <m/>
    <m/>
    <m/>
    <m/>
    <m/>
    <m/>
    <m/>
    <m/>
    <s v="Nil"/>
    <m/>
    <m/>
    <m/>
    <m/>
    <m/>
    <m/>
    <m/>
    <m/>
    <x v="1"/>
    <x v="1"/>
    <m/>
    <m/>
    <m/>
    <m/>
    <m/>
    <m/>
    <m/>
    <m/>
    <m/>
    <m/>
    <m/>
    <m/>
    <m/>
    <m/>
    <m/>
    <m/>
    <m/>
    <s v="no test"/>
    <s v="no test"/>
    <x v="1"/>
    <n v="0"/>
    <n v="0"/>
    <n v="0"/>
    <n v="0"/>
    <n v="0"/>
    <n v="0"/>
    <n v="0"/>
    <n v="0"/>
    <n v="0"/>
    <n v="0"/>
    <n v="0"/>
    <n v="0"/>
    <n v="0"/>
    <n v="0"/>
    <n v="1"/>
    <n v="864"/>
    <n v="2"/>
    <n v="2"/>
    <n v="0"/>
    <n v="0"/>
    <n v="0"/>
    <s v="N/A"/>
    <s v="NA"/>
    <n v="144"/>
    <n v="144"/>
    <n v="1"/>
    <n v="0"/>
    <n v="0"/>
    <n v="0"/>
    <n v="0"/>
    <n v="0"/>
    <n v="0"/>
    <n v="0"/>
    <n v="1"/>
    <n v="0"/>
    <n v="0"/>
    <n v="0"/>
    <n v="0"/>
    <n v="0"/>
    <n v="0"/>
    <n v="0"/>
    <x v="0"/>
    <n v="0"/>
    <n v="0"/>
    <x v="2"/>
    <x v="6"/>
    <x v="4"/>
    <n v="0"/>
    <n v="0"/>
    <n v="198667"/>
    <x v="0"/>
    <m/>
  </r>
  <r>
    <x v="0"/>
    <x v="14"/>
    <x v="15"/>
    <s v="DFID/HARP"/>
    <x v="1"/>
    <x v="18"/>
    <x v="1"/>
    <x v="221"/>
    <n v="397"/>
    <n v="2111"/>
    <m/>
    <d v="2020-09-30T00:00:00"/>
    <m/>
    <m/>
    <m/>
    <s v=" -   "/>
    <m/>
    <m/>
    <m/>
    <m/>
    <m/>
    <m/>
    <n v="27"/>
    <m/>
    <n v="3"/>
    <n v="31"/>
    <m/>
    <m/>
    <m/>
    <m/>
    <m/>
    <m/>
    <n v="2240"/>
    <n v="27"/>
    <n v="21"/>
    <m/>
    <n v="73"/>
    <n v="4"/>
    <m/>
    <m/>
    <m/>
    <n v="120"/>
    <m/>
    <m/>
    <n v="3"/>
    <n v="13"/>
    <n v="30"/>
    <n v="4349"/>
    <n v="120"/>
    <x v="0"/>
    <x v="0"/>
    <m/>
    <m/>
    <m/>
    <m/>
    <m/>
    <m/>
    <m/>
    <m/>
    <m/>
    <n v="4"/>
    <n v="3"/>
    <n v="394"/>
    <n v="394"/>
    <m/>
    <n v="30"/>
    <m/>
    <m/>
    <n v="0"/>
    <n v="5.4794520547945202E-2"/>
    <x v="0"/>
    <n v="0"/>
    <n v="24"/>
    <n v="0"/>
    <n v="0"/>
    <n v="0"/>
    <n v="1"/>
    <n v="1"/>
    <n v="1"/>
    <n v="2111"/>
    <n v="0"/>
    <n v="0"/>
    <n v="1"/>
    <n v="2111"/>
    <n v="4.2220000000000004"/>
    <n v="0"/>
    <n v="0"/>
    <n v="0"/>
    <n v="4"/>
    <n v="117"/>
    <n v="1"/>
    <n v="2111"/>
    <n v="600"/>
    <n v="0"/>
    <n v="106"/>
    <n v="0"/>
    <n v="0"/>
    <n v="2.5000000000000001E-2"/>
    <n v="2111"/>
    <n v="1970"/>
    <n v="1970"/>
    <n v="1970"/>
    <n v="2111"/>
    <n v="1"/>
    <n v="0"/>
    <n v="1"/>
    <n v="0.99244332493702769"/>
    <n v="0.99244332493702769"/>
    <n v="0"/>
    <n v="0"/>
    <n v="0"/>
    <n v="0"/>
    <x v="0"/>
    <s v="Yes"/>
    <n v="0"/>
    <x v="0"/>
    <x v="7"/>
    <x v="3"/>
    <n v="20.128488999999998"/>
    <n v="92.875814000000005"/>
    <s v="MMR012CMP039"/>
    <x v="0"/>
    <m/>
  </r>
  <r>
    <x v="0"/>
    <x v="14"/>
    <x v="15"/>
    <s v="DFID/HARP"/>
    <x v="1"/>
    <x v="18"/>
    <x v="1"/>
    <x v="222"/>
    <n v="1016"/>
    <n v="4892"/>
    <m/>
    <d v="2020-09-30T00:00:00"/>
    <m/>
    <m/>
    <m/>
    <s v=" -   "/>
    <m/>
    <m/>
    <m/>
    <m/>
    <m/>
    <m/>
    <n v="131"/>
    <m/>
    <n v="25"/>
    <n v="79"/>
    <m/>
    <m/>
    <m/>
    <m/>
    <m/>
    <m/>
    <m/>
    <n v="131"/>
    <n v="109"/>
    <n v="3"/>
    <n v="193"/>
    <n v="2"/>
    <m/>
    <m/>
    <m/>
    <n v="582"/>
    <m/>
    <m/>
    <n v="98"/>
    <n v="428"/>
    <n v="314"/>
    <m/>
    <n v="582"/>
    <x v="0"/>
    <x v="0"/>
    <m/>
    <m/>
    <m/>
    <m/>
    <m/>
    <m/>
    <m/>
    <m/>
    <m/>
    <n v="4"/>
    <n v="7"/>
    <n v="1016"/>
    <n v="1016"/>
    <m/>
    <n v="34"/>
    <m/>
    <m/>
    <n v="2.7522935779816515E-2"/>
    <n v="1.0362694300518135E-2"/>
    <x v="0"/>
    <n v="0"/>
    <n v="106"/>
    <n v="0"/>
    <n v="0"/>
    <n v="0"/>
    <n v="1"/>
    <n v="1"/>
    <n v="1"/>
    <n v="4892"/>
    <n v="0"/>
    <n v="0"/>
    <n v="1"/>
    <n v="4892"/>
    <n v="9.7840000000000007"/>
    <n v="0"/>
    <n v="0"/>
    <n v="0.2159999999999993"/>
    <n v="10"/>
    <n v="484"/>
    <n v="1"/>
    <n v="4892"/>
    <n v="4892"/>
    <n v="0"/>
    <n v="245"/>
    <n v="0"/>
    <n v="0"/>
    <n v="0.16838487972508592"/>
    <n v="4892"/>
    <n v="4892"/>
    <n v="4892"/>
    <n v="4892"/>
    <n v="4892"/>
    <n v="1"/>
    <n v="0"/>
    <n v="1"/>
    <n v="1"/>
    <n v="1"/>
    <n v="0"/>
    <n v="0"/>
    <n v="0"/>
    <n v="0"/>
    <x v="0"/>
    <s v="Yes"/>
    <n v="0"/>
    <x v="0"/>
    <x v="7"/>
    <x v="3"/>
    <n v="20.179417000000001"/>
    <n v="92.813028000000003"/>
    <s v="MMR012CMP113"/>
    <x v="0"/>
    <m/>
  </r>
  <r>
    <x v="0"/>
    <x v="15"/>
    <x v="16"/>
    <s v="BMZ"/>
    <x v="1"/>
    <x v="13"/>
    <x v="2"/>
    <x v="223"/>
    <n v="279"/>
    <n v="1246"/>
    <m/>
    <d v="2021-08-31T00:00:00"/>
    <m/>
    <m/>
    <m/>
    <m/>
    <m/>
    <m/>
    <m/>
    <m/>
    <m/>
    <m/>
    <m/>
    <m/>
    <m/>
    <m/>
    <m/>
    <m/>
    <m/>
    <m/>
    <m/>
    <m/>
    <m/>
    <m/>
    <m/>
    <m/>
    <m/>
    <m/>
    <m/>
    <m/>
    <m/>
    <m/>
    <m/>
    <m/>
    <m/>
    <m/>
    <m/>
    <m/>
    <m/>
    <x v="1"/>
    <x v="1"/>
    <m/>
    <m/>
    <m/>
    <m/>
    <m/>
    <m/>
    <m/>
    <m/>
    <m/>
    <m/>
    <m/>
    <m/>
    <m/>
    <m/>
    <m/>
    <m/>
    <m/>
    <s v="no test"/>
    <s v="no test"/>
    <x v="1"/>
    <n v="0"/>
    <n v="0"/>
    <n v="0"/>
    <n v="0"/>
    <n v="0"/>
    <n v="0"/>
    <n v="0"/>
    <n v="0"/>
    <n v="0"/>
    <n v="0"/>
    <n v="0"/>
    <n v="0"/>
    <n v="0"/>
    <n v="0"/>
    <n v="1"/>
    <n v="1246"/>
    <n v="2"/>
    <n v="2"/>
    <n v="0"/>
    <n v="0"/>
    <n v="0"/>
    <s v="N/A"/>
    <s v="NA"/>
    <n v="208"/>
    <n v="208"/>
    <n v="1"/>
    <n v="0"/>
    <n v="0"/>
    <n v="0"/>
    <n v="0"/>
    <n v="0"/>
    <n v="0"/>
    <n v="0"/>
    <n v="1"/>
    <n v="0"/>
    <n v="0"/>
    <n v="0"/>
    <n v="0"/>
    <n v="0"/>
    <n v="0"/>
    <n v="0"/>
    <x v="0"/>
    <n v="0"/>
    <n v="0"/>
    <x v="2"/>
    <x v="6"/>
    <x v="4"/>
    <n v="0"/>
    <n v="0"/>
    <n v="197447"/>
    <x v="0"/>
    <m/>
  </r>
  <r>
    <x v="0"/>
    <x v="15"/>
    <x v="16"/>
    <s v="BMZ"/>
    <x v="1"/>
    <x v="13"/>
    <x v="2"/>
    <x v="224"/>
    <n v="215"/>
    <n v="959"/>
    <m/>
    <d v="2021-08-31T00:00:00"/>
    <m/>
    <m/>
    <m/>
    <m/>
    <m/>
    <m/>
    <m/>
    <m/>
    <m/>
    <m/>
    <m/>
    <m/>
    <m/>
    <m/>
    <m/>
    <m/>
    <m/>
    <m/>
    <m/>
    <m/>
    <m/>
    <m/>
    <m/>
    <m/>
    <m/>
    <m/>
    <m/>
    <m/>
    <m/>
    <m/>
    <m/>
    <m/>
    <m/>
    <m/>
    <m/>
    <m/>
    <m/>
    <x v="1"/>
    <x v="1"/>
    <m/>
    <m/>
    <m/>
    <m/>
    <m/>
    <m/>
    <m/>
    <m/>
    <m/>
    <m/>
    <m/>
    <m/>
    <m/>
    <m/>
    <m/>
    <m/>
    <m/>
    <s v="no test"/>
    <s v="no test"/>
    <x v="1"/>
    <n v="0"/>
    <n v="0"/>
    <n v="0"/>
    <n v="0"/>
    <n v="0"/>
    <n v="0"/>
    <n v="0"/>
    <n v="0"/>
    <n v="0"/>
    <n v="0"/>
    <n v="0"/>
    <n v="0"/>
    <n v="0"/>
    <n v="0"/>
    <n v="1"/>
    <n v="959"/>
    <n v="2"/>
    <n v="2"/>
    <n v="0"/>
    <n v="0"/>
    <n v="0"/>
    <s v="N/A"/>
    <s v="NA"/>
    <n v="160"/>
    <n v="160"/>
    <n v="1"/>
    <n v="0"/>
    <n v="0"/>
    <n v="0"/>
    <n v="0"/>
    <n v="0"/>
    <n v="0"/>
    <n v="0"/>
    <n v="1"/>
    <n v="0"/>
    <n v="0"/>
    <n v="0"/>
    <n v="0"/>
    <n v="0"/>
    <n v="0"/>
    <n v="0"/>
    <x v="0"/>
    <n v="0"/>
    <n v="0"/>
    <x v="2"/>
    <x v="6"/>
    <x v="4"/>
    <n v="0"/>
    <n v="0"/>
    <n v="197449"/>
    <x v="0"/>
    <m/>
  </r>
  <r>
    <x v="0"/>
    <x v="15"/>
    <x v="16"/>
    <s v="BMZ"/>
    <x v="1"/>
    <x v="13"/>
    <x v="2"/>
    <x v="225"/>
    <n v="207"/>
    <n v="957"/>
    <m/>
    <d v="2021-08-31T00:00:00"/>
    <m/>
    <m/>
    <m/>
    <m/>
    <m/>
    <m/>
    <m/>
    <m/>
    <m/>
    <m/>
    <m/>
    <m/>
    <m/>
    <m/>
    <m/>
    <m/>
    <m/>
    <m/>
    <m/>
    <m/>
    <m/>
    <m/>
    <m/>
    <m/>
    <m/>
    <m/>
    <m/>
    <m/>
    <m/>
    <m/>
    <m/>
    <m/>
    <m/>
    <m/>
    <m/>
    <m/>
    <m/>
    <x v="1"/>
    <x v="1"/>
    <m/>
    <m/>
    <m/>
    <m/>
    <m/>
    <m/>
    <m/>
    <m/>
    <m/>
    <m/>
    <m/>
    <m/>
    <m/>
    <m/>
    <m/>
    <m/>
    <m/>
    <s v="no test"/>
    <s v="no test"/>
    <x v="1"/>
    <n v="0"/>
    <n v="0"/>
    <n v="0"/>
    <n v="0"/>
    <n v="0"/>
    <n v="0"/>
    <n v="0"/>
    <n v="0"/>
    <n v="0"/>
    <n v="0"/>
    <n v="0"/>
    <n v="0"/>
    <n v="0"/>
    <n v="0"/>
    <n v="1"/>
    <n v="957"/>
    <n v="2"/>
    <n v="2"/>
    <n v="0"/>
    <n v="0"/>
    <n v="0"/>
    <s v="N/A"/>
    <s v="NA"/>
    <n v="160"/>
    <n v="160"/>
    <n v="1"/>
    <n v="0"/>
    <n v="0"/>
    <n v="0"/>
    <n v="0"/>
    <n v="0"/>
    <n v="0"/>
    <n v="0"/>
    <n v="1"/>
    <n v="0"/>
    <n v="0"/>
    <n v="0"/>
    <n v="0"/>
    <n v="0"/>
    <n v="0"/>
    <n v="0"/>
    <x v="0"/>
    <n v="0"/>
    <n v="0"/>
    <x v="2"/>
    <x v="6"/>
    <x v="4"/>
    <n v="0"/>
    <n v="0"/>
    <n v="197451"/>
    <x v="0"/>
    <m/>
  </r>
  <r>
    <x v="0"/>
    <x v="15"/>
    <x v="16"/>
    <s v="BMZ"/>
    <x v="1"/>
    <x v="13"/>
    <x v="2"/>
    <x v="226"/>
    <n v="169"/>
    <n v="776"/>
    <m/>
    <d v="2021-08-31T00:00:00"/>
    <m/>
    <m/>
    <m/>
    <m/>
    <m/>
    <m/>
    <m/>
    <m/>
    <m/>
    <m/>
    <m/>
    <m/>
    <m/>
    <m/>
    <m/>
    <m/>
    <m/>
    <m/>
    <m/>
    <m/>
    <m/>
    <m/>
    <m/>
    <m/>
    <m/>
    <m/>
    <m/>
    <m/>
    <m/>
    <m/>
    <m/>
    <m/>
    <m/>
    <m/>
    <m/>
    <m/>
    <m/>
    <x v="1"/>
    <x v="1"/>
    <m/>
    <m/>
    <m/>
    <m/>
    <m/>
    <m/>
    <m/>
    <m/>
    <m/>
    <m/>
    <m/>
    <m/>
    <m/>
    <m/>
    <m/>
    <m/>
    <m/>
    <s v="no test"/>
    <s v="no test"/>
    <x v="1"/>
    <n v="0"/>
    <n v="0"/>
    <n v="0"/>
    <n v="0"/>
    <n v="0"/>
    <n v="0"/>
    <n v="0"/>
    <n v="0"/>
    <n v="0"/>
    <n v="0"/>
    <n v="0"/>
    <n v="0"/>
    <n v="0"/>
    <n v="0"/>
    <n v="1"/>
    <n v="776"/>
    <n v="2"/>
    <n v="2"/>
    <n v="0"/>
    <n v="0"/>
    <n v="0"/>
    <s v="N/A"/>
    <s v="NA"/>
    <n v="129"/>
    <n v="129"/>
    <n v="1"/>
    <n v="0"/>
    <n v="0"/>
    <n v="0"/>
    <n v="0"/>
    <n v="0"/>
    <n v="0"/>
    <n v="0"/>
    <n v="1"/>
    <n v="0"/>
    <n v="0"/>
    <n v="0"/>
    <n v="0"/>
    <n v="0"/>
    <n v="0"/>
    <n v="0"/>
    <x v="0"/>
    <n v="0"/>
    <n v="0"/>
    <x v="2"/>
    <x v="6"/>
    <x v="4"/>
    <n v="0"/>
    <n v="0"/>
    <n v="197450"/>
    <x v="0"/>
    <m/>
  </r>
  <r>
    <x v="0"/>
    <x v="15"/>
    <x v="16"/>
    <s v="BMZ"/>
    <x v="1"/>
    <x v="13"/>
    <x v="2"/>
    <x v="227"/>
    <n v="211"/>
    <n v="1006"/>
    <m/>
    <d v="2021-08-31T00:00:00"/>
    <m/>
    <m/>
    <m/>
    <m/>
    <m/>
    <m/>
    <m/>
    <m/>
    <m/>
    <m/>
    <m/>
    <m/>
    <m/>
    <m/>
    <m/>
    <m/>
    <m/>
    <m/>
    <m/>
    <m/>
    <m/>
    <m/>
    <m/>
    <m/>
    <m/>
    <m/>
    <m/>
    <m/>
    <m/>
    <m/>
    <m/>
    <m/>
    <m/>
    <m/>
    <m/>
    <m/>
    <m/>
    <x v="1"/>
    <x v="1"/>
    <m/>
    <m/>
    <m/>
    <m/>
    <m/>
    <m/>
    <m/>
    <m/>
    <m/>
    <m/>
    <m/>
    <m/>
    <m/>
    <m/>
    <m/>
    <m/>
    <m/>
    <s v="no test"/>
    <s v="no test"/>
    <x v="1"/>
    <n v="0"/>
    <n v="0"/>
    <n v="0"/>
    <n v="0"/>
    <n v="0"/>
    <n v="0"/>
    <n v="0"/>
    <n v="0"/>
    <n v="0"/>
    <n v="0"/>
    <n v="0"/>
    <n v="0"/>
    <n v="0"/>
    <n v="0"/>
    <n v="1"/>
    <n v="1006"/>
    <n v="2"/>
    <n v="2"/>
    <n v="0"/>
    <n v="0"/>
    <n v="0"/>
    <s v="N/A"/>
    <s v="NA"/>
    <n v="168"/>
    <n v="168"/>
    <n v="1"/>
    <n v="0"/>
    <n v="0"/>
    <n v="0"/>
    <n v="0"/>
    <n v="0"/>
    <n v="0"/>
    <n v="0"/>
    <n v="1"/>
    <n v="0"/>
    <n v="0"/>
    <n v="0"/>
    <n v="0"/>
    <n v="0"/>
    <n v="0"/>
    <n v="0"/>
    <x v="0"/>
    <n v="0"/>
    <n v="0"/>
    <x v="2"/>
    <x v="6"/>
    <x v="4"/>
    <n v="0"/>
    <n v="0"/>
    <n v="197441"/>
    <x v="0"/>
    <m/>
  </r>
  <r>
    <x v="0"/>
    <x v="15"/>
    <x v="16"/>
    <s v="BMZ"/>
    <x v="1"/>
    <x v="13"/>
    <x v="2"/>
    <x v="228"/>
    <n v="147"/>
    <n v="601"/>
    <m/>
    <d v="2021-08-31T00:00:00"/>
    <m/>
    <m/>
    <m/>
    <m/>
    <m/>
    <m/>
    <m/>
    <m/>
    <m/>
    <m/>
    <m/>
    <m/>
    <m/>
    <m/>
    <m/>
    <m/>
    <m/>
    <m/>
    <m/>
    <m/>
    <m/>
    <m/>
    <m/>
    <m/>
    <m/>
    <m/>
    <m/>
    <m/>
    <m/>
    <m/>
    <m/>
    <m/>
    <m/>
    <m/>
    <m/>
    <m/>
    <m/>
    <x v="1"/>
    <x v="1"/>
    <m/>
    <m/>
    <m/>
    <m/>
    <m/>
    <m/>
    <m/>
    <m/>
    <m/>
    <m/>
    <m/>
    <m/>
    <m/>
    <m/>
    <m/>
    <m/>
    <m/>
    <s v="no test"/>
    <s v="no test"/>
    <x v="1"/>
    <n v="0"/>
    <n v="0"/>
    <n v="0"/>
    <n v="0"/>
    <n v="0"/>
    <n v="0"/>
    <n v="0"/>
    <n v="0"/>
    <n v="0"/>
    <n v="0"/>
    <n v="0"/>
    <n v="0"/>
    <n v="0"/>
    <n v="0"/>
    <n v="1"/>
    <n v="601"/>
    <n v="1"/>
    <n v="1"/>
    <n v="0"/>
    <n v="0"/>
    <n v="0"/>
    <s v="N/A"/>
    <s v="NA"/>
    <n v="100"/>
    <n v="100"/>
    <n v="1"/>
    <n v="0"/>
    <n v="0"/>
    <n v="0"/>
    <n v="0"/>
    <n v="0"/>
    <n v="0"/>
    <n v="0"/>
    <n v="1"/>
    <n v="0"/>
    <n v="0"/>
    <n v="0"/>
    <n v="0"/>
    <n v="0"/>
    <n v="0"/>
    <n v="0"/>
    <x v="0"/>
    <n v="0"/>
    <n v="0"/>
    <x v="2"/>
    <x v="6"/>
    <x v="5"/>
    <n v="0"/>
    <n v="0"/>
    <n v="197442"/>
    <x v="0"/>
    <m/>
  </r>
  <r>
    <x v="0"/>
    <x v="15"/>
    <x v="16"/>
    <s v="BMZ"/>
    <x v="1"/>
    <x v="13"/>
    <x v="2"/>
    <x v="229"/>
    <n v="284"/>
    <n v="1292"/>
    <m/>
    <d v="2021-08-31T00:00:00"/>
    <m/>
    <m/>
    <m/>
    <m/>
    <m/>
    <m/>
    <m/>
    <m/>
    <m/>
    <m/>
    <m/>
    <m/>
    <m/>
    <m/>
    <m/>
    <m/>
    <m/>
    <m/>
    <m/>
    <m/>
    <m/>
    <m/>
    <m/>
    <m/>
    <m/>
    <m/>
    <m/>
    <m/>
    <m/>
    <m/>
    <m/>
    <m/>
    <m/>
    <m/>
    <m/>
    <m/>
    <m/>
    <x v="1"/>
    <x v="1"/>
    <m/>
    <m/>
    <m/>
    <m/>
    <m/>
    <m/>
    <m/>
    <m/>
    <m/>
    <m/>
    <m/>
    <m/>
    <m/>
    <m/>
    <m/>
    <m/>
    <m/>
    <s v="no test"/>
    <s v="no test"/>
    <x v="1"/>
    <n v="0"/>
    <n v="0"/>
    <n v="0"/>
    <n v="0"/>
    <n v="0"/>
    <n v="0"/>
    <n v="0"/>
    <n v="0"/>
    <n v="0"/>
    <n v="0"/>
    <n v="0"/>
    <n v="0"/>
    <n v="0"/>
    <n v="0"/>
    <n v="1"/>
    <n v="1292"/>
    <n v="3"/>
    <n v="3"/>
    <n v="0"/>
    <n v="0"/>
    <n v="0"/>
    <s v="N/A"/>
    <s v="NA"/>
    <n v="215"/>
    <n v="215"/>
    <n v="1"/>
    <n v="0"/>
    <n v="0"/>
    <n v="0"/>
    <n v="0"/>
    <n v="0"/>
    <n v="0"/>
    <n v="0"/>
    <n v="1"/>
    <n v="0"/>
    <n v="0"/>
    <n v="0"/>
    <n v="0"/>
    <n v="0"/>
    <n v="0"/>
    <n v="0"/>
    <x v="0"/>
    <n v="0"/>
    <n v="0"/>
    <x v="2"/>
    <x v="6"/>
    <x v="4"/>
    <n v="0"/>
    <n v="0"/>
    <n v="197405"/>
    <x v="0"/>
    <m/>
  </r>
  <r>
    <x v="0"/>
    <x v="15"/>
    <x v="16"/>
    <s v="BMZ"/>
    <x v="1"/>
    <x v="13"/>
    <x v="2"/>
    <x v="230"/>
    <n v="168"/>
    <n v="1614"/>
    <m/>
    <d v="2021-08-31T00:00:00"/>
    <m/>
    <m/>
    <m/>
    <m/>
    <m/>
    <m/>
    <m/>
    <m/>
    <m/>
    <m/>
    <m/>
    <m/>
    <m/>
    <m/>
    <m/>
    <m/>
    <m/>
    <m/>
    <m/>
    <m/>
    <m/>
    <m/>
    <m/>
    <m/>
    <m/>
    <m/>
    <m/>
    <m/>
    <m/>
    <m/>
    <m/>
    <m/>
    <m/>
    <m/>
    <m/>
    <m/>
    <m/>
    <x v="1"/>
    <x v="1"/>
    <m/>
    <m/>
    <m/>
    <m/>
    <m/>
    <m/>
    <m/>
    <m/>
    <m/>
    <m/>
    <m/>
    <m/>
    <m/>
    <m/>
    <m/>
    <m/>
    <m/>
    <s v="no test"/>
    <s v="no test"/>
    <x v="1"/>
    <n v="0"/>
    <n v="0"/>
    <n v="0"/>
    <n v="0"/>
    <n v="0"/>
    <n v="0"/>
    <n v="0"/>
    <n v="0"/>
    <n v="0"/>
    <n v="0"/>
    <n v="0"/>
    <n v="0"/>
    <n v="0"/>
    <n v="0"/>
    <n v="1"/>
    <n v="1614"/>
    <n v="3"/>
    <n v="3"/>
    <n v="0"/>
    <n v="0"/>
    <n v="0"/>
    <s v="N/A"/>
    <s v="NA"/>
    <n v="269"/>
    <n v="269"/>
    <n v="1"/>
    <n v="0"/>
    <n v="0"/>
    <n v="0"/>
    <n v="0"/>
    <n v="0"/>
    <n v="0"/>
    <n v="0"/>
    <n v="1"/>
    <n v="0"/>
    <n v="0"/>
    <n v="0"/>
    <n v="0"/>
    <n v="0"/>
    <n v="0"/>
    <n v="0"/>
    <x v="0"/>
    <n v="0"/>
    <n v="0"/>
    <x v="2"/>
    <x v="6"/>
    <x v="4"/>
    <n v="0"/>
    <n v="0"/>
    <n v="197404"/>
    <x v="0"/>
    <m/>
  </r>
  <r>
    <x v="0"/>
    <x v="15"/>
    <x v="16"/>
    <s v="BMZ"/>
    <x v="1"/>
    <x v="13"/>
    <x v="2"/>
    <x v="231"/>
    <n v="66"/>
    <n v="1018"/>
    <m/>
    <d v="2021-08-31T00:00:00"/>
    <m/>
    <m/>
    <m/>
    <m/>
    <m/>
    <m/>
    <m/>
    <m/>
    <m/>
    <m/>
    <m/>
    <m/>
    <m/>
    <m/>
    <m/>
    <m/>
    <m/>
    <m/>
    <m/>
    <m/>
    <m/>
    <m/>
    <m/>
    <m/>
    <m/>
    <m/>
    <m/>
    <m/>
    <m/>
    <m/>
    <m/>
    <m/>
    <m/>
    <m/>
    <m/>
    <m/>
    <m/>
    <x v="1"/>
    <x v="1"/>
    <m/>
    <m/>
    <m/>
    <m/>
    <m/>
    <m/>
    <m/>
    <m/>
    <m/>
    <m/>
    <m/>
    <m/>
    <m/>
    <m/>
    <m/>
    <m/>
    <m/>
    <s v="no test"/>
    <s v="no test"/>
    <x v="1"/>
    <n v="0"/>
    <n v="0"/>
    <n v="0"/>
    <n v="0"/>
    <n v="0"/>
    <n v="0"/>
    <n v="0"/>
    <n v="0"/>
    <n v="0"/>
    <n v="0"/>
    <n v="0"/>
    <n v="0"/>
    <n v="0"/>
    <n v="0"/>
    <n v="1"/>
    <n v="1018"/>
    <n v="2"/>
    <n v="2"/>
    <n v="0"/>
    <n v="0"/>
    <n v="0"/>
    <s v="N/A"/>
    <s v="NA"/>
    <n v="170"/>
    <n v="170"/>
    <n v="1"/>
    <n v="0"/>
    <n v="0"/>
    <n v="0"/>
    <n v="0"/>
    <n v="0"/>
    <n v="0"/>
    <n v="0"/>
    <n v="1"/>
    <n v="0"/>
    <n v="0"/>
    <n v="0"/>
    <n v="0"/>
    <n v="0"/>
    <n v="0"/>
    <n v="0"/>
    <x v="0"/>
    <n v="0"/>
    <n v="0"/>
    <x v="2"/>
    <x v="6"/>
    <x v="4"/>
    <n v="20.260679244995099"/>
    <n v="93.051597595214801"/>
    <n v="197401"/>
    <x v="0"/>
    <m/>
  </r>
  <r>
    <x v="0"/>
    <x v="15"/>
    <x v="16"/>
    <s v="BMZ"/>
    <x v="1"/>
    <x v="13"/>
    <x v="2"/>
    <x v="232"/>
    <n v="173"/>
    <n v="354"/>
    <m/>
    <d v="2021-08-31T00:00:00"/>
    <m/>
    <m/>
    <m/>
    <m/>
    <m/>
    <m/>
    <m/>
    <m/>
    <m/>
    <m/>
    <m/>
    <m/>
    <m/>
    <m/>
    <m/>
    <m/>
    <m/>
    <m/>
    <m/>
    <m/>
    <m/>
    <m/>
    <m/>
    <m/>
    <m/>
    <m/>
    <m/>
    <m/>
    <m/>
    <m/>
    <m/>
    <m/>
    <m/>
    <m/>
    <m/>
    <m/>
    <m/>
    <x v="1"/>
    <x v="1"/>
    <m/>
    <m/>
    <m/>
    <m/>
    <m/>
    <m/>
    <m/>
    <m/>
    <m/>
    <m/>
    <m/>
    <m/>
    <m/>
    <m/>
    <m/>
    <m/>
    <m/>
    <s v="no test"/>
    <s v="no test"/>
    <x v="1"/>
    <n v="0"/>
    <n v="0"/>
    <n v="0"/>
    <n v="0"/>
    <n v="0"/>
    <n v="0"/>
    <n v="0"/>
    <n v="0"/>
    <n v="0"/>
    <n v="0"/>
    <n v="0"/>
    <n v="0"/>
    <n v="0"/>
    <n v="0"/>
    <n v="1"/>
    <n v="354"/>
    <n v="1"/>
    <n v="1"/>
    <n v="0"/>
    <n v="0"/>
    <n v="0"/>
    <s v="N/A"/>
    <s v="NA"/>
    <n v="59"/>
    <n v="59"/>
    <n v="1"/>
    <n v="0"/>
    <n v="0"/>
    <n v="0"/>
    <n v="0"/>
    <n v="0"/>
    <n v="0"/>
    <n v="0"/>
    <n v="1"/>
    <n v="0"/>
    <n v="0"/>
    <n v="0"/>
    <n v="0"/>
    <n v="0"/>
    <n v="0"/>
    <n v="0"/>
    <x v="0"/>
    <n v="0"/>
    <n v="0"/>
    <x v="2"/>
    <x v="6"/>
    <x v="4"/>
    <n v="0"/>
    <n v="0"/>
    <n v="197403"/>
    <x v="0"/>
    <m/>
  </r>
  <r>
    <x v="0"/>
    <x v="15"/>
    <x v="16"/>
    <s v="BMZ"/>
    <x v="1"/>
    <x v="13"/>
    <x v="2"/>
    <x v="233"/>
    <n v="436"/>
    <n v="2287"/>
    <m/>
    <d v="2021-08-31T00:00:00"/>
    <m/>
    <m/>
    <m/>
    <m/>
    <m/>
    <m/>
    <m/>
    <m/>
    <m/>
    <m/>
    <m/>
    <m/>
    <m/>
    <m/>
    <m/>
    <m/>
    <m/>
    <m/>
    <m/>
    <m/>
    <m/>
    <m/>
    <m/>
    <m/>
    <m/>
    <m/>
    <m/>
    <m/>
    <m/>
    <m/>
    <m/>
    <m/>
    <m/>
    <m/>
    <m/>
    <m/>
    <m/>
    <x v="1"/>
    <x v="1"/>
    <m/>
    <m/>
    <m/>
    <m/>
    <m/>
    <m/>
    <m/>
    <m/>
    <m/>
    <m/>
    <m/>
    <m/>
    <m/>
    <m/>
    <m/>
    <m/>
    <m/>
    <s v="no test"/>
    <s v="no test"/>
    <x v="1"/>
    <n v="0"/>
    <n v="0"/>
    <n v="0"/>
    <n v="0"/>
    <n v="0"/>
    <n v="0"/>
    <n v="0"/>
    <n v="0"/>
    <n v="0"/>
    <n v="0"/>
    <n v="0"/>
    <n v="0"/>
    <n v="0"/>
    <n v="0"/>
    <n v="1"/>
    <n v="2287"/>
    <n v="5"/>
    <n v="5"/>
    <n v="0"/>
    <n v="0"/>
    <n v="0"/>
    <s v="N/A"/>
    <s v="NA"/>
    <n v="381"/>
    <n v="381"/>
    <n v="1"/>
    <n v="0"/>
    <n v="0"/>
    <n v="0"/>
    <n v="0"/>
    <n v="0"/>
    <n v="0"/>
    <n v="0"/>
    <n v="1"/>
    <n v="0"/>
    <n v="0"/>
    <n v="0"/>
    <n v="0"/>
    <n v="0"/>
    <n v="0"/>
    <n v="0"/>
    <x v="0"/>
    <n v="0"/>
    <n v="0"/>
    <x v="2"/>
    <x v="6"/>
    <x v="4"/>
    <n v="0"/>
    <n v="0"/>
    <n v="197460"/>
    <x v="0"/>
    <m/>
  </r>
  <r>
    <x v="0"/>
    <x v="15"/>
    <x v="16"/>
    <s v="BMZ"/>
    <x v="1"/>
    <x v="13"/>
    <x v="2"/>
    <x v="234"/>
    <n v="370"/>
    <n v="1711"/>
    <m/>
    <d v="2021-08-31T00:00:00"/>
    <m/>
    <m/>
    <m/>
    <m/>
    <m/>
    <m/>
    <m/>
    <m/>
    <m/>
    <m/>
    <m/>
    <m/>
    <m/>
    <m/>
    <m/>
    <m/>
    <m/>
    <m/>
    <m/>
    <m/>
    <m/>
    <m/>
    <m/>
    <m/>
    <m/>
    <m/>
    <m/>
    <m/>
    <m/>
    <m/>
    <m/>
    <m/>
    <m/>
    <m/>
    <m/>
    <m/>
    <m/>
    <x v="1"/>
    <x v="1"/>
    <m/>
    <m/>
    <m/>
    <m/>
    <m/>
    <m/>
    <m/>
    <m/>
    <m/>
    <m/>
    <m/>
    <m/>
    <m/>
    <m/>
    <m/>
    <m/>
    <m/>
    <s v="no test"/>
    <s v="no test"/>
    <x v="1"/>
    <n v="0"/>
    <n v="0"/>
    <n v="0"/>
    <n v="0"/>
    <n v="0"/>
    <n v="0"/>
    <n v="0"/>
    <n v="0"/>
    <n v="0"/>
    <n v="0"/>
    <n v="0"/>
    <n v="0"/>
    <n v="0"/>
    <n v="0"/>
    <n v="1"/>
    <n v="1711"/>
    <n v="3"/>
    <n v="3"/>
    <n v="0"/>
    <n v="0"/>
    <n v="0"/>
    <s v="N/A"/>
    <s v="NA"/>
    <n v="285"/>
    <n v="285"/>
    <n v="1"/>
    <n v="0"/>
    <n v="0"/>
    <n v="0"/>
    <n v="0"/>
    <n v="0"/>
    <n v="0"/>
    <n v="0"/>
    <n v="1"/>
    <n v="0"/>
    <n v="0"/>
    <n v="0"/>
    <n v="0"/>
    <n v="0"/>
    <n v="0"/>
    <n v="0"/>
    <x v="0"/>
    <n v="0"/>
    <n v="0"/>
    <x v="2"/>
    <x v="6"/>
    <x v="4"/>
    <n v="0"/>
    <n v="0"/>
    <n v="197464"/>
    <x v="0"/>
    <m/>
  </r>
  <r>
    <x v="0"/>
    <x v="15"/>
    <x v="16"/>
    <s v="BMZ"/>
    <x v="1"/>
    <x v="13"/>
    <x v="2"/>
    <x v="235"/>
    <n v="74"/>
    <n v="427"/>
    <m/>
    <d v="2021-08-31T00:00:00"/>
    <m/>
    <m/>
    <m/>
    <m/>
    <m/>
    <m/>
    <m/>
    <m/>
    <m/>
    <m/>
    <m/>
    <m/>
    <m/>
    <m/>
    <m/>
    <m/>
    <m/>
    <m/>
    <m/>
    <m/>
    <m/>
    <m/>
    <m/>
    <m/>
    <m/>
    <m/>
    <m/>
    <m/>
    <m/>
    <m/>
    <m/>
    <m/>
    <m/>
    <m/>
    <m/>
    <m/>
    <m/>
    <x v="1"/>
    <x v="1"/>
    <m/>
    <m/>
    <m/>
    <m/>
    <m/>
    <m/>
    <m/>
    <m/>
    <m/>
    <m/>
    <m/>
    <m/>
    <m/>
    <m/>
    <m/>
    <m/>
    <m/>
    <s v="no test"/>
    <s v="no test"/>
    <x v="1"/>
    <n v="0"/>
    <n v="0"/>
    <n v="0"/>
    <n v="0"/>
    <n v="0"/>
    <n v="0"/>
    <n v="0"/>
    <n v="0"/>
    <n v="0"/>
    <n v="0"/>
    <n v="0"/>
    <n v="0"/>
    <n v="0"/>
    <n v="0"/>
    <n v="1"/>
    <n v="427"/>
    <n v="1"/>
    <n v="1"/>
    <n v="0"/>
    <n v="0"/>
    <n v="0"/>
    <s v="N/A"/>
    <s v="NA"/>
    <n v="71"/>
    <n v="71"/>
    <n v="1"/>
    <n v="0"/>
    <n v="0"/>
    <n v="0"/>
    <n v="0"/>
    <n v="0"/>
    <n v="0"/>
    <n v="0"/>
    <n v="1"/>
    <n v="0"/>
    <n v="0"/>
    <n v="0"/>
    <n v="0"/>
    <n v="0"/>
    <n v="0"/>
    <n v="0"/>
    <x v="0"/>
    <n v="0"/>
    <n v="0"/>
    <x v="2"/>
    <x v="6"/>
    <x v="4"/>
    <n v="0"/>
    <n v="0"/>
    <n v="197461"/>
    <x v="0"/>
    <m/>
  </r>
  <r>
    <x v="0"/>
    <x v="15"/>
    <x v="16"/>
    <s v="BMZ"/>
    <x v="1"/>
    <x v="13"/>
    <x v="2"/>
    <x v="236"/>
    <n v="50"/>
    <n v="265"/>
    <m/>
    <d v="2021-08-31T00:00:00"/>
    <m/>
    <m/>
    <m/>
    <m/>
    <m/>
    <m/>
    <m/>
    <m/>
    <m/>
    <m/>
    <m/>
    <m/>
    <m/>
    <m/>
    <m/>
    <m/>
    <m/>
    <m/>
    <m/>
    <m/>
    <m/>
    <m/>
    <m/>
    <m/>
    <m/>
    <m/>
    <m/>
    <m/>
    <m/>
    <m/>
    <m/>
    <m/>
    <m/>
    <m/>
    <m/>
    <m/>
    <m/>
    <x v="1"/>
    <x v="1"/>
    <m/>
    <m/>
    <m/>
    <m/>
    <m/>
    <m/>
    <m/>
    <m/>
    <m/>
    <m/>
    <m/>
    <m/>
    <m/>
    <m/>
    <m/>
    <m/>
    <m/>
    <s v="no test"/>
    <s v="no test"/>
    <x v="1"/>
    <n v="0"/>
    <n v="0"/>
    <n v="0"/>
    <n v="0"/>
    <n v="0"/>
    <n v="0"/>
    <n v="0"/>
    <n v="0"/>
    <n v="0"/>
    <n v="0"/>
    <n v="0"/>
    <n v="0"/>
    <n v="0"/>
    <n v="0"/>
    <n v="1"/>
    <n v="265"/>
    <n v="1"/>
    <n v="1"/>
    <n v="0"/>
    <n v="0"/>
    <n v="0"/>
    <s v="N/A"/>
    <s v="NA"/>
    <n v="44"/>
    <n v="44"/>
    <n v="1"/>
    <n v="0"/>
    <n v="0"/>
    <n v="0"/>
    <n v="0"/>
    <n v="0"/>
    <n v="0"/>
    <n v="0"/>
    <n v="1"/>
    <n v="0"/>
    <n v="0"/>
    <n v="0"/>
    <n v="0"/>
    <n v="0"/>
    <n v="0"/>
    <n v="0"/>
    <x v="0"/>
    <n v="0"/>
    <n v="0"/>
    <x v="2"/>
    <x v="6"/>
    <x v="4"/>
    <n v="0"/>
    <n v="0"/>
    <n v="197463"/>
    <x v="0"/>
    <m/>
  </r>
  <r>
    <x v="0"/>
    <x v="15"/>
    <x v="16"/>
    <s v="BMZ"/>
    <x v="1"/>
    <x v="13"/>
    <x v="2"/>
    <x v="237"/>
    <n v="19"/>
    <n v="92"/>
    <m/>
    <d v="2021-08-31T00:00:00"/>
    <m/>
    <m/>
    <m/>
    <m/>
    <m/>
    <m/>
    <m/>
    <m/>
    <m/>
    <m/>
    <m/>
    <m/>
    <m/>
    <m/>
    <m/>
    <m/>
    <m/>
    <m/>
    <m/>
    <m/>
    <m/>
    <m/>
    <m/>
    <m/>
    <m/>
    <m/>
    <m/>
    <m/>
    <m/>
    <m/>
    <m/>
    <m/>
    <m/>
    <m/>
    <m/>
    <m/>
    <m/>
    <x v="1"/>
    <x v="1"/>
    <m/>
    <m/>
    <m/>
    <m/>
    <m/>
    <m/>
    <m/>
    <m/>
    <m/>
    <m/>
    <m/>
    <m/>
    <m/>
    <m/>
    <m/>
    <m/>
    <m/>
    <s v="no test"/>
    <s v="no test"/>
    <x v="1"/>
    <n v="0"/>
    <n v="0"/>
    <n v="0"/>
    <n v="0"/>
    <n v="0"/>
    <n v="0"/>
    <n v="0"/>
    <n v="0"/>
    <n v="0"/>
    <n v="0"/>
    <n v="0"/>
    <n v="0"/>
    <n v="0"/>
    <n v="0"/>
    <n v="1"/>
    <n v="92"/>
    <n v="1"/>
    <n v="1"/>
    <n v="0"/>
    <n v="0"/>
    <n v="0"/>
    <s v="N/A"/>
    <s v="NA"/>
    <n v="15"/>
    <n v="15"/>
    <n v="1"/>
    <n v="0"/>
    <n v="0"/>
    <n v="0"/>
    <n v="0"/>
    <n v="0"/>
    <n v="0"/>
    <n v="0"/>
    <n v="1"/>
    <n v="0"/>
    <n v="0"/>
    <n v="0"/>
    <n v="0"/>
    <n v="0"/>
    <n v="0"/>
    <n v="0"/>
    <x v="0"/>
    <n v="0"/>
    <n v="0"/>
    <x v="2"/>
    <x v="6"/>
    <x v="4"/>
    <n v="0"/>
    <n v="0"/>
    <n v="197462"/>
    <x v="0"/>
    <m/>
  </r>
  <r>
    <x v="0"/>
    <x v="16"/>
    <x v="17"/>
    <s v="BMZ"/>
    <x v="1"/>
    <x v="18"/>
    <x v="2"/>
    <x v="238"/>
    <n v="192"/>
    <n v="1083"/>
    <d v="2017-01-01T00:00:00"/>
    <d v="2021-12-21T00:00:00"/>
    <m/>
    <m/>
    <m/>
    <m/>
    <m/>
    <m/>
    <m/>
    <m/>
    <m/>
    <m/>
    <m/>
    <m/>
    <m/>
    <m/>
    <m/>
    <m/>
    <m/>
    <m/>
    <m/>
    <m/>
    <m/>
    <m/>
    <m/>
    <m/>
    <m/>
    <m/>
    <m/>
    <m/>
    <m/>
    <m/>
    <m/>
    <m/>
    <m/>
    <m/>
    <m/>
    <m/>
    <m/>
    <x v="1"/>
    <x v="1"/>
    <m/>
    <m/>
    <m/>
    <m/>
    <m/>
    <m/>
    <m/>
    <m/>
    <m/>
    <m/>
    <m/>
    <m/>
    <m/>
    <m/>
    <m/>
    <m/>
    <m/>
    <s v="no test"/>
    <s v="no test"/>
    <x v="1"/>
    <n v="0"/>
    <n v="0"/>
    <n v="0"/>
    <n v="0"/>
    <n v="0"/>
    <n v="0"/>
    <n v="0"/>
    <n v="0"/>
    <n v="0"/>
    <n v="0"/>
    <n v="0"/>
    <n v="0"/>
    <n v="0"/>
    <n v="0"/>
    <n v="1"/>
    <n v="1083"/>
    <n v="2"/>
    <n v="2"/>
    <n v="0"/>
    <n v="0"/>
    <n v="0"/>
    <s v="N/A"/>
    <s v="NA"/>
    <n v="181"/>
    <n v="181"/>
    <n v="1"/>
    <n v="0"/>
    <n v="0"/>
    <n v="0"/>
    <n v="0"/>
    <n v="0"/>
    <n v="0"/>
    <n v="0"/>
    <n v="1"/>
    <n v="0"/>
    <n v="0"/>
    <n v="0"/>
    <n v="0"/>
    <n v="0"/>
    <n v="0"/>
    <n v="0"/>
    <x v="0"/>
    <n v="0"/>
    <n v="0"/>
    <x v="2"/>
    <x v="6"/>
    <x v="2"/>
    <n v="0"/>
    <n v="0"/>
    <n v="196132"/>
    <x v="0"/>
    <m/>
  </r>
  <r>
    <x v="0"/>
    <x v="16"/>
    <x v="17"/>
    <s v="BMZ"/>
    <x v="1"/>
    <x v="18"/>
    <x v="2"/>
    <x v="239"/>
    <n v="65"/>
    <n v="373"/>
    <d v="2017-01-01T00:00:00"/>
    <d v="2021-12-21T00:00:00"/>
    <m/>
    <m/>
    <m/>
    <m/>
    <m/>
    <m/>
    <m/>
    <m/>
    <m/>
    <m/>
    <m/>
    <m/>
    <m/>
    <m/>
    <m/>
    <m/>
    <m/>
    <m/>
    <m/>
    <m/>
    <m/>
    <m/>
    <m/>
    <m/>
    <m/>
    <m/>
    <m/>
    <m/>
    <m/>
    <m/>
    <m/>
    <m/>
    <m/>
    <m/>
    <m/>
    <m/>
    <m/>
    <x v="1"/>
    <x v="1"/>
    <m/>
    <m/>
    <m/>
    <m/>
    <m/>
    <m/>
    <m/>
    <m/>
    <m/>
    <m/>
    <m/>
    <m/>
    <m/>
    <m/>
    <m/>
    <m/>
    <m/>
    <s v="no test"/>
    <s v="no test"/>
    <x v="1"/>
    <n v="0"/>
    <n v="0"/>
    <n v="0"/>
    <n v="0"/>
    <n v="0"/>
    <n v="0"/>
    <n v="0"/>
    <n v="0"/>
    <n v="0"/>
    <n v="0"/>
    <n v="0"/>
    <n v="0"/>
    <n v="0"/>
    <n v="0"/>
    <n v="1"/>
    <n v="373"/>
    <n v="1"/>
    <n v="1"/>
    <n v="0"/>
    <n v="0"/>
    <n v="0"/>
    <s v="N/A"/>
    <s v="NA"/>
    <n v="62"/>
    <n v="62"/>
    <n v="1"/>
    <n v="0"/>
    <n v="0"/>
    <n v="0"/>
    <n v="0"/>
    <n v="0"/>
    <n v="0"/>
    <n v="0"/>
    <n v="1"/>
    <n v="0"/>
    <n v="0"/>
    <n v="0"/>
    <n v="0"/>
    <n v="0"/>
    <n v="0"/>
    <n v="0"/>
    <x v="0"/>
    <n v="0"/>
    <n v="0"/>
    <x v="2"/>
    <x v="6"/>
    <x v="2"/>
    <n v="0"/>
    <n v="0"/>
    <n v="196135"/>
    <x v="0"/>
    <m/>
  </r>
  <r>
    <x v="0"/>
    <x v="16"/>
    <x v="17"/>
    <s v="BMZ"/>
    <x v="1"/>
    <x v="18"/>
    <x v="2"/>
    <x v="240"/>
    <n v="86"/>
    <n v="481"/>
    <d v="2017-01-01T00:00:00"/>
    <d v="2021-12-21T00:00:00"/>
    <m/>
    <m/>
    <m/>
    <m/>
    <m/>
    <m/>
    <m/>
    <m/>
    <m/>
    <m/>
    <m/>
    <m/>
    <m/>
    <m/>
    <m/>
    <m/>
    <m/>
    <m/>
    <m/>
    <m/>
    <m/>
    <m/>
    <m/>
    <m/>
    <m/>
    <m/>
    <m/>
    <m/>
    <m/>
    <m/>
    <m/>
    <m/>
    <m/>
    <m/>
    <m/>
    <m/>
    <m/>
    <x v="1"/>
    <x v="1"/>
    <m/>
    <m/>
    <m/>
    <m/>
    <m/>
    <m/>
    <m/>
    <m/>
    <m/>
    <m/>
    <m/>
    <m/>
    <m/>
    <m/>
    <m/>
    <m/>
    <m/>
    <s v="no test"/>
    <s v="no test"/>
    <x v="1"/>
    <n v="0"/>
    <n v="0"/>
    <n v="0"/>
    <n v="0"/>
    <n v="0"/>
    <n v="0"/>
    <n v="0"/>
    <n v="0"/>
    <n v="0"/>
    <n v="0"/>
    <n v="0"/>
    <n v="0"/>
    <n v="0"/>
    <n v="0"/>
    <n v="1"/>
    <n v="481"/>
    <n v="1"/>
    <n v="1"/>
    <n v="0"/>
    <n v="0"/>
    <n v="0"/>
    <s v="N/A"/>
    <s v="NA"/>
    <n v="80"/>
    <n v="80"/>
    <n v="1"/>
    <n v="0"/>
    <n v="0"/>
    <n v="0"/>
    <n v="0"/>
    <n v="0"/>
    <n v="0"/>
    <n v="0"/>
    <n v="1"/>
    <n v="0"/>
    <n v="0"/>
    <n v="0"/>
    <n v="0"/>
    <n v="0"/>
    <n v="0"/>
    <n v="0"/>
    <x v="0"/>
    <n v="0"/>
    <n v="0"/>
    <x v="2"/>
    <x v="6"/>
    <x v="2"/>
    <n v="20.187860488891602"/>
    <n v="92.903419494628906"/>
    <n v="196134"/>
    <x v="0"/>
    <m/>
  </r>
  <r>
    <x v="0"/>
    <x v="16"/>
    <x v="17"/>
    <s v="BMZ"/>
    <x v="1"/>
    <x v="18"/>
    <x v="2"/>
    <x v="241"/>
    <n v="88"/>
    <n v="454"/>
    <d v="2017-01-01T00:00:00"/>
    <d v="2021-12-21T00:00:00"/>
    <m/>
    <m/>
    <m/>
    <m/>
    <m/>
    <m/>
    <m/>
    <m/>
    <m/>
    <m/>
    <m/>
    <m/>
    <m/>
    <m/>
    <m/>
    <m/>
    <m/>
    <m/>
    <m/>
    <m/>
    <m/>
    <m/>
    <m/>
    <m/>
    <m/>
    <m/>
    <m/>
    <m/>
    <m/>
    <m/>
    <m/>
    <m/>
    <m/>
    <m/>
    <m/>
    <m/>
    <m/>
    <x v="1"/>
    <x v="1"/>
    <m/>
    <m/>
    <m/>
    <m/>
    <m/>
    <m/>
    <m/>
    <m/>
    <m/>
    <m/>
    <m/>
    <m/>
    <m/>
    <m/>
    <m/>
    <m/>
    <m/>
    <s v="no test"/>
    <s v="no test"/>
    <x v="1"/>
    <n v="0"/>
    <n v="0"/>
    <n v="0"/>
    <n v="0"/>
    <n v="0"/>
    <n v="0"/>
    <n v="0"/>
    <n v="0"/>
    <n v="0"/>
    <n v="0"/>
    <n v="0"/>
    <n v="0"/>
    <n v="0"/>
    <n v="0"/>
    <n v="1"/>
    <n v="454"/>
    <n v="1"/>
    <n v="1"/>
    <n v="0"/>
    <n v="0"/>
    <n v="0"/>
    <s v="N/A"/>
    <s v="NA"/>
    <n v="76"/>
    <n v="76"/>
    <n v="1"/>
    <n v="0"/>
    <n v="0"/>
    <n v="0"/>
    <n v="0"/>
    <n v="0"/>
    <n v="0"/>
    <n v="0"/>
    <n v="1"/>
    <n v="0"/>
    <n v="0"/>
    <n v="0"/>
    <n v="0"/>
    <n v="0"/>
    <n v="0"/>
    <n v="0"/>
    <x v="0"/>
    <n v="0"/>
    <n v="0"/>
    <x v="2"/>
    <x v="6"/>
    <x v="2"/>
    <n v="20.1899604797363"/>
    <n v="92.895767211914105"/>
    <n v="196136"/>
    <x v="0"/>
    <m/>
  </r>
  <r>
    <x v="0"/>
    <x v="16"/>
    <x v="17"/>
    <s v="EU"/>
    <x v="1"/>
    <x v="18"/>
    <x v="2"/>
    <x v="242"/>
    <n v="218"/>
    <n v="978"/>
    <d v="2017-01-01T00:00:00"/>
    <d v="2021-12-21T00:00:00"/>
    <m/>
    <m/>
    <m/>
    <m/>
    <m/>
    <m/>
    <m/>
    <m/>
    <m/>
    <m/>
    <m/>
    <m/>
    <m/>
    <m/>
    <m/>
    <m/>
    <m/>
    <m/>
    <m/>
    <m/>
    <m/>
    <m/>
    <m/>
    <m/>
    <m/>
    <m/>
    <m/>
    <m/>
    <m/>
    <m/>
    <m/>
    <m/>
    <m/>
    <m/>
    <m/>
    <m/>
    <m/>
    <x v="1"/>
    <x v="1"/>
    <m/>
    <m/>
    <m/>
    <m/>
    <m/>
    <m/>
    <m/>
    <m/>
    <m/>
    <m/>
    <m/>
    <m/>
    <m/>
    <m/>
    <m/>
    <m/>
    <m/>
    <s v="no test"/>
    <s v="no test"/>
    <x v="1"/>
    <n v="0"/>
    <n v="0"/>
    <n v="0"/>
    <n v="0"/>
    <n v="0"/>
    <n v="0"/>
    <n v="0"/>
    <n v="0"/>
    <n v="0"/>
    <n v="0"/>
    <n v="0"/>
    <n v="0"/>
    <n v="0"/>
    <n v="0"/>
    <n v="1"/>
    <n v="978"/>
    <n v="2"/>
    <n v="2"/>
    <n v="0"/>
    <n v="0"/>
    <n v="0"/>
    <s v="N/A"/>
    <s v="NA"/>
    <n v="163"/>
    <n v="163"/>
    <n v="1"/>
    <n v="0"/>
    <n v="0"/>
    <n v="0"/>
    <n v="0"/>
    <n v="0"/>
    <n v="0"/>
    <n v="0"/>
    <n v="1"/>
    <n v="0"/>
    <n v="0"/>
    <n v="0"/>
    <n v="0"/>
    <n v="0"/>
    <n v="0"/>
    <n v="0"/>
    <x v="0"/>
    <n v="0"/>
    <n v="0"/>
    <x v="2"/>
    <x v="6"/>
    <x v="2"/>
    <n v="20.2630290985107"/>
    <n v="92.858856201171903"/>
    <n v="196166"/>
    <x v="0"/>
    <m/>
  </r>
  <r>
    <x v="0"/>
    <x v="16"/>
    <x v="17"/>
    <s v="EU"/>
    <x v="1"/>
    <x v="18"/>
    <x v="2"/>
    <x v="243"/>
    <n v="147"/>
    <n v="741"/>
    <d v="2017-01-01T00:00:00"/>
    <d v="2021-12-21T00:00:00"/>
    <m/>
    <m/>
    <m/>
    <m/>
    <m/>
    <m/>
    <m/>
    <m/>
    <m/>
    <m/>
    <m/>
    <m/>
    <m/>
    <m/>
    <m/>
    <m/>
    <m/>
    <m/>
    <m/>
    <m/>
    <m/>
    <m/>
    <m/>
    <m/>
    <m/>
    <m/>
    <m/>
    <m/>
    <m/>
    <m/>
    <m/>
    <m/>
    <m/>
    <m/>
    <m/>
    <m/>
    <m/>
    <x v="1"/>
    <x v="1"/>
    <m/>
    <m/>
    <m/>
    <m/>
    <m/>
    <m/>
    <m/>
    <m/>
    <m/>
    <m/>
    <m/>
    <m/>
    <m/>
    <m/>
    <m/>
    <m/>
    <m/>
    <s v="no test"/>
    <s v="no test"/>
    <x v="1"/>
    <n v="0"/>
    <n v="0"/>
    <n v="0"/>
    <n v="0"/>
    <n v="0"/>
    <n v="0"/>
    <n v="0"/>
    <n v="0"/>
    <n v="0"/>
    <n v="0"/>
    <n v="0"/>
    <n v="0"/>
    <n v="0"/>
    <n v="0"/>
    <n v="1"/>
    <n v="741"/>
    <n v="1"/>
    <n v="1"/>
    <n v="0"/>
    <n v="0"/>
    <n v="0"/>
    <s v="N/A"/>
    <s v="NA"/>
    <n v="124"/>
    <n v="124"/>
    <n v="1"/>
    <n v="0"/>
    <n v="0"/>
    <n v="0"/>
    <n v="0"/>
    <n v="0"/>
    <n v="0"/>
    <n v="0"/>
    <n v="1"/>
    <n v="0"/>
    <n v="0"/>
    <n v="0"/>
    <n v="0"/>
    <n v="0"/>
    <n v="0"/>
    <n v="0"/>
    <x v="0"/>
    <n v="0"/>
    <n v="0"/>
    <x v="2"/>
    <x v="6"/>
    <x v="2"/>
    <n v="20.248519897460898"/>
    <n v="92.8621826171875"/>
    <n v="196170"/>
    <x v="0"/>
    <m/>
  </r>
  <r>
    <x v="0"/>
    <x v="16"/>
    <x v="17"/>
    <s v="EU"/>
    <x v="1"/>
    <x v="18"/>
    <x v="2"/>
    <x v="244"/>
    <n v="235"/>
    <n v="1117"/>
    <d v="2017-01-01T00:00:00"/>
    <d v="2021-12-21T00:00:00"/>
    <m/>
    <m/>
    <m/>
    <m/>
    <m/>
    <m/>
    <m/>
    <m/>
    <m/>
    <m/>
    <m/>
    <m/>
    <m/>
    <m/>
    <m/>
    <m/>
    <m/>
    <m/>
    <m/>
    <m/>
    <m/>
    <m/>
    <m/>
    <m/>
    <m/>
    <m/>
    <m/>
    <m/>
    <m/>
    <m/>
    <m/>
    <m/>
    <m/>
    <m/>
    <m/>
    <m/>
    <m/>
    <x v="1"/>
    <x v="1"/>
    <m/>
    <m/>
    <m/>
    <m/>
    <m/>
    <m/>
    <m/>
    <m/>
    <m/>
    <m/>
    <m/>
    <m/>
    <m/>
    <m/>
    <m/>
    <m/>
    <m/>
    <s v="no test"/>
    <s v="no test"/>
    <x v="1"/>
    <n v="0"/>
    <n v="0"/>
    <n v="0"/>
    <n v="0"/>
    <n v="0"/>
    <n v="0"/>
    <n v="0"/>
    <n v="0"/>
    <n v="0"/>
    <n v="0"/>
    <n v="0"/>
    <n v="0"/>
    <n v="0"/>
    <n v="0"/>
    <n v="1"/>
    <n v="1117"/>
    <n v="2"/>
    <n v="2"/>
    <n v="0"/>
    <n v="0"/>
    <n v="0"/>
    <s v="N/A"/>
    <s v="NA"/>
    <n v="186"/>
    <n v="186"/>
    <n v="1"/>
    <n v="0"/>
    <n v="0"/>
    <n v="0"/>
    <n v="0"/>
    <n v="0"/>
    <n v="0"/>
    <n v="0"/>
    <n v="1"/>
    <n v="0"/>
    <n v="0"/>
    <n v="0"/>
    <n v="0"/>
    <n v="0"/>
    <n v="0"/>
    <n v="0"/>
    <x v="0"/>
    <n v="0"/>
    <n v="0"/>
    <x v="2"/>
    <x v="6"/>
    <x v="2"/>
    <n v="20.2375602722168"/>
    <n v="92.861152648925795"/>
    <n v="196169"/>
    <x v="0"/>
    <m/>
  </r>
  <r>
    <x v="0"/>
    <x v="16"/>
    <x v="17"/>
    <s v="EU"/>
    <x v="1"/>
    <x v="18"/>
    <x v="2"/>
    <x v="245"/>
    <n v="156"/>
    <n v="658"/>
    <d v="2017-01-01T00:00:00"/>
    <d v="2021-12-21T00:00:00"/>
    <m/>
    <m/>
    <m/>
    <m/>
    <m/>
    <m/>
    <m/>
    <m/>
    <m/>
    <m/>
    <m/>
    <m/>
    <m/>
    <m/>
    <m/>
    <m/>
    <m/>
    <m/>
    <m/>
    <m/>
    <m/>
    <m/>
    <m/>
    <m/>
    <m/>
    <m/>
    <m/>
    <m/>
    <m/>
    <m/>
    <m/>
    <m/>
    <m/>
    <m/>
    <m/>
    <m/>
    <m/>
    <x v="1"/>
    <x v="1"/>
    <m/>
    <m/>
    <m/>
    <m/>
    <m/>
    <m/>
    <m/>
    <m/>
    <m/>
    <m/>
    <m/>
    <m/>
    <m/>
    <m/>
    <m/>
    <m/>
    <m/>
    <s v="no test"/>
    <s v="no test"/>
    <x v="1"/>
    <n v="0"/>
    <n v="0"/>
    <n v="0"/>
    <n v="0"/>
    <n v="0"/>
    <n v="0"/>
    <n v="0"/>
    <n v="0"/>
    <n v="0"/>
    <n v="0"/>
    <n v="0"/>
    <n v="0"/>
    <n v="0"/>
    <n v="0"/>
    <n v="1"/>
    <n v="658"/>
    <n v="1"/>
    <n v="1"/>
    <n v="0"/>
    <n v="0"/>
    <n v="0"/>
    <s v="N/A"/>
    <s v="NA"/>
    <n v="110"/>
    <n v="110"/>
    <n v="1"/>
    <n v="0"/>
    <n v="0"/>
    <n v="0"/>
    <n v="0"/>
    <n v="0"/>
    <n v="0"/>
    <n v="0"/>
    <n v="1"/>
    <n v="0"/>
    <n v="0"/>
    <n v="0"/>
    <n v="0"/>
    <n v="0"/>
    <n v="0"/>
    <n v="0"/>
    <x v="0"/>
    <n v="0"/>
    <n v="0"/>
    <x v="2"/>
    <x v="6"/>
    <x v="4"/>
    <n v="20.22929001"/>
    <n v="92.864669800000001"/>
    <n v="196167"/>
    <x v="0"/>
    <m/>
  </r>
  <r>
    <x v="0"/>
    <x v="16"/>
    <x v="17"/>
    <s v="EU"/>
    <x v="1"/>
    <x v="18"/>
    <x v="2"/>
    <x v="246"/>
    <n v="113"/>
    <n v="656"/>
    <d v="2017-01-01T00:00:00"/>
    <d v="2021-12-21T00:00:00"/>
    <m/>
    <m/>
    <m/>
    <m/>
    <m/>
    <m/>
    <m/>
    <m/>
    <m/>
    <m/>
    <m/>
    <m/>
    <m/>
    <m/>
    <m/>
    <m/>
    <m/>
    <m/>
    <m/>
    <m/>
    <m/>
    <m/>
    <m/>
    <m/>
    <m/>
    <m/>
    <m/>
    <m/>
    <m/>
    <m/>
    <m/>
    <m/>
    <m/>
    <m/>
    <m/>
    <m/>
    <m/>
    <x v="1"/>
    <x v="1"/>
    <m/>
    <m/>
    <m/>
    <m/>
    <m/>
    <m/>
    <m/>
    <m/>
    <m/>
    <m/>
    <m/>
    <m/>
    <m/>
    <m/>
    <m/>
    <m/>
    <m/>
    <s v="no test"/>
    <s v="no test"/>
    <x v="1"/>
    <n v="0"/>
    <n v="0"/>
    <n v="0"/>
    <n v="0"/>
    <n v="0"/>
    <n v="0"/>
    <n v="0"/>
    <n v="0"/>
    <n v="0"/>
    <n v="0"/>
    <n v="0"/>
    <n v="0"/>
    <n v="0"/>
    <n v="0"/>
    <n v="1"/>
    <n v="656"/>
    <n v="1"/>
    <n v="1"/>
    <n v="0"/>
    <n v="0"/>
    <n v="0"/>
    <s v="N/A"/>
    <s v="NA"/>
    <n v="109"/>
    <n v="109"/>
    <n v="1"/>
    <n v="0"/>
    <n v="0"/>
    <n v="0"/>
    <n v="0"/>
    <n v="0"/>
    <n v="0"/>
    <n v="0"/>
    <n v="1"/>
    <n v="0"/>
    <n v="0"/>
    <n v="0"/>
    <n v="0"/>
    <n v="0"/>
    <n v="0"/>
    <n v="0"/>
    <x v="0"/>
    <n v="0"/>
    <n v="0"/>
    <x v="2"/>
    <x v="6"/>
    <x v="4"/>
    <n v="20.2315197"/>
    <n v="92.876129149999997"/>
    <n v="196180"/>
    <x v="0"/>
    <m/>
  </r>
  <r>
    <x v="0"/>
    <x v="16"/>
    <x v="17"/>
    <s v="EU"/>
    <x v="1"/>
    <x v="18"/>
    <x v="2"/>
    <x v="247"/>
    <n v="152"/>
    <n v="1152"/>
    <d v="2017-01-01T00:00:00"/>
    <d v="2021-12-21T00:00:00"/>
    <m/>
    <m/>
    <m/>
    <m/>
    <m/>
    <m/>
    <m/>
    <m/>
    <m/>
    <m/>
    <m/>
    <m/>
    <m/>
    <m/>
    <m/>
    <m/>
    <m/>
    <m/>
    <m/>
    <m/>
    <m/>
    <m/>
    <m/>
    <m/>
    <m/>
    <m/>
    <m/>
    <m/>
    <m/>
    <m/>
    <m/>
    <m/>
    <m/>
    <m/>
    <m/>
    <m/>
    <m/>
    <x v="1"/>
    <x v="1"/>
    <m/>
    <m/>
    <m/>
    <m/>
    <m/>
    <m/>
    <m/>
    <m/>
    <m/>
    <m/>
    <m/>
    <m/>
    <m/>
    <m/>
    <m/>
    <m/>
    <m/>
    <s v="no test"/>
    <s v="no test"/>
    <x v="1"/>
    <n v="0"/>
    <n v="0"/>
    <n v="0"/>
    <n v="0"/>
    <n v="0"/>
    <n v="0"/>
    <n v="0"/>
    <n v="0"/>
    <n v="0"/>
    <n v="0"/>
    <n v="0"/>
    <n v="0"/>
    <n v="0"/>
    <n v="0"/>
    <n v="1"/>
    <n v="1152"/>
    <n v="2"/>
    <n v="2"/>
    <n v="0"/>
    <n v="0"/>
    <n v="0"/>
    <s v="N/A"/>
    <s v="NA"/>
    <n v="192"/>
    <n v="192"/>
    <n v="1"/>
    <n v="0"/>
    <n v="0"/>
    <n v="0"/>
    <n v="0"/>
    <n v="0"/>
    <n v="0"/>
    <n v="0"/>
    <n v="1"/>
    <n v="0"/>
    <n v="0"/>
    <n v="0"/>
    <n v="0"/>
    <n v="0"/>
    <n v="0"/>
    <n v="0"/>
    <x v="0"/>
    <n v="0"/>
    <n v="0"/>
    <x v="2"/>
    <x v="6"/>
    <x v="2"/>
    <n v="0"/>
    <n v="0"/>
    <n v="196154"/>
    <x v="0"/>
    <m/>
  </r>
  <r>
    <x v="0"/>
    <x v="16"/>
    <x v="17"/>
    <s v="EU"/>
    <x v="1"/>
    <x v="18"/>
    <x v="2"/>
    <x v="248"/>
    <n v="172"/>
    <n v="1435"/>
    <d v="2017-01-01T00:00:00"/>
    <d v="2021-12-21T00:00:00"/>
    <m/>
    <m/>
    <m/>
    <m/>
    <m/>
    <m/>
    <m/>
    <m/>
    <m/>
    <m/>
    <m/>
    <m/>
    <m/>
    <m/>
    <m/>
    <m/>
    <m/>
    <m/>
    <m/>
    <m/>
    <m/>
    <m/>
    <m/>
    <m/>
    <m/>
    <m/>
    <m/>
    <m/>
    <m/>
    <m/>
    <m/>
    <m/>
    <m/>
    <m/>
    <m/>
    <m/>
    <m/>
    <x v="1"/>
    <x v="1"/>
    <m/>
    <m/>
    <m/>
    <m/>
    <m/>
    <m/>
    <m/>
    <m/>
    <m/>
    <m/>
    <m/>
    <m/>
    <m/>
    <m/>
    <m/>
    <m/>
    <m/>
    <s v="no test"/>
    <s v="no test"/>
    <x v="1"/>
    <n v="0"/>
    <n v="0"/>
    <n v="0"/>
    <n v="0"/>
    <n v="0"/>
    <n v="0"/>
    <n v="0"/>
    <n v="0"/>
    <n v="0"/>
    <n v="0"/>
    <n v="0"/>
    <n v="0"/>
    <n v="0"/>
    <n v="0"/>
    <n v="1"/>
    <n v="1435"/>
    <n v="3"/>
    <n v="3"/>
    <n v="0"/>
    <n v="0"/>
    <n v="0"/>
    <s v="N/A"/>
    <s v="NA"/>
    <n v="239"/>
    <n v="239"/>
    <n v="1"/>
    <n v="0"/>
    <n v="0"/>
    <n v="0"/>
    <n v="0"/>
    <n v="0"/>
    <n v="0"/>
    <n v="0"/>
    <n v="1"/>
    <n v="0"/>
    <n v="0"/>
    <n v="0"/>
    <n v="0"/>
    <n v="0"/>
    <n v="0"/>
    <n v="0"/>
    <x v="0"/>
    <n v="0"/>
    <n v="0"/>
    <x v="2"/>
    <x v="6"/>
    <x v="3"/>
    <n v="0"/>
    <n v="0"/>
    <n v="0"/>
    <x v="0"/>
    <m/>
  </r>
  <r>
    <x v="0"/>
    <x v="16"/>
    <x v="17"/>
    <s v="EU"/>
    <x v="1"/>
    <x v="18"/>
    <x v="2"/>
    <x v="249"/>
    <n v="73"/>
    <n v="320"/>
    <d v="2017-01-01T00:00:00"/>
    <d v="2021-12-21T00:00:00"/>
    <m/>
    <m/>
    <m/>
    <m/>
    <m/>
    <m/>
    <m/>
    <m/>
    <m/>
    <m/>
    <m/>
    <m/>
    <m/>
    <m/>
    <m/>
    <m/>
    <m/>
    <m/>
    <m/>
    <m/>
    <m/>
    <m/>
    <m/>
    <m/>
    <m/>
    <m/>
    <m/>
    <m/>
    <m/>
    <m/>
    <m/>
    <m/>
    <m/>
    <m/>
    <m/>
    <m/>
    <m/>
    <x v="1"/>
    <x v="1"/>
    <m/>
    <m/>
    <m/>
    <m/>
    <m/>
    <m/>
    <m/>
    <m/>
    <m/>
    <m/>
    <m/>
    <m/>
    <m/>
    <m/>
    <m/>
    <m/>
    <m/>
    <s v="no test"/>
    <s v="no test"/>
    <x v="1"/>
    <n v="0"/>
    <n v="0"/>
    <n v="0"/>
    <n v="0"/>
    <n v="0"/>
    <n v="0"/>
    <n v="0"/>
    <n v="0"/>
    <n v="0"/>
    <n v="0"/>
    <n v="0"/>
    <n v="0"/>
    <n v="0"/>
    <n v="0"/>
    <n v="1"/>
    <n v="320"/>
    <n v="1"/>
    <n v="1"/>
    <n v="0"/>
    <n v="0"/>
    <n v="0"/>
    <s v="N/A"/>
    <s v="NA"/>
    <n v="53"/>
    <n v="53"/>
    <n v="1"/>
    <n v="0"/>
    <n v="0"/>
    <n v="0"/>
    <n v="0"/>
    <n v="0"/>
    <n v="0"/>
    <n v="0"/>
    <n v="1"/>
    <n v="0"/>
    <n v="0"/>
    <n v="0"/>
    <n v="0"/>
    <n v="0"/>
    <n v="0"/>
    <n v="0"/>
    <x v="0"/>
    <n v="0"/>
    <n v="0"/>
    <x v="2"/>
    <x v="6"/>
    <x v="4"/>
    <n v="20.2023601531982"/>
    <n v="92.812782287597699"/>
    <n v="196159"/>
    <x v="0"/>
    <m/>
  </r>
  <r>
    <x v="0"/>
    <x v="16"/>
    <x v="17"/>
    <s v="EU"/>
    <x v="1"/>
    <x v="18"/>
    <x v="2"/>
    <x v="250"/>
    <n v="266"/>
    <n v="1416"/>
    <d v="2017-01-01T00:00:00"/>
    <d v="2021-12-21T00:00:00"/>
    <m/>
    <m/>
    <m/>
    <m/>
    <m/>
    <m/>
    <m/>
    <m/>
    <m/>
    <m/>
    <m/>
    <m/>
    <m/>
    <m/>
    <m/>
    <m/>
    <m/>
    <m/>
    <m/>
    <m/>
    <m/>
    <m/>
    <m/>
    <m/>
    <m/>
    <m/>
    <m/>
    <m/>
    <m/>
    <m/>
    <m/>
    <m/>
    <m/>
    <m/>
    <m/>
    <m/>
    <m/>
    <x v="1"/>
    <x v="1"/>
    <m/>
    <m/>
    <m/>
    <m/>
    <m/>
    <m/>
    <m/>
    <m/>
    <m/>
    <m/>
    <m/>
    <m/>
    <m/>
    <m/>
    <m/>
    <m/>
    <m/>
    <s v="no test"/>
    <s v="no test"/>
    <x v="1"/>
    <n v="0"/>
    <n v="0"/>
    <n v="0"/>
    <n v="0"/>
    <n v="0"/>
    <n v="0"/>
    <n v="0"/>
    <n v="0"/>
    <n v="0"/>
    <n v="0"/>
    <n v="0"/>
    <n v="0"/>
    <n v="0"/>
    <n v="0"/>
    <n v="1"/>
    <n v="1416"/>
    <n v="3"/>
    <n v="3"/>
    <n v="0"/>
    <n v="0"/>
    <n v="0"/>
    <s v="N/A"/>
    <s v="NA"/>
    <n v="236"/>
    <n v="236"/>
    <n v="1"/>
    <n v="0"/>
    <n v="0"/>
    <n v="0"/>
    <n v="0"/>
    <n v="0"/>
    <n v="0"/>
    <n v="0"/>
    <n v="1"/>
    <n v="0"/>
    <n v="0"/>
    <n v="0"/>
    <n v="0"/>
    <n v="0"/>
    <n v="0"/>
    <n v="0"/>
    <x v="0"/>
    <n v="0"/>
    <n v="0"/>
    <x v="2"/>
    <x v="6"/>
    <x v="2"/>
    <n v="20.199499130248999"/>
    <n v="92.834327697753906"/>
    <n v="196126"/>
    <x v="0"/>
    <m/>
  </r>
  <r>
    <x v="0"/>
    <x v="16"/>
    <x v="17"/>
    <s v="EU"/>
    <x v="1"/>
    <x v="18"/>
    <x v="2"/>
    <x v="251"/>
    <n v="179"/>
    <n v="853"/>
    <d v="2017-01-01T00:00:00"/>
    <d v="2021-12-21T00:00:00"/>
    <m/>
    <m/>
    <m/>
    <m/>
    <m/>
    <m/>
    <m/>
    <m/>
    <m/>
    <m/>
    <m/>
    <m/>
    <m/>
    <m/>
    <m/>
    <m/>
    <m/>
    <m/>
    <m/>
    <m/>
    <m/>
    <m/>
    <m/>
    <m/>
    <m/>
    <m/>
    <m/>
    <m/>
    <m/>
    <m/>
    <m/>
    <m/>
    <m/>
    <m/>
    <m/>
    <m/>
    <m/>
    <x v="1"/>
    <x v="1"/>
    <m/>
    <m/>
    <m/>
    <m/>
    <m/>
    <m/>
    <m/>
    <m/>
    <m/>
    <m/>
    <m/>
    <m/>
    <m/>
    <m/>
    <m/>
    <m/>
    <m/>
    <s v="no test"/>
    <s v="no test"/>
    <x v="1"/>
    <n v="0"/>
    <n v="0"/>
    <n v="0"/>
    <n v="0"/>
    <n v="0"/>
    <n v="0"/>
    <n v="0"/>
    <n v="0"/>
    <n v="0"/>
    <n v="0"/>
    <n v="0"/>
    <n v="0"/>
    <n v="0"/>
    <n v="0"/>
    <n v="1"/>
    <n v="853"/>
    <n v="2"/>
    <n v="2"/>
    <n v="0"/>
    <n v="0"/>
    <n v="0"/>
    <s v="N/A"/>
    <s v="NA"/>
    <n v="142"/>
    <n v="142"/>
    <n v="1"/>
    <n v="0"/>
    <n v="0"/>
    <n v="0"/>
    <n v="0"/>
    <n v="0"/>
    <n v="0"/>
    <n v="0"/>
    <n v="1"/>
    <n v="0"/>
    <n v="0"/>
    <n v="0"/>
    <n v="0"/>
    <n v="0"/>
    <n v="0"/>
    <n v="0"/>
    <x v="0"/>
    <n v="0"/>
    <n v="0"/>
    <x v="2"/>
    <x v="6"/>
    <x v="2"/>
    <n v="20.194370269775401"/>
    <n v="92.834007263183594"/>
    <n v="196128"/>
    <x v="0"/>
    <m/>
  </r>
  <r>
    <x v="0"/>
    <x v="16"/>
    <x v="17"/>
    <s v="EU"/>
    <x v="1"/>
    <x v="18"/>
    <x v="2"/>
    <x v="252"/>
    <n v="241"/>
    <n v="1027"/>
    <d v="2017-01-01T00:00:00"/>
    <d v="2021-12-21T00:00:00"/>
    <m/>
    <m/>
    <m/>
    <m/>
    <m/>
    <m/>
    <m/>
    <m/>
    <m/>
    <m/>
    <m/>
    <m/>
    <m/>
    <m/>
    <m/>
    <m/>
    <m/>
    <m/>
    <m/>
    <m/>
    <m/>
    <m/>
    <m/>
    <m/>
    <m/>
    <m/>
    <m/>
    <m/>
    <m/>
    <m/>
    <m/>
    <m/>
    <m/>
    <m/>
    <m/>
    <m/>
    <m/>
    <x v="1"/>
    <x v="1"/>
    <m/>
    <m/>
    <m/>
    <m/>
    <m/>
    <m/>
    <m/>
    <m/>
    <m/>
    <m/>
    <m/>
    <m/>
    <m/>
    <m/>
    <m/>
    <m/>
    <m/>
    <s v="no test"/>
    <s v="no test"/>
    <x v="1"/>
    <n v="0"/>
    <n v="0"/>
    <n v="0"/>
    <n v="0"/>
    <n v="0"/>
    <n v="0"/>
    <n v="0"/>
    <n v="0"/>
    <n v="0"/>
    <n v="0"/>
    <n v="0"/>
    <n v="0"/>
    <n v="0"/>
    <n v="0"/>
    <n v="1"/>
    <n v="1027"/>
    <n v="2"/>
    <n v="2"/>
    <n v="0"/>
    <n v="0"/>
    <n v="0"/>
    <s v="N/A"/>
    <s v="NA"/>
    <n v="171"/>
    <n v="171"/>
    <n v="1"/>
    <n v="0"/>
    <n v="0"/>
    <n v="0"/>
    <n v="0"/>
    <n v="0"/>
    <n v="0"/>
    <n v="0"/>
    <n v="1"/>
    <n v="0"/>
    <n v="0"/>
    <n v="0"/>
    <n v="0"/>
    <n v="0"/>
    <n v="0"/>
    <n v="0"/>
    <x v="0"/>
    <n v="0"/>
    <n v="0"/>
    <x v="2"/>
    <x v="6"/>
    <x v="2"/>
    <n v="20.2105598449707"/>
    <n v="92.836456298828097"/>
    <n v="196125"/>
    <x v="0"/>
    <m/>
  </r>
  <r>
    <x v="0"/>
    <x v="16"/>
    <x v="17"/>
    <s v="EU"/>
    <x v="1"/>
    <x v="18"/>
    <x v="2"/>
    <x v="253"/>
    <n v="77"/>
    <n v="370"/>
    <d v="2017-01-01T00:00:00"/>
    <d v="2021-12-21T00:00:00"/>
    <m/>
    <m/>
    <m/>
    <m/>
    <m/>
    <m/>
    <m/>
    <m/>
    <m/>
    <m/>
    <m/>
    <m/>
    <m/>
    <m/>
    <m/>
    <m/>
    <m/>
    <m/>
    <m/>
    <m/>
    <m/>
    <m/>
    <m/>
    <m/>
    <m/>
    <m/>
    <m/>
    <m/>
    <m/>
    <m/>
    <m/>
    <m/>
    <m/>
    <m/>
    <m/>
    <m/>
    <m/>
    <x v="1"/>
    <x v="1"/>
    <m/>
    <m/>
    <m/>
    <m/>
    <m/>
    <m/>
    <m/>
    <m/>
    <m/>
    <m/>
    <m/>
    <m/>
    <m/>
    <m/>
    <m/>
    <m/>
    <m/>
    <s v="no test"/>
    <s v="no test"/>
    <x v="1"/>
    <n v="0"/>
    <n v="0"/>
    <n v="0"/>
    <n v="0"/>
    <n v="0"/>
    <n v="0"/>
    <n v="0"/>
    <n v="0"/>
    <n v="0"/>
    <n v="0"/>
    <n v="0"/>
    <n v="0"/>
    <n v="0"/>
    <n v="0"/>
    <n v="1"/>
    <n v="370"/>
    <n v="1"/>
    <n v="1"/>
    <n v="0"/>
    <n v="0"/>
    <n v="0"/>
    <s v="N/A"/>
    <s v="NA"/>
    <n v="62"/>
    <n v="62"/>
    <n v="1"/>
    <n v="0"/>
    <n v="0"/>
    <n v="0"/>
    <n v="0"/>
    <n v="0"/>
    <n v="0"/>
    <n v="0"/>
    <n v="1"/>
    <n v="0"/>
    <n v="0"/>
    <n v="0"/>
    <n v="0"/>
    <n v="0"/>
    <n v="0"/>
    <n v="0"/>
    <x v="0"/>
    <n v="0"/>
    <n v="0"/>
    <x v="2"/>
    <x v="6"/>
    <x v="4"/>
    <n v="20.142474"/>
    <n v="92.494243999999995"/>
    <n v="196130"/>
    <x v="0"/>
    <m/>
  </r>
  <r>
    <x v="0"/>
    <x v="16"/>
    <x v="17"/>
    <s v="EU"/>
    <x v="1"/>
    <x v="18"/>
    <x v="2"/>
    <x v="254"/>
    <n v="509"/>
    <n v="1574"/>
    <d v="2017-01-01T00:00:00"/>
    <d v="2021-12-21T00:00:00"/>
    <m/>
    <m/>
    <m/>
    <m/>
    <m/>
    <m/>
    <m/>
    <m/>
    <m/>
    <m/>
    <m/>
    <m/>
    <m/>
    <m/>
    <m/>
    <m/>
    <m/>
    <m/>
    <m/>
    <m/>
    <m/>
    <m/>
    <m/>
    <m/>
    <m/>
    <m/>
    <m/>
    <m/>
    <m/>
    <m/>
    <m/>
    <m/>
    <m/>
    <m/>
    <m/>
    <m/>
    <m/>
    <x v="1"/>
    <x v="1"/>
    <m/>
    <m/>
    <m/>
    <m/>
    <m/>
    <m/>
    <m/>
    <m/>
    <m/>
    <m/>
    <m/>
    <m/>
    <m/>
    <m/>
    <m/>
    <m/>
    <m/>
    <s v="no test"/>
    <s v="no test"/>
    <x v="1"/>
    <n v="0"/>
    <n v="0"/>
    <n v="0"/>
    <n v="0"/>
    <n v="0"/>
    <n v="0"/>
    <n v="0"/>
    <n v="0"/>
    <n v="0"/>
    <n v="0"/>
    <n v="0"/>
    <n v="0"/>
    <n v="0"/>
    <n v="0"/>
    <n v="1"/>
    <n v="1574"/>
    <n v="3"/>
    <n v="3"/>
    <n v="0"/>
    <n v="0"/>
    <n v="0"/>
    <s v="N/A"/>
    <s v="NA"/>
    <n v="262"/>
    <n v="262"/>
    <n v="1"/>
    <n v="0"/>
    <n v="0"/>
    <n v="0"/>
    <n v="0"/>
    <n v="0"/>
    <n v="0"/>
    <n v="0"/>
    <n v="1"/>
    <n v="0"/>
    <n v="0"/>
    <n v="0"/>
    <n v="0"/>
    <n v="0"/>
    <n v="0"/>
    <n v="0"/>
    <x v="0"/>
    <n v="0"/>
    <n v="0"/>
    <x v="2"/>
    <x v="6"/>
    <x v="4"/>
    <n v="20.226730346679702"/>
    <n v="92.836929321289105"/>
    <n v="196129"/>
    <x v="0"/>
    <m/>
  </r>
  <r>
    <x v="0"/>
    <x v="16"/>
    <x v="17"/>
    <s v="EU"/>
    <x v="1"/>
    <x v="18"/>
    <x v="2"/>
    <x v="255"/>
    <n v="301"/>
    <n v="1529"/>
    <d v="2017-01-01T00:00:00"/>
    <d v="2021-12-21T00:00:00"/>
    <m/>
    <m/>
    <m/>
    <m/>
    <m/>
    <m/>
    <m/>
    <m/>
    <m/>
    <m/>
    <m/>
    <m/>
    <m/>
    <m/>
    <m/>
    <m/>
    <m/>
    <m/>
    <m/>
    <m/>
    <m/>
    <m/>
    <m/>
    <m/>
    <m/>
    <m/>
    <m/>
    <m/>
    <m/>
    <m/>
    <m/>
    <m/>
    <m/>
    <m/>
    <m/>
    <m/>
    <m/>
    <x v="1"/>
    <x v="1"/>
    <m/>
    <m/>
    <m/>
    <m/>
    <m/>
    <m/>
    <m/>
    <m/>
    <m/>
    <m/>
    <m/>
    <m/>
    <m/>
    <m/>
    <m/>
    <m/>
    <m/>
    <s v="no test"/>
    <s v="no test"/>
    <x v="1"/>
    <n v="0"/>
    <n v="0"/>
    <n v="0"/>
    <n v="0"/>
    <n v="0"/>
    <n v="0"/>
    <n v="0"/>
    <n v="0"/>
    <n v="0"/>
    <n v="0"/>
    <n v="0"/>
    <n v="0"/>
    <n v="0"/>
    <n v="0"/>
    <n v="1"/>
    <n v="1529"/>
    <n v="3"/>
    <n v="3"/>
    <n v="0"/>
    <n v="0"/>
    <n v="0"/>
    <s v="N/A"/>
    <s v="NA"/>
    <n v="255"/>
    <n v="255"/>
    <n v="1"/>
    <n v="0"/>
    <n v="0"/>
    <n v="0"/>
    <n v="0"/>
    <n v="0"/>
    <n v="0"/>
    <n v="0"/>
    <n v="1"/>
    <n v="0"/>
    <n v="0"/>
    <n v="0"/>
    <n v="0"/>
    <n v="0"/>
    <n v="0"/>
    <n v="0"/>
    <x v="0"/>
    <n v="0"/>
    <n v="0"/>
    <x v="2"/>
    <x v="6"/>
    <x v="4"/>
    <n v="20.257850650000002"/>
    <n v="92.811126709999996"/>
    <n v="196161"/>
    <x v="0"/>
    <m/>
  </r>
  <r>
    <x v="0"/>
    <x v="16"/>
    <x v="17"/>
    <s v="EU"/>
    <x v="1"/>
    <x v="18"/>
    <x v="2"/>
    <x v="256"/>
    <n v="85"/>
    <n v="369"/>
    <d v="2017-01-01T00:00:00"/>
    <d v="2021-12-21T00:00:00"/>
    <m/>
    <m/>
    <m/>
    <m/>
    <m/>
    <m/>
    <m/>
    <m/>
    <m/>
    <m/>
    <m/>
    <m/>
    <m/>
    <m/>
    <m/>
    <m/>
    <m/>
    <m/>
    <m/>
    <m/>
    <m/>
    <m/>
    <m/>
    <m/>
    <m/>
    <m/>
    <m/>
    <m/>
    <m/>
    <m/>
    <m/>
    <m/>
    <m/>
    <m/>
    <m/>
    <m/>
    <m/>
    <x v="1"/>
    <x v="1"/>
    <m/>
    <m/>
    <m/>
    <m/>
    <m/>
    <m/>
    <m/>
    <m/>
    <m/>
    <m/>
    <m/>
    <m/>
    <m/>
    <m/>
    <m/>
    <m/>
    <m/>
    <s v="no test"/>
    <s v="no test"/>
    <x v="1"/>
    <n v="0"/>
    <n v="0"/>
    <n v="0"/>
    <n v="0"/>
    <n v="0"/>
    <n v="0"/>
    <n v="0"/>
    <n v="0"/>
    <n v="0"/>
    <n v="0"/>
    <n v="0"/>
    <n v="0"/>
    <n v="0"/>
    <n v="0"/>
    <n v="1"/>
    <n v="369"/>
    <n v="1"/>
    <n v="1"/>
    <n v="0"/>
    <n v="0"/>
    <n v="0"/>
    <s v="N/A"/>
    <s v="NA"/>
    <n v="62"/>
    <n v="62"/>
    <n v="1"/>
    <n v="0"/>
    <n v="0"/>
    <n v="0"/>
    <n v="0"/>
    <n v="0"/>
    <n v="0"/>
    <n v="0"/>
    <n v="1"/>
    <n v="0"/>
    <n v="0"/>
    <n v="0"/>
    <n v="0"/>
    <n v="0"/>
    <n v="0"/>
    <n v="0"/>
    <x v="0"/>
    <n v="0"/>
    <n v="0"/>
    <x v="2"/>
    <x v="6"/>
    <x v="2"/>
    <n v="20.261358000000001"/>
    <n v="92.805672999999999"/>
    <n v="220593"/>
    <x v="0"/>
    <m/>
  </r>
  <r>
    <x v="0"/>
    <x v="16"/>
    <x v="17"/>
    <s v="EU"/>
    <x v="1"/>
    <x v="18"/>
    <x v="2"/>
    <x v="257"/>
    <n v="175"/>
    <n v="811"/>
    <d v="2017-01-01T00:00:00"/>
    <d v="2021-12-21T00:00:00"/>
    <m/>
    <m/>
    <m/>
    <m/>
    <m/>
    <m/>
    <m/>
    <m/>
    <m/>
    <m/>
    <m/>
    <m/>
    <m/>
    <m/>
    <m/>
    <m/>
    <m/>
    <m/>
    <m/>
    <m/>
    <m/>
    <m/>
    <m/>
    <m/>
    <m/>
    <m/>
    <m/>
    <m/>
    <m/>
    <m/>
    <m/>
    <m/>
    <m/>
    <m/>
    <m/>
    <m/>
    <m/>
    <x v="1"/>
    <x v="1"/>
    <m/>
    <m/>
    <m/>
    <m/>
    <m/>
    <m/>
    <m/>
    <m/>
    <m/>
    <m/>
    <m/>
    <m/>
    <m/>
    <m/>
    <m/>
    <m/>
    <m/>
    <s v="no test"/>
    <s v="no test"/>
    <x v="1"/>
    <n v="0"/>
    <n v="0"/>
    <n v="0"/>
    <n v="0"/>
    <n v="0"/>
    <n v="0"/>
    <n v="0"/>
    <n v="0"/>
    <n v="0"/>
    <n v="0"/>
    <n v="0"/>
    <n v="0"/>
    <n v="0"/>
    <n v="0"/>
    <n v="1"/>
    <n v="811"/>
    <n v="2"/>
    <n v="2"/>
    <n v="0"/>
    <n v="0"/>
    <n v="0"/>
    <s v="N/A"/>
    <s v="NA"/>
    <n v="135"/>
    <n v="135"/>
    <n v="1"/>
    <n v="0"/>
    <n v="0"/>
    <n v="0"/>
    <n v="0"/>
    <n v="0"/>
    <n v="0"/>
    <n v="0"/>
    <n v="1"/>
    <n v="0"/>
    <n v="0"/>
    <n v="0"/>
    <n v="0"/>
    <n v="0"/>
    <n v="0"/>
    <n v="0"/>
    <x v="0"/>
    <n v="0"/>
    <n v="0"/>
    <x v="2"/>
    <x v="6"/>
    <x v="4"/>
    <n v="20.245159149999999"/>
    <n v="92.807418819999995"/>
    <n v="196137"/>
    <x v="0"/>
    <m/>
  </r>
  <r>
    <x v="0"/>
    <x v="16"/>
    <x v="17"/>
    <s v="EU"/>
    <x v="1"/>
    <x v="18"/>
    <x v="2"/>
    <x v="258"/>
    <n v="355"/>
    <n v="2168"/>
    <d v="2017-01-01T00:00:00"/>
    <d v="2021-12-21T00:00:00"/>
    <m/>
    <m/>
    <m/>
    <m/>
    <m/>
    <m/>
    <m/>
    <m/>
    <m/>
    <m/>
    <m/>
    <m/>
    <m/>
    <m/>
    <m/>
    <m/>
    <m/>
    <m/>
    <m/>
    <m/>
    <m/>
    <m/>
    <m/>
    <m/>
    <m/>
    <m/>
    <m/>
    <m/>
    <m/>
    <m/>
    <m/>
    <m/>
    <m/>
    <m/>
    <m/>
    <m/>
    <m/>
    <x v="1"/>
    <x v="1"/>
    <m/>
    <m/>
    <m/>
    <m/>
    <m/>
    <m/>
    <m/>
    <m/>
    <m/>
    <m/>
    <m/>
    <m/>
    <m/>
    <m/>
    <m/>
    <m/>
    <m/>
    <s v="no test"/>
    <s v="no test"/>
    <x v="1"/>
    <n v="0"/>
    <n v="0"/>
    <n v="0"/>
    <n v="0"/>
    <n v="0"/>
    <n v="0"/>
    <n v="0"/>
    <n v="0"/>
    <n v="0"/>
    <n v="0"/>
    <n v="0"/>
    <n v="0"/>
    <n v="0"/>
    <n v="0"/>
    <n v="1"/>
    <n v="2168"/>
    <n v="4"/>
    <n v="4"/>
    <n v="0"/>
    <n v="0"/>
    <n v="0"/>
    <s v="N/A"/>
    <s v="NA"/>
    <n v="361"/>
    <n v="361"/>
    <n v="1"/>
    <n v="0"/>
    <n v="0"/>
    <n v="0"/>
    <n v="0"/>
    <n v="0"/>
    <n v="0"/>
    <n v="0"/>
    <n v="1"/>
    <n v="0"/>
    <n v="0"/>
    <n v="0"/>
    <n v="0"/>
    <n v="0"/>
    <n v="0"/>
    <n v="0"/>
    <x v="0"/>
    <n v="0"/>
    <n v="0"/>
    <x v="2"/>
    <x v="6"/>
    <x v="2"/>
    <n v="20.246250152587901"/>
    <n v="92.822059631347699"/>
    <n v="196160"/>
    <x v="0"/>
    <m/>
  </r>
  <r>
    <x v="0"/>
    <x v="16"/>
    <x v="17"/>
    <s v="EU"/>
    <x v="1"/>
    <x v="18"/>
    <x v="2"/>
    <x v="259"/>
    <n v="300"/>
    <n v="1369"/>
    <d v="2017-01-01T00:00:00"/>
    <d v="2021-12-21T00:00:00"/>
    <m/>
    <m/>
    <m/>
    <m/>
    <m/>
    <m/>
    <m/>
    <m/>
    <m/>
    <m/>
    <m/>
    <m/>
    <m/>
    <m/>
    <m/>
    <m/>
    <m/>
    <m/>
    <m/>
    <m/>
    <m/>
    <m/>
    <m/>
    <m/>
    <m/>
    <m/>
    <m/>
    <m/>
    <m/>
    <m/>
    <m/>
    <m/>
    <m/>
    <m/>
    <m/>
    <m/>
    <m/>
    <x v="1"/>
    <x v="1"/>
    <m/>
    <m/>
    <m/>
    <m/>
    <m/>
    <m/>
    <m/>
    <m/>
    <m/>
    <m/>
    <m/>
    <m/>
    <m/>
    <m/>
    <m/>
    <m/>
    <m/>
    <s v="no test"/>
    <s v="no test"/>
    <x v="1"/>
    <n v="0"/>
    <n v="0"/>
    <n v="0"/>
    <n v="0"/>
    <n v="0"/>
    <n v="0"/>
    <n v="0"/>
    <n v="0"/>
    <n v="0"/>
    <n v="0"/>
    <n v="0"/>
    <n v="0"/>
    <n v="0"/>
    <n v="0"/>
    <n v="1"/>
    <n v="1369"/>
    <n v="3"/>
    <n v="3"/>
    <n v="0"/>
    <n v="0"/>
    <n v="0"/>
    <s v="N/A"/>
    <s v="NA"/>
    <n v="228"/>
    <n v="228"/>
    <n v="1"/>
    <n v="0"/>
    <n v="0"/>
    <n v="0"/>
    <n v="0"/>
    <n v="0"/>
    <n v="0"/>
    <n v="0"/>
    <n v="1"/>
    <n v="0"/>
    <n v="0"/>
    <n v="0"/>
    <n v="0"/>
    <n v="0"/>
    <n v="0"/>
    <n v="0"/>
    <x v="0"/>
    <n v="0"/>
    <n v="0"/>
    <x v="2"/>
    <x v="6"/>
    <x v="2"/>
    <n v="20.239799499511701"/>
    <n v="92.825088500976605"/>
    <n v="196131"/>
    <x v="0"/>
    <m/>
  </r>
  <r>
    <x v="0"/>
    <x v="16"/>
    <x v="17"/>
    <s v="BMZ"/>
    <x v="1"/>
    <x v="18"/>
    <x v="2"/>
    <x v="260"/>
    <n v="331"/>
    <n v="1473"/>
    <d v="2017-01-01T00:00:00"/>
    <d v="2021-12-21T00:00:00"/>
    <m/>
    <m/>
    <m/>
    <m/>
    <m/>
    <m/>
    <m/>
    <m/>
    <m/>
    <m/>
    <m/>
    <m/>
    <m/>
    <m/>
    <m/>
    <m/>
    <m/>
    <m/>
    <m/>
    <m/>
    <m/>
    <m/>
    <m/>
    <m/>
    <m/>
    <m/>
    <m/>
    <m/>
    <m/>
    <m/>
    <m/>
    <m/>
    <m/>
    <m/>
    <m/>
    <m/>
    <m/>
    <x v="1"/>
    <x v="1"/>
    <m/>
    <m/>
    <m/>
    <m/>
    <m/>
    <m/>
    <m/>
    <m/>
    <m/>
    <m/>
    <m/>
    <m/>
    <m/>
    <m/>
    <m/>
    <m/>
    <m/>
    <s v="no test"/>
    <s v="no test"/>
    <x v="1"/>
    <n v="0"/>
    <n v="0"/>
    <n v="0"/>
    <n v="0"/>
    <n v="0"/>
    <n v="0"/>
    <n v="0"/>
    <n v="0"/>
    <n v="0"/>
    <n v="0"/>
    <n v="0"/>
    <n v="0"/>
    <n v="0"/>
    <n v="0"/>
    <n v="1"/>
    <n v="1473"/>
    <n v="3"/>
    <n v="3"/>
    <n v="0"/>
    <n v="0"/>
    <n v="0"/>
    <s v="N/A"/>
    <s v="NA"/>
    <n v="246"/>
    <n v="246"/>
    <n v="1"/>
    <n v="0"/>
    <n v="0"/>
    <n v="0"/>
    <n v="0"/>
    <n v="0"/>
    <n v="0"/>
    <n v="0"/>
    <n v="1"/>
    <n v="0"/>
    <n v="0"/>
    <n v="0"/>
    <n v="0"/>
    <n v="0"/>
    <n v="0"/>
    <n v="0"/>
    <x v="0"/>
    <n v="0"/>
    <n v="0"/>
    <x v="2"/>
    <x v="6"/>
    <x v="2"/>
    <n v="20.128850936889599"/>
    <n v="92.872497558593807"/>
    <n v="196208"/>
    <x v="0"/>
    <m/>
  </r>
  <r>
    <x v="0"/>
    <x v="17"/>
    <x v="18"/>
    <s v="DFID/HARP"/>
    <x v="1"/>
    <x v="18"/>
    <x v="2"/>
    <x v="261"/>
    <n v="200"/>
    <n v="1065"/>
    <m/>
    <d v="2020-09-30T00:00:00"/>
    <m/>
    <m/>
    <m/>
    <s v=" -   "/>
    <m/>
    <m/>
    <m/>
    <m/>
    <m/>
    <m/>
    <n v="7"/>
    <m/>
    <m/>
    <s v=" -   "/>
    <m/>
    <m/>
    <m/>
    <m/>
    <m/>
    <m/>
    <m/>
    <n v="7"/>
    <n v="6"/>
    <m/>
    <n v="9"/>
    <m/>
    <m/>
    <m/>
    <m/>
    <m/>
    <m/>
    <m/>
    <m/>
    <n v="0"/>
    <n v="0"/>
    <m/>
    <m/>
    <x v="0"/>
    <x v="2"/>
    <m/>
    <m/>
    <m/>
    <m/>
    <m/>
    <m/>
    <m/>
    <m/>
    <m/>
    <m/>
    <m/>
    <n v="0"/>
    <n v="0"/>
    <m/>
    <n v="22"/>
    <m/>
    <m/>
    <n v="0"/>
    <n v="0"/>
    <x v="0"/>
    <n v="0"/>
    <n v="7"/>
    <n v="0"/>
    <n v="0"/>
    <n v="0"/>
    <n v="1"/>
    <n v="1"/>
    <n v="1"/>
    <n v="1065"/>
    <n v="0"/>
    <n v="0"/>
    <n v="1"/>
    <n v="1065"/>
    <n v="2.13"/>
    <n v="0"/>
    <n v="0"/>
    <n v="0"/>
    <n v="2"/>
    <n v="0"/>
    <n v="0"/>
    <n v="0"/>
    <s v="N/A"/>
    <s v="NA"/>
    <n v="178"/>
    <n v="178"/>
    <n v="1"/>
    <n v="0"/>
    <n v="0"/>
    <n v="0"/>
    <n v="0"/>
    <n v="0"/>
    <n v="0"/>
    <n v="0"/>
    <n v="1"/>
    <n v="0"/>
    <n v="0"/>
    <n v="0"/>
    <n v="0"/>
    <n v="0"/>
    <n v="0"/>
    <n v="0"/>
    <x v="0"/>
    <n v="0"/>
    <n v="0"/>
    <x v="2"/>
    <x v="6"/>
    <x v="3"/>
    <n v="20.197549819999999"/>
    <n v="92.785682679999994"/>
    <n v="196156"/>
    <x v="0"/>
    <m/>
  </r>
  <r>
    <x v="0"/>
    <x v="16"/>
    <x v="17"/>
    <s v="EU"/>
    <x v="1"/>
    <x v="18"/>
    <x v="2"/>
    <x v="262"/>
    <n v="326"/>
    <n v="4476"/>
    <d v="2017-01-01T00:00:00"/>
    <d v="2021-12-21T00:00:00"/>
    <m/>
    <m/>
    <m/>
    <m/>
    <m/>
    <m/>
    <m/>
    <m/>
    <m/>
    <m/>
    <m/>
    <m/>
    <m/>
    <m/>
    <m/>
    <m/>
    <m/>
    <m/>
    <m/>
    <m/>
    <m/>
    <m/>
    <m/>
    <m/>
    <m/>
    <m/>
    <m/>
    <m/>
    <m/>
    <m/>
    <m/>
    <m/>
    <m/>
    <m/>
    <m/>
    <m/>
    <m/>
    <x v="1"/>
    <x v="1"/>
    <m/>
    <m/>
    <m/>
    <m/>
    <m/>
    <m/>
    <m/>
    <m/>
    <m/>
    <m/>
    <m/>
    <m/>
    <m/>
    <m/>
    <m/>
    <m/>
    <m/>
    <s v="no test"/>
    <s v="no test"/>
    <x v="1"/>
    <n v="0"/>
    <n v="0"/>
    <n v="0"/>
    <n v="0"/>
    <n v="0"/>
    <n v="0"/>
    <n v="0"/>
    <n v="0"/>
    <n v="0"/>
    <n v="0"/>
    <n v="0"/>
    <n v="0"/>
    <n v="0"/>
    <n v="0"/>
    <n v="1"/>
    <n v="4476"/>
    <n v="9"/>
    <n v="9"/>
    <n v="0"/>
    <n v="0"/>
    <n v="0"/>
    <s v="N/A"/>
    <s v="NA"/>
    <n v="746"/>
    <n v="746"/>
    <n v="1"/>
    <n v="0"/>
    <n v="0"/>
    <n v="0"/>
    <n v="0"/>
    <n v="0"/>
    <n v="0"/>
    <n v="0"/>
    <n v="1"/>
    <n v="0"/>
    <n v="0"/>
    <n v="0"/>
    <n v="0"/>
    <n v="0"/>
    <n v="0"/>
    <n v="0"/>
    <x v="0"/>
    <n v="0"/>
    <n v="0"/>
    <x v="2"/>
    <x v="6"/>
    <x v="2"/>
    <n v="20.142469406127901"/>
    <n v="92.863967895507798"/>
    <n v="196203"/>
    <x v="0"/>
    <m/>
  </r>
  <r>
    <x v="0"/>
    <x v="16"/>
    <x v="17"/>
    <s v="EU"/>
    <x v="1"/>
    <x v="18"/>
    <x v="2"/>
    <x v="263"/>
    <n v="335"/>
    <n v="1867"/>
    <d v="2017-01-01T00:00:00"/>
    <d v="2021-12-21T00:00:00"/>
    <m/>
    <m/>
    <m/>
    <m/>
    <m/>
    <m/>
    <m/>
    <m/>
    <m/>
    <m/>
    <m/>
    <m/>
    <m/>
    <m/>
    <m/>
    <m/>
    <m/>
    <m/>
    <m/>
    <m/>
    <m/>
    <m/>
    <m/>
    <m/>
    <m/>
    <m/>
    <m/>
    <m/>
    <m/>
    <m/>
    <m/>
    <m/>
    <m/>
    <m/>
    <m/>
    <m/>
    <m/>
    <x v="1"/>
    <x v="1"/>
    <m/>
    <m/>
    <m/>
    <m/>
    <m/>
    <m/>
    <m/>
    <m/>
    <m/>
    <m/>
    <m/>
    <m/>
    <m/>
    <m/>
    <m/>
    <m/>
    <m/>
    <s v="no test"/>
    <s v="no test"/>
    <x v="1"/>
    <n v="0"/>
    <n v="0"/>
    <n v="0"/>
    <n v="0"/>
    <n v="0"/>
    <n v="0"/>
    <n v="0"/>
    <n v="0"/>
    <n v="0"/>
    <n v="0"/>
    <n v="0"/>
    <n v="0"/>
    <n v="0"/>
    <n v="0"/>
    <n v="1"/>
    <n v="1867"/>
    <n v="4"/>
    <n v="4"/>
    <n v="0"/>
    <n v="0"/>
    <n v="0"/>
    <s v="N/A"/>
    <s v="NA"/>
    <n v="311"/>
    <n v="311"/>
    <n v="1"/>
    <n v="0"/>
    <n v="0"/>
    <n v="0"/>
    <n v="0"/>
    <n v="0"/>
    <n v="0"/>
    <n v="0"/>
    <n v="1"/>
    <n v="0"/>
    <n v="0"/>
    <n v="0"/>
    <n v="0"/>
    <n v="0"/>
    <n v="0"/>
    <n v="0"/>
    <x v="0"/>
    <n v="0"/>
    <n v="0"/>
    <x v="2"/>
    <x v="6"/>
    <x v="2"/>
    <n v="20.170469284057599"/>
    <n v="92.8343505859375"/>
    <n v="196202"/>
    <x v="0"/>
    <m/>
  </r>
  <r>
    <x v="0"/>
    <x v="16"/>
    <x v="17"/>
    <s v="EU"/>
    <x v="1"/>
    <x v="18"/>
    <x v="2"/>
    <x v="264"/>
    <n v="863"/>
    <n v="3768"/>
    <d v="2017-01-01T00:00:00"/>
    <d v="2021-12-21T00:00:00"/>
    <m/>
    <m/>
    <m/>
    <m/>
    <m/>
    <m/>
    <m/>
    <m/>
    <m/>
    <m/>
    <m/>
    <m/>
    <m/>
    <m/>
    <m/>
    <m/>
    <m/>
    <m/>
    <m/>
    <m/>
    <m/>
    <m/>
    <m/>
    <m/>
    <m/>
    <m/>
    <m/>
    <m/>
    <m/>
    <m/>
    <m/>
    <m/>
    <m/>
    <m/>
    <m/>
    <m/>
    <m/>
    <x v="1"/>
    <x v="1"/>
    <m/>
    <m/>
    <m/>
    <m/>
    <m/>
    <m/>
    <m/>
    <m/>
    <m/>
    <m/>
    <m/>
    <m/>
    <m/>
    <m/>
    <m/>
    <m/>
    <m/>
    <s v="no test"/>
    <s v="no test"/>
    <x v="1"/>
    <n v="0"/>
    <n v="0"/>
    <n v="0"/>
    <n v="0"/>
    <n v="0"/>
    <n v="0"/>
    <n v="0"/>
    <n v="0"/>
    <n v="0"/>
    <n v="0"/>
    <n v="0"/>
    <n v="0"/>
    <n v="0"/>
    <n v="0"/>
    <n v="1"/>
    <n v="3768"/>
    <n v="8"/>
    <n v="8"/>
    <n v="0"/>
    <n v="0"/>
    <n v="0"/>
    <s v="N/A"/>
    <s v="NA"/>
    <n v="628"/>
    <n v="628"/>
    <n v="1"/>
    <n v="0"/>
    <n v="0"/>
    <n v="0"/>
    <n v="0"/>
    <n v="0"/>
    <n v="0"/>
    <n v="0"/>
    <n v="1"/>
    <n v="0"/>
    <n v="0"/>
    <n v="0"/>
    <n v="0"/>
    <n v="0"/>
    <n v="0"/>
    <n v="0"/>
    <x v="0"/>
    <n v="0"/>
    <n v="0"/>
    <x v="2"/>
    <x v="6"/>
    <x v="2"/>
    <n v="20.168970108032202"/>
    <n v="92.826896667480497"/>
    <n v="196206"/>
    <x v="0"/>
    <m/>
  </r>
  <r>
    <x v="0"/>
    <x v="16"/>
    <x v="17"/>
    <s v="EU"/>
    <x v="1"/>
    <x v="18"/>
    <x v="2"/>
    <x v="265"/>
    <n v="310"/>
    <n v="1750"/>
    <d v="2017-01-01T00:00:00"/>
    <d v="2021-12-21T00:00:00"/>
    <m/>
    <m/>
    <m/>
    <m/>
    <m/>
    <m/>
    <m/>
    <m/>
    <m/>
    <m/>
    <m/>
    <m/>
    <m/>
    <m/>
    <m/>
    <m/>
    <m/>
    <m/>
    <m/>
    <m/>
    <m/>
    <m/>
    <m/>
    <m/>
    <m/>
    <m/>
    <m/>
    <m/>
    <m/>
    <m/>
    <m/>
    <m/>
    <m/>
    <m/>
    <m/>
    <m/>
    <m/>
    <x v="1"/>
    <x v="1"/>
    <m/>
    <m/>
    <m/>
    <m/>
    <m/>
    <m/>
    <m/>
    <m/>
    <m/>
    <m/>
    <m/>
    <m/>
    <m/>
    <m/>
    <m/>
    <m/>
    <m/>
    <s v="no test"/>
    <s v="no test"/>
    <x v="1"/>
    <n v="0"/>
    <n v="0"/>
    <n v="0"/>
    <n v="0"/>
    <n v="0"/>
    <n v="0"/>
    <n v="0"/>
    <n v="0"/>
    <n v="0"/>
    <n v="0"/>
    <n v="0"/>
    <n v="0"/>
    <n v="0"/>
    <n v="0"/>
    <n v="1"/>
    <n v="1750"/>
    <n v="4"/>
    <n v="4"/>
    <n v="0"/>
    <n v="0"/>
    <n v="0"/>
    <s v="N/A"/>
    <s v="NA"/>
    <n v="292"/>
    <n v="292"/>
    <n v="1"/>
    <n v="0"/>
    <n v="0"/>
    <n v="0"/>
    <n v="0"/>
    <n v="0"/>
    <n v="0"/>
    <n v="0"/>
    <n v="1"/>
    <n v="0"/>
    <n v="0"/>
    <n v="0"/>
    <n v="0"/>
    <n v="0"/>
    <n v="0"/>
    <n v="0"/>
    <x v="0"/>
    <n v="0"/>
    <n v="0"/>
    <x v="2"/>
    <x v="6"/>
    <x v="2"/>
    <n v="0"/>
    <n v="0"/>
    <n v="0"/>
    <x v="0"/>
    <m/>
  </r>
  <r>
    <x v="0"/>
    <x v="16"/>
    <x v="17"/>
    <s v="EU"/>
    <x v="1"/>
    <x v="19"/>
    <x v="2"/>
    <x v="266"/>
    <n v="125"/>
    <n v="513"/>
    <d v="2017-01-01T00:00:00"/>
    <d v="2021-12-21T00:00:00"/>
    <m/>
    <m/>
    <m/>
    <m/>
    <m/>
    <m/>
    <m/>
    <m/>
    <m/>
    <m/>
    <m/>
    <m/>
    <m/>
    <m/>
    <m/>
    <m/>
    <m/>
    <m/>
    <m/>
    <m/>
    <m/>
    <m/>
    <m/>
    <m/>
    <m/>
    <m/>
    <m/>
    <m/>
    <m/>
    <m/>
    <m/>
    <m/>
    <m/>
    <m/>
    <m/>
    <m/>
    <m/>
    <x v="1"/>
    <x v="1"/>
    <m/>
    <m/>
    <m/>
    <m/>
    <m/>
    <m/>
    <m/>
    <m/>
    <m/>
    <m/>
    <m/>
    <m/>
    <m/>
    <m/>
    <m/>
    <m/>
    <m/>
    <s v="no test"/>
    <s v="no test"/>
    <x v="1"/>
    <n v="0"/>
    <n v="0"/>
    <n v="0"/>
    <n v="0"/>
    <n v="0"/>
    <n v="0"/>
    <n v="0"/>
    <n v="0"/>
    <n v="0"/>
    <n v="0"/>
    <n v="0"/>
    <n v="0"/>
    <n v="0"/>
    <n v="0"/>
    <n v="1"/>
    <n v="513"/>
    <n v="1"/>
    <n v="1"/>
    <n v="0"/>
    <n v="0"/>
    <n v="0"/>
    <s v="N/A"/>
    <s v="NA"/>
    <n v="86"/>
    <n v="86"/>
    <n v="1"/>
    <n v="0"/>
    <n v="0"/>
    <n v="0"/>
    <n v="0"/>
    <n v="0"/>
    <n v="0"/>
    <n v="0"/>
    <n v="1"/>
    <n v="0"/>
    <n v="0"/>
    <n v="0"/>
    <n v="0"/>
    <n v="0"/>
    <n v="0"/>
    <n v="0"/>
    <x v="0"/>
    <n v="0"/>
    <n v="0"/>
    <x v="2"/>
    <x v="11"/>
    <x v="3"/>
    <n v="20.39902"/>
    <n v="93.249669999999995"/>
    <s v="MMR012CMP003"/>
    <x v="0"/>
    <m/>
  </r>
  <r>
    <x v="0"/>
    <x v="16"/>
    <x v="17"/>
    <s v="BMZ"/>
    <x v="1"/>
    <x v="18"/>
    <x v="2"/>
    <x v="267"/>
    <n v="92"/>
    <n v="715"/>
    <d v="2017-01-01T00:00:00"/>
    <d v="2021-12-21T00:00:00"/>
    <m/>
    <m/>
    <m/>
    <m/>
    <m/>
    <m/>
    <m/>
    <m/>
    <m/>
    <m/>
    <m/>
    <m/>
    <m/>
    <m/>
    <m/>
    <m/>
    <m/>
    <m/>
    <m/>
    <m/>
    <m/>
    <m/>
    <m/>
    <m/>
    <m/>
    <m/>
    <m/>
    <m/>
    <m/>
    <m/>
    <m/>
    <m/>
    <m/>
    <m/>
    <m/>
    <m/>
    <m/>
    <x v="1"/>
    <x v="1"/>
    <m/>
    <m/>
    <m/>
    <m/>
    <m/>
    <m/>
    <m/>
    <m/>
    <m/>
    <m/>
    <m/>
    <m/>
    <m/>
    <m/>
    <m/>
    <m/>
    <m/>
    <s v="no test"/>
    <s v="no test"/>
    <x v="1"/>
    <n v="0"/>
    <n v="0"/>
    <n v="0"/>
    <n v="0"/>
    <n v="0"/>
    <n v="0"/>
    <n v="0"/>
    <n v="0"/>
    <n v="0"/>
    <n v="0"/>
    <n v="0"/>
    <n v="0"/>
    <n v="0"/>
    <n v="0"/>
    <n v="1"/>
    <n v="715"/>
    <n v="1"/>
    <n v="1"/>
    <n v="0"/>
    <n v="0"/>
    <n v="0"/>
    <s v="N/A"/>
    <s v="NA"/>
    <n v="119"/>
    <n v="119"/>
    <n v="1"/>
    <n v="0"/>
    <n v="0"/>
    <n v="0"/>
    <n v="0"/>
    <n v="0"/>
    <n v="0"/>
    <n v="0"/>
    <n v="1"/>
    <n v="0"/>
    <n v="0"/>
    <n v="0"/>
    <n v="0"/>
    <n v="0"/>
    <n v="0"/>
    <n v="0"/>
    <x v="0"/>
    <n v="0"/>
    <n v="0"/>
    <x v="2"/>
    <x v="6"/>
    <x v="2"/>
    <n v="20.172649383544901"/>
    <n v="92.874351501464801"/>
    <n v="196195"/>
    <x v="0"/>
    <m/>
  </r>
  <r>
    <x v="0"/>
    <x v="16"/>
    <x v="17"/>
    <s v="BMZ"/>
    <x v="1"/>
    <x v="18"/>
    <x v="2"/>
    <x v="268"/>
    <n v="381"/>
    <n v="2256"/>
    <d v="2017-01-01T00:00:00"/>
    <d v="2021-12-21T00:00:00"/>
    <m/>
    <m/>
    <m/>
    <m/>
    <m/>
    <m/>
    <m/>
    <m/>
    <m/>
    <m/>
    <m/>
    <m/>
    <m/>
    <m/>
    <m/>
    <m/>
    <m/>
    <m/>
    <m/>
    <m/>
    <m/>
    <m/>
    <m/>
    <m/>
    <m/>
    <m/>
    <m/>
    <m/>
    <m/>
    <m/>
    <m/>
    <m/>
    <m/>
    <m/>
    <m/>
    <m/>
    <m/>
    <x v="1"/>
    <x v="1"/>
    <m/>
    <m/>
    <m/>
    <m/>
    <m/>
    <m/>
    <m/>
    <m/>
    <m/>
    <m/>
    <m/>
    <m/>
    <m/>
    <m/>
    <m/>
    <m/>
    <m/>
    <s v="no test"/>
    <s v="no test"/>
    <x v="1"/>
    <n v="0"/>
    <n v="0"/>
    <n v="0"/>
    <n v="0"/>
    <n v="0"/>
    <n v="0"/>
    <n v="0"/>
    <n v="0"/>
    <n v="0"/>
    <n v="0"/>
    <n v="0"/>
    <n v="0"/>
    <n v="0"/>
    <n v="0"/>
    <n v="1"/>
    <n v="2256"/>
    <n v="5"/>
    <n v="5"/>
    <n v="0"/>
    <n v="0"/>
    <n v="0"/>
    <s v="N/A"/>
    <s v="NA"/>
    <n v="376"/>
    <n v="376"/>
    <n v="1"/>
    <n v="0"/>
    <n v="0"/>
    <n v="0"/>
    <n v="0"/>
    <n v="0"/>
    <n v="0"/>
    <n v="0"/>
    <n v="1"/>
    <n v="0"/>
    <n v="0"/>
    <n v="0"/>
    <n v="0"/>
    <n v="0"/>
    <n v="0"/>
    <n v="0"/>
    <x v="0"/>
    <n v="0"/>
    <n v="0"/>
    <x v="2"/>
    <x v="6"/>
    <x v="2"/>
    <n v="20.183790210000002"/>
    <n v="92.864143369999994"/>
    <n v="196197"/>
    <x v="0"/>
    <m/>
  </r>
  <r>
    <x v="0"/>
    <x v="16"/>
    <x v="17"/>
    <s v="BMZ"/>
    <x v="1"/>
    <x v="18"/>
    <x v="2"/>
    <x v="269"/>
    <n v="2100"/>
    <n v="12993"/>
    <d v="2017-01-01T00:00:00"/>
    <d v="2021-12-21T00:00:00"/>
    <m/>
    <m/>
    <m/>
    <m/>
    <m/>
    <m/>
    <m/>
    <m/>
    <m/>
    <m/>
    <m/>
    <m/>
    <m/>
    <m/>
    <m/>
    <m/>
    <m/>
    <m/>
    <m/>
    <m/>
    <m/>
    <m/>
    <m/>
    <m/>
    <m/>
    <m/>
    <m/>
    <m/>
    <m/>
    <m/>
    <m/>
    <m/>
    <m/>
    <m/>
    <m/>
    <m/>
    <m/>
    <x v="1"/>
    <x v="1"/>
    <m/>
    <m/>
    <m/>
    <m/>
    <m/>
    <m/>
    <m/>
    <m/>
    <m/>
    <m/>
    <m/>
    <m/>
    <m/>
    <m/>
    <m/>
    <m/>
    <m/>
    <s v="no test"/>
    <s v="no test"/>
    <x v="1"/>
    <n v="0"/>
    <n v="0"/>
    <n v="0"/>
    <n v="0"/>
    <n v="0"/>
    <n v="0"/>
    <n v="0"/>
    <n v="0"/>
    <n v="0"/>
    <n v="0"/>
    <n v="0"/>
    <n v="0"/>
    <n v="0"/>
    <n v="0"/>
    <n v="1"/>
    <n v="12993"/>
    <n v="26"/>
    <n v="26"/>
    <n v="0"/>
    <n v="0"/>
    <n v="0"/>
    <s v="N/A"/>
    <s v="NA"/>
    <n v="2166"/>
    <n v="2166"/>
    <n v="1"/>
    <n v="0"/>
    <n v="0"/>
    <n v="0"/>
    <n v="0"/>
    <n v="0"/>
    <n v="0"/>
    <n v="0"/>
    <n v="1"/>
    <n v="0"/>
    <n v="0"/>
    <n v="0"/>
    <n v="0"/>
    <n v="0"/>
    <n v="0"/>
    <n v="0"/>
    <x v="0"/>
    <n v="0"/>
    <n v="0"/>
    <x v="2"/>
    <x v="6"/>
    <x v="3"/>
    <n v="0"/>
    <n v="0"/>
    <n v="0"/>
    <x v="0"/>
    <m/>
  </r>
  <r>
    <x v="0"/>
    <x v="16"/>
    <x v="17"/>
    <s v="EU"/>
    <x v="1"/>
    <x v="19"/>
    <x v="2"/>
    <x v="270"/>
    <n v="325"/>
    <n v="1923"/>
    <d v="2017-01-01T00:00:00"/>
    <d v="2021-12-21T00:00:00"/>
    <m/>
    <m/>
    <m/>
    <m/>
    <m/>
    <m/>
    <m/>
    <m/>
    <m/>
    <m/>
    <m/>
    <m/>
    <m/>
    <m/>
    <m/>
    <m/>
    <m/>
    <m/>
    <m/>
    <m/>
    <m/>
    <m/>
    <m/>
    <m/>
    <m/>
    <m/>
    <m/>
    <m/>
    <m/>
    <m/>
    <m/>
    <m/>
    <m/>
    <m/>
    <m/>
    <m/>
    <m/>
    <x v="1"/>
    <x v="1"/>
    <m/>
    <m/>
    <m/>
    <m/>
    <m/>
    <m/>
    <m/>
    <m/>
    <m/>
    <m/>
    <m/>
    <m/>
    <m/>
    <m/>
    <m/>
    <m/>
    <m/>
    <s v="no test"/>
    <s v="no test"/>
    <x v="1"/>
    <n v="0"/>
    <n v="0"/>
    <n v="0"/>
    <n v="0"/>
    <n v="0"/>
    <n v="0"/>
    <n v="0"/>
    <n v="0"/>
    <n v="0"/>
    <n v="0"/>
    <n v="0"/>
    <n v="0"/>
    <n v="0"/>
    <n v="0"/>
    <n v="1"/>
    <n v="1923"/>
    <n v="4"/>
    <n v="4"/>
    <n v="0"/>
    <n v="0"/>
    <n v="0"/>
    <s v="N/A"/>
    <s v="NA"/>
    <n v="321"/>
    <n v="321"/>
    <n v="1"/>
    <n v="0"/>
    <n v="0"/>
    <n v="0"/>
    <n v="0"/>
    <n v="0"/>
    <n v="0"/>
    <n v="0"/>
    <n v="1"/>
    <n v="0"/>
    <n v="0"/>
    <n v="0"/>
    <n v="0"/>
    <n v="0"/>
    <n v="0"/>
    <n v="0"/>
    <x v="0"/>
    <n v="0"/>
    <n v="0"/>
    <x v="2"/>
    <x v="6"/>
    <x v="3"/>
    <n v="0"/>
    <n v="0"/>
    <n v="196999"/>
    <x v="0"/>
    <m/>
  </r>
  <r>
    <x v="0"/>
    <x v="16"/>
    <x v="17"/>
    <s v="EU"/>
    <x v="1"/>
    <x v="19"/>
    <x v="2"/>
    <x v="271"/>
    <n v="146"/>
    <n v="801"/>
    <d v="2017-01-01T00:00:00"/>
    <d v="2021-12-21T00:00:00"/>
    <m/>
    <m/>
    <m/>
    <m/>
    <m/>
    <m/>
    <m/>
    <m/>
    <m/>
    <m/>
    <m/>
    <m/>
    <m/>
    <m/>
    <m/>
    <m/>
    <m/>
    <m/>
    <m/>
    <m/>
    <m/>
    <m/>
    <m/>
    <m/>
    <m/>
    <m/>
    <m/>
    <m/>
    <m/>
    <m/>
    <m/>
    <m/>
    <m/>
    <m/>
    <m/>
    <m/>
    <m/>
    <x v="1"/>
    <x v="1"/>
    <m/>
    <m/>
    <m/>
    <m/>
    <m/>
    <m/>
    <m/>
    <m/>
    <m/>
    <m/>
    <m/>
    <m/>
    <m/>
    <m/>
    <m/>
    <m/>
    <m/>
    <s v="no test"/>
    <s v="no test"/>
    <x v="1"/>
    <n v="0"/>
    <n v="0"/>
    <n v="0"/>
    <n v="0"/>
    <n v="0"/>
    <n v="0"/>
    <n v="0"/>
    <n v="0"/>
    <n v="0"/>
    <n v="0"/>
    <n v="0"/>
    <n v="0"/>
    <n v="0"/>
    <n v="0"/>
    <n v="1"/>
    <n v="801"/>
    <n v="2"/>
    <n v="2"/>
    <n v="0"/>
    <n v="0"/>
    <n v="0"/>
    <s v="N/A"/>
    <s v="NA"/>
    <n v="134"/>
    <n v="134"/>
    <n v="1"/>
    <n v="0"/>
    <n v="0"/>
    <n v="0"/>
    <n v="0"/>
    <n v="0"/>
    <n v="0"/>
    <n v="0"/>
    <n v="1"/>
    <n v="0"/>
    <n v="0"/>
    <n v="0"/>
    <n v="0"/>
    <n v="0"/>
    <n v="0"/>
    <n v="0"/>
    <x v="0"/>
    <n v="0"/>
    <n v="0"/>
    <x v="2"/>
    <x v="6"/>
    <x v="2"/>
    <n v="0"/>
    <n v="0"/>
    <n v="197017"/>
    <x v="0"/>
    <m/>
  </r>
  <r>
    <x v="0"/>
    <x v="16"/>
    <x v="17"/>
    <s v="EU"/>
    <x v="1"/>
    <x v="19"/>
    <x v="2"/>
    <x v="272"/>
    <n v="31"/>
    <n v="156"/>
    <d v="2017-01-01T00:00:00"/>
    <d v="2021-12-21T00:00:00"/>
    <m/>
    <m/>
    <m/>
    <m/>
    <m/>
    <m/>
    <m/>
    <m/>
    <m/>
    <m/>
    <m/>
    <m/>
    <m/>
    <m/>
    <m/>
    <m/>
    <m/>
    <m/>
    <m/>
    <m/>
    <m/>
    <m/>
    <m/>
    <m/>
    <m/>
    <m/>
    <m/>
    <m/>
    <m/>
    <m/>
    <m/>
    <m/>
    <m/>
    <m/>
    <m/>
    <m/>
    <m/>
    <x v="1"/>
    <x v="1"/>
    <m/>
    <m/>
    <m/>
    <m/>
    <m/>
    <m/>
    <m/>
    <m/>
    <m/>
    <m/>
    <m/>
    <m/>
    <m/>
    <m/>
    <m/>
    <m/>
    <m/>
    <s v="no test"/>
    <s v="no test"/>
    <x v="1"/>
    <n v="0"/>
    <n v="0"/>
    <n v="0"/>
    <n v="0"/>
    <n v="0"/>
    <n v="0"/>
    <n v="0"/>
    <n v="0"/>
    <n v="0"/>
    <n v="0"/>
    <n v="0"/>
    <n v="0"/>
    <n v="0"/>
    <n v="0"/>
    <n v="1"/>
    <n v="156"/>
    <n v="1"/>
    <n v="1"/>
    <n v="0"/>
    <n v="0"/>
    <n v="0"/>
    <s v="N/A"/>
    <s v="NA"/>
    <n v="26"/>
    <n v="26"/>
    <n v="1"/>
    <n v="0"/>
    <n v="0"/>
    <n v="0"/>
    <n v="0"/>
    <n v="0"/>
    <n v="0"/>
    <n v="0"/>
    <n v="1"/>
    <n v="0"/>
    <n v="0"/>
    <n v="0"/>
    <n v="0"/>
    <n v="0"/>
    <n v="0"/>
    <n v="0"/>
    <x v="0"/>
    <n v="0"/>
    <n v="0"/>
    <x v="2"/>
    <x v="6"/>
    <x v="2"/>
    <n v="0"/>
    <n v="0"/>
    <n v="197022"/>
    <x v="0"/>
    <m/>
  </r>
  <r>
    <x v="0"/>
    <x v="16"/>
    <x v="17"/>
    <s v="EU"/>
    <x v="1"/>
    <x v="19"/>
    <x v="2"/>
    <x v="273"/>
    <n v="96"/>
    <n v="329"/>
    <d v="2017-01-01T00:00:00"/>
    <d v="2021-12-21T00:00:00"/>
    <m/>
    <m/>
    <m/>
    <m/>
    <m/>
    <m/>
    <m/>
    <m/>
    <m/>
    <m/>
    <m/>
    <m/>
    <m/>
    <m/>
    <m/>
    <m/>
    <m/>
    <m/>
    <m/>
    <m/>
    <m/>
    <m/>
    <m/>
    <m/>
    <m/>
    <m/>
    <m/>
    <m/>
    <m/>
    <m/>
    <m/>
    <m/>
    <m/>
    <m/>
    <m/>
    <m/>
    <m/>
    <x v="1"/>
    <x v="1"/>
    <m/>
    <m/>
    <m/>
    <m/>
    <m/>
    <m/>
    <m/>
    <m/>
    <m/>
    <m/>
    <m/>
    <m/>
    <m/>
    <m/>
    <m/>
    <m/>
    <m/>
    <s v="no test"/>
    <s v="no test"/>
    <x v="1"/>
    <n v="0"/>
    <n v="0"/>
    <n v="0"/>
    <n v="0"/>
    <n v="0"/>
    <n v="0"/>
    <n v="0"/>
    <n v="0"/>
    <n v="0"/>
    <n v="0"/>
    <n v="0"/>
    <n v="0"/>
    <n v="0"/>
    <n v="0"/>
    <n v="1"/>
    <n v="329"/>
    <n v="1"/>
    <n v="1"/>
    <n v="0"/>
    <n v="0"/>
    <n v="0"/>
    <s v="N/A"/>
    <s v="NA"/>
    <n v="55"/>
    <n v="55"/>
    <n v="1"/>
    <n v="0"/>
    <n v="0"/>
    <n v="0"/>
    <n v="0"/>
    <n v="0"/>
    <n v="0"/>
    <n v="0"/>
    <n v="1"/>
    <n v="0"/>
    <n v="0"/>
    <n v="0"/>
    <n v="0"/>
    <n v="0"/>
    <n v="0"/>
    <n v="0"/>
    <x v="0"/>
    <n v="0"/>
    <n v="0"/>
    <x v="2"/>
    <x v="6"/>
    <x v="2"/>
    <n v="0"/>
    <n v="0"/>
    <n v="197020"/>
    <x v="0"/>
    <m/>
  </r>
  <r>
    <x v="0"/>
    <x v="16"/>
    <x v="17"/>
    <s v="EU"/>
    <x v="1"/>
    <x v="19"/>
    <x v="2"/>
    <x v="274"/>
    <n v="37"/>
    <n v="119"/>
    <d v="2017-01-01T00:00:00"/>
    <d v="2021-12-21T00:00:00"/>
    <m/>
    <m/>
    <m/>
    <m/>
    <m/>
    <m/>
    <m/>
    <m/>
    <m/>
    <m/>
    <m/>
    <m/>
    <m/>
    <m/>
    <m/>
    <m/>
    <m/>
    <m/>
    <m/>
    <m/>
    <m/>
    <m/>
    <m/>
    <m/>
    <m/>
    <m/>
    <m/>
    <m/>
    <m/>
    <m/>
    <m/>
    <m/>
    <m/>
    <m/>
    <m/>
    <m/>
    <m/>
    <x v="1"/>
    <x v="1"/>
    <m/>
    <m/>
    <m/>
    <m/>
    <m/>
    <m/>
    <m/>
    <m/>
    <m/>
    <m/>
    <m/>
    <m/>
    <m/>
    <m/>
    <m/>
    <m/>
    <m/>
    <s v="no test"/>
    <s v="no test"/>
    <x v="1"/>
    <n v="0"/>
    <n v="0"/>
    <n v="0"/>
    <n v="0"/>
    <n v="0"/>
    <n v="0"/>
    <n v="0"/>
    <n v="0"/>
    <n v="0"/>
    <n v="0"/>
    <n v="0"/>
    <n v="0"/>
    <n v="0"/>
    <n v="0"/>
    <n v="1"/>
    <n v="119"/>
    <n v="1"/>
    <n v="1"/>
    <n v="0"/>
    <n v="0"/>
    <n v="0"/>
    <s v="N/A"/>
    <s v="NA"/>
    <n v="20"/>
    <n v="20"/>
    <n v="1"/>
    <n v="0"/>
    <n v="0"/>
    <n v="0"/>
    <n v="0"/>
    <n v="0"/>
    <n v="0"/>
    <n v="0"/>
    <n v="1"/>
    <n v="0"/>
    <n v="0"/>
    <n v="0"/>
    <n v="0"/>
    <n v="0"/>
    <n v="0"/>
    <n v="0"/>
    <x v="0"/>
    <n v="0"/>
    <n v="0"/>
    <x v="2"/>
    <x v="6"/>
    <x v="2"/>
    <n v="0"/>
    <n v="0"/>
    <n v="197027"/>
    <x v="0"/>
    <m/>
  </r>
  <r>
    <x v="0"/>
    <x v="16"/>
    <x v="17"/>
    <s v="EU"/>
    <x v="1"/>
    <x v="19"/>
    <x v="2"/>
    <x v="275"/>
    <n v="167"/>
    <n v="1027"/>
    <d v="2017-01-01T00:00:00"/>
    <d v="2021-12-21T00:00:00"/>
    <m/>
    <m/>
    <m/>
    <m/>
    <m/>
    <m/>
    <m/>
    <m/>
    <m/>
    <m/>
    <m/>
    <m/>
    <m/>
    <m/>
    <m/>
    <m/>
    <m/>
    <m/>
    <m/>
    <m/>
    <m/>
    <m/>
    <m/>
    <m/>
    <m/>
    <m/>
    <m/>
    <m/>
    <m/>
    <m/>
    <m/>
    <m/>
    <m/>
    <m/>
    <m/>
    <m/>
    <m/>
    <x v="1"/>
    <x v="1"/>
    <m/>
    <m/>
    <m/>
    <m/>
    <m/>
    <m/>
    <m/>
    <m/>
    <m/>
    <m/>
    <m/>
    <m/>
    <m/>
    <m/>
    <m/>
    <m/>
    <m/>
    <s v="no test"/>
    <s v="no test"/>
    <x v="1"/>
    <n v="0"/>
    <n v="0"/>
    <n v="0"/>
    <n v="0"/>
    <n v="0"/>
    <n v="0"/>
    <n v="0"/>
    <n v="0"/>
    <n v="0"/>
    <n v="0"/>
    <n v="0"/>
    <n v="0"/>
    <n v="0"/>
    <n v="0"/>
    <n v="1"/>
    <n v="1027"/>
    <n v="2"/>
    <n v="2"/>
    <n v="0"/>
    <n v="0"/>
    <n v="0"/>
    <s v="N/A"/>
    <s v="NA"/>
    <n v="171"/>
    <n v="171"/>
    <n v="1"/>
    <n v="0"/>
    <n v="0"/>
    <n v="0"/>
    <n v="0"/>
    <n v="0"/>
    <n v="0"/>
    <n v="0"/>
    <n v="1"/>
    <n v="0"/>
    <n v="0"/>
    <n v="0"/>
    <n v="0"/>
    <n v="0"/>
    <n v="0"/>
    <n v="0"/>
    <x v="0"/>
    <n v="0"/>
    <n v="0"/>
    <x v="2"/>
    <x v="6"/>
    <x v="2"/>
    <n v="0"/>
    <n v="0"/>
    <n v="197028"/>
    <x v="0"/>
    <m/>
  </r>
  <r>
    <x v="0"/>
    <x v="16"/>
    <x v="17"/>
    <s v="EU"/>
    <x v="1"/>
    <x v="19"/>
    <x v="2"/>
    <x v="276"/>
    <n v="90"/>
    <n v="414"/>
    <d v="2017-01-01T00:00:00"/>
    <d v="2021-12-21T00:00:00"/>
    <m/>
    <m/>
    <m/>
    <m/>
    <m/>
    <m/>
    <m/>
    <m/>
    <m/>
    <m/>
    <m/>
    <m/>
    <m/>
    <m/>
    <m/>
    <m/>
    <m/>
    <m/>
    <m/>
    <m/>
    <m/>
    <m/>
    <m/>
    <m/>
    <m/>
    <m/>
    <m/>
    <m/>
    <m/>
    <m/>
    <m/>
    <m/>
    <m/>
    <m/>
    <m/>
    <m/>
    <m/>
    <x v="1"/>
    <x v="1"/>
    <m/>
    <m/>
    <m/>
    <m/>
    <m/>
    <m/>
    <m/>
    <m/>
    <m/>
    <m/>
    <m/>
    <m/>
    <m/>
    <m/>
    <m/>
    <m/>
    <m/>
    <s v="no test"/>
    <s v="no test"/>
    <x v="1"/>
    <n v="0"/>
    <n v="0"/>
    <n v="0"/>
    <n v="0"/>
    <n v="0"/>
    <n v="0"/>
    <n v="0"/>
    <n v="0"/>
    <n v="0"/>
    <n v="0"/>
    <n v="0"/>
    <n v="0"/>
    <n v="0"/>
    <n v="0"/>
    <n v="1"/>
    <n v="414"/>
    <n v="1"/>
    <n v="1"/>
    <n v="0"/>
    <n v="0"/>
    <n v="0"/>
    <s v="N/A"/>
    <s v="NA"/>
    <n v="69"/>
    <n v="69"/>
    <n v="1"/>
    <n v="0"/>
    <n v="0"/>
    <n v="0"/>
    <n v="0"/>
    <n v="0"/>
    <n v="0"/>
    <n v="0"/>
    <n v="1"/>
    <n v="0"/>
    <n v="0"/>
    <n v="0"/>
    <n v="0"/>
    <n v="0"/>
    <n v="0"/>
    <n v="0"/>
    <x v="0"/>
    <n v="0"/>
    <n v="0"/>
    <x v="2"/>
    <x v="6"/>
    <x v="2"/>
    <n v="0"/>
    <n v="0"/>
    <n v="197034"/>
    <x v="0"/>
    <m/>
  </r>
  <r>
    <x v="0"/>
    <x v="16"/>
    <x v="17"/>
    <s v="EU"/>
    <x v="1"/>
    <x v="19"/>
    <x v="2"/>
    <x v="277"/>
    <n v="78"/>
    <n v="308"/>
    <d v="2017-01-01T00:00:00"/>
    <d v="2021-12-21T00:00:00"/>
    <m/>
    <m/>
    <m/>
    <m/>
    <m/>
    <m/>
    <m/>
    <m/>
    <m/>
    <m/>
    <m/>
    <m/>
    <m/>
    <m/>
    <m/>
    <m/>
    <m/>
    <m/>
    <m/>
    <m/>
    <m/>
    <m/>
    <m/>
    <m/>
    <m/>
    <m/>
    <m/>
    <m/>
    <m/>
    <m/>
    <m/>
    <m/>
    <m/>
    <m/>
    <m/>
    <m/>
    <m/>
    <x v="1"/>
    <x v="1"/>
    <m/>
    <m/>
    <m/>
    <m/>
    <m/>
    <m/>
    <m/>
    <m/>
    <m/>
    <m/>
    <m/>
    <m/>
    <m/>
    <m/>
    <m/>
    <m/>
    <m/>
    <s v="no test"/>
    <s v="no test"/>
    <x v="1"/>
    <n v="0"/>
    <n v="0"/>
    <n v="0"/>
    <n v="0"/>
    <n v="0"/>
    <n v="0"/>
    <n v="0"/>
    <n v="0"/>
    <n v="0"/>
    <n v="0"/>
    <n v="0"/>
    <n v="0"/>
    <n v="0"/>
    <n v="0"/>
    <n v="1"/>
    <n v="308"/>
    <n v="1"/>
    <n v="1"/>
    <n v="0"/>
    <n v="0"/>
    <n v="0"/>
    <s v="N/A"/>
    <s v="NA"/>
    <n v="51"/>
    <n v="51"/>
    <n v="1"/>
    <n v="0"/>
    <n v="0"/>
    <n v="0"/>
    <n v="0"/>
    <n v="0"/>
    <n v="0"/>
    <n v="0"/>
    <n v="1"/>
    <n v="0"/>
    <n v="0"/>
    <n v="0"/>
    <n v="0"/>
    <n v="0"/>
    <n v="0"/>
    <n v="0"/>
    <x v="0"/>
    <n v="0"/>
    <n v="0"/>
    <x v="2"/>
    <x v="6"/>
    <x v="2"/>
    <n v="0"/>
    <n v="0"/>
    <n v="197036"/>
    <x v="0"/>
    <m/>
  </r>
  <r>
    <x v="0"/>
    <x v="16"/>
    <x v="17"/>
    <s v="EU"/>
    <x v="1"/>
    <x v="19"/>
    <x v="2"/>
    <x v="278"/>
    <n v="85"/>
    <n v="413"/>
    <d v="2017-01-01T00:00:00"/>
    <d v="2021-12-21T00:00:00"/>
    <m/>
    <m/>
    <m/>
    <m/>
    <m/>
    <m/>
    <m/>
    <m/>
    <m/>
    <m/>
    <m/>
    <m/>
    <m/>
    <m/>
    <m/>
    <m/>
    <m/>
    <m/>
    <m/>
    <m/>
    <m/>
    <m/>
    <m/>
    <m/>
    <m/>
    <m/>
    <m/>
    <m/>
    <m/>
    <m/>
    <m/>
    <m/>
    <m/>
    <m/>
    <m/>
    <m/>
    <m/>
    <x v="1"/>
    <x v="1"/>
    <m/>
    <m/>
    <m/>
    <m/>
    <m/>
    <m/>
    <m/>
    <m/>
    <m/>
    <m/>
    <m/>
    <m/>
    <m/>
    <m/>
    <m/>
    <m/>
    <m/>
    <s v="no test"/>
    <s v="no test"/>
    <x v="1"/>
    <n v="0"/>
    <n v="0"/>
    <n v="0"/>
    <n v="0"/>
    <n v="0"/>
    <n v="0"/>
    <n v="0"/>
    <n v="0"/>
    <n v="0"/>
    <n v="0"/>
    <n v="0"/>
    <n v="0"/>
    <n v="0"/>
    <n v="0"/>
    <n v="1"/>
    <n v="413"/>
    <n v="1"/>
    <n v="1"/>
    <n v="0"/>
    <n v="0"/>
    <n v="0"/>
    <s v="N/A"/>
    <s v="NA"/>
    <n v="69"/>
    <n v="69"/>
    <n v="1"/>
    <n v="0"/>
    <n v="0"/>
    <n v="0"/>
    <n v="0"/>
    <n v="0"/>
    <n v="0"/>
    <n v="0"/>
    <n v="1"/>
    <n v="0"/>
    <n v="0"/>
    <n v="0"/>
    <n v="0"/>
    <n v="0"/>
    <n v="0"/>
    <n v="0"/>
    <x v="0"/>
    <n v="0"/>
    <n v="0"/>
    <x v="2"/>
    <x v="6"/>
    <x v="2"/>
    <n v="0"/>
    <n v="0"/>
    <n v="197033"/>
    <x v="0"/>
    <m/>
  </r>
  <r>
    <x v="0"/>
    <x v="16"/>
    <x v="17"/>
    <s v="EU"/>
    <x v="1"/>
    <x v="19"/>
    <x v="2"/>
    <x v="279"/>
    <n v="353"/>
    <n v="2111"/>
    <d v="2017-01-01T00:00:00"/>
    <d v="2021-12-21T00:00:00"/>
    <m/>
    <m/>
    <m/>
    <m/>
    <m/>
    <m/>
    <m/>
    <m/>
    <m/>
    <m/>
    <m/>
    <m/>
    <m/>
    <m/>
    <m/>
    <m/>
    <m/>
    <m/>
    <m/>
    <m/>
    <m/>
    <m/>
    <m/>
    <m/>
    <m/>
    <m/>
    <m/>
    <m/>
    <m/>
    <m/>
    <m/>
    <m/>
    <m/>
    <m/>
    <m/>
    <m/>
    <m/>
    <x v="1"/>
    <x v="1"/>
    <m/>
    <m/>
    <m/>
    <m/>
    <m/>
    <m/>
    <m/>
    <m/>
    <m/>
    <m/>
    <m/>
    <m/>
    <m/>
    <m/>
    <m/>
    <m/>
    <m/>
    <s v="no test"/>
    <s v="no test"/>
    <x v="1"/>
    <n v="0"/>
    <n v="0"/>
    <n v="0"/>
    <n v="0"/>
    <n v="0"/>
    <n v="0"/>
    <n v="0"/>
    <n v="0"/>
    <n v="0"/>
    <n v="0"/>
    <n v="0"/>
    <n v="0"/>
    <n v="0"/>
    <n v="0"/>
    <n v="1"/>
    <n v="2111"/>
    <n v="4"/>
    <n v="4"/>
    <n v="0"/>
    <n v="0"/>
    <n v="0"/>
    <s v="N/A"/>
    <s v="NA"/>
    <n v="352"/>
    <n v="352"/>
    <n v="1"/>
    <n v="0"/>
    <n v="0"/>
    <n v="0"/>
    <n v="0"/>
    <n v="0"/>
    <n v="0"/>
    <n v="0"/>
    <n v="1"/>
    <n v="0"/>
    <n v="0"/>
    <n v="0"/>
    <n v="0"/>
    <n v="0"/>
    <n v="0"/>
    <n v="0"/>
    <x v="0"/>
    <n v="0"/>
    <n v="0"/>
    <x v="2"/>
    <x v="6"/>
    <x v="2"/>
    <n v="0"/>
    <n v="0"/>
    <n v="197040"/>
    <x v="0"/>
    <m/>
  </r>
  <r>
    <x v="0"/>
    <x v="16"/>
    <x v="17"/>
    <s v="EU"/>
    <x v="1"/>
    <x v="19"/>
    <x v="2"/>
    <x v="280"/>
    <n v="295"/>
    <n v="1698"/>
    <d v="2017-01-01T00:00:00"/>
    <d v="2021-12-21T00:00:00"/>
    <m/>
    <m/>
    <m/>
    <m/>
    <m/>
    <m/>
    <m/>
    <m/>
    <m/>
    <m/>
    <m/>
    <m/>
    <m/>
    <m/>
    <m/>
    <m/>
    <m/>
    <m/>
    <m/>
    <m/>
    <m/>
    <m/>
    <m/>
    <m/>
    <m/>
    <m/>
    <m/>
    <m/>
    <m/>
    <m/>
    <m/>
    <m/>
    <m/>
    <m/>
    <m/>
    <m/>
    <m/>
    <x v="1"/>
    <x v="1"/>
    <m/>
    <m/>
    <m/>
    <m/>
    <m/>
    <m/>
    <m/>
    <m/>
    <m/>
    <m/>
    <m/>
    <m/>
    <m/>
    <m/>
    <m/>
    <m/>
    <m/>
    <s v="no test"/>
    <s v="no test"/>
    <x v="1"/>
    <n v="0"/>
    <n v="0"/>
    <n v="0"/>
    <n v="0"/>
    <n v="0"/>
    <n v="0"/>
    <n v="0"/>
    <n v="0"/>
    <n v="0"/>
    <n v="0"/>
    <n v="0"/>
    <n v="0"/>
    <n v="0"/>
    <n v="0"/>
    <n v="1"/>
    <n v="1698"/>
    <n v="3"/>
    <n v="3"/>
    <n v="0"/>
    <n v="0"/>
    <n v="0"/>
    <s v="N/A"/>
    <s v="NA"/>
    <n v="283"/>
    <n v="283"/>
    <n v="1"/>
    <n v="0"/>
    <n v="0"/>
    <n v="0"/>
    <n v="0"/>
    <n v="0"/>
    <n v="0"/>
    <n v="0"/>
    <n v="1"/>
    <n v="0"/>
    <n v="0"/>
    <n v="0"/>
    <n v="0"/>
    <n v="0"/>
    <n v="0"/>
    <n v="0"/>
    <x v="0"/>
    <n v="0"/>
    <n v="0"/>
    <x v="2"/>
    <x v="6"/>
    <x v="2"/>
    <n v="0"/>
    <n v="0"/>
    <n v="197039"/>
    <x v="0"/>
    <m/>
  </r>
  <r>
    <x v="0"/>
    <x v="16"/>
    <x v="17"/>
    <s v="EU"/>
    <x v="1"/>
    <x v="19"/>
    <x v="2"/>
    <x v="281"/>
    <n v="140"/>
    <n v="985"/>
    <d v="2017-01-01T00:00:00"/>
    <d v="2021-12-21T00:00:00"/>
    <m/>
    <m/>
    <m/>
    <m/>
    <m/>
    <m/>
    <m/>
    <m/>
    <m/>
    <m/>
    <m/>
    <m/>
    <m/>
    <m/>
    <m/>
    <m/>
    <m/>
    <m/>
    <m/>
    <m/>
    <m/>
    <m/>
    <m/>
    <m/>
    <m/>
    <m/>
    <m/>
    <m/>
    <m/>
    <m/>
    <m/>
    <m/>
    <m/>
    <m/>
    <m/>
    <m/>
    <m/>
    <x v="1"/>
    <x v="1"/>
    <m/>
    <m/>
    <m/>
    <m/>
    <m/>
    <m/>
    <m/>
    <m/>
    <m/>
    <m/>
    <m/>
    <m/>
    <m/>
    <m/>
    <m/>
    <m/>
    <m/>
    <s v="no test"/>
    <s v="no test"/>
    <x v="1"/>
    <n v="0"/>
    <n v="0"/>
    <n v="0"/>
    <n v="0"/>
    <n v="0"/>
    <n v="0"/>
    <n v="0"/>
    <n v="0"/>
    <n v="0"/>
    <n v="0"/>
    <n v="0"/>
    <n v="0"/>
    <n v="0"/>
    <n v="0"/>
    <n v="1"/>
    <n v="985"/>
    <n v="2"/>
    <n v="2"/>
    <n v="0"/>
    <n v="0"/>
    <n v="0"/>
    <s v="N/A"/>
    <s v="NA"/>
    <n v="164"/>
    <n v="164"/>
    <n v="1"/>
    <n v="0"/>
    <n v="0"/>
    <n v="0"/>
    <n v="0"/>
    <n v="0"/>
    <n v="0"/>
    <n v="0"/>
    <n v="1"/>
    <n v="0"/>
    <n v="0"/>
    <n v="0"/>
    <n v="0"/>
    <n v="0"/>
    <n v="0"/>
    <n v="0"/>
    <x v="0"/>
    <n v="0"/>
    <n v="0"/>
    <x v="2"/>
    <x v="6"/>
    <x v="2"/>
    <n v="0"/>
    <n v="0"/>
    <n v="197041"/>
    <x v="0"/>
    <m/>
  </r>
  <r>
    <x v="0"/>
    <x v="16"/>
    <x v="17"/>
    <s v="EU"/>
    <x v="1"/>
    <x v="19"/>
    <x v="2"/>
    <x v="282"/>
    <n v="157"/>
    <n v="735"/>
    <d v="2017-01-01T00:00:00"/>
    <d v="2021-12-21T00:00:00"/>
    <m/>
    <m/>
    <m/>
    <m/>
    <m/>
    <m/>
    <m/>
    <m/>
    <m/>
    <m/>
    <m/>
    <m/>
    <m/>
    <m/>
    <m/>
    <m/>
    <m/>
    <m/>
    <m/>
    <m/>
    <m/>
    <m/>
    <m/>
    <m/>
    <m/>
    <m/>
    <m/>
    <m/>
    <m/>
    <m/>
    <m/>
    <m/>
    <m/>
    <m/>
    <m/>
    <m/>
    <m/>
    <x v="1"/>
    <x v="1"/>
    <m/>
    <m/>
    <m/>
    <m/>
    <m/>
    <m/>
    <m/>
    <m/>
    <m/>
    <m/>
    <m/>
    <m/>
    <m/>
    <m/>
    <m/>
    <m/>
    <m/>
    <s v="no test"/>
    <s v="no test"/>
    <x v="1"/>
    <n v="0"/>
    <n v="0"/>
    <n v="0"/>
    <n v="0"/>
    <n v="0"/>
    <n v="0"/>
    <n v="0"/>
    <n v="0"/>
    <n v="0"/>
    <n v="0"/>
    <n v="0"/>
    <n v="0"/>
    <n v="0"/>
    <n v="0"/>
    <n v="1"/>
    <n v="735"/>
    <n v="1"/>
    <n v="1"/>
    <n v="0"/>
    <n v="0"/>
    <n v="0"/>
    <s v="N/A"/>
    <s v="NA"/>
    <n v="123"/>
    <n v="123"/>
    <n v="1"/>
    <n v="0"/>
    <n v="0"/>
    <n v="0"/>
    <n v="0"/>
    <n v="0"/>
    <n v="0"/>
    <n v="0"/>
    <n v="1"/>
    <n v="0"/>
    <n v="0"/>
    <n v="0"/>
    <n v="0"/>
    <n v="0"/>
    <n v="0"/>
    <n v="0"/>
    <x v="0"/>
    <n v="0"/>
    <n v="0"/>
    <x v="2"/>
    <x v="6"/>
    <x v="2"/>
    <n v="0"/>
    <n v="0"/>
    <n v="197042"/>
    <x v="0"/>
    <m/>
  </r>
  <r>
    <x v="0"/>
    <x v="16"/>
    <x v="17"/>
    <s v="EU"/>
    <x v="1"/>
    <x v="19"/>
    <x v="2"/>
    <x v="283"/>
    <n v="35"/>
    <n v="142"/>
    <d v="2017-01-01T00:00:00"/>
    <d v="2021-12-21T00:00:00"/>
    <m/>
    <m/>
    <m/>
    <m/>
    <m/>
    <m/>
    <m/>
    <m/>
    <m/>
    <m/>
    <m/>
    <m/>
    <m/>
    <m/>
    <m/>
    <m/>
    <m/>
    <m/>
    <m/>
    <m/>
    <m/>
    <m/>
    <m/>
    <m/>
    <m/>
    <m/>
    <m/>
    <m/>
    <m/>
    <m/>
    <m/>
    <m/>
    <m/>
    <m/>
    <m/>
    <m/>
    <m/>
    <x v="1"/>
    <x v="1"/>
    <m/>
    <m/>
    <m/>
    <m/>
    <m/>
    <m/>
    <m/>
    <m/>
    <m/>
    <m/>
    <m/>
    <m/>
    <m/>
    <m/>
    <m/>
    <m/>
    <m/>
    <s v="no test"/>
    <s v="no test"/>
    <x v="1"/>
    <n v="0"/>
    <n v="0"/>
    <n v="0"/>
    <n v="0"/>
    <n v="0"/>
    <n v="0"/>
    <n v="0"/>
    <n v="0"/>
    <n v="0"/>
    <n v="0"/>
    <n v="0"/>
    <n v="0"/>
    <n v="0"/>
    <n v="0"/>
    <n v="1"/>
    <n v="142"/>
    <n v="1"/>
    <n v="1"/>
    <n v="0"/>
    <n v="0"/>
    <n v="0"/>
    <s v="N/A"/>
    <s v="NA"/>
    <n v="24"/>
    <n v="24"/>
    <n v="1"/>
    <n v="0"/>
    <n v="0"/>
    <n v="0"/>
    <n v="0"/>
    <n v="0"/>
    <n v="0"/>
    <n v="0"/>
    <n v="1"/>
    <n v="0"/>
    <n v="0"/>
    <n v="0"/>
    <n v="0"/>
    <n v="0"/>
    <n v="0"/>
    <n v="0"/>
    <x v="0"/>
    <n v="0"/>
    <n v="0"/>
    <x v="2"/>
    <x v="6"/>
    <x v="2"/>
    <n v="0"/>
    <n v="0"/>
    <n v="197043"/>
    <x v="0"/>
    <m/>
  </r>
  <r>
    <x v="0"/>
    <x v="16"/>
    <x v="17"/>
    <s v="EU"/>
    <x v="1"/>
    <x v="19"/>
    <x v="2"/>
    <x v="284"/>
    <n v="148"/>
    <n v="630"/>
    <d v="2017-01-01T00:00:00"/>
    <d v="2021-12-21T00:00:00"/>
    <m/>
    <m/>
    <m/>
    <m/>
    <m/>
    <m/>
    <m/>
    <m/>
    <m/>
    <m/>
    <m/>
    <m/>
    <m/>
    <m/>
    <m/>
    <m/>
    <m/>
    <m/>
    <m/>
    <m/>
    <m/>
    <m/>
    <m/>
    <m/>
    <m/>
    <m/>
    <m/>
    <m/>
    <m/>
    <m/>
    <m/>
    <m/>
    <m/>
    <m/>
    <m/>
    <m/>
    <m/>
    <x v="1"/>
    <x v="1"/>
    <m/>
    <m/>
    <m/>
    <m/>
    <m/>
    <m/>
    <m/>
    <m/>
    <m/>
    <m/>
    <m/>
    <m/>
    <m/>
    <m/>
    <m/>
    <m/>
    <m/>
    <s v="no test"/>
    <s v="no test"/>
    <x v="1"/>
    <n v="0"/>
    <n v="0"/>
    <n v="0"/>
    <n v="0"/>
    <n v="0"/>
    <n v="0"/>
    <n v="0"/>
    <n v="0"/>
    <n v="0"/>
    <n v="0"/>
    <n v="0"/>
    <n v="0"/>
    <n v="0"/>
    <n v="0"/>
    <n v="1"/>
    <n v="630"/>
    <n v="1"/>
    <n v="1"/>
    <n v="0"/>
    <n v="0"/>
    <n v="0"/>
    <s v="N/A"/>
    <s v="NA"/>
    <n v="105"/>
    <n v="105"/>
    <n v="1"/>
    <n v="0"/>
    <n v="0"/>
    <n v="0"/>
    <n v="0"/>
    <n v="0"/>
    <n v="0"/>
    <n v="0"/>
    <n v="1"/>
    <n v="0"/>
    <n v="0"/>
    <n v="0"/>
    <n v="0"/>
    <n v="0"/>
    <n v="0"/>
    <n v="0"/>
    <x v="0"/>
    <n v="0"/>
    <n v="0"/>
    <x v="2"/>
    <x v="6"/>
    <x v="2"/>
    <n v="0"/>
    <n v="0"/>
    <n v="197089"/>
    <x v="0"/>
    <m/>
  </r>
  <r>
    <x v="0"/>
    <x v="16"/>
    <x v="17"/>
    <s v="EU"/>
    <x v="1"/>
    <x v="19"/>
    <x v="2"/>
    <x v="285"/>
    <n v="135"/>
    <n v="593"/>
    <d v="2017-01-01T00:00:00"/>
    <d v="2021-12-21T00:00:00"/>
    <m/>
    <m/>
    <m/>
    <m/>
    <m/>
    <m/>
    <m/>
    <m/>
    <m/>
    <m/>
    <m/>
    <m/>
    <m/>
    <m/>
    <m/>
    <m/>
    <m/>
    <m/>
    <m/>
    <m/>
    <m/>
    <m/>
    <m/>
    <m/>
    <m/>
    <m/>
    <m/>
    <m/>
    <m/>
    <m/>
    <m/>
    <m/>
    <m/>
    <m/>
    <m/>
    <m/>
    <m/>
    <x v="1"/>
    <x v="1"/>
    <m/>
    <m/>
    <m/>
    <m/>
    <m/>
    <m/>
    <m/>
    <m/>
    <m/>
    <m/>
    <m/>
    <m/>
    <m/>
    <m/>
    <m/>
    <m/>
    <m/>
    <s v="no test"/>
    <s v="no test"/>
    <x v="1"/>
    <n v="0"/>
    <n v="0"/>
    <n v="0"/>
    <n v="0"/>
    <n v="0"/>
    <n v="0"/>
    <n v="0"/>
    <n v="0"/>
    <n v="0"/>
    <n v="0"/>
    <n v="0"/>
    <n v="0"/>
    <n v="0"/>
    <n v="0"/>
    <n v="1"/>
    <n v="593"/>
    <n v="1"/>
    <n v="1"/>
    <n v="0"/>
    <n v="0"/>
    <n v="0"/>
    <s v="N/A"/>
    <s v="NA"/>
    <n v="99"/>
    <n v="99"/>
    <n v="1"/>
    <n v="0"/>
    <n v="0"/>
    <n v="0"/>
    <n v="0"/>
    <n v="0"/>
    <n v="0"/>
    <n v="0"/>
    <n v="1"/>
    <n v="0"/>
    <n v="0"/>
    <n v="0"/>
    <n v="0"/>
    <n v="0"/>
    <n v="0"/>
    <n v="0"/>
    <x v="0"/>
    <n v="0"/>
    <n v="0"/>
    <x v="2"/>
    <x v="6"/>
    <x v="2"/>
    <n v="0"/>
    <n v="0"/>
    <n v="197090"/>
    <x v="0"/>
    <m/>
  </r>
  <r>
    <x v="0"/>
    <x v="16"/>
    <x v="17"/>
    <s v="EU"/>
    <x v="1"/>
    <x v="19"/>
    <x v="2"/>
    <x v="286"/>
    <n v="139"/>
    <n v="585"/>
    <d v="2017-01-01T00:00:00"/>
    <d v="2021-12-21T00:00:00"/>
    <m/>
    <m/>
    <m/>
    <m/>
    <m/>
    <m/>
    <m/>
    <m/>
    <m/>
    <m/>
    <m/>
    <m/>
    <m/>
    <m/>
    <m/>
    <m/>
    <m/>
    <m/>
    <m/>
    <m/>
    <m/>
    <m/>
    <m/>
    <m/>
    <m/>
    <m/>
    <m/>
    <m/>
    <m/>
    <m/>
    <m/>
    <m/>
    <m/>
    <m/>
    <m/>
    <m/>
    <m/>
    <x v="1"/>
    <x v="1"/>
    <m/>
    <m/>
    <m/>
    <m/>
    <m/>
    <m/>
    <m/>
    <m/>
    <m/>
    <m/>
    <m/>
    <m/>
    <m/>
    <m/>
    <m/>
    <m/>
    <m/>
    <s v="no test"/>
    <s v="no test"/>
    <x v="1"/>
    <n v="0"/>
    <n v="0"/>
    <n v="0"/>
    <n v="0"/>
    <n v="0"/>
    <n v="0"/>
    <n v="0"/>
    <n v="0"/>
    <n v="0"/>
    <n v="0"/>
    <n v="0"/>
    <n v="0"/>
    <n v="0"/>
    <n v="0"/>
    <n v="1"/>
    <n v="585"/>
    <n v="1"/>
    <n v="1"/>
    <n v="0"/>
    <n v="0"/>
    <n v="0"/>
    <s v="N/A"/>
    <s v="NA"/>
    <n v="98"/>
    <n v="98"/>
    <n v="1"/>
    <n v="0"/>
    <n v="0"/>
    <n v="0"/>
    <n v="0"/>
    <n v="0"/>
    <n v="0"/>
    <n v="0"/>
    <n v="1"/>
    <n v="0"/>
    <n v="0"/>
    <n v="0"/>
    <n v="0"/>
    <n v="0"/>
    <n v="0"/>
    <n v="0"/>
    <x v="0"/>
    <n v="0"/>
    <n v="0"/>
    <x v="2"/>
    <x v="6"/>
    <x v="2"/>
    <n v="0"/>
    <n v="0"/>
    <n v="197149"/>
    <x v="0"/>
    <m/>
  </r>
  <r>
    <x v="0"/>
    <x v="16"/>
    <x v="17"/>
    <s v="EU"/>
    <x v="1"/>
    <x v="19"/>
    <x v="2"/>
    <x v="287"/>
    <n v="408"/>
    <n v="2009"/>
    <d v="2017-01-01T00:00:00"/>
    <d v="2021-12-21T00:00:00"/>
    <m/>
    <m/>
    <m/>
    <m/>
    <m/>
    <m/>
    <m/>
    <m/>
    <m/>
    <m/>
    <m/>
    <m/>
    <m/>
    <m/>
    <m/>
    <m/>
    <m/>
    <m/>
    <m/>
    <m/>
    <m/>
    <m/>
    <m/>
    <m/>
    <m/>
    <m/>
    <m/>
    <m/>
    <m/>
    <m/>
    <m/>
    <m/>
    <m/>
    <m/>
    <m/>
    <m/>
    <m/>
    <x v="1"/>
    <x v="1"/>
    <m/>
    <m/>
    <m/>
    <m/>
    <m/>
    <m/>
    <m/>
    <m/>
    <m/>
    <m/>
    <m/>
    <m/>
    <m/>
    <m/>
    <m/>
    <m/>
    <m/>
    <s v="no test"/>
    <s v="no test"/>
    <x v="1"/>
    <n v="0"/>
    <n v="0"/>
    <n v="0"/>
    <n v="0"/>
    <n v="0"/>
    <n v="0"/>
    <n v="0"/>
    <n v="0"/>
    <n v="0"/>
    <n v="0"/>
    <n v="0"/>
    <n v="0"/>
    <n v="0"/>
    <n v="0"/>
    <n v="1"/>
    <n v="2009"/>
    <n v="4"/>
    <n v="4"/>
    <n v="0"/>
    <n v="0"/>
    <n v="0"/>
    <s v="N/A"/>
    <s v="NA"/>
    <n v="335"/>
    <n v="335"/>
    <n v="1"/>
    <n v="0"/>
    <n v="0"/>
    <n v="0"/>
    <n v="0"/>
    <n v="0"/>
    <n v="0"/>
    <n v="0"/>
    <n v="1"/>
    <n v="0"/>
    <n v="0"/>
    <n v="0"/>
    <n v="0"/>
    <n v="0"/>
    <n v="0"/>
    <n v="0"/>
    <x v="0"/>
    <n v="0"/>
    <n v="0"/>
    <x v="2"/>
    <x v="11"/>
    <x v="3"/>
    <n v="20.480898"/>
    <n v="93.299485000000004"/>
    <s v="MMR012CMP006"/>
    <x v="0"/>
    <m/>
  </r>
  <r>
    <x v="0"/>
    <x v="16"/>
    <x v="17"/>
    <s v="EU"/>
    <x v="1"/>
    <x v="19"/>
    <x v="2"/>
    <x v="288"/>
    <n v="47"/>
    <n v="190"/>
    <d v="2017-01-01T00:00:00"/>
    <d v="2021-12-21T00:00:00"/>
    <m/>
    <m/>
    <m/>
    <m/>
    <m/>
    <m/>
    <m/>
    <m/>
    <m/>
    <m/>
    <m/>
    <m/>
    <m/>
    <m/>
    <m/>
    <m/>
    <m/>
    <m/>
    <m/>
    <m/>
    <m/>
    <m/>
    <m/>
    <m/>
    <m/>
    <m/>
    <m/>
    <m/>
    <m/>
    <m/>
    <m/>
    <m/>
    <m/>
    <m/>
    <m/>
    <m/>
    <m/>
    <x v="1"/>
    <x v="1"/>
    <m/>
    <m/>
    <m/>
    <m/>
    <m/>
    <m/>
    <m/>
    <m/>
    <m/>
    <m/>
    <m/>
    <m/>
    <m/>
    <m/>
    <m/>
    <m/>
    <m/>
    <s v="no test"/>
    <s v="no test"/>
    <x v="1"/>
    <n v="0"/>
    <n v="0"/>
    <n v="0"/>
    <n v="0"/>
    <n v="0"/>
    <n v="0"/>
    <n v="0"/>
    <n v="0"/>
    <n v="0"/>
    <n v="0"/>
    <n v="0"/>
    <n v="0"/>
    <n v="0"/>
    <n v="0"/>
    <n v="1"/>
    <n v="190"/>
    <n v="1"/>
    <n v="1"/>
    <n v="0"/>
    <n v="0"/>
    <n v="0"/>
    <s v="N/A"/>
    <s v="NA"/>
    <n v="32"/>
    <n v="32"/>
    <n v="1"/>
    <n v="0"/>
    <n v="0"/>
    <n v="0"/>
    <n v="0"/>
    <n v="0"/>
    <n v="0"/>
    <n v="0"/>
    <n v="1"/>
    <n v="0"/>
    <n v="0"/>
    <n v="0"/>
    <n v="0"/>
    <n v="0"/>
    <n v="0"/>
    <n v="0"/>
    <x v="0"/>
    <n v="0"/>
    <n v="0"/>
    <x v="2"/>
    <x v="6"/>
    <x v="2"/>
    <n v="0"/>
    <n v="0"/>
    <n v="0"/>
    <x v="0"/>
    <m/>
  </r>
  <r>
    <x v="0"/>
    <x v="16"/>
    <x v="17"/>
    <s v="EU"/>
    <x v="1"/>
    <x v="19"/>
    <x v="2"/>
    <x v="289"/>
    <n v="150"/>
    <n v="532"/>
    <d v="2017-01-01T00:00:00"/>
    <d v="2021-12-21T00:00:00"/>
    <m/>
    <m/>
    <m/>
    <m/>
    <m/>
    <m/>
    <m/>
    <m/>
    <m/>
    <m/>
    <m/>
    <m/>
    <m/>
    <m/>
    <m/>
    <m/>
    <m/>
    <m/>
    <m/>
    <m/>
    <m/>
    <m/>
    <m/>
    <m/>
    <m/>
    <m/>
    <m/>
    <m/>
    <m/>
    <m/>
    <m/>
    <m/>
    <m/>
    <m/>
    <m/>
    <m/>
    <m/>
    <x v="1"/>
    <x v="1"/>
    <m/>
    <m/>
    <m/>
    <m/>
    <m/>
    <m/>
    <m/>
    <m/>
    <m/>
    <m/>
    <m/>
    <m/>
    <m/>
    <m/>
    <m/>
    <m/>
    <m/>
    <s v="no test"/>
    <s v="no test"/>
    <x v="1"/>
    <n v="0"/>
    <n v="0"/>
    <n v="0"/>
    <n v="0"/>
    <n v="0"/>
    <n v="0"/>
    <n v="0"/>
    <n v="0"/>
    <n v="0"/>
    <n v="0"/>
    <n v="0"/>
    <n v="0"/>
    <n v="0"/>
    <n v="0"/>
    <n v="1"/>
    <n v="532"/>
    <n v="1"/>
    <n v="1"/>
    <n v="0"/>
    <n v="0"/>
    <n v="0"/>
    <s v="N/A"/>
    <s v="NA"/>
    <n v="89"/>
    <n v="89"/>
    <n v="1"/>
    <n v="0"/>
    <n v="0"/>
    <n v="0"/>
    <n v="0"/>
    <n v="0"/>
    <n v="0"/>
    <n v="0"/>
    <n v="1"/>
    <n v="0"/>
    <n v="0"/>
    <n v="0"/>
    <n v="0"/>
    <n v="0"/>
    <n v="0"/>
    <n v="0"/>
    <x v="0"/>
    <n v="0"/>
    <n v="0"/>
    <x v="2"/>
    <x v="6"/>
    <x v="2"/>
    <n v="0"/>
    <n v="0"/>
    <n v="197092"/>
    <x v="0"/>
    <m/>
  </r>
  <r>
    <x v="0"/>
    <x v="16"/>
    <x v="17"/>
    <s v="EU"/>
    <x v="1"/>
    <x v="19"/>
    <x v="2"/>
    <x v="290"/>
    <n v="142"/>
    <n v="542"/>
    <d v="2017-01-01T00:00:00"/>
    <d v="2021-12-21T00:00:00"/>
    <m/>
    <m/>
    <m/>
    <m/>
    <m/>
    <m/>
    <m/>
    <m/>
    <m/>
    <m/>
    <m/>
    <m/>
    <m/>
    <m/>
    <m/>
    <m/>
    <m/>
    <m/>
    <m/>
    <m/>
    <m/>
    <m/>
    <m/>
    <m/>
    <m/>
    <m/>
    <m/>
    <m/>
    <m/>
    <m/>
    <m/>
    <m/>
    <m/>
    <m/>
    <m/>
    <m/>
    <m/>
    <x v="1"/>
    <x v="1"/>
    <m/>
    <m/>
    <m/>
    <m/>
    <m/>
    <m/>
    <m/>
    <m/>
    <m/>
    <m/>
    <m/>
    <m/>
    <m/>
    <m/>
    <m/>
    <m/>
    <m/>
    <s v="no test"/>
    <s v="no test"/>
    <x v="1"/>
    <n v="0"/>
    <n v="0"/>
    <n v="0"/>
    <n v="0"/>
    <n v="0"/>
    <n v="0"/>
    <n v="0"/>
    <n v="0"/>
    <n v="0"/>
    <n v="0"/>
    <n v="0"/>
    <n v="0"/>
    <n v="0"/>
    <n v="0"/>
    <n v="1"/>
    <n v="542"/>
    <n v="1"/>
    <n v="1"/>
    <n v="0"/>
    <n v="0"/>
    <n v="0"/>
    <s v="N/A"/>
    <s v="NA"/>
    <n v="90"/>
    <n v="90"/>
    <n v="1"/>
    <n v="0"/>
    <n v="0"/>
    <n v="0"/>
    <n v="0"/>
    <n v="0"/>
    <n v="0"/>
    <n v="0"/>
    <n v="1"/>
    <n v="0"/>
    <n v="0"/>
    <n v="0"/>
    <n v="0"/>
    <n v="0"/>
    <n v="0"/>
    <n v="0"/>
    <x v="0"/>
    <n v="0"/>
    <n v="0"/>
    <x v="2"/>
    <x v="6"/>
    <x v="2"/>
    <n v="0"/>
    <n v="0"/>
    <n v="197100"/>
    <x v="0"/>
    <m/>
  </r>
  <r>
    <x v="0"/>
    <x v="16"/>
    <x v="17"/>
    <s v="EU"/>
    <x v="1"/>
    <x v="19"/>
    <x v="2"/>
    <x v="291"/>
    <n v="290"/>
    <n v="1314"/>
    <d v="2017-01-01T00:00:00"/>
    <d v="2021-12-21T00:00:00"/>
    <m/>
    <m/>
    <m/>
    <m/>
    <m/>
    <m/>
    <m/>
    <m/>
    <m/>
    <m/>
    <m/>
    <m/>
    <m/>
    <m/>
    <m/>
    <m/>
    <m/>
    <m/>
    <m/>
    <m/>
    <m/>
    <m/>
    <m/>
    <m/>
    <m/>
    <m/>
    <m/>
    <m/>
    <m/>
    <m/>
    <m/>
    <m/>
    <m/>
    <m/>
    <m/>
    <m/>
    <m/>
    <x v="1"/>
    <x v="1"/>
    <m/>
    <m/>
    <m/>
    <m/>
    <m/>
    <m/>
    <m/>
    <m/>
    <m/>
    <m/>
    <m/>
    <m/>
    <m/>
    <m/>
    <m/>
    <m/>
    <m/>
    <s v="no test"/>
    <s v="no test"/>
    <x v="1"/>
    <n v="0"/>
    <n v="0"/>
    <n v="0"/>
    <n v="0"/>
    <n v="0"/>
    <n v="0"/>
    <n v="0"/>
    <n v="0"/>
    <n v="0"/>
    <n v="0"/>
    <n v="0"/>
    <n v="0"/>
    <n v="0"/>
    <n v="0"/>
    <n v="1"/>
    <n v="1314"/>
    <n v="3"/>
    <n v="3"/>
    <n v="0"/>
    <n v="0"/>
    <n v="0"/>
    <s v="N/A"/>
    <s v="NA"/>
    <n v="219"/>
    <n v="219"/>
    <n v="1"/>
    <n v="0"/>
    <n v="0"/>
    <n v="0"/>
    <n v="0"/>
    <n v="0"/>
    <n v="0"/>
    <n v="0"/>
    <n v="1"/>
    <n v="0"/>
    <n v="0"/>
    <n v="0"/>
    <n v="0"/>
    <n v="0"/>
    <n v="0"/>
    <n v="0"/>
    <x v="0"/>
    <n v="0"/>
    <n v="0"/>
    <x v="2"/>
    <x v="6"/>
    <x v="2"/>
    <n v="0"/>
    <n v="0"/>
    <n v="197099"/>
    <x v="0"/>
    <m/>
  </r>
  <r>
    <x v="0"/>
    <x v="16"/>
    <x v="17"/>
    <s v="EU"/>
    <x v="1"/>
    <x v="19"/>
    <x v="2"/>
    <x v="292"/>
    <n v="215"/>
    <n v="1125"/>
    <d v="2017-01-01T00:00:00"/>
    <d v="2021-12-21T00:00:00"/>
    <m/>
    <m/>
    <m/>
    <m/>
    <m/>
    <m/>
    <m/>
    <m/>
    <m/>
    <m/>
    <m/>
    <m/>
    <m/>
    <m/>
    <m/>
    <m/>
    <m/>
    <m/>
    <m/>
    <m/>
    <m/>
    <m/>
    <m/>
    <m/>
    <m/>
    <m/>
    <m/>
    <m/>
    <m/>
    <m/>
    <m/>
    <m/>
    <m/>
    <m/>
    <m/>
    <m/>
    <m/>
    <x v="1"/>
    <x v="1"/>
    <m/>
    <m/>
    <m/>
    <m/>
    <m/>
    <m/>
    <m/>
    <m/>
    <m/>
    <m/>
    <m/>
    <m/>
    <m/>
    <m/>
    <m/>
    <m/>
    <m/>
    <s v="no test"/>
    <s v="no test"/>
    <x v="1"/>
    <n v="0"/>
    <n v="0"/>
    <n v="0"/>
    <n v="0"/>
    <n v="0"/>
    <n v="0"/>
    <n v="0"/>
    <n v="0"/>
    <n v="0"/>
    <n v="0"/>
    <n v="0"/>
    <n v="0"/>
    <n v="0"/>
    <n v="0"/>
    <n v="1"/>
    <n v="1125"/>
    <n v="2"/>
    <n v="2"/>
    <n v="0"/>
    <n v="0"/>
    <n v="0"/>
    <s v="N/A"/>
    <s v="NA"/>
    <n v="188"/>
    <n v="188"/>
    <n v="1"/>
    <n v="0"/>
    <n v="0"/>
    <n v="0"/>
    <n v="0"/>
    <n v="0"/>
    <n v="0"/>
    <n v="0"/>
    <n v="1"/>
    <n v="0"/>
    <n v="0"/>
    <n v="0"/>
    <n v="0"/>
    <n v="0"/>
    <n v="0"/>
    <n v="0"/>
    <x v="0"/>
    <n v="0"/>
    <n v="0"/>
    <x v="2"/>
    <x v="6"/>
    <x v="2"/>
    <n v="0"/>
    <n v="0"/>
    <n v="197102"/>
    <x v="0"/>
    <m/>
  </r>
  <r>
    <x v="0"/>
    <x v="16"/>
    <x v="17"/>
    <s v="EU"/>
    <x v="1"/>
    <x v="19"/>
    <x v="2"/>
    <x v="293"/>
    <n v="181"/>
    <n v="940"/>
    <d v="2017-01-01T00:00:00"/>
    <d v="2021-12-21T00:00:00"/>
    <m/>
    <m/>
    <m/>
    <m/>
    <m/>
    <m/>
    <m/>
    <m/>
    <m/>
    <m/>
    <m/>
    <m/>
    <m/>
    <m/>
    <m/>
    <m/>
    <m/>
    <m/>
    <m/>
    <m/>
    <m/>
    <m/>
    <m/>
    <m/>
    <m/>
    <m/>
    <m/>
    <m/>
    <m/>
    <m/>
    <m/>
    <m/>
    <m/>
    <m/>
    <m/>
    <m/>
    <m/>
    <x v="1"/>
    <x v="1"/>
    <m/>
    <m/>
    <m/>
    <m/>
    <m/>
    <m/>
    <m/>
    <m/>
    <m/>
    <m/>
    <m/>
    <m/>
    <m/>
    <m/>
    <m/>
    <m/>
    <m/>
    <s v="no test"/>
    <s v="no test"/>
    <x v="1"/>
    <n v="0"/>
    <n v="0"/>
    <n v="0"/>
    <n v="0"/>
    <n v="0"/>
    <n v="0"/>
    <n v="0"/>
    <n v="0"/>
    <n v="0"/>
    <n v="0"/>
    <n v="0"/>
    <n v="0"/>
    <n v="0"/>
    <n v="0"/>
    <n v="1"/>
    <n v="940"/>
    <n v="2"/>
    <n v="2"/>
    <n v="0"/>
    <n v="0"/>
    <n v="0"/>
    <s v="N/A"/>
    <s v="NA"/>
    <n v="157"/>
    <n v="157"/>
    <n v="1"/>
    <n v="0"/>
    <n v="0"/>
    <n v="0"/>
    <n v="0"/>
    <n v="0"/>
    <n v="0"/>
    <n v="0"/>
    <n v="1"/>
    <n v="0"/>
    <n v="0"/>
    <n v="0"/>
    <n v="0"/>
    <n v="0"/>
    <n v="0"/>
    <n v="0"/>
    <x v="0"/>
    <n v="0"/>
    <n v="0"/>
    <x v="2"/>
    <x v="6"/>
    <x v="2"/>
    <n v="0"/>
    <n v="0"/>
    <n v="220651"/>
    <x v="0"/>
    <m/>
  </r>
  <r>
    <x v="0"/>
    <x v="16"/>
    <x v="17"/>
    <s v="EU"/>
    <x v="1"/>
    <x v="19"/>
    <x v="2"/>
    <x v="294"/>
    <n v="170"/>
    <n v="743"/>
    <d v="2017-01-01T00:00:00"/>
    <d v="2021-12-21T00:00:00"/>
    <m/>
    <m/>
    <m/>
    <m/>
    <m/>
    <m/>
    <m/>
    <m/>
    <m/>
    <m/>
    <m/>
    <m/>
    <m/>
    <m/>
    <m/>
    <m/>
    <m/>
    <m/>
    <m/>
    <m/>
    <m/>
    <m/>
    <m/>
    <m/>
    <m/>
    <m/>
    <m/>
    <m/>
    <m/>
    <m/>
    <m/>
    <m/>
    <m/>
    <m/>
    <m/>
    <m/>
    <m/>
    <x v="1"/>
    <x v="1"/>
    <m/>
    <m/>
    <m/>
    <m/>
    <m/>
    <m/>
    <m/>
    <m/>
    <m/>
    <m/>
    <m/>
    <m/>
    <m/>
    <m/>
    <m/>
    <m/>
    <m/>
    <s v="no test"/>
    <s v="no test"/>
    <x v="1"/>
    <n v="0"/>
    <n v="0"/>
    <n v="0"/>
    <n v="0"/>
    <n v="0"/>
    <n v="0"/>
    <n v="0"/>
    <n v="0"/>
    <n v="0"/>
    <n v="0"/>
    <n v="0"/>
    <n v="0"/>
    <n v="0"/>
    <n v="0"/>
    <n v="1"/>
    <n v="743"/>
    <n v="1"/>
    <n v="1"/>
    <n v="0"/>
    <n v="0"/>
    <n v="0"/>
    <s v="N/A"/>
    <s v="NA"/>
    <n v="124"/>
    <n v="124"/>
    <n v="1"/>
    <n v="0"/>
    <n v="0"/>
    <n v="0"/>
    <n v="0"/>
    <n v="0"/>
    <n v="0"/>
    <n v="0"/>
    <n v="1"/>
    <n v="0"/>
    <n v="0"/>
    <n v="0"/>
    <n v="0"/>
    <n v="0"/>
    <n v="0"/>
    <n v="0"/>
    <x v="0"/>
    <n v="0"/>
    <n v="0"/>
    <x v="2"/>
    <x v="6"/>
    <x v="2"/>
    <n v="0"/>
    <n v="0"/>
    <n v="197103"/>
    <x v="0"/>
    <m/>
  </r>
  <r>
    <x v="0"/>
    <x v="16"/>
    <x v="17"/>
    <s v="EU"/>
    <x v="1"/>
    <x v="19"/>
    <x v="2"/>
    <x v="295"/>
    <n v="121"/>
    <n v="421"/>
    <d v="2017-01-01T00:00:00"/>
    <d v="2021-12-21T00:00:00"/>
    <m/>
    <m/>
    <m/>
    <m/>
    <m/>
    <m/>
    <m/>
    <m/>
    <m/>
    <m/>
    <m/>
    <m/>
    <m/>
    <m/>
    <m/>
    <m/>
    <m/>
    <m/>
    <m/>
    <m/>
    <m/>
    <m/>
    <m/>
    <m/>
    <m/>
    <m/>
    <m/>
    <m/>
    <m/>
    <m/>
    <m/>
    <m/>
    <m/>
    <m/>
    <m/>
    <m/>
    <m/>
    <x v="1"/>
    <x v="1"/>
    <m/>
    <m/>
    <m/>
    <m/>
    <m/>
    <m/>
    <m/>
    <m/>
    <m/>
    <m/>
    <m/>
    <m/>
    <m/>
    <m/>
    <m/>
    <m/>
    <m/>
    <s v="no test"/>
    <s v="no test"/>
    <x v="1"/>
    <n v="0"/>
    <n v="0"/>
    <n v="0"/>
    <n v="0"/>
    <n v="0"/>
    <n v="0"/>
    <n v="0"/>
    <n v="0"/>
    <n v="0"/>
    <n v="0"/>
    <n v="0"/>
    <n v="0"/>
    <n v="0"/>
    <n v="0"/>
    <n v="1"/>
    <n v="421"/>
    <n v="1"/>
    <n v="1"/>
    <n v="0"/>
    <n v="0"/>
    <n v="0"/>
    <s v="N/A"/>
    <s v="NA"/>
    <n v="70"/>
    <n v="70"/>
    <n v="1"/>
    <n v="0"/>
    <n v="0"/>
    <n v="0"/>
    <n v="0"/>
    <n v="0"/>
    <n v="0"/>
    <n v="0"/>
    <n v="1"/>
    <n v="0"/>
    <n v="0"/>
    <n v="0"/>
    <n v="0"/>
    <n v="0"/>
    <n v="0"/>
    <n v="0"/>
    <x v="0"/>
    <n v="0"/>
    <n v="0"/>
    <x v="2"/>
    <x v="6"/>
    <x v="6"/>
    <n v="20.394809720000001"/>
    <n v="93.251609799999997"/>
    <n v="196994"/>
    <x v="0"/>
    <m/>
  </r>
  <r>
    <x v="0"/>
    <x v="16"/>
    <x v="17"/>
    <s v="EU"/>
    <x v="1"/>
    <x v="19"/>
    <x v="2"/>
    <x v="296"/>
    <n v="203"/>
    <n v="1118"/>
    <d v="2017-01-01T00:00:00"/>
    <d v="2021-12-21T00:00:00"/>
    <m/>
    <m/>
    <m/>
    <m/>
    <m/>
    <m/>
    <m/>
    <m/>
    <m/>
    <m/>
    <m/>
    <m/>
    <m/>
    <m/>
    <m/>
    <m/>
    <m/>
    <m/>
    <m/>
    <m/>
    <m/>
    <m/>
    <m/>
    <m/>
    <m/>
    <m/>
    <m/>
    <m/>
    <m/>
    <m/>
    <m/>
    <m/>
    <m/>
    <m/>
    <m/>
    <m/>
    <m/>
    <x v="1"/>
    <x v="1"/>
    <m/>
    <m/>
    <m/>
    <m/>
    <m/>
    <m/>
    <m/>
    <m/>
    <m/>
    <m/>
    <m/>
    <m/>
    <m/>
    <m/>
    <m/>
    <m/>
    <m/>
    <s v="no test"/>
    <s v="no test"/>
    <x v="1"/>
    <n v="0"/>
    <n v="0"/>
    <n v="0"/>
    <n v="0"/>
    <n v="0"/>
    <n v="0"/>
    <n v="0"/>
    <n v="0"/>
    <n v="0"/>
    <n v="0"/>
    <n v="0"/>
    <n v="0"/>
    <n v="0"/>
    <n v="0"/>
    <n v="1"/>
    <n v="1118"/>
    <n v="2"/>
    <n v="2"/>
    <n v="0"/>
    <n v="0"/>
    <n v="0"/>
    <s v="N/A"/>
    <s v="NA"/>
    <n v="186"/>
    <n v="186"/>
    <n v="1"/>
    <n v="0"/>
    <n v="0"/>
    <n v="0"/>
    <n v="0"/>
    <n v="0"/>
    <n v="0"/>
    <n v="0"/>
    <n v="1"/>
    <n v="0"/>
    <n v="0"/>
    <n v="0"/>
    <n v="0"/>
    <n v="0"/>
    <n v="0"/>
    <n v="0"/>
    <x v="0"/>
    <n v="0"/>
    <n v="0"/>
    <x v="2"/>
    <x v="6"/>
    <x v="2"/>
    <n v="0"/>
    <n v="0"/>
    <n v="196997"/>
    <x v="0"/>
    <m/>
  </r>
  <r>
    <x v="0"/>
    <x v="16"/>
    <x v="17"/>
    <s v="EU"/>
    <x v="1"/>
    <x v="19"/>
    <x v="2"/>
    <x v="297"/>
    <n v="31"/>
    <n v="170"/>
    <d v="2017-01-01T00:00:00"/>
    <d v="2021-12-21T00:00:00"/>
    <m/>
    <m/>
    <m/>
    <m/>
    <m/>
    <m/>
    <m/>
    <m/>
    <m/>
    <m/>
    <m/>
    <m/>
    <m/>
    <m/>
    <m/>
    <m/>
    <m/>
    <m/>
    <m/>
    <m/>
    <m/>
    <m/>
    <m/>
    <m/>
    <m/>
    <m/>
    <m/>
    <m/>
    <m/>
    <m/>
    <m/>
    <m/>
    <m/>
    <m/>
    <m/>
    <m/>
    <m/>
    <x v="1"/>
    <x v="1"/>
    <m/>
    <m/>
    <m/>
    <m/>
    <m/>
    <m/>
    <m/>
    <m/>
    <m/>
    <m/>
    <m/>
    <m/>
    <m/>
    <m/>
    <m/>
    <m/>
    <m/>
    <s v="no test"/>
    <s v="no test"/>
    <x v="1"/>
    <n v="0"/>
    <n v="0"/>
    <n v="0"/>
    <n v="0"/>
    <n v="0"/>
    <n v="0"/>
    <n v="0"/>
    <n v="0"/>
    <n v="0"/>
    <n v="0"/>
    <n v="0"/>
    <n v="0"/>
    <n v="0"/>
    <n v="0"/>
    <n v="1"/>
    <n v="170"/>
    <n v="1"/>
    <n v="1"/>
    <n v="0"/>
    <n v="0"/>
    <n v="0"/>
    <s v="N/A"/>
    <s v="NA"/>
    <n v="28"/>
    <n v="28"/>
    <n v="1"/>
    <n v="0"/>
    <n v="0"/>
    <n v="0"/>
    <n v="0"/>
    <n v="0"/>
    <n v="0"/>
    <n v="0"/>
    <n v="1"/>
    <n v="0"/>
    <n v="0"/>
    <n v="0"/>
    <n v="0"/>
    <n v="0"/>
    <n v="0"/>
    <n v="0"/>
    <x v="0"/>
    <n v="0"/>
    <n v="0"/>
    <x v="2"/>
    <x v="6"/>
    <x v="4"/>
    <n v="20.396680830000001"/>
    <n v="93.252868649999996"/>
    <n v="196998"/>
    <x v="0"/>
    <m/>
  </r>
  <r>
    <x v="0"/>
    <x v="16"/>
    <x v="17"/>
    <s v="BMZ"/>
    <x v="1"/>
    <x v="19"/>
    <x v="2"/>
    <x v="298"/>
    <n v="180"/>
    <n v="964"/>
    <d v="2017-01-01T00:00:00"/>
    <d v="2021-12-21T00:00:00"/>
    <m/>
    <m/>
    <m/>
    <m/>
    <m/>
    <m/>
    <m/>
    <m/>
    <m/>
    <m/>
    <m/>
    <m/>
    <m/>
    <m/>
    <m/>
    <m/>
    <m/>
    <m/>
    <m/>
    <m/>
    <m/>
    <m/>
    <m/>
    <m/>
    <m/>
    <m/>
    <m/>
    <m/>
    <m/>
    <m/>
    <m/>
    <m/>
    <m/>
    <m/>
    <m/>
    <m/>
    <m/>
    <x v="1"/>
    <x v="1"/>
    <m/>
    <m/>
    <m/>
    <m/>
    <m/>
    <m/>
    <m/>
    <m/>
    <m/>
    <m/>
    <m/>
    <m/>
    <m/>
    <m/>
    <m/>
    <m/>
    <m/>
    <s v="no test"/>
    <s v="no test"/>
    <x v="1"/>
    <n v="0"/>
    <n v="0"/>
    <n v="0"/>
    <n v="0"/>
    <n v="0"/>
    <n v="0"/>
    <n v="0"/>
    <n v="0"/>
    <n v="0"/>
    <n v="0"/>
    <n v="0"/>
    <n v="0"/>
    <n v="0"/>
    <n v="0"/>
    <n v="1"/>
    <n v="964"/>
    <n v="2"/>
    <n v="2"/>
    <n v="0"/>
    <n v="0"/>
    <n v="0"/>
    <s v="N/A"/>
    <s v="NA"/>
    <n v="161"/>
    <n v="161"/>
    <n v="1"/>
    <n v="0"/>
    <n v="0"/>
    <n v="0"/>
    <n v="0"/>
    <n v="0"/>
    <n v="0"/>
    <n v="0"/>
    <n v="1"/>
    <n v="0"/>
    <n v="0"/>
    <n v="0"/>
    <n v="0"/>
    <n v="0"/>
    <n v="0"/>
    <n v="0"/>
    <x v="0"/>
    <n v="0"/>
    <n v="0"/>
    <x v="2"/>
    <x v="6"/>
    <x v="2"/>
    <n v="0"/>
    <n v="0"/>
    <n v="197114"/>
    <x v="0"/>
    <m/>
  </r>
  <r>
    <x v="0"/>
    <x v="16"/>
    <x v="17"/>
    <s v="BMZ"/>
    <x v="1"/>
    <x v="19"/>
    <x v="2"/>
    <x v="299"/>
    <n v="130"/>
    <n v="398"/>
    <d v="2017-01-01T00:00:00"/>
    <d v="2021-12-21T00:00:00"/>
    <m/>
    <m/>
    <m/>
    <m/>
    <m/>
    <m/>
    <m/>
    <m/>
    <m/>
    <m/>
    <m/>
    <m/>
    <m/>
    <m/>
    <m/>
    <m/>
    <m/>
    <m/>
    <m/>
    <m/>
    <m/>
    <m/>
    <m/>
    <m/>
    <m/>
    <m/>
    <m/>
    <m/>
    <m/>
    <m/>
    <m/>
    <m/>
    <m/>
    <m/>
    <m/>
    <m/>
    <m/>
    <x v="1"/>
    <x v="1"/>
    <m/>
    <m/>
    <m/>
    <m/>
    <m/>
    <m/>
    <m/>
    <m/>
    <m/>
    <m/>
    <m/>
    <m/>
    <m/>
    <m/>
    <m/>
    <m/>
    <m/>
    <s v="no test"/>
    <s v="no test"/>
    <x v="1"/>
    <n v="0"/>
    <n v="0"/>
    <n v="0"/>
    <n v="0"/>
    <n v="0"/>
    <n v="0"/>
    <n v="0"/>
    <n v="0"/>
    <n v="0"/>
    <n v="0"/>
    <n v="0"/>
    <n v="0"/>
    <n v="0"/>
    <n v="0"/>
    <n v="1"/>
    <n v="398"/>
    <n v="1"/>
    <n v="1"/>
    <n v="0"/>
    <n v="0"/>
    <n v="0"/>
    <s v="N/A"/>
    <s v="NA"/>
    <n v="66"/>
    <n v="66"/>
    <n v="1"/>
    <n v="0"/>
    <n v="0"/>
    <n v="0"/>
    <n v="0"/>
    <n v="0"/>
    <n v="0"/>
    <n v="0"/>
    <n v="1"/>
    <n v="0"/>
    <n v="0"/>
    <n v="0"/>
    <n v="0"/>
    <n v="0"/>
    <n v="0"/>
    <n v="0"/>
    <x v="0"/>
    <n v="0"/>
    <n v="0"/>
    <x v="2"/>
    <x v="6"/>
    <x v="2"/>
    <n v="0"/>
    <n v="0"/>
    <n v="197111"/>
    <x v="0"/>
    <m/>
  </r>
  <r>
    <x v="0"/>
    <x v="16"/>
    <x v="17"/>
    <s v="BMZ"/>
    <x v="1"/>
    <x v="19"/>
    <x v="2"/>
    <x v="300"/>
    <n v="191"/>
    <n v="713"/>
    <d v="2017-01-01T00:00:00"/>
    <d v="2021-12-21T00:00:00"/>
    <m/>
    <m/>
    <m/>
    <m/>
    <m/>
    <m/>
    <m/>
    <m/>
    <m/>
    <m/>
    <m/>
    <m/>
    <m/>
    <m/>
    <m/>
    <m/>
    <m/>
    <m/>
    <m/>
    <m/>
    <m/>
    <m/>
    <m/>
    <m/>
    <m/>
    <m/>
    <m/>
    <m/>
    <m/>
    <m/>
    <m/>
    <m/>
    <m/>
    <m/>
    <m/>
    <m/>
    <m/>
    <x v="1"/>
    <x v="1"/>
    <m/>
    <m/>
    <m/>
    <m/>
    <m/>
    <m/>
    <m/>
    <m/>
    <m/>
    <m/>
    <m/>
    <m/>
    <m/>
    <m/>
    <m/>
    <m/>
    <m/>
    <s v="no test"/>
    <s v="no test"/>
    <x v="1"/>
    <n v="0"/>
    <n v="0"/>
    <n v="0"/>
    <n v="0"/>
    <n v="0"/>
    <n v="0"/>
    <n v="0"/>
    <n v="0"/>
    <n v="0"/>
    <n v="0"/>
    <n v="0"/>
    <n v="0"/>
    <n v="0"/>
    <n v="0"/>
    <n v="1"/>
    <n v="713"/>
    <n v="1"/>
    <n v="1"/>
    <n v="0"/>
    <n v="0"/>
    <n v="0"/>
    <s v="N/A"/>
    <s v="NA"/>
    <n v="119"/>
    <n v="119"/>
    <n v="1"/>
    <n v="0"/>
    <n v="0"/>
    <n v="0"/>
    <n v="0"/>
    <n v="0"/>
    <n v="0"/>
    <n v="0"/>
    <n v="1"/>
    <n v="0"/>
    <n v="0"/>
    <n v="0"/>
    <n v="0"/>
    <n v="0"/>
    <n v="0"/>
    <n v="0"/>
    <x v="0"/>
    <n v="0"/>
    <n v="0"/>
    <x v="2"/>
    <x v="6"/>
    <x v="2"/>
    <n v="0"/>
    <n v="0"/>
    <n v="197112"/>
    <x v="0"/>
    <m/>
  </r>
  <r>
    <x v="0"/>
    <x v="16"/>
    <x v="17"/>
    <s v="BMZ"/>
    <x v="1"/>
    <x v="19"/>
    <x v="2"/>
    <x v="301"/>
    <n v="27"/>
    <n v="53"/>
    <d v="2017-01-01T00:00:00"/>
    <d v="2021-12-21T00:00:00"/>
    <m/>
    <m/>
    <m/>
    <m/>
    <m/>
    <m/>
    <m/>
    <m/>
    <m/>
    <m/>
    <m/>
    <m/>
    <m/>
    <m/>
    <m/>
    <m/>
    <m/>
    <m/>
    <m/>
    <m/>
    <m/>
    <m/>
    <m/>
    <m/>
    <m/>
    <m/>
    <m/>
    <m/>
    <m/>
    <m/>
    <m/>
    <m/>
    <m/>
    <m/>
    <m/>
    <m/>
    <m/>
    <x v="1"/>
    <x v="1"/>
    <m/>
    <m/>
    <m/>
    <m/>
    <m/>
    <m/>
    <m/>
    <m/>
    <m/>
    <m/>
    <m/>
    <m/>
    <m/>
    <m/>
    <m/>
    <m/>
    <m/>
    <s v="no test"/>
    <s v="no test"/>
    <x v="1"/>
    <n v="0"/>
    <n v="0"/>
    <n v="0"/>
    <n v="0"/>
    <n v="0"/>
    <n v="0"/>
    <n v="0"/>
    <n v="0"/>
    <n v="0"/>
    <n v="0"/>
    <n v="0"/>
    <n v="0"/>
    <n v="0"/>
    <n v="0"/>
    <n v="1"/>
    <n v="53"/>
    <n v="1"/>
    <n v="1"/>
    <n v="0"/>
    <n v="0"/>
    <n v="0"/>
    <s v="N/A"/>
    <s v="NA"/>
    <n v="9"/>
    <n v="9"/>
    <n v="1"/>
    <n v="0"/>
    <n v="0"/>
    <n v="0"/>
    <n v="0"/>
    <n v="0"/>
    <n v="0"/>
    <n v="0"/>
    <n v="1"/>
    <n v="0"/>
    <n v="0"/>
    <n v="0"/>
    <n v="0"/>
    <n v="0"/>
    <n v="0"/>
    <n v="0"/>
    <x v="0"/>
    <n v="0"/>
    <n v="0"/>
    <x v="2"/>
    <x v="6"/>
    <x v="2"/>
    <n v="0"/>
    <n v="0"/>
    <n v="220653"/>
    <x v="0"/>
    <m/>
  </r>
  <r>
    <x v="0"/>
    <x v="16"/>
    <x v="17"/>
    <s v="BMZ"/>
    <x v="1"/>
    <x v="19"/>
    <x v="2"/>
    <x v="302"/>
    <n v="63"/>
    <n v="249"/>
    <d v="2017-01-01T00:00:00"/>
    <d v="2021-12-21T00:00:00"/>
    <m/>
    <m/>
    <m/>
    <m/>
    <m/>
    <m/>
    <m/>
    <m/>
    <m/>
    <m/>
    <m/>
    <m/>
    <m/>
    <m/>
    <m/>
    <m/>
    <m/>
    <m/>
    <m/>
    <m/>
    <m/>
    <m/>
    <m/>
    <m/>
    <m/>
    <m/>
    <m/>
    <m/>
    <m/>
    <m/>
    <m/>
    <m/>
    <m/>
    <m/>
    <m/>
    <m/>
    <m/>
    <x v="1"/>
    <x v="1"/>
    <m/>
    <m/>
    <m/>
    <m/>
    <m/>
    <m/>
    <m/>
    <m/>
    <m/>
    <m/>
    <m/>
    <m/>
    <m/>
    <m/>
    <m/>
    <m/>
    <m/>
    <s v="no test"/>
    <s v="no test"/>
    <x v="1"/>
    <n v="0"/>
    <n v="0"/>
    <n v="0"/>
    <n v="0"/>
    <n v="0"/>
    <n v="0"/>
    <n v="0"/>
    <n v="0"/>
    <n v="0"/>
    <n v="0"/>
    <n v="0"/>
    <n v="0"/>
    <n v="0"/>
    <n v="0"/>
    <n v="1"/>
    <n v="249"/>
    <n v="1"/>
    <n v="1"/>
    <n v="0"/>
    <n v="0"/>
    <n v="0"/>
    <s v="N/A"/>
    <s v="NA"/>
    <n v="42"/>
    <n v="42"/>
    <n v="1"/>
    <n v="0"/>
    <n v="0"/>
    <n v="0"/>
    <n v="0"/>
    <n v="0"/>
    <n v="0"/>
    <n v="0"/>
    <n v="1"/>
    <n v="0"/>
    <n v="0"/>
    <n v="0"/>
    <n v="0"/>
    <n v="0"/>
    <n v="0"/>
    <n v="0"/>
    <x v="0"/>
    <n v="0"/>
    <n v="0"/>
    <x v="2"/>
    <x v="6"/>
    <x v="2"/>
    <n v="0"/>
    <n v="0"/>
    <n v="197110"/>
    <x v="0"/>
    <m/>
  </r>
  <r>
    <x v="0"/>
    <x v="14"/>
    <x v="15"/>
    <s v="DFID/HARP"/>
    <x v="1"/>
    <x v="18"/>
    <x v="1"/>
    <x v="303"/>
    <n v="1311"/>
    <n v="6936"/>
    <m/>
    <d v="2020-09-30T00:00:00"/>
    <m/>
    <m/>
    <m/>
    <s v=" -   "/>
    <m/>
    <m/>
    <m/>
    <m/>
    <m/>
    <m/>
    <m/>
    <m/>
    <m/>
    <s v=" -   "/>
    <m/>
    <m/>
    <m/>
    <m/>
    <m/>
    <m/>
    <m/>
    <m/>
    <m/>
    <m/>
    <m/>
    <n v="2"/>
    <m/>
    <m/>
    <m/>
    <m/>
    <m/>
    <m/>
    <m/>
    <m/>
    <m/>
    <m/>
    <m/>
    <x v="0"/>
    <x v="0"/>
    <m/>
    <m/>
    <m/>
    <m/>
    <m/>
    <m/>
    <m/>
    <m/>
    <m/>
    <n v="8"/>
    <n v="5"/>
    <n v="1350"/>
    <n v="1350"/>
    <m/>
    <n v="33"/>
    <m/>
    <m/>
    <s v="no test"/>
    <s v="no test"/>
    <x v="1"/>
    <n v="0"/>
    <n v="0"/>
    <n v="0"/>
    <n v="0"/>
    <n v="0"/>
    <n v="0"/>
    <n v="0"/>
    <n v="0"/>
    <n v="0"/>
    <n v="0"/>
    <n v="0"/>
    <n v="0"/>
    <n v="0"/>
    <n v="0"/>
    <n v="1"/>
    <n v="6936"/>
    <n v="14"/>
    <n v="14"/>
    <n v="0"/>
    <n v="0"/>
    <n v="0"/>
    <n v="0"/>
    <n v="0"/>
    <n v="347"/>
    <n v="347"/>
    <n v="1"/>
    <n v="0"/>
    <n v="6500"/>
    <n v="6750"/>
    <n v="6750"/>
    <n v="6750"/>
    <n v="6750"/>
    <n v="0.97318339100346019"/>
    <n v="2.6816608996539815E-2"/>
    <n v="0.93713956170703572"/>
    <n v="1"/>
    <n v="1"/>
    <n v="0"/>
    <n v="0"/>
    <n v="0"/>
    <n v="0"/>
    <x v="0"/>
    <s v="Yes"/>
    <n v="0"/>
    <x v="0"/>
    <x v="7"/>
    <x v="3"/>
    <n v="20.181405999999999"/>
    <n v="92.807552000000001"/>
    <s v="MMR012CMP114"/>
    <x v="0"/>
    <m/>
  </r>
  <r>
    <x v="0"/>
    <x v="14"/>
    <x v="15"/>
    <s v="DFID/HARP"/>
    <x v="1"/>
    <x v="18"/>
    <x v="1"/>
    <x v="304"/>
    <n v="2009"/>
    <n v="11625"/>
    <m/>
    <d v="2020-09-30T00:00:00"/>
    <m/>
    <m/>
    <m/>
    <s v=" -   "/>
    <m/>
    <m/>
    <m/>
    <m/>
    <m/>
    <m/>
    <n v="92"/>
    <m/>
    <n v="18"/>
    <n v="67"/>
    <m/>
    <m/>
    <m/>
    <m/>
    <m/>
    <m/>
    <m/>
    <n v="92"/>
    <n v="67"/>
    <n v="4"/>
    <n v="91"/>
    <n v="3"/>
    <m/>
    <m/>
    <m/>
    <n v="498"/>
    <m/>
    <m/>
    <n v="85"/>
    <n v="211"/>
    <n v="239"/>
    <m/>
    <n v="498"/>
    <x v="0"/>
    <x v="0"/>
    <m/>
    <m/>
    <m/>
    <m/>
    <m/>
    <m/>
    <m/>
    <m/>
    <m/>
    <n v="12"/>
    <n v="6"/>
    <n v="2003"/>
    <n v="2003"/>
    <m/>
    <n v="48"/>
    <m/>
    <m/>
    <n v="5.9701492537313432E-2"/>
    <n v="3.2967032967032968E-2"/>
    <x v="0"/>
    <n v="0"/>
    <n v="74"/>
    <n v="0"/>
    <n v="0"/>
    <n v="0"/>
    <n v="1"/>
    <n v="1"/>
    <n v="1"/>
    <n v="11625"/>
    <n v="0"/>
    <n v="0"/>
    <n v="1"/>
    <n v="11625"/>
    <n v="23.25"/>
    <n v="0"/>
    <n v="0"/>
    <n v="0"/>
    <n v="23"/>
    <n v="413"/>
    <n v="0.71053763440860218"/>
    <n v="8260"/>
    <n v="4780"/>
    <n v="0"/>
    <n v="581"/>
    <n v="83"/>
    <n v="0.28946236559139782"/>
    <n v="0.17068273092369479"/>
    <n v="9000"/>
    <n v="10015"/>
    <n v="10015"/>
    <n v="10015"/>
    <n v="10015"/>
    <n v="0.86150537634408597"/>
    <n v="0.13849462365591403"/>
    <n v="0.77419354838709675"/>
    <n v="0.99701343952215027"/>
    <n v="0.99701343952215027"/>
    <n v="0"/>
    <n v="0"/>
    <n v="0"/>
    <n v="0"/>
    <x v="0"/>
    <s v="Yes"/>
    <n v="0"/>
    <x v="0"/>
    <x v="7"/>
    <x v="3"/>
    <n v="20.16846"/>
    <n v="92.827427"/>
    <s v="MMR012CMP041"/>
    <x v="0"/>
    <m/>
  </r>
  <r>
    <x v="0"/>
    <x v="14"/>
    <x v="15"/>
    <s v="DFID/HARP"/>
    <x v="1"/>
    <x v="18"/>
    <x v="1"/>
    <x v="305"/>
    <n v="604"/>
    <n v="3360"/>
    <m/>
    <d v="2020-09-30T00:00:00"/>
    <m/>
    <m/>
    <m/>
    <s v=" -   "/>
    <m/>
    <m/>
    <m/>
    <m/>
    <m/>
    <m/>
    <n v="20"/>
    <m/>
    <n v="1"/>
    <n v="1"/>
    <m/>
    <m/>
    <m/>
    <m/>
    <m/>
    <m/>
    <m/>
    <n v="20"/>
    <n v="21"/>
    <n v="1"/>
    <n v="26"/>
    <n v="1"/>
    <m/>
    <m/>
    <m/>
    <m/>
    <m/>
    <m/>
    <m/>
    <n v="0"/>
    <n v="0"/>
    <m/>
    <m/>
    <x v="0"/>
    <x v="2"/>
    <m/>
    <m/>
    <m/>
    <m/>
    <m/>
    <m/>
    <m/>
    <m/>
    <m/>
    <n v="8"/>
    <n v="3"/>
    <n v="594"/>
    <n v="594"/>
    <m/>
    <n v="35"/>
    <m/>
    <m/>
    <n v="4.7619047619047616E-2"/>
    <n v="3.8461538461538464E-2"/>
    <x v="0"/>
    <n v="0"/>
    <n v="19"/>
    <n v="0"/>
    <n v="0"/>
    <n v="0"/>
    <n v="1"/>
    <n v="1"/>
    <n v="1"/>
    <n v="3360"/>
    <n v="0"/>
    <n v="0"/>
    <n v="1"/>
    <n v="3360"/>
    <n v="6.72"/>
    <n v="0"/>
    <n v="0"/>
    <n v="0.28000000000000025"/>
    <n v="7"/>
    <n v="0"/>
    <n v="0"/>
    <n v="0"/>
    <n v="0"/>
    <n v="0"/>
    <n v="168"/>
    <n v="168"/>
    <n v="1"/>
    <n v="0"/>
    <n v="3360"/>
    <n v="2970"/>
    <n v="2970"/>
    <n v="2970"/>
    <n v="3360"/>
    <n v="1"/>
    <n v="0"/>
    <n v="1"/>
    <n v="0.98344370860927155"/>
    <n v="0.98344370860927155"/>
    <n v="0"/>
    <n v="0"/>
    <n v="0"/>
    <n v="0"/>
    <x v="0"/>
    <s v="Yes"/>
    <n v="0"/>
    <x v="0"/>
    <x v="1"/>
    <x v="3"/>
    <n v="20.167421999999998"/>
    <n v="92.830074999999994"/>
    <s v="MMR012CMP097"/>
    <x v="0"/>
    <m/>
  </r>
  <r>
    <x v="0"/>
    <x v="14"/>
    <x v="15"/>
    <m/>
    <x v="1"/>
    <x v="18"/>
    <x v="1"/>
    <x v="306"/>
    <n v="14"/>
    <n v="93"/>
    <m/>
    <m/>
    <m/>
    <m/>
    <m/>
    <s v=" -   "/>
    <m/>
    <m/>
    <m/>
    <m/>
    <m/>
    <m/>
    <m/>
    <m/>
    <m/>
    <s v=" -   "/>
    <m/>
    <m/>
    <m/>
    <m/>
    <m/>
    <m/>
    <m/>
    <s v=" -   "/>
    <m/>
    <m/>
    <m/>
    <m/>
    <m/>
    <m/>
    <m/>
    <m/>
    <m/>
    <m/>
    <m/>
    <n v="0"/>
    <n v="0"/>
    <m/>
    <m/>
    <x v="0"/>
    <x v="2"/>
    <m/>
    <m/>
    <m/>
    <m/>
    <m/>
    <m/>
    <m/>
    <m/>
    <m/>
    <m/>
    <m/>
    <m/>
    <m/>
    <m/>
    <m/>
    <m/>
    <m/>
    <s v="no test"/>
    <s v="no test"/>
    <x v="1"/>
    <n v="0"/>
    <n v="0"/>
    <n v="0"/>
    <n v="0"/>
    <n v="0"/>
    <n v="0"/>
    <n v="0"/>
    <n v="0"/>
    <n v="0"/>
    <n v="0"/>
    <n v="0"/>
    <n v="0"/>
    <n v="0"/>
    <n v="0"/>
    <n v="1"/>
    <n v="93"/>
    <n v="1"/>
    <n v="1"/>
    <n v="0"/>
    <n v="0"/>
    <n v="0"/>
    <n v="0"/>
    <n v="0"/>
    <n v="5"/>
    <n v="5"/>
    <n v="1"/>
    <n v="0"/>
    <n v="0"/>
    <n v="0"/>
    <n v="0"/>
    <n v="0"/>
    <n v="0"/>
    <n v="0"/>
    <n v="1"/>
    <n v="0"/>
    <n v="0"/>
    <n v="0"/>
    <n v="0"/>
    <n v="0"/>
    <n v="0"/>
    <n v="0"/>
    <x v="0"/>
    <s v="Yes"/>
    <n v="0"/>
    <x v="0"/>
    <x v="1"/>
    <x v="3"/>
    <n v="20.182987000000001"/>
    <n v="92.804803000000007"/>
    <s v="MMR012CMP103"/>
    <x v="0"/>
    <m/>
  </r>
  <r>
    <x v="0"/>
    <x v="18"/>
    <x v="19"/>
    <s v="DFID/HARP,LDS"/>
    <x v="1"/>
    <x v="18"/>
    <x v="1"/>
    <x v="307"/>
    <n v="400"/>
    <n v="2248"/>
    <m/>
    <s v="09/30/2020, 1/30/2019"/>
    <m/>
    <m/>
    <m/>
    <s v=" -   "/>
    <m/>
    <m/>
    <m/>
    <m/>
    <m/>
    <m/>
    <n v="55"/>
    <m/>
    <n v="10"/>
    <s v=" -   "/>
    <m/>
    <m/>
    <m/>
    <m/>
    <m/>
    <m/>
    <m/>
    <n v="55"/>
    <m/>
    <m/>
    <m/>
    <m/>
    <m/>
    <m/>
    <m/>
    <n v="106"/>
    <m/>
    <m/>
    <n v="5"/>
    <n v="0"/>
    <n v="67"/>
    <m/>
    <n v="106"/>
    <x v="0"/>
    <x v="0"/>
    <m/>
    <m/>
    <m/>
    <m/>
    <m/>
    <m/>
    <m/>
    <m/>
    <m/>
    <n v="9"/>
    <m/>
    <n v="400"/>
    <n v="400"/>
    <s v="Yes"/>
    <n v="0"/>
    <m/>
    <m/>
    <s v="no test"/>
    <s v="no test"/>
    <x v="1"/>
    <n v="0"/>
    <n v="45"/>
    <n v="0"/>
    <n v="0"/>
    <n v="0"/>
    <n v="1"/>
    <n v="1"/>
    <n v="1"/>
    <n v="2248"/>
    <n v="0"/>
    <n v="0"/>
    <n v="1"/>
    <n v="2248"/>
    <n v="4.4960000000000004"/>
    <n v="0"/>
    <n v="0"/>
    <n v="0"/>
    <n v="4"/>
    <n v="101"/>
    <n v="0.89857651245551606"/>
    <n v="2020"/>
    <n v="1340"/>
    <n v="0"/>
    <n v="112"/>
    <n v="6"/>
    <n v="0.10142348754448394"/>
    <n v="4.716981132075472E-2"/>
    <n v="2248"/>
    <n v="2248"/>
    <n v="2248"/>
    <n v="2248"/>
    <n v="2248"/>
    <n v="1"/>
    <n v="0"/>
    <n v="1"/>
    <n v="1"/>
    <n v="1"/>
    <n v="0"/>
    <n v="0"/>
    <n v="0"/>
    <n v="0"/>
    <x v="0"/>
    <s v="Yes"/>
    <n v="0"/>
    <x v="0"/>
    <x v="7"/>
    <x v="3"/>
    <n v="20.181778000000001"/>
    <n v="92.823166999999998"/>
    <s v="MMR012CMP042"/>
    <x v="0"/>
    <m/>
  </r>
  <r>
    <x v="0"/>
    <x v="14"/>
    <x v="15"/>
    <s v="DFID/HARP"/>
    <x v="1"/>
    <x v="18"/>
    <x v="1"/>
    <x v="308"/>
    <n v="400"/>
    <n v="2186"/>
    <m/>
    <d v="2020-09-30T00:00:00"/>
    <m/>
    <m/>
    <m/>
    <s v=" -   "/>
    <m/>
    <m/>
    <m/>
    <m/>
    <m/>
    <m/>
    <n v="29"/>
    <m/>
    <n v="2"/>
    <n v="9"/>
    <m/>
    <m/>
    <m/>
    <m/>
    <m/>
    <m/>
    <m/>
    <n v="29"/>
    <m/>
    <m/>
    <m/>
    <n v="4"/>
    <m/>
    <m/>
    <m/>
    <n v="104"/>
    <m/>
    <m/>
    <n v="18"/>
    <n v="1"/>
    <n v="38"/>
    <m/>
    <n v="104"/>
    <x v="0"/>
    <x v="0"/>
    <m/>
    <m/>
    <m/>
    <m/>
    <m/>
    <m/>
    <m/>
    <m/>
    <m/>
    <n v="4"/>
    <n v="2"/>
    <n v="400"/>
    <n v="400"/>
    <m/>
    <n v="30"/>
    <m/>
    <m/>
    <s v="no test"/>
    <s v="no test"/>
    <x v="1"/>
    <n v="0"/>
    <n v="27"/>
    <n v="0"/>
    <n v="0"/>
    <n v="0"/>
    <n v="1"/>
    <n v="1"/>
    <n v="1"/>
    <n v="2186"/>
    <n v="0"/>
    <n v="0"/>
    <n v="1"/>
    <n v="2186"/>
    <n v="4.3719999999999999"/>
    <n v="0"/>
    <n v="0"/>
    <n v="0"/>
    <n v="4"/>
    <n v="86"/>
    <n v="0.78682525160109784"/>
    <n v="1720"/>
    <n v="760"/>
    <n v="0"/>
    <n v="109"/>
    <n v="5"/>
    <n v="0.21317474839890216"/>
    <n v="0.17307692307692307"/>
    <n v="2186"/>
    <n v="2186"/>
    <n v="2186"/>
    <n v="2186"/>
    <n v="2186"/>
    <n v="1"/>
    <n v="0"/>
    <n v="1"/>
    <n v="1"/>
    <n v="1"/>
    <n v="0"/>
    <n v="0"/>
    <n v="0"/>
    <n v="0"/>
    <x v="0"/>
    <n v="0"/>
    <n v="0"/>
    <x v="0"/>
    <x v="7"/>
    <x v="3"/>
    <n v="20.180194"/>
    <n v="92.816638999999995"/>
    <s v="MMR012CMP042"/>
    <x v="0"/>
    <m/>
  </r>
  <r>
    <x v="0"/>
    <x v="17"/>
    <x v="18"/>
    <s v="DFID/HARP"/>
    <x v="1"/>
    <x v="18"/>
    <x v="1"/>
    <x v="309"/>
    <n v="656"/>
    <n v="3486"/>
    <m/>
    <d v="2020-09-30T00:00:00"/>
    <m/>
    <m/>
    <m/>
    <s v=" -   "/>
    <m/>
    <m/>
    <m/>
    <m/>
    <m/>
    <m/>
    <n v="46"/>
    <m/>
    <n v="17"/>
    <n v="13"/>
    <m/>
    <m/>
    <m/>
    <m/>
    <m/>
    <m/>
    <m/>
    <n v="46"/>
    <n v="30"/>
    <n v="2"/>
    <n v="59"/>
    <n v="16"/>
    <m/>
    <m/>
    <m/>
    <n v="241"/>
    <m/>
    <m/>
    <n v="78"/>
    <n v="134"/>
    <n v="114"/>
    <m/>
    <n v="241"/>
    <x v="0"/>
    <x v="0"/>
    <m/>
    <m/>
    <m/>
    <m/>
    <m/>
    <m/>
    <m/>
    <m/>
    <m/>
    <n v="7"/>
    <m/>
    <n v="656"/>
    <n v="656"/>
    <s v="Yes"/>
    <n v="39"/>
    <m/>
    <m/>
    <n v="6.6666666666666666E-2"/>
    <n v="0.2711864406779661"/>
    <x v="0"/>
    <n v="0"/>
    <n v="29"/>
    <n v="0"/>
    <n v="0"/>
    <n v="0"/>
    <n v="1"/>
    <n v="1"/>
    <n v="1"/>
    <n v="3486"/>
    <n v="0"/>
    <n v="0"/>
    <n v="1"/>
    <n v="3486"/>
    <n v="6.9720000000000004"/>
    <n v="0"/>
    <n v="0"/>
    <n v="2.7999999999999581E-2"/>
    <n v="7"/>
    <n v="163"/>
    <n v="0.93516924842226046"/>
    <n v="3260"/>
    <n v="2280"/>
    <n v="0"/>
    <n v="174"/>
    <n v="0"/>
    <n v="6.4830751577739543E-2"/>
    <n v="0.32365145228215769"/>
    <n v="3486"/>
    <n v="3486"/>
    <n v="3486"/>
    <n v="3486"/>
    <n v="3486"/>
    <n v="1"/>
    <n v="0"/>
    <n v="1"/>
    <n v="1"/>
    <n v="1"/>
    <n v="0"/>
    <n v="0"/>
    <n v="0"/>
    <n v="0"/>
    <x v="0"/>
    <s v="Yes"/>
    <n v="0"/>
    <x v="0"/>
    <x v="7"/>
    <x v="3"/>
    <n v="20.185917"/>
    <n v="92.831000000000003"/>
    <s v="MMR012CMP092"/>
    <x v="0"/>
    <m/>
  </r>
  <r>
    <x v="0"/>
    <x v="17"/>
    <x v="18"/>
    <s v="DFID/HARP"/>
    <x v="1"/>
    <x v="18"/>
    <x v="1"/>
    <x v="310"/>
    <n v="673"/>
    <n v="3095"/>
    <m/>
    <d v="2020-09-30T00:00:00"/>
    <m/>
    <m/>
    <m/>
    <s v=" -   "/>
    <m/>
    <m/>
    <m/>
    <m/>
    <m/>
    <m/>
    <n v="80"/>
    <m/>
    <n v="14"/>
    <s v=" -   "/>
    <m/>
    <m/>
    <m/>
    <m/>
    <m/>
    <m/>
    <m/>
    <n v="80"/>
    <n v="2"/>
    <m/>
    <m/>
    <m/>
    <m/>
    <m/>
    <m/>
    <n v="175"/>
    <m/>
    <m/>
    <n v="14"/>
    <n v="0"/>
    <n v="14"/>
    <m/>
    <n v="175"/>
    <x v="0"/>
    <x v="0"/>
    <m/>
    <m/>
    <m/>
    <m/>
    <m/>
    <m/>
    <m/>
    <m/>
    <m/>
    <n v="6"/>
    <m/>
    <n v="705"/>
    <n v="705"/>
    <s v="Yes"/>
    <n v="3"/>
    <m/>
    <m/>
    <n v="0"/>
    <s v="no test"/>
    <x v="0"/>
    <n v="0"/>
    <n v="66"/>
    <n v="0"/>
    <n v="0"/>
    <n v="0"/>
    <n v="1"/>
    <n v="1"/>
    <n v="1"/>
    <n v="3095"/>
    <n v="0"/>
    <n v="0"/>
    <n v="1"/>
    <n v="3095"/>
    <n v="6.19"/>
    <n v="0"/>
    <n v="0"/>
    <n v="0"/>
    <n v="6"/>
    <n v="161"/>
    <n v="1"/>
    <n v="3095"/>
    <n v="280"/>
    <n v="0"/>
    <n v="155"/>
    <n v="0"/>
    <n v="0"/>
    <n v="0.08"/>
    <n v="3000"/>
    <n v="3095"/>
    <n v="3095"/>
    <n v="3095"/>
    <n v="3095"/>
    <n v="1"/>
    <n v="0"/>
    <n v="0.96930533117932149"/>
    <n v="1"/>
    <n v="1"/>
    <n v="0"/>
    <n v="0"/>
    <n v="0"/>
    <n v="0"/>
    <x v="0"/>
    <s v="Yes"/>
    <n v="0"/>
    <x v="0"/>
    <x v="7"/>
    <x v="3"/>
    <n v="20.206778"/>
    <n v="92.774193999999994"/>
    <s v="MMR012CMP098"/>
    <x v="0"/>
    <m/>
  </r>
  <r>
    <x v="0"/>
    <x v="17"/>
    <x v="18"/>
    <s v="DFID/HARP"/>
    <x v="1"/>
    <x v="18"/>
    <x v="1"/>
    <x v="311"/>
    <n v="2428"/>
    <n v="13302"/>
    <m/>
    <d v="2020-09-30T00:00:00"/>
    <m/>
    <m/>
    <m/>
    <s v=" -   "/>
    <m/>
    <m/>
    <m/>
    <m/>
    <m/>
    <m/>
    <n v="226"/>
    <m/>
    <n v="117"/>
    <n v="26"/>
    <m/>
    <m/>
    <m/>
    <m/>
    <m/>
    <m/>
    <m/>
    <n v="226"/>
    <m/>
    <m/>
    <m/>
    <m/>
    <m/>
    <m/>
    <m/>
    <n v="778"/>
    <m/>
    <m/>
    <n v="431"/>
    <n v="242"/>
    <n v="359"/>
    <m/>
    <n v="778"/>
    <x v="0"/>
    <x v="0"/>
    <m/>
    <m/>
    <m/>
    <m/>
    <m/>
    <m/>
    <m/>
    <m/>
    <m/>
    <n v="28"/>
    <m/>
    <n v="2728"/>
    <n v="2728"/>
    <s v="Yes"/>
    <n v="58"/>
    <m/>
    <m/>
    <s v="no test"/>
    <s v="no test"/>
    <x v="1"/>
    <n v="0"/>
    <n v="109"/>
    <n v="0"/>
    <n v="0"/>
    <n v="0"/>
    <n v="1"/>
    <n v="1"/>
    <n v="1"/>
    <n v="13302"/>
    <n v="0"/>
    <n v="0"/>
    <n v="1"/>
    <n v="13302"/>
    <n v="26.603999999999999"/>
    <n v="0"/>
    <n v="0"/>
    <n v="0.3960000000000008"/>
    <n v="27"/>
    <n v="347"/>
    <n v="0.52172605623214552"/>
    <n v="6940"/>
    <n v="7180"/>
    <n v="0"/>
    <n v="665"/>
    <n v="0"/>
    <n v="0.47827394376785448"/>
    <n v="0.55398457583547556"/>
    <n v="13302"/>
    <n v="13302"/>
    <n v="13302"/>
    <n v="13302"/>
    <n v="13302"/>
    <n v="1"/>
    <n v="0"/>
    <n v="1"/>
    <n v="1"/>
    <n v="1"/>
    <n v="0"/>
    <n v="0"/>
    <n v="0"/>
    <n v="0"/>
    <x v="0"/>
    <s v="Yes"/>
    <n v="0"/>
    <x v="0"/>
    <x v="7"/>
    <x v="3"/>
    <n v="20.18994"/>
    <n v="92.798880999999994"/>
    <s v="MMR012CMP115"/>
    <x v="0"/>
    <m/>
  </r>
  <r>
    <x v="0"/>
    <x v="19"/>
    <x v="20"/>
    <s v="MHF,EU"/>
    <x v="1"/>
    <x v="18"/>
    <x v="1"/>
    <x v="312"/>
    <n v="2259"/>
    <n v="11375"/>
    <s v="1-March-2019_x000a_1-March-2019"/>
    <s v="31-July-2019_x000a_31-Oct-2019"/>
    <n v="3256"/>
    <n v="12"/>
    <n v="162"/>
    <n v="0"/>
    <s v="No"/>
    <n v="98"/>
    <n v="76"/>
    <n v="0"/>
    <n v="0"/>
    <n v="0"/>
    <n v="151"/>
    <n v="101"/>
    <n v="42"/>
    <n v="135"/>
    <n v="0"/>
    <n v="0"/>
    <n v="0"/>
    <n v="0"/>
    <n v="0"/>
    <n v="0"/>
    <n v="0"/>
    <n v="2"/>
    <n v="100"/>
    <n v="7"/>
    <n v="120"/>
    <n v="45"/>
    <s v=" -   "/>
    <s v=" -   "/>
    <s v="During this time, the contamination at the water sources are not too serious relative to the usual Sittwe camps WASH situation (34%)_x000a_ but HH level contamination is higher than the water source(71%). Additionally, there are many private handpumps (around 120) which are owned by IDPs, some of which were built by other organisations then privatised - there are maintained by households themselves and we monitor the water quality but water treatment depends on the consultation and agreement, which was mostly accepted, but some households would not alow treatment (shock chlorination)."/>
    <n v="591"/>
    <n v="240"/>
    <m/>
    <n v="225"/>
    <n v="130"/>
    <n v="476"/>
    <s v="Around 18302.2"/>
    <n v="0"/>
    <x v="0"/>
    <x v="2"/>
    <n v="32"/>
    <n v="26"/>
    <n v="2"/>
    <s v="There have been some overflowing latrines in the camp and there are still challenges to cover all the latrine pits due to a high rate of theft/vandalism. The government provided 240 latrines which will be at high risk of flooding during the rainy season. DRC plans to repair 150 latrines and to construct 23 new latrines for people with disabilities (PwD)."/>
    <m/>
    <m/>
    <n v="0"/>
    <n v="0"/>
    <n v="0"/>
    <n v="12"/>
    <n v="10"/>
    <n v="2259"/>
    <n v="2259"/>
    <s v="No"/>
    <n v="0"/>
    <n v="0"/>
    <s v="RDC distributed 2259 kits based on needs identified by PDM (toothpaste,shampoo, _x000a_ jerry cans), and plans to conduct WASH in schools hygiene promotion sessions. According to the PDM results, the amount of sanitary pads is not enough for much female family members, so DRC is trying to identify funding to provide female hygiene kits."/>
    <n v="7.0000000000000007E-2"/>
    <n v="0.375"/>
    <x v="0"/>
    <n v="0"/>
    <n v="210"/>
    <n v="0"/>
    <n v="0"/>
    <n v="0"/>
    <n v="1"/>
    <n v="1"/>
    <n v="1"/>
    <n v="11375"/>
    <n v="0"/>
    <n v="0"/>
    <n v="1"/>
    <n v="11375"/>
    <n v="22.75"/>
    <n v="0"/>
    <n v="0"/>
    <n v="0.25"/>
    <n v="23"/>
    <n v="606"/>
    <n v="1"/>
    <n v="11375"/>
    <n v="9520"/>
    <n v="100"/>
    <n v="569"/>
    <n v="0"/>
    <n v="0"/>
    <n v="0.27075812274368233"/>
    <n v="11000"/>
    <n v="11375"/>
    <n v="11375"/>
    <n v="11375"/>
    <n v="11375"/>
    <n v="1"/>
    <n v="0"/>
    <n v="0.96703296703296704"/>
    <n v="1"/>
    <n v="1"/>
    <n v="0"/>
    <n v="0"/>
    <n v="0"/>
    <n v="0"/>
    <x v="1"/>
    <s v="Yes"/>
    <n v="0"/>
    <x v="0"/>
    <x v="7"/>
    <x v="3"/>
    <n v="20.185092000000001"/>
    <n v="92.802295999999998"/>
    <s v="MMR012CMP116"/>
    <x v="0"/>
    <m/>
  </r>
  <r>
    <x v="0"/>
    <x v="14"/>
    <x v="15"/>
    <s v="DFID/HARP, EU"/>
    <x v="1"/>
    <x v="18"/>
    <x v="2"/>
    <x v="313"/>
    <n v="427"/>
    <n v="2427"/>
    <m/>
    <d v="2020-09-30T00:00:00"/>
    <m/>
    <m/>
    <m/>
    <s v=" -   "/>
    <m/>
    <m/>
    <m/>
    <m/>
    <m/>
    <m/>
    <n v="17"/>
    <m/>
    <n v="0"/>
    <n v="0"/>
    <m/>
    <m/>
    <m/>
    <m/>
    <m/>
    <m/>
    <m/>
    <n v="17"/>
    <m/>
    <m/>
    <m/>
    <m/>
    <m/>
    <m/>
    <m/>
    <m/>
    <m/>
    <m/>
    <m/>
    <n v="0"/>
    <n v="0"/>
    <m/>
    <m/>
    <x v="0"/>
    <x v="2"/>
    <m/>
    <m/>
    <m/>
    <m/>
    <m/>
    <m/>
    <m/>
    <m/>
    <m/>
    <n v="3"/>
    <n v="1"/>
    <n v="423"/>
    <n v="423"/>
    <m/>
    <n v="36"/>
    <m/>
    <m/>
    <s v="no test"/>
    <s v="no test"/>
    <x v="1"/>
    <n v="0"/>
    <n v="17"/>
    <n v="0"/>
    <n v="0"/>
    <n v="0"/>
    <n v="1"/>
    <n v="1"/>
    <n v="1"/>
    <n v="2427"/>
    <n v="0"/>
    <n v="0"/>
    <n v="1"/>
    <n v="2427"/>
    <n v="4.8540000000000001"/>
    <n v="0"/>
    <n v="0"/>
    <n v="0.14599999999999991"/>
    <n v="5"/>
    <n v="0"/>
    <n v="0"/>
    <n v="0"/>
    <s v="N/A"/>
    <s v="NA"/>
    <n v="405"/>
    <n v="405"/>
    <n v="1"/>
    <n v="0"/>
    <n v="2000"/>
    <n v="2115"/>
    <n v="2115"/>
    <n v="2115"/>
    <n v="2115"/>
    <n v="0.87144622991347342"/>
    <n v="0.12855377008652658"/>
    <n v="0.82406262875978575"/>
    <n v="0.99063231850117095"/>
    <n v="0.99063231850117095"/>
    <n v="0"/>
    <n v="0"/>
    <n v="0"/>
    <n v="0"/>
    <x v="0"/>
    <n v="0"/>
    <n v="0"/>
    <x v="2"/>
    <x v="6"/>
    <x v="3"/>
    <n v="20.147863431600001"/>
    <n v="92.846768572000002"/>
    <n v="196209"/>
    <x v="0"/>
    <m/>
  </r>
  <r>
    <x v="0"/>
    <x v="19"/>
    <x v="20"/>
    <s v="MHF,EU"/>
    <x v="1"/>
    <x v="18"/>
    <x v="1"/>
    <x v="314"/>
    <n v="400"/>
    <n v="2285"/>
    <s v="1-March-2019_x000a_1-March-2019"/>
    <s v="31-July-2019_x000a_31-Oct-2019"/>
    <n v="346"/>
    <n v="5"/>
    <n v="43"/>
    <n v="0"/>
    <s v="No"/>
    <n v="31"/>
    <n v="17"/>
    <n v="0"/>
    <n v="0"/>
    <n v="0"/>
    <n v="30"/>
    <n v="14"/>
    <n v="1"/>
    <n v="29"/>
    <n v="0"/>
    <n v="0"/>
    <n v="0"/>
    <n v="0"/>
    <n v="0"/>
    <n v="0"/>
    <n v="0"/>
    <n v="0"/>
    <n v="30"/>
    <n v="7"/>
    <n v="70"/>
    <n v="20"/>
    <s v=" -   "/>
    <s v=" -   "/>
    <s v="During this time, the contamination at the water sources are not too serious relative to the usual Sittwe camps situation (27% were low risk and medium risk and were treated by shock chlorination)_x000a_ but HH level contamination is higher than the water source (86%were low risk,medium risk and high risk). Same issue with private handpumps as in OTG-S."/>
    <n v="100"/>
    <n v="0"/>
    <m/>
    <n v="58"/>
    <n v="100"/>
    <n v="196"/>
    <n v="3769"/>
    <n v="0"/>
    <x v="0"/>
    <x v="2"/>
    <n v="0"/>
    <n v="0"/>
    <n v="0"/>
    <s v="There has been a problem with overflowing latrine pits in the camp due to desludging capacity, and DRC is still having challenges to cover all the latrine pits (due to a hgh rate of theft and vandalism of the concrete covers). Overflowing of latrine pits is likely to be a challenge during the rainy season. DRC plans to repair 50 latrines and construct 12 adult latrines and 10 latrines for people with disabilities (PwD)."/>
    <m/>
    <m/>
    <n v="0"/>
    <n v="0"/>
    <n v="0"/>
    <n v="0"/>
    <n v="7"/>
    <n v="400"/>
    <n v="400"/>
    <s v="No"/>
    <n v="0"/>
    <n v="0"/>
    <s v="400 household kits (jerry cans, shampoo, toothpaste)_x000a_were distributed in repsonse to a PDM. DRC plans to conduct WASH in schools hygiene promotion sessions. According to the PDM result, the amount of sanitary pads is not enough for most female family members, so DRC is trying to identify funding to cover this gap."/>
    <n v="0.23333333333333334"/>
    <n v="0.2857142857142857"/>
    <x v="0"/>
    <n v="0"/>
    <n v="43"/>
    <n v="0"/>
    <n v="0"/>
    <n v="0"/>
    <n v="1"/>
    <n v="1"/>
    <n v="1"/>
    <n v="2285"/>
    <n v="0"/>
    <n v="0"/>
    <n v="1"/>
    <n v="2285"/>
    <n v="4.57"/>
    <n v="0"/>
    <n v="0"/>
    <n v="0.42999999999999972"/>
    <n v="5"/>
    <n v="42"/>
    <n v="0.36761487964989059"/>
    <n v="840"/>
    <n v="2285"/>
    <n v="0"/>
    <n v="114"/>
    <n v="14"/>
    <n v="0.63238512035010941"/>
    <n v="0.57999999999999996"/>
    <n v="2285"/>
    <n v="2285"/>
    <n v="2285"/>
    <n v="2285"/>
    <n v="2285"/>
    <n v="1"/>
    <n v="0"/>
    <n v="1"/>
    <n v="1"/>
    <n v="1"/>
    <n v="0"/>
    <n v="0"/>
    <n v="0"/>
    <n v="0"/>
    <x v="1"/>
    <n v="0"/>
    <n v="0"/>
    <x v="0"/>
    <x v="7"/>
    <x v="3"/>
    <n v="20.207284999999999"/>
    <n v="92.788177000000005"/>
    <s v="MMR012CMP045"/>
    <x v="0"/>
    <m/>
  </r>
  <r>
    <x v="0"/>
    <x v="14"/>
    <x v="15"/>
    <s v="DFID/HARP"/>
    <x v="1"/>
    <x v="18"/>
    <x v="2"/>
    <x v="315"/>
    <n v="249"/>
    <n v="1362"/>
    <m/>
    <d v="2020-09-30T00:00:00"/>
    <m/>
    <m/>
    <m/>
    <s v=" -   "/>
    <m/>
    <m/>
    <m/>
    <m/>
    <m/>
    <m/>
    <n v="28"/>
    <m/>
    <m/>
    <s v=" -   "/>
    <m/>
    <m/>
    <m/>
    <m/>
    <m/>
    <m/>
    <m/>
    <n v="28"/>
    <m/>
    <m/>
    <m/>
    <m/>
    <m/>
    <m/>
    <m/>
    <m/>
    <m/>
    <m/>
    <m/>
    <n v="0"/>
    <n v="0"/>
    <m/>
    <m/>
    <x v="0"/>
    <x v="2"/>
    <m/>
    <m/>
    <m/>
    <m/>
    <m/>
    <m/>
    <m/>
    <m/>
    <m/>
    <n v="1"/>
    <n v="1"/>
    <n v="0"/>
    <n v="0"/>
    <m/>
    <n v="0"/>
    <m/>
    <m/>
    <s v="no test"/>
    <s v="no test"/>
    <x v="1"/>
    <n v="0"/>
    <n v="28"/>
    <n v="0"/>
    <n v="0"/>
    <n v="0"/>
    <n v="1"/>
    <n v="1"/>
    <n v="1"/>
    <n v="1362"/>
    <n v="0"/>
    <n v="0"/>
    <n v="1"/>
    <n v="1362"/>
    <n v="2.7240000000000002"/>
    <n v="0"/>
    <n v="0"/>
    <n v="0.2759999999999998"/>
    <n v="3"/>
    <n v="0"/>
    <n v="0"/>
    <n v="0"/>
    <s v="N/A"/>
    <s v="NA"/>
    <n v="227"/>
    <n v="227"/>
    <n v="1"/>
    <n v="0"/>
    <n v="1000"/>
    <n v="0"/>
    <n v="0"/>
    <n v="0"/>
    <n v="1000"/>
    <n v="0.73421439060205584"/>
    <n v="0.26578560939794416"/>
    <n v="0.73421439060205584"/>
    <n v="0"/>
    <n v="0"/>
    <n v="0"/>
    <n v="0"/>
    <n v="0"/>
    <n v="0"/>
    <x v="0"/>
    <n v="0"/>
    <n v="0"/>
    <x v="2"/>
    <x v="9"/>
    <x v="4"/>
    <n v="20.151471999999998"/>
    <n v="92.887277999999995"/>
    <s v="MMR012CMP111"/>
    <x v="0"/>
    <m/>
  </r>
  <r>
    <x v="0"/>
    <x v="17"/>
    <x v="18"/>
    <s v="DFID/HARP"/>
    <x v="1"/>
    <x v="18"/>
    <x v="2"/>
    <x v="316"/>
    <n v="420"/>
    <n v="2179"/>
    <m/>
    <d v="2020-09-30T00:00:00"/>
    <m/>
    <m/>
    <m/>
    <s v=" -   "/>
    <m/>
    <m/>
    <m/>
    <m/>
    <m/>
    <m/>
    <m/>
    <m/>
    <m/>
    <s v=" -   "/>
    <m/>
    <m/>
    <m/>
    <m/>
    <m/>
    <m/>
    <m/>
    <s v=" -   "/>
    <m/>
    <m/>
    <m/>
    <m/>
    <m/>
    <m/>
    <m/>
    <m/>
    <m/>
    <m/>
    <m/>
    <n v="0"/>
    <n v="0"/>
    <m/>
    <m/>
    <x v="0"/>
    <x v="2"/>
    <m/>
    <m/>
    <m/>
    <m/>
    <m/>
    <m/>
    <m/>
    <m/>
    <m/>
    <n v="1"/>
    <m/>
    <n v="0"/>
    <n v="0"/>
    <m/>
    <n v="0"/>
    <m/>
    <m/>
    <s v="no test"/>
    <s v="no test"/>
    <x v="1"/>
    <n v="0"/>
    <n v="0"/>
    <n v="0"/>
    <n v="0"/>
    <n v="0"/>
    <n v="0"/>
    <n v="0"/>
    <n v="0"/>
    <n v="0"/>
    <n v="0"/>
    <n v="0"/>
    <n v="0"/>
    <n v="0"/>
    <n v="0"/>
    <n v="1"/>
    <n v="2179"/>
    <n v="4"/>
    <n v="4"/>
    <n v="0"/>
    <n v="0"/>
    <n v="0"/>
    <s v="N/A"/>
    <s v="NA"/>
    <n v="363"/>
    <n v="363"/>
    <n v="1"/>
    <n v="0"/>
    <n v="500"/>
    <n v="0"/>
    <n v="0"/>
    <n v="0"/>
    <n v="500"/>
    <n v="0.22946305644791187"/>
    <n v="0.77053694355208813"/>
    <n v="0.22946305644791187"/>
    <n v="0"/>
    <n v="0"/>
    <n v="0"/>
    <n v="0"/>
    <n v="0"/>
    <n v="0"/>
    <x v="0"/>
    <n v="0"/>
    <n v="0"/>
    <x v="2"/>
    <x v="9"/>
    <x v="4"/>
    <n v="20.151471999999998"/>
    <n v="92.887277999999995"/>
    <s v="MMR012CMP112"/>
    <x v="0"/>
    <m/>
  </r>
  <r>
    <x v="0"/>
    <x v="17"/>
    <x v="18"/>
    <s v="DFID/HARP"/>
    <x v="1"/>
    <x v="18"/>
    <x v="1"/>
    <x v="317"/>
    <n v="2280"/>
    <n v="11564"/>
    <m/>
    <d v="2020-09-30T00:00:00"/>
    <m/>
    <m/>
    <m/>
    <s v=" -   "/>
    <m/>
    <m/>
    <m/>
    <m/>
    <m/>
    <m/>
    <n v="198"/>
    <m/>
    <n v="44"/>
    <n v="44"/>
    <m/>
    <m/>
    <m/>
    <m/>
    <m/>
    <m/>
    <m/>
    <n v="198"/>
    <n v="149"/>
    <m/>
    <n v="103"/>
    <n v="7"/>
    <m/>
    <m/>
    <m/>
    <n v="520"/>
    <m/>
    <m/>
    <n v="62"/>
    <n v="152"/>
    <n v="242"/>
    <m/>
    <n v="520"/>
    <x v="0"/>
    <x v="0"/>
    <m/>
    <m/>
    <m/>
    <m/>
    <m/>
    <m/>
    <m/>
    <m/>
    <m/>
    <n v="26"/>
    <m/>
    <n v="2280"/>
    <n v="2280"/>
    <s v="Yes"/>
    <n v="76"/>
    <m/>
    <m/>
    <n v="0"/>
    <n v="6.7961165048543687E-2"/>
    <x v="0"/>
    <n v="0"/>
    <n v="154"/>
    <n v="0"/>
    <n v="0"/>
    <n v="0"/>
    <n v="1"/>
    <n v="1"/>
    <n v="1"/>
    <n v="11564"/>
    <n v="0"/>
    <n v="0"/>
    <n v="1"/>
    <n v="11564"/>
    <n v="23.128"/>
    <n v="0"/>
    <n v="0"/>
    <n v="0"/>
    <n v="23"/>
    <n v="458"/>
    <n v="0.7921134555517122"/>
    <n v="9160"/>
    <n v="4840"/>
    <n v="0"/>
    <n v="578"/>
    <n v="58"/>
    <n v="0.2078865444482878"/>
    <n v="0.11923076923076924"/>
    <n v="11564"/>
    <n v="11564"/>
    <n v="11564"/>
    <n v="11564"/>
    <n v="11564"/>
    <n v="1"/>
    <n v="0"/>
    <n v="1"/>
    <n v="1"/>
    <n v="1"/>
    <n v="0"/>
    <n v="0"/>
    <n v="0"/>
    <n v="0"/>
    <x v="0"/>
    <s v="Yes"/>
    <n v="0"/>
    <x v="0"/>
    <x v="7"/>
    <x v="3"/>
    <n v="20.202525000000001"/>
    <n v="92.792479999999998"/>
    <s v="MMR012CMP045"/>
    <x v="0"/>
    <m/>
  </r>
  <r>
    <x v="0"/>
    <x v="17"/>
    <x v="18"/>
    <s v="DFID/HARP"/>
    <x v="1"/>
    <x v="18"/>
    <x v="2"/>
    <x v="247"/>
    <n v="92"/>
    <n v="695"/>
    <m/>
    <d v="2020-09-30T00:00:00"/>
    <m/>
    <m/>
    <m/>
    <s v=" -   "/>
    <m/>
    <m/>
    <m/>
    <m/>
    <m/>
    <m/>
    <n v="7"/>
    <m/>
    <m/>
    <s v=" -   "/>
    <m/>
    <m/>
    <m/>
    <m/>
    <m/>
    <m/>
    <m/>
    <n v="7"/>
    <n v="13"/>
    <m/>
    <n v="11"/>
    <n v="1"/>
    <m/>
    <m/>
    <m/>
    <m/>
    <m/>
    <m/>
    <m/>
    <n v="0"/>
    <n v="0"/>
    <m/>
    <m/>
    <x v="0"/>
    <x v="2"/>
    <m/>
    <m/>
    <m/>
    <m/>
    <m/>
    <m/>
    <m/>
    <m/>
    <m/>
    <m/>
    <m/>
    <n v="0"/>
    <n v="0"/>
    <m/>
    <n v="0"/>
    <m/>
    <m/>
    <n v="0"/>
    <n v="9.0909090909090912E-2"/>
    <x v="0"/>
    <n v="0"/>
    <n v="7"/>
    <n v="0"/>
    <n v="0"/>
    <n v="0"/>
    <n v="1"/>
    <n v="1"/>
    <n v="1"/>
    <n v="695"/>
    <n v="0"/>
    <n v="0"/>
    <n v="1"/>
    <n v="695"/>
    <n v="1.39"/>
    <n v="0"/>
    <n v="0"/>
    <n v="0"/>
    <n v="1"/>
    <n v="0"/>
    <n v="0"/>
    <n v="0"/>
    <s v="N/A"/>
    <s v="NA"/>
    <n v="116"/>
    <n v="116"/>
    <n v="1"/>
    <n v="0"/>
    <n v="0"/>
    <n v="0"/>
    <n v="0"/>
    <n v="0"/>
    <n v="0"/>
    <n v="0"/>
    <n v="1"/>
    <n v="0"/>
    <n v="0"/>
    <n v="0"/>
    <n v="0"/>
    <n v="0"/>
    <n v="0"/>
    <n v="0"/>
    <x v="0"/>
    <n v="0"/>
    <n v="0"/>
    <x v="2"/>
    <x v="6"/>
    <x v="2"/>
    <n v="0"/>
    <n v="0"/>
    <n v="196154"/>
    <x v="0"/>
    <m/>
  </r>
  <r>
    <x v="0"/>
    <x v="17"/>
    <x v="18"/>
    <s v="DFID/HARP"/>
    <x v="1"/>
    <x v="18"/>
    <x v="2"/>
    <x v="318"/>
    <n v="235"/>
    <n v="1390"/>
    <m/>
    <d v="2020-09-30T00:00:00"/>
    <m/>
    <m/>
    <m/>
    <s v=" -   "/>
    <m/>
    <m/>
    <m/>
    <m/>
    <m/>
    <m/>
    <n v="8"/>
    <m/>
    <m/>
    <s v=" -   "/>
    <m/>
    <m/>
    <m/>
    <m/>
    <m/>
    <m/>
    <m/>
    <n v="8"/>
    <n v="12"/>
    <m/>
    <n v="14"/>
    <m/>
    <m/>
    <m/>
    <m/>
    <m/>
    <m/>
    <m/>
    <m/>
    <n v="0"/>
    <n v="0"/>
    <m/>
    <m/>
    <x v="0"/>
    <x v="2"/>
    <m/>
    <m/>
    <m/>
    <m/>
    <m/>
    <m/>
    <m/>
    <m/>
    <m/>
    <m/>
    <m/>
    <n v="0"/>
    <n v="0"/>
    <m/>
    <n v="0"/>
    <m/>
    <m/>
    <n v="0"/>
    <n v="0"/>
    <x v="0"/>
    <n v="0"/>
    <n v="8"/>
    <n v="0"/>
    <n v="0"/>
    <n v="0"/>
    <n v="1"/>
    <n v="1"/>
    <n v="1"/>
    <n v="1390"/>
    <n v="0"/>
    <n v="0"/>
    <n v="1"/>
    <n v="1390"/>
    <n v="2.78"/>
    <n v="0"/>
    <n v="0"/>
    <n v="0.2200000000000002"/>
    <n v="3"/>
    <n v="0"/>
    <n v="0"/>
    <n v="0"/>
    <s v="N/A"/>
    <s v="NA"/>
    <n v="232"/>
    <n v="232"/>
    <n v="1"/>
    <n v="0"/>
    <n v="0"/>
    <n v="0"/>
    <n v="0"/>
    <n v="0"/>
    <n v="0"/>
    <n v="0"/>
    <n v="1"/>
    <n v="0"/>
    <n v="0"/>
    <n v="0"/>
    <n v="0"/>
    <n v="0"/>
    <n v="0"/>
    <n v="0"/>
    <x v="0"/>
    <n v="0"/>
    <n v="0"/>
    <x v="2"/>
    <x v="6"/>
    <x v="3"/>
    <n v="20.19171906"/>
    <n v="92.808166499999999"/>
    <n v="196155"/>
    <x v="0"/>
    <m/>
  </r>
  <r>
    <x v="0"/>
    <x v="17"/>
    <x v="18"/>
    <s v="DFID/HARP"/>
    <x v="1"/>
    <x v="18"/>
    <x v="2"/>
    <x v="319"/>
    <n v="72"/>
    <n v="442"/>
    <m/>
    <d v="2020-09-30T00:00:00"/>
    <m/>
    <m/>
    <m/>
    <s v=" -   "/>
    <m/>
    <m/>
    <m/>
    <m/>
    <m/>
    <m/>
    <n v="0"/>
    <m/>
    <m/>
    <n v="0"/>
    <m/>
    <m/>
    <m/>
    <m/>
    <m/>
    <m/>
    <m/>
    <n v="0"/>
    <m/>
    <m/>
    <m/>
    <m/>
    <m/>
    <m/>
    <m/>
    <m/>
    <m/>
    <m/>
    <m/>
    <n v="0"/>
    <n v="0"/>
    <m/>
    <m/>
    <x v="0"/>
    <x v="2"/>
    <m/>
    <m/>
    <m/>
    <m/>
    <m/>
    <m/>
    <m/>
    <m/>
    <m/>
    <m/>
    <m/>
    <n v="0"/>
    <n v="0"/>
    <m/>
    <n v="0"/>
    <m/>
    <m/>
    <s v="no test"/>
    <s v="no test"/>
    <x v="1"/>
    <n v="0"/>
    <n v="0"/>
    <n v="0"/>
    <n v="0"/>
    <n v="0"/>
    <n v="0"/>
    <n v="0"/>
    <n v="0"/>
    <n v="0"/>
    <n v="0"/>
    <n v="0"/>
    <n v="0"/>
    <n v="0"/>
    <n v="0"/>
    <n v="1"/>
    <n v="442"/>
    <n v="1"/>
    <n v="1"/>
    <n v="0"/>
    <n v="0"/>
    <n v="0"/>
    <s v="N/A"/>
    <s v="NA"/>
    <n v="74"/>
    <n v="74"/>
    <n v="1"/>
    <n v="0"/>
    <n v="0"/>
    <n v="0"/>
    <n v="0"/>
    <n v="0"/>
    <n v="0"/>
    <n v="0"/>
    <n v="1"/>
    <n v="0"/>
    <n v="0"/>
    <n v="0"/>
    <n v="0"/>
    <n v="0"/>
    <n v="0"/>
    <n v="0"/>
    <x v="0"/>
    <n v="0"/>
    <n v="0"/>
    <x v="2"/>
    <x v="9"/>
    <x v="7"/>
    <n v="20.148584"/>
    <n v="92.880319999999998"/>
    <s v="MMR012CMP056"/>
    <x v="0"/>
    <m/>
  </r>
  <r>
    <x v="0"/>
    <x v="17"/>
    <x v="18"/>
    <s v="DFID/HARP"/>
    <x v="1"/>
    <x v="18"/>
    <x v="2"/>
    <x v="320"/>
    <n v="151"/>
    <n v="625"/>
    <m/>
    <d v="2020-09-30T00:00:00"/>
    <m/>
    <m/>
    <m/>
    <s v=" -   "/>
    <m/>
    <m/>
    <m/>
    <m/>
    <m/>
    <m/>
    <n v="6"/>
    <m/>
    <m/>
    <s v=" -   "/>
    <m/>
    <m/>
    <m/>
    <m/>
    <m/>
    <m/>
    <m/>
    <n v="6"/>
    <m/>
    <m/>
    <m/>
    <m/>
    <m/>
    <m/>
    <m/>
    <m/>
    <m/>
    <m/>
    <m/>
    <n v="0"/>
    <n v="0"/>
    <m/>
    <m/>
    <x v="0"/>
    <x v="2"/>
    <m/>
    <m/>
    <m/>
    <m/>
    <m/>
    <m/>
    <m/>
    <m/>
    <m/>
    <n v="1"/>
    <m/>
    <n v="0"/>
    <n v="0"/>
    <m/>
    <n v="0"/>
    <m/>
    <m/>
    <s v="no test"/>
    <s v="no test"/>
    <x v="1"/>
    <n v="0"/>
    <n v="6"/>
    <n v="0"/>
    <n v="0"/>
    <n v="0"/>
    <n v="1"/>
    <n v="1"/>
    <n v="1"/>
    <n v="625"/>
    <n v="0"/>
    <n v="0"/>
    <n v="1"/>
    <n v="625"/>
    <n v="1.25"/>
    <n v="0"/>
    <n v="0"/>
    <n v="0"/>
    <n v="1"/>
    <n v="0"/>
    <n v="0"/>
    <n v="0"/>
    <s v="N/A"/>
    <s v="NA"/>
    <n v="104"/>
    <n v="104"/>
    <n v="1"/>
    <n v="0"/>
    <n v="500"/>
    <n v="0"/>
    <n v="0"/>
    <n v="0"/>
    <n v="500"/>
    <n v="0.8"/>
    <n v="0.19999999999999996"/>
    <n v="0.8"/>
    <n v="0"/>
    <n v="0"/>
    <n v="0"/>
    <n v="0"/>
    <n v="0"/>
    <n v="0"/>
    <x v="0"/>
    <n v="0"/>
    <n v="0"/>
    <x v="2"/>
    <x v="9"/>
    <x v="4"/>
    <n v="20.155805999999998"/>
    <n v="92.879138999999995"/>
    <s v="MMR012CMP093"/>
    <x v="0"/>
    <m/>
  </r>
  <r>
    <x v="0"/>
    <x v="14"/>
    <x v="15"/>
    <s v="DFID/HARP"/>
    <x v="1"/>
    <x v="18"/>
    <x v="1"/>
    <x v="321"/>
    <n v="1139"/>
    <n v="6016"/>
    <m/>
    <d v="2020-09-30T00:00:00"/>
    <m/>
    <m/>
    <m/>
    <s v=" -   "/>
    <m/>
    <m/>
    <m/>
    <m/>
    <m/>
    <m/>
    <n v="47"/>
    <m/>
    <n v="8"/>
    <n v="37"/>
    <m/>
    <m/>
    <m/>
    <m/>
    <m/>
    <m/>
    <m/>
    <n v="47"/>
    <n v="42"/>
    <m/>
    <n v="95"/>
    <n v="4"/>
    <m/>
    <m/>
    <m/>
    <n v="243"/>
    <m/>
    <m/>
    <n v="56"/>
    <n v="106"/>
    <n v="110"/>
    <m/>
    <n v="243"/>
    <x v="0"/>
    <x v="0"/>
    <m/>
    <m/>
    <m/>
    <m/>
    <m/>
    <m/>
    <m/>
    <m/>
    <m/>
    <n v="9"/>
    <n v="4"/>
    <n v="1134"/>
    <n v="1134"/>
    <m/>
    <n v="49"/>
    <m/>
    <m/>
    <n v="0"/>
    <n v="4.2105263157894736E-2"/>
    <x v="0"/>
    <n v="0"/>
    <n v="39"/>
    <n v="0"/>
    <n v="0"/>
    <n v="0"/>
    <n v="1"/>
    <n v="1"/>
    <n v="1"/>
    <n v="6016"/>
    <n v="0"/>
    <n v="0"/>
    <n v="1"/>
    <n v="6016"/>
    <n v="12.032"/>
    <n v="0"/>
    <n v="0"/>
    <n v="0"/>
    <n v="12"/>
    <n v="187"/>
    <n v="0.62167553191489366"/>
    <n v="3740"/>
    <n v="2200"/>
    <n v="0"/>
    <n v="301"/>
    <n v="58"/>
    <n v="0.37832446808510634"/>
    <n v="0.23045267489711935"/>
    <n v="6016"/>
    <n v="5670"/>
    <n v="5670"/>
    <n v="5670"/>
    <n v="6016"/>
    <n v="1"/>
    <n v="0"/>
    <n v="1"/>
    <n v="0.99561018437225635"/>
    <n v="0.99561018437225635"/>
    <n v="0"/>
    <n v="0"/>
    <n v="0"/>
    <n v="0"/>
    <x v="0"/>
    <s v="Yes"/>
    <n v="0"/>
    <x v="0"/>
    <x v="10"/>
    <x v="3"/>
    <n v="20.1585"/>
    <n v="92.839416999999997"/>
    <s v="MMR012CMP046"/>
    <x v="0"/>
    <m/>
  </r>
  <r>
    <x v="0"/>
    <x v="14"/>
    <x v="15"/>
    <s v="DFID/HARP"/>
    <x v="1"/>
    <x v="18"/>
    <x v="2"/>
    <x v="322"/>
    <n v="155"/>
    <n v="745"/>
    <m/>
    <d v="2020-09-30T00:00:00"/>
    <m/>
    <m/>
    <m/>
    <s v=" -   "/>
    <m/>
    <m/>
    <m/>
    <m/>
    <m/>
    <m/>
    <n v="9"/>
    <m/>
    <n v="0"/>
    <n v="1"/>
    <m/>
    <m/>
    <m/>
    <m/>
    <m/>
    <m/>
    <m/>
    <n v="9"/>
    <m/>
    <m/>
    <m/>
    <m/>
    <m/>
    <m/>
    <m/>
    <m/>
    <m/>
    <m/>
    <m/>
    <n v="0"/>
    <n v="0"/>
    <m/>
    <m/>
    <x v="0"/>
    <x v="2"/>
    <m/>
    <m/>
    <m/>
    <m/>
    <m/>
    <m/>
    <m/>
    <m/>
    <m/>
    <n v="2"/>
    <m/>
    <n v="0"/>
    <n v="0"/>
    <m/>
    <n v="0"/>
    <m/>
    <m/>
    <s v="no test"/>
    <s v="no test"/>
    <x v="1"/>
    <n v="0"/>
    <n v="9"/>
    <n v="0"/>
    <n v="0"/>
    <n v="0"/>
    <n v="1"/>
    <n v="1"/>
    <n v="1"/>
    <n v="745"/>
    <n v="0"/>
    <n v="0"/>
    <n v="1"/>
    <n v="745"/>
    <n v="1.49"/>
    <n v="0"/>
    <n v="0"/>
    <n v="0"/>
    <n v="1"/>
    <n v="0"/>
    <n v="0"/>
    <n v="0"/>
    <s v="N/A"/>
    <s v="NA"/>
    <n v="124"/>
    <n v="124"/>
    <n v="1"/>
    <n v="0"/>
    <n v="745"/>
    <n v="0"/>
    <n v="0"/>
    <n v="0"/>
    <n v="745"/>
    <n v="1"/>
    <n v="0"/>
    <n v="1"/>
    <n v="0"/>
    <n v="0"/>
    <n v="0"/>
    <n v="0"/>
    <n v="0"/>
    <n v="0"/>
    <x v="0"/>
    <n v="0"/>
    <n v="0"/>
    <x v="2"/>
    <x v="6"/>
    <x v="4"/>
    <n v="20.16259956"/>
    <n v="92.834457400000005"/>
    <n v="196210"/>
    <x v="0"/>
    <m/>
  </r>
  <r>
    <x v="0"/>
    <x v="14"/>
    <x v="15"/>
    <m/>
    <x v="1"/>
    <x v="18"/>
    <x v="2"/>
    <x v="323"/>
    <n v="1009"/>
    <n v="5579"/>
    <m/>
    <m/>
    <m/>
    <m/>
    <m/>
    <s v=" -   "/>
    <m/>
    <m/>
    <m/>
    <m/>
    <m/>
    <m/>
    <n v="16"/>
    <m/>
    <n v="2"/>
    <n v="4"/>
    <m/>
    <m/>
    <m/>
    <m/>
    <m/>
    <m/>
    <m/>
    <n v="16"/>
    <m/>
    <m/>
    <m/>
    <m/>
    <m/>
    <m/>
    <m/>
    <m/>
    <m/>
    <m/>
    <m/>
    <n v="0"/>
    <n v="0"/>
    <m/>
    <m/>
    <x v="0"/>
    <x v="2"/>
    <m/>
    <m/>
    <m/>
    <m/>
    <m/>
    <m/>
    <m/>
    <m/>
    <m/>
    <n v="4"/>
    <n v="1"/>
    <n v="757"/>
    <n v="757"/>
    <m/>
    <n v="0"/>
    <m/>
    <m/>
    <s v="no test"/>
    <s v="no test"/>
    <x v="1"/>
    <n v="0"/>
    <n v="14"/>
    <n v="0"/>
    <n v="0"/>
    <n v="0"/>
    <n v="1"/>
    <n v="0.62735257214554585"/>
    <n v="0.62735257214554585"/>
    <n v="3500.0000000000005"/>
    <n v="0"/>
    <n v="0"/>
    <n v="0.62735257214554585"/>
    <n v="3500.0000000000005"/>
    <n v="7.0000000000000009"/>
    <n v="0.37264742785445415"/>
    <n v="2078.9999999999995"/>
    <n v="3.9999999999999991"/>
    <n v="11"/>
    <n v="0"/>
    <n v="0"/>
    <n v="0"/>
    <s v="N/A"/>
    <s v="NA"/>
    <n v="930"/>
    <n v="930"/>
    <n v="1"/>
    <n v="0"/>
    <n v="2500"/>
    <n v="3785"/>
    <n v="3785"/>
    <n v="3785"/>
    <n v="3785"/>
    <n v="0.67843699587739736"/>
    <n v="0.32156300412260264"/>
    <n v="0.44810898010396127"/>
    <n v="0.7502477700693756"/>
    <n v="0.7502477700693756"/>
    <n v="0"/>
    <n v="0"/>
    <n v="0"/>
    <n v="0"/>
    <x v="0"/>
    <n v="0"/>
    <n v="0"/>
    <x v="2"/>
    <x v="6"/>
    <x v="3"/>
    <n v="20.15736008"/>
    <n v="92.838653559999997"/>
    <n v="196211"/>
    <x v="0"/>
    <m/>
  </r>
  <r>
    <x v="0"/>
    <x v="14"/>
    <x v="15"/>
    <m/>
    <x v="1"/>
    <x v="18"/>
    <x v="2"/>
    <x v="313"/>
    <n v="587"/>
    <n v="3558"/>
    <m/>
    <m/>
    <m/>
    <m/>
    <m/>
    <m/>
    <m/>
    <m/>
    <m/>
    <m/>
    <m/>
    <m/>
    <m/>
    <m/>
    <m/>
    <m/>
    <m/>
    <m/>
    <m/>
    <m/>
    <m/>
    <m/>
    <m/>
    <m/>
    <m/>
    <m/>
    <m/>
    <m/>
    <m/>
    <m/>
    <m/>
    <m/>
    <m/>
    <m/>
    <m/>
    <m/>
    <m/>
    <m/>
    <m/>
    <x v="1"/>
    <x v="1"/>
    <m/>
    <m/>
    <m/>
    <m/>
    <m/>
    <m/>
    <m/>
    <m/>
    <m/>
    <m/>
    <m/>
    <m/>
    <m/>
    <m/>
    <m/>
    <m/>
    <m/>
    <s v="no test"/>
    <s v="no test"/>
    <x v="1"/>
    <n v="0"/>
    <n v="0"/>
    <n v="0"/>
    <n v="0"/>
    <n v="0"/>
    <n v="0"/>
    <n v="0"/>
    <n v="0"/>
    <n v="0"/>
    <n v="0"/>
    <n v="0"/>
    <n v="0"/>
    <n v="0"/>
    <n v="0"/>
    <n v="1"/>
    <n v="3558"/>
    <n v="7"/>
    <n v="7"/>
    <n v="0"/>
    <n v="0"/>
    <n v="0"/>
    <s v="N/A"/>
    <s v="NA"/>
    <n v="593"/>
    <n v="593"/>
    <n v="1"/>
    <n v="0"/>
    <n v="0"/>
    <n v="0"/>
    <n v="0"/>
    <n v="0"/>
    <n v="0"/>
    <n v="0"/>
    <n v="1"/>
    <n v="0"/>
    <n v="0"/>
    <n v="0"/>
    <n v="0"/>
    <n v="0"/>
    <n v="0"/>
    <n v="0"/>
    <x v="0"/>
    <n v="0"/>
    <n v="0"/>
    <x v="2"/>
    <x v="6"/>
    <x v="3"/>
    <n v="20.147863431600001"/>
    <n v="92.846768572000002"/>
    <n v="196209"/>
    <x v="0"/>
    <m/>
  </r>
  <r>
    <x v="0"/>
    <x v="16"/>
    <x v="17"/>
    <s v="BMZ"/>
    <x v="1"/>
    <x v="18"/>
    <x v="2"/>
    <x v="324"/>
    <n v="452"/>
    <n v="1901"/>
    <d v="2017-01-01T00:00:00"/>
    <d v="2021-12-21T00:00:00"/>
    <m/>
    <m/>
    <m/>
    <m/>
    <m/>
    <m/>
    <m/>
    <m/>
    <m/>
    <m/>
    <m/>
    <m/>
    <m/>
    <m/>
    <m/>
    <m/>
    <m/>
    <m/>
    <m/>
    <m/>
    <m/>
    <m/>
    <m/>
    <m/>
    <m/>
    <m/>
    <m/>
    <m/>
    <m/>
    <m/>
    <m/>
    <m/>
    <m/>
    <m/>
    <m/>
    <m/>
    <m/>
    <x v="1"/>
    <x v="1"/>
    <m/>
    <m/>
    <m/>
    <m/>
    <m/>
    <m/>
    <m/>
    <m/>
    <m/>
    <m/>
    <m/>
    <m/>
    <m/>
    <m/>
    <m/>
    <m/>
    <m/>
    <s v="no test"/>
    <s v="no test"/>
    <x v="1"/>
    <n v="0"/>
    <n v="0"/>
    <n v="0"/>
    <n v="0"/>
    <n v="0"/>
    <n v="0"/>
    <n v="0"/>
    <n v="0"/>
    <n v="0"/>
    <n v="0"/>
    <n v="0"/>
    <n v="0"/>
    <n v="0"/>
    <n v="0"/>
    <n v="1"/>
    <n v="1901"/>
    <n v="4"/>
    <n v="4"/>
    <n v="0"/>
    <n v="0"/>
    <n v="0"/>
    <s v="N/A"/>
    <s v="NA"/>
    <n v="317"/>
    <n v="317"/>
    <n v="1"/>
    <n v="0"/>
    <n v="0"/>
    <n v="0"/>
    <n v="0"/>
    <n v="0"/>
    <n v="0"/>
    <n v="0"/>
    <n v="1"/>
    <n v="0"/>
    <n v="0"/>
    <n v="0"/>
    <n v="0"/>
    <n v="0"/>
    <n v="0"/>
    <n v="0"/>
    <x v="0"/>
    <n v="0"/>
    <n v="0"/>
    <x v="2"/>
    <x v="6"/>
    <x v="2"/>
    <n v="20.760820389999999"/>
    <n v="92.960083010000005"/>
    <n v="196893"/>
    <x v="0"/>
    <m/>
  </r>
  <r>
    <x v="0"/>
    <x v="18"/>
    <x v="19"/>
    <s v="DFID/HARP,LDS"/>
    <x v="1"/>
    <x v="18"/>
    <x v="1"/>
    <x v="325"/>
    <n v="1013"/>
    <n v="5950"/>
    <m/>
    <s v="9/30/2020,9/30/18"/>
    <m/>
    <m/>
    <m/>
    <s v=" -   "/>
    <m/>
    <m/>
    <m/>
    <m/>
    <m/>
    <m/>
    <n v="93"/>
    <m/>
    <n v="32"/>
    <n v="44"/>
    <m/>
    <m/>
    <m/>
    <m/>
    <m/>
    <m/>
    <m/>
    <n v="93"/>
    <n v="66"/>
    <m/>
    <n v="67"/>
    <m/>
    <m/>
    <m/>
    <m/>
    <n v="360"/>
    <m/>
    <m/>
    <n v="163"/>
    <n v="35"/>
    <n v="125"/>
    <m/>
    <n v="360"/>
    <x v="0"/>
    <x v="0"/>
    <m/>
    <m/>
    <m/>
    <m/>
    <m/>
    <m/>
    <m/>
    <m/>
    <m/>
    <n v="12"/>
    <m/>
    <n v="1013"/>
    <n v="1013"/>
    <s v="Yes"/>
    <n v="65"/>
    <m/>
    <m/>
    <n v="0"/>
    <n v="0"/>
    <x v="0"/>
    <n v="0"/>
    <n v="61"/>
    <n v="0"/>
    <n v="0"/>
    <n v="0"/>
    <n v="1"/>
    <n v="1"/>
    <n v="1"/>
    <n v="5950"/>
    <n v="0"/>
    <n v="0"/>
    <n v="1"/>
    <n v="5950"/>
    <n v="11.9"/>
    <n v="0"/>
    <n v="0"/>
    <n v="9.9999999999999645E-2"/>
    <n v="12"/>
    <n v="197"/>
    <n v="0.66218487394957981"/>
    <n v="3940"/>
    <n v="2500"/>
    <n v="0"/>
    <n v="298"/>
    <n v="0"/>
    <n v="0.33781512605042019"/>
    <n v="0.45277777777777778"/>
    <n v="5950"/>
    <n v="5950"/>
    <n v="5950"/>
    <n v="5950"/>
    <n v="5950"/>
    <n v="1"/>
    <n v="0"/>
    <n v="1"/>
    <n v="1"/>
    <n v="1"/>
    <n v="0"/>
    <n v="0"/>
    <n v="0"/>
    <n v="0"/>
    <x v="0"/>
    <s v="Yes"/>
    <n v="0"/>
    <x v="0"/>
    <x v="7"/>
    <x v="3"/>
    <n v="20.179939999999998"/>
    <n v="92.831879000000001"/>
    <s v="MMR012CMP048"/>
    <x v="0"/>
    <m/>
  </r>
  <r>
    <x v="0"/>
    <x v="17"/>
    <x v="18"/>
    <s v="DFID/HARP"/>
    <x v="1"/>
    <x v="18"/>
    <x v="1"/>
    <x v="326"/>
    <n v="299"/>
    <n v="1670"/>
    <m/>
    <d v="2020-09-30T00:00:00"/>
    <m/>
    <m/>
    <m/>
    <s v=" -   "/>
    <m/>
    <m/>
    <m/>
    <m/>
    <m/>
    <m/>
    <n v="70"/>
    <m/>
    <m/>
    <s v=" -   "/>
    <m/>
    <m/>
    <m/>
    <m/>
    <m/>
    <m/>
    <m/>
    <n v="70"/>
    <m/>
    <m/>
    <m/>
    <m/>
    <m/>
    <m/>
    <m/>
    <m/>
    <m/>
    <m/>
    <m/>
    <n v="0"/>
    <n v="0"/>
    <m/>
    <m/>
    <x v="0"/>
    <x v="2"/>
    <m/>
    <m/>
    <m/>
    <m/>
    <m/>
    <m/>
    <m/>
    <m/>
    <m/>
    <n v="3"/>
    <m/>
    <n v="299"/>
    <n v="299"/>
    <m/>
    <n v="39"/>
    <m/>
    <m/>
    <s v="no test"/>
    <s v="no test"/>
    <x v="1"/>
    <n v="0"/>
    <n v="70"/>
    <n v="0"/>
    <n v="0"/>
    <n v="0"/>
    <n v="1"/>
    <n v="1"/>
    <n v="1"/>
    <n v="1670"/>
    <n v="0"/>
    <n v="0"/>
    <n v="1"/>
    <n v="1670"/>
    <n v="3.34"/>
    <n v="0"/>
    <n v="0"/>
    <n v="0"/>
    <n v="3"/>
    <n v="0"/>
    <n v="0"/>
    <n v="0"/>
    <n v="0"/>
    <n v="0"/>
    <n v="84"/>
    <n v="84"/>
    <n v="1"/>
    <n v="0"/>
    <n v="1500"/>
    <n v="1670"/>
    <n v="1670"/>
    <n v="1670"/>
    <n v="1670"/>
    <n v="1"/>
    <n v="0"/>
    <n v="0.89820359281437123"/>
    <n v="1"/>
    <n v="1"/>
    <n v="0"/>
    <n v="0"/>
    <n v="0"/>
    <n v="0"/>
    <x v="0"/>
    <s v="Yes"/>
    <n v="0"/>
    <x v="0"/>
    <x v="1"/>
    <x v="3"/>
    <n v="20.181742"/>
    <n v="92.842230000000001"/>
    <s v="MMR012CMP091"/>
    <x v="0"/>
    <m/>
  </r>
  <r>
    <x v="0"/>
    <x v="17"/>
    <x v="18"/>
    <s v="DFID/HARP"/>
    <x v="1"/>
    <x v="18"/>
    <x v="2"/>
    <x v="327"/>
    <n v="17"/>
    <n v="74"/>
    <m/>
    <d v="2020-09-30T00:00:00"/>
    <m/>
    <m/>
    <m/>
    <s v=" -   "/>
    <m/>
    <m/>
    <m/>
    <m/>
    <m/>
    <m/>
    <m/>
    <m/>
    <m/>
    <s v=" -   "/>
    <m/>
    <m/>
    <m/>
    <m/>
    <m/>
    <m/>
    <m/>
    <s v=" -   "/>
    <m/>
    <m/>
    <m/>
    <m/>
    <m/>
    <m/>
    <m/>
    <m/>
    <m/>
    <m/>
    <m/>
    <n v="0"/>
    <n v="0"/>
    <m/>
    <m/>
    <x v="0"/>
    <x v="2"/>
    <m/>
    <m/>
    <m/>
    <m/>
    <m/>
    <m/>
    <m/>
    <m/>
    <m/>
    <m/>
    <m/>
    <n v="0"/>
    <n v="0"/>
    <m/>
    <m/>
    <m/>
    <m/>
    <s v="no test"/>
    <s v="no test"/>
    <x v="1"/>
    <n v="0"/>
    <n v="0"/>
    <n v="0"/>
    <n v="0"/>
    <n v="0"/>
    <n v="0"/>
    <n v="0"/>
    <n v="0"/>
    <n v="0"/>
    <n v="0"/>
    <n v="0"/>
    <n v="0"/>
    <n v="0"/>
    <n v="0"/>
    <n v="1"/>
    <n v="74"/>
    <n v="1"/>
    <n v="1"/>
    <n v="0"/>
    <n v="0"/>
    <n v="0"/>
    <s v="N/A"/>
    <s v="NA"/>
    <n v="12"/>
    <n v="12"/>
    <n v="1"/>
    <n v="0"/>
    <n v="0"/>
    <n v="0"/>
    <n v="0"/>
    <n v="0"/>
    <n v="0"/>
    <n v="0"/>
    <n v="1"/>
    <n v="0"/>
    <n v="0"/>
    <n v="0"/>
    <n v="0"/>
    <n v="0"/>
    <n v="0"/>
    <n v="0"/>
    <x v="0"/>
    <n v="0"/>
    <n v="0"/>
    <x v="2"/>
    <x v="6"/>
    <x v="3"/>
    <n v="20.193460460000001"/>
    <n v="92.867782590000004"/>
    <n v="196147"/>
    <x v="0"/>
    <m/>
  </r>
  <r>
    <x v="0"/>
    <x v="20"/>
    <x v="21"/>
    <s v="UNICEF"/>
    <x v="1"/>
    <x v="20"/>
    <x v="1"/>
    <x v="328"/>
    <n v="716"/>
    <n v="2920"/>
    <m/>
    <d v="2020-03-06T00:00:00"/>
    <m/>
    <n v="6"/>
    <n v="20"/>
    <s v=" -   "/>
    <s v="Yes"/>
    <n v="9"/>
    <n v="9"/>
    <m/>
    <m/>
    <m/>
    <m/>
    <m/>
    <m/>
    <m/>
    <n v="68"/>
    <n v="0"/>
    <n v="1"/>
    <n v="67160"/>
    <n v="5"/>
    <m/>
    <m/>
    <m/>
    <n v="7"/>
    <m/>
    <n v="36"/>
    <m/>
    <m/>
    <m/>
    <m/>
    <n v="197"/>
    <m/>
    <m/>
    <m/>
    <n v="1"/>
    <n v="1"/>
    <m/>
    <m/>
    <x v="0"/>
    <x v="0"/>
    <m/>
    <m/>
    <m/>
    <m/>
    <m/>
    <m/>
    <m/>
    <n v="7"/>
    <m/>
    <n v="3"/>
    <n v="5"/>
    <n v="716"/>
    <n v="716"/>
    <m/>
    <m/>
    <m/>
    <m/>
    <n v="0"/>
    <n v="0"/>
    <x v="0"/>
    <n v="0"/>
    <n v="0"/>
    <n v="68"/>
    <n v="67160"/>
    <n v="0"/>
    <n v="1"/>
    <n v="1"/>
    <n v="1"/>
    <n v="2920"/>
    <n v="0.42808219178082191"/>
    <n v="1250"/>
    <n v="1"/>
    <n v="2920"/>
    <n v="5.84"/>
    <n v="0"/>
    <n v="0"/>
    <n v="0.16000000000000014"/>
    <n v="6"/>
    <n v="197"/>
    <n v="1"/>
    <n v="2920"/>
    <n v="20"/>
    <n v="0"/>
    <n v="146"/>
    <n v="0"/>
    <n v="0"/>
    <n v="0"/>
    <n v="2920"/>
    <n v="2920"/>
    <n v="2920"/>
    <n v="2920"/>
    <n v="2920"/>
    <n v="1"/>
    <n v="0"/>
    <n v="1"/>
    <n v="1"/>
    <n v="1"/>
    <n v="0"/>
    <n v="0"/>
    <n v="0"/>
    <n v="0"/>
    <x v="0"/>
    <s v="Yes"/>
    <n v="0"/>
    <x v="0"/>
    <x v="7"/>
    <x v="3"/>
    <n v="20.037655000000001"/>
    <n v="93.370037999999994"/>
    <s v="MMR012CMP014"/>
    <x v="0"/>
    <m/>
  </r>
  <r>
    <x v="0"/>
    <x v="20"/>
    <x v="21"/>
    <s v="UNICEF"/>
    <x v="1"/>
    <x v="20"/>
    <x v="2"/>
    <x v="329"/>
    <n v="40"/>
    <n v="217"/>
    <m/>
    <d v="2020-03-06T00:00:00"/>
    <m/>
    <m/>
    <m/>
    <m/>
    <s v="No"/>
    <m/>
    <m/>
    <m/>
    <m/>
    <m/>
    <m/>
    <m/>
    <m/>
    <m/>
    <m/>
    <m/>
    <m/>
    <m/>
    <m/>
    <m/>
    <m/>
    <m/>
    <m/>
    <m/>
    <m/>
    <m/>
    <m/>
    <m/>
    <m/>
    <m/>
    <m/>
    <m/>
    <m/>
    <m/>
    <m/>
    <m/>
    <m/>
    <x v="1"/>
    <x v="1"/>
    <m/>
    <m/>
    <m/>
    <m/>
    <m/>
    <m/>
    <m/>
    <m/>
    <m/>
    <m/>
    <n v="2"/>
    <n v="40"/>
    <n v="40"/>
    <m/>
    <m/>
    <m/>
    <m/>
    <s v="no test"/>
    <s v="no test"/>
    <x v="1"/>
    <n v="0"/>
    <n v="0"/>
    <n v="0"/>
    <n v="0"/>
    <n v="0"/>
    <n v="0"/>
    <n v="0"/>
    <n v="0"/>
    <n v="0"/>
    <n v="0"/>
    <n v="0"/>
    <n v="0"/>
    <n v="0"/>
    <n v="0"/>
    <n v="1"/>
    <n v="217"/>
    <n v="1"/>
    <n v="1"/>
    <n v="0"/>
    <n v="0"/>
    <n v="0"/>
    <s v="N/A"/>
    <s v="NA"/>
    <n v="36"/>
    <n v="36"/>
    <n v="1"/>
    <n v="0"/>
    <n v="217"/>
    <n v="217"/>
    <n v="217"/>
    <n v="217"/>
    <n v="217"/>
    <n v="1"/>
    <n v="0"/>
    <n v="1"/>
    <n v="1"/>
    <n v="1"/>
    <n v="0"/>
    <n v="0"/>
    <n v="0"/>
    <n v="0"/>
    <x v="0"/>
    <n v="0"/>
    <n v="0"/>
    <x v="2"/>
    <x v="9"/>
    <x v="4"/>
    <n v="20.041981"/>
    <n v="93.373951000000005"/>
    <s v="MMR012CMP013"/>
    <x v="0"/>
    <m/>
  </r>
  <r>
    <x v="0"/>
    <x v="0"/>
    <x v="0"/>
    <s v="UNICEF"/>
    <x v="1"/>
    <x v="13"/>
    <x v="1"/>
    <x v="330"/>
    <n v="1320"/>
    <n v="6042"/>
    <d v="2018-12-01T00:00:00"/>
    <d v="2019-11-30T00:00:00"/>
    <m/>
    <m/>
    <n v="121"/>
    <s v=" -   "/>
    <s v="Yes"/>
    <m/>
    <m/>
    <n v="0"/>
    <n v="0"/>
    <n v="0"/>
    <n v="0"/>
    <n v="0"/>
    <n v="0"/>
    <n v="0"/>
    <n v="29"/>
    <n v="0"/>
    <n v="29"/>
    <n v="0"/>
    <n v="23"/>
    <n v="0"/>
    <m/>
    <n v="0"/>
    <n v="1"/>
    <n v="1"/>
    <n v="16"/>
    <n v="4"/>
    <s v=" -   "/>
    <s v=" -   "/>
    <s v="45 meters cube storage planned to be installed in the next months"/>
    <n v="184"/>
    <n v="0"/>
    <m/>
    <n v="45"/>
    <n v="184"/>
    <m/>
    <m/>
    <m/>
    <x v="0"/>
    <x v="0"/>
    <n v="0"/>
    <n v="0"/>
    <m/>
    <m/>
    <n v="0"/>
    <n v="0"/>
    <n v="0"/>
    <n v="0"/>
    <n v="0"/>
    <n v="12"/>
    <n v="7"/>
    <n v="1320"/>
    <n v="1320"/>
    <s v="No"/>
    <n v="0"/>
    <m/>
    <s v="the HHs use to have bathing place inside the shelter or as shelter extension"/>
    <n v="1"/>
    <n v="0.25"/>
    <x v="0"/>
    <n v="0"/>
    <n v="0"/>
    <n v="29"/>
    <n v="0"/>
    <n v="0"/>
    <n v="0.31998234580161095"/>
    <n v="0.31998234580161095"/>
    <n v="0.31998234580161095"/>
    <n v="1933.3333333333333"/>
    <n v="0.95167163190996362"/>
    <n v="5750"/>
    <n v="1"/>
    <n v="6042"/>
    <n v="12.084"/>
    <n v="0"/>
    <n v="0"/>
    <n v="0"/>
    <n v="12"/>
    <n v="139"/>
    <n v="0.46011254551473024"/>
    <n v="2780"/>
    <n v="0"/>
    <n v="0"/>
    <n v="302"/>
    <n v="118"/>
    <n v="0.53988745448526976"/>
    <n v="0.24456521739130435"/>
    <n v="6042"/>
    <n v="6042"/>
    <n v="6042"/>
    <n v="6042"/>
    <n v="6042"/>
    <n v="1"/>
    <n v="0"/>
    <n v="1"/>
    <n v="1"/>
    <n v="1"/>
    <n v="0"/>
    <n v="0"/>
    <n v="0"/>
    <n v="0"/>
    <x v="0"/>
    <s v="Yes"/>
    <n v="0"/>
    <x v="0"/>
    <x v="7"/>
    <x v="3"/>
    <n v="20.090183"/>
    <n v="93.010368999999997"/>
    <s v="MMR012CMP018"/>
    <x v="0"/>
    <m/>
  </r>
  <r>
    <x v="0"/>
    <x v="0"/>
    <x v="0"/>
    <s v="ECHO, OFDA, MHF"/>
    <x v="1"/>
    <x v="13"/>
    <x v="2"/>
    <x v="331"/>
    <n v="400"/>
    <n v="2050"/>
    <s v="28/02/2018 and 28/02/2019, 01/07/2018, 01/10/2018"/>
    <s v="28/02/2019 and 28/02/2020, 30/06/2019, 30/09/2019"/>
    <m/>
    <m/>
    <m/>
    <s v=" -   "/>
    <s v="Yes"/>
    <n v="2"/>
    <n v="1"/>
    <n v="0"/>
    <n v="0"/>
    <n v="0"/>
    <n v="0"/>
    <n v="0"/>
    <n v="0"/>
    <n v="0"/>
    <m/>
    <m/>
    <m/>
    <m/>
    <n v="3"/>
    <n v="0"/>
    <m/>
    <n v="0"/>
    <m/>
    <m/>
    <n v="0"/>
    <m/>
    <s v=" -   "/>
    <s v=" -   "/>
    <s v="SI does not deliver treated water to ANY village, only CWF and HP sessions"/>
    <n v="400"/>
    <n v="0"/>
    <m/>
    <n v="0"/>
    <n v="0"/>
    <m/>
    <m/>
    <n v="400"/>
    <x v="3"/>
    <x v="2"/>
    <n v="0"/>
    <n v="0"/>
    <m/>
    <s v="HHs latrines distributed in 2017 after Mora cyclone"/>
    <n v="0"/>
    <n v="0"/>
    <n v="0"/>
    <n v="0"/>
    <n v="0"/>
    <n v="2"/>
    <n v="1"/>
    <n v="456"/>
    <n v="456"/>
    <s v="No"/>
    <n v="3"/>
    <m/>
    <s v="the HHs use to have bathing place inside the shelter or as shelter extension"/>
    <s v="no test"/>
    <s v="no test"/>
    <x v="1"/>
    <n v="0"/>
    <n v="0"/>
    <n v="0"/>
    <n v="0"/>
    <n v="0"/>
    <n v="0"/>
    <n v="0"/>
    <n v="0"/>
    <n v="0"/>
    <n v="0.36585365853658536"/>
    <n v="750"/>
    <n v="0.36585365853658536"/>
    <n v="750"/>
    <n v="1.5"/>
    <n v="0.63414634146341464"/>
    <n v="1300"/>
    <n v="2.5"/>
    <n v="4"/>
    <n v="400"/>
    <n v="1"/>
    <n v="2050"/>
    <s v="N/A"/>
    <s v="NA"/>
    <n v="342"/>
    <n v="0"/>
    <n v="0"/>
    <n v="0"/>
    <n v="1500"/>
    <n v="2050"/>
    <n v="2050"/>
    <n v="2050"/>
    <n v="2050"/>
    <n v="1"/>
    <n v="0"/>
    <n v="0.73170731707317072"/>
    <n v="1"/>
    <n v="1"/>
    <n v="0"/>
    <n v="0"/>
    <n v="0"/>
    <n v="0"/>
    <x v="0"/>
    <n v="0"/>
    <n v="0"/>
    <x v="2"/>
    <x v="6"/>
    <x v="3"/>
    <n v="20.099340439999999"/>
    <n v="92.989143369999994"/>
    <n v="197558"/>
    <x v="0"/>
    <m/>
  </r>
  <r>
    <x v="0"/>
    <x v="0"/>
    <x v="0"/>
    <s v="ECHO, OFDA, MHF"/>
    <x v="1"/>
    <x v="13"/>
    <x v="1"/>
    <x v="332"/>
    <n v="1010"/>
    <n v="4645"/>
    <s v="28/02/2018 and 28/02/2019, 01/07/2018, 01/10/2018"/>
    <s v="28/02/2019 and 28/02/2020, 30/06/2019, 30/09/2019"/>
    <m/>
    <m/>
    <m/>
    <s v=" -   "/>
    <s v="Yes"/>
    <n v="8"/>
    <n v="3"/>
    <n v="0"/>
    <n v="0"/>
    <n v="0"/>
    <n v="0"/>
    <n v="0"/>
    <n v="0"/>
    <n v="0"/>
    <n v="73"/>
    <n v="73"/>
    <m/>
    <m/>
    <n v="1"/>
    <n v="0"/>
    <m/>
    <n v="0"/>
    <m/>
    <m/>
    <n v="19"/>
    <n v="6"/>
    <s v=" -   "/>
    <s v=" -   "/>
    <s v="SI does not deliver treated water in NC1, pilot on istallation of sand pond filter in 1 pond + distribution of HH filters"/>
    <n v="132"/>
    <n v="0"/>
    <m/>
    <n v="43"/>
    <n v="132"/>
    <m/>
    <m/>
    <m/>
    <x v="0"/>
    <x v="2"/>
    <n v="33"/>
    <n v="0"/>
    <m/>
    <s v="no drainage possible since NC1 is under the level of the sea"/>
    <n v="0"/>
    <n v="0"/>
    <n v="0"/>
    <n v="0"/>
    <n v="0"/>
    <n v="6"/>
    <n v="3"/>
    <n v="1010"/>
    <n v="1010"/>
    <s v="No"/>
    <n v="48"/>
    <m/>
    <s v="the HHs use to have bathing place inside the shelter or as shelter extension"/>
    <s v="no test"/>
    <n v="0.31578947368421051"/>
    <x v="0"/>
    <n v="0"/>
    <n v="0"/>
    <n v="0"/>
    <n v="0"/>
    <n v="0"/>
    <n v="0"/>
    <n v="0"/>
    <n v="0"/>
    <n v="0"/>
    <n v="5.3821313240043057E-2"/>
    <n v="250"/>
    <n v="5.3821313240043057E-2"/>
    <n v="250"/>
    <n v="0.5"/>
    <n v="0.94617868675995698"/>
    <n v="4395"/>
    <n v="8.5"/>
    <n v="9"/>
    <n v="89"/>
    <n v="0.38320775026910658"/>
    <n v="1780"/>
    <n v="0"/>
    <n v="0"/>
    <n v="232"/>
    <n v="100"/>
    <n v="0.61679224973089342"/>
    <n v="0.32575757575757575"/>
    <n v="4500"/>
    <n v="4645"/>
    <n v="4645"/>
    <n v="4645"/>
    <n v="4645"/>
    <n v="1"/>
    <n v="0"/>
    <n v="0.96878363832077508"/>
    <n v="1"/>
    <n v="1"/>
    <n v="0"/>
    <n v="0"/>
    <n v="0"/>
    <n v="0"/>
    <x v="0"/>
    <s v="Yes"/>
    <n v="0"/>
    <x v="0"/>
    <x v="12"/>
    <x v="3"/>
    <n v="20.073437999999999"/>
    <n v="93.154551999999995"/>
    <s v="MMR012CMP017"/>
    <x v="0"/>
    <m/>
  </r>
  <r>
    <x v="0"/>
    <x v="0"/>
    <x v="0"/>
    <s v="ECHO, OFDA, MHF"/>
    <x v="1"/>
    <x v="13"/>
    <x v="1"/>
    <x v="333"/>
    <n v="905"/>
    <n v="4104"/>
    <s v="28/02/2018 and 28/02/2019, 01/07/2018, 01/10/2018"/>
    <s v="28/02/2019 and 28/02/2020, 30/06/2019, 30/09/2019"/>
    <m/>
    <m/>
    <m/>
    <s v=" -   "/>
    <s v="Yes"/>
    <n v="11"/>
    <n v="2"/>
    <n v="0"/>
    <n v="0"/>
    <n v="0"/>
    <n v="0"/>
    <n v="0"/>
    <n v="0"/>
    <n v="0"/>
    <n v="62"/>
    <m/>
    <n v="62"/>
    <m/>
    <n v="3"/>
    <n v="0"/>
    <m/>
    <n v="0"/>
    <n v="1"/>
    <n v="1"/>
    <n v="22"/>
    <n v="7"/>
    <s v=" -   "/>
    <s v=" -   "/>
    <m/>
    <n v="129"/>
    <n v="0"/>
    <m/>
    <n v="5"/>
    <n v="129"/>
    <m/>
    <m/>
    <m/>
    <x v="0"/>
    <x v="2"/>
    <n v="32"/>
    <n v="0"/>
    <m/>
    <s v="no drainage possible since NC2 is under the level of the sea"/>
    <n v="0"/>
    <n v="0"/>
    <n v="0"/>
    <n v="0"/>
    <n v="0"/>
    <n v="7"/>
    <n v="3"/>
    <n v="905"/>
    <n v="905"/>
    <s v="No"/>
    <n v="24"/>
    <m/>
    <s v="the HHs use to have bathing place inside the shelter or as shelter extension"/>
    <n v="1"/>
    <n v="0.31818181818181818"/>
    <x v="0"/>
    <n v="0"/>
    <n v="0"/>
    <n v="62"/>
    <n v="0"/>
    <n v="0"/>
    <n v="1"/>
    <n v="1"/>
    <n v="1"/>
    <n v="4104"/>
    <n v="0.18274853801169591"/>
    <n v="750"/>
    <n v="1"/>
    <n v="4104"/>
    <n v="8.2080000000000002"/>
    <n v="0"/>
    <n v="0"/>
    <n v="0"/>
    <n v="8"/>
    <n v="124"/>
    <n v="0.6042884990253411"/>
    <n v="2480"/>
    <n v="0"/>
    <n v="0"/>
    <n v="205"/>
    <n v="76"/>
    <n v="0.3957115009746589"/>
    <n v="3.875968992248062E-2"/>
    <n v="4104"/>
    <n v="4104"/>
    <n v="4104"/>
    <n v="4104"/>
    <n v="4104"/>
    <n v="1"/>
    <n v="0"/>
    <n v="1"/>
    <n v="1"/>
    <n v="1"/>
    <n v="0"/>
    <n v="0"/>
    <n v="0"/>
    <n v="0"/>
    <x v="0"/>
    <s v="Yes"/>
    <n v="0"/>
    <x v="0"/>
    <x v="7"/>
    <x v="3"/>
    <n v="20.073437999999999"/>
    <n v="93.154551999999995"/>
    <s v="MMR012CMP017"/>
    <x v="0"/>
    <m/>
  </r>
  <r>
    <x v="0"/>
    <x v="9"/>
    <x v="9"/>
    <s v="BMZ"/>
    <x v="1"/>
    <x v="13"/>
    <x v="2"/>
    <x v="334"/>
    <n v="142"/>
    <n v="582"/>
    <d v="2018-09-16T00:00:00"/>
    <d v="2019-12-31T00:00:00"/>
    <m/>
    <m/>
    <m/>
    <m/>
    <m/>
    <m/>
    <m/>
    <m/>
    <m/>
    <m/>
    <m/>
    <m/>
    <m/>
    <m/>
    <m/>
    <m/>
    <m/>
    <m/>
    <m/>
    <m/>
    <m/>
    <m/>
    <m/>
    <m/>
    <m/>
    <m/>
    <m/>
    <m/>
    <m/>
    <m/>
    <m/>
    <m/>
    <m/>
    <m/>
    <m/>
    <m/>
    <m/>
    <x v="1"/>
    <x v="1"/>
    <m/>
    <m/>
    <m/>
    <m/>
    <m/>
    <m/>
    <m/>
    <m/>
    <m/>
    <m/>
    <m/>
    <m/>
    <m/>
    <m/>
    <m/>
    <m/>
    <m/>
    <s v="no test"/>
    <s v="no test"/>
    <x v="1"/>
    <n v="0"/>
    <n v="0"/>
    <n v="0"/>
    <n v="0"/>
    <n v="0"/>
    <n v="0"/>
    <n v="0"/>
    <n v="0"/>
    <n v="0"/>
    <n v="0"/>
    <n v="0"/>
    <n v="0"/>
    <n v="0"/>
    <n v="0"/>
    <n v="1"/>
    <n v="582"/>
    <n v="1"/>
    <n v="1"/>
    <n v="0"/>
    <n v="0"/>
    <n v="0"/>
    <s v="N/A"/>
    <s v="NA"/>
    <n v="97"/>
    <n v="97"/>
    <n v="1"/>
    <n v="0"/>
    <n v="0"/>
    <n v="0"/>
    <n v="0"/>
    <n v="0"/>
    <n v="0"/>
    <n v="0"/>
    <n v="1"/>
    <n v="0"/>
    <n v="0"/>
    <n v="0"/>
    <n v="0"/>
    <n v="0"/>
    <n v="0"/>
    <n v="0"/>
    <x v="0"/>
    <n v="0"/>
    <n v="0"/>
    <x v="2"/>
    <x v="6"/>
    <x v="2"/>
    <n v="20.068620681762699"/>
    <n v="92.934440612792997"/>
    <n v="197574"/>
    <x v="0"/>
    <m/>
  </r>
  <r>
    <x v="0"/>
    <x v="21"/>
    <x v="22"/>
    <s v="GIZ"/>
    <x v="1"/>
    <x v="16"/>
    <x v="4"/>
    <x v="335"/>
    <n v="73"/>
    <n v="306"/>
    <d v="2017-06-01T00:00:00"/>
    <d v="2019-05-31T00:00:00"/>
    <m/>
    <m/>
    <m/>
    <m/>
    <m/>
    <m/>
    <m/>
    <m/>
    <m/>
    <m/>
    <m/>
    <m/>
    <m/>
    <m/>
    <m/>
    <m/>
    <m/>
    <m/>
    <m/>
    <m/>
    <m/>
    <m/>
    <m/>
    <m/>
    <m/>
    <m/>
    <m/>
    <m/>
    <m/>
    <m/>
    <m/>
    <m/>
    <m/>
    <m/>
    <m/>
    <m/>
    <m/>
    <x v="1"/>
    <x v="1"/>
    <m/>
    <m/>
    <m/>
    <m/>
    <m/>
    <m/>
    <m/>
    <m/>
    <m/>
    <m/>
    <m/>
    <m/>
    <m/>
    <m/>
    <m/>
    <m/>
    <m/>
    <s v="no test"/>
    <s v="no test"/>
    <x v="1"/>
    <n v="0"/>
    <n v="0"/>
    <n v="0"/>
    <n v="0"/>
    <n v="0"/>
    <n v="0"/>
    <n v="0"/>
    <n v="0"/>
    <n v="0"/>
    <n v="0"/>
    <n v="0"/>
    <n v="0"/>
    <n v="0"/>
    <n v="0"/>
    <n v="1"/>
    <n v="306"/>
    <n v="1"/>
    <n v="1"/>
    <n v="0"/>
    <n v="0"/>
    <n v="0"/>
    <s v="N/A"/>
    <s v="NA"/>
    <n v="51"/>
    <n v="51"/>
    <n v="1"/>
    <n v="0"/>
    <n v="0"/>
    <n v="0"/>
    <n v="0"/>
    <n v="0"/>
    <n v="0"/>
    <n v="0"/>
    <n v="1"/>
    <n v="0"/>
    <n v="0"/>
    <n v="0"/>
    <n v="0"/>
    <n v="0"/>
    <n v="0"/>
    <n v="0"/>
    <x v="0"/>
    <n v="0"/>
    <n v="0"/>
    <x v="2"/>
    <x v="13"/>
    <x v="4"/>
    <n v="0"/>
    <n v="0"/>
    <n v="0"/>
    <x v="0"/>
    <m/>
  </r>
  <r>
    <x v="0"/>
    <x v="21"/>
    <x v="22"/>
    <s v="GIZ"/>
    <x v="1"/>
    <x v="16"/>
    <x v="4"/>
    <x v="336"/>
    <n v="168"/>
    <n v="1002"/>
    <d v="2017-06-01T00:00:00"/>
    <d v="2019-05-31T00:00:00"/>
    <m/>
    <m/>
    <m/>
    <m/>
    <m/>
    <m/>
    <m/>
    <m/>
    <m/>
    <m/>
    <m/>
    <m/>
    <m/>
    <m/>
    <m/>
    <m/>
    <m/>
    <m/>
    <n v="2"/>
    <m/>
    <m/>
    <m/>
    <m/>
    <m/>
    <m/>
    <m/>
    <m/>
    <m/>
    <s v="Pond Rehabilition"/>
    <m/>
    <m/>
    <m/>
    <m/>
    <m/>
    <m/>
    <m/>
    <m/>
    <x v="1"/>
    <x v="1"/>
    <m/>
    <m/>
    <m/>
    <m/>
    <m/>
    <m/>
    <m/>
    <m/>
    <m/>
    <m/>
    <m/>
    <m/>
    <m/>
    <m/>
    <m/>
    <m/>
    <m/>
    <s v="no test"/>
    <s v="no test"/>
    <x v="1"/>
    <n v="0"/>
    <n v="0"/>
    <n v="0"/>
    <n v="0"/>
    <n v="0"/>
    <n v="0"/>
    <n v="0"/>
    <n v="0"/>
    <n v="0"/>
    <n v="0.49900199600798401"/>
    <n v="500"/>
    <n v="0.49900199600798401"/>
    <n v="500"/>
    <n v="1"/>
    <n v="0.50099800399201599"/>
    <n v="502"/>
    <n v="1"/>
    <n v="2"/>
    <n v="0"/>
    <n v="0"/>
    <n v="0"/>
    <s v="N/A"/>
    <s v="NA"/>
    <n v="167"/>
    <n v="167"/>
    <n v="1"/>
    <n v="0"/>
    <n v="0"/>
    <n v="0"/>
    <n v="0"/>
    <n v="0"/>
    <n v="0"/>
    <n v="0"/>
    <n v="1"/>
    <n v="0"/>
    <n v="0"/>
    <n v="0"/>
    <n v="0"/>
    <n v="0"/>
    <n v="0"/>
    <n v="0"/>
    <x v="0"/>
    <n v="0"/>
    <n v="0"/>
    <x v="2"/>
    <x v="13"/>
    <x v="3"/>
    <n v="0"/>
    <n v="0"/>
    <n v="196818"/>
    <x v="0"/>
    <m/>
  </r>
  <r>
    <x v="0"/>
    <x v="21"/>
    <x v="22"/>
    <s v="GIZ"/>
    <x v="1"/>
    <x v="16"/>
    <x v="4"/>
    <x v="337"/>
    <n v="45"/>
    <n v="206"/>
    <d v="2017-06-01T00:00:00"/>
    <d v="2019-05-31T00:00:00"/>
    <m/>
    <m/>
    <m/>
    <m/>
    <m/>
    <m/>
    <m/>
    <m/>
    <m/>
    <m/>
    <m/>
    <m/>
    <m/>
    <m/>
    <m/>
    <m/>
    <m/>
    <m/>
    <n v="1"/>
    <m/>
    <m/>
    <m/>
    <m/>
    <m/>
    <m/>
    <m/>
    <m/>
    <m/>
    <s v="Pond Rehabilition"/>
    <m/>
    <m/>
    <m/>
    <m/>
    <m/>
    <m/>
    <m/>
    <m/>
    <x v="1"/>
    <x v="1"/>
    <m/>
    <m/>
    <m/>
    <m/>
    <m/>
    <m/>
    <m/>
    <m/>
    <m/>
    <m/>
    <m/>
    <m/>
    <m/>
    <m/>
    <m/>
    <m/>
    <m/>
    <s v="no test"/>
    <s v="no test"/>
    <x v="1"/>
    <n v="0"/>
    <n v="0"/>
    <n v="0"/>
    <n v="0"/>
    <n v="0"/>
    <n v="0"/>
    <n v="0"/>
    <n v="0"/>
    <n v="0"/>
    <n v="1"/>
    <n v="206"/>
    <n v="1"/>
    <n v="206"/>
    <n v="0.41199999999999998"/>
    <n v="0"/>
    <n v="0"/>
    <n v="0.58800000000000008"/>
    <n v="1"/>
    <n v="0"/>
    <n v="0"/>
    <n v="0"/>
    <s v="N/A"/>
    <s v="NA"/>
    <n v="34"/>
    <n v="34"/>
    <n v="1"/>
    <n v="0"/>
    <n v="0"/>
    <n v="0"/>
    <n v="0"/>
    <n v="0"/>
    <n v="0"/>
    <n v="0"/>
    <n v="1"/>
    <n v="0"/>
    <n v="0"/>
    <n v="0"/>
    <n v="0"/>
    <n v="0"/>
    <n v="0"/>
    <n v="0"/>
    <x v="0"/>
    <n v="0"/>
    <n v="0"/>
    <x v="2"/>
    <x v="13"/>
    <x v="4"/>
    <n v="0"/>
    <n v="0"/>
    <n v="0"/>
    <x v="0"/>
    <m/>
  </r>
  <r>
    <x v="0"/>
    <x v="21"/>
    <x v="22"/>
    <s v="GIZ"/>
    <x v="1"/>
    <x v="16"/>
    <x v="4"/>
    <x v="338"/>
    <n v="513"/>
    <n v="3224"/>
    <d v="2017-06-01T00:00:00"/>
    <d v="2019-05-31T00:00:00"/>
    <m/>
    <m/>
    <m/>
    <m/>
    <m/>
    <m/>
    <m/>
    <m/>
    <m/>
    <m/>
    <m/>
    <m/>
    <m/>
    <m/>
    <m/>
    <m/>
    <m/>
    <m/>
    <n v="3"/>
    <m/>
    <m/>
    <m/>
    <m/>
    <m/>
    <m/>
    <m/>
    <m/>
    <m/>
    <s v="Pond Rehabilition"/>
    <m/>
    <m/>
    <m/>
    <m/>
    <m/>
    <m/>
    <m/>
    <m/>
    <x v="1"/>
    <x v="1"/>
    <m/>
    <m/>
    <m/>
    <m/>
    <m/>
    <m/>
    <m/>
    <m/>
    <m/>
    <m/>
    <m/>
    <m/>
    <m/>
    <m/>
    <m/>
    <m/>
    <m/>
    <s v="no test"/>
    <s v="no test"/>
    <x v="1"/>
    <n v="0"/>
    <n v="0"/>
    <n v="0"/>
    <n v="0"/>
    <n v="0"/>
    <n v="0"/>
    <n v="0"/>
    <n v="0"/>
    <n v="0"/>
    <n v="0.2326302729528536"/>
    <n v="750"/>
    <n v="0.2326302729528536"/>
    <n v="750"/>
    <n v="1.5"/>
    <n v="0.76736972704714645"/>
    <n v="2474"/>
    <n v="4.5"/>
    <n v="6"/>
    <n v="0"/>
    <n v="0"/>
    <n v="0"/>
    <s v="N/A"/>
    <s v="NA"/>
    <n v="537"/>
    <n v="537"/>
    <n v="1"/>
    <n v="0"/>
    <n v="0"/>
    <n v="0"/>
    <n v="0"/>
    <n v="0"/>
    <n v="0"/>
    <n v="0"/>
    <n v="1"/>
    <n v="0"/>
    <n v="0"/>
    <n v="0"/>
    <n v="0"/>
    <n v="0"/>
    <n v="0"/>
    <n v="0"/>
    <x v="0"/>
    <n v="0"/>
    <n v="0"/>
    <x v="2"/>
    <x v="13"/>
    <x v="3"/>
    <n v="20.864519120000001"/>
    <n v="92.940399170000006"/>
    <n v="196817"/>
    <x v="0"/>
    <m/>
  </r>
  <r>
    <x v="0"/>
    <x v="21"/>
    <x v="22"/>
    <s v="GIZ"/>
    <x v="1"/>
    <x v="16"/>
    <x v="4"/>
    <x v="339"/>
    <n v="454"/>
    <n v="3020"/>
    <d v="2017-06-01T00:00:00"/>
    <d v="2019-05-31T00:00:00"/>
    <m/>
    <m/>
    <m/>
    <m/>
    <m/>
    <m/>
    <m/>
    <m/>
    <m/>
    <m/>
    <m/>
    <m/>
    <m/>
    <m/>
    <m/>
    <m/>
    <m/>
    <m/>
    <n v="2"/>
    <m/>
    <m/>
    <m/>
    <m/>
    <m/>
    <m/>
    <m/>
    <m/>
    <m/>
    <s v="Pond Rehabilition"/>
    <m/>
    <m/>
    <m/>
    <m/>
    <m/>
    <m/>
    <m/>
    <m/>
    <x v="1"/>
    <x v="1"/>
    <m/>
    <m/>
    <m/>
    <m/>
    <m/>
    <m/>
    <m/>
    <m/>
    <m/>
    <m/>
    <m/>
    <m/>
    <m/>
    <m/>
    <m/>
    <m/>
    <m/>
    <s v="no test"/>
    <s v="no test"/>
    <x v="1"/>
    <n v="0"/>
    <n v="0"/>
    <n v="0"/>
    <n v="0"/>
    <n v="0"/>
    <n v="0"/>
    <n v="0"/>
    <n v="0"/>
    <n v="0"/>
    <n v="0.16556291390728478"/>
    <n v="500.00000000000006"/>
    <n v="0.16556291390728478"/>
    <n v="500.00000000000006"/>
    <n v="1.0000000000000002"/>
    <n v="0.83443708609271527"/>
    <n v="2520"/>
    <n v="5"/>
    <n v="6"/>
    <n v="0"/>
    <n v="0"/>
    <n v="0"/>
    <s v="N/A"/>
    <s v="NA"/>
    <n v="503"/>
    <n v="503"/>
    <n v="1"/>
    <n v="0"/>
    <n v="0"/>
    <n v="0"/>
    <n v="0"/>
    <n v="0"/>
    <n v="0"/>
    <n v="0"/>
    <n v="1"/>
    <n v="0"/>
    <n v="0"/>
    <n v="0"/>
    <n v="0"/>
    <n v="0"/>
    <n v="0"/>
    <n v="0"/>
    <x v="0"/>
    <n v="0"/>
    <n v="0"/>
    <x v="2"/>
    <x v="13"/>
    <x v="3"/>
    <n v="20.85956955"/>
    <n v="92.941146849999996"/>
    <n v="196823"/>
    <x v="0"/>
    <m/>
  </r>
  <r>
    <x v="0"/>
    <x v="21"/>
    <x v="22"/>
    <s v="GIZ"/>
    <x v="1"/>
    <x v="16"/>
    <x v="4"/>
    <x v="340"/>
    <n v="170"/>
    <n v="825"/>
    <d v="2017-06-01T00:00:00"/>
    <d v="2019-05-31T00:00:00"/>
    <m/>
    <m/>
    <m/>
    <m/>
    <m/>
    <m/>
    <m/>
    <m/>
    <m/>
    <m/>
    <m/>
    <m/>
    <m/>
    <m/>
    <m/>
    <m/>
    <m/>
    <m/>
    <n v="1"/>
    <m/>
    <m/>
    <m/>
    <m/>
    <m/>
    <m/>
    <m/>
    <m/>
    <m/>
    <s v="Pond Rehabilition"/>
    <m/>
    <m/>
    <m/>
    <m/>
    <m/>
    <m/>
    <m/>
    <m/>
    <x v="1"/>
    <x v="1"/>
    <m/>
    <m/>
    <m/>
    <m/>
    <m/>
    <m/>
    <m/>
    <m/>
    <m/>
    <m/>
    <m/>
    <m/>
    <m/>
    <m/>
    <m/>
    <m/>
    <m/>
    <s v="no test"/>
    <s v="no test"/>
    <x v="1"/>
    <n v="0"/>
    <n v="0"/>
    <n v="0"/>
    <n v="0"/>
    <n v="0"/>
    <n v="0"/>
    <n v="0"/>
    <n v="0"/>
    <n v="0"/>
    <n v="0.30303030303030304"/>
    <n v="250"/>
    <n v="0.30303030303030304"/>
    <n v="250"/>
    <n v="0.5"/>
    <n v="0.69696969696969702"/>
    <n v="575"/>
    <n v="1.5"/>
    <n v="2"/>
    <n v="0"/>
    <n v="0"/>
    <n v="0"/>
    <s v="N/A"/>
    <s v="NA"/>
    <n v="138"/>
    <n v="138"/>
    <n v="1"/>
    <n v="0"/>
    <n v="0"/>
    <n v="0"/>
    <n v="0"/>
    <n v="0"/>
    <n v="0"/>
    <n v="0"/>
    <n v="1"/>
    <n v="0"/>
    <n v="0"/>
    <n v="0"/>
    <n v="0"/>
    <n v="0"/>
    <n v="0"/>
    <n v="0"/>
    <x v="0"/>
    <n v="0"/>
    <n v="0"/>
    <x v="2"/>
    <x v="13"/>
    <x v="4"/>
    <n v="20.894269940000001"/>
    <n v="92.920730590000005"/>
    <n v="196814"/>
    <x v="0"/>
    <m/>
  </r>
  <r>
    <x v="0"/>
    <x v="21"/>
    <x v="22"/>
    <s v="GIZ"/>
    <x v="1"/>
    <x v="16"/>
    <x v="4"/>
    <x v="341"/>
    <n v="144"/>
    <n v="792"/>
    <d v="2017-06-01T00:00:00"/>
    <d v="2019-05-31T00:00:00"/>
    <m/>
    <m/>
    <m/>
    <m/>
    <m/>
    <m/>
    <m/>
    <m/>
    <m/>
    <m/>
    <m/>
    <m/>
    <m/>
    <m/>
    <m/>
    <m/>
    <m/>
    <m/>
    <m/>
    <m/>
    <m/>
    <m/>
    <m/>
    <m/>
    <m/>
    <m/>
    <m/>
    <m/>
    <m/>
    <m/>
    <m/>
    <m/>
    <m/>
    <m/>
    <m/>
    <m/>
    <m/>
    <x v="1"/>
    <x v="1"/>
    <m/>
    <m/>
    <m/>
    <m/>
    <m/>
    <m/>
    <m/>
    <m/>
    <m/>
    <m/>
    <m/>
    <m/>
    <m/>
    <m/>
    <m/>
    <m/>
    <m/>
    <s v="no test"/>
    <s v="no test"/>
    <x v="1"/>
    <n v="0"/>
    <n v="0"/>
    <n v="0"/>
    <n v="0"/>
    <n v="0"/>
    <n v="0"/>
    <n v="0"/>
    <n v="0"/>
    <n v="0"/>
    <n v="0"/>
    <n v="0"/>
    <n v="0"/>
    <n v="0"/>
    <n v="0"/>
    <n v="1"/>
    <n v="792"/>
    <n v="2"/>
    <n v="2"/>
    <n v="0"/>
    <n v="0"/>
    <n v="0"/>
    <s v="N/A"/>
    <s v="NA"/>
    <n v="132"/>
    <n v="132"/>
    <n v="1"/>
    <n v="0"/>
    <n v="0"/>
    <n v="0"/>
    <n v="0"/>
    <n v="0"/>
    <n v="0"/>
    <n v="0"/>
    <n v="1"/>
    <n v="0"/>
    <n v="0"/>
    <n v="0"/>
    <n v="0"/>
    <n v="0"/>
    <n v="0"/>
    <n v="0"/>
    <x v="0"/>
    <n v="0"/>
    <n v="0"/>
    <x v="2"/>
    <x v="13"/>
    <x v="8"/>
    <n v="0"/>
    <n v="0"/>
    <n v="196815"/>
    <x v="0"/>
    <m/>
  </r>
  <r>
    <x v="0"/>
    <x v="21"/>
    <x v="22"/>
    <s v="GIZ"/>
    <x v="1"/>
    <x v="16"/>
    <x v="4"/>
    <x v="342"/>
    <n v="50"/>
    <n v="207"/>
    <d v="2017-06-01T00:00:00"/>
    <d v="2019-05-31T00:00:00"/>
    <m/>
    <m/>
    <m/>
    <m/>
    <m/>
    <m/>
    <m/>
    <m/>
    <m/>
    <m/>
    <m/>
    <m/>
    <m/>
    <m/>
    <m/>
    <m/>
    <m/>
    <m/>
    <n v="2"/>
    <m/>
    <m/>
    <m/>
    <m/>
    <m/>
    <m/>
    <m/>
    <m/>
    <m/>
    <s v="Pond Rehabilition"/>
    <m/>
    <m/>
    <m/>
    <m/>
    <m/>
    <m/>
    <m/>
    <m/>
    <x v="1"/>
    <x v="1"/>
    <m/>
    <m/>
    <m/>
    <m/>
    <m/>
    <m/>
    <m/>
    <m/>
    <m/>
    <m/>
    <m/>
    <m/>
    <m/>
    <m/>
    <m/>
    <m/>
    <m/>
    <s v="no test"/>
    <s v="no test"/>
    <x v="1"/>
    <n v="0"/>
    <n v="0"/>
    <n v="0"/>
    <n v="0"/>
    <n v="0"/>
    <n v="0"/>
    <n v="0"/>
    <n v="0"/>
    <n v="0"/>
    <n v="1"/>
    <n v="207"/>
    <n v="1"/>
    <n v="207"/>
    <n v="0.41399999999999998"/>
    <n v="0"/>
    <n v="0"/>
    <n v="0.58600000000000008"/>
    <n v="1"/>
    <n v="0"/>
    <n v="0"/>
    <n v="0"/>
    <s v="N/A"/>
    <s v="NA"/>
    <n v="35"/>
    <n v="35"/>
    <n v="1"/>
    <n v="0"/>
    <n v="0"/>
    <n v="0"/>
    <n v="0"/>
    <n v="0"/>
    <n v="0"/>
    <n v="0"/>
    <n v="1"/>
    <n v="0"/>
    <n v="0"/>
    <n v="0"/>
    <n v="0"/>
    <n v="0"/>
    <n v="0"/>
    <n v="0"/>
    <x v="0"/>
    <n v="0"/>
    <n v="0"/>
    <x v="2"/>
    <x v="13"/>
    <x v="9"/>
    <n v="20.895059589999999"/>
    <n v="92.90735626"/>
    <n v="196807"/>
    <x v="0"/>
    <m/>
  </r>
  <r>
    <x v="0"/>
    <x v="21"/>
    <x v="22"/>
    <s v="GIZ"/>
    <x v="1"/>
    <x v="16"/>
    <x v="4"/>
    <x v="343"/>
    <n v="90"/>
    <n v="375"/>
    <d v="2017-06-01T00:00:00"/>
    <d v="2019-05-31T00:00:00"/>
    <m/>
    <m/>
    <m/>
    <m/>
    <m/>
    <m/>
    <m/>
    <m/>
    <m/>
    <m/>
    <m/>
    <m/>
    <m/>
    <m/>
    <m/>
    <m/>
    <m/>
    <m/>
    <n v="1"/>
    <m/>
    <m/>
    <m/>
    <m/>
    <m/>
    <m/>
    <m/>
    <m/>
    <m/>
    <s v="Pond Rehabilition"/>
    <m/>
    <m/>
    <m/>
    <m/>
    <m/>
    <m/>
    <m/>
    <m/>
    <x v="1"/>
    <x v="1"/>
    <m/>
    <m/>
    <m/>
    <m/>
    <m/>
    <m/>
    <m/>
    <m/>
    <m/>
    <m/>
    <m/>
    <m/>
    <m/>
    <m/>
    <m/>
    <m/>
    <m/>
    <s v="no test"/>
    <s v="no test"/>
    <x v="1"/>
    <n v="0"/>
    <n v="0"/>
    <n v="0"/>
    <n v="0"/>
    <n v="0"/>
    <n v="0"/>
    <n v="0"/>
    <n v="0"/>
    <n v="0"/>
    <n v="0.66666666666666663"/>
    <n v="250"/>
    <n v="0.66666666666666663"/>
    <n v="250"/>
    <n v="0.5"/>
    <n v="0.33333333333333337"/>
    <n v="125.00000000000001"/>
    <n v="0.5"/>
    <n v="1"/>
    <n v="0"/>
    <n v="0"/>
    <n v="0"/>
    <s v="N/A"/>
    <s v="NA"/>
    <n v="63"/>
    <n v="63"/>
    <n v="1"/>
    <n v="0"/>
    <n v="0"/>
    <n v="0"/>
    <n v="0"/>
    <n v="0"/>
    <n v="0"/>
    <n v="0"/>
    <n v="1"/>
    <n v="0"/>
    <n v="0"/>
    <n v="0"/>
    <n v="0"/>
    <n v="0"/>
    <n v="0"/>
    <n v="0"/>
    <x v="0"/>
    <n v="0"/>
    <n v="0"/>
    <x v="2"/>
    <x v="13"/>
    <x v="4"/>
    <n v="20.803710939999998"/>
    <n v="92.946136469999999"/>
    <n v="196886"/>
    <x v="0"/>
    <m/>
  </r>
  <r>
    <x v="0"/>
    <x v="21"/>
    <x v="22"/>
    <s v="GIZ"/>
    <x v="1"/>
    <x v="16"/>
    <x v="4"/>
    <x v="344"/>
    <n v="173"/>
    <n v="867"/>
    <d v="2017-06-01T00:00:00"/>
    <d v="2019-05-31T00:00:00"/>
    <m/>
    <m/>
    <m/>
    <m/>
    <m/>
    <m/>
    <m/>
    <m/>
    <m/>
    <m/>
    <m/>
    <m/>
    <m/>
    <m/>
    <m/>
    <m/>
    <m/>
    <m/>
    <n v="2"/>
    <m/>
    <m/>
    <m/>
    <m/>
    <m/>
    <m/>
    <m/>
    <m/>
    <m/>
    <s v="Pond Rehabilition"/>
    <m/>
    <m/>
    <m/>
    <m/>
    <m/>
    <m/>
    <m/>
    <m/>
    <x v="1"/>
    <x v="1"/>
    <m/>
    <m/>
    <m/>
    <m/>
    <m/>
    <m/>
    <m/>
    <m/>
    <m/>
    <m/>
    <m/>
    <m/>
    <m/>
    <m/>
    <m/>
    <m/>
    <m/>
    <s v="no test"/>
    <s v="no test"/>
    <x v="1"/>
    <n v="0"/>
    <n v="0"/>
    <n v="0"/>
    <n v="0"/>
    <n v="0"/>
    <n v="0"/>
    <n v="0"/>
    <n v="0"/>
    <n v="0"/>
    <n v="0.57670126874279126"/>
    <n v="500"/>
    <n v="0.57670126874279126"/>
    <n v="500"/>
    <n v="1"/>
    <n v="0.42329873125720874"/>
    <n v="367"/>
    <n v="1"/>
    <n v="2"/>
    <n v="0"/>
    <n v="0"/>
    <n v="0"/>
    <s v="N/A"/>
    <s v="NA"/>
    <n v="145"/>
    <n v="145"/>
    <n v="1"/>
    <n v="0"/>
    <n v="0"/>
    <n v="0"/>
    <n v="0"/>
    <n v="0"/>
    <n v="0"/>
    <n v="0"/>
    <n v="1"/>
    <n v="0"/>
    <n v="0"/>
    <n v="0"/>
    <n v="0"/>
    <n v="0"/>
    <n v="0"/>
    <n v="0"/>
    <x v="0"/>
    <n v="0"/>
    <n v="0"/>
    <x v="2"/>
    <x v="13"/>
    <x v="2"/>
    <n v="20.80635071"/>
    <n v="92.948310849999999"/>
    <n v="196885"/>
    <x v="0"/>
    <m/>
  </r>
  <r>
    <x v="0"/>
    <x v="21"/>
    <x v="22"/>
    <s v="GIZ"/>
    <x v="1"/>
    <x v="16"/>
    <x v="4"/>
    <x v="345"/>
    <n v="98"/>
    <n v="418"/>
    <d v="2017-06-01T00:00:00"/>
    <d v="2019-05-31T00:00:00"/>
    <m/>
    <m/>
    <m/>
    <m/>
    <m/>
    <m/>
    <m/>
    <m/>
    <m/>
    <m/>
    <m/>
    <m/>
    <m/>
    <m/>
    <m/>
    <m/>
    <m/>
    <m/>
    <m/>
    <m/>
    <m/>
    <m/>
    <m/>
    <m/>
    <m/>
    <m/>
    <m/>
    <m/>
    <m/>
    <m/>
    <m/>
    <m/>
    <m/>
    <m/>
    <m/>
    <m/>
    <m/>
    <x v="1"/>
    <x v="1"/>
    <m/>
    <m/>
    <m/>
    <m/>
    <m/>
    <m/>
    <m/>
    <m/>
    <m/>
    <m/>
    <m/>
    <m/>
    <m/>
    <m/>
    <m/>
    <m/>
    <m/>
    <s v="no test"/>
    <s v="no test"/>
    <x v="1"/>
    <n v="0"/>
    <n v="0"/>
    <n v="0"/>
    <n v="0"/>
    <n v="0"/>
    <n v="0"/>
    <n v="0"/>
    <n v="0"/>
    <n v="0"/>
    <n v="0"/>
    <n v="0"/>
    <n v="0"/>
    <n v="0"/>
    <n v="0"/>
    <n v="1"/>
    <n v="418"/>
    <n v="1"/>
    <n v="1"/>
    <n v="0"/>
    <n v="0"/>
    <n v="0"/>
    <s v="N/A"/>
    <s v="NA"/>
    <n v="70"/>
    <n v="70"/>
    <n v="1"/>
    <n v="0"/>
    <n v="0"/>
    <n v="0"/>
    <n v="0"/>
    <n v="0"/>
    <n v="0"/>
    <n v="0"/>
    <n v="1"/>
    <n v="0"/>
    <n v="0"/>
    <n v="0"/>
    <n v="0"/>
    <n v="0"/>
    <n v="0"/>
    <n v="0"/>
    <x v="0"/>
    <n v="0"/>
    <n v="0"/>
    <x v="2"/>
    <x v="13"/>
    <x v="9"/>
    <n v="20.831729889999998"/>
    <n v="92.919639590000003"/>
    <n v="196880"/>
    <x v="0"/>
    <m/>
  </r>
  <r>
    <x v="0"/>
    <x v="21"/>
    <x v="22"/>
    <s v="GIZ"/>
    <x v="1"/>
    <x v="16"/>
    <x v="4"/>
    <x v="346"/>
    <n v="47"/>
    <n v="203"/>
    <d v="2017-06-01T00:00:00"/>
    <d v="2019-05-31T00:00:00"/>
    <m/>
    <m/>
    <m/>
    <m/>
    <m/>
    <m/>
    <m/>
    <m/>
    <m/>
    <m/>
    <m/>
    <m/>
    <m/>
    <m/>
    <m/>
    <m/>
    <m/>
    <m/>
    <m/>
    <m/>
    <m/>
    <m/>
    <m/>
    <m/>
    <m/>
    <m/>
    <m/>
    <m/>
    <m/>
    <m/>
    <m/>
    <m/>
    <m/>
    <m/>
    <m/>
    <m/>
    <m/>
    <x v="1"/>
    <x v="1"/>
    <m/>
    <m/>
    <m/>
    <m/>
    <m/>
    <m/>
    <m/>
    <m/>
    <m/>
    <m/>
    <m/>
    <m/>
    <m/>
    <m/>
    <m/>
    <m/>
    <m/>
    <s v="no test"/>
    <s v="no test"/>
    <x v="1"/>
    <n v="0"/>
    <n v="0"/>
    <n v="0"/>
    <n v="0"/>
    <n v="0"/>
    <n v="0"/>
    <n v="0"/>
    <n v="0"/>
    <n v="0"/>
    <n v="0"/>
    <n v="0"/>
    <n v="0"/>
    <n v="0"/>
    <n v="0"/>
    <n v="1"/>
    <n v="203"/>
    <n v="1"/>
    <n v="1"/>
    <n v="0"/>
    <n v="0"/>
    <n v="0"/>
    <s v="N/A"/>
    <s v="NA"/>
    <n v="34"/>
    <n v="34"/>
    <n v="1"/>
    <n v="0"/>
    <n v="0"/>
    <n v="0"/>
    <n v="0"/>
    <n v="0"/>
    <n v="0"/>
    <n v="0"/>
    <n v="1"/>
    <n v="0"/>
    <n v="0"/>
    <n v="0"/>
    <n v="0"/>
    <n v="0"/>
    <n v="0"/>
    <n v="0"/>
    <x v="0"/>
    <n v="0"/>
    <n v="0"/>
    <x v="2"/>
    <x v="13"/>
    <x v="9"/>
    <n v="0"/>
    <n v="0"/>
    <n v="0"/>
    <x v="0"/>
    <m/>
  </r>
  <r>
    <x v="0"/>
    <x v="21"/>
    <x v="22"/>
    <s v="GIZ"/>
    <x v="1"/>
    <x v="16"/>
    <x v="4"/>
    <x v="347"/>
    <n v="131"/>
    <n v="631"/>
    <d v="2017-06-01T00:00:00"/>
    <d v="2019-05-31T00:00:00"/>
    <m/>
    <m/>
    <m/>
    <m/>
    <m/>
    <m/>
    <m/>
    <m/>
    <m/>
    <m/>
    <m/>
    <m/>
    <m/>
    <m/>
    <m/>
    <m/>
    <m/>
    <m/>
    <n v="1"/>
    <m/>
    <m/>
    <m/>
    <m/>
    <m/>
    <m/>
    <m/>
    <m/>
    <m/>
    <s v="Pond Rehabilition"/>
    <m/>
    <m/>
    <m/>
    <m/>
    <m/>
    <m/>
    <m/>
    <m/>
    <x v="1"/>
    <x v="1"/>
    <m/>
    <m/>
    <m/>
    <m/>
    <m/>
    <m/>
    <m/>
    <m/>
    <m/>
    <m/>
    <m/>
    <m/>
    <m/>
    <m/>
    <m/>
    <m/>
    <m/>
    <s v="no test"/>
    <s v="no test"/>
    <x v="1"/>
    <n v="0"/>
    <n v="0"/>
    <n v="0"/>
    <n v="0"/>
    <n v="0"/>
    <n v="0"/>
    <n v="0"/>
    <n v="0"/>
    <n v="0"/>
    <n v="0.39619651347068147"/>
    <n v="250"/>
    <n v="0.39619651347068147"/>
    <n v="250"/>
    <n v="0.5"/>
    <n v="0.60380348652931848"/>
    <n v="380.99999999999994"/>
    <n v="0.5"/>
    <n v="1"/>
    <n v="0"/>
    <n v="0"/>
    <n v="0"/>
    <s v="N/A"/>
    <s v="NA"/>
    <n v="105"/>
    <n v="105"/>
    <n v="1"/>
    <n v="0"/>
    <n v="0"/>
    <n v="0"/>
    <n v="0"/>
    <n v="0"/>
    <n v="0"/>
    <n v="0"/>
    <n v="1"/>
    <n v="0"/>
    <n v="0"/>
    <n v="0"/>
    <n v="0"/>
    <n v="0"/>
    <n v="0"/>
    <n v="0"/>
    <x v="0"/>
    <n v="0"/>
    <n v="0"/>
    <x v="2"/>
    <x v="13"/>
    <x v="9"/>
    <n v="20.809240339999999"/>
    <n v="92.923919679999997"/>
    <n v="196881"/>
    <x v="0"/>
    <m/>
  </r>
  <r>
    <x v="0"/>
    <x v="21"/>
    <x v="22"/>
    <s v="GIZ"/>
    <x v="1"/>
    <x v="16"/>
    <x v="4"/>
    <x v="348"/>
    <n v="42"/>
    <n v="184"/>
    <d v="2017-06-01T00:00:00"/>
    <d v="2019-05-31T00:00:00"/>
    <m/>
    <m/>
    <m/>
    <m/>
    <m/>
    <m/>
    <m/>
    <m/>
    <m/>
    <m/>
    <m/>
    <m/>
    <m/>
    <m/>
    <m/>
    <m/>
    <m/>
    <m/>
    <n v="1"/>
    <m/>
    <m/>
    <m/>
    <m/>
    <m/>
    <m/>
    <m/>
    <m/>
    <m/>
    <s v="Pond Rehabilition"/>
    <m/>
    <m/>
    <m/>
    <m/>
    <m/>
    <m/>
    <m/>
    <m/>
    <x v="1"/>
    <x v="1"/>
    <m/>
    <m/>
    <m/>
    <m/>
    <m/>
    <m/>
    <m/>
    <m/>
    <m/>
    <m/>
    <m/>
    <m/>
    <m/>
    <m/>
    <m/>
    <m/>
    <m/>
    <s v="no test"/>
    <s v="no test"/>
    <x v="1"/>
    <n v="0"/>
    <n v="0"/>
    <n v="0"/>
    <n v="0"/>
    <n v="0"/>
    <n v="0"/>
    <n v="0"/>
    <n v="0"/>
    <n v="0"/>
    <n v="1"/>
    <n v="184"/>
    <n v="1"/>
    <n v="184"/>
    <n v="0.36799999999999999"/>
    <n v="0"/>
    <n v="0"/>
    <n v="0.63200000000000001"/>
    <n v="1"/>
    <n v="0"/>
    <n v="0"/>
    <n v="0"/>
    <s v="N/A"/>
    <s v="NA"/>
    <n v="31"/>
    <n v="31"/>
    <n v="1"/>
    <n v="0"/>
    <n v="0"/>
    <n v="0"/>
    <n v="0"/>
    <n v="0"/>
    <n v="0"/>
    <n v="0"/>
    <n v="1"/>
    <n v="0"/>
    <n v="0"/>
    <n v="0"/>
    <n v="0"/>
    <n v="0"/>
    <n v="0"/>
    <n v="0"/>
    <x v="0"/>
    <n v="0"/>
    <n v="0"/>
    <x v="2"/>
    <x v="13"/>
    <x v="9"/>
    <n v="20.807970050000002"/>
    <n v="92.929046630000002"/>
    <n v="196882"/>
    <x v="0"/>
    <m/>
  </r>
  <r>
    <x v="0"/>
    <x v="21"/>
    <x v="22"/>
    <s v="GIZ"/>
    <x v="1"/>
    <x v="16"/>
    <x v="4"/>
    <x v="349"/>
    <n v="73"/>
    <n v="343"/>
    <d v="2017-06-01T00:00:00"/>
    <d v="2019-05-31T00:00:00"/>
    <m/>
    <m/>
    <m/>
    <m/>
    <m/>
    <m/>
    <m/>
    <m/>
    <m/>
    <m/>
    <m/>
    <m/>
    <m/>
    <m/>
    <m/>
    <m/>
    <m/>
    <m/>
    <m/>
    <m/>
    <m/>
    <m/>
    <m/>
    <m/>
    <m/>
    <m/>
    <m/>
    <m/>
    <m/>
    <m/>
    <m/>
    <m/>
    <m/>
    <m/>
    <m/>
    <m/>
    <m/>
    <x v="1"/>
    <x v="1"/>
    <m/>
    <m/>
    <m/>
    <m/>
    <m/>
    <m/>
    <m/>
    <m/>
    <m/>
    <m/>
    <m/>
    <m/>
    <m/>
    <m/>
    <m/>
    <m/>
    <m/>
    <s v="no test"/>
    <s v="no test"/>
    <x v="1"/>
    <n v="0"/>
    <n v="0"/>
    <n v="0"/>
    <n v="0"/>
    <n v="0"/>
    <n v="0"/>
    <n v="0"/>
    <n v="0"/>
    <n v="0"/>
    <n v="0"/>
    <n v="0"/>
    <n v="0"/>
    <n v="0"/>
    <n v="0"/>
    <n v="1"/>
    <n v="343"/>
    <n v="1"/>
    <n v="1"/>
    <n v="0"/>
    <n v="0"/>
    <n v="0"/>
    <s v="N/A"/>
    <s v="NA"/>
    <n v="57"/>
    <n v="57"/>
    <n v="1"/>
    <n v="0"/>
    <n v="0"/>
    <n v="0"/>
    <n v="0"/>
    <n v="0"/>
    <n v="0"/>
    <n v="0"/>
    <n v="1"/>
    <n v="0"/>
    <n v="0"/>
    <n v="0"/>
    <n v="0"/>
    <n v="0"/>
    <n v="0"/>
    <n v="0"/>
    <x v="0"/>
    <n v="0"/>
    <n v="0"/>
    <x v="2"/>
    <x v="13"/>
    <x v="9"/>
    <n v="20.803529739999998"/>
    <n v="92.929466250000004"/>
    <n v="196883"/>
    <x v="0"/>
    <m/>
  </r>
  <r>
    <x v="0"/>
    <x v="21"/>
    <x v="22"/>
    <s v="GIZ"/>
    <x v="1"/>
    <x v="16"/>
    <x v="2"/>
    <x v="350"/>
    <n v="93"/>
    <n v="415"/>
    <d v="2017-06-01T00:00:00"/>
    <d v="2019-05-31T00:00:00"/>
    <m/>
    <m/>
    <m/>
    <m/>
    <m/>
    <m/>
    <m/>
    <m/>
    <m/>
    <m/>
    <m/>
    <m/>
    <m/>
    <m/>
    <m/>
    <m/>
    <m/>
    <m/>
    <n v="2"/>
    <m/>
    <m/>
    <m/>
    <m/>
    <m/>
    <m/>
    <m/>
    <m/>
    <m/>
    <s v="Pond Rehabilition"/>
    <m/>
    <m/>
    <m/>
    <m/>
    <m/>
    <m/>
    <m/>
    <m/>
    <x v="1"/>
    <x v="1"/>
    <m/>
    <m/>
    <m/>
    <m/>
    <m/>
    <m/>
    <m/>
    <m/>
    <m/>
    <m/>
    <m/>
    <m/>
    <m/>
    <m/>
    <m/>
    <m/>
    <m/>
    <s v="no test"/>
    <s v="no test"/>
    <x v="1"/>
    <n v="0"/>
    <n v="0"/>
    <n v="0"/>
    <n v="0"/>
    <n v="0"/>
    <n v="0"/>
    <n v="0"/>
    <n v="0"/>
    <n v="0"/>
    <n v="1"/>
    <n v="415"/>
    <n v="1"/>
    <n v="415"/>
    <n v="0.83"/>
    <n v="0"/>
    <n v="0"/>
    <n v="0.17000000000000004"/>
    <n v="1"/>
    <n v="0"/>
    <n v="0"/>
    <n v="0"/>
    <s v="N/A"/>
    <s v="NA"/>
    <n v="69"/>
    <n v="69"/>
    <n v="1"/>
    <n v="0"/>
    <n v="0"/>
    <n v="0"/>
    <n v="0"/>
    <n v="0"/>
    <n v="0"/>
    <n v="0"/>
    <n v="1"/>
    <n v="0"/>
    <n v="0"/>
    <n v="0"/>
    <n v="0"/>
    <n v="0"/>
    <n v="0"/>
    <n v="0"/>
    <x v="0"/>
    <n v="0"/>
    <n v="0"/>
    <x v="2"/>
    <x v="6"/>
    <x v="9"/>
    <n v="20.855012890000001"/>
    <n v="92.91"/>
    <n v="196824"/>
    <x v="0"/>
    <m/>
  </r>
  <r>
    <x v="0"/>
    <x v="21"/>
    <x v="22"/>
    <s v="GIZ"/>
    <x v="1"/>
    <x v="16"/>
    <x v="4"/>
    <x v="351"/>
    <n v="73"/>
    <n v="397"/>
    <d v="2017-06-01T00:00:00"/>
    <d v="2019-05-31T00:00:00"/>
    <m/>
    <m/>
    <m/>
    <m/>
    <m/>
    <m/>
    <m/>
    <m/>
    <m/>
    <m/>
    <m/>
    <m/>
    <m/>
    <m/>
    <m/>
    <m/>
    <m/>
    <m/>
    <n v="1"/>
    <m/>
    <m/>
    <m/>
    <m/>
    <m/>
    <m/>
    <m/>
    <m/>
    <m/>
    <s v="Pond Rehabilition"/>
    <m/>
    <m/>
    <m/>
    <m/>
    <m/>
    <m/>
    <m/>
    <m/>
    <x v="1"/>
    <x v="1"/>
    <m/>
    <m/>
    <m/>
    <m/>
    <m/>
    <m/>
    <m/>
    <m/>
    <m/>
    <m/>
    <m/>
    <m/>
    <m/>
    <m/>
    <m/>
    <m/>
    <m/>
    <s v="no test"/>
    <s v="no test"/>
    <x v="1"/>
    <n v="0"/>
    <n v="0"/>
    <n v="0"/>
    <n v="0"/>
    <n v="0"/>
    <n v="0"/>
    <n v="0"/>
    <n v="0"/>
    <n v="0"/>
    <n v="0.62972292191435764"/>
    <n v="249.99999999999997"/>
    <n v="0.62972292191435764"/>
    <n v="249.99999999999997"/>
    <n v="0.49999999999999994"/>
    <n v="0.37027707808564236"/>
    <n v="147.00000000000003"/>
    <n v="0.5"/>
    <n v="1"/>
    <n v="0"/>
    <n v="0"/>
    <n v="0"/>
    <s v="N/A"/>
    <s v="NA"/>
    <n v="66"/>
    <n v="66"/>
    <n v="1"/>
    <n v="0"/>
    <n v="0"/>
    <n v="0"/>
    <n v="0"/>
    <n v="0"/>
    <n v="0"/>
    <n v="0"/>
    <n v="1"/>
    <n v="0"/>
    <n v="0"/>
    <n v="0"/>
    <n v="0"/>
    <n v="0"/>
    <n v="0"/>
    <n v="0"/>
    <x v="0"/>
    <n v="0"/>
    <n v="0"/>
    <x v="2"/>
    <x v="13"/>
    <x v="9"/>
    <n v="20.851089479999999"/>
    <n v="92.916893009999995"/>
    <n v="196825"/>
    <x v="0"/>
    <m/>
  </r>
  <r>
    <x v="0"/>
    <x v="21"/>
    <x v="22"/>
    <s v="GIZ"/>
    <x v="1"/>
    <x v="16"/>
    <x v="4"/>
    <x v="352"/>
    <n v="138"/>
    <n v="609"/>
    <d v="2017-06-01T00:00:00"/>
    <d v="2019-05-31T00:00:00"/>
    <m/>
    <m/>
    <m/>
    <m/>
    <m/>
    <m/>
    <m/>
    <m/>
    <m/>
    <m/>
    <m/>
    <m/>
    <m/>
    <m/>
    <m/>
    <m/>
    <m/>
    <m/>
    <n v="3"/>
    <m/>
    <m/>
    <m/>
    <m/>
    <m/>
    <m/>
    <m/>
    <m/>
    <m/>
    <s v="Pond Rehabilition"/>
    <m/>
    <m/>
    <m/>
    <m/>
    <m/>
    <m/>
    <m/>
    <m/>
    <x v="1"/>
    <x v="1"/>
    <m/>
    <m/>
    <m/>
    <m/>
    <m/>
    <m/>
    <m/>
    <m/>
    <m/>
    <m/>
    <m/>
    <m/>
    <m/>
    <m/>
    <m/>
    <m/>
    <m/>
    <s v="no test"/>
    <s v="no test"/>
    <x v="1"/>
    <n v="0"/>
    <n v="0"/>
    <n v="0"/>
    <n v="0"/>
    <n v="0"/>
    <n v="0"/>
    <n v="0"/>
    <n v="0"/>
    <n v="0"/>
    <n v="1"/>
    <n v="609"/>
    <n v="1"/>
    <n v="609"/>
    <n v="1.218"/>
    <n v="0"/>
    <n v="0"/>
    <n v="0"/>
    <n v="1"/>
    <n v="0"/>
    <n v="0"/>
    <n v="0"/>
    <s v="N/A"/>
    <s v="NA"/>
    <n v="102"/>
    <n v="102"/>
    <n v="1"/>
    <n v="0"/>
    <n v="0"/>
    <n v="0"/>
    <n v="0"/>
    <n v="0"/>
    <n v="0"/>
    <n v="0"/>
    <n v="1"/>
    <n v="0"/>
    <n v="0"/>
    <n v="0"/>
    <n v="0"/>
    <n v="0"/>
    <n v="0"/>
    <n v="0"/>
    <x v="0"/>
    <n v="0"/>
    <n v="0"/>
    <x v="2"/>
    <x v="13"/>
    <x v="4"/>
    <n v="20.67705917"/>
    <n v="92.953247070000003"/>
    <n v="196929"/>
    <x v="0"/>
    <m/>
  </r>
  <r>
    <x v="0"/>
    <x v="21"/>
    <x v="22"/>
    <s v="GIZ"/>
    <x v="1"/>
    <x v="16"/>
    <x v="4"/>
    <x v="353"/>
    <n v="76"/>
    <n v="394"/>
    <d v="2017-06-01T00:00:00"/>
    <d v="2019-05-31T00:00:00"/>
    <m/>
    <m/>
    <m/>
    <m/>
    <m/>
    <m/>
    <m/>
    <m/>
    <m/>
    <m/>
    <m/>
    <m/>
    <m/>
    <m/>
    <m/>
    <m/>
    <m/>
    <m/>
    <n v="2"/>
    <m/>
    <m/>
    <m/>
    <m/>
    <m/>
    <m/>
    <m/>
    <m/>
    <m/>
    <s v="Pond Rehabilition"/>
    <m/>
    <m/>
    <m/>
    <m/>
    <m/>
    <m/>
    <m/>
    <m/>
    <x v="1"/>
    <x v="1"/>
    <m/>
    <m/>
    <m/>
    <m/>
    <m/>
    <m/>
    <m/>
    <m/>
    <m/>
    <m/>
    <m/>
    <m/>
    <m/>
    <m/>
    <m/>
    <m/>
    <m/>
    <s v="no test"/>
    <s v="no test"/>
    <x v="1"/>
    <n v="0"/>
    <n v="0"/>
    <n v="0"/>
    <n v="0"/>
    <n v="0"/>
    <n v="0"/>
    <n v="0"/>
    <n v="0"/>
    <n v="0"/>
    <n v="1"/>
    <n v="394"/>
    <n v="1"/>
    <n v="394"/>
    <n v="0.78800000000000003"/>
    <n v="0"/>
    <n v="0"/>
    <n v="0.21199999999999997"/>
    <n v="1"/>
    <n v="0"/>
    <n v="0"/>
    <n v="0"/>
    <s v="N/A"/>
    <s v="NA"/>
    <n v="66"/>
    <n v="66"/>
    <n v="1"/>
    <n v="0"/>
    <n v="0"/>
    <n v="0"/>
    <n v="0"/>
    <n v="0"/>
    <n v="0"/>
    <n v="0"/>
    <n v="1"/>
    <n v="0"/>
    <n v="0"/>
    <n v="0"/>
    <n v="0"/>
    <n v="0"/>
    <n v="0"/>
    <n v="0"/>
    <x v="0"/>
    <n v="0"/>
    <n v="0"/>
    <x v="2"/>
    <x v="13"/>
    <x v="10"/>
    <n v="20.681715010000001"/>
    <n v="92.94140625"/>
    <n v="196930"/>
    <x v="0"/>
    <m/>
  </r>
  <r>
    <x v="0"/>
    <x v="21"/>
    <x v="22"/>
    <s v="GIZ"/>
    <x v="1"/>
    <x v="16"/>
    <x v="4"/>
    <x v="354"/>
    <n v="185"/>
    <n v="915"/>
    <d v="2017-06-01T00:00:00"/>
    <d v="2019-05-31T00:00:00"/>
    <m/>
    <m/>
    <m/>
    <m/>
    <m/>
    <m/>
    <m/>
    <m/>
    <m/>
    <m/>
    <m/>
    <m/>
    <m/>
    <m/>
    <m/>
    <m/>
    <m/>
    <m/>
    <n v="3"/>
    <m/>
    <m/>
    <m/>
    <m/>
    <m/>
    <m/>
    <m/>
    <m/>
    <m/>
    <s v="Pond Rehabilition"/>
    <m/>
    <m/>
    <m/>
    <m/>
    <m/>
    <m/>
    <m/>
    <m/>
    <x v="1"/>
    <x v="1"/>
    <m/>
    <m/>
    <m/>
    <m/>
    <m/>
    <m/>
    <m/>
    <m/>
    <m/>
    <m/>
    <m/>
    <m/>
    <m/>
    <m/>
    <m/>
    <m/>
    <m/>
    <s v="no test"/>
    <s v="no test"/>
    <x v="1"/>
    <n v="0"/>
    <n v="0"/>
    <n v="0"/>
    <n v="0"/>
    <n v="0"/>
    <n v="0"/>
    <n v="0"/>
    <n v="0"/>
    <n v="0"/>
    <n v="0.81967213114754101"/>
    <n v="750"/>
    <n v="0.81967213114754101"/>
    <n v="750"/>
    <n v="1.5"/>
    <n v="0.18032786885245899"/>
    <n v="164.99999999999997"/>
    <n v="0.5"/>
    <n v="2"/>
    <n v="0"/>
    <n v="0"/>
    <n v="0"/>
    <s v="N/A"/>
    <s v="NA"/>
    <n v="153"/>
    <n v="153"/>
    <n v="1"/>
    <n v="0"/>
    <n v="0"/>
    <n v="0"/>
    <n v="0"/>
    <n v="0"/>
    <n v="0"/>
    <n v="0"/>
    <n v="1"/>
    <n v="0"/>
    <n v="0"/>
    <n v="0"/>
    <n v="0"/>
    <n v="0"/>
    <n v="0"/>
    <n v="0"/>
    <x v="0"/>
    <n v="0"/>
    <n v="0"/>
    <x v="2"/>
    <x v="13"/>
    <x v="4"/>
    <n v="20.786739350000001"/>
    <n v="92.944313050000005"/>
    <n v="196884"/>
    <x v="0"/>
    <m/>
  </r>
  <r>
    <x v="0"/>
    <x v="21"/>
    <x v="22"/>
    <s v="GIZ"/>
    <x v="1"/>
    <x v="16"/>
    <x v="4"/>
    <x v="355"/>
    <n v="293"/>
    <n v="1503"/>
    <d v="2017-06-01T00:00:00"/>
    <d v="2019-05-31T00:00:00"/>
    <m/>
    <m/>
    <m/>
    <m/>
    <m/>
    <m/>
    <m/>
    <m/>
    <m/>
    <m/>
    <m/>
    <m/>
    <m/>
    <m/>
    <m/>
    <m/>
    <m/>
    <m/>
    <n v="4"/>
    <m/>
    <m/>
    <m/>
    <m/>
    <m/>
    <m/>
    <m/>
    <m/>
    <m/>
    <s v="Pond Rehabilition"/>
    <m/>
    <m/>
    <m/>
    <m/>
    <m/>
    <m/>
    <m/>
    <m/>
    <x v="1"/>
    <x v="1"/>
    <m/>
    <m/>
    <m/>
    <m/>
    <m/>
    <m/>
    <m/>
    <m/>
    <m/>
    <m/>
    <m/>
    <m/>
    <m/>
    <m/>
    <m/>
    <m/>
    <m/>
    <s v="no test"/>
    <s v="no test"/>
    <x v="1"/>
    <n v="0"/>
    <n v="0"/>
    <n v="0"/>
    <n v="0"/>
    <n v="0"/>
    <n v="0"/>
    <n v="0"/>
    <n v="0"/>
    <n v="0"/>
    <n v="0.66533599467731208"/>
    <n v="1000.0000000000001"/>
    <n v="0.66533599467731208"/>
    <n v="1000.0000000000001"/>
    <n v="2.0000000000000004"/>
    <n v="0.33466400532268792"/>
    <n v="502.99999999999994"/>
    <n v="0.99999999999999956"/>
    <n v="3"/>
    <n v="0"/>
    <n v="0"/>
    <n v="0"/>
    <s v="N/A"/>
    <s v="NA"/>
    <n v="251"/>
    <n v="251"/>
    <n v="1"/>
    <n v="0"/>
    <n v="0"/>
    <n v="0"/>
    <n v="0"/>
    <n v="0"/>
    <n v="0"/>
    <n v="0"/>
    <n v="1"/>
    <n v="0"/>
    <n v="0"/>
    <n v="0"/>
    <n v="0"/>
    <n v="0"/>
    <n v="0"/>
    <n v="0"/>
    <x v="0"/>
    <n v="0"/>
    <n v="0"/>
    <x v="2"/>
    <x v="13"/>
    <x v="4"/>
    <n v="20.71134949"/>
    <n v="92.980506899999995"/>
    <n v="196944"/>
    <x v="0"/>
    <m/>
  </r>
  <r>
    <x v="0"/>
    <x v="21"/>
    <x v="22"/>
    <s v="GIZ"/>
    <x v="1"/>
    <x v="16"/>
    <x v="4"/>
    <x v="356"/>
    <n v="122"/>
    <n v="486"/>
    <d v="2017-06-01T00:00:00"/>
    <d v="2019-05-31T00:00:00"/>
    <m/>
    <m/>
    <m/>
    <m/>
    <m/>
    <m/>
    <m/>
    <m/>
    <m/>
    <m/>
    <m/>
    <m/>
    <m/>
    <m/>
    <m/>
    <m/>
    <m/>
    <m/>
    <n v="3"/>
    <m/>
    <m/>
    <m/>
    <m/>
    <m/>
    <m/>
    <m/>
    <m/>
    <m/>
    <s v="Pond Rehabilition"/>
    <m/>
    <m/>
    <m/>
    <m/>
    <m/>
    <m/>
    <m/>
    <m/>
    <x v="1"/>
    <x v="1"/>
    <m/>
    <m/>
    <m/>
    <m/>
    <m/>
    <m/>
    <m/>
    <m/>
    <m/>
    <m/>
    <m/>
    <m/>
    <m/>
    <m/>
    <m/>
    <m/>
    <m/>
    <s v="no test"/>
    <s v="no test"/>
    <x v="1"/>
    <n v="0"/>
    <n v="0"/>
    <n v="0"/>
    <n v="0"/>
    <n v="0"/>
    <n v="0"/>
    <n v="0"/>
    <n v="0"/>
    <n v="0"/>
    <n v="1"/>
    <n v="486"/>
    <n v="1"/>
    <n v="486"/>
    <n v="0.97199999999999998"/>
    <n v="0"/>
    <n v="0"/>
    <n v="2.8000000000000025E-2"/>
    <n v="1"/>
    <n v="0"/>
    <n v="0"/>
    <n v="0"/>
    <s v="N/A"/>
    <s v="NA"/>
    <n v="81"/>
    <n v="81"/>
    <n v="1"/>
    <n v="0"/>
    <n v="0"/>
    <n v="0"/>
    <n v="0"/>
    <n v="0"/>
    <n v="0"/>
    <n v="0"/>
    <n v="1"/>
    <n v="0"/>
    <n v="0"/>
    <n v="0"/>
    <n v="0"/>
    <n v="0"/>
    <n v="0"/>
    <n v="0"/>
    <x v="0"/>
    <n v="0"/>
    <n v="0"/>
    <x v="2"/>
    <x v="13"/>
    <x v="9"/>
    <n v="20.785770419999999"/>
    <n v="92.931426999999999"/>
    <n v="196887"/>
    <x v="0"/>
    <m/>
  </r>
  <r>
    <x v="0"/>
    <x v="21"/>
    <x v="22"/>
    <s v="GIZ"/>
    <x v="1"/>
    <x v="16"/>
    <x v="2"/>
    <x v="357"/>
    <n v="326"/>
    <n v="1786"/>
    <d v="2017-06-01T00:00:00"/>
    <d v="2019-05-31T00:00:00"/>
    <m/>
    <m/>
    <m/>
    <m/>
    <m/>
    <m/>
    <m/>
    <m/>
    <m/>
    <m/>
    <m/>
    <m/>
    <m/>
    <m/>
    <m/>
    <m/>
    <m/>
    <m/>
    <n v="2"/>
    <m/>
    <m/>
    <m/>
    <m/>
    <m/>
    <m/>
    <m/>
    <m/>
    <m/>
    <s v="Pond Rehabilition"/>
    <m/>
    <m/>
    <m/>
    <m/>
    <m/>
    <m/>
    <m/>
    <m/>
    <x v="1"/>
    <x v="1"/>
    <m/>
    <m/>
    <m/>
    <m/>
    <m/>
    <m/>
    <m/>
    <m/>
    <m/>
    <m/>
    <m/>
    <m/>
    <m/>
    <m/>
    <m/>
    <m/>
    <m/>
    <s v="no test"/>
    <s v="no test"/>
    <x v="1"/>
    <n v="0"/>
    <n v="0"/>
    <n v="0"/>
    <n v="0"/>
    <n v="0"/>
    <n v="0"/>
    <n v="0"/>
    <n v="0"/>
    <n v="0"/>
    <n v="0.27995520716685329"/>
    <n v="500"/>
    <n v="0.27995520716685329"/>
    <n v="500"/>
    <n v="1"/>
    <n v="0.72004479283314671"/>
    <n v="1286"/>
    <n v="3"/>
    <n v="4"/>
    <n v="0"/>
    <n v="0"/>
    <n v="0"/>
    <s v="N/A"/>
    <s v="NA"/>
    <n v="298"/>
    <n v="298"/>
    <n v="1"/>
    <n v="0"/>
    <n v="0"/>
    <n v="0"/>
    <n v="0"/>
    <n v="0"/>
    <n v="0"/>
    <n v="0"/>
    <n v="1"/>
    <n v="0"/>
    <n v="0"/>
    <n v="0"/>
    <n v="0"/>
    <n v="0"/>
    <n v="0"/>
    <n v="0"/>
    <x v="0"/>
    <n v="0"/>
    <n v="0"/>
    <x v="2"/>
    <x v="11"/>
    <x v="3"/>
    <s v="WASH - resettled, relocated, surrounding communities &amp; host communities "/>
    <n v="93.009900000000002"/>
    <s v="MMR012CMP026"/>
    <x v="0"/>
    <m/>
  </r>
  <r>
    <x v="0"/>
    <x v="21"/>
    <x v="22"/>
    <s v="GIZ"/>
    <x v="1"/>
    <x v="16"/>
    <x v="4"/>
    <x v="358"/>
    <n v="361"/>
    <n v="1669"/>
    <d v="2017-06-01T00:00:00"/>
    <d v="2019-05-31T00:00:00"/>
    <m/>
    <m/>
    <m/>
    <m/>
    <m/>
    <m/>
    <m/>
    <m/>
    <m/>
    <m/>
    <m/>
    <m/>
    <m/>
    <m/>
    <m/>
    <m/>
    <m/>
    <m/>
    <n v="2"/>
    <m/>
    <m/>
    <m/>
    <m/>
    <m/>
    <m/>
    <m/>
    <m/>
    <m/>
    <s v="Pond Rehabilition"/>
    <m/>
    <m/>
    <m/>
    <m/>
    <m/>
    <m/>
    <m/>
    <m/>
    <x v="1"/>
    <x v="1"/>
    <m/>
    <m/>
    <m/>
    <m/>
    <m/>
    <m/>
    <m/>
    <m/>
    <m/>
    <m/>
    <m/>
    <m/>
    <m/>
    <m/>
    <m/>
    <m/>
    <m/>
    <s v="no test"/>
    <s v="no test"/>
    <x v="1"/>
    <n v="0"/>
    <n v="0"/>
    <n v="0"/>
    <n v="0"/>
    <n v="0"/>
    <n v="0"/>
    <n v="0"/>
    <n v="0"/>
    <n v="0"/>
    <n v="0.29958058717795089"/>
    <n v="500"/>
    <n v="0.29958058717795089"/>
    <n v="500"/>
    <n v="1"/>
    <n v="0.70041941282204911"/>
    <n v="1169"/>
    <n v="2"/>
    <n v="3"/>
    <n v="0"/>
    <n v="0"/>
    <n v="0"/>
    <s v="N/A"/>
    <s v="NA"/>
    <n v="278"/>
    <n v="278"/>
    <n v="1"/>
    <n v="0"/>
    <n v="0"/>
    <n v="0"/>
    <n v="0"/>
    <n v="0"/>
    <n v="0"/>
    <n v="0"/>
    <n v="1"/>
    <n v="0"/>
    <n v="0"/>
    <n v="0"/>
    <n v="0"/>
    <n v="0"/>
    <n v="0"/>
    <n v="0"/>
    <x v="0"/>
    <n v="0"/>
    <n v="0"/>
    <x v="2"/>
    <x v="13"/>
    <x v="4"/>
    <n v="20.705930710000001"/>
    <n v="93.001953130000004"/>
    <n v="196943"/>
    <x v="0"/>
    <m/>
  </r>
  <r>
    <x v="0"/>
    <x v="21"/>
    <x v="22"/>
    <s v="MHF"/>
    <x v="1"/>
    <x v="16"/>
    <x v="2"/>
    <x v="359"/>
    <n v="128"/>
    <n v="770"/>
    <d v="2018-10-01T00:00:00"/>
    <d v="2019-09-30T00:00:00"/>
    <m/>
    <m/>
    <m/>
    <m/>
    <m/>
    <m/>
    <m/>
    <m/>
    <m/>
    <m/>
    <m/>
    <m/>
    <m/>
    <m/>
    <m/>
    <m/>
    <m/>
    <m/>
    <m/>
    <m/>
    <m/>
    <m/>
    <m/>
    <m/>
    <m/>
    <m/>
    <m/>
    <m/>
    <m/>
    <m/>
    <m/>
    <m/>
    <m/>
    <m/>
    <m/>
    <m/>
    <m/>
    <x v="1"/>
    <x v="1"/>
    <m/>
    <m/>
    <m/>
    <m/>
    <m/>
    <m/>
    <m/>
    <m/>
    <m/>
    <m/>
    <m/>
    <m/>
    <m/>
    <m/>
    <m/>
    <m/>
    <m/>
    <s v="no test"/>
    <s v="no test"/>
    <x v="1"/>
    <n v="0"/>
    <n v="0"/>
    <n v="0"/>
    <n v="0"/>
    <n v="0"/>
    <n v="0"/>
    <n v="0"/>
    <n v="0"/>
    <n v="0"/>
    <n v="0"/>
    <n v="0"/>
    <n v="0"/>
    <n v="0"/>
    <n v="0"/>
    <n v="1"/>
    <n v="770"/>
    <n v="2"/>
    <n v="2"/>
    <n v="0"/>
    <n v="0"/>
    <n v="0"/>
    <s v="N/A"/>
    <s v="NA"/>
    <n v="128"/>
    <n v="128"/>
    <n v="1"/>
    <n v="0"/>
    <n v="0"/>
    <n v="0"/>
    <n v="0"/>
    <n v="0"/>
    <n v="0"/>
    <n v="0"/>
    <n v="1"/>
    <n v="0"/>
    <n v="0"/>
    <n v="0"/>
    <n v="0"/>
    <n v="0"/>
    <n v="0"/>
    <n v="0"/>
    <x v="0"/>
    <n v="0"/>
    <n v="0"/>
    <x v="2"/>
    <x v="6"/>
    <x v="2"/>
    <n v="20.727590559999999"/>
    <n v="92.969352720000003"/>
    <n v="196816"/>
    <x v="0"/>
    <m/>
  </r>
  <r>
    <x v="0"/>
    <x v="21"/>
    <x v="22"/>
    <s v="MHF"/>
    <x v="1"/>
    <x v="16"/>
    <x v="2"/>
    <x v="360"/>
    <n v="120"/>
    <n v="531"/>
    <d v="2018-10-01T00:00:00"/>
    <d v="2019-09-30T00:00:00"/>
    <m/>
    <m/>
    <m/>
    <m/>
    <m/>
    <m/>
    <m/>
    <m/>
    <m/>
    <m/>
    <m/>
    <m/>
    <m/>
    <m/>
    <m/>
    <m/>
    <m/>
    <m/>
    <m/>
    <m/>
    <m/>
    <m/>
    <m/>
    <m/>
    <m/>
    <m/>
    <m/>
    <m/>
    <m/>
    <m/>
    <m/>
    <m/>
    <m/>
    <m/>
    <m/>
    <m/>
    <m/>
    <x v="1"/>
    <x v="1"/>
    <m/>
    <m/>
    <m/>
    <m/>
    <m/>
    <m/>
    <m/>
    <m/>
    <m/>
    <m/>
    <m/>
    <m/>
    <m/>
    <m/>
    <m/>
    <m/>
    <m/>
    <s v="no test"/>
    <s v="no test"/>
    <x v="1"/>
    <n v="0"/>
    <n v="0"/>
    <n v="0"/>
    <n v="0"/>
    <n v="0"/>
    <n v="0"/>
    <n v="0"/>
    <n v="0"/>
    <n v="0"/>
    <n v="0"/>
    <n v="0"/>
    <n v="0"/>
    <n v="0"/>
    <n v="0"/>
    <n v="1"/>
    <n v="531"/>
    <n v="1"/>
    <n v="1"/>
    <n v="0"/>
    <n v="0"/>
    <n v="0"/>
    <s v="N/A"/>
    <s v="NA"/>
    <n v="89"/>
    <n v="89"/>
    <n v="1"/>
    <n v="0"/>
    <n v="0"/>
    <n v="0"/>
    <n v="0"/>
    <n v="0"/>
    <n v="0"/>
    <n v="0"/>
    <n v="1"/>
    <n v="0"/>
    <n v="0"/>
    <n v="0"/>
    <n v="0"/>
    <n v="0"/>
    <n v="0"/>
    <n v="0"/>
    <x v="0"/>
    <n v="0"/>
    <n v="0"/>
    <x v="2"/>
    <x v="6"/>
    <x v="2"/>
    <n v="20.896429059999999"/>
    <n v="92.940193179999994"/>
    <n v="196804"/>
    <x v="0"/>
    <m/>
  </r>
  <r>
    <x v="0"/>
    <x v="21"/>
    <x v="22"/>
    <s v="MHF"/>
    <x v="1"/>
    <x v="16"/>
    <x v="2"/>
    <x v="361"/>
    <n v="116"/>
    <n v="667"/>
    <d v="2018-10-01T00:00:00"/>
    <d v="2019-09-30T00:00:00"/>
    <m/>
    <m/>
    <m/>
    <m/>
    <m/>
    <m/>
    <m/>
    <m/>
    <m/>
    <m/>
    <m/>
    <m/>
    <m/>
    <m/>
    <m/>
    <m/>
    <m/>
    <m/>
    <m/>
    <m/>
    <m/>
    <m/>
    <m/>
    <m/>
    <m/>
    <m/>
    <m/>
    <m/>
    <m/>
    <m/>
    <m/>
    <m/>
    <m/>
    <m/>
    <m/>
    <m/>
    <m/>
    <x v="1"/>
    <x v="1"/>
    <m/>
    <m/>
    <m/>
    <m/>
    <m/>
    <m/>
    <m/>
    <m/>
    <m/>
    <m/>
    <m/>
    <m/>
    <m/>
    <m/>
    <m/>
    <m/>
    <m/>
    <s v="no test"/>
    <s v="no test"/>
    <x v="1"/>
    <n v="0"/>
    <n v="0"/>
    <n v="0"/>
    <n v="0"/>
    <n v="0"/>
    <n v="0"/>
    <n v="0"/>
    <n v="0"/>
    <n v="0"/>
    <n v="0"/>
    <n v="0"/>
    <n v="0"/>
    <n v="0"/>
    <n v="0"/>
    <n v="1"/>
    <n v="667"/>
    <n v="1"/>
    <n v="1"/>
    <n v="0"/>
    <n v="0"/>
    <n v="0"/>
    <s v="N/A"/>
    <s v="NA"/>
    <n v="111"/>
    <n v="111"/>
    <n v="1"/>
    <n v="0"/>
    <n v="0"/>
    <n v="0"/>
    <n v="0"/>
    <n v="0"/>
    <n v="0"/>
    <n v="0"/>
    <n v="1"/>
    <n v="0"/>
    <n v="0"/>
    <n v="0"/>
    <n v="0"/>
    <n v="0"/>
    <n v="0"/>
    <n v="0"/>
    <x v="0"/>
    <n v="0"/>
    <n v="0"/>
    <x v="2"/>
    <x v="6"/>
    <x v="2"/>
    <n v="20.889249800000002"/>
    <n v="92.939201350000005"/>
    <n v="0"/>
    <x v="0"/>
    <m/>
  </r>
  <r>
    <x v="0"/>
    <x v="21"/>
    <x v="22"/>
    <s v="MHF"/>
    <x v="1"/>
    <x v="16"/>
    <x v="2"/>
    <x v="362"/>
    <n v="173"/>
    <n v="1090"/>
    <d v="2018-10-01T00:00:00"/>
    <d v="2019-09-30T00:00:00"/>
    <m/>
    <m/>
    <m/>
    <m/>
    <m/>
    <m/>
    <m/>
    <m/>
    <m/>
    <m/>
    <m/>
    <m/>
    <m/>
    <m/>
    <m/>
    <m/>
    <m/>
    <m/>
    <m/>
    <m/>
    <m/>
    <m/>
    <m/>
    <m/>
    <m/>
    <m/>
    <m/>
    <m/>
    <m/>
    <m/>
    <m/>
    <m/>
    <m/>
    <m/>
    <m/>
    <m/>
    <m/>
    <x v="1"/>
    <x v="1"/>
    <m/>
    <m/>
    <m/>
    <m/>
    <m/>
    <m/>
    <m/>
    <m/>
    <m/>
    <m/>
    <m/>
    <m/>
    <m/>
    <m/>
    <m/>
    <m/>
    <m/>
    <s v="no test"/>
    <s v="no test"/>
    <x v="1"/>
    <n v="0"/>
    <n v="0"/>
    <n v="0"/>
    <n v="0"/>
    <n v="0"/>
    <n v="0"/>
    <n v="0"/>
    <n v="0"/>
    <n v="0"/>
    <n v="0"/>
    <n v="0"/>
    <n v="0"/>
    <n v="0"/>
    <n v="0"/>
    <n v="1"/>
    <n v="1090"/>
    <n v="2"/>
    <n v="2"/>
    <n v="0"/>
    <n v="0"/>
    <n v="0"/>
    <s v="N/A"/>
    <s v="NA"/>
    <n v="182"/>
    <n v="182"/>
    <n v="1"/>
    <n v="0"/>
    <n v="0"/>
    <n v="0"/>
    <n v="0"/>
    <n v="0"/>
    <n v="0"/>
    <n v="0"/>
    <n v="1"/>
    <n v="0"/>
    <n v="0"/>
    <n v="0"/>
    <n v="0"/>
    <n v="0"/>
    <n v="0"/>
    <n v="0"/>
    <x v="0"/>
    <n v="0"/>
    <n v="0"/>
    <x v="2"/>
    <x v="11"/>
    <x v="3"/>
    <n v="20.727589999999999"/>
    <n v="92.969350000000006"/>
    <s v="MMR012CMP028"/>
    <x v="0"/>
    <m/>
  </r>
  <r>
    <x v="0"/>
    <x v="21"/>
    <x v="22"/>
    <s v="MHF"/>
    <x v="1"/>
    <x v="16"/>
    <x v="2"/>
    <x v="363"/>
    <n v="174"/>
    <n v="665"/>
    <d v="2018-10-01T00:00:00"/>
    <d v="2019-09-30T00:00:00"/>
    <m/>
    <m/>
    <m/>
    <m/>
    <m/>
    <m/>
    <m/>
    <m/>
    <m/>
    <m/>
    <m/>
    <m/>
    <m/>
    <m/>
    <m/>
    <m/>
    <m/>
    <m/>
    <m/>
    <m/>
    <m/>
    <m/>
    <m/>
    <m/>
    <m/>
    <m/>
    <m/>
    <m/>
    <m/>
    <m/>
    <m/>
    <m/>
    <m/>
    <m/>
    <m/>
    <m/>
    <m/>
    <x v="1"/>
    <x v="1"/>
    <m/>
    <m/>
    <m/>
    <m/>
    <m/>
    <m/>
    <m/>
    <m/>
    <m/>
    <m/>
    <m/>
    <m/>
    <m/>
    <m/>
    <m/>
    <m/>
    <m/>
    <s v="no test"/>
    <s v="no test"/>
    <x v="1"/>
    <n v="0"/>
    <n v="0"/>
    <n v="0"/>
    <n v="0"/>
    <n v="0"/>
    <n v="0"/>
    <n v="0"/>
    <n v="0"/>
    <n v="0"/>
    <n v="0"/>
    <n v="0"/>
    <n v="0"/>
    <n v="0"/>
    <n v="0"/>
    <n v="1"/>
    <n v="665"/>
    <n v="1"/>
    <n v="1"/>
    <n v="0"/>
    <n v="0"/>
    <n v="0"/>
    <s v="N/A"/>
    <s v="NA"/>
    <n v="111"/>
    <n v="111"/>
    <n v="1"/>
    <n v="0"/>
    <n v="0"/>
    <n v="0"/>
    <n v="0"/>
    <n v="0"/>
    <n v="0"/>
    <n v="0"/>
    <n v="1"/>
    <n v="0"/>
    <n v="0"/>
    <n v="0"/>
    <n v="0"/>
    <n v="0"/>
    <n v="0"/>
    <n v="0"/>
    <x v="0"/>
    <n v="0"/>
    <n v="0"/>
    <x v="2"/>
    <x v="6"/>
    <x v="2"/>
    <n v="20.883239750000001"/>
    <n v="92.936859130000002"/>
    <n v="196813"/>
    <x v="0"/>
    <m/>
  </r>
  <r>
    <x v="0"/>
    <x v="21"/>
    <x v="22"/>
    <s v="MHF"/>
    <x v="1"/>
    <x v="16"/>
    <x v="2"/>
    <x v="364"/>
    <n v="82"/>
    <n v="304"/>
    <d v="2018-10-01T00:00:00"/>
    <d v="2019-09-30T00:00:00"/>
    <m/>
    <m/>
    <m/>
    <m/>
    <m/>
    <m/>
    <m/>
    <m/>
    <m/>
    <m/>
    <m/>
    <m/>
    <m/>
    <m/>
    <m/>
    <m/>
    <m/>
    <m/>
    <m/>
    <m/>
    <m/>
    <m/>
    <m/>
    <m/>
    <m/>
    <m/>
    <m/>
    <m/>
    <m/>
    <m/>
    <m/>
    <m/>
    <m/>
    <m/>
    <m/>
    <m/>
    <m/>
    <x v="1"/>
    <x v="1"/>
    <m/>
    <m/>
    <m/>
    <m/>
    <m/>
    <m/>
    <m/>
    <m/>
    <m/>
    <m/>
    <m/>
    <m/>
    <m/>
    <m/>
    <m/>
    <m/>
    <m/>
    <s v="no test"/>
    <s v="no test"/>
    <x v="1"/>
    <n v="0"/>
    <n v="0"/>
    <n v="0"/>
    <n v="0"/>
    <n v="0"/>
    <n v="0"/>
    <n v="0"/>
    <n v="0"/>
    <n v="0"/>
    <n v="0"/>
    <n v="0"/>
    <n v="0"/>
    <n v="0"/>
    <n v="0"/>
    <n v="1"/>
    <n v="304"/>
    <n v="1"/>
    <n v="1"/>
    <n v="0"/>
    <n v="0"/>
    <n v="0"/>
    <s v="N/A"/>
    <s v="NA"/>
    <n v="51"/>
    <n v="51"/>
    <n v="1"/>
    <n v="0"/>
    <n v="0"/>
    <n v="0"/>
    <n v="0"/>
    <n v="0"/>
    <n v="0"/>
    <n v="0"/>
    <n v="1"/>
    <n v="0"/>
    <n v="0"/>
    <n v="0"/>
    <n v="0"/>
    <n v="0"/>
    <n v="0"/>
    <n v="0"/>
    <x v="0"/>
    <n v="0"/>
    <n v="0"/>
    <x v="2"/>
    <x v="6"/>
    <x v="2"/>
    <n v="20.932960510000001"/>
    <n v="92.930267330000007"/>
    <n v="196755"/>
    <x v="0"/>
    <m/>
  </r>
  <r>
    <x v="0"/>
    <x v="21"/>
    <x v="22"/>
    <s v="MHF"/>
    <x v="1"/>
    <x v="16"/>
    <x v="2"/>
    <x v="365"/>
    <n v="71"/>
    <n v="292"/>
    <d v="2018-10-01T00:00:00"/>
    <d v="2019-09-30T00:00:00"/>
    <m/>
    <m/>
    <m/>
    <m/>
    <m/>
    <m/>
    <m/>
    <m/>
    <m/>
    <m/>
    <m/>
    <m/>
    <m/>
    <m/>
    <m/>
    <m/>
    <m/>
    <m/>
    <m/>
    <m/>
    <m/>
    <m/>
    <m/>
    <m/>
    <m/>
    <m/>
    <m/>
    <m/>
    <m/>
    <m/>
    <m/>
    <m/>
    <m/>
    <m/>
    <m/>
    <m/>
    <m/>
    <x v="1"/>
    <x v="1"/>
    <m/>
    <m/>
    <m/>
    <m/>
    <m/>
    <m/>
    <m/>
    <m/>
    <m/>
    <m/>
    <m/>
    <m/>
    <m/>
    <m/>
    <m/>
    <m/>
    <m/>
    <s v="no test"/>
    <s v="no test"/>
    <x v="1"/>
    <n v="0"/>
    <n v="0"/>
    <n v="0"/>
    <n v="0"/>
    <n v="0"/>
    <n v="0"/>
    <n v="0"/>
    <n v="0"/>
    <n v="0"/>
    <n v="0"/>
    <n v="0"/>
    <n v="0"/>
    <n v="0"/>
    <n v="0"/>
    <n v="1"/>
    <n v="292"/>
    <n v="1"/>
    <n v="1"/>
    <n v="0"/>
    <n v="0"/>
    <n v="0"/>
    <s v="N/A"/>
    <s v="NA"/>
    <n v="49"/>
    <n v="49"/>
    <n v="1"/>
    <n v="0"/>
    <n v="0"/>
    <n v="0"/>
    <n v="0"/>
    <n v="0"/>
    <n v="0"/>
    <n v="0"/>
    <n v="1"/>
    <n v="0"/>
    <n v="0"/>
    <n v="0"/>
    <n v="0"/>
    <n v="0"/>
    <n v="0"/>
    <n v="0"/>
    <x v="0"/>
    <n v="0"/>
    <n v="0"/>
    <x v="2"/>
    <x v="6"/>
    <x v="2"/>
    <n v="0"/>
    <n v="0"/>
    <n v="220647"/>
    <x v="0"/>
    <m/>
  </r>
  <r>
    <x v="0"/>
    <x v="21"/>
    <x v="22"/>
    <s v="MHF"/>
    <x v="1"/>
    <x v="16"/>
    <x v="2"/>
    <x v="324"/>
    <n v="156"/>
    <n v="677"/>
    <d v="2018-10-01T00:00:00"/>
    <d v="2019-09-30T00:00:00"/>
    <m/>
    <m/>
    <m/>
    <m/>
    <m/>
    <m/>
    <m/>
    <m/>
    <m/>
    <m/>
    <m/>
    <m/>
    <m/>
    <m/>
    <m/>
    <m/>
    <m/>
    <m/>
    <m/>
    <m/>
    <m/>
    <m/>
    <m/>
    <m/>
    <m/>
    <m/>
    <m/>
    <m/>
    <m/>
    <m/>
    <m/>
    <m/>
    <m/>
    <m/>
    <m/>
    <m/>
    <m/>
    <x v="1"/>
    <x v="1"/>
    <m/>
    <m/>
    <m/>
    <m/>
    <m/>
    <m/>
    <m/>
    <m/>
    <m/>
    <m/>
    <m/>
    <m/>
    <m/>
    <m/>
    <m/>
    <m/>
    <m/>
    <s v="no test"/>
    <s v="no test"/>
    <x v="1"/>
    <n v="0"/>
    <n v="0"/>
    <n v="0"/>
    <n v="0"/>
    <n v="0"/>
    <n v="0"/>
    <n v="0"/>
    <n v="0"/>
    <n v="0"/>
    <n v="0"/>
    <n v="0"/>
    <n v="0"/>
    <n v="0"/>
    <n v="0"/>
    <n v="1"/>
    <n v="677"/>
    <n v="1"/>
    <n v="1"/>
    <n v="0"/>
    <n v="0"/>
    <n v="0"/>
    <s v="N/A"/>
    <s v="NA"/>
    <n v="113"/>
    <n v="113"/>
    <n v="1"/>
    <n v="0"/>
    <n v="0"/>
    <n v="0"/>
    <n v="0"/>
    <n v="0"/>
    <n v="0"/>
    <n v="0"/>
    <n v="1"/>
    <n v="0"/>
    <n v="0"/>
    <n v="0"/>
    <n v="0"/>
    <n v="0"/>
    <n v="0"/>
    <n v="0"/>
    <x v="0"/>
    <n v="0"/>
    <n v="0"/>
    <x v="2"/>
    <x v="6"/>
    <x v="2"/>
    <n v="20.760820389999999"/>
    <n v="92.960083010000005"/>
    <n v="196893"/>
    <x v="0"/>
    <m/>
  </r>
  <r>
    <x v="0"/>
    <x v="21"/>
    <x v="22"/>
    <s v="MHF"/>
    <x v="1"/>
    <x v="16"/>
    <x v="2"/>
    <x v="366"/>
    <n v="286"/>
    <n v="1372"/>
    <d v="2018-10-01T00:00:00"/>
    <d v="2019-09-30T00:00:00"/>
    <m/>
    <m/>
    <m/>
    <m/>
    <m/>
    <m/>
    <m/>
    <m/>
    <m/>
    <m/>
    <m/>
    <m/>
    <m/>
    <m/>
    <m/>
    <m/>
    <m/>
    <m/>
    <m/>
    <m/>
    <m/>
    <m/>
    <m/>
    <m/>
    <m/>
    <m/>
    <m/>
    <m/>
    <m/>
    <m/>
    <m/>
    <m/>
    <m/>
    <m/>
    <m/>
    <m/>
    <m/>
    <x v="1"/>
    <x v="1"/>
    <m/>
    <m/>
    <m/>
    <m/>
    <m/>
    <m/>
    <m/>
    <m/>
    <m/>
    <m/>
    <m/>
    <m/>
    <m/>
    <m/>
    <m/>
    <m/>
    <m/>
    <s v="no test"/>
    <s v="no test"/>
    <x v="1"/>
    <n v="0"/>
    <n v="0"/>
    <n v="0"/>
    <n v="0"/>
    <n v="0"/>
    <n v="0"/>
    <n v="0"/>
    <n v="0"/>
    <n v="0"/>
    <n v="0"/>
    <n v="0"/>
    <n v="0"/>
    <n v="0"/>
    <n v="0"/>
    <n v="1"/>
    <n v="1372"/>
    <n v="3"/>
    <n v="3"/>
    <n v="0"/>
    <n v="0"/>
    <n v="0"/>
    <s v="N/A"/>
    <s v="NA"/>
    <n v="229"/>
    <n v="229"/>
    <n v="1"/>
    <n v="0"/>
    <n v="0"/>
    <n v="0"/>
    <n v="0"/>
    <n v="0"/>
    <n v="0"/>
    <n v="0"/>
    <n v="1"/>
    <n v="0"/>
    <n v="0"/>
    <n v="0"/>
    <n v="0"/>
    <n v="0"/>
    <n v="0"/>
    <n v="0"/>
    <x v="0"/>
    <n v="0"/>
    <n v="0"/>
    <x v="2"/>
    <x v="6"/>
    <x v="2"/>
    <n v="20.785549159999999"/>
    <n v="92.971076969999999"/>
    <n v="196889"/>
    <x v="0"/>
    <m/>
  </r>
  <r>
    <x v="0"/>
    <x v="2"/>
    <x v="2"/>
    <m/>
    <x v="1"/>
    <x v="16"/>
    <x v="2"/>
    <x v="367"/>
    <n v="92"/>
    <n v="559"/>
    <m/>
    <m/>
    <m/>
    <m/>
    <m/>
    <m/>
    <m/>
    <m/>
    <m/>
    <m/>
    <m/>
    <m/>
    <m/>
    <m/>
    <m/>
    <m/>
    <m/>
    <m/>
    <m/>
    <m/>
    <m/>
    <m/>
    <m/>
    <m/>
    <m/>
    <m/>
    <m/>
    <m/>
    <m/>
    <m/>
    <m/>
    <m/>
    <m/>
    <m/>
    <m/>
    <m/>
    <m/>
    <m/>
    <m/>
    <x v="1"/>
    <x v="1"/>
    <m/>
    <m/>
    <m/>
    <m/>
    <m/>
    <m/>
    <m/>
    <m/>
    <m/>
    <m/>
    <m/>
    <m/>
    <m/>
    <m/>
    <m/>
    <m/>
    <m/>
    <s v="no test"/>
    <s v="no test"/>
    <x v="1"/>
    <n v="0"/>
    <n v="0"/>
    <n v="0"/>
    <n v="0"/>
    <n v="0"/>
    <n v="0"/>
    <n v="0"/>
    <n v="0"/>
    <n v="0"/>
    <n v="0"/>
    <n v="0"/>
    <n v="0"/>
    <n v="0"/>
    <n v="0"/>
    <n v="1"/>
    <n v="559"/>
    <n v="1"/>
    <n v="1"/>
    <n v="0"/>
    <n v="0"/>
    <n v="0"/>
    <s v="N/A"/>
    <s v="NA"/>
    <n v="93"/>
    <n v="93"/>
    <n v="1"/>
    <n v="0"/>
    <n v="0"/>
    <n v="0"/>
    <n v="0"/>
    <n v="0"/>
    <n v="0"/>
    <n v="0"/>
    <n v="1"/>
    <n v="0"/>
    <n v="0"/>
    <n v="0"/>
    <n v="0"/>
    <n v="0"/>
    <n v="0"/>
    <n v="0"/>
    <x v="0"/>
    <n v="0"/>
    <n v="0"/>
    <x v="2"/>
    <x v="11"/>
    <x v="4"/>
    <n v="20.720213000000001"/>
    <n v="92.961841000000007"/>
    <s v="MMR012CMP024"/>
    <x v="1"/>
    <m/>
  </r>
  <r>
    <x v="0"/>
    <x v="2"/>
    <x v="2"/>
    <m/>
    <x v="1"/>
    <x v="16"/>
    <x v="2"/>
    <x v="368"/>
    <n v="116"/>
    <n v="802"/>
    <m/>
    <m/>
    <m/>
    <m/>
    <m/>
    <m/>
    <m/>
    <m/>
    <m/>
    <m/>
    <m/>
    <m/>
    <m/>
    <m/>
    <m/>
    <m/>
    <m/>
    <m/>
    <m/>
    <m/>
    <m/>
    <m/>
    <m/>
    <m/>
    <m/>
    <m/>
    <m/>
    <m/>
    <m/>
    <m/>
    <m/>
    <m/>
    <m/>
    <m/>
    <m/>
    <m/>
    <m/>
    <m/>
    <m/>
    <x v="1"/>
    <x v="1"/>
    <m/>
    <m/>
    <m/>
    <m/>
    <m/>
    <m/>
    <m/>
    <m/>
    <m/>
    <m/>
    <m/>
    <m/>
    <m/>
    <m/>
    <m/>
    <m/>
    <m/>
    <s v="no test"/>
    <s v="no test"/>
    <x v="1"/>
    <n v="0"/>
    <n v="0"/>
    <n v="0"/>
    <n v="0"/>
    <n v="0"/>
    <n v="0"/>
    <n v="0"/>
    <n v="0"/>
    <n v="0"/>
    <n v="0"/>
    <n v="0"/>
    <n v="0"/>
    <n v="0"/>
    <n v="0"/>
    <n v="1"/>
    <n v="802"/>
    <n v="2"/>
    <n v="2"/>
    <n v="0"/>
    <n v="0"/>
    <n v="0"/>
    <s v="N/A"/>
    <s v="NA"/>
    <n v="134"/>
    <n v="134"/>
    <n v="1"/>
    <n v="0"/>
    <n v="0"/>
    <n v="0"/>
    <n v="0"/>
    <n v="0"/>
    <n v="0"/>
    <n v="0"/>
    <n v="1"/>
    <n v="0"/>
    <n v="0"/>
    <n v="0"/>
    <n v="0"/>
    <n v="0"/>
    <n v="0"/>
    <n v="0"/>
    <x v="0"/>
    <n v="0"/>
    <n v="0"/>
    <x v="2"/>
    <x v="11"/>
    <x v="3"/>
    <n v="20.713259999999998"/>
    <n v="93.014089999999996"/>
    <s v="MMR012CMP027"/>
    <x v="1"/>
    <m/>
  </r>
  <r>
    <x v="0"/>
    <x v="2"/>
    <x v="2"/>
    <m/>
    <x v="1"/>
    <x v="16"/>
    <x v="2"/>
    <x v="369"/>
    <n v="97"/>
    <n v="557"/>
    <m/>
    <m/>
    <m/>
    <m/>
    <m/>
    <m/>
    <m/>
    <m/>
    <m/>
    <m/>
    <m/>
    <m/>
    <m/>
    <m/>
    <m/>
    <m/>
    <m/>
    <m/>
    <m/>
    <m/>
    <m/>
    <m/>
    <m/>
    <m/>
    <m/>
    <m/>
    <m/>
    <m/>
    <m/>
    <m/>
    <m/>
    <m/>
    <m/>
    <m/>
    <m/>
    <m/>
    <m/>
    <m/>
    <m/>
    <x v="1"/>
    <x v="1"/>
    <m/>
    <m/>
    <m/>
    <m/>
    <m/>
    <m/>
    <m/>
    <m/>
    <m/>
    <m/>
    <m/>
    <m/>
    <m/>
    <m/>
    <m/>
    <m/>
    <m/>
    <s v="no test"/>
    <s v="no test"/>
    <x v="1"/>
    <n v="0"/>
    <n v="0"/>
    <n v="0"/>
    <n v="0"/>
    <n v="0"/>
    <n v="0"/>
    <n v="0"/>
    <n v="0"/>
    <n v="0"/>
    <n v="0"/>
    <n v="0"/>
    <n v="0"/>
    <n v="0"/>
    <n v="0"/>
    <n v="1"/>
    <n v="557"/>
    <n v="1"/>
    <n v="1"/>
    <n v="0"/>
    <n v="0"/>
    <n v="0"/>
    <s v="N/A"/>
    <s v="NA"/>
    <n v="93"/>
    <n v="93"/>
    <n v="1"/>
    <n v="0"/>
    <n v="0"/>
    <n v="0"/>
    <n v="0"/>
    <n v="0"/>
    <n v="0"/>
    <n v="0"/>
    <n v="1"/>
    <n v="0"/>
    <n v="0"/>
    <n v="0"/>
    <n v="0"/>
    <n v="0"/>
    <n v="0"/>
    <n v="0"/>
    <x v="0"/>
    <n v="0"/>
    <n v="0"/>
    <x v="2"/>
    <x v="9"/>
    <x v="3"/>
    <n v="20.886997999999998"/>
    <n v="93.006497999999993"/>
    <s v="MMR012CMP030"/>
    <x v="1"/>
    <m/>
  </r>
  <r>
    <x v="0"/>
    <x v="2"/>
    <x v="2"/>
    <m/>
    <x v="1"/>
    <x v="16"/>
    <x v="2"/>
    <x v="370"/>
    <n v="18"/>
    <n v="157"/>
    <m/>
    <m/>
    <m/>
    <m/>
    <m/>
    <m/>
    <m/>
    <m/>
    <m/>
    <m/>
    <m/>
    <m/>
    <m/>
    <m/>
    <m/>
    <m/>
    <m/>
    <m/>
    <m/>
    <m/>
    <m/>
    <m/>
    <m/>
    <m/>
    <m/>
    <m/>
    <m/>
    <m/>
    <m/>
    <m/>
    <m/>
    <m/>
    <m/>
    <m/>
    <m/>
    <m/>
    <m/>
    <m/>
    <m/>
    <x v="1"/>
    <x v="1"/>
    <m/>
    <m/>
    <m/>
    <m/>
    <m/>
    <m/>
    <m/>
    <m/>
    <m/>
    <m/>
    <m/>
    <m/>
    <m/>
    <m/>
    <m/>
    <m/>
    <m/>
    <s v="no test"/>
    <s v="no test"/>
    <x v="1"/>
    <n v="0"/>
    <n v="0"/>
    <n v="0"/>
    <n v="0"/>
    <n v="0"/>
    <n v="0"/>
    <n v="0"/>
    <n v="0"/>
    <n v="0"/>
    <n v="0"/>
    <n v="0"/>
    <n v="0"/>
    <n v="0"/>
    <n v="0"/>
    <n v="1"/>
    <n v="157"/>
    <n v="1"/>
    <n v="1"/>
    <n v="0"/>
    <n v="0"/>
    <n v="0"/>
    <s v="N/A"/>
    <s v="NA"/>
    <n v="26"/>
    <n v="26"/>
    <n v="1"/>
    <n v="0"/>
    <n v="0"/>
    <n v="0"/>
    <n v="0"/>
    <n v="0"/>
    <n v="0"/>
    <n v="0"/>
    <n v="1"/>
    <n v="0"/>
    <n v="0"/>
    <n v="0"/>
    <n v="0"/>
    <n v="0"/>
    <n v="0"/>
    <n v="0"/>
    <x v="0"/>
    <n v="0"/>
    <n v="0"/>
    <x v="2"/>
    <x v="11"/>
    <x v="3"/>
    <n v="20.805734000000001"/>
    <n v="92.982675999999998"/>
    <s v="MMR012CMP020"/>
    <x v="1"/>
    <m/>
  </r>
  <r>
    <x v="0"/>
    <x v="2"/>
    <x v="2"/>
    <m/>
    <x v="1"/>
    <x v="16"/>
    <x v="2"/>
    <x v="371"/>
    <n v="144"/>
    <n v="1006"/>
    <m/>
    <m/>
    <m/>
    <m/>
    <m/>
    <m/>
    <m/>
    <m/>
    <m/>
    <m/>
    <m/>
    <m/>
    <m/>
    <m/>
    <m/>
    <m/>
    <m/>
    <m/>
    <m/>
    <m/>
    <m/>
    <m/>
    <m/>
    <m/>
    <m/>
    <m/>
    <m/>
    <m/>
    <m/>
    <m/>
    <m/>
    <m/>
    <m/>
    <m/>
    <m/>
    <m/>
    <m/>
    <m/>
    <m/>
    <x v="1"/>
    <x v="1"/>
    <m/>
    <m/>
    <m/>
    <m/>
    <m/>
    <m/>
    <m/>
    <m/>
    <m/>
    <m/>
    <m/>
    <m/>
    <m/>
    <m/>
    <m/>
    <m/>
    <m/>
    <s v="no test"/>
    <s v="no test"/>
    <x v="1"/>
    <n v="0"/>
    <n v="0"/>
    <n v="0"/>
    <n v="0"/>
    <n v="0"/>
    <n v="0"/>
    <n v="0"/>
    <n v="0"/>
    <n v="0"/>
    <n v="0"/>
    <n v="0"/>
    <n v="0"/>
    <n v="0"/>
    <n v="0"/>
    <n v="1"/>
    <n v="1006"/>
    <n v="2"/>
    <n v="2"/>
    <n v="0"/>
    <n v="0"/>
    <n v="0"/>
    <s v="N/A"/>
    <s v="NA"/>
    <n v="168"/>
    <n v="168"/>
    <n v="1"/>
    <n v="0"/>
    <n v="0"/>
    <n v="0"/>
    <n v="0"/>
    <n v="0"/>
    <n v="0"/>
    <n v="0"/>
    <n v="1"/>
    <n v="0"/>
    <n v="0"/>
    <n v="0"/>
    <n v="0"/>
    <n v="0"/>
    <n v="0"/>
    <n v="0"/>
    <x v="0"/>
    <n v="0"/>
    <n v="0"/>
    <x v="2"/>
    <x v="11"/>
    <x v="3"/>
    <n v="20.78332"/>
    <n v="92.987399999999994"/>
    <s v="MMR012CMP029"/>
    <x v="1"/>
    <m/>
  </r>
  <r>
    <x v="0"/>
    <x v="22"/>
    <x v="23"/>
    <s v="German (AA/BMZ)"/>
    <x v="2"/>
    <x v="15"/>
    <x v="2"/>
    <x v="372"/>
    <n v="210"/>
    <n v="694"/>
    <d v="2020-10-30T00:00:00"/>
    <m/>
    <m/>
    <m/>
    <m/>
    <m/>
    <m/>
    <m/>
    <m/>
    <m/>
    <m/>
    <m/>
    <m/>
    <m/>
    <m/>
    <m/>
    <m/>
    <m/>
    <m/>
    <m/>
    <m/>
    <m/>
    <m/>
    <m/>
    <m/>
    <m/>
    <m/>
    <m/>
    <m/>
    <m/>
    <m/>
    <m/>
    <m/>
    <m/>
    <m/>
    <m/>
    <m/>
    <m/>
    <m/>
    <x v="1"/>
    <x v="1"/>
    <m/>
    <m/>
    <m/>
    <m/>
    <m/>
    <m/>
    <m/>
    <m/>
    <m/>
    <m/>
    <m/>
    <m/>
    <m/>
    <m/>
    <m/>
    <m/>
    <m/>
    <s v="no test"/>
    <s v="no test"/>
    <x v="1"/>
    <n v="0"/>
    <n v="0"/>
    <n v="0"/>
    <n v="0"/>
    <n v="0"/>
    <n v="0"/>
    <n v="0"/>
    <n v="0"/>
    <n v="0"/>
    <n v="0"/>
    <n v="0"/>
    <n v="0"/>
    <n v="0"/>
    <n v="0"/>
    <n v="1"/>
    <n v="694"/>
    <n v="1"/>
    <n v="1"/>
    <n v="0"/>
    <n v="0"/>
    <n v="0"/>
    <s v="N/A"/>
    <s v="NA"/>
    <n v="116"/>
    <n v="116"/>
    <n v="1"/>
    <n v="0"/>
    <n v="0"/>
    <n v="0"/>
    <n v="0"/>
    <n v="0"/>
    <n v="0"/>
    <n v="0"/>
    <n v="1"/>
    <n v="0"/>
    <n v="0"/>
    <n v="0"/>
    <n v="0"/>
    <n v="0"/>
    <n v="0"/>
    <n v="0"/>
    <x v="0"/>
    <n v="0"/>
    <n v="0"/>
    <x v="2"/>
    <x v="6"/>
    <x v="3"/>
    <n v="21.012830730000001"/>
    <n v="92.338958739999995"/>
    <n v="197878"/>
    <x v="0"/>
    <m/>
  </r>
  <r>
    <x v="0"/>
    <x v="22"/>
    <x v="23"/>
    <s v="German (AA/BMZ)"/>
    <x v="2"/>
    <x v="15"/>
    <x v="2"/>
    <x v="373"/>
    <n v="87"/>
    <n v="412"/>
    <d v="2020-10-30T00:00:00"/>
    <m/>
    <m/>
    <m/>
    <m/>
    <m/>
    <m/>
    <m/>
    <m/>
    <m/>
    <m/>
    <m/>
    <m/>
    <m/>
    <m/>
    <m/>
    <m/>
    <m/>
    <m/>
    <m/>
    <m/>
    <m/>
    <m/>
    <m/>
    <m/>
    <m/>
    <m/>
    <m/>
    <m/>
    <m/>
    <m/>
    <m/>
    <m/>
    <m/>
    <m/>
    <m/>
    <m/>
    <m/>
    <m/>
    <x v="1"/>
    <x v="1"/>
    <m/>
    <m/>
    <m/>
    <m/>
    <m/>
    <m/>
    <m/>
    <m/>
    <m/>
    <m/>
    <m/>
    <m/>
    <m/>
    <m/>
    <m/>
    <m/>
    <m/>
    <s v="no test"/>
    <s v="no test"/>
    <x v="1"/>
    <n v="0"/>
    <n v="0"/>
    <n v="0"/>
    <n v="0"/>
    <n v="0"/>
    <n v="0"/>
    <n v="0"/>
    <n v="0"/>
    <n v="0"/>
    <n v="0"/>
    <n v="0"/>
    <n v="0"/>
    <n v="0"/>
    <n v="0"/>
    <n v="1"/>
    <n v="412"/>
    <n v="1"/>
    <n v="1"/>
    <n v="0"/>
    <n v="0"/>
    <n v="0"/>
    <s v="N/A"/>
    <s v="NA"/>
    <n v="69"/>
    <n v="69"/>
    <n v="1"/>
    <n v="0"/>
    <n v="0"/>
    <n v="0"/>
    <n v="0"/>
    <n v="0"/>
    <n v="0"/>
    <n v="0"/>
    <n v="1"/>
    <n v="0"/>
    <n v="0"/>
    <n v="0"/>
    <n v="0"/>
    <n v="0"/>
    <n v="0"/>
    <n v="0"/>
    <x v="0"/>
    <n v="0"/>
    <n v="0"/>
    <x v="2"/>
    <x v="6"/>
    <x v="4"/>
    <n v="21.218200679999999"/>
    <n v="92.323173519999997"/>
    <n v="197830"/>
    <x v="0"/>
    <m/>
  </r>
  <r>
    <x v="0"/>
    <x v="22"/>
    <x v="23"/>
    <s v="German (AA/BMZ)"/>
    <x v="2"/>
    <x v="15"/>
    <x v="2"/>
    <x v="374"/>
    <n v="34"/>
    <n v="163"/>
    <d v="2020-10-30T00:00:00"/>
    <m/>
    <m/>
    <m/>
    <m/>
    <m/>
    <m/>
    <m/>
    <m/>
    <m/>
    <m/>
    <m/>
    <m/>
    <m/>
    <m/>
    <m/>
    <m/>
    <m/>
    <m/>
    <m/>
    <m/>
    <m/>
    <m/>
    <m/>
    <m/>
    <m/>
    <m/>
    <m/>
    <m/>
    <m/>
    <m/>
    <m/>
    <m/>
    <m/>
    <m/>
    <m/>
    <m/>
    <m/>
    <m/>
    <x v="1"/>
    <x v="1"/>
    <m/>
    <m/>
    <m/>
    <m/>
    <m/>
    <m/>
    <m/>
    <m/>
    <m/>
    <m/>
    <m/>
    <m/>
    <m/>
    <m/>
    <m/>
    <m/>
    <m/>
    <s v="no test"/>
    <s v="no test"/>
    <x v="1"/>
    <n v="0"/>
    <n v="0"/>
    <n v="0"/>
    <n v="0"/>
    <n v="0"/>
    <n v="0"/>
    <n v="0"/>
    <n v="0"/>
    <n v="0"/>
    <n v="0"/>
    <n v="0"/>
    <n v="0"/>
    <n v="0"/>
    <n v="0"/>
    <n v="1"/>
    <n v="163"/>
    <n v="1"/>
    <n v="1"/>
    <n v="0"/>
    <n v="0"/>
    <n v="0"/>
    <s v="N/A"/>
    <s v="NA"/>
    <n v="27"/>
    <n v="27"/>
    <n v="1"/>
    <n v="0"/>
    <n v="0"/>
    <n v="0"/>
    <n v="0"/>
    <n v="0"/>
    <n v="0"/>
    <n v="0"/>
    <n v="1"/>
    <n v="0"/>
    <n v="0"/>
    <n v="0"/>
    <n v="0"/>
    <n v="0"/>
    <n v="0"/>
    <n v="0"/>
    <x v="0"/>
    <n v="0"/>
    <n v="0"/>
    <x v="2"/>
    <x v="6"/>
    <x v="4"/>
    <n v="21.153581620000001"/>
    <n v="92.250885010000005"/>
    <n v="220747"/>
    <x v="0"/>
    <m/>
  </r>
  <r>
    <x v="0"/>
    <x v="22"/>
    <x v="23"/>
    <s v="German (AA/BMZ)"/>
    <x v="2"/>
    <x v="15"/>
    <x v="2"/>
    <x v="375"/>
    <n v="144"/>
    <n v="742"/>
    <d v="2020-10-30T00:00:00"/>
    <m/>
    <m/>
    <m/>
    <m/>
    <m/>
    <m/>
    <m/>
    <m/>
    <m/>
    <m/>
    <m/>
    <m/>
    <m/>
    <m/>
    <m/>
    <m/>
    <m/>
    <m/>
    <m/>
    <m/>
    <m/>
    <m/>
    <m/>
    <m/>
    <m/>
    <m/>
    <m/>
    <m/>
    <m/>
    <m/>
    <m/>
    <m/>
    <m/>
    <m/>
    <m/>
    <m/>
    <m/>
    <m/>
    <x v="1"/>
    <x v="1"/>
    <m/>
    <m/>
    <m/>
    <m/>
    <m/>
    <m/>
    <m/>
    <m/>
    <m/>
    <m/>
    <m/>
    <m/>
    <m/>
    <m/>
    <m/>
    <m/>
    <m/>
    <s v="no test"/>
    <s v="no test"/>
    <x v="1"/>
    <n v="0"/>
    <n v="0"/>
    <n v="0"/>
    <n v="0"/>
    <n v="0"/>
    <n v="0"/>
    <n v="0"/>
    <n v="0"/>
    <n v="0"/>
    <n v="0"/>
    <n v="0"/>
    <n v="0"/>
    <n v="0"/>
    <n v="0"/>
    <n v="1"/>
    <n v="742"/>
    <n v="1"/>
    <n v="1"/>
    <n v="0"/>
    <n v="0"/>
    <n v="0"/>
    <s v="N/A"/>
    <s v="NA"/>
    <n v="124"/>
    <n v="124"/>
    <n v="1"/>
    <n v="0"/>
    <n v="0"/>
    <n v="0"/>
    <n v="0"/>
    <n v="0"/>
    <n v="0"/>
    <n v="0"/>
    <n v="1"/>
    <n v="0"/>
    <n v="0"/>
    <n v="0"/>
    <n v="0"/>
    <n v="0"/>
    <n v="0"/>
    <n v="0"/>
    <x v="0"/>
    <n v="0"/>
    <n v="0"/>
    <x v="2"/>
    <x v="6"/>
    <x v="4"/>
    <n v="21.177719119999999"/>
    <n v="92.239547729999998"/>
    <n v="198101"/>
    <x v="0"/>
    <m/>
  </r>
  <r>
    <x v="0"/>
    <x v="2"/>
    <x v="2"/>
    <m/>
    <x v="1"/>
    <x v="19"/>
    <x v="2"/>
    <x v="376"/>
    <n v="280"/>
    <n v="1423"/>
    <m/>
    <m/>
    <m/>
    <m/>
    <m/>
    <m/>
    <m/>
    <m/>
    <m/>
    <m/>
    <m/>
    <m/>
    <m/>
    <m/>
    <m/>
    <m/>
    <m/>
    <m/>
    <m/>
    <m/>
    <m/>
    <m/>
    <m/>
    <m/>
    <m/>
    <m/>
    <m/>
    <m/>
    <m/>
    <m/>
    <m/>
    <m/>
    <m/>
    <m/>
    <m/>
    <m/>
    <m/>
    <m/>
    <m/>
    <x v="1"/>
    <x v="1"/>
    <m/>
    <m/>
    <m/>
    <m/>
    <m/>
    <m/>
    <m/>
    <m/>
    <m/>
    <m/>
    <m/>
    <m/>
    <m/>
    <m/>
    <m/>
    <m/>
    <m/>
    <s v="no test"/>
    <s v="no test"/>
    <x v="1"/>
    <n v="0"/>
    <n v="0"/>
    <n v="0"/>
    <n v="0"/>
    <n v="0"/>
    <n v="0"/>
    <n v="0"/>
    <n v="0"/>
    <n v="0"/>
    <n v="0"/>
    <n v="0"/>
    <n v="0"/>
    <n v="0"/>
    <n v="0"/>
    <n v="1"/>
    <n v="1423"/>
    <n v="3"/>
    <n v="3"/>
    <n v="0"/>
    <n v="0"/>
    <n v="0"/>
    <s v="N/A"/>
    <s v="NA"/>
    <n v="237"/>
    <n v="237"/>
    <n v="1"/>
    <n v="0"/>
    <n v="0"/>
    <n v="0"/>
    <n v="0"/>
    <n v="0"/>
    <n v="0"/>
    <n v="0"/>
    <n v="1"/>
    <n v="0"/>
    <n v="0"/>
    <n v="0"/>
    <n v="0"/>
    <n v="0"/>
    <n v="0"/>
    <n v="0"/>
    <x v="0"/>
    <n v="0"/>
    <n v="0"/>
    <x v="2"/>
    <x v="11"/>
    <x v="3"/>
    <n v="20.392137999999999"/>
    <n v="93.257272"/>
    <s v="MMR012CMP002"/>
    <x v="1"/>
    <m/>
  </r>
  <r>
    <x v="0"/>
    <x v="2"/>
    <x v="2"/>
    <m/>
    <x v="2"/>
    <x v="21"/>
    <x v="2"/>
    <x v="377"/>
    <n v="425"/>
    <n v="2552"/>
    <m/>
    <m/>
    <m/>
    <m/>
    <m/>
    <m/>
    <m/>
    <m/>
    <m/>
    <m/>
    <m/>
    <m/>
    <m/>
    <m/>
    <m/>
    <m/>
    <m/>
    <m/>
    <m/>
    <m/>
    <m/>
    <m/>
    <m/>
    <m/>
    <m/>
    <m/>
    <m/>
    <m/>
    <m/>
    <m/>
    <m/>
    <m/>
    <m/>
    <m/>
    <m/>
    <m/>
    <m/>
    <m/>
    <m/>
    <x v="1"/>
    <x v="1"/>
    <m/>
    <m/>
    <m/>
    <m/>
    <m/>
    <m/>
    <m/>
    <m/>
    <m/>
    <m/>
    <m/>
    <m/>
    <m/>
    <m/>
    <m/>
    <m/>
    <m/>
    <s v="no test"/>
    <s v="no test"/>
    <x v="1"/>
    <n v="0"/>
    <n v="0"/>
    <n v="0"/>
    <n v="0"/>
    <n v="0"/>
    <n v="0"/>
    <n v="0"/>
    <n v="0"/>
    <n v="0"/>
    <n v="0"/>
    <n v="0"/>
    <n v="0"/>
    <n v="0"/>
    <n v="0"/>
    <n v="1"/>
    <n v="2552"/>
    <n v="5"/>
    <n v="5"/>
    <n v="0"/>
    <n v="0"/>
    <n v="0"/>
    <s v="N/A"/>
    <s v="NA"/>
    <n v="425"/>
    <n v="425"/>
    <n v="1"/>
    <n v="0"/>
    <n v="0"/>
    <n v="0"/>
    <n v="0"/>
    <n v="0"/>
    <n v="0"/>
    <n v="0"/>
    <n v="1"/>
    <n v="0"/>
    <n v="0"/>
    <n v="0"/>
    <n v="0"/>
    <n v="0"/>
    <n v="0"/>
    <n v="0"/>
    <x v="0"/>
    <n v="0"/>
    <n v="0"/>
    <x v="2"/>
    <x v="11"/>
    <x v="3"/>
    <n v="20.399269"/>
    <n v="92.781294000000003"/>
    <s v="MMR012CMP032"/>
    <x v="1"/>
    <m/>
  </r>
  <r>
    <x v="0"/>
    <x v="2"/>
    <x v="2"/>
    <m/>
    <x v="2"/>
    <x v="21"/>
    <x v="2"/>
    <x v="378"/>
    <n v="292"/>
    <n v="1751"/>
    <m/>
    <m/>
    <m/>
    <m/>
    <m/>
    <m/>
    <m/>
    <m/>
    <m/>
    <m/>
    <m/>
    <m/>
    <m/>
    <m/>
    <m/>
    <m/>
    <m/>
    <m/>
    <m/>
    <m/>
    <m/>
    <m/>
    <m/>
    <m/>
    <m/>
    <m/>
    <m/>
    <m/>
    <m/>
    <m/>
    <m/>
    <m/>
    <m/>
    <m/>
    <m/>
    <m/>
    <m/>
    <m/>
    <m/>
    <x v="1"/>
    <x v="1"/>
    <m/>
    <m/>
    <m/>
    <m/>
    <m/>
    <m/>
    <m/>
    <m/>
    <m/>
    <m/>
    <m/>
    <m/>
    <m/>
    <m/>
    <m/>
    <m/>
    <m/>
    <s v="no test"/>
    <s v="no test"/>
    <x v="1"/>
    <n v="0"/>
    <n v="0"/>
    <n v="0"/>
    <n v="0"/>
    <n v="0"/>
    <n v="0"/>
    <n v="0"/>
    <n v="0"/>
    <n v="0"/>
    <n v="0"/>
    <n v="0"/>
    <n v="0"/>
    <n v="0"/>
    <n v="0"/>
    <n v="1"/>
    <n v="1751"/>
    <n v="4"/>
    <n v="4"/>
    <n v="0"/>
    <n v="0"/>
    <n v="0"/>
    <s v="N/A"/>
    <s v="NA"/>
    <n v="292"/>
    <n v="292"/>
    <n v="1"/>
    <n v="0"/>
    <n v="0"/>
    <n v="0"/>
    <n v="0"/>
    <n v="0"/>
    <n v="0"/>
    <n v="0"/>
    <n v="1"/>
    <n v="0"/>
    <n v="0"/>
    <n v="0"/>
    <n v="0"/>
    <n v="0"/>
    <n v="0"/>
    <n v="0"/>
    <x v="0"/>
    <n v="0"/>
    <n v="0"/>
    <x v="2"/>
    <x v="11"/>
    <x v="3"/>
    <n v="20.335864000000001"/>
    <n v="92.785706000000005"/>
    <s v="MMR012CMP031"/>
    <x v="1"/>
    <m/>
  </r>
  <r>
    <x v="0"/>
    <x v="23"/>
    <x v="24"/>
    <m/>
    <x v="1"/>
    <x v="22"/>
    <x v="3"/>
    <x v="379"/>
    <n v="34"/>
    <n v="128"/>
    <m/>
    <m/>
    <m/>
    <m/>
    <m/>
    <m/>
    <m/>
    <m/>
    <m/>
    <m/>
    <m/>
    <m/>
    <m/>
    <m/>
    <m/>
    <m/>
    <m/>
    <m/>
    <m/>
    <m/>
    <m/>
    <m/>
    <m/>
    <m/>
    <m/>
    <m/>
    <m/>
    <m/>
    <m/>
    <m/>
    <m/>
    <n v="10"/>
    <m/>
    <m/>
    <m/>
    <m/>
    <m/>
    <m/>
    <m/>
    <x v="1"/>
    <x v="1"/>
    <m/>
    <m/>
    <m/>
    <m/>
    <m/>
    <m/>
    <m/>
    <m/>
    <m/>
    <m/>
    <m/>
    <n v="179"/>
    <n v="179"/>
    <m/>
    <m/>
    <m/>
    <m/>
    <s v="no test"/>
    <s v="no test"/>
    <x v="1"/>
    <n v="0"/>
    <n v="0"/>
    <n v="0"/>
    <n v="0"/>
    <n v="0"/>
    <n v="0"/>
    <n v="0"/>
    <n v="0"/>
    <n v="0"/>
    <n v="0"/>
    <n v="0"/>
    <n v="0"/>
    <n v="0"/>
    <n v="0"/>
    <n v="1"/>
    <n v="128"/>
    <n v="1"/>
    <n v="1"/>
    <n v="10"/>
    <n v="1"/>
    <n v="128"/>
    <n v="0"/>
    <n v="0"/>
    <n v="3"/>
    <n v="0"/>
    <n v="0"/>
    <n v="0"/>
    <n v="0"/>
    <n v="128"/>
    <n v="128"/>
    <n v="128"/>
    <n v="128"/>
    <n v="1"/>
    <n v="0"/>
    <n v="0"/>
    <n v="1"/>
    <n v="1"/>
    <n v="0"/>
    <n v="0"/>
    <n v="0"/>
    <n v="0"/>
    <x v="0"/>
    <n v="0"/>
    <n v="0"/>
    <x v="3"/>
    <x v="8"/>
    <x v="2"/>
    <n v="20.710781097412099"/>
    <n v="93.127502441406307"/>
    <n v="196610"/>
    <x v="0"/>
    <m/>
  </r>
  <r>
    <x v="0"/>
    <x v="2"/>
    <x v="2"/>
    <m/>
    <x v="1"/>
    <x v="22"/>
    <x v="3"/>
    <x v="380"/>
    <n v="79"/>
    <n v="330"/>
    <m/>
    <m/>
    <m/>
    <m/>
    <m/>
    <m/>
    <m/>
    <m/>
    <m/>
    <m/>
    <m/>
    <m/>
    <m/>
    <m/>
    <m/>
    <m/>
    <m/>
    <m/>
    <m/>
    <m/>
    <m/>
    <m/>
    <m/>
    <m/>
    <m/>
    <m/>
    <m/>
    <m/>
    <m/>
    <m/>
    <m/>
    <m/>
    <m/>
    <m/>
    <m/>
    <m/>
    <m/>
    <m/>
    <m/>
    <x v="1"/>
    <x v="1"/>
    <m/>
    <m/>
    <m/>
    <m/>
    <m/>
    <m/>
    <m/>
    <m/>
    <m/>
    <m/>
    <m/>
    <m/>
    <m/>
    <m/>
    <m/>
    <m/>
    <m/>
    <s v="no test"/>
    <s v="no test"/>
    <x v="1"/>
    <n v="0"/>
    <n v="0"/>
    <n v="0"/>
    <n v="0"/>
    <n v="0"/>
    <n v="0"/>
    <n v="0"/>
    <n v="0"/>
    <n v="0"/>
    <n v="0"/>
    <n v="0"/>
    <n v="0"/>
    <n v="0"/>
    <n v="0"/>
    <n v="1"/>
    <n v="330"/>
    <n v="1"/>
    <n v="1"/>
    <n v="0"/>
    <n v="0"/>
    <n v="0"/>
    <n v="0"/>
    <n v="0"/>
    <n v="7"/>
    <n v="7"/>
    <n v="1"/>
    <n v="0"/>
    <n v="0"/>
    <n v="0"/>
    <n v="0"/>
    <n v="0"/>
    <n v="0"/>
    <n v="0"/>
    <n v="1"/>
    <n v="0"/>
    <n v="0"/>
    <n v="0"/>
    <n v="0"/>
    <n v="0"/>
    <n v="0"/>
    <n v="0"/>
    <x v="0"/>
    <n v="0"/>
    <n v="0"/>
    <x v="3"/>
    <x v="8"/>
    <x v="2"/>
    <n v="0"/>
    <n v="0"/>
    <s v="MMR012003701505"/>
    <x v="1"/>
    <m/>
  </r>
  <r>
    <x v="0"/>
    <x v="23"/>
    <x v="24"/>
    <m/>
    <x v="1"/>
    <x v="22"/>
    <x v="3"/>
    <x v="381"/>
    <n v="70"/>
    <n v="272"/>
    <m/>
    <m/>
    <m/>
    <m/>
    <m/>
    <m/>
    <m/>
    <m/>
    <m/>
    <m/>
    <m/>
    <m/>
    <m/>
    <m/>
    <m/>
    <m/>
    <m/>
    <m/>
    <m/>
    <m/>
    <m/>
    <m/>
    <m/>
    <m/>
    <m/>
    <m/>
    <m/>
    <m/>
    <m/>
    <m/>
    <m/>
    <n v="4"/>
    <m/>
    <m/>
    <m/>
    <m/>
    <m/>
    <m/>
    <m/>
    <x v="1"/>
    <x v="1"/>
    <m/>
    <m/>
    <m/>
    <m/>
    <m/>
    <m/>
    <m/>
    <m/>
    <m/>
    <m/>
    <m/>
    <m/>
    <m/>
    <m/>
    <m/>
    <m/>
    <m/>
    <s v="no test"/>
    <s v="no test"/>
    <x v="1"/>
    <n v="0"/>
    <n v="0"/>
    <n v="0"/>
    <n v="0"/>
    <n v="0"/>
    <n v="0"/>
    <n v="0"/>
    <n v="0"/>
    <n v="0"/>
    <n v="0"/>
    <n v="0"/>
    <n v="0"/>
    <n v="0"/>
    <n v="0"/>
    <n v="1"/>
    <n v="272"/>
    <n v="1"/>
    <n v="1"/>
    <n v="4"/>
    <n v="0.73529411764705888"/>
    <n v="200"/>
    <n v="0"/>
    <n v="0"/>
    <n v="5"/>
    <n v="1"/>
    <n v="0.26470588235294112"/>
    <n v="0"/>
    <n v="0"/>
    <n v="0"/>
    <n v="0"/>
    <n v="0"/>
    <n v="0"/>
    <n v="0"/>
    <n v="1"/>
    <n v="0"/>
    <n v="0"/>
    <n v="0"/>
    <n v="0"/>
    <n v="0"/>
    <n v="0"/>
    <n v="0"/>
    <x v="0"/>
    <n v="0"/>
    <n v="0"/>
    <x v="3"/>
    <x v="8"/>
    <x v="2"/>
    <n v="0"/>
    <n v="0"/>
    <s v="MMR012003701505"/>
    <x v="0"/>
    <m/>
  </r>
  <r>
    <x v="0"/>
    <x v="2"/>
    <x v="2"/>
    <m/>
    <x v="1"/>
    <x v="22"/>
    <x v="3"/>
    <x v="382"/>
    <n v="27"/>
    <n v="119"/>
    <m/>
    <m/>
    <m/>
    <m/>
    <m/>
    <m/>
    <m/>
    <m/>
    <m/>
    <m/>
    <m/>
    <m/>
    <m/>
    <m/>
    <m/>
    <m/>
    <m/>
    <m/>
    <m/>
    <m/>
    <m/>
    <m/>
    <m/>
    <m/>
    <m/>
    <m/>
    <m/>
    <m/>
    <m/>
    <m/>
    <m/>
    <m/>
    <m/>
    <m/>
    <m/>
    <m/>
    <m/>
    <m/>
    <m/>
    <x v="1"/>
    <x v="1"/>
    <m/>
    <m/>
    <m/>
    <m/>
    <m/>
    <m/>
    <m/>
    <m/>
    <m/>
    <m/>
    <m/>
    <m/>
    <m/>
    <m/>
    <m/>
    <m/>
    <m/>
    <s v="no test"/>
    <s v="no test"/>
    <x v="1"/>
    <n v="0"/>
    <n v="0"/>
    <n v="0"/>
    <n v="0"/>
    <n v="0"/>
    <n v="0"/>
    <n v="0"/>
    <n v="0"/>
    <n v="0"/>
    <n v="0"/>
    <n v="0"/>
    <n v="0"/>
    <n v="0"/>
    <n v="0"/>
    <n v="1"/>
    <n v="119"/>
    <n v="1"/>
    <n v="1"/>
    <n v="0"/>
    <n v="0"/>
    <n v="0"/>
    <n v="0"/>
    <n v="0"/>
    <n v="2"/>
    <n v="2"/>
    <n v="1"/>
    <n v="0"/>
    <n v="0"/>
    <n v="0"/>
    <n v="0"/>
    <n v="0"/>
    <n v="0"/>
    <n v="0"/>
    <n v="1"/>
    <n v="0"/>
    <n v="0"/>
    <n v="0"/>
    <n v="0"/>
    <n v="0"/>
    <n v="0"/>
    <n v="0"/>
    <x v="0"/>
    <n v="0"/>
    <n v="0"/>
    <x v="3"/>
    <x v="8"/>
    <x v="2"/>
    <n v="0"/>
    <n v="0"/>
    <s v="MMR012003701505"/>
    <x v="1"/>
    <m/>
  </r>
  <r>
    <x v="0"/>
    <x v="2"/>
    <x v="2"/>
    <m/>
    <x v="1"/>
    <x v="22"/>
    <x v="3"/>
    <x v="383"/>
    <n v="132"/>
    <n v="549"/>
    <m/>
    <m/>
    <m/>
    <m/>
    <m/>
    <m/>
    <m/>
    <m/>
    <m/>
    <m/>
    <m/>
    <m/>
    <m/>
    <m/>
    <m/>
    <m/>
    <m/>
    <m/>
    <m/>
    <m/>
    <m/>
    <m/>
    <m/>
    <m/>
    <m/>
    <m/>
    <m/>
    <m/>
    <m/>
    <m/>
    <m/>
    <m/>
    <m/>
    <m/>
    <m/>
    <m/>
    <m/>
    <m/>
    <m/>
    <x v="1"/>
    <x v="1"/>
    <m/>
    <m/>
    <m/>
    <m/>
    <m/>
    <m/>
    <m/>
    <m/>
    <m/>
    <m/>
    <m/>
    <m/>
    <m/>
    <m/>
    <m/>
    <m/>
    <m/>
    <s v="no test"/>
    <s v="no test"/>
    <x v="1"/>
    <n v="0"/>
    <n v="0"/>
    <n v="0"/>
    <n v="0"/>
    <n v="0"/>
    <n v="0"/>
    <n v="0"/>
    <n v="0"/>
    <n v="0"/>
    <n v="0"/>
    <n v="0"/>
    <n v="0"/>
    <n v="0"/>
    <n v="0"/>
    <n v="1"/>
    <n v="549"/>
    <n v="1"/>
    <n v="1"/>
    <n v="0"/>
    <n v="0"/>
    <n v="0"/>
    <n v="0"/>
    <n v="0"/>
    <n v="11"/>
    <n v="11"/>
    <n v="1"/>
    <n v="0"/>
    <n v="0"/>
    <n v="0"/>
    <n v="0"/>
    <n v="0"/>
    <n v="0"/>
    <n v="0"/>
    <n v="1"/>
    <n v="0"/>
    <n v="0"/>
    <n v="0"/>
    <n v="0"/>
    <n v="0"/>
    <n v="0"/>
    <n v="0"/>
    <x v="0"/>
    <n v="0"/>
    <n v="0"/>
    <x v="3"/>
    <x v="8"/>
    <x v="2"/>
    <n v="0"/>
    <n v="0"/>
    <s v="MMR012003701505"/>
    <x v="1"/>
    <m/>
  </r>
  <r>
    <x v="0"/>
    <x v="2"/>
    <x v="2"/>
    <m/>
    <x v="1"/>
    <x v="22"/>
    <x v="3"/>
    <x v="384"/>
    <n v="39"/>
    <n v="139"/>
    <m/>
    <m/>
    <m/>
    <m/>
    <m/>
    <m/>
    <m/>
    <m/>
    <m/>
    <m/>
    <m/>
    <m/>
    <m/>
    <m/>
    <m/>
    <m/>
    <m/>
    <m/>
    <m/>
    <m/>
    <m/>
    <m/>
    <m/>
    <m/>
    <m/>
    <m/>
    <m/>
    <m/>
    <m/>
    <m/>
    <m/>
    <m/>
    <m/>
    <m/>
    <m/>
    <m/>
    <m/>
    <m/>
    <m/>
    <x v="1"/>
    <x v="1"/>
    <m/>
    <m/>
    <m/>
    <m/>
    <m/>
    <m/>
    <m/>
    <m/>
    <m/>
    <m/>
    <m/>
    <m/>
    <m/>
    <m/>
    <m/>
    <m/>
    <m/>
    <s v="no test"/>
    <s v="no test"/>
    <x v="1"/>
    <n v="0"/>
    <n v="0"/>
    <n v="0"/>
    <n v="0"/>
    <n v="0"/>
    <n v="0"/>
    <n v="0"/>
    <n v="0"/>
    <n v="0"/>
    <n v="0"/>
    <n v="0"/>
    <n v="0"/>
    <n v="0"/>
    <n v="0"/>
    <n v="1"/>
    <n v="139"/>
    <n v="1"/>
    <n v="1"/>
    <n v="0"/>
    <n v="0"/>
    <n v="0"/>
    <n v="0"/>
    <n v="0"/>
    <n v="3"/>
    <n v="3"/>
    <n v="1"/>
    <n v="0"/>
    <n v="0"/>
    <n v="0"/>
    <n v="0"/>
    <n v="0"/>
    <n v="0"/>
    <n v="0"/>
    <n v="1"/>
    <n v="0"/>
    <n v="0"/>
    <n v="0"/>
    <n v="0"/>
    <n v="0"/>
    <n v="0"/>
    <n v="0"/>
    <x v="0"/>
    <n v="0"/>
    <n v="0"/>
    <x v="3"/>
    <x v="8"/>
    <x v="2"/>
    <n v="0"/>
    <n v="0"/>
    <s v="MMR012003701505"/>
    <x v="1"/>
    <m/>
  </r>
  <r>
    <x v="0"/>
    <x v="24"/>
    <x v="25"/>
    <m/>
    <x v="1"/>
    <x v="22"/>
    <x v="3"/>
    <x v="385"/>
    <n v="53"/>
    <n v="230"/>
    <m/>
    <m/>
    <m/>
    <m/>
    <m/>
    <m/>
    <m/>
    <m/>
    <m/>
    <m/>
    <m/>
    <m/>
    <m/>
    <m/>
    <m/>
    <m/>
    <m/>
    <m/>
    <m/>
    <m/>
    <m/>
    <m/>
    <m/>
    <m/>
    <m/>
    <m/>
    <m/>
    <m/>
    <m/>
    <m/>
    <m/>
    <n v="5"/>
    <m/>
    <m/>
    <m/>
    <m/>
    <m/>
    <m/>
    <m/>
    <x v="1"/>
    <x v="1"/>
    <m/>
    <m/>
    <m/>
    <m/>
    <m/>
    <m/>
    <m/>
    <m/>
    <m/>
    <m/>
    <m/>
    <n v="272"/>
    <n v="272"/>
    <m/>
    <m/>
    <m/>
    <m/>
    <s v="no test"/>
    <s v="no test"/>
    <x v="1"/>
    <n v="0"/>
    <n v="0"/>
    <n v="0"/>
    <n v="0"/>
    <n v="0"/>
    <n v="0"/>
    <n v="0"/>
    <n v="0"/>
    <n v="0"/>
    <n v="0"/>
    <n v="0"/>
    <n v="0"/>
    <n v="0"/>
    <n v="0"/>
    <n v="1"/>
    <n v="230"/>
    <n v="1"/>
    <n v="1"/>
    <n v="5"/>
    <n v="1"/>
    <n v="230"/>
    <n v="0"/>
    <n v="0"/>
    <n v="5"/>
    <n v="0"/>
    <n v="0"/>
    <n v="0"/>
    <n v="0"/>
    <n v="230"/>
    <n v="230"/>
    <n v="230"/>
    <n v="230"/>
    <n v="1"/>
    <n v="0"/>
    <n v="0"/>
    <n v="1"/>
    <n v="1"/>
    <n v="0"/>
    <n v="0"/>
    <n v="0"/>
    <n v="0"/>
    <x v="0"/>
    <n v="0"/>
    <n v="0"/>
    <x v="3"/>
    <x v="8"/>
    <x v="2"/>
    <n v="0"/>
    <n v="0"/>
    <n v="0"/>
    <x v="0"/>
    <m/>
  </r>
  <r>
    <x v="0"/>
    <x v="2"/>
    <x v="2"/>
    <m/>
    <x v="1"/>
    <x v="22"/>
    <x v="3"/>
    <x v="386"/>
    <n v="87"/>
    <n v="397"/>
    <m/>
    <m/>
    <m/>
    <m/>
    <m/>
    <m/>
    <m/>
    <m/>
    <m/>
    <m/>
    <m/>
    <m/>
    <m/>
    <m/>
    <m/>
    <m/>
    <m/>
    <m/>
    <m/>
    <m/>
    <m/>
    <m/>
    <m/>
    <m/>
    <m/>
    <m/>
    <m/>
    <m/>
    <m/>
    <m/>
    <m/>
    <m/>
    <m/>
    <m/>
    <m/>
    <m/>
    <m/>
    <m/>
    <m/>
    <x v="1"/>
    <x v="1"/>
    <m/>
    <m/>
    <m/>
    <m/>
    <m/>
    <m/>
    <m/>
    <m/>
    <m/>
    <m/>
    <m/>
    <m/>
    <m/>
    <m/>
    <m/>
    <m/>
    <m/>
    <s v="no test"/>
    <s v="no test"/>
    <x v="1"/>
    <n v="0"/>
    <n v="0"/>
    <n v="0"/>
    <n v="0"/>
    <n v="0"/>
    <n v="0"/>
    <n v="0"/>
    <n v="0"/>
    <n v="0"/>
    <n v="0"/>
    <n v="0"/>
    <n v="0"/>
    <n v="0"/>
    <n v="0"/>
    <n v="1"/>
    <n v="397"/>
    <n v="1"/>
    <n v="1"/>
    <n v="0"/>
    <n v="0"/>
    <n v="0"/>
    <n v="0"/>
    <n v="0"/>
    <n v="8"/>
    <n v="8"/>
    <n v="1"/>
    <n v="0"/>
    <n v="0"/>
    <n v="0"/>
    <n v="0"/>
    <n v="0"/>
    <n v="0"/>
    <n v="0"/>
    <n v="1"/>
    <n v="0"/>
    <n v="0"/>
    <n v="0"/>
    <n v="0"/>
    <n v="0"/>
    <n v="0"/>
    <n v="0"/>
    <x v="0"/>
    <n v="0"/>
    <n v="0"/>
    <x v="3"/>
    <x v="8"/>
    <x v="2"/>
    <n v="0"/>
    <n v="0"/>
    <n v="0"/>
    <x v="1"/>
    <m/>
  </r>
  <r>
    <x v="0"/>
    <x v="2"/>
    <x v="2"/>
    <m/>
    <x v="1"/>
    <x v="22"/>
    <x v="3"/>
    <x v="387"/>
    <n v="22"/>
    <n v="69"/>
    <m/>
    <m/>
    <m/>
    <m/>
    <m/>
    <m/>
    <m/>
    <m/>
    <m/>
    <m/>
    <m/>
    <m/>
    <m/>
    <m/>
    <m/>
    <m/>
    <m/>
    <m/>
    <m/>
    <m/>
    <m/>
    <m/>
    <m/>
    <m/>
    <m/>
    <m/>
    <m/>
    <m/>
    <m/>
    <m/>
    <m/>
    <m/>
    <m/>
    <m/>
    <m/>
    <m/>
    <m/>
    <m/>
    <m/>
    <x v="1"/>
    <x v="1"/>
    <m/>
    <m/>
    <m/>
    <m/>
    <m/>
    <m/>
    <m/>
    <m/>
    <m/>
    <m/>
    <m/>
    <m/>
    <m/>
    <m/>
    <m/>
    <m/>
    <m/>
    <s v="no test"/>
    <s v="no test"/>
    <x v="1"/>
    <n v="0"/>
    <n v="0"/>
    <n v="0"/>
    <n v="0"/>
    <n v="0"/>
    <n v="0"/>
    <n v="0"/>
    <n v="0"/>
    <n v="0"/>
    <n v="0"/>
    <n v="0"/>
    <n v="0"/>
    <n v="0"/>
    <n v="0"/>
    <n v="1"/>
    <n v="69"/>
    <n v="1"/>
    <n v="1"/>
    <n v="0"/>
    <n v="0"/>
    <n v="0"/>
    <n v="0"/>
    <n v="0"/>
    <n v="1"/>
    <n v="1"/>
    <n v="1"/>
    <n v="0"/>
    <n v="0"/>
    <n v="0"/>
    <n v="0"/>
    <n v="0"/>
    <n v="0"/>
    <n v="0"/>
    <n v="1"/>
    <n v="0"/>
    <n v="0"/>
    <n v="0"/>
    <n v="0"/>
    <n v="0"/>
    <n v="0"/>
    <n v="0"/>
    <x v="0"/>
    <n v="0"/>
    <n v="0"/>
    <x v="3"/>
    <x v="8"/>
    <x v="2"/>
    <n v="0"/>
    <n v="0"/>
    <n v="196475"/>
    <x v="1"/>
    <m/>
  </r>
  <r>
    <x v="0"/>
    <x v="2"/>
    <x v="2"/>
    <m/>
    <x v="1"/>
    <x v="22"/>
    <x v="3"/>
    <x v="388"/>
    <n v="20"/>
    <n v="61"/>
    <m/>
    <m/>
    <m/>
    <m/>
    <m/>
    <m/>
    <m/>
    <m/>
    <m/>
    <m/>
    <m/>
    <m/>
    <m/>
    <m/>
    <m/>
    <m/>
    <m/>
    <m/>
    <m/>
    <m/>
    <m/>
    <m/>
    <m/>
    <m/>
    <m/>
    <m/>
    <m/>
    <m/>
    <m/>
    <m/>
    <m/>
    <m/>
    <m/>
    <m/>
    <m/>
    <m/>
    <m/>
    <m/>
    <m/>
    <x v="1"/>
    <x v="1"/>
    <m/>
    <m/>
    <m/>
    <m/>
    <m/>
    <m/>
    <m/>
    <m/>
    <m/>
    <m/>
    <m/>
    <m/>
    <m/>
    <m/>
    <m/>
    <m/>
    <m/>
    <s v="no test"/>
    <s v="no test"/>
    <x v="1"/>
    <n v="0"/>
    <n v="0"/>
    <n v="0"/>
    <n v="0"/>
    <n v="0"/>
    <n v="0"/>
    <n v="0"/>
    <n v="0"/>
    <n v="0"/>
    <n v="0"/>
    <n v="0"/>
    <n v="0"/>
    <n v="0"/>
    <n v="0"/>
    <n v="1"/>
    <n v="61"/>
    <n v="1"/>
    <n v="1"/>
    <n v="0"/>
    <n v="0"/>
    <n v="0"/>
    <n v="0"/>
    <n v="0"/>
    <n v="1"/>
    <n v="1"/>
    <n v="1"/>
    <n v="0"/>
    <n v="0"/>
    <n v="0"/>
    <n v="0"/>
    <n v="0"/>
    <n v="0"/>
    <n v="0"/>
    <n v="1"/>
    <n v="0"/>
    <n v="0"/>
    <n v="0"/>
    <n v="0"/>
    <n v="0"/>
    <n v="0"/>
    <n v="0"/>
    <x v="0"/>
    <n v="0"/>
    <n v="0"/>
    <x v="3"/>
    <x v="8"/>
    <x v="2"/>
    <n v="0"/>
    <n v="0"/>
    <n v="0"/>
    <x v="1"/>
    <m/>
  </r>
  <r>
    <x v="0"/>
    <x v="25"/>
    <x v="26"/>
    <m/>
    <x v="1"/>
    <x v="22"/>
    <x v="3"/>
    <x v="389"/>
    <n v="96"/>
    <n v="384"/>
    <m/>
    <m/>
    <m/>
    <m/>
    <m/>
    <m/>
    <m/>
    <m/>
    <m/>
    <m/>
    <m/>
    <m/>
    <m/>
    <m/>
    <m/>
    <m/>
    <m/>
    <m/>
    <m/>
    <m/>
    <m/>
    <m/>
    <m/>
    <m/>
    <m/>
    <m/>
    <m/>
    <m/>
    <m/>
    <m/>
    <m/>
    <n v="4"/>
    <m/>
    <m/>
    <m/>
    <m/>
    <m/>
    <m/>
    <m/>
    <x v="1"/>
    <x v="1"/>
    <m/>
    <m/>
    <m/>
    <m/>
    <m/>
    <m/>
    <m/>
    <m/>
    <m/>
    <m/>
    <m/>
    <n v="326"/>
    <n v="326"/>
    <m/>
    <m/>
    <m/>
    <m/>
    <s v="no test"/>
    <s v="no test"/>
    <x v="1"/>
    <n v="0"/>
    <n v="0"/>
    <n v="0"/>
    <n v="0"/>
    <n v="0"/>
    <n v="0"/>
    <n v="0"/>
    <n v="0"/>
    <n v="0"/>
    <n v="0"/>
    <n v="0"/>
    <n v="0"/>
    <n v="0"/>
    <n v="0"/>
    <n v="1"/>
    <n v="384"/>
    <n v="1"/>
    <n v="1"/>
    <n v="4"/>
    <n v="0.52083333333333337"/>
    <n v="200"/>
    <n v="0"/>
    <n v="0"/>
    <n v="8"/>
    <n v="4"/>
    <n v="0.47916666666666663"/>
    <n v="0"/>
    <n v="0"/>
    <n v="384"/>
    <n v="384"/>
    <n v="384"/>
    <n v="384"/>
    <n v="1"/>
    <n v="0"/>
    <n v="0"/>
    <n v="1"/>
    <n v="1"/>
    <n v="0"/>
    <n v="0"/>
    <n v="0"/>
    <n v="0"/>
    <x v="0"/>
    <n v="0"/>
    <n v="0"/>
    <x v="3"/>
    <x v="14"/>
    <x v="2"/>
    <n v="0"/>
    <n v="0"/>
    <n v="0"/>
    <x v="0"/>
    <m/>
  </r>
  <r>
    <x v="0"/>
    <x v="26"/>
    <x v="27"/>
    <m/>
    <x v="1"/>
    <x v="22"/>
    <x v="3"/>
    <x v="390"/>
    <n v="107"/>
    <n v="373"/>
    <m/>
    <m/>
    <m/>
    <m/>
    <m/>
    <m/>
    <m/>
    <m/>
    <m/>
    <m/>
    <m/>
    <m/>
    <m/>
    <m/>
    <m/>
    <m/>
    <m/>
    <m/>
    <m/>
    <m/>
    <m/>
    <m/>
    <m/>
    <m/>
    <m/>
    <m/>
    <m/>
    <m/>
    <m/>
    <m/>
    <m/>
    <m/>
    <m/>
    <m/>
    <m/>
    <m/>
    <m/>
    <m/>
    <m/>
    <x v="1"/>
    <x v="1"/>
    <m/>
    <m/>
    <m/>
    <m/>
    <m/>
    <m/>
    <m/>
    <m/>
    <m/>
    <m/>
    <m/>
    <n v="222"/>
    <n v="222"/>
    <m/>
    <m/>
    <m/>
    <m/>
    <s v="no test"/>
    <s v="no test"/>
    <x v="1"/>
    <n v="0"/>
    <n v="0"/>
    <n v="0"/>
    <n v="0"/>
    <n v="0"/>
    <n v="0"/>
    <n v="0"/>
    <n v="0"/>
    <n v="0"/>
    <n v="0"/>
    <n v="0"/>
    <n v="0"/>
    <n v="0"/>
    <n v="0"/>
    <n v="1"/>
    <n v="373"/>
    <n v="1"/>
    <n v="1"/>
    <n v="0"/>
    <n v="0"/>
    <n v="0"/>
    <n v="0"/>
    <n v="0"/>
    <n v="7"/>
    <n v="7"/>
    <n v="1"/>
    <n v="0"/>
    <n v="0"/>
    <n v="373"/>
    <n v="373"/>
    <n v="373"/>
    <n v="373"/>
    <n v="1"/>
    <n v="0"/>
    <n v="0"/>
    <n v="1"/>
    <n v="1"/>
    <n v="0"/>
    <n v="0"/>
    <n v="0"/>
    <n v="0"/>
    <x v="0"/>
    <n v="0"/>
    <n v="0"/>
    <x v="3"/>
    <x v="14"/>
    <x v="2"/>
    <n v="0"/>
    <n v="0"/>
    <n v="0"/>
    <x v="0"/>
    <m/>
  </r>
  <r>
    <x v="0"/>
    <x v="27"/>
    <x v="28"/>
    <m/>
    <x v="1"/>
    <x v="22"/>
    <x v="3"/>
    <x v="391"/>
    <n v="48"/>
    <n v="176"/>
    <m/>
    <m/>
    <m/>
    <m/>
    <m/>
    <m/>
    <m/>
    <m/>
    <m/>
    <m/>
    <m/>
    <m/>
    <m/>
    <m/>
    <m/>
    <m/>
    <m/>
    <m/>
    <m/>
    <m/>
    <m/>
    <m/>
    <m/>
    <m/>
    <m/>
    <m/>
    <m/>
    <m/>
    <m/>
    <m/>
    <m/>
    <m/>
    <m/>
    <m/>
    <m/>
    <m/>
    <m/>
    <m/>
    <m/>
    <x v="1"/>
    <x v="1"/>
    <m/>
    <m/>
    <m/>
    <m/>
    <m/>
    <m/>
    <m/>
    <m/>
    <m/>
    <m/>
    <m/>
    <n v="48"/>
    <n v="48"/>
    <m/>
    <m/>
    <m/>
    <m/>
    <s v="no test"/>
    <s v="no test"/>
    <x v="1"/>
    <n v="0"/>
    <n v="0"/>
    <n v="0"/>
    <n v="0"/>
    <n v="0"/>
    <n v="0"/>
    <n v="0"/>
    <n v="0"/>
    <n v="0"/>
    <n v="0"/>
    <n v="0"/>
    <n v="0"/>
    <n v="0"/>
    <n v="0"/>
    <n v="1"/>
    <n v="176"/>
    <n v="1"/>
    <n v="1"/>
    <n v="0"/>
    <n v="0"/>
    <n v="0"/>
    <n v="0"/>
    <n v="0"/>
    <n v="4"/>
    <n v="4"/>
    <n v="1"/>
    <n v="0"/>
    <n v="0"/>
    <n v="176"/>
    <n v="176"/>
    <n v="176"/>
    <n v="176"/>
    <n v="1"/>
    <n v="0"/>
    <n v="0"/>
    <n v="1"/>
    <n v="1"/>
    <n v="0"/>
    <n v="0"/>
    <n v="0"/>
    <n v="0"/>
    <x v="0"/>
    <n v="0"/>
    <n v="0"/>
    <x v="3"/>
    <x v="8"/>
    <x v="2"/>
    <n v="0"/>
    <n v="0"/>
    <n v="0"/>
    <x v="0"/>
    <m/>
  </r>
  <r>
    <x v="0"/>
    <x v="2"/>
    <x v="2"/>
    <m/>
    <x v="1"/>
    <x v="22"/>
    <x v="3"/>
    <x v="392"/>
    <n v="17"/>
    <n v="103"/>
    <m/>
    <m/>
    <m/>
    <m/>
    <m/>
    <m/>
    <m/>
    <m/>
    <m/>
    <m/>
    <m/>
    <m/>
    <m/>
    <m/>
    <m/>
    <m/>
    <m/>
    <m/>
    <m/>
    <m/>
    <m/>
    <m/>
    <m/>
    <m/>
    <m/>
    <m/>
    <m/>
    <m/>
    <m/>
    <m/>
    <m/>
    <m/>
    <m/>
    <m/>
    <m/>
    <m/>
    <m/>
    <m/>
    <m/>
    <x v="1"/>
    <x v="1"/>
    <m/>
    <m/>
    <m/>
    <m/>
    <m/>
    <m/>
    <m/>
    <m/>
    <m/>
    <m/>
    <m/>
    <m/>
    <m/>
    <m/>
    <m/>
    <m/>
    <m/>
    <s v="no test"/>
    <s v="no test"/>
    <x v="1"/>
    <n v="0"/>
    <n v="0"/>
    <n v="0"/>
    <n v="0"/>
    <n v="0"/>
    <n v="0"/>
    <n v="0"/>
    <n v="0"/>
    <n v="0"/>
    <n v="0"/>
    <n v="0"/>
    <n v="0"/>
    <n v="0"/>
    <n v="0"/>
    <n v="1"/>
    <n v="103"/>
    <n v="1"/>
    <n v="1"/>
    <n v="0"/>
    <n v="0"/>
    <n v="0"/>
    <n v="0"/>
    <n v="0"/>
    <n v="2"/>
    <n v="2"/>
    <n v="1"/>
    <n v="0"/>
    <n v="0"/>
    <n v="0"/>
    <n v="0"/>
    <n v="0"/>
    <n v="0"/>
    <n v="0"/>
    <n v="1"/>
    <n v="0"/>
    <n v="0"/>
    <n v="0"/>
    <n v="0"/>
    <n v="0"/>
    <n v="0"/>
    <n v="0"/>
    <x v="0"/>
    <n v="0"/>
    <n v="0"/>
    <x v="3"/>
    <x v="8"/>
    <x v="2"/>
    <n v="20.6728000640869"/>
    <n v="93.243469238281307"/>
    <n v="196448"/>
    <x v="1"/>
    <m/>
  </r>
  <r>
    <x v="0"/>
    <x v="25"/>
    <x v="26"/>
    <m/>
    <x v="1"/>
    <x v="22"/>
    <x v="3"/>
    <x v="393"/>
    <n v="62"/>
    <n v="217"/>
    <m/>
    <m/>
    <m/>
    <m/>
    <m/>
    <m/>
    <m/>
    <m/>
    <m/>
    <m/>
    <m/>
    <m/>
    <m/>
    <m/>
    <m/>
    <m/>
    <m/>
    <m/>
    <m/>
    <m/>
    <m/>
    <m/>
    <m/>
    <m/>
    <m/>
    <m/>
    <m/>
    <m/>
    <m/>
    <m/>
    <m/>
    <n v="2"/>
    <m/>
    <m/>
    <m/>
    <m/>
    <m/>
    <m/>
    <m/>
    <x v="1"/>
    <x v="1"/>
    <m/>
    <m/>
    <m/>
    <m/>
    <m/>
    <m/>
    <m/>
    <m/>
    <m/>
    <m/>
    <m/>
    <n v="108"/>
    <n v="108"/>
    <m/>
    <m/>
    <m/>
    <m/>
    <s v="no test"/>
    <s v="no test"/>
    <x v="1"/>
    <n v="0"/>
    <n v="0"/>
    <n v="0"/>
    <n v="0"/>
    <n v="0"/>
    <n v="0"/>
    <n v="0"/>
    <n v="0"/>
    <n v="0"/>
    <n v="0"/>
    <n v="0"/>
    <n v="0"/>
    <n v="0"/>
    <n v="0"/>
    <n v="1"/>
    <n v="217"/>
    <n v="1"/>
    <n v="1"/>
    <n v="2"/>
    <n v="0.46082949308755761"/>
    <n v="100"/>
    <n v="0"/>
    <n v="0"/>
    <n v="4"/>
    <n v="2"/>
    <n v="0.53917050691244239"/>
    <n v="0"/>
    <n v="0"/>
    <n v="217"/>
    <n v="217"/>
    <n v="217"/>
    <n v="217"/>
    <n v="1"/>
    <n v="0"/>
    <n v="0"/>
    <n v="1"/>
    <n v="1"/>
    <n v="0"/>
    <n v="0"/>
    <n v="0"/>
    <n v="0"/>
    <x v="0"/>
    <n v="0"/>
    <n v="0"/>
    <x v="3"/>
    <x v="14"/>
    <x v="2"/>
    <n v="0"/>
    <n v="0"/>
    <n v="0"/>
    <x v="0"/>
    <m/>
  </r>
  <r>
    <x v="0"/>
    <x v="27"/>
    <x v="28"/>
    <m/>
    <x v="1"/>
    <x v="22"/>
    <x v="3"/>
    <x v="394"/>
    <n v="33"/>
    <n v="101"/>
    <m/>
    <m/>
    <m/>
    <m/>
    <m/>
    <m/>
    <m/>
    <m/>
    <m/>
    <m/>
    <m/>
    <m/>
    <m/>
    <m/>
    <m/>
    <m/>
    <m/>
    <m/>
    <m/>
    <m/>
    <m/>
    <m/>
    <m/>
    <m/>
    <m/>
    <m/>
    <m/>
    <m/>
    <m/>
    <m/>
    <m/>
    <m/>
    <m/>
    <m/>
    <m/>
    <m/>
    <m/>
    <m/>
    <m/>
    <x v="1"/>
    <x v="1"/>
    <m/>
    <m/>
    <m/>
    <m/>
    <m/>
    <m/>
    <m/>
    <m/>
    <m/>
    <m/>
    <m/>
    <n v="33"/>
    <n v="33"/>
    <m/>
    <m/>
    <m/>
    <m/>
    <s v="no test"/>
    <s v="no test"/>
    <x v="1"/>
    <n v="0"/>
    <n v="0"/>
    <n v="0"/>
    <n v="0"/>
    <n v="0"/>
    <n v="0"/>
    <n v="0"/>
    <n v="0"/>
    <n v="0"/>
    <n v="0"/>
    <n v="0"/>
    <n v="0"/>
    <n v="0"/>
    <n v="0"/>
    <n v="1"/>
    <n v="101"/>
    <n v="1"/>
    <n v="1"/>
    <n v="0"/>
    <n v="0"/>
    <n v="0"/>
    <n v="0"/>
    <n v="0"/>
    <n v="2"/>
    <n v="2"/>
    <n v="1"/>
    <n v="0"/>
    <n v="0"/>
    <n v="101"/>
    <n v="101"/>
    <n v="101"/>
    <n v="101"/>
    <n v="1"/>
    <n v="0"/>
    <n v="0"/>
    <n v="1"/>
    <n v="1"/>
    <n v="0"/>
    <n v="0"/>
    <n v="0"/>
    <n v="0"/>
    <x v="0"/>
    <n v="0"/>
    <n v="0"/>
    <x v="3"/>
    <x v="14"/>
    <x v="2"/>
    <n v="0"/>
    <n v="0"/>
    <n v="0"/>
    <x v="0"/>
    <m/>
  </r>
  <r>
    <x v="0"/>
    <x v="2"/>
    <x v="2"/>
    <m/>
    <x v="1"/>
    <x v="22"/>
    <x v="3"/>
    <x v="395"/>
    <n v="147"/>
    <n v="455"/>
    <m/>
    <m/>
    <m/>
    <m/>
    <m/>
    <m/>
    <m/>
    <m/>
    <m/>
    <m/>
    <m/>
    <m/>
    <m/>
    <m/>
    <m/>
    <m/>
    <m/>
    <m/>
    <m/>
    <m/>
    <m/>
    <m/>
    <m/>
    <m/>
    <m/>
    <m/>
    <m/>
    <m/>
    <m/>
    <m/>
    <m/>
    <m/>
    <m/>
    <m/>
    <m/>
    <m/>
    <m/>
    <m/>
    <m/>
    <x v="1"/>
    <x v="1"/>
    <m/>
    <m/>
    <m/>
    <m/>
    <m/>
    <m/>
    <m/>
    <m/>
    <m/>
    <m/>
    <m/>
    <m/>
    <m/>
    <m/>
    <m/>
    <m/>
    <m/>
    <s v="no test"/>
    <s v="no test"/>
    <x v="1"/>
    <n v="0"/>
    <n v="0"/>
    <n v="0"/>
    <n v="0"/>
    <n v="0"/>
    <n v="0"/>
    <n v="0"/>
    <n v="0"/>
    <n v="0"/>
    <n v="0"/>
    <n v="0"/>
    <n v="0"/>
    <n v="0"/>
    <n v="0"/>
    <n v="1"/>
    <n v="455"/>
    <n v="1"/>
    <n v="1"/>
    <n v="0"/>
    <n v="0"/>
    <n v="0"/>
    <n v="0"/>
    <n v="0"/>
    <n v="9"/>
    <n v="9"/>
    <n v="1"/>
    <n v="0"/>
    <n v="0"/>
    <n v="0"/>
    <n v="0"/>
    <n v="0"/>
    <n v="0"/>
    <n v="0"/>
    <n v="1"/>
    <n v="0"/>
    <n v="0"/>
    <n v="0"/>
    <n v="0"/>
    <n v="0"/>
    <n v="0"/>
    <n v="0"/>
    <x v="0"/>
    <n v="0"/>
    <n v="0"/>
    <x v="3"/>
    <x v="8"/>
    <x v="2"/>
    <n v="0"/>
    <n v="0"/>
    <n v="0"/>
    <x v="1"/>
    <m/>
  </r>
  <r>
    <x v="0"/>
    <x v="24"/>
    <x v="25"/>
    <m/>
    <x v="1"/>
    <x v="22"/>
    <x v="3"/>
    <x v="396"/>
    <n v="45"/>
    <n v="191"/>
    <m/>
    <m/>
    <m/>
    <m/>
    <m/>
    <m/>
    <m/>
    <m/>
    <m/>
    <m/>
    <m/>
    <m/>
    <m/>
    <m/>
    <m/>
    <m/>
    <m/>
    <m/>
    <m/>
    <m/>
    <m/>
    <m/>
    <m/>
    <m/>
    <m/>
    <m/>
    <m/>
    <m/>
    <m/>
    <m/>
    <m/>
    <n v="9"/>
    <m/>
    <m/>
    <m/>
    <m/>
    <m/>
    <m/>
    <m/>
    <x v="1"/>
    <x v="1"/>
    <m/>
    <m/>
    <m/>
    <m/>
    <m/>
    <m/>
    <m/>
    <m/>
    <m/>
    <m/>
    <m/>
    <n v="40"/>
    <n v="40"/>
    <m/>
    <m/>
    <m/>
    <m/>
    <s v="no test"/>
    <s v="no test"/>
    <x v="1"/>
    <n v="0"/>
    <n v="0"/>
    <n v="0"/>
    <n v="0"/>
    <n v="0"/>
    <n v="0"/>
    <n v="0"/>
    <n v="0"/>
    <n v="0"/>
    <n v="0"/>
    <n v="0"/>
    <n v="0"/>
    <n v="0"/>
    <n v="0"/>
    <n v="1"/>
    <n v="191"/>
    <n v="1"/>
    <n v="1"/>
    <n v="9"/>
    <n v="1"/>
    <n v="191"/>
    <n v="0"/>
    <n v="0"/>
    <n v="4"/>
    <n v="0"/>
    <n v="0"/>
    <n v="0"/>
    <n v="0"/>
    <n v="191"/>
    <n v="191"/>
    <n v="191"/>
    <n v="191"/>
    <n v="1"/>
    <n v="0"/>
    <n v="0"/>
    <n v="0.88888888888888884"/>
    <n v="0.88888888888888884"/>
    <n v="0"/>
    <n v="0"/>
    <n v="0"/>
    <n v="0"/>
    <x v="0"/>
    <n v="0"/>
    <n v="0"/>
    <x v="3"/>
    <x v="8"/>
    <x v="2"/>
    <n v="20.829959869384801"/>
    <n v="93.073478698730497"/>
    <n v="196661"/>
    <x v="0"/>
    <m/>
  </r>
  <r>
    <x v="0"/>
    <x v="27"/>
    <x v="28"/>
    <m/>
    <x v="1"/>
    <x v="22"/>
    <x v="3"/>
    <x v="397"/>
    <n v="41"/>
    <n v="164"/>
    <m/>
    <m/>
    <m/>
    <m/>
    <m/>
    <m/>
    <m/>
    <m/>
    <m/>
    <m/>
    <m/>
    <m/>
    <m/>
    <m/>
    <m/>
    <m/>
    <m/>
    <m/>
    <m/>
    <m/>
    <m/>
    <m/>
    <m/>
    <m/>
    <m/>
    <m/>
    <m/>
    <m/>
    <m/>
    <m/>
    <m/>
    <m/>
    <m/>
    <m/>
    <m/>
    <m/>
    <m/>
    <m/>
    <m/>
    <x v="1"/>
    <x v="1"/>
    <m/>
    <m/>
    <m/>
    <m/>
    <m/>
    <m/>
    <m/>
    <m/>
    <m/>
    <m/>
    <m/>
    <n v="25"/>
    <n v="25"/>
    <m/>
    <m/>
    <m/>
    <m/>
    <s v="no test"/>
    <s v="no test"/>
    <x v="1"/>
    <n v="0"/>
    <n v="0"/>
    <n v="0"/>
    <n v="0"/>
    <n v="0"/>
    <n v="0"/>
    <n v="0"/>
    <n v="0"/>
    <n v="0"/>
    <n v="0"/>
    <n v="0"/>
    <n v="0"/>
    <n v="0"/>
    <n v="0"/>
    <n v="1"/>
    <n v="164"/>
    <n v="1"/>
    <n v="1"/>
    <n v="0"/>
    <n v="0"/>
    <n v="0"/>
    <n v="0"/>
    <n v="0"/>
    <n v="3"/>
    <n v="3"/>
    <n v="1"/>
    <n v="0"/>
    <n v="0"/>
    <n v="125"/>
    <n v="125"/>
    <n v="125"/>
    <n v="125"/>
    <n v="0.76219512195121952"/>
    <n v="0.23780487804878048"/>
    <n v="0"/>
    <n v="0.6097560975609756"/>
    <n v="0.6097560975609756"/>
    <n v="0"/>
    <n v="0"/>
    <n v="0"/>
    <n v="0"/>
    <x v="0"/>
    <n v="0"/>
    <n v="0"/>
    <x v="3"/>
    <x v="8"/>
    <x v="2"/>
    <n v="20.7270202636719"/>
    <n v="93.249069213867202"/>
    <n v="196465"/>
    <x v="0"/>
    <m/>
  </r>
  <r>
    <x v="0"/>
    <x v="25"/>
    <x v="26"/>
    <m/>
    <x v="1"/>
    <x v="22"/>
    <x v="3"/>
    <x v="398"/>
    <n v="103"/>
    <n v="318"/>
    <m/>
    <m/>
    <m/>
    <m/>
    <m/>
    <m/>
    <m/>
    <m/>
    <m/>
    <m/>
    <m/>
    <m/>
    <m/>
    <m/>
    <m/>
    <m/>
    <m/>
    <m/>
    <m/>
    <m/>
    <m/>
    <m/>
    <m/>
    <m/>
    <m/>
    <m/>
    <m/>
    <m/>
    <m/>
    <m/>
    <m/>
    <n v="4"/>
    <m/>
    <m/>
    <m/>
    <m/>
    <m/>
    <m/>
    <m/>
    <x v="1"/>
    <x v="1"/>
    <m/>
    <m/>
    <m/>
    <m/>
    <m/>
    <m/>
    <m/>
    <m/>
    <m/>
    <m/>
    <m/>
    <n v="303"/>
    <n v="303"/>
    <m/>
    <m/>
    <m/>
    <m/>
    <s v="no test"/>
    <s v="no test"/>
    <x v="1"/>
    <n v="0"/>
    <n v="0"/>
    <n v="0"/>
    <n v="0"/>
    <n v="0"/>
    <n v="0"/>
    <n v="0"/>
    <n v="0"/>
    <n v="0"/>
    <n v="0"/>
    <n v="0"/>
    <n v="0"/>
    <n v="0"/>
    <n v="0"/>
    <n v="1"/>
    <n v="318"/>
    <n v="1"/>
    <n v="1"/>
    <n v="4"/>
    <n v="0.62893081761006286"/>
    <n v="200"/>
    <n v="0"/>
    <n v="0"/>
    <n v="6"/>
    <n v="2"/>
    <n v="0.37106918238993714"/>
    <n v="0"/>
    <n v="0"/>
    <n v="318"/>
    <n v="318"/>
    <n v="318"/>
    <n v="318"/>
    <n v="1"/>
    <n v="0"/>
    <n v="0"/>
    <n v="1"/>
    <n v="1"/>
    <n v="0"/>
    <n v="0"/>
    <n v="0"/>
    <n v="0"/>
    <x v="0"/>
    <n v="0"/>
    <n v="0"/>
    <x v="3"/>
    <x v="14"/>
    <x v="2"/>
    <n v="0"/>
    <n v="0"/>
    <n v="0"/>
    <x v="0"/>
    <m/>
  </r>
  <r>
    <x v="0"/>
    <x v="25"/>
    <x v="26"/>
    <m/>
    <x v="1"/>
    <x v="22"/>
    <x v="3"/>
    <x v="399"/>
    <n v="39"/>
    <n v="157"/>
    <m/>
    <m/>
    <m/>
    <m/>
    <m/>
    <m/>
    <m/>
    <m/>
    <m/>
    <m/>
    <m/>
    <m/>
    <m/>
    <m/>
    <m/>
    <m/>
    <m/>
    <m/>
    <m/>
    <m/>
    <m/>
    <m/>
    <m/>
    <m/>
    <m/>
    <m/>
    <m/>
    <m/>
    <m/>
    <m/>
    <m/>
    <n v="3"/>
    <m/>
    <m/>
    <m/>
    <m/>
    <m/>
    <m/>
    <m/>
    <x v="1"/>
    <x v="1"/>
    <m/>
    <m/>
    <m/>
    <m/>
    <m/>
    <m/>
    <m/>
    <m/>
    <m/>
    <m/>
    <m/>
    <n v="129"/>
    <n v="129"/>
    <m/>
    <m/>
    <m/>
    <m/>
    <s v="no test"/>
    <s v="no test"/>
    <x v="1"/>
    <n v="0"/>
    <n v="0"/>
    <n v="0"/>
    <n v="0"/>
    <n v="0"/>
    <n v="0"/>
    <n v="0"/>
    <n v="0"/>
    <n v="0"/>
    <n v="0"/>
    <n v="0"/>
    <n v="0"/>
    <n v="0"/>
    <n v="0"/>
    <n v="1"/>
    <n v="157"/>
    <n v="1"/>
    <n v="1"/>
    <n v="3"/>
    <n v="0.95541401273885351"/>
    <n v="150"/>
    <n v="0"/>
    <n v="0"/>
    <n v="3"/>
    <n v="0"/>
    <n v="4.4585987261146487E-2"/>
    <n v="0"/>
    <n v="0"/>
    <n v="157"/>
    <n v="157"/>
    <n v="157"/>
    <n v="157"/>
    <n v="1"/>
    <n v="0"/>
    <n v="0"/>
    <n v="1"/>
    <n v="1"/>
    <n v="0"/>
    <n v="0"/>
    <n v="0"/>
    <n v="0"/>
    <x v="0"/>
    <n v="0"/>
    <n v="0"/>
    <x v="3"/>
    <x v="8"/>
    <x v="2"/>
    <n v="0"/>
    <n v="0"/>
    <n v="0"/>
    <x v="0"/>
    <m/>
  </r>
  <r>
    <x v="0"/>
    <x v="27"/>
    <x v="28"/>
    <m/>
    <x v="1"/>
    <x v="22"/>
    <x v="3"/>
    <x v="400"/>
    <n v="56"/>
    <n v="285"/>
    <m/>
    <m/>
    <m/>
    <m/>
    <m/>
    <m/>
    <m/>
    <m/>
    <m/>
    <m/>
    <m/>
    <m/>
    <m/>
    <m/>
    <m/>
    <m/>
    <m/>
    <m/>
    <m/>
    <m/>
    <m/>
    <m/>
    <m/>
    <m/>
    <m/>
    <m/>
    <m/>
    <m/>
    <m/>
    <m/>
    <m/>
    <m/>
    <m/>
    <m/>
    <m/>
    <m/>
    <m/>
    <m/>
    <m/>
    <x v="1"/>
    <x v="1"/>
    <m/>
    <m/>
    <m/>
    <m/>
    <m/>
    <m/>
    <m/>
    <m/>
    <m/>
    <m/>
    <m/>
    <n v="81"/>
    <n v="81"/>
    <m/>
    <m/>
    <m/>
    <m/>
    <s v="no test"/>
    <s v="no test"/>
    <x v="1"/>
    <n v="0"/>
    <n v="0"/>
    <n v="0"/>
    <n v="0"/>
    <n v="0"/>
    <n v="0"/>
    <n v="0"/>
    <n v="0"/>
    <n v="0"/>
    <n v="0"/>
    <n v="0"/>
    <n v="0"/>
    <n v="0"/>
    <n v="0"/>
    <n v="1"/>
    <n v="285"/>
    <n v="1"/>
    <n v="1"/>
    <n v="0"/>
    <n v="0"/>
    <n v="0"/>
    <n v="0"/>
    <n v="0"/>
    <n v="6"/>
    <n v="6"/>
    <n v="1"/>
    <n v="0"/>
    <n v="0"/>
    <n v="285"/>
    <n v="285"/>
    <n v="285"/>
    <n v="285"/>
    <n v="1"/>
    <n v="0"/>
    <n v="0"/>
    <n v="1"/>
    <n v="1"/>
    <n v="0"/>
    <n v="0"/>
    <n v="0"/>
    <n v="0"/>
    <x v="0"/>
    <n v="0"/>
    <n v="0"/>
    <x v="3"/>
    <x v="8"/>
    <x v="2"/>
    <n v="20.7529296875"/>
    <n v="93.267311096191406"/>
    <n v="196464"/>
    <x v="0"/>
    <m/>
  </r>
  <r>
    <x v="0"/>
    <x v="27"/>
    <x v="28"/>
    <m/>
    <x v="1"/>
    <x v="22"/>
    <x v="3"/>
    <x v="401"/>
    <n v="245"/>
    <n v="1169"/>
    <m/>
    <m/>
    <m/>
    <m/>
    <m/>
    <m/>
    <m/>
    <m/>
    <m/>
    <m/>
    <m/>
    <m/>
    <m/>
    <m/>
    <m/>
    <m/>
    <m/>
    <m/>
    <m/>
    <m/>
    <m/>
    <m/>
    <m/>
    <m/>
    <m/>
    <m/>
    <m/>
    <m/>
    <m/>
    <m/>
    <m/>
    <m/>
    <m/>
    <m/>
    <m/>
    <m/>
    <m/>
    <m/>
    <m/>
    <x v="1"/>
    <x v="1"/>
    <m/>
    <m/>
    <m/>
    <m/>
    <m/>
    <m/>
    <m/>
    <m/>
    <m/>
    <m/>
    <m/>
    <n v="245"/>
    <n v="245"/>
    <m/>
    <m/>
    <m/>
    <m/>
    <s v="no test"/>
    <s v="no test"/>
    <x v="1"/>
    <n v="0"/>
    <n v="0"/>
    <n v="0"/>
    <n v="0"/>
    <n v="0"/>
    <n v="0"/>
    <n v="0"/>
    <n v="0"/>
    <n v="0"/>
    <n v="0"/>
    <n v="0"/>
    <n v="0"/>
    <n v="0"/>
    <n v="0"/>
    <n v="1"/>
    <n v="1169"/>
    <n v="2"/>
    <n v="2"/>
    <n v="0"/>
    <n v="0"/>
    <n v="0"/>
    <n v="0"/>
    <n v="0"/>
    <n v="23"/>
    <n v="23"/>
    <n v="1"/>
    <n v="0"/>
    <n v="0"/>
    <n v="1169"/>
    <n v="1169"/>
    <n v="1169"/>
    <n v="1169"/>
    <n v="1"/>
    <n v="0"/>
    <n v="0"/>
    <n v="1"/>
    <n v="1"/>
    <n v="0"/>
    <n v="0"/>
    <n v="0"/>
    <n v="0"/>
    <x v="0"/>
    <n v="0"/>
    <n v="0"/>
    <x v="3"/>
    <x v="8"/>
    <x v="2"/>
    <n v="0"/>
    <n v="0"/>
    <n v="0"/>
    <x v="0"/>
    <m/>
  </r>
  <r>
    <x v="0"/>
    <x v="2"/>
    <x v="2"/>
    <m/>
    <x v="1"/>
    <x v="22"/>
    <x v="3"/>
    <x v="402"/>
    <n v="41"/>
    <n v="154"/>
    <m/>
    <m/>
    <m/>
    <m/>
    <m/>
    <m/>
    <m/>
    <m/>
    <m/>
    <m/>
    <m/>
    <m/>
    <m/>
    <m/>
    <m/>
    <m/>
    <m/>
    <m/>
    <m/>
    <m/>
    <m/>
    <m/>
    <m/>
    <m/>
    <m/>
    <m/>
    <m/>
    <m/>
    <m/>
    <m/>
    <m/>
    <m/>
    <m/>
    <m/>
    <m/>
    <m/>
    <m/>
    <m/>
    <m/>
    <x v="1"/>
    <x v="1"/>
    <m/>
    <m/>
    <m/>
    <m/>
    <m/>
    <m/>
    <m/>
    <m/>
    <m/>
    <m/>
    <m/>
    <m/>
    <m/>
    <m/>
    <m/>
    <m/>
    <m/>
    <s v="no test"/>
    <s v="no test"/>
    <x v="1"/>
    <n v="0"/>
    <n v="0"/>
    <n v="0"/>
    <n v="0"/>
    <n v="0"/>
    <n v="0"/>
    <n v="0"/>
    <n v="0"/>
    <n v="0"/>
    <n v="0"/>
    <n v="0"/>
    <n v="0"/>
    <n v="0"/>
    <n v="0"/>
    <n v="1"/>
    <n v="154"/>
    <n v="1"/>
    <n v="1"/>
    <n v="0"/>
    <n v="0"/>
    <n v="0"/>
    <n v="0"/>
    <n v="0"/>
    <n v="3"/>
    <n v="3"/>
    <n v="1"/>
    <n v="0"/>
    <n v="0"/>
    <n v="0"/>
    <n v="0"/>
    <n v="0"/>
    <n v="0"/>
    <n v="0"/>
    <n v="1"/>
    <n v="0"/>
    <n v="0"/>
    <n v="0"/>
    <n v="0"/>
    <n v="0"/>
    <n v="0"/>
    <n v="0"/>
    <x v="0"/>
    <n v="0"/>
    <n v="0"/>
    <x v="3"/>
    <x v="8"/>
    <x v="2"/>
    <n v="20.718429565429702"/>
    <n v="93.059432983398395"/>
    <n v="196645"/>
    <x v="1"/>
    <m/>
  </r>
  <r>
    <x v="0"/>
    <x v="23"/>
    <x v="24"/>
    <m/>
    <x v="1"/>
    <x v="22"/>
    <x v="3"/>
    <x v="403"/>
    <n v="250"/>
    <n v="981"/>
    <m/>
    <m/>
    <m/>
    <m/>
    <m/>
    <m/>
    <m/>
    <m/>
    <m/>
    <m/>
    <m/>
    <m/>
    <m/>
    <m/>
    <m/>
    <m/>
    <m/>
    <m/>
    <m/>
    <m/>
    <m/>
    <m/>
    <m/>
    <m/>
    <m/>
    <m/>
    <m/>
    <m/>
    <m/>
    <m/>
    <m/>
    <n v="5"/>
    <m/>
    <m/>
    <m/>
    <m/>
    <m/>
    <m/>
    <m/>
    <x v="1"/>
    <x v="1"/>
    <m/>
    <m/>
    <m/>
    <m/>
    <m/>
    <m/>
    <m/>
    <m/>
    <m/>
    <m/>
    <m/>
    <m/>
    <m/>
    <m/>
    <m/>
    <m/>
    <m/>
    <s v="no test"/>
    <s v="no test"/>
    <x v="1"/>
    <n v="0"/>
    <n v="0"/>
    <n v="0"/>
    <n v="0"/>
    <n v="0"/>
    <n v="0"/>
    <n v="0"/>
    <n v="0"/>
    <n v="0"/>
    <n v="0"/>
    <n v="0"/>
    <n v="0"/>
    <n v="0"/>
    <n v="0"/>
    <n v="1"/>
    <n v="981"/>
    <n v="2"/>
    <n v="2"/>
    <n v="5"/>
    <n v="0.254841997961264"/>
    <n v="250"/>
    <n v="0"/>
    <n v="0"/>
    <n v="20"/>
    <n v="15"/>
    <n v="0.74515800203873606"/>
    <n v="0"/>
    <n v="0"/>
    <n v="0"/>
    <n v="0"/>
    <n v="0"/>
    <n v="0"/>
    <n v="0"/>
    <n v="1"/>
    <n v="0"/>
    <n v="0"/>
    <n v="0"/>
    <n v="0"/>
    <n v="0"/>
    <n v="0"/>
    <n v="0"/>
    <x v="0"/>
    <n v="0"/>
    <n v="0"/>
    <x v="3"/>
    <x v="8"/>
    <x v="2"/>
    <n v="0"/>
    <n v="0"/>
    <n v="0"/>
    <x v="0"/>
    <m/>
  </r>
  <r>
    <x v="0"/>
    <x v="2"/>
    <x v="2"/>
    <m/>
    <x v="1"/>
    <x v="22"/>
    <x v="3"/>
    <x v="404"/>
    <n v="31"/>
    <n v="151"/>
    <m/>
    <m/>
    <m/>
    <m/>
    <m/>
    <m/>
    <m/>
    <m/>
    <m/>
    <m/>
    <m/>
    <m/>
    <m/>
    <m/>
    <m/>
    <m/>
    <m/>
    <m/>
    <m/>
    <m/>
    <m/>
    <m/>
    <m/>
    <m/>
    <m/>
    <m/>
    <m/>
    <m/>
    <m/>
    <m/>
    <m/>
    <m/>
    <m/>
    <m/>
    <m/>
    <m/>
    <m/>
    <m/>
    <m/>
    <x v="1"/>
    <x v="1"/>
    <m/>
    <m/>
    <m/>
    <m/>
    <m/>
    <m/>
    <m/>
    <m/>
    <m/>
    <m/>
    <m/>
    <m/>
    <m/>
    <m/>
    <m/>
    <m/>
    <m/>
    <s v="no test"/>
    <s v="no test"/>
    <x v="1"/>
    <n v="0"/>
    <n v="0"/>
    <n v="0"/>
    <n v="0"/>
    <n v="0"/>
    <n v="0"/>
    <n v="0"/>
    <n v="0"/>
    <n v="0"/>
    <n v="0"/>
    <n v="0"/>
    <n v="0"/>
    <n v="0"/>
    <n v="0"/>
    <n v="1"/>
    <n v="151"/>
    <n v="1"/>
    <n v="1"/>
    <n v="0"/>
    <n v="0"/>
    <n v="0"/>
    <n v="0"/>
    <n v="0"/>
    <n v="3"/>
    <n v="3"/>
    <n v="1"/>
    <n v="0"/>
    <n v="0"/>
    <n v="0"/>
    <n v="0"/>
    <n v="0"/>
    <n v="0"/>
    <n v="0"/>
    <n v="1"/>
    <n v="0"/>
    <n v="0"/>
    <n v="0"/>
    <n v="0"/>
    <n v="0"/>
    <n v="0"/>
    <n v="0"/>
    <x v="0"/>
    <n v="0"/>
    <n v="0"/>
    <x v="3"/>
    <x v="8"/>
    <x v="2"/>
    <n v="20.648319244384801"/>
    <n v="93.085273742675795"/>
    <n v="196626"/>
    <x v="1"/>
    <m/>
  </r>
  <r>
    <x v="0"/>
    <x v="23"/>
    <x v="24"/>
    <m/>
    <x v="1"/>
    <x v="22"/>
    <x v="3"/>
    <x v="405"/>
    <n v="12"/>
    <n v="62"/>
    <m/>
    <m/>
    <m/>
    <m/>
    <m/>
    <m/>
    <m/>
    <m/>
    <m/>
    <m/>
    <m/>
    <m/>
    <m/>
    <m/>
    <m/>
    <m/>
    <m/>
    <m/>
    <m/>
    <m/>
    <m/>
    <m/>
    <m/>
    <m/>
    <m/>
    <m/>
    <m/>
    <m/>
    <m/>
    <m/>
    <m/>
    <n v="1"/>
    <m/>
    <m/>
    <m/>
    <m/>
    <m/>
    <m/>
    <m/>
    <x v="1"/>
    <x v="1"/>
    <m/>
    <m/>
    <m/>
    <m/>
    <m/>
    <m/>
    <m/>
    <m/>
    <m/>
    <m/>
    <m/>
    <m/>
    <m/>
    <m/>
    <m/>
    <m/>
    <m/>
    <s v="no test"/>
    <s v="no test"/>
    <x v="1"/>
    <n v="0"/>
    <n v="0"/>
    <n v="0"/>
    <n v="0"/>
    <n v="0"/>
    <n v="0"/>
    <n v="0"/>
    <n v="0"/>
    <n v="0"/>
    <n v="0"/>
    <n v="0"/>
    <n v="0"/>
    <n v="0"/>
    <n v="0"/>
    <n v="1"/>
    <n v="62"/>
    <n v="1"/>
    <n v="1"/>
    <n v="1"/>
    <n v="0.80645161290322576"/>
    <n v="50"/>
    <n v="0"/>
    <n v="0"/>
    <n v="1"/>
    <n v="0"/>
    <n v="0.19354838709677424"/>
    <n v="0"/>
    <n v="0"/>
    <n v="0"/>
    <n v="0"/>
    <n v="0"/>
    <n v="0"/>
    <n v="0"/>
    <n v="1"/>
    <n v="0"/>
    <n v="0"/>
    <n v="0"/>
    <n v="0"/>
    <n v="0"/>
    <n v="0"/>
    <n v="0"/>
    <x v="0"/>
    <n v="0"/>
    <n v="0"/>
    <x v="3"/>
    <x v="8"/>
    <x v="2"/>
    <n v="0"/>
    <n v="0"/>
    <n v="0"/>
    <x v="0"/>
    <m/>
  </r>
  <r>
    <x v="0"/>
    <x v="2"/>
    <x v="2"/>
    <m/>
    <x v="1"/>
    <x v="22"/>
    <x v="3"/>
    <x v="406"/>
    <n v="261"/>
    <n v="798"/>
    <m/>
    <m/>
    <m/>
    <m/>
    <m/>
    <m/>
    <m/>
    <m/>
    <m/>
    <m/>
    <m/>
    <m/>
    <m/>
    <m/>
    <m/>
    <m/>
    <m/>
    <m/>
    <m/>
    <m/>
    <m/>
    <m/>
    <m/>
    <m/>
    <m/>
    <m/>
    <m/>
    <m/>
    <m/>
    <m/>
    <m/>
    <m/>
    <m/>
    <m/>
    <m/>
    <m/>
    <m/>
    <m/>
    <m/>
    <x v="1"/>
    <x v="1"/>
    <m/>
    <m/>
    <m/>
    <m/>
    <m/>
    <m/>
    <m/>
    <m/>
    <m/>
    <m/>
    <m/>
    <m/>
    <m/>
    <m/>
    <m/>
    <m/>
    <m/>
    <s v="no test"/>
    <s v="no test"/>
    <x v="1"/>
    <n v="0"/>
    <n v="0"/>
    <n v="0"/>
    <n v="0"/>
    <n v="0"/>
    <n v="0"/>
    <n v="0"/>
    <n v="0"/>
    <n v="0"/>
    <n v="0"/>
    <n v="0"/>
    <n v="0"/>
    <n v="0"/>
    <n v="0"/>
    <n v="1"/>
    <n v="798"/>
    <n v="2"/>
    <n v="2"/>
    <n v="0"/>
    <n v="0"/>
    <n v="0"/>
    <n v="0"/>
    <n v="0"/>
    <n v="16"/>
    <n v="16"/>
    <n v="1"/>
    <n v="0"/>
    <n v="0"/>
    <n v="0"/>
    <n v="0"/>
    <n v="0"/>
    <n v="0"/>
    <n v="0"/>
    <n v="1"/>
    <n v="0"/>
    <n v="0"/>
    <n v="0"/>
    <n v="0"/>
    <n v="0"/>
    <n v="0"/>
    <n v="0"/>
    <x v="0"/>
    <n v="0"/>
    <n v="0"/>
    <x v="3"/>
    <x v="8"/>
    <x v="2"/>
    <n v="20.675979614257798"/>
    <n v="93.098922729492202"/>
    <n v="196621"/>
    <x v="1"/>
    <m/>
  </r>
  <r>
    <x v="0"/>
    <x v="27"/>
    <x v="28"/>
    <m/>
    <x v="1"/>
    <x v="22"/>
    <x v="3"/>
    <x v="407"/>
    <n v="36"/>
    <n v="140"/>
    <m/>
    <m/>
    <m/>
    <m/>
    <m/>
    <m/>
    <m/>
    <m/>
    <m/>
    <m/>
    <m/>
    <m/>
    <m/>
    <m/>
    <m/>
    <m/>
    <m/>
    <m/>
    <m/>
    <m/>
    <m/>
    <m/>
    <m/>
    <m/>
    <m/>
    <m/>
    <m/>
    <m/>
    <m/>
    <m/>
    <m/>
    <m/>
    <m/>
    <m/>
    <m/>
    <m/>
    <m/>
    <m/>
    <m/>
    <x v="1"/>
    <x v="1"/>
    <m/>
    <m/>
    <m/>
    <m/>
    <m/>
    <m/>
    <m/>
    <m/>
    <m/>
    <m/>
    <m/>
    <n v="36"/>
    <n v="36"/>
    <m/>
    <m/>
    <m/>
    <m/>
    <s v="no test"/>
    <s v="no test"/>
    <x v="1"/>
    <n v="0"/>
    <n v="0"/>
    <n v="0"/>
    <n v="0"/>
    <n v="0"/>
    <n v="0"/>
    <n v="0"/>
    <n v="0"/>
    <n v="0"/>
    <n v="0"/>
    <n v="0"/>
    <n v="0"/>
    <n v="0"/>
    <n v="0"/>
    <n v="1"/>
    <n v="140"/>
    <n v="1"/>
    <n v="1"/>
    <n v="0"/>
    <n v="0"/>
    <n v="0"/>
    <n v="0"/>
    <n v="0"/>
    <n v="3"/>
    <n v="3"/>
    <n v="1"/>
    <n v="0"/>
    <n v="0"/>
    <n v="140"/>
    <n v="140"/>
    <n v="140"/>
    <n v="140"/>
    <n v="1"/>
    <n v="0"/>
    <n v="0"/>
    <n v="1"/>
    <n v="1"/>
    <n v="0"/>
    <n v="0"/>
    <n v="0"/>
    <n v="0"/>
    <x v="0"/>
    <n v="0"/>
    <n v="0"/>
    <x v="3"/>
    <x v="8"/>
    <x v="2"/>
    <n v="0"/>
    <n v="0"/>
    <n v="0"/>
    <x v="0"/>
    <m/>
  </r>
  <r>
    <x v="0"/>
    <x v="2"/>
    <x v="2"/>
    <m/>
    <x v="1"/>
    <x v="22"/>
    <x v="3"/>
    <x v="408"/>
    <n v="11"/>
    <n v="46"/>
    <m/>
    <m/>
    <m/>
    <m/>
    <m/>
    <m/>
    <m/>
    <m/>
    <m/>
    <m/>
    <m/>
    <m/>
    <m/>
    <m/>
    <m/>
    <m/>
    <m/>
    <m/>
    <m/>
    <m/>
    <m/>
    <m/>
    <m/>
    <m/>
    <m/>
    <m/>
    <m/>
    <m/>
    <m/>
    <m/>
    <m/>
    <m/>
    <m/>
    <m/>
    <m/>
    <m/>
    <m/>
    <m/>
    <m/>
    <x v="1"/>
    <x v="1"/>
    <m/>
    <m/>
    <m/>
    <m/>
    <m/>
    <m/>
    <m/>
    <m/>
    <m/>
    <m/>
    <m/>
    <m/>
    <m/>
    <m/>
    <m/>
    <m/>
    <m/>
    <s v="no test"/>
    <s v="no test"/>
    <x v="1"/>
    <n v="0"/>
    <n v="0"/>
    <n v="0"/>
    <n v="0"/>
    <n v="0"/>
    <n v="0"/>
    <n v="0"/>
    <n v="0"/>
    <n v="0"/>
    <n v="0"/>
    <n v="0"/>
    <n v="0"/>
    <n v="0"/>
    <n v="0"/>
    <n v="1"/>
    <n v="46"/>
    <n v="1"/>
    <n v="1"/>
    <n v="0"/>
    <n v="0"/>
    <n v="0"/>
    <n v="0"/>
    <n v="0"/>
    <n v="1"/>
    <n v="1"/>
    <n v="1"/>
    <n v="0"/>
    <n v="0"/>
    <n v="0"/>
    <n v="0"/>
    <n v="0"/>
    <n v="0"/>
    <n v="0"/>
    <n v="1"/>
    <n v="0"/>
    <n v="0"/>
    <n v="0"/>
    <n v="0"/>
    <n v="0"/>
    <n v="0"/>
    <n v="0"/>
    <x v="0"/>
    <n v="0"/>
    <n v="0"/>
    <x v="3"/>
    <x v="8"/>
    <x v="2"/>
    <n v="0"/>
    <n v="0"/>
    <n v="0"/>
    <x v="1"/>
    <m/>
  </r>
  <r>
    <x v="0"/>
    <x v="2"/>
    <x v="2"/>
    <m/>
    <x v="1"/>
    <x v="22"/>
    <x v="3"/>
    <x v="409"/>
    <n v="120"/>
    <n v="472"/>
    <m/>
    <m/>
    <m/>
    <m/>
    <m/>
    <m/>
    <m/>
    <m/>
    <m/>
    <m/>
    <m/>
    <m/>
    <m/>
    <m/>
    <m/>
    <m/>
    <m/>
    <m/>
    <m/>
    <m/>
    <m/>
    <m/>
    <m/>
    <m/>
    <m/>
    <m/>
    <m/>
    <m/>
    <m/>
    <m/>
    <m/>
    <m/>
    <m/>
    <m/>
    <m/>
    <m/>
    <m/>
    <m/>
    <m/>
    <x v="1"/>
    <x v="1"/>
    <m/>
    <m/>
    <m/>
    <m/>
    <m/>
    <m/>
    <m/>
    <m/>
    <m/>
    <m/>
    <m/>
    <m/>
    <m/>
    <m/>
    <m/>
    <m/>
    <m/>
    <s v="no test"/>
    <s v="no test"/>
    <x v="1"/>
    <n v="0"/>
    <n v="0"/>
    <n v="0"/>
    <n v="0"/>
    <n v="0"/>
    <n v="0"/>
    <n v="0"/>
    <n v="0"/>
    <n v="0"/>
    <n v="0"/>
    <n v="0"/>
    <n v="0"/>
    <n v="0"/>
    <n v="0"/>
    <n v="1"/>
    <n v="472"/>
    <n v="1"/>
    <n v="1"/>
    <n v="0"/>
    <n v="0"/>
    <n v="0"/>
    <n v="0"/>
    <n v="0"/>
    <n v="9"/>
    <n v="9"/>
    <n v="1"/>
    <n v="0"/>
    <n v="0"/>
    <n v="0"/>
    <n v="0"/>
    <n v="0"/>
    <n v="0"/>
    <n v="0"/>
    <n v="1"/>
    <n v="0"/>
    <n v="0"/>
    <n v="0"/>
    <n v="0"/>
    <n v="0"/>
    <n v="0"/>
    <n v="0"/>
    <x v="0"/>
    <n v="0"/>
    <n v="0"/>
    <x v="3"/>
    <x v="8"/>
    <x v="2"/>
    <n v="20.6698608398438"/>
    <n v="93.087516784667997"/>
    <n v="196636"/>
    <x v="1"/>
    <m/>
  </r>
  <r>
    <x v="0"/>
    <x v="2"/>
    <x v="2"/>
    <m/>
    <x v="1"/>
    <x v="22"/>
    <x v="3"/>
    <x v="410"/>
    <n v="132"/>
    <n v="492"/>
    <m/>
    <m/>
    <m/>
    <m/>
    <m/>
    <m/>
    <m/>
    <m/>
    <m/>
    <m/>
    <m/>
    <m/>
    <m/>
    <m/>
    <m/>
    <m/>
    <m/>
    <m/>
    <m/>
    <m/>
    <m/>
    <m/>
    <m/>
    <m/>
    <m/>
    <m/>
    <m/>
    <m/>
    <m/>
    <m/>
    <m/>
    <m/>
    <m/>
    <m/>
    <m/>
    <m/>
    <m/>
    <m/>
    <m/>
    <x v="1"/>
    <x v="1"/>
    <m/>
    <m/>
    <m/>
    <m/>
    <m/>
    <m/>
    <m/>
    <m/>
    <m/>
    <m/>
    <m/>
    <m/>
    <m/>
    <m/>
    <m/>
    <m/>
    <m/>
    <s v="no test"/>
    <s v="no test"/>
    <x v="1"/>
    <n v="0"/>
    <n v="0"/>
    <n v="0"/>
    <n v="0"/>
    <n v="0"/>
    <n v="0"/>
    <n v="0"/>
    <n v="0"/>
    <n v="0"/>
    <n v="0"/>
    <n v="0"/>
    <n v="0"/>
    <n v="0"/>
    <n v="0"/>
    <n v="1"/>
    <n v="492"/>
    <n v="1"/>
    <n v="1"/>
    <n v="0"/>
    <n v="0"/>
    <n v="0"/>
    <n v="0"/>
    <n v="0"/>
    <n v="10"/>
    <n v="10"/>
    <n v="1"/>
    <n v="0"/>
    <n v="0"/>
    <n v="0"/>
    <n v="0"/>
    <n v="0"/>
    <n v="0"/>
    <n v="0"/>
    <n v="1"/>
    <n v="0"/>
    <n v="0"/>
    <n v="0"/>
    <n v="0"/>
    <n v="0"/>
    <n v="0"/>
    <n v="0"/>
    <x v="0"/>
    <n v="0"/>
    <n v="0"/>
    <x v="3"/>
    <x v="8"/>
    <x v="2"/>
    <n v="20.666166305541999"/>
    <n v="93.094825744628906"/>
    <n v="196622"/>
    <x v="1"/>
    <m/>
  </r>
  <r>
    <x v="0"/>
    <x v="28"/>
    <x v="29"/>
    <m/>
    <x v="1"/>
    <x v="19"/>
    <x v="3"/>
    <x v="411"/>
    <n v="107"/>
    <n v="487"/>
    <m/>
    <m/>
    <m/>
    <m/>
    <m/>
    <m/>
    <m/>
    <m/>
    <m/>
    <m/>
    <m/>
    <m/>
    <m/>
    <m/>
    <m/>
    <m/>
    <m/>
    <m/>
    <m/>
    <m/>
    <m/>
    <m/>
    <m/>
    <m/>
    <m/>
    <m/>
    <m/>
    <m/>
    <m/>
    <m/>
    <m/>
    <m/>
    <m/>
    <m/>
    <m/>
    <m/>
    <m/>
    <m/>
    <m/>
    <x v="1"/>
    <x v="1"/>
    <m/>
    <m/>
    <m/>
    <m/>
    <m/>
    <m/>
    <m/>
    <m/>
    <m/>
    <m/>
    <m/>
    <n v="377"/>
    <n v="377"/>
    <m/>
    <m/>
    <m/>
    <m/>
    <s v="no test"/>
    <s v="no test"/>
    <x v="1"/>
    <n v="0"/>
    <n v="0"/>
    <n v="0"/>
    <n v="0"/>
    <n v="0"/>
    <n v="0"/>
    <n v="0"/>
    <n v="0"/>
    <n v="0"/>
    <n v="0"/>
    <n v="0"/>
    <n v="0"/>
    <n v="0"/>
    <n v="0"/>
    <n v="1"/>
    <n v="487"/>
    <n v="1"/>
    <n v="1"/>
    <n v="0"/>
    <n v="0"/>
    <n v="0"/>
    <n v="0"/>
    <n v="0"/>
    <n v="10"/>
    <n v="10"/>
    <n v="1"/>
    <n v="0"/>
    <n v="0"/>
    <n v="487"/>
    <n v="487"/>
    <n v="487"/>
    <n v="487"/>
    <n v="1"/>
    <n v="0"/>
    <n v="0"/>
    <n v="1"/>
    <n v="1"/>
    <n v="0"/>
    <n v="0"/>
    <n v="0"/>
    <n v="0"/>
    <x v="0"/>
    <n v="0"/>
    <n v="0"/>
    <x v="3"/>
    <x v="8"/>
    <x v="2"/>
    <n v="20.599809646606399"/>
    <n v="93.265541076660199"/>
    <n v="197051"/>
    <x v="0"/>
    <m/>
  </r>
  <r>
    <x v="0"/>
    <x v="24"/>
    <x v="25"/>
    <m/>
    <x v="1"/>
    <x v="19"/>
    <x v="3"/>
    <x v="412"/>
    <n v="467"/>
    <n v="1663"/>
    <m/>
    <m/>
    <m/>
    <m/>
    <m/>
    <m/>
    <m/>
    <m/>
    <m/>
    <m/>
    <m/>
    <m/>
    <m/>
    <m/>
    <m/>
    <m/>
    <m/>
    <m/>
    <m/>
    <m/>
    <m/>
    <m/>
    <m/>
    <m/>
    <m/>
    <m/>
    <m/>
    <m/>
    <m/>
    <m/>
    <m/>
    <m/>
    <m/>
    <m/>
    <m/>
    <m/>
    <m/>
    <m/>
    <m/>
    <x v="1"/>
    <x v="1"/>
    <m/>
    <m/>
    <m/>
    <m/>
    <m/>
    <m/>
    <m/>
    <m/>
    <m/>
    <m/>
    <m/>
    <n v="737"/>
    <n v="737"/>
    <m/>
    <m/>
    <m/>
    <m/>
    <s v="no test"/>
    <s v="no test"/>
    <x v="1"/>
    <n v="0"/>
    <n v="0"/>
    <n v="0"/>
    <n v="0"/>
    <n v="0"/>
    <n v="0"/>
    <n v="0"/>
    <n v="0"/>
    <n v="0"/>
    <n v="0"/>
    <n v="0"/>
    <n v="0"/>
    <n v="0"/>
    <n v="0"/>
    <n v="1"/>
    <n v="1663"/>
    <n v="3"/>
    <n v="3"/>
    <n v="0"/>
    <n v="0"/>
    <n v="0"/>
    <n v="0"/>
    <n v="0"/>
    <n v="33"/>
    <n v="33"/>
    <n v="1"/>
    <n v="0"/>
    <n v="0"/>
    <n v="1663"/>
    <n v="1663"/>
    <n v="1663"/>
    <n v="1663"/>
    <n v="1"/>
    <n v="0"/>
    <n v="0"/>
    <n v="1"/>
    <n v="1"/>
    <n v="0"/>
    <n v="0"/>
    <n v="0"/>
    <n v="0"/>
    <x v="0"/>
    <n v="0"/>
    <n v="0"/>
    <x v="3"/>
    <x v="8"/>
    <x v="2"/>
    <n v="20.593980789184599"/>
    <n v="93.261528015136705"/>
    <n v="197065"/>
    <x v="0"/>
    <m/>
  </r>
  <r>
    <x v="0"/>
    <x v="2"/>
    <x v="2"/>
    <m/>
    <x v="1"/>
    <x v="19"/>
    <x v="3"/>
    <x v="413"/>
    <n v="50"/>
    <n v="200"/>
    <m/>
    <m/>
    <m/>
    <m/>
    <m/>
    <m/>
    <m/>
    <m/>
    <m/>
    <m/>
    <m/>
    <m/>
    <m/>
    <m/>
    <m/>
    <m/>
    <m/>
    <m/>
    <m/>
    <m/>
    <m/>
    <m/>
    <m/>
    <m/>
    <m/>
    <m/>
    <m/>
    <m/>
    <m/>
    <m/>
    <m/>
    <m/>
    <m/>
    <m/>
    <m/>
    <m/>
    <m/>
    <m/>
    <m/>
    <x v="1"/>
    <x v="1"/>
    <m/>
    <m/>
    <m/>
    <m/>
    <m/>
    <m/>
    <m/>
    <m/>
    <m/>
    <m/>
    <m/>
    <m/>
    <m/>
    <m/>
    <m/>
    <m/>
    <m/>
    <s v="no test"/>
    <s v="no test"/>
    <x v="1"/>
    <n v="0"/>
    <n v="0"/>
    <n v="0"/>
    <n v="0"/>
    <n v="0"/>
    <n v="0"/>
    <n v="0"/>
    <n v="0"/>
    <n v="0"/>
    <n v="0"/>
    <n v="0"/>
    <n v="0"/>
    <n v="0"/>
    <n v="0"/>
    <n v="1"/>
    <n v="200"/>
    <n v="1"/>
    <n v="1"/>
    <n v="0"/>
    <n v="0"/>
    <n v="0"/>
    <n v="0"/>
    <n v="0"/>
    <n v="4"/>
    <n v="4"/>
    <n v="1"/>
    <n v="0"/>
    <n v="0"/>
    <n v="0"/>
    <n v="0"/>
    <n v="0"/>
    <n v="0"/>
    <n v="0"/>
    <n v="1"/>
    <n v="0"/>
    <n v="0"/>
    <n v="0"/>
    <n v="0"/>
    <n v="0"/>
    <n v="0"/>
    <n v="0"/>
    <x v="0"/>
    <n v="0"/>
    <n v="0"/>
    <x v="3"/>
    <x v="8"/>
    <x v="2"/>
    <n v="0"/>
    <n v="0"/>
    <n v="0"/>
    <x v="1"/>
    <m/>
  </r>
  <r>
    <x v="0"/>
    <x v="2"/>
    <x v="2"/>
    <m/>
    <x v="1"/>
    <x v="19"/>
    <x v="3"/>
    <x v="414"/>
    <n v="207"/>
    <n v="929"/>
    <m/>
    <m/>
    <m/>
    <m/>
    <m/>
    <m/>
    <m/>
    <m/>
    <m/>
    <m/>
    <m/>
    <m/>
    <m/>
    <m/>
    <m/>
    <m/>
    <m/>
    <m/>
    <m/>
    <m/>
    <m/>
    <m/>
    <m/>
    <m/>
    <m/>
    <m/>
    <m/>
    <m/>
    <m/>
    <m/>
    <m/>
    <m/>
    <m/>
    <m/>
    <m/>
    <m/>
    <m/>
    <m/>
    <m/>
    <x v="1"/>
    <x v="1"/>
    <m/>
    <m/>
    <m/>
    <m/>
    <m/>
    <m/>
    <m/>
    <m/>
    <m/>
    <m/>
    <m/>
    <m/>
    <m/>
    <m/>
    <m/>
    <m/>
    <m/>
    <s v="no test"/>
    <s v="no test"/>
    <x v="1"/>
    <n v="0"/>
    <n v="0"/>
    <n v="0"/>
    <n v="0"/>
    <n v="0"/>
    <n v="0"/>
    <n v="0"/>
    <n v="0"/>
    <n v="0"/>
    <n v="0"/>
    <n v="0"/>
    <n v="0"/>
    <n v="0"/>
    <n v="0"/>
    <n v="1"/>
    <n v="929"/>
    <n v="2"/>
    <n v="2"/>
    <n v="0"/>
    <n v="0"/>
    <n v="0"/>
    <n v="0"/>
    <n v="0"/>
    <n v="19"/>
    <n v="19"/>
    <n v="1"/>
    <n v="0"/>
    <n v="0"/>
    <n v="0"/>
    <n v="0"/>
    <n v="0"/>
    <n v="0"/>
    <n v="0"/>
    <n v="1"/>
    <n v="0"/>
    <n v="0"/>
    <n v="0"/>
    <n v="0"/>
    <n v="0"/>
    <n v="0"/>
    <n v="0"/>
    <x v="0"/>
    <n v="0"/>
    <n v="0"/>
    <x v="3"/>
    <x v="8"/>
    <x v="2"/>
    <n v="20.599809646606399"/>
    <n v="93.265541076660199"/>
    <n v="197051"/>
    <x v="1"/>
    <m/>
  </r>
  <r>
    <x v="0"/>
    <x v="11"/>
    <x v="17"/>
    <m/>
    <x v="1"/>
    <x v="19"/>
    <x v="3"/>
    <x v="415"/>
    <n v="467"/>
    <n v="1663"/>
    <m/>
    <m/>
    <m/>
    <m/>
    <m/>
    <m/>
    <m/>
    <m/>
    <m/>
    <m/>
    <m/>
    <m/>
    <m/>
    <m/>
    <m/>
    <m/>
    <m/>
    <m/>
    <m/>
    <m/>
    <m/>
    <m/>
    <m/>
    <m/>
    <m/>
    <m/>
    <m/>
    <m/>
    <m/>
    <m/>
    <m/>
    <m/>
    <m/>
    <m/>
    <m/>
    <m/>
    <m/>
    <m/>
    <m/>
    <x v="1"/>
    <x v="1"/>
    <m/>
    <m/>
    <m/>
    <m/>
    <m/>
    <m/>
    <m/>
    <m/>
    <m/>
    <m/>
    <m/>
    <n v="467"/>
    <n v="467"/>
    <m/>
    <m/>
    <m/>
    <m/>
    <s v="no test"/>
    <s v="no test"/>
    <x v="1"/>
    <n v="0"/>
    <n v="0"/>
    <n v="0"/>
    <n v="0"/>
    <n v="0"/>
    <n v="0"/>
    <n v="0"/>
    <n v="0"/>
    <n v="0"/>
    <n v="0"/>
    <n v="0"/>
    <n v="0"/>
    <n v="0"/>
    <n v="0"/>
    <n v="1"/>
    <n v="1663"/>
    <n v="3"/>
    <n v="3"/>
    <n v="0"/>
    <n v="0"/>
    <n v="0"/>
    <n v="0"/>
    <n v="0"/>
    <n v="33"/>
    <n v="33"/>
    <n v="1"/>
    <n v="0"/>
    <n v="0"/>
    <n v="1663"/>
    <n v="1663"/>
    <n v="1663"/>
    <n v="1663"/>
    <n v="1"/>
    <n v="0"/>
    <n v="0"/>
    <n v="1"/>
    <n v="1"/>
    <n v="0"/>
    <n v="0"/>
    <n v="0"/>
    <n v="0"/>
    <x v="0"/>
    <n v="0"/>
    <n v="0"/>
    <x v="3"/>
    <x v="8"/>
    <x v="2"/>
    <n v="0"/>
    <n v="0"/>
    <n v="0"/>
    <x v="0"/>
    <m/>
  </r>
  <r>
    <x v="0"/>
    <x v="29"/>
    <x v="30"/>
    <m/>
    <x v="1"/>
    <x v="19"/>
    <x v="3"/>
    <x v="416"/>
    <n v="36"/>
    <n v="144"/>
    <m/>
    <m/>
    <m/>
    <m/>
    <m/>
    <m/>
    <m/>
    <m/>
    <m/>
    <m/>
    <m/>
    <m/>
    <m/>
    <m/>
    <m/>
    <m/>
    <m/>
    <m/>
    <m/>
    <m/>
    <m/>
    <m/>
    <m/>
    <m/>
    <m/>
    <m/>
    <m/>
    <m/>
    <m/>
    <m/>
    <m/>
    <m/>
    <m/>
    <m/>
    <m/>
    <m/>
    <m/>
    <m/>
    <m/>
    <x v="1"/>
    <x v="1"/>
    <m/>
    <m/>
    <m/>
    <m/>
    <m/>
    <m/>
    <m/>
    <m/>
    <m/>
    <m/>
    <m/>
    <n v="36"/>
    <n v="36"/>
    <m/>
    <m/>
    <m/>
    <m/>
    <s v="no test"/>
    <s v="no test"/>
    <x v="1"/>
    <n v="0"/>
    <n v="0"/>
    <n v="0"/>
    <n v="0"/>
    <n v="0"/>
    <n v="0"/>
    <n v="0"/>
    <n v="0"/>
    <n v="0"/>
    <n v="0"/>
    <n v="0"/>
    <n v="0"/>
    <n v="0"/>
    <n v="0"/>
    <n v="1"/>
    <n v="144"/>
    <n v="1"/>
    <n v="1"/>
    <n v="0"/>
    <n v="0"/>
    <n v="0"/>
    <n v="0"/>
    <n v="0"/>
    <n v="3"/>
    <n v="3"/>
    <n v="1"/>
    <n v="0"/>
    <n v="0"/>
    <n v="144"/>
    <n v="144"/>
    <n v="144"/>
    <n v="144"/>
    <n v="1"/>
    <n v="0"/>
    <n v="0"/>
    <n v="1"/>
    <n v="1"/>
    <n v="0"/>
    <n v="0"/>
    <n v="0"/>
    <n v="0"/>
    <x v="0"/>
    <n v="0"/>
    <n v="0"/>
    <x v="3"/>
    <x v="8"/>
    <x v="2"/>
    <n v="20.454280853271499"/>
    <n v="93.281562805175795"/>
    <n v="197047"/>
    <x v="0"/>
    <m/>
  </r>
  <r>
    <x v="0"/>
    <x v="30"/>
    <x v="31"/>
    <m/>
    <x v="1"/>
    <x v="23"/>
    <x v="3"/>
    <x v="417"/>
    <n v="116"/>
    <n v="508"/>
    <m/>
    <m/>
    <m/>
    <m/>
    <m/>
    <m/>
    <m/>
    <m/>
    <m/>
    <m/>
    <m/>
    <m/>
    <m/>
    <m/>
    <m/>
    <m/>
    <m/>
    <m/>
    <m/>
    <m/>
    <m/>
    <m/>
    <m/>
    <m/>
    <m/>
    <m/>
    <m/>
    <m/>
    <m/>
    <m/>
    <m/>
    <n v="10"/>
    <m/>
    <m/>
    <m/>
    <m/>
    <m/>
    <m/>
    <m/>
    <x v="1"/>
    <x v="1"/>
    <m/>
    <m/>
    <m/>
    <m/>
    <m/>
    <m/>
    <m/>
    <m/>
    <m/>
    <m/>
    <m/>
    <n v="232"/>
    <n v="232"/>
    <m/>
    <m/>
    <m/>
    <m/>
    <s v="no test"/>
    <s v="no test"/>
    <x v="1"/>
    <n v="0"/>
    <n v="0"/>
    <n v="0"/>
    <n v="0"/>
    <n v="0"/>
    <n v="0"/>
    <n v="0"/>
    <n v="0"/>
    <n v="0"/>
    <n v="0"/>
    <n v="0"/>
    <n v="0"/>
    <n v="0"/>
    <n v="0"/>
    <n v="1"/>
    <n v="508"/>
    <n v="1"/>
    <n v="1"/>
    <n v="10"/>
    <n v="0.98425196850393704"/>
    <n v="500"/>
    <n v="0"/>
    <n v="0"/>
    <n v="10"/>
    <n v="0"/>
    <n v="1.5748031496062964E-2"/>
    <n v="0"/>
    <n v="0"/>
    <n v="508"/>
    <n v="508"/>
    <n v="508"/>
    <n v="508"/>
    <n v="1"/>
    <n v="0"/>
    <n v="0"/>
    <n v="1"/>
    <n v="1"/>
    <n v="0"/>
    <n v="0"/>
    <n v="0"/>
    <n v="0"/>
    <x v="0"/>
    <n v="0"/>
    <n v="0"/>
    <x v="3"/>
    <x v="8"/>
    <x v="11"/>
    <n v="20.61741065979"/>
    <n v="92.932502746582003"/>
    <n v="196310"/>
    <x v="0"/>
    <m/>
  </r>
  <r>
    <x v="0"/>
    <x v="31"/>
    <x v="32"/>
    <m/>
    <x v="1"/>
    <x v="23"/>
    <x v="3"/>
    <x v="418"/>
    <n v="58"/>
    <n v="332"/>
    <m/>
    <m/>
    <m/>
    <m/>
    <m/>
    <m/>
    <m/>
    <m/>
    <m/>
    <m/>
    <m/>
    <m/>
    <m/>
    <m/>
    <m/>
    <m/>
    <m/>
    <m/>
    <m/>
    <m/>
    <m/>
    <m/>
    <m/>
    <m/>
    <m/>
    <m/>
    <m/>
    <m/>
    <m/>
    <m/>
    <m/>
    <n v="47"/>
    <m/>
    <m/>
    <m/>
    <m/>
    <m/>
    <m/>
    <m/>
    <x v="1"/>
    <x v="1"/>
    <m/>
    <m/>
    <m/>
    <m/>
    <m/>
    <m/>
    <m/>
    <m/>
    <m/>
    <m/>
    <m/>
    <n v="58"/>
    <n v="58"/>
    <m/>
    <m/>
    <m/>
    <m/>
    <s v="no test"/>
    <s v="no test"/>
    <x v="1"/>
    <n v="0"/>
    <n v="0"/>
    <n v="0"/>
    <n v="0"/>
    <n v="0"/>
    <n v="0"/>
    <n v="0"/>
    <n v="0"/>
    <n v="0"/>
    <n v="0"/>
    <n v="0"/>
    <n v="0"/>
    <n v="0"/>
    <n v="0"/>
    <n v="1"/>
    <n v="332"/>
    <n v="1"/>
    <n v="1"/>
    <n v="47"/>
    <n v="1"/>
    <n v="332"/>
    <n v="0"/>
    <n v="0"/>
    <n v="7"/>
    <n v="0"/>
    <n v="0"/>
    <n v="0"/>
    <n v="0"/>
    <n v="332"/>
    <n v="332"/>
    <n v="332"/>
    <n v="332"/>
    <n v="1"/>
    <n v="0"/>
    <n v="0"/>
    <n v="1"/>
    <n v="1"/>
    <n v="0"/>
    <n v="0"/>
    <n v="0"/>
    <n v="0"/>
    <x v="0"/>
    <n v="0"/>
    <n v="0"/>
    <x v="3"/>
    <x v="8"/>
    <x v="2"/>
    <n v="20.643140792846701"/>
    <n v="92.851875305175795"/>
    <n v="196217"/>
    <x v="0"/>
    <m/>
  </r>
  <r>
    <x v="0"/>
    <x v="23"/>
    <x v="24"/>
    <m/>
    <x v="1"/>
    <x v="23"/>
    <x v="3"/>
    <x v="419"/>
    <n v="94"/>
    <n v="376"/>
    <m/>
    <m/>
    <m/>
    <m/>
    <m/>
    <m/>
    <m/>
    <m/>
    <m/>
    <m/>
    <m/>
    <m/>
    <m/>
    <m/>
    <m/>
    <m/>
    <m/>
    <m/>
    <m/>
    <m/>
    <m/>
    <m/>
    <m/>
    <m/>
    <m/>
    <m/>
    <m/>
    <m/>
    <m/>
    <m/>
    <m/>
    <n v="14"/>
    <m/>
    <m/>
    <m/>
    <m/>
    <m/>
    <m/>
    <m/>
    <x v="1"/>
    <x v="1"/>
    <m/>
    <m/>
    <m/>
    <m/>
    <m/>
    <m/>
    <m/>
    <m/>
    <m/>
    <m/>
    <m/>
    <m/>
    <m/>
    <m/>
    <m/>
    <m/>
    <m/>
    <s v="no test"/>
    <s v="no test"/>
    <x v="1"/>
    <n v="0"/>
    <n v="0"/>
    <n v="0"/>
    <n v="0"/>
    <n v="0"/>
    <n v="0"/>
    <n v="0"/>
    <n v="0"/>
    <n v="0"/>
    <n v="0"/>
    <n v="0"/>
    <n v="0"/>
    <n v="0"/>
    <n v="0"/>
    <n v="1"/>
    <n v="376"/>
    <n v="1"/>
    <n v="1"/>
    <n v="14"/>
    <n v="1"/>
    <n v="376"/>
    <n v="0"/>
    <n v="0"/>
    <n v="8"/>
    <n v="0"/>
    <n v="0"/>
    <n v="0"/>
    <n v="0"/>
    <n v="0"/>
    <n v="0"/>
    <n v="0"/>
    <n v="0"/>
    <n v="0"/>
    <n v="1"/>
    <n v="0"/>
    <n v="0"/>
    <n v="0"/>
    <n v="0"/>
    <n v="0"/>
    <n v="0"/>
    <n v="0"/>
    <x v="0"/>
    <n v="0"/>
    <n v="0"/>
    <x v="3"/>
    <x v="8"/>
    <x v="2"/>
    <n v="20.623949050903299"/>
    <n v="92.950813293457003"/>
    <n v="196309"/>
    <x v="0"/>
    <m/>
  </r>
  <r>
    <x v="0"/>
    <x v="11"/>
    <x v="11"/>
    <m/>
    <x v="1"/>
    <x v="23"/>
    <x v="3"/>
    <x v="420"/>
    <n v="107"/>
    <n v="609"/>
    <m/>
    <m/>
    <m/>
    <m/>
    <m/>
    <m/>
    <m/>
    <m/>
    <m/>
    <m/>
    <m/>
    <m/>
    <m/>
    <m/>
    <m/>
    <m/>
    <m/>
    <m/>
    <m/>
    <m/>
    <m/>
    <m/>
    <m/>
    <m/>
    <m/>
    <m/>
    <m/>
    <m/>
    <m/>
    <m/>
    <m/>
    <m/>
    <m/>
    <m/>
    <m/>
    <m/>
    <m/>
    <m/>
    <m/>
    <x v="1"/>
    <x v="1"/>
    <m/>
    <m/>
    <m/>
    <m/>
    <m/>
    <m/>
    <m/>
    <m/>
    <m/>
    <m/>
    <m/>
    <n v="107"/>
    <n v="107"/>
    <m/>
    <m/>
    <m/>
    <m/>
    <s v="no test"/>
    <s v="no test"/>
    <x v="1"/>
    <n v="0"/>
    <n v="0"/>
    <n v="0"/>
    <n v="0"/>
    <n v="0"/>
    <n v="0"/>
    <n v="0"/>
    <n v="0"/>
    <n v="0"/>
    <n v="0"/>
    <n v="0"/>
    <n v="0"/>
    <n v="0"/>
    <n v="0"/>
    <n v="1"/>
    <n v="609"/>
    <n v="1"/>
    <n v="1"/>
    <n v="0"/>
    <n v="0"/>
    <n v="0"/>
    <n v="0"/>
    <n v="0"/>
    <n v="12"/>
    <n v="12"/>
    <n v="1"/>
    <n v="0"/>
    <n v="0"/>
    <n v="609"/>
    <n v="609"/>
    <n v="609"/>
    <n v="609"/>
    <n v="1"/>
    <n v="0"/>
    <n v="0"/>
    <n v="1"/>
    <n v="1"/>
    <n v="0"/>
    <n v="0"/>
    <n v="0"/>
    <n v="0"/>
    <x v="0"/>
    <n v="0"/>
    <n v="0"/>
    <x v="3"/>
    <x v="8"/>
    <x v="11"/>
    <n v="0"/>
    <n v="0"/>
    <n v="220611"/>
    <x v="0"/>
    <m/>
  </r>
  <r>
    <x v="0"/>
    <x v="2"/>
    <x v="2"/>
    <m/>
    <x v="1"/>
    <x v="23"/>
    <x v="3"/>
    <x v="421"/>
    <n v="17"/>
    <n v="65"/>
    <m/>
    <m/>
    <m/>
    <m/>
    <m/>
    <m/>
    <m/>
    <m/>
    <m/>
    <m/>
    <m/>
    <m/>
    <m/>
    <m/>
    <m/>
    <m/>
    <m/>
    <m/>
    <m/>
    <m/>
    <m/>
    <m/>
    <m/>
    <m/>
    <m/>
    <m/>
    <m/>
    <m/>
    <m/>
    <m/>
    <m/>
    <m/>
    <m/>
    <m/>
    <m/>
    <m/>
    <m/>
    <m/>
    <m/>
    <x v="1"/>
    <x v="1"/>
    <m/>
    <m/>
    <m/>
    <m/>
    <m/>
    <m/>
    <m/>
    <m/>
    <m/>
    <m/>
    <m/>
    <m/>
    <m/>
    <m/>
    <m/>
    <m/>
    <m/>
    <s v="no test"/>
    <s v="no test"/>
    <x v="1"/>
    <n v="0"/>
    <n v="0"/>
    <n v="0"/>
    <n v="0"/>
    <n v="0"/>
    <n v="0"/>
    <n v="0"/>
    <n v="0"/>
    <n v="0"/>
    <n v="0"/>
    <n v="0"/>
    <n v="0"/>
    <n v="0"/>
    <n v="0"/>
    <n v="1"/>
    <n v="65"/>
    <n v="1"/>
    <n v="1"/>
    <n v="0"/>
    <n v="0"/>
    <n v="0"/>
    <n v="0"/>
    <n v="0"/>
    <n v="1"/>
    <n v="1"/>
    <n v="1"/>
    <n v="0"/>
    <n v="0"/>
    <n v="0"/>
    <n v="0"/>
    <n v="0"/>
    <n v="0"/>
    <n v="0"/>
    <n v="1"/>
    <n v="0"/>
    <n v="0"/>
    <n v="0"/>
    <n v="0"/>
    <n v="0"/>
    <n v="0"/>
    <n v="0"/>
    <x v="0"/>
    <n v="0"/>
    <n v="0"/>
    <x v="3"/>
    <x v="8"/>
    <x v="2"/>
    <n v="0"/>
    <n v="0"/>
    <n v="0"/>
    <x v="1"/>
    <m/>
  </r>
  <r>
    <x v="0"/>
    <x v="2"/>
    <x v="2"/>
    <m/>
    <x v="1"/>
    <x v="23"/>
    <x v="3"/>
    <x v="422"/>
    <n v="21"/>
    <n v="80"/>
    <m/>
    <m/>
    <m/>
    <m/>
    <m/>
    <m/>
    <m/>
    <m/>
    <m/>
    <m/>
    <m/>
    <m/>
    <m/>
    <m/>
    <m/>
    <m/>
    <m/>
    <m/>
    <m/>
    <m/>
    <m/>
    <m/>
    <m/>
    <m/>
    <m/>
    <m/>
    <m/>
    <m/>
    <m/>
    <m/>
    <m/>
    <m/>
    <m/>
    <m/>
    <m/>
    <m/>
    <m/>
    <m/>
    <m/>
    <x v="1"/>
    <x v="1"/>
    <m/>
    <m/>
    <m/>
    <m/>
    <m/>
    <m/>
    <m/>
    <m/>
    <m/>
    <m/>
    <m/>
    <m/>
    <m/>
    <m/>
    <m/>
    <m/>
    <m/>
    <s v="no test"/>
    <s v="no test"/>
    <x v="1"/>
    <n v="0"/>
    <n v="0"/>
    <n v="0"/>
    <n v="0"/>
    <n v="0"/>
    <n v="0"/>
    <n v="0"/>
    <n v="0"/>
    <n v="0"/>
    <n v="0"/>
    <n v="0"/>
    <n v="0"/>
    <n v="0"/>
    <n v="0"/>
    <n v="1"/>
    <n v="80"/>
    <n v="1"/>
    <n v="1"/>
    <n v="0"/>
    <n v="0"/>
    <n v="0"/>
    <n v="0"/>
    <n v="0"/>
    <n v="2"/>
    <n v="2"/>
    <n v="1"/>
    <n v="0"/>
    <n v="0"/>
    <n v="0"/>
    <n v="0"/>
    <n v="0"/>
    <n v="0"/>
    <n v="0"/>
    <n v="1"/>
    <n v="0"/>
    <n v="0"/>
    <n v="0"/>
    <n v="0"/>
    <n v="0"/>
    <n v="0"/>
    <n v="0"/>
    <x v="0"/>
    <n v="0"/>
    <n v="0"/>
    <x v="3"/>
    <x v="8"/>
    <x v="2"/>
    <n v="20.5511798858643"/>
    <n v="93.065322875976605"/>
    <n v="196329"/>
    <x v="1"/>
    <m/>
  </r>
  <r>
    <x v="0"/>
    <x v="2"/>
    <x v="2"/>
    <m/>
    <x v="1"/>
    <x v="23"/>
    <x v="3"/>
    <x v="423"/>
    <n v="36"/>
    <n v="207"/>
    <m/>
    <m/>
    <m/>
    <m/>
    <m/>
    <m/>
    <m/>
    <m/>
    <m/>
    <m/>
    <m/>
    <m/>
    <m/>
    <m/>
    <m/>
    <m/>
    <m/>
    <m/>
    <m/>
    <m/>
    <m/>
    <m/>
    <m/>
    <m/>
    <m/>
    <m/>
    <m/>
    <m/>
    <m/>
    <m/>
    <m/>
    <m/>
    <m/>
    <m/>
    <m/>
    <m/>
    <m/>
    <m/>
    <m/>
    <x v="1"/>
    <x v="1"/>
    <m/>
    <m/>
    <m/>
    <m/>
    <m/>
    <m/>
    <m/>
    <m/>
    <m/>
    <m/>
    <m/>
    <m/>
    <m/>
    <m/>
    <m/>
    <m/>
    <m/>
    <s v="no test"/>
    <s v="no test"/>
    <x v="1"/>
    <n v="0"/>
    <n v="0"/>
    <n v="0"/>
    <n v="0"/>
    <n v="0"/>
    <n v="0"/>
    <n v="0"/>
    <n v="0"/>
    <n v="0"/>
    <n v="0"/>
    <n v="0"/>
    <n v="0"/>
    <n v="0"/>
    <n v="0"/>
    <n v="1"/>
    <n v="207"/>
    <n v="1"/>
    <n v="1"/>
    <n v="0"/>
    <n v="0"/>
    <n v="0"/>
    <n v="0"/>
    <n v="0"/>
    <n v="4"/>
    <n v="4"/>
    <n v="1"/>
    <n v="0"/>
    <n v="0"/>
    <n v="0"/>
    <n v="0"/>
    <n v="0"/>
    <n v="0"/>
    <n v="0"/>
    <n v="1"/>
    <n v="0"/>
    <n v="0"/>
    <n v="0"/>
    <n v="0"/>
    <n v="0"/>
    <n v="0"/>
    <n v="0"/>
    <x v="0"/>
    <n v="0"/>
    <n v="0"/>
    <x v="3"/>
    <x v="8"/>
    <x v="2"/>
    <n v="20.709392547607401"/>
    <n v="92.815086364746094"/>
    <n v="196218"/>
    <x v="1"/>
    <m/>
  </r>
  <r>
    <x v="0"/>
    <x v="2"/>
    <x v="2"/>
    <m/>
    <x v="1"/>
    <x v="23"/>
    <x v="3"/>
    <x v="424"/>
    <n v="6"/>
    <n v="30"/>
    <m/>
    <m/>
    <m/>
    <m/>
    <m/>
    <m/>
    <m/>
    <m/>
    <m/>
    <m/>
    <m/>
    <m/>
    <m/>
    <m/>
    <m/>
    <m/>
    <m/>
    <m/>
    <m/>
    <m/>
    <m/>
    <m/>
    <m/>
    <m/>
    <m/>
    <m/>
    <m/>
    <m/>
    <m/>
    <m/>
    <m/>
    <m/>
    <m/>
    <m/>
    <m/>
    <m/>
    <m/>
    <m/>
    <m/>
    <x v="1"/>
    <x v="1"/>
    <m/>
    <m/>
    <m/>
    <m/>
    <m/>
    <m/>
    <m/>
    <m/>
    <m/>
    <m/>
    <m/>
    <m/>
    <m/>
    <m/>
    <m/>
    <m/>
    <m/>
    <s v="no test"/>
    <s v="no test"/>
    <x v="1"/>
    <n v="0"/>
    <n v="0"/>
    <n v="0"/>
    <n v="0"/>
    <n v="0"/>
    <n v="0"/>
    <n v="0"/>
    <n v="0"/>
    <n v="0"/>
    <n v="0"/>
    <n v="0"/>
    <n v="0"/>
    <n v="0"/>
    <n v="0"/>
    <n v="1"/>
    <n v="30"/>
    <n v="1"/>
    <n v="1"/>
    <n v="0"/>
    <n v="0"/>
    <n v="0"/>
    <n v="0"/>
    <n v="0"/>
    <n v="1"/>
    <n v="1"/>
    <n v="1"/>
    <n v="0"/>
    <n v="0"/>
    <n v="0"/>
    <n v="0"/>
    <n v="0"/>
    <n v="0"/>
    <n v="0"/>
    <n v="1"/>
    <n v="0"/>
    <n v="0"/>
    <n v="0"/>
    <n v="0"/>
    <n v="0"/>
    <n v="0"/>
    <n v="0"/>
    <x v="0"/>
    <n v="0"/>
    <n v="0"/>
    <x v="3"/>
    <x v="8"/>
    <x v="2"/>
    <n v="20.303350448608398"/>
    <n v="92.927062988281307"/>
    <n v="196403"/>
    <x v="1"/>
    <m/>
  </r>
  <r>
    <x v="0"/>
    <x v="27"/>
    <x v="28"/>
    <m/>
    <x v="1"/>
    <x v="23"/>
    <x v="3"/>
    <x v="425"/>
    <n v="70"/>
    <n v="245"/>
    <m/>
    <m/>
    <m/>
    <m/>
    <m/>
    <m/>
    <m/>
    <m/>
    <m/>
    <m/>
    <m/>
    <m/>
    <m/>
    <m/>
    <m/>
    <m/>
    <m/>
    <m/>
    <m/>
    <m/>
    <m/>
    <m/>
    <m/>
    <m/>
    <m/>
    <m/>
    <m/>
    <m/>
    <m/>
    <m/>
    <m/>
    <m/>
    <m/>
    <m/>
    <m/>
    <m/>
    <m/>
    <m/>
    <m/>
    <x v="1"/>
    <x v="1"/>
    <m/>
    <m/>
    <m/>
    <m/>
    <m/>
    <m/>
    <m/>
    <m/>
    <m/>
    <m/>
    <m/>
    <n v="70"/>
    <n v="70"/>
    <m/>
    <m/>
    <m/>
    <m/>
    <s v="no test"/>
    <s v="no test"/>
    <x v="1"/>
    <n v="0"/>
    <n v="0"/>
    <n v="0"/>
    <n v="0"/>
    <n v="0"/>
    <n v="0"/>
    <n v="0"/>
    <n v="0"/>
    <n v="0"/>
    <n v="0"/>
    <n v="0"/>
    <n v="0"/>
    <n v="0"/>
    <n v="0"/>
    <n v="1"/>
    <n v="245"/>
    <n v="1"/>
    <n v="1"/>
    <n v="0"/>
    <n v="0"/>
    <n v="0"/>
    <n v="0"/>
    <n v="0"/>
    <n v="5"/>
    <n v="5"/>
    <n v="1"/>
    <n v="0"/>
    <n v="0"/>
    <n v="245"/>
    <n v="245"/>
    <n v="245"/>
    <n v="245"/>
    <n v="1"/>
    <n v="0"/>
    <n v="0"/>
    <n v="1"/>
    <n v="1"/>
    <n v="0"/>
    <n v="0"/>
    <n v="0"/>
    <n v="0"/>
    <x v="0"/>
    <n v="0"/>
    <n v="0"/>
    <x v="3"/>
    <x v="8"/>
    <x v="2"/>
    <n v="20.5702304840088"/>
    <n v="92.977378845214801"/>
    <n v="196302"/>
    <x v="0"/>
    <m/>
  </r>
  <r>
    <x v="0"/>
    <x v="2"/>
    <x v="2"/>
    <m/>
    <x v="1"/>
    <x v="23"/>
    <x v="3"/>
    <x v="426"/>
    <n v="28"/>
    <n v="143"/>
    <m/>
    <m/>
    <m/>
    <m/>
    <m/>
    <m/>
    <m/>
    <m/>
    <m/>
    <m/>
    <m/>
    <m/>
    <m/>
    <m/>
    <m/>
    <m/>
    <m/>
    <m/>
    <m/>
    <m/>
    <m/>
    <m/>
    <m/>
    <m/>
    <m/>
    <m/>
    <m/>
    <m/>
    <m/>
    <m/>
    <m/>
    <m/>
    <m/>
    <m/>
    <m/>
    <m/>
    <m/>
    <m/>
    <m/>
    <x v="1"/>
    <x v="1"/>
    <m/>
    <m/>
    <m/>
    <m/>
    <m/>
    <m/>
    <m/>
    <m/>
    <m/>
    <m/>
    <m/>
    <m/>
    <m/>
    <m/>
    <m/>
    <m/>
    <m/>
    <s v="no test"/>
    <s v="no test"/>
    <x v="1"/>
    <n v="0"/>
    <n v="0"/>
    <n v="0"/>
    <n v="0"/>
    <n v="0"/>
    <n v="0"/>
    <n v="0"/>
    <n v="0"/>
    <n v="0"/>
    <n v="0"/>
    <n v="0"/>
    <n v="0"/>
    <n v="0"/>
    <n v="0"/>
    <n v="1"/>
    <n v="143"/>
    <n v="1"/>
    <n v="1"/>
    <n v="0"/>
    <n v="0"/>
    <n v="0"/>
    <n v="0"/>
    <n v="0"/>
    <n v="3"/>
    <n v="3"/>
    <n v="1"/>
    <n v="0"/>
    <n v="0"/>
    <n v="0"/>
    <n v="0"/>
    <n v="0"/>
    <n v="0"/>
    <n v="0"/>
    <n v="1"/>
    <n v="0"/>
    <n v="0"/>
    <n v="0"/>
    <n v="0"/>
    <n v="0"/>
    <n v="0"/>
    <n v="0"/>
    <x v="0"/>
    <n v="0"/>
    <n v="0"/>
    <x v="3"/>
    <x v="8"/>
    <x v="2"/>
    <n v="20.616569519043001"/>
    <n v="92.991638183593807"/>
    <n v="196317"/>
    <x v="1"/>
    <m/>
  </r>
  <r>
    <x v="0"/>
    <x v="2"/>
    <x v="2"/>
    <m/>
    <x v="1"/>
    <x v="23"/>
    <x v="3"/>
    <x v="427"/>
    <n v="34"/>
    <n v="124"/>
    <m/>
    <m/>
    <m/>
    <m/>
    <m/>
    <m/>
    <m/>
    <m/>
    <m/>
    <m/>
    <m/>
    <m/>
    <m/>
    <m/>
    <m/>
    <m/>
    <m/>
    <m/>
    <m/>
    <m/>
    <m/>
    <m/>
    <m/>
    <m/>
    <m/>
    <m/>
    <m/>
    <m/>
    <m/>
    <m/>
    <m/>
    <m/>
    <m/>
    <m/>
    <m/>
    <m/>
    <m/>
    <m/>
    <m/>
    <x v="1"/>
    <x v="1"/>
    <m/>
    <m/>
    <m/>
    <m/>
    <m/>
    <m/>
    <m/>
    <m/>
    <m/>
    <m/>
    <m/>
    <m/>
    <m/>
    <m/>
    <m/>
    <m/>
    <m/>
    <s v="no test"/>
    <s v="no test"/>
    <x v="1"/>
    <n v="0"/>
    <n v="0"/>
    <n v="0"/>
    <n v="0"/>
    <n v="0"/>
    <n v="0"/>
    <n v="0"/>
    <n v="0"/>
    <n v="0"/>
    <n v="0"/>
    <n v="0"/>
    <n v="0"/>
    <n v="0"/>
    <n v="0"/>
    <n v="1"/>
    <n v="124"/>
    <n v="1"/>
    <n v="1"/>
    <n v="0"/>
    <n v="0"/>
    <n v="0"/>
    <n v="0"/>
    <n v="0"/>
    <n v="2"/>
    <n v="2"/>
    <n v="1"/>
    <n v="0"/>
    <n v="0"/>
    <n v="0"/>
    <n v="0"/>
    <n v="0"/>
    <n v="0"/>
    <n v="0"/>
    <n v="1"/>
    <n v="0"/>
    <n v="0"/>
    <n v="0"/>
    <n v="0"/>
    <n v="0"/>
    <n v="0"/>
    <n v="0"/>
    <x v="0"/>
    <n v="0"/>
    <n v="0"/>
    <x v="3"/>
    <x v="8"/>
    <x v="2"/>
    <n v="20.622760772705099"/>
    <n v="92.954826354980497"/>
    <n v="196315"/>
    <x v="1"/>
    <m/>
  </r>
  <r>
    <x v="0"/>
    <x v="31"/>
    <x v="32"/>
    <m/>
    <x v="1"/>
    <x v="23"/>
    <x v="3"/>
    <x v="428"/>
    <n v="25"/>
    <n v="117"/>
    <m/>
    <m/>
    <m/>
    <m/>
    <m/>
    <m/>
    <m/>
    <m/>
    <m/>
    <m/>
    <m/>
    <m/>
    <m/>
    <m/>
    <m/>
    <m/>
    <m/>
    <m/>
    <m/>
    <m/>
    <m/>
    <m/>
    <m/>
    <m/>
    <m/>
    <m/>
    <m/>
    <m/>
    <m/>
    <m/>
    <m/>
    <n v="6"/>
    <m/>
    <m/>
    <m/>
    <m/>
    <m/>
    <m/>
    <m/>
    <x v="1"/>
    <x v="1"/>
    <m/>
    <m/>
    <m/>
    <m/>
    <m/>
    <m/>
    <m/>
    <m/>
    <m/>
    <m/>
    <m/>
    <n v="39"/>
    <n v="39"/>
    <m/>
    <m/>
    <m/>
    <m/>
    <s v="no test"/>
    <s v="no test"/>
    <x v="1"/>
    <n v="0"/>
    <n v="0"/>
    <n v="0"/>
    <n v="0"/>
    <n v="0"/>
    <n v="0"/>
    <n v="0"/>
    <n v="0"/>
    <n v="0"/>
    <n v="0"/>
    <n v="0"/>
    <n v="0"/>
    <n v="0"/>
    <n v="0"/>
    <n v="1"/>
    <n v="117"/>
    <n v="1"/>
    <n v="1"/>
    <n v="6"/>
    <n v="1"/>
    <n v="117"/>
    <n v="0"/>
    <n v="0"/>
    <n v="2"/>
    <n v="0"/>
    <n v="0"/>
    <n v="0"/>
    <n v="0"/>
    <n v="117"/>
    <n v="117"/>
    <n v="117"/>
    <n v="117"/>
    <n v="1"/>
    <n v="0"/>
    <n v="0"/>
    <n v="1"/>
    <n v="1"/>
    <n v="0"/>
    <n v="0"/>
    <n v="0"/>
    <n v="0"/>
    <x v="0"/>
    <n v="0"/>
    <n v="0"/>
    <x v="3"/>
    <x v="8"/>
    <x v="2"/>
    <n v="20.580810546875"/>
    <n v="92.869346618652301"/>
    <n v="196234"/>
    <x v="0"/>
    <m/>
  </r>
  <r>
    <x v="0"/>
    <x v="2"/>
    <x v="2"/>
    <m/>
    <x v="1"/>
    <x v="23"/>
    <x v="3"/>
    <x v="429"/>
    <n v="10"/>
    <n v="45"/>
    <m/>
    <m/>
    <m/>
    <m/>
    <m/>
    <m/>
    <m/>
    <m/>
    <m/>
    <m/>
    <m/>
    <m/>
    <m/>
    <m/>
    <m/>
    <m/>
    <m/>
    <m/>
    <m/>
    <m/>
    <m/>
    <m/>
    <m/>
    <m/>
    <m/>
    <m/>
    <m/>
    <m/>
    <m/>
    <m/>
    <m/>
    <m/>
    <m/>
    <m/>
    <m/>
    <m/>
    <m/>
    <m/>
    <m/>
    <x v="1"/>
    <x v="1"/>
    <m/>
    <m/>
    <m/>
    <m/>
    <m/>
    <m/>
    <m/>
    <m/>
    <m/>
    <m/>
    <m/>
    <m/>
    <m/>
    <m/>
    <m/>
    <m/>
    <m/>
    <s v="no test"/>
    <s v="no test"/>
    <x v="1"/>
    <n v="0"/>
    <n v="0"/>
    <n v="0"/>
    <n v="0"/>
    <n v="0"/>
    <n v="0"/>
    <n v="0"/>
    <n v="0"/>
    <n v="0"/>
    <n v="0"/>
    <n v="0"/>
    <n v="0"/>
    <n v="0"/>
    <n v="0"/>
    <n v="1"/>
    <n v="45"/>
    <n v="1"/>
    <n v="1"/>
    <n v="0"/>
    <n v="0"/>
    <n v="0"/>
    <n v="0"/>
    <n v="0"/>
    <n v="1"/>
    <n v="1"/>
    <n v="1"/>
    <n v="0"/>
    <n v="0"/>
    <n v="0"/>
    <n v="0"/>
    <n v="0"/>
    <n v="0"/>
    <n v="0"/>
    <n v="1"/>
    <n v="0"/>
    <n v="0"/>
    <n v="0"/>
    <n v="0"/>
    <n v="0"/>
    <n v="0"/>
    <n v="0"/>
    <x v="0"/>
    <n v="0"/>
    <n v="0"/>
    <x v="3"/>
    <x v="8"/>
    <x v="2"/>
    <n v="20.337610244751001"/>
    <n v="92.969711303710895"/>
    <n v="196369"/>
    <x v="1"/>
    <m/>
  </r>
  <r>
    <x v="0"/>
    <x v="2"/>
    <x v="2"/>
    <m/>
    <x v="1"/>
    <x v="23"/>
    <x v="3"/>
    <x v="430"/>
    <n v="10"/>
    <n v="45"/>
    <m/>
    <m/>
    <m/>
    <m/>
    <m/>
    <m/>
    <m/>
    <m/>
    <m/>
    <m/>
    <m/>
    <m/>
    <m/>
    <m/>
    <m/>
    <m/>
    <m/>
    <m/>
    <m/>
    <m/>
    <m/>
    <m/>
    <m/>
    <m/>
    <m/>
    <m/>
    <m/>
    <m/>
    <m/>
    <m/>
    <m/>
    <m/>
    <m/>
    <m/>
    <m/>
    <m/>
    <m/>
    <m/>
    <m/>
    <x v="1"/>
    <x v="1"/>
    <m/>
    <m/>
    <m/>
    <m/>
    <m/>
    <m/>
    <m/>
    <m/>
    <m/>
    <m/>
    <m/>
    <m/>
    <m/>
    <m/>
    <m/>
    <m/>
    <m/>
    <s v="no test"/>
    <s v="no test"/>
    <x v="1"/>
    <n v="0"/>
    <n v="0"/>
    <n v="0"/>
    <n v="0"/>
    <n v="0"/>
    <n v="0"/>
    <n v="0"/>
    <n v="0"/>
    <n v="0"/>
    <n v="0"/>
    <n v="0"/>
    <n v="0"/>
    <n v="0"/>
    <n v="0"/>
    <n v="1"/>
    <n v="45"/>
    <n v="1"/>
    <n v="1"/>
    <n v="0"/>
    <n v="0"/>
    <n v="0"/>
    <n v="0"/>
    <n v="0"/>
    <n v="1"/>
    <n v="1"/>
    <n v="1"/>
    <n v="0"/>
    <n v="0"/>
    <n v="0"/>
    <n v="0"/>
    <n v="0"/>
    <n v="0"/>
    <n v="0"/>
    <n v="1"/>
    <n v="0"/>
    <n v="0"/>
    <n v="0"/>
    <n v="0"/>
    <n v="0"/>
    <n v="0"/>
    <n v="0"/>
    <x v="0"/>
    <n v="0"/>
    <n v="0"/>
    <x v="3"/>
    <x v="8"/>
    <x v="2"/>
    <n v="20.337610244751001"/>
    <n v="92.969711303710895"/>
    <n v="196369"/>
    <x v="1"/>
    <m/>
  </r>
  <r>
    <x v="0"/>
    <x v="2"/>
    <x v="2"/>
    <m/>
    <x v="1"/>
    <x v="16"/>
    <x v="3"/>
    <x v="431"/>
    <n v="15"/>
    <n v="32"/>
    <m/>
    <m/>
    <m/>
    <m/>
    <m/>
    <m/>
    <m/>
    <m/>
    <m/>
    <m/>
    <m/>
    <m/>
    <m/>
    <m/>
    <m/>
    <m/>
    <m/>
    <m/>
    <m/>
    <m/>
    <m/>
    <m/>
    <m/>
    <m/>
    <m/>
    <m/>
    <m/>
    <m/>
    <m/>
    <m/>
    <m/>
    <m/>
    <m/>
    <m/>
    <m/>
    <m/>
    <m/>
    <m/>
    <m/>
    <x v="1"/>
    <x v="1"/>
    <m/>
    <m/>
    <m/>
    <m/>
    <m/>
    <m/>
    <m/>
    <m/>
    <m/>
    <m/>
    <m/>
    <m/>
    <m/>
    <m/>
    <m/>
    <m/>
    <m/>
    <s v="no test"/>
    <s v="no test"/>
    <x v="1"/>
    <n v="0"/>
    <n v="0"/>
    <n v="0"/>
    <n v="0"/>
    <n v="0"/>
    <n v="0"/>
    <n v="0"/>
    <n v="0"/>
    <n v="0"/>
    <n v="0"/>
    <n v="0"/>
    <n v="0"/>
    <n v="0"/>
    <n v="0"/>
    <n v="1"/>
    <n v="32"/>
    <n v="1"/>
    <n v="1"/>
    <n v="0"/>
    <n v="0"/>
    <n v="0"/>
    <n v="0"/>
    <n v="0"/>
    <n v="1"/>
    <n v="1"/>
    <n v="1"/>
    <n v="0"/>
    <n v="0"/>
    <n v="0"/>
    <n v="0"/>
    <n v="0"/>
    <n v="0"/>
    <n v="0"/>
    <n v="1"/>
    <n v="0"/>
    <n v="0"/>
    <n v="0"/>
    <n v="0"/>
    <n v="0"/>
    <n v="0"/>
    <n v="0"/>
    <x v="0"/>
    <n v="0"/>
    <n v="0"/>
    <x v="3"/>
    <x v="8"/>
    <x v="2"/>
    <n v="0"/>
    <n v="0"/>
    <n v="0"/>
    <x v="1"/>
    <m/>
  </r>
  <r>
    <x v="0"/>
    <x v="2"/>
    <x v="2"/>
    <m/>
    <x v="1"/>
    <x v="16"/>
    <x v="3"/>
    <x v="432"/>
    <n v="22"/>
    <n v="42"/>
    <m/>
    <m/>
    <m/>
    <m/>
    <m/>
    <m/>
    <m/>
    <m/>
    <m/>
    <m/>
    <m/>
    <m/>
    <m/>
    <m/>
    <m/>
    <m/>
    <m/>
    <m/>
    <m/>
    <m/>
    <m/>
    <m/>
    <m/>
    <m/>
    <m/>
    <m/>
    <m/>
    <m/>
    <m/>
    <m/>
    <m/>
    <m/>
    <m/>
    <m/>
    <m/>
    <m/>
    <m/>
    <m/>
    <m/>
    <x v="1"/>
    <x v="1"/>
    <m/>
    <m/>
    <m/>
    <m/>
    <m/>
    <m/>
    <m/>
    <m/>
    <m/>
    <m/>
    <m/>
    <m/>
    <m/>
    <m/>
    <m/>
    <m/>
    <m/>
    <s v="no test"/>
    <s v="no test"/>
    <x v="1"/>
    <n v="0"/>
    <n v="0"/>
    <n v="0"/>
    <n v="0"/>
    <n v="0"/>
    <n v="0"/>
    <n v="0"/>
    <n v="0"/>
    <n v="0"/>
    <n v="0"/>
    <n v="0"/>
    <n v="0"/>
    <n v="0"/>
    <n v="0"/>
    <n v="1"/>
    <n v="42"/>
    <n v="1"/>
    <n v="1"/>
    <n v="0"/>
    <n v="0"/>
    <n v="0"/>
    <n v="0"/>
    <n v="0"/>
    <n v="1"/>
    <n v="1"/>
    <n v="1"/>
    <n v="0"/>
    <n v="0"/>
    <n v="0"/>
    <n v="0"/>
    <n v="0"/>
    <n v="0"/>
    <n v="0"/>
    <n v="1"/>
    <n v="0"/>
    <n v="0"/>
    <n v="0"/>
    <n v="0"/>
    <n v="0"/>
    <n v="0"/>
    <n v="0"/>
    <x v="0"/>
    <n v="0"/>
    <n v="0"/>
    <x v="3"/>
    <x v="8"/>
    <x v="2"/>
    <n v="20.746028900146499"/>
    <n v="92.839714050292997"/>
    <n v="220632"/>
    <x v="1"/>
    <m/>
  </r>
  <r>
    <x v="0"/>
    <x v="30"/>
    <x v="31"/>
    <m/>
    <x v="1"/>
    <x v="16"/>
    <x v="3"/>
    <x v="433"/>
    <n v="22"/>
    <n v="82"/>
    <m/>
    <m/>
    <m/>
    <m/>
    <m/>
    <m/>
    <m/>
    <m/>
    <m/>
    <m/>
    <m/>
    <m/>
    <m/>
    <m/>
    <m/>
    <m/>
    <m/>
    <m/>
    <m/>
    <m/>
    <m/>
    <m/>
    <m/>
    <m/>
    <m/>
    <m/>
    <m/>
    <m/>
    <m/>
    <m/>
    <m/>
    <m/>
    <m/>
    <m/>
    <m/>
    <m/>
    <m/>
    <m/>
    <m/>
    <x v="1"/>
    <x v="1"/>
    <m/>
    <m/>
    <m/>
    <m/>
    <m/>
    <m/>
    <m/>
    <m/>
    <m/>
    <m/>
    <m/>
    <n v="22"/>
    <n v="22"/>
    <m/>
    <m/>
    <m/>
    <m/>
    <s v="no test"/>
    <s v="no test"/>
    <x v="1"/>
    <n v="0"/>
    <n v="0"/>
    <n v="0"/>
    <n v="0"/>
    <n v="0"/>
    <n v="0"/>
    <n v="0"/>
    <n v="0"/>
    <n v="0"/>
    <n v="0"/>
    <n v="0"/>
    <n v="0"/>
    <n v="0"/>
    <n v="0"/>
    <n v="1"/>
    <n v="82"/>
    <n v="1"/>
    <n v="1"/>
    <n v="0"/>
    <n v="0"/>
    <n v="0"/>
    <n v="0"/>
    <n v="0"/>
    <n v="2"/>
    <n v="2"/>
    <n v="1"/>
    <n v="0"/>
    <n v="0"/>
    <n v="82"/>
    <n v="82"/>
    <n v="82"/>
    <n v="82"/>
    <n v="1"/>
    <n v="0"/>
    <n v="0"/>
    <n v="1"/>
    <n v="1"/>
    <n v="0"/>
    <n v="0"/>
    <n v="0"/>
    <n v="0"/>
    <x v="0"/>
    <n v="0"/>
    <n v="0"/>
    <x v="3"/>
    <x v="8"/>
    <x v="2"/>
    <n v="0"/>
    <n v="0"/>
    <n v="196673"/>
    <x v="0"/>
    <m/>
  </r>
  <r>
    <x v="0"/>
    <x v="11"/>
    <x v="11"/>
    <m/>
    <x v="1"/>
    <x v="16"/>
    <x v="3"/>
    <x v="434"/>
    <n v="232"/>
    <n v="1228"/>
    <m/>
    <m/>
    <m/>
    <m/>
    <m/>
    <m/>
    <m/>
    <m/>
    <m/>
    <m/>
    <m/>
    <m/>
    <m/>
    <m/>
    <m/>
    <m/>
    <m/>
    <m/>
    <m/>
    <m/>
    <m/>
    <m/>
    <m/>
    <m/>
    <m/>
    <m/>
    <m/>
    <m/>
    <m/>
    <m/>
    <m/>
    <m/>
    <m/>
    <m/>
    <m/>
    <m/>
    <m/>
    <m/>
    <m/>
    <x v="1"/>
    <x v="1"/>
    <m/>
    <m/>
    <m/>
    <m/>
    <m/>
    <m/>
    <m/>
    <m/>
    <m/>
    <m/>
    <m/>
    <n v="232"/>
    <n v="232"/>
    <m/>
    <m/>
    <m/>
    <m/>
    <s v="no test"/>
    <s v="no test"/>
    <x v="1"/>
    <n v="0"/>
    <n v="0"/>
    <n v="0"/>
    <n v="0"/>
    <n v="0"/>
    <n v="0"/>
    <n v="0"/>
    <n v="0"/>
    <n v="0"/>
    <n v="0"/>
    <n v="0"/>
    <n v="0"/>
    <n v="0"/>
    <n v="0"/>
    <n v="1"/>
    <n v="1228"/>
    <n v="2"/>
    <n v="2"/>
    <n v="0"/>
    <n v="0"/>
    <n v="0"/>
    <n v="0"/>
    <n v="0"/>
    <n v="25"/>
    <n v="25"/>
    <n v="1"/>
    <n v="0"/>
    <n v="0"/>
    <n v="1228"/>
    <n v="1228"/>
    <n v="1228"/>
    <n v="1228"/>
    <n v="1"/>
    <n v="0"/>
    <n v="0"/>
    <n v="1"/>
    <n v="1"/>
    <n v="0"/>
    <n v="0"/>
    <n v="0"/>
    <n v="0"/>
    <x v="0"/>
    <n v="0"/>
    <n v="0"/>
    <x v="3"/>
    <x v="8"/>
    <x v="2"/>
    <n v="20.675489425659201"/>
    <n v="92.916961669921903"/>
    <n v="196923"/>
    <x v="0"/>
    <m/>
  </r>
  <r>
    <x v="0"/>
    <x v="24"/>
    <x v="25"/>
    <m/>
    <x v="1"/>
    <x v="16"/>
    <x v="3"/>
    <x v="435"/>
    <n v="167"/>
    <n v="586"/>
    <m/>
    <m/>
    <m/>
    <m/>
    <m/>
    <m/>
    <m/>
    <m/>
    <m/>
    <m/>
    <m/>
    <m/>
    <m/>
    <m/>
    <m/>
    <m/>
    <m/>
    <m/>
    <m/>
    <m/>
    <m/>
    <m/>
    <m/>
    <m/>
    <m/>
    <m/>
    <m/>
    <m/>
    <m/>
    <m/>
    <m/>
    <n v="31"/>
    <m/>
    <m/>
    <m/>
    <m/>
    <m/>
    <m/>
    <m/>
    <x v="1"/>
    <x v="1"/>
    <m/>
    <m/>
    <m/>
    <m/>
    <m/>
    <m/>
    <m/>
    <m/>
    <m/>
    <m/>
    <m/>
    <m/>
    <m/>
    <m/>
    <m/>
    <m/>
    <m/>
    <s v="no test"/>
    <s v="no test"/>
    <x v="1"/>
    <n v="0"/>
    <n v="0"/>
    <n v="0"/>
    <n v="0"/>
    <n v="0"/>
    <n v="0"/>
    <n v="0"/>
    <n v="0"/>
    <n v="0"/>
    <n v="0"/>
    <n v="0"/>
    <n v="0"/>
    <n v="0"/>
    <n v="0"/>
    <n v="1"/>
    <n v="586"/>
    <n v="1"/>
    <n v="1"/>
    <n v="31"/>
    <n v="1"/>
    <n v="586"/>
    <n v="0"/>
    <n v="0"/>
    <n v="12"/>
    <n v="0"/>
    <n v="0"/>
    <n v="0"/>
    <n v="0"/>
    <n v="0"/>
    <n v="0"/>
    <n v="0"/>
    <n v="0"/>
    <n v="0"/>
    <n v="1"/>
    <n v="0"/>
    <n v="0"/>
    <n v="0"/>
    <n v="0"/>
    <n v="0"/>
    <n v="0"/>
    <n v="0"/>
    <x v="0"/>
    <n v="0"/>
    <n v="0"/>
    <x v="3"/>
    <x v="8"/>
    <x v="2"/>
    <n v="20.680830001831101"/>
    <n v="92.917633056640597"/>
    <n v="196906"/>
    <x v="0"/>
    <m/>
  </r>
  <r>
    <x v="0"/>
    <x v="24"/>
    <x v="25"/>
    <m/>
    <x v="1"/>
    <x v="16"/>
    <x v="3"/>
    <x v="436"/>
    <n v="138"/>
    <n v="637"/>
    <m/>
    <m/>
    <m/>
    <m/>
    <m/>
    <m/>
    <m/>
    <m/>
    <m/>
    <m/>
    <m/>
    <m/>
    <m/>
    <m/>
    <m/>
    <m/>
    <m/>
    <m/>
    <m/>
    <m/>
    <m/>
    <m/>
    <m/>
    <m/>
    <m/>
    <m/>
    <m/>
    <m/>
    <m/>
    <m/>
    <m/>
    <n v="32"/>
    <m/>
    <m/>
    <m/>
    <m/>
    <m/>
    <m/>
    <m/>
    <x v="1"/>
    <x v="1"/>
    <m/>
    <m/>
    <m/>
    <m/>
    <m/>
    <m/>
    <m/>
    <m/>
    <m/>
    <m/>
    <m/>
    <m/>
    <m/>
    <m/>
    <m/>
    <m/>
    <m/>
    <s v="no test"/>
    <s v="no test"/>
    <x v="1"/>
    <n v="0"/>
    <n v="0"/>
    <n v="0"/>
    <n v="0"/>
    <n v="0"/>
    <n v="0"/>
    <n v="0"/>
    <n v="0"/>
    <n v="0"/>
    <n v="0"/>
    <n v="0"/>
    <n v="0"/>
    <n v="0"/>
    <n v="0"/>
    <n v="1"/>
    <n v="637"/>
    <n v="1"/>
    <n v="1"/>
    <n v="32"/>
    <n v="1"/>
    <n v="637"/>
    <n v="0"/>
    <n v="0"/>
    <n v="13"/>
    <n v="0"/>
    <n v="0"/>
    <n v="0"/>
    <n v="0"/>
    <n v="0"/>
    <n v="0"/>
    <n v="0"/>
    <n v="0"/>
    <n v="0"/>
    <n v="1"/>
    <n v="0"/>
    <n v="0"/>
    <n v="0"/>
    <n v="0"/>
    <n v="0"/>
    <n v="0"/>
    <n v="0"/>
    <x v="0"/>
    <n v="0"/>
    <n v="0"/>
    <x v="3"/>
    <x v="8"/>
    <x v="2"/>
    <n v="20.674160003662099"/>
    <n v="92.9078369140625"/>
    <n v="196911"/>
    <x v="0"/>
    <m/>
  </r>
  <r>
    <x v="0"/>
    <x v="2"/>
    <x v="2"/>
    <m/>
    <x v="1"/>
    <x v="16"/>
    <x v="3"/>
    <x v="437"/>
    <n v="3"/>
    <n v="16"/>
    <m/>
    <m/>
    <m/>
    <m/>
    <m/>
    <m/>
    <m/>
    <m/>
    <m/>
    <m/>
    <m/>
    <m/>
    <m/>
    <m/>
    <m/>
    <m/>
    <m/>
    <m/>
    <m/>
    <m/>
    <m/>
    <m/>
    <m/>
    <m/>
    <m/>
    <m/>
    <m/>
    <m/>
    <m/>
    <m/>
    <m/>
    <m/>
    <m/>
    <m/>
    <m/>
    <m/>
    <m/>
    <m/>
    <m/>
    <x v="1"/>
    <x v="1"/>
    <m/>
    <m/>
    <m/>
    <m/>
    <m/>
    <m/>
    <m/>
    <m/>
    <m/>
    <m/>
    <m/>
    <m/>
    <m/>
    <m/>
    <m/>
    <m/>
    <m/>
    <s v="no test"/>
    <s v="no test"/>
    <x v="1"/>
    <n v="0"/>
    <n v="0"/>
    <n v="0"/>
    <n v="0"/>
    <n v="0"/>
    <n v="0"/>
    <n v="0"/>
    <n v="0"/>
    <n v="0"/>
    <n v="0"/>
    <n v="0"/>
    <n v="0"/>
    <n v="0"/>
    <n v="0"/>
    <n v="1"/>
    <n v="16"/>
    <n v="1"/>
    <n v="1"/>
    <n v="0"/>
    <n v="0"/>
    <n v="0"/>
    <n v="0"/>
    <n v="0"/>
    <n v="0"/>
    <n v="0"/>
    <n v="1"/>
    <n v="0"/>
    <n v="0"/>
    <n v="0"/>
    <n v="0"/>
    <n v="0"/>
    <n v="0"/>
    <n v="0"/>
    <n v="1"/>
    <n v="0"/>
    <n v="0"/>
    <n v="0"/>
    <n v="0"/>
    <n v="0"/>
    <n v="0"/>
    <n v="0"/>
    <x v="0"/>
    <n v="0"/>
    <n v="0"/>
    <x v="3"/>
    <x v="8"/>
    <x v="2"/>
    <n v="0"/>
    <n v="0"/>
    <n v="0"/>
    <x v="1"/>
    <m/>
  </r>
  <r>
    <x v="0"/>
    <x v="2"/>
    <x v="2"/>
    <m/>
    <x v="1"/>
    <x v="16"/>
    <x v="3"/>
    <x v="438"/>
    <n v="28"/>
    <n v="116"/>
    <m/>
    <m/>
    <m/>
    <m/>
    <m/>
    <m/>
    <m/>
    <m/>
    <m/>
    <m/>
    <m/>
    <m/>
    <m/>
    <m/>
    <m/>
    <m/>
    <m/>
    <m/>
    <m/>
    <m/>
    <m/>
    <m/>
    <m/>
    <m/>
    <m/>
    <m/>
    <m/>
    <m/>
    <m/>
    <m/>
    <m/>
    <m/>
    <m/>
    <m/>
    <m/>
    <m/>
    <m/>
    <m/>
    <m/>
    <x v="1"/>
    <x v="1"/>
    <m/>
    <m/>
    <m/>
    <m/>
    <m/>
    <m/>
    <m/>
    <m/>
    <m/>
    <m/>
    <m/>
    <m/>
    <m/>
    <m/>
    <m/>
    <m/>
    <m/>
    <s v="no test"/>
    <s v="no test"/>
    <x v="1"/>
    <n v="0"/>
    <n v="0"/>
    <n v="0"/>
    <n v="0"/>
    <n v="0"/>
    <n v="0"/>
    <n v="0"/>
    <n v="0"/>
    <n v="0"/>
    <n v="0"/>
    <n v="0"/>
    <n v="0"/>
    <n v="0"/>
    <n v="0"/>
    <n v="1"/>
    <n v="116"/>
    <n v="1"/>
    <n v="1"/>
    <n v="0"/>
    <n v="0"/>
    <n v="0"/>
    <n v="0"/>
    <n v="0"/>
    <n v="2"/>
    <n v="2"/>
    <n v="1"/>
    <n v="0"/>
    <n v="0"/>
    <n v="0"/>
    <n v="0"/>
    <n v="0"/>
    <n v="0"/>
    <n v="0"/>
    <n v="1"/>
    <n v="0"/>
    <n v="0"/>
    <n v="0"/>
    <n v="0"/>
    <n v="0"/>
    <n v="0"/>
    <n v="0"/>
    <x v="0"/>
    <n v="0"/>
    <n v="0"/>
    <x v="3"/>
    <x v="8"/>
    <x v="2"/>
    <n v="20.705930710000001"/>
    <n v="93.001953130000004"/>
    <n v="196943"/>
    <x v="1"/>
    <m/>
  </r>
  <r>
    <x v="0"/>
    <x v="2"/>
    <x v="2"/>
    <m/>
    <x v="1"/>
    <x v="16"/>
    <x v="3"/>
    <x v="439"/>
    <n v="34"/>
    <n v="137"/>
    <m/>
    <m/>
    <m/>
    <m/>
    <m/>
    <m/>
    <m/>
    <m/>
    <m/>
    <m/>
    <m/>
    <m/>
    <m/>
    <m/>
    <m/>
    <m/>
    <m/>
    <m/>
    <m/>
    <m/>
    <m/>
    <m/>
    <m/>
    <m/>
    <m/>
    <m/>
    <m/>
    <m/>
    <m/>
    <m/>
    <m/>
    <m/>
    <m/>
    <m/>
    <m/>
    <m/>
    <m/>
    <m/>
    <m/>
    <x v="1"/>
    <x v="1"/>
    <m/>
    <m/>
    <m/>
    <m/>
    <m/>
    <m/>
    <m/>
    <m/>
    <m/>
    <m/>
    <m/>
    <m/>
    <m/>
    <m/>
    <m/>
    <m/>
    <m/>
    <s v="no test"/>
    <s v="no test"/>
    <x v="1"/>
    <n v="0"/>
    <n v="0"/>
    <n v="0"/>
    <n v="0"/>
    <n v="0"/>
    <n v="0"/>
    <n v="0"/>
    <n v="0"/>
    <n v="0"/>
    <n v="0"/>
    <n v="0"/>
    <n v="0"/>
    <n v="0"/>
    <n v="0"/>
    <n v="1"/>
    <n v="137"/>
    <n v="1"/>
    <n v="1"/>
    <n v="0"/>
    <n v="0"/>
    <n v="0"/>
    <n v="0"/>
    <n v="0"/>
    <n v="3"/>
    <n v="3"/>
    <n v="1"/>
    <n v="0"/>
    <n v="0"/>
    <n v="0"/>
    <n v="0"/>
    <n v="0"/>
    <n v="0"/>
    <n v="0"/>
    <n v="1"/>
    <n v="0"/>
    <n v="0"/>
    <n v="0"/>
    <n v="0"/>
    <n v="0"/>
    <n v="0"/>
    <n v="0"/>
    <x v="0"/>
    <n v="0"/>
    <n v="0"/>
    <x v="3"/>
    <x v="8"/>
    <x v="2"/>
    <n v="0"/>
    <n v="0"/>
    <s v="MMR012004701502"/>
    <x v="1"/>
    <m/>
  </r>
  <r>
    <x v="0"/>
    <x v="2"/>
    <x v="2"/>
    <m/>
    <x v="1"/>
    <x v="16"/>
    <x v="3"/>
    <x v="440"/>
    <n v="49"/>
    <n v="148"/>
    <m/>
    <m/>
    <m/>
    <m/>
    <m/>
    <m/>
    <m/>
    <m/>
    <m/>
    <m/>
    <m/>
    <m/>
    <m/>
    <m/>
    <m/>
    <m/>
    <m/>
    <m/>
    <m/>
    <m/>
    <m/>
    <m/>
    <m/>
    <m/>
    <m/>
    <m/>
    <m/>
    <m/>
    <m/>
    <m/>
    <m/>
    <m/>
    <m/>
    <m/>
    <m/>
    <m/>
    <m/>
    <m/>
    <m/>
    <x v="1"/>
    <x v="1"/>
    <m/>
    <m/>
    <m/>
    <m/>
    <m/>
    <m/>
    <m/>
    <m/>
    <m/>
    <m/>
    <m/>
    <m/>
    <m/>
    <m/>
    <m/>
    <m/>
    <m/>
    <s v="no test"/>
    <s v="no test"/>
    <x v="1"/>
    <n v="0"/>
    <n v="0"/>
    <n v="0"/>
    <n v="0"/>
    <n v="0"/>
    <n v="0"/>
    <n v="0"/>
    <n v="0"/>
    <n v="0"/>
    <n v="0"/>
    <n v="0"/>
    <n v="0"/>
    <n v="0"/>
    <n v="0"/>
    <n v="1"/>
    <n v="148"/>
    <n v="1"/>
    <n v="1"/>
    <n v="0"/>
    <n v="0"/>
    <n v="0"/>
    <n v="0"/>
    <n v="0"/>
    <n v="3"/>
    <n v="3"/>
    <n v="1"/>
    <n v="0"/>
    <n v="0"/>
    <n v="0"/>
    <n v="0"/>
    <n v="0"/>
    <n v="0"/>
    <n v="0"/>
    <n v="1"/>
    <n v="0"/>
    <n v="0"/>
    <n v="0"/>
    <n v="0"/>
    <n v="0"/>
    <n v="0"/>
    <n v="0"/>
    <x v="0"/>
    <n v="0"/>
    <n v="0"/>
    <x v="3"/>
    <x v="8"/>
    <x v="2"/>
    <n v="0"/>
    <n v="0"/>
    <s v="MMR012004701505"/>
    <x v="1"/>
    <m/>
  </r>
  <r>
    <x v="0"/>
    <x v="2"/>
    <x v="2"/>
    <m/>
    <x v="1"/>
    <x v="16"/>
    <x v="3"/>
    <x v="441"/>
    <n v="93"/>
    <n v="372"/>
    <m/>
    <m/>
    <m/>
    <m/>
    <m/>
    <m/>
    <m/>
    <m/>
    <m/>
    <m/>
    <m/>
    <m/>
    <m/>
    <m/>
    <m/>
    <m/>
    <m/>
    <m/>
    <m/>
    <m/>
    <m/>
    <m/>
    <m/>
    <m/>
    <m/>
    <m/>
    <m/>
    <m/>
    <m/>
    <m/>
    <m/>
    <m/>
    <m/>
    <m/>
    <m/>
    <m/>
    <m/>
    <m/>
    <m/>
    <x v="1"/>
    <x v="1"/>
    <m/>
    <m/>
    <m/>
    <m/>
    <m/>
    <m/>
    <m/>
    <m/>
    <m/>
    <m/>
    <m/>
    <m/>
    <m/>
    <m/>
    <m/>
    <m/>
    <m/>
    <s v="no test"/>
    <s v="no test"/>
    <x v="1"/>
    <n v="0"/>
    <n v="0"/>
    <n v="0"/>
    <n v="0"/>
    <n v="0"/>
    <n v="0"/>
    <n v="0"/>
    <n v="0"/>
    <n v="0"/>
    <n v="0"/>
    <n v="0"/>
    <n v="0"/>
    <n v="0"/>
    <n v="0"/>
    <n v="1"/>
    <n v="372"/>
    <n v="1"/>
    <n v="1"/>
    <n v="0"/>
    <n v="0"/>
    <n v="0"/>
    <n v="0"/>
    <n v="0"/>
    <n v="7"/>
    <n v="7"/>
    <n v="1"/>
    <n v="0"/>
    <n v="0"/>
    <n v="0"/>
    <n v="0"/>
    <n v="0"/>
    <n v="0"/>
    <n v="0"/>
    <n v="1"/>
    <n v="0"/>
    <n v="0"/>
    <n v="0"/>
    <n v="0"/>
    <n v="0"/>
    <n v="0"/>
    <n v="0"/>
    <x v="0"/>
    <n v="0"/>
    <n v="0"/>
    <x v="3"/>
    <x v="8"/>
    <x v="2"/>
    <n v="20.6715202331543"/>
    <n v="92.998092651367202"/>
    <n v="196942"/>
    <x v="1"/>
    <m/>
  </r>
  <r>
    <x v="0"/>
    <x v="2"/>
    <x v="2"/>
    <m/>
    <x v="1"/>
    <x v="16"/>
    <x v="3"/>
    <x v="442"/>
    <n v="97"/>
    <n v="281"/>
    <m/>
    <m/>
    <m/>
    <m/>
    <m/>
    <m/>
    <m/>
    <m/>
    <m/>
    <m/>
    <m/>
    <m/>
    <m/>
    <m/>
    <m/>
    <m/>
    <m/>
    <m/>
    <m/>
    <m/>
    <m/>
    <m/>
    <m/>
    <m/>
    <m/>
    <m/>
    <m/>
    <m/>
    <m/>
    <m/>
    <m/>
    <m/>
    <m/>
    <m/>
    <m/>
    <m/>
    <m/>
    <m/>
    <m/>
    <x v="1"/>
    <x v="1"/>
    <m/>
    <m/>
    <m/>
    <m/>
    <m/>
    <m/>
    <m/>
    <m/>
    <m/>
    <m/>
    <m/>
    <m/>
    <m/>
    <m/>
    <m/>
    <m/>
    <m/>
    <s v="no test"/>
    <s v="no test"/>
    <x v="1"/>
    <n v="0"/>
    <n v="0"/>
    <n v="0"/>
    <n v="0"/>
    <n v="0"/>
    <n v="0"/>
    <n v="0"/>
    <n v="0"/>
    <n v="0"/>
    <n v="0"/>
    <n v="0"/>
    <n v="0"/>
    <n v="0"/>
    <n v="0"/>
    <n v="1"/>
    <n v="281"/>
    <n v="1"/>
    <n v="1"/>
    <n v="0"/>
    <n v="0"/>
    <n v="0"/>
    <n v="0"/>
    <n v="0"/>
    <n v="6"/>
    <n v="6"/>
    <n v="1"/>
    <n v="0"/>
    <n v="0"/>
    <n v="0"/>
    <n v="0"/>
    <n v="0"/>
    <n v="0"/>
    <n v="0"/>
    <n v="1"/>
    <n v="0"/>
    <n v="0"/>
    <n v="0"/>
    <n v="0"/>
    <n v="0"/>
    <n v="0"/>
    <n v="0"/>
    <x v="0"/>
    <n v="0"/>
    <n v="0"/>
    <x v="3"/>
    <x v="8"/>
    <x v="2"/>
    <n v="20.64656067"/>
    <n v="92.976043700000005"/>
    <n v="196937"/>
    <x v="1"/>
    <m/>
  </r>
  <r>
    <x v="0"/>
    <x v="2"/>
    <x v="2"/>
    <m/>
    <x v="1"/>
    <x v="16"/>
    <x v="3"/>
    <x v="443"/>
    <n v="42"/>
    <n v="169"/>
    <m/>
    <m/>
    <m/>
    <m/>
    <m/>
    <m/>
    <m/>
    <m/>
    <m/>
    <m/>
    <m/>
    <m/>
    <m/>
    <m/>
    <m/>
    <m/>
    <m/>
    <m/>
    <m/>
    <m/>
    <m/>
    <m/>
    <m/>
    <m/>
    <m/>
    <m/>
    <m/>
    <m/>
    <m/>
    <m/>
    <m/>
    <m/>
    <m/>
    <m/>
    <m/>
    <m/>
    <m/>
    <m/>
    <m/>
    <x v="1"/>
    <x v="1"/>
    <m/>
    <m/>
    <m/>
    <m/>
    <m/>
    <m/>
    <m/>
    <m/>
    <m/>
    <m/>
    <m/>
    <m/>
    <m/>
    <m/>
    <m/>
    <m/>
    <m/>
    <s v="no test"/>
    <s v="no test"/>
    <x v="1"/>
    <n v="0"/>
    <n v="0"/>
    <n v="0"/>
    <n v="0"/>
    <n v="0"/>
    <n v="0"/>
    <n v="0"/>
    <n v="0"/>
    <n v="0"/>
    <n v="0"/>
    <n v="0"/>
    <n v="0"/>
    <n v="0"/>
    <n v="0"/>
    <n v="1"/>
    <n v="169"/>
    <n v="1"/>
    <n v="1"/>
    <n v="0"/>
    <n v="0"/>
    <n v="0"/>
    <n v="0"/>
    <n v="0"/>
    <n v="3"/>
    <n v="3"/>
    <n v="1"/>
    <n v="0"/>
    <n v="0"/>
    <n v="0"/>
    <n v="0"/>
    <n v="0"/>
    <n v="0"/>
    <n v="0"/>
    <n v="1"/>
    <n v="0"/>
    <n v="0"/>
    <n v="0"/>
    <n v="0"/>
    <n v="0"/>
    <n v="0"/>
    <n v="0"/>
    <x v="0"/>
    <n v="0"/>
    <n v="0"/>
    <x v="3"/>
    <x v="8"/>
    <x v="2"/>
    <n v="20.6563606262207"/>
    <n v="92.998542785644503"/>
    <n v="196940"/>
    <x v="1"/>
    <m/>
  </r>
  <r>
    <x v="0"/>
    <x v="2"/>
    <x v="2"/>
    <m/>
    <x v="1"/>
    <x v="16"/>
    <x v="3"/>
    <x v="444"/>
    <n v="4"/>
    <n v="20"/>
    <m/>
    <m/>
    <m/>
    <m/>
    <m/>
    <m/>
    <m/>
    <m/>
    <m/>
    <m/>
    <m/>
    <m/>
    <m/>
    <m/>
    <m/>
    <m/>
    <m/>
    <m/>
    <m/>
    <m/>
    <m/>
    <m/>
    <m/>
    <m/>
    <m/>
    <m/>
    <m/>
    <m/>
    <m/>
    <m/>
    <m/>
    <m/>
    <m/>
    <m/>
    <m/>
    <m/>
    <m/>
    <m/>
    <m/>
    <x v="1"/>
    <x v="1"/>
    <m/>
    <m/>
    <m/>
    <m/>
    <m/>
    <m/>
    <m/>
    <m/>
    <m/>
    <m/>
    <m/>
    <m/>
    <m/>
    <m/>
    <m/>
    <m/>
    <m/>
    <s v="no test"/>
    <s v="no test"/>
    <x v="1"/>
    <n v="0"/>
    <n v="0"/>
    <n v="0"/>
    <n v="0"/>
    <n v="0"/>
    <n v="0"/>
    <n v="0"/>
    <n v="0"/>
    <n v="0"/>
    <n v="0"/>
    <n v="0"/>
    <n v="0"/>
    <n v="0"/>
    <n v="0"/>
    <n v="1"/>
    <n v="20"/>
    <n v="1"/>
    <n v="1"/>
    <n v="0"/>
    <n v="0"/>
    <n v="0"/>
    <n v="0"/>
    <n v="0"/>
    <n v="0"/>
    <n v="0"/>
    <n v="1"/>
    <n v="0"/>
    <n v="0"/>
    <n v="0"/>
    <n v="0"/>
    <n v="0"/>
    <n v="0"/>
    <n v="0"/>
    <n v="1"/>
    <n v="0"/>
    <n v="0"/>
    <n v="0"/>
    <n v="0"/>
    <n v="0"/>
    <n v="0"/>
    <n v="0"/>
    <x v="0"/>
    <n v="0"/>
    <n v="0"/>
    <x v="3"/>
    <x v="8"/>
    <x v="2"/>
    <n v="20.8122158050537"/>
    <n v="93.061012268066406"/>
    <n v="196865"/>
    <x v="1"/>
    <m/>
  </r>
  <r>
    <x v="0"/>
    <x v="2"/>
    <x v="2"/>
    <m/>
    <x v="1"/>
    <x v="16"/>
    <x v="3"/>
    <x v="445"/>
    <n v="22"/>
    <n v="100"/>
    <m/>
    <m/>
    <m/>
    <m/>
    <m/>
    <m/>
    <m/>
    <m/>
    <m/>
    <m/>
    <m/>
    <m/>
    <m/>
    <m/>
    <m/>
    <m/>
    <m/>
    <m/>
    <m/>
    <m/>
    <m/>
    <m/>
    <m/>
    <m/>
    <m/>
    <m/>
    <m/>
    <m/>
    <m/>
    <m/>
    <m/>
    <m/>
    <m/>
    <m/>
    <m/>
    <m/>
    <m/>
    <m/>
    <m/>
    <x v="1"/>
    <x v="1"/>
    <m/>
    <m/>
    <m/>
    <m/>
    <m/>
    <m/>
    <m/>
    <m/>
    <m/>
    <m/>
    <m/>
    <m/>
    <m/>
    <m/>
    <m/>
    <m/>
    <m/>
    <s v="no test"/>
    <s v="no test"/>
    <x v="1"/>
    <n v="0"/>
    <n v="0"/>
    <n v="0"/>
    <n v="0"/>
    <n v="0"/>
    <n v="0"/>
    <n v="0"/>
    <n v="0"/>
    <n v="0"/>
    <n v="0"/>
    <n v="0"/>
    <n v="0"/>
    <n v="0"/>
    <n v="0"/>
    <n v="1"/>
    <n v="100"/>
    <n v="1"/>
    <n v="1"/>
    <n v="0"/>
    <n v="0"/>
    <n v="0"/>
    <n v="0"/>
    <n v="0"/>
    <n v="2"/>
    <n v="2"/>
    <n v="1"/>
    <n v="0"/>
    <n v="0"/>
    <n v="0"/>
    <n v="0"/>
    <n v="0"/>
    <n v="0"/>
    <n v="0"/>
    <n v="1"/>
    <n v="0"/>
    <n v="0"/>
    <n v="0"/>
    <n v="0"/>
    <n v="0"/>
    <n v="0"/>
    <n v="0"/>
    <x v="0"/>
    <n v="0"/>
    <n v="0"/>
    <x v="3"/>
    <x v="8"/>
    <x v="2"/>
    <n v="20.656810760498001"/>
    <n v="93.029953002929702"/>
    <n v="196981"/>
    <x v="1"/>
    <m/>
  </r>
  <r>
    <x v="0"/>
    <x v="2"/>
    <x v="2"/>
    <m/>
    <x v="2"/>
    <x v="14"/>
    <x v="3"/>
    <x v="446"/>
    <n v="25"/>
    <n v="100"/>
    <m/>
    <m/>
    <m/>
    <m/>
    <m/>
    <m/>
    <m/>
    <m/>
    <m/>
    <m/>
    <m/>
    <m/>
    <m/>
    <m/>
    <m/>
    <m/>
    <m/>
    <m/>
    <m/>
    <m/>
    <m/>
    <m/>
    <m/>
    <m/>
    <m/>
    <m/>
    <m/>
    <m/>
    <m/>
    <m/>
    <m/>
    <m/>
    <m/>
    <m/>
    <m/>
    <m/>
    <m/>
    <m/>
    <m/>
    <x v="1"/>
    <x v="1"/>
    <m/>
    <m/>
    <m/>
    <m/>
    <m/>
    <m/>
    <m/>
    <m/>
    <m/>
    <m/>
    <m/>
    <m/>
    <m/>
    <m/>
    <m/>
    <m/>
    <m/>
    <s v="no test"/>
    <s v="no test"/>
    <x v="1"/>
    <n v="0"/>
    <n v="0"/>
    <n v="0"/>
    <n v="0"/>
    <n v="0"/>
    <n v="0"/>
    <n v="0"/>
    <n v="0"/>
    <n v="0"/>
    <n v="0"/>
    <n v="0"/>
    <n v="0"/>
    <n v="0"/>
    <n v="0"/>
    <n v="1"/>
    <n v="100"/>
    <n v="1"/>
    <n v="1"/>
    <n v="0"/>
    <n v="0"/>
    <n v="0"/>
    <n v="0"/>
    <n v="0"/>
    <n v="2"/>
    <n v="2"/>
    <n v="1"/>
    <n v="0"/>
    <n v="0"/>
    <n v="0"/>
    <n v="0"/>
    <n v="0"/>
    <n v="0"/>
    <n v="0"/>
    <n v="1"/>
    <n v="0"/>
    <n v="0"/>
    <n v="0"/>
    <n v="0"/>
    <n v="0"/>
    <n v="0"/>
    <n v="0"/>
    <x v="0"/>
    <n v="0"/>
    <n v="0"/>
    <x v="3"/>
    <x v="8"/>
    <x v="2"/>
    <n v="20.734859466552699"/>
    <n v="92.657089233398395"/>
    <n v="198415"/>
    <x v="1"/>
    <m/>
  </r>
  <r>
    <x v="0"/>
    <x v="11"/>
    <x v="11"/>
    <m/>
    <x v="2"/>
    <x v="14"/>
    <x v="3"/>
    <x v="447"/>
    <n v="31"/>
    <n v="127"/>
    <m/>
    <m/>
    <m/>
    <m/>
    <m/>
    <m/>
    <m/>
    <m/>
    <m/>
    <m/>
    <m/>
    <m/>
    <m/>
    <m/>
    <m/>
    <m/>
    <m/>
    <m/>
    <m/>
    <m/>
    <m/>
    <m/>
    <m/>
    <m/>
    <m/>
    <m/>
    <m/>
    <m/>
    <m/>
    <m/>
    <m/>
    <m/>
    <m/>
    <m/>
    <m/>
    <m/>
    <m/>
    <m/>
    <m/>
    <x v="1"/>
    <x v="1"/>
    <m/>
    <m/>
    <m/>
    <m/>
    <m/>
    <m/>
    <m/>
    <m/>
    <m/>
    <m/>
    <m/>
    <n v="31"/>
    <n v="31"/>
    <m/>
    <m/>
    <m/>
    <m/>
    <s v="no test"/>
    <s v="no test"/>
    <x v="1"/>
    <n v="0"/>
    <n v="0"/>
    <n v="0"/>
    <n v="0"/>
    <n v="0"/>
    <n v="0"/>
    <n v="0"/>
    <n v="0"/>
    <n v="0"/>
    <n v="0"/>
    <n v="0"/>
    <n v="0"/>
    <n v="0"/>
    <n v="0"/>
    <n v="1"/>
    <n v="127"/>
    <n v="1"/>
    <n v="1"/>
    <n v="0"/>
    <n v="0"/>
    <n v="0"/>
    <n v="0"/>
    <n v="0"/>
    <n v="3"/>
    <n v="3"/>
    <n v="1"/>
    <n v="0"/>
    <n v="0"/>
    <n v="127"/>
    <n v="127"/>
    <n v="127"/>
    <n v="127"/>
    <n v="1"/>
    <n v="0"/>
    <n v="0"/>
    <n v="1"/>
    <n v="1"/>
    <n v="0"/>
    <n v="0"/>
    <n v="0"/>
    <n v="0"/>
    <x v="0"/>
    <n v="0"/>
    <n v="0"/>
    <x v="3"/>
    <x v="8"/>
    <x v="2"/>
    <n v="0"/>
    <n v="0"/>
    <n v="198369"/>
    <x v="0"/>
    <m/>
  </r>
  <r>
    <x v="0"/>
    <x v="10"/>
    <x v="10"/>
    <s v="IOM"/>
    <x v="2"/>
    <x v="14"/>
    <x v="3"/>
    <x v="448"/>
    <n v="30"/>
    <n v="123"/>
    <d v="2019-01-15T00:00:00"/>
    <d v="2019-09-15T00:00:00"/>
    <m/>
    <m/>
    <m/>
    <m/>
    <m/>
    <m/>
    <m/>
    <m/>
    <m/>
    <m/>
    <m/>
    <m/>
    <m/>
    <m/>
    <m/>
    <m/>
    <m/>
    <m/>
    <m/>
    <m/>
    <m/>
    <m/>
    <m/>
    <m/>
    <m/>
    <m/>
    <m/>
    <m/>
    <m/>
    <m/>
    <m/>
    <m/>
    <m/>
    <m/>
    <m/>
    <m/>
    <m/>
    <x v="1"/>
    <x v="1"/>
    <m/>
    <m/>
    <m/>
    <m/>
    <m/>
    <m/>
    <m/>
    <m/>
    <m/>
    <n v="30"/>
    <n v="30"/>
    <m/>
    <m/>
    <m/>
    <m/>
    <m/>
    <m/>
    <s v="no test"/>
    <s v="no test"/>
    <x v="1"/>
    <n v="0"/>
    <n v="0"/>
    <n v="0"/>
    <n v="0"/>
    <n v="0"/>
    <n v="0"/>
    <n v="0"/>
    <n v="0"/>
    <n v="0"/>
    <n v="0"/>
    <n v="0"/>
    <n v="0"/>
    <n v="0"/>
    <n v="0"/>
    <n v="1"/>
    <n v="123"/>
    <n v="1"/>
    <n v="1"/>
    <n v="0"/>
    <n v="0"/>
    <n v="0"/>
    <n v="0"/>
    <n v="0"/>
    <n v="2"/>
    <n v="2"/>
    <n v="1"/>
    <n v="0"/>
    <n v="123"/>
    <n v="0"/>
    <n v="0"/>
    <n v="0"/>
    <n v="123"/>
    <n v="1"/>
    <n v="0"/>
    <n v="1"/>
    <n v="0"/>
    <n v="0"/>
    <n v="0"/>
    <n v="0"/>
    <n v="0"/>
    <n v="0"/>
    <x v="0"/>
    <n v="0"/>
    <n v="0"/>
    <x v="3"/>
    <x v="8"/>
    <x v="4"/>
    <n v="20.769779209999999"/>
    <n v="92.604240419999996"/>
    <n v="198404"/>
    <x v="0"/>
    <m/>
  </r>
  <r>
    <x v="0"/>
    <x v="2"/>
    <x v="2"/>
    <m/>
    <x v="2"/>
    <x v="14"/>
    <x v="3"/>
    <x v="449"/>
    <n v="58"/>
    <n v="302"/>
    <m/>
    <m/>
    <m/>
    <m/>
    <m/>
    <m/>
    <m/>
    <m/>
    <m/>
    <m/>
    <m/>
    <m/>
    <m/>
    <m/>
    <m/>
    <m/>
    <m/>
    <m/>
    <m/>
    <m/>
    <m/>
    <m/>
    <m/>
    <m/>
    <m/>
    <m/>
    <m/>
    <m/>
    <m/>
    <m/>
    <m/>
    <m/>
    <m/>
    <m/>
    <m/>
    <m/>
    <m/>
    <m/>
    <m/>
    <x v="1"/>
    <x v="1"/>
    <m/>
    <m/>
    <m/>
    <m/>
    <m/>
    <m/>
    <m/>
    <m/>
    <m/>
    <m/>
    <m/>
    <m/>
    <m/>
    <m/>
    <m/>
    <m/>
    <m/>
    <s v="no test"/>
    <s v="no test"/>
    <x v="1"/>
    <n v="0"/>
    <n v="0"/>
    <n v="0"/>
    <n v="0"/>
    <n v="0"/>
    <n v="0"/>
    <n v="0"/>
    <n v="0"/>
    <n v="0"/>
    <n v="0"/>
    <n v="0"/>
    <n v="0"/>
    <n v="0"/>
    <n v="0"/>
    <n v="1"/>
    <n v="302"/>
    <n v="1"/>
    <n v="1"/>
    <n v="0"/>
    <n v="0"/>
    <n v="0"/>
    <n v="0"/>
    <n v="0"/>
    <n v="6"/>
    <n v="6"/>
    <n v="1"/>
    <n v="0"/>
    <n v="0"/>
    <n v="0"/>
    <n v="0"/>
    <n v="0"/>
    <n v="0"/>
    <n v="0"/>
    <n v="1"/>
    <n v="0"/>
    <n v="0"/>
    <n v="0"/>
    <n v="0"/>
    <n v="0"/>
    <n v="0"/>
    <n v="0"/>
    <x v="0"/>
    <n v="0"/>
    <n v="0"/>
    <x v="3"/>
    <x v="8"/>
    <x v="2"/>
    <n v="20.838279724121101"/>
    <n v="92.610900878906307"/>
    <n v="198289"/>
    <x v="1"/>
    <m/>
  </r>
  <r>
    <x v="0"/>
    <x v="11"/>
    <x v="11"/>
    <m/>
    <x v="2"/>
    <x v="14"/>
    <x v="3"/>
    <x v="450"/>
    <n v="57"/>
    <n v="280"/>
    <m/>
    <m/>
    <m/>
    <m/>
    <m/>
    <m/>
    <m/>
    <m/>
    <m/>
    <m/>
    <m/>
    <m/>
    <m/>
    <m/>
    <m/>
    <m/>
    <m/>
    <m/>
    <m/>
    <m/>
    <m/>
    <m/>
    <m/>
    <m/>
    <m/>
    <m/>
    <m/>
    <m/>
    <m/>
    <m/>
    <m/>
    <m/>
    <m/>
    <m/>
    <m/>
    <m/>
    <m/>
    <m/>
    <m/>
    <x v="1"/>
    <x v="1"/>
    <m/>
    <m/>
    <m/>
    <m/>
    <m/>
    <m/>
    <m/>
    <m/>
    <m/>
    <m/>
    <m/>
    <n v="57"/>
    <n v="57"/>
    <m/>
    <m/>
    <m/>
    <m/>
    <s v="no test"/>
    <s v="no test"/>
    <x v="1"/>
    <n v="0"/>
    <n v="0"/>
    <n v="0"/>
    <n v="0"/>
    <n v="0"/>
    <n v="0"/>
    <n v="0"/>
    <n v="0"/>
    <n v="0"/>
    <n v="0"/>
    <n v="0"/>
    <n v="0"/>
    <n v="0"/>
    <n v="0"/>
    <n v="1"/>
    <n v="280"/>
    <n v="1"/>
    <n v="1"/>
    <n v="0"/>
    <n v="0"/>
    <n v="0"/>
    <n v="0"/>
    <n v="0"/>
    <n v="6"/>
    <n v="6"/>
    <n v="1"/>
    <n v="0"/>
    <n v="0"/>
    <n v="280"/>
    <n v="280"/>
    <n v="280"/>
    <n v="280"/>
    <n v="1"/>
    <n v="0"/>
    <n v="0"/>
    <n v="1"/>
    <n v="1"/>
    <n v="0"/>
    <n v="0"/>
    <n v="0"/>
    <n v="0"/>
    <x v="0"/>
    <n v="0"/>
    <n v="0"/>
    <x v="3"/>
    <x v="8"/>
    <x v="2"/>
    <n v="0"/>
    <n v="0"/>
    <n v="0"/>
    <x v="0"/>
    <m/>
  </r>
  <r>
    <x v="0"/>
    <x v="11"/>
    <x v="33"/>
    <m/>
    <x v="2"/>
    <x v="14"/>
    <x v="3"/>
    <x v="451"/>
    <n v="200"/>
    <n v="1891"/>
    <m/>
    <m/>
    <m/>
    <m/>
    <m/>
    <m/>
    <m/>
    <m/>
    <m/>
    <m/>
    <m/>
    <m/>
    <m/>
    <m/>
    <m/>
    <m/>
    <m/>
    <m/>
    <m/>
    <m/>
    <m/>
    <m/>
    <m/>
    <m/>
    <m/>
    <m/>
    <m/>
    <m/>
    <m/>
    <m/>
    <m/>
    <m/>
    <m/>
    <m/>
    <m/>
    <m/>
    <m/>
    <m/>
    <m/>
    <x v="1"/>
    <x v="1"/>
    <m/>
    <m/>
    <m/>
    <m/>
    <m/>
    <m/>
    <m/>
    <m/>
    <m/>
    <m/>
    <m/>
    <n v="82"/>
    <n v="82"/>
    <m/>
    <m/>
    <m/>
    <m/>
    <s v="no test"/>
    <s v="no test"/>
    <x v="1"/>
    <n v="0"/>
    <n v="0"/>
    <n v="0"/>
    <n v="0"/>
    <n v="0"/>
    <n v="0"/>
    <n v="0"/>
    <n v="0"/>
    <n v="0"/>
    <n v="0"/>
    <n v="0"/>
    <n v="0"/>
    <n v="0"/>
    <n v="0"/>
    <n v="1"/>
    <n v="1891"/>
    <n v="4"/>
    <n v="4"/>
    <n v="0"/>
    <n v="0"/>
    <n v="0"/>
    <n v="0"/>
    <n v="0"/>
    <n v="38"/>
    <n v="38"/>
    <n v="1"/>
    <n v="0"/>
    <n v="0"/>
    <n v="410"/>
    <n v="410"/>
    <n v="410"/>
    <n v="410"/>
    <n v="0.2168164992067689"/>
    <n v="0.78318350079323107"/>
    <n v="0"/>
    <n v="0.41"/>
    <n v="0.41"/>
    <n v="0"/>
    <n v="0"/>
    <n v="0"/>
    <n v="0"/>
    <x v="0"/>
    <n v="0"/>
    <n v="0"/>
    <x v="3"/>
    <x v="8"/>
    <x v="2"/>
    <n v="20.765670776367202"/>
    <n v="92.577812194824205"/>
    <n v="198401"/>
    <x v="0"/>
    <m/>
  </r>
  <r>
    <x v="0"/>
    <x v="11"/>
    <x v="11"/>
    <m/>
    <x v="2"/>
    <x v="14"/>
    <x v="3"/>
    <x v="452"/>
    <n v="10"/>
    <n v="61"/>
    <m/>
    <m/>
    <m/>
    <m/>
    <m/>
    <m/>
    <m/>
    <m/>
    <m/>
    <m/>
    <m/>
    <m/>
    <m/>
    <m/>
    <m/>
    <m/>
    <m/>
    <m/>
    <m/>
    <m/>
    <m/>
    <m/>
    <m/>
    <m/>
    <m/>
    <m/>
    <m/>
    <m/>
    <m/>
    <m/>
    <m/>
    <m/>
    <m/>
    <m/>
    <m/>
    <m/>
    <m/>
    <m/>
    <m/>
    <x v="1"/>
    <x v="1"/>
    <m/>
    <m/>
    <m/>
    <m/>
    <m/>
    <m/>
    <m/>
    <m/>
    <m/>
    <m/>
    <m/>
    <n v="10"/>
    <n v="10"/>
    <m/>
    <m/>
    <m/>
    <m/>
    <s v="no test"/>
    <s v="no test"/>
    <x v="1"/>
    <n v="0"/>
    <n v="0"/>
    <n v="0"/>
    <n v="0"/>
    <n v="0"/>
    <n v="0"/>
    <n v="0"/>
    <n v="0"/>
    <n v="0"/>
    <n v="0"/>
    <n v="0"/>
    <n v="0"/>
    <n v="0"/>
    <n v="0"/>
    <n v="1"/>
    <n v="61"/>
    <n v="1"/>
    <n v="1"/>
    <n v="0"/>
    <n v="0"/>
    <n v="0"/>
    <n v="0"/>
    <n v="0"/>
    <n v="1"/>
    <n v="1"/>
    <n v="1"/>
    <n v="0"/>
    <n v="0"/>
    <n v="61"/>
    <n v="61"/>
    <n v="61"/>
    <n v="61"/>
    <n v="1"/>
    <n v="0"/>
    <n v="0"/>
    <n v="1"/>
    <n v="1"/>
    <n v="0"/>
    <n v="0"/>
    <n v="0"/>
    <n v="0"/>
    <x v="0"/>
    <n v="0"/>
    <n v="0"/>
    <x v="3"/>
    <x v="8"/>
    <x v="2"/>
    <n v="0"/>
    <n v="0"/>
    <n v="198362"/>
    <x v="0"/>
    <m/>
  </r>
  <r>
    <x v="0"/>
    <x v="11"/>
    <x v="33"/>
    <m/>
    <x v="2"/>
    <x v="14"/>
    <x v="3"/>
    <x v="453"/>
    <n v="41"/>
    <n v="166"/>
    <m/>
    <m/>
    <m/>
    <m/>
    <m/>
    <m/>
    <m/>
    <m/>
    <m/>
    <m/>
    <m/>
    <m/>
    <m/>
    <m/>
    <m/>
    <m/>
    <m/>
    <m/>
    <m/>
    <m/>
    <m/>
    <m/>
    <m/>
    <m/>
    <m/>
    <m/>
    <m/>
    <m/>
    <m/>
    <m/>
    <m/>
    <m/>
    <m/>
    <m/>
    <m/>
    <m/>
    <m/>
    <m/>
    <m/>
    <x v="1"/>
    <x v="1"/>
    <m/>
    <m/>
    <m/>
    <m/>
    <m/>
    <m/>
    <m/>
    <m/>
    <m/>
    <m/>
    <m/>
    <m/>
    <m/>
    <m/>
    <m/>
    <m/>
    <m/>
    <s v="no test"/>
    <s v="no test"/>
    <x v="1"/>
    <n v="0"/>
    <n v="0"/>
    <n v="0"/>
    <n v="0"/>
    <n v="0"/>
    <n v="0"/>
    <n v="0"/>
    <n v="0"/>
    <n v="0"/>
    <n v="0"/>
    <n v="0"/>
    <n v="0"/>
    <n v="0"/>
    <n v="0"/>
    <n v="1"/>
    <n v="166"/>
    <n v="1"/>
    <n v="1"/>
    <n v="0"/>
    <n v="0"/>
    <n v="0"/>
    <n v="0"/>
    <n v="0"/>
    <n v="3"/>
    <n v="3"/>
    <n v="1"/>
    <n v="0"/>
    <n v="0"/>
    <n v="0"/>
    <n v="0"/>
    <n v="0"/>
    <n v="0"/>
    <n v="0"/>
    <n v="1"/>
    <n v="0"/>
    <n v="0"/>
    <n v="0"/>
    <n v="0"/>
    <n v="0"/>
    <n v="0"/>
    <n v="0"/>
    <x v="0"/>
    <n v="0"/>
    <n v="0"/>
    <x v="3"/>
    <x v="8"/>
    <x v="2"/>
    <n v="0"/>
    <n v="0"/>
    <n v="0"/>
    <x v="0"/>
    <m/>
  </r>
  <r>
    <x v="0"/>
    <x v="11"/>
    <x v="11"/>
    <m/>
    <x v="2"/>
    <x v="14"/>
    <x v="3"/>
    <x v="454"/>
    <n v="55"/>
    <n v="314"/>
    <m/>
    <m/>
    <m/>
    <m/>
    <m/>
    <m/>
    <m/>
    <m/>
    <m/>
    <m/>
    <m/>
    <m/>
    <m/>
    <m/>
    <m/>
    <m/>
    <m/>
    <m/>
    <m/>
    <m/>
    <m/>
    <m/>
    <m/>
    <m/>
    <m/>
    <m/>
    <m/>
    <m/>
    <m/>
    <m/>
    <m/>
    <m/>
    <m/>
    <m/>
    <m/>
    <m/>
    <m/>
    <m/>
    <m/>
    <x v="1"/>
    <x v="1"/>
    <m/>
    <m/>
    <m/>
    <m/>
    <m/>
    <m/>
    <m/>
    <m/>
    <m/>
    <m/>
    <m/>
    <n v="55"/>
    <n v="55"/>
    <m/>
    <m/>
    <m/>
    <m/>
    <s v="no test"/>
    <s v="no test"/>
    <x v="1"/>
    <n v="0"/>
    <n v="0"/>
    <n v="0"/>
    <n v="0"/>
    <n v="0"/>
    <n v="0"/>
    <n v="0"/>
    <n v="0"/>
    <n v="0"/>
    <n v="0"/>
    <n v="0"/>
    <n v="0"/>
    <n v="0"/>
    <n v="0"/>
    <n v="1"/>
    <n v="314"/>
    <n v="1"/>
    <n v="1"/>
    <n v="0"/>
    <n v="0"/>
    <n v="0"/>
    <n v="0"/>
    <n v="0"/>
    <n v="6"/>
    <n v="6"/>
    <n v="1"/>
    <n v="0"/>
    <n v="0"/>
    <n v="314"/>
    <n v="314"/>
    <n v="314"/>
    <n v="314"/>
    <n v="1"/>
    <n v="0"/>
    <n v="0"/>
    <n v="1"/>
    <n v="1"/>
    <n v="0"/>
    <n v="0"/>
    <n v="0"/>
    <n v="0"/>
    <x v="0"/>
    <n v="0"/>
    <n v="0"/>
    <x v="3"/>
    <x v="8"/>
    <x v="2"/>
    <n v="0"/>
    <n v="0"/>
    <n v="0"/>
    <x v="0"/>
    <m/>
  </r>
  <r>
    <x v="0"/>
    <x v="11"/>
    <x v="33"/>
    <m/>
    <x v="2"/>
    <x v="14"/>
    <x v="3"/>
    <x v="455"/>
    <n v="521"/>
    <n v="1995"/>
    <m/>
    <m/>
    <m/>
    <m/>
    <m/>
    <m/>
    <m/>
    <m/>
    <m/>
    <m/>
    <m/>
    <m/>
    <m/>
    <m/>
    <m/>
    <m/>
    <m/>
    <m/>
    <m/>
    <m/>
    <m/>
    <m/>
    <m/>
    <m/>
    <m/>
    <m/>
    <m/>
    <m/>
    <m/>
    <m/>
    <m/>
    <m/>
    <m/>
    <m/>
    <m/>
    <m/>
    <m/>
    <m/>
    <m/>
    <x v="1"/>
    <x v="1"/>
    <m/>
    <m/>
    <m/>
    <m/>
    <m/>
    <m/>
    <m/>
    <m/>
    <m/>
    <m/>
    <m/>
    <n v="75"/>
    <n v="75"/>
    <m/>
    <m/>
    <m/>
    <m/>
    <s v="no test"/>
    <s v="no test"/>
    <x v="1"/>
    <n v="0"/>
    <n v="0"/>
    <n v="0"/>
    <n v="0"/>
    <n v="0"/>
    <n v="0"/>
    <n v="0"/>
    <n v="0"/>
    <n v="0"/>
    <n v="0"/>
    <n v="0"/>
    <n v="0"/>
    <n v="0"/>
    <n v="0"/>
    <n v="1"/>
    <n v="1995"/>
    <n v="4"/>
    <n v="4"/>
    <n v="0"/>
    <n v="0"/>
    <n v="0"/>
    <n v="0"/>
    <n v="0"/>
    <n v="40"/>
    <n v="40"/>
    <n v="1"/>
    <n v="0"/>
    <n v="0"/>
    <n v="375"/>
    <n v="375"/>
    <n v="375"/>
    <n v="375"/>
    <n v="0.18796992481203006"/>
    <n v="0.81203007518796988"/>
    <n v="0"/>
    <n v="0.14395393474088292"/>
    <n v="0.14395393474088292"/>
    <n v="0"/>
    <n v="0"/>
    <n v="0"/>
    <n v="0"/>
    <x v="0"/>
    <n v="0"/>
    <n v="0"/>
    <x v="3"/>
    <x v="8"/>
    <x v="2"/>
    <n v="20.8608493804932"/>
    <n v="92.539390563964801"/>
    <n v="198326"/>
    <x v="0"/>
    <m/>
  </r>
  <r>
    <x v="0"/>
    <x v="23"/>
    <x v="24"/>
    <m/>
    <x v="2"/>
    <x v="21"/>
    <x v="3"/>
    <x v="456"/>
    <n v="103"/>
    <n v="534"/>
    <m/>
    <m/>
    <m/>
    <m/>
    <m/>
    <m/>
    <m/>
    <m/>
    <m/>
    <m/>
    <m/>
    <m/>
    <m/>
    <m/>
    <m/>
    <m/>
    <m/>
    <m/>
    <m/>
    <m/>
    <m/>
    <m/>
    <m/>
    <m/>
    <m/>
    <m/>
    <m/>
    <m/>
    <m/>
    <m/>
    <m/>
    <n v="30"/>
    <m/>
    <m/>
    <m/>
    <m/>
    <m/>
    <m/>
    <m/>
    <x v="1"/>
    <x v="1"/>
    <m/>
    <m/>
    <m/>
    <m/>
    <m/>
    <m/>
    <m/>
    <m/>
    <m/>
    <m/>
    <m/>
    <m/>
    <m/>
    <m/>
    <m/>
    <m/>
    <m/>
    <s v="no test"/>
    <s v="no test"/>
    <x v="1"/>
    <n v="0"/>
    <n v="0"/>
    <n v="0"/>
    <n v="0"/>
    <n v="0"/>
    <n v="0"/>
    <n v="0"/>
    <n v="0"/>
    <n v="0"/>
    <n v="0"/>
    <n v="0"/>
    <n v="0"/>
    <n v="0"/>
    <n v="0"/>
    <n v="1"/>
    <n v="534"/>
    <n v="1"/>
    <n v="1"/>
    <n v="30"/>
    <n v="1"/>
    <n v="534"/>
    <n v="0"/>
    <n v="0"/>
    <n v="11"/>
    <n v="0"/>
    <n v="0"/>
    <n v="0"/>
    <n v="0"/>
    <n v="0"/>
    <n v="0"/>
    <n v="0"/>
    <n v="0"/>
    <n v="0"/>
    <n v="1"/>
    <n v="0"/>
    <n v="0"/>
    <n v="0"/>
    <n v="0"/>
    <n v="0"/>
    <n v="0"/>
    <n v="0"/>
    <x v="0"/>
    <n v="0"/>
    <n v="0"/>
    <x v="3"/>
    <x v="8"/>
    <x v="4"/>
    <n v="20.688629150000001"/>
    <n v="92.652481080000001"/>
    <n v="197669"/>
    <x v="0"/>
    <m/>
  </r>
  <r>
    <x v="0"/>
    <x v="2"/>
    <x v="2"/>
    <m/>
    <x v="2"/>
    <x v="21"/>
    <x v="3"/>
    <x v="457"/>
    <n v="8"/>
    <n v="16"/>
    <m/>
    <m/>
    <m/>
    <m/>
    <m/>
    <m/>
    <m/>
    <m/>
    <m/>
    <m/>
    <m/>
    <m/>
    <m/>
    <m/>
    <m/>
    <m/>
    <m/>
    <m/>
    <m/>
    <m/>
    <m/>
    <m/>
    <m/>
    <m/>
    <m/>
    <m/>
    <m/>
    <m/>
    <m/>
    <m/>
    <m/>
    <m/>
    <m/>
    <m/>
    <m/>
    <m/>
    <m/>
    <m/>
    <m/>
    <x v="1"/>
    <x v="1"/>
    <m/>
    <m/>
    <m/>
    <m/>
    <m/>
    <m/>
    <m/>
    <m/>
    <m/>
    <m/>
    <m/>
    <m/>
    <m/>
    <m/>
    <m/>
    <m/>
    <m/>
    <s v="no test"/>
    <s v="no test"/>
    <x v="1"/>
    <n v="0"/>
    <n v="0"/>
    <n v="0"/>
    <n v="0"/>
    <n v="0"/>
    <n v="0"/>
    <n v="0"/>
    <n v="0"/>
    <n v="0"/>
    <n v="0"/>
    <n v="0"/>
    <n v="0"/>
    <n v="0"/>
    <n v="0"/>
    <n v="1"/>
    <n v="16"/>
    <n v="1"/>
    <n v="1"/>
    <n v="0"/>
    <n v="0"/>
    <n v="0"/>
    <n v="0"/>
    <n v="0"/>
    <n v="0"/>
    <n v="0"/>
    <n v="1"/>
    <n v="0"/>
    <n v="0"/>
    <n v="0"/>
    <n v="0"/>
    <n v="0"/>
    <n v="0"/>
    <n v="0"/>
    <n v="1"/>
    <n v="0"/>
    <n v="0"/>
    <n v="0"/>
    <n v="0"/>
    <n v="0"/>
    <n v="0"/>
    <n v="0"/>
    <x v="0"/>
    <n v="0"/>
    <n v="0"/>
    <x v="3"/>
    <x v="8"/>
    <x v="2"/>
    <n v="20.575780868530298"/>
    <n v="92.670402526855497"/>
    <n v="197589"/>
    <x v="1"/>
    <m/>
  </r>
  <r>
    <x v="0"/>
    <x v="2"/>
    <x v="2"/>
    <m/>
    <x v="2"/>
    <x v="21"/>
    <x v="3"/>
    <x v="458"/>
    <n v="59"/>
    <n v="255"/>
    <m/>
    <m/>
    <m/>
    <m/>
    <m/>
    <m/>
    <m/>
    <m/>
    <m/>
    <m/>
    <m/>
    <m/>
    <m/>
    <m/>
    <m/>
    <m/>
    <m/>
    <m/>
    <m/>
    <m/>
    <m/>
    <m/>
    <m/>
    <m/>
    <m/>
    <m/>
    <m/>
    <m/>
    <m/>
    <m/>
    <m/>
    <m/>
    <m/>
    <m/>
    <m/>
    <m/>
    <m/>
    <m/>
    <m/>
    <x v="1"/>
    <x v="1"/>
    <m/>
    <m/>
    <m/>
    <m/>
    <m/>
    <m/>
    <m/>
    <m/>
    <m/>
    <m/>
    <m/>
    <m/>
    <m/>
    <m/>
    <m/>
    <m/>
    <m/>
    <s v="no test"/>
    <s v="no test"/>
    <x v="1"/>
    <n v="0"/>
    <n v="0"/>
    <n v="0"/>
    <n v="0"/>
    <n v="0"/>
    <n v="0"/>
    <n v="0"/>
    <n v="0"/>
    <n v="0"/>
    <n v="0"/>
    <n v="0"/>
    <n v="0"/>
    <n v="0"/>
    <n v="0"/>
    <n v="1"/>
    <n v="255"/>
    <n v="1"/>
    <n v="1"/>
    <n v="0"/>
    <n v="0"/>
    <n v="0"/>
    <n v="0"/>
    <n v="0"/>
    <n v="5"/>
    <n v="5"/>
    <n v="1"/>
    <n v="0"/>
    <n v="0"/>
    <n v="0"/>
    <n v="0"/>
    <n v="0"/>
    <n v="0"/>
    <n v="0"/>
    <n v="1"/>
    <n v="0"/>
    <n v="0"/>
    <n v="0"/>
    <n v="0"/>
    <n v="0"/>
    <n v="0"/>
    <n v="0"/>
    <x v="0"/>
    <n v="0"/>
    <n v="0"/>
    <x v="3"/>
    <x v="8"/>
    <x v="4"/>
    <n v="20.66592979"/>
    <n v="92.672691349999994"/>
    <n v="197673"/>
    <x v="1"/>
    <m/>
  </r>
  <r>
    <x v="0"/>
    <x v="2"/>
    <x v="2"/>
    <m/>
    <x v="2"/>
    <x v="21"/>
    <x v="3"/>
    <x v="459"/>
    <n v="103"/>
    <n v="347"/>
    <m/>
    <m/>
    <m/>
    <m/>
    <m/>
    <m/>
    <m/>
    <m/>
    <m/>
    <m/>
    <m/>
    <m/>
    <m/>
    <m/>
    <m/>
    <m/>
    <m/>
    <m/>
    <m/>
    <m/>
    <m/>
    <m/>
    <m/>
    <m/>
    <m/>
    <m/>
    <m/>
    <m/>
    <m/>
    <m/>
    <m/>
    <m/>
    <m/>
    <m/>
    <m/>
    <m/>
    <m/>
    <m/>
    <m/>
    <x v="1"/>
    <x v="1"/>
    <m/>
    <m/>
    <m/>
    <m/>
    <m/>
    <m/>
    <m/>
    <m/>
    <m/>
    <m/>
    <m/>
    <m/>
    <m/>
    <m/>
    <m/>
    <m/>
    <m/>
    <s v="no test"/>
    <s v="no test"/>
    <x v="1"/>
    <n v="0"/>
    <n v="0"/>
    <n v="0"/>
    <n v="0"/>
    <n v="0"/>
    <n v="0"/>
    <n v="0"/>
    <n v="0"/>
    <n v="0"/>
    <n v="0"/>
    <n v="0"/>
    <n v="0"/>
    <n v="0"/>
    <n v="0"/>
    <n v="1"/>
    <n v="347"/>
    <n v="1"/>
    <n v="1"/>
    <n v="0"/>
    <n v="0"/>
    <n v="0"/>
    <n v="0"/>
    <n v="0"/>
    <n v="7"/>
    <n v="7"/>
    <n v="1"/>
    <n v="0"/>
    <n v="0"/>
    <n v="0"/>
    <n v="0"/>
    <n v="0"/>
    <n v="0"/>
    <n v="0"/>
    <n v="1"/>
    <n v="0"/>
    <n v="0"/>
    <n v="0"/>
    <n v="0"/>
    <n v="0"/>
    <n v="0"/>
    <n v="0"/>
    <x v="0"/>
    <n v="0"/>
    <n v="0"/>
    <x v="3"/>
    <x v="8"/>
    <x v="4"/>
    <n v="20.670539860000002"/>
    <n v="92.703033450000007"/>
    <n v="197675"/>
    <x v="1"/>
    <m/>
  </r>
  <r>
    <x v="0"/>
    <x v="2"/>
    <x v="2"/>
    <m/>
    <x v="2"/>
    <x v="21"/>
    <x v="3"/>
    <x v="460"/>
    <n v="16"/>
    <n v="54"/>
    <m/>
    <m/>
    <m/>
    <m/>
    <m/>
    <m/>
    <m/>
    <m/>
    <m/>
    <m/>
    <m/>
    <m/>
    <m/>
    <m/>
    <m/>
    <m/>
    <m/>
    <m/>
    <m/>
    <m/>
    <m/>
    <m/>
    <m/>
    <m/>
    <m/>
    <m/>
    <m/>
    <m/>
    <m/>
    <m/>
    <m/>
    <m/>
    <m/>
    <m/>
    <m/>
    <m/>
    <m/>
    <m/>
    <m/>
    <x v="1"/>
    <x v="1"/>
    <m/>
    <m/>
    <m/>
    <m/>
    <m/>
    <m/>
    <m/>
    <m/>
    <m/>
    <m/>
    <m/>
    <m/>
    <m/>
    <m/>
    <m/>
    <m/>
    <m/>
    <s v="no test"/>
    <s v="no test"/>
    <x v="1"/>
    <n v="0"/>
    <n v="0"/>
    <n v="0"/>
    <n v="0"/>
    <n v="0"/>
    <n v="0"/>
    <n v="0"/>
    <n v="0"/>
    <n v="0"/>
    <n v="0"/>
    <n v="0"/>
    <n v="0"/>
    <n v="0"/>
    <n v="0"/>
    <n v="1"/>
    <n v="54"/>
    <n v="1"/>
    <n v="1"/>
    <n v="0"/>
    <n v="0"/>
    <n v="0"/>
    <n v="0"/>
    <n v="0"/>
    <n v="1"/>
    <n v="1"/>
    <n v="1"/>
    <n v="0"/>
    <n v="0"/>
    <n v="0"/>
    <n v="0"/>
    <n v="0"/>
    <n v="0"/>
    <n v="0"/>
    <n v="1"/>
    <n v="0"/>
    <n v="0"/>
    <n v="0"/>
    <n v="0"/>
    <n v="0"/>
    <n v="0"/>
    <n v="0"/>
    <x v="0"/>
    <n v="0"/>
    <n v="0"/>
    <x v="3"/>
    <x v="8"/>
    <x v="2"/>
    <n v="0"/>
    <n v="0"/>
    <n v="0"/>
    <x v="1"/>
    <m/>
  </r>
  <r>
    <x v="0"/>
    <x v="2"/>
    <x v="2"/>
    <m/>
    <x v="2"/>
    <x v="21"/>
    <x v="3"/>
    <x v="461"/>
    <n v="13"/>
    <n v="56"/>
    <m/>
    <m/>
    <m/>
    <m/>
    <m/>
    <m/>
    <m/>
    <m/>
    <m/>
    <m/>
    <m/>
    <m/>
    <m/>
    <m/>
    <m/>
    <m/>
    <m/>
    <m/>
    <m/>
    <m/>
    <m/>
    <m/>
    <m/>
    <m/>
    <m/>
    <m/>
    <m/>
    <m/>
    <m/>
    <m/>
    <m/>
    <m/>
    <m/>
    <m/>
    <m/>
    <m/>
    <m/>
    <m/>
    <m/>
    <x v="1"/>
    <x v="1"/>
    <m/>
    <m/>
    <m/>
    <m/>
    <m/>
    <m/>
    <m/>
    <m/>
    <m/>
    <m/>
    <m/>
    <m/>
    <m/>
    <m/>
    <m/>
    <m/>
    <m/>
    <s v="no test"/>
    <s v="no test"/>
    <x v="1"/>
    <n v="0"/>
    <n v="0"/>
    <n v="0"/>
    <n v="0"/>
    <n v="0"/>
    <n v="0"/>
    <n v="0"/>
    <n v="0"/>
    <n v="0"/>
    <n v="0"/>
    <n v="0"/>
    <n v="0"/>
    <n v="0"/>
    <n v="0"/>
    <n v="1"/>
    <n v="56"/>
    <n v="1"/>
    <n v="1"/>
    <n v="0"/>
    <n v="0"/>
    <n v="0"/>
    <n v="0"/>
    <n v="0"/>
    <n v="1"/>
    <n v="1"/>
    <n v="1"/>
    <n v="0"/>
    <n v="0"/>
    <n v="0"/>
    <n v="0"/>
    <n v="0"/>
    <n v="0"/>
    <n v="0"/>
    <n v="1"/>
    <n v="0"/>
    <n v="0"/>
    <n v="0"/>
    <n v="0"/>
    <n v="0"/>
    <n v="0"/>
    <n v="0"/>
    <x v="0"/>
    <n v="0"/>
    <n v="0"/>
    <x v="3"/>
    <x v="8"/>
    <x v="2"/>
    <n v="20.631229400634801"/>
    <n v="92.641532897949205"/>
    <n v="197581"/>
    <x v="1"/>
    <m/>
  </r>
  <r>
    <x v="0"/>
    <x v="23"/>
    <x v="24"/>
    <m/>
    <x v="2"/>
    <x v="21"/>
    <x v="3"/>
    <x v="462"/>
    <n v="121"/>
    <n v="624"/>
    <m/>
    <m/>
    <m/>
    <m/>
    <m/>
    <m/>
    <m/>
    <m/>
    <m/>
    <m/>
    <m/>
    <m/>
    <m/>
    <m/>
    <m/>
    <m/>
    <m/>
    <m/>
    <m/>
    <m/>
    <m/>
    <m/>
    <m/>
    <m/>
    <m/>
    <m/>
    <m/>
    <m/>
    <m/>
    <m/>
    <m/>
    <n v="20"/>
    <m/>
    <m/>
    <m/>
    <m/>
    <m/>
    <m/>
    <m/>
    <x v="1"/>
    <x v="1"/>
    <m/>
    <m/>
    <m/>
    <m/>
    <m/>
    <m/>
    <m/>
    <m/>
    <m/>
    <m/>
    <m/>
    <m/>
    <m/>
    <m/>
    <m/>
    <m/>
    <m/>
    <s v="no test"/>
    <s v="no test"/>
    <x v="1"/>
    <n v="0"/>
    <n v="0"/>
    <n v="0"/>
    <n v="0"/>
    <n v="0"/>
    <n v="0"/>
    <n v="0"/>
    <n v="0"/>
    <n v="0"/>
    <n v="0"/>
    <n v="0"/>
    <n v="0"/>
    <n v="0"/>
    <n v="0"/>
    <n v="1"/>
    <n v="624"/>
    <n v="1"/>
    <n v="1"/>
    <n v="20"/>
    <n v="1"/>
    <n v="624"/>
    <n v="0"/>
    <n v="0"/>
    <n v="12"/>
    <n v="0"/>
    <n v="0"/>
    <n v="0"/>
    <n v="0"/>
    <n v="0"/>
    <n v="0"/>
    <n v="0"/>
    <n v="0"/>
    <n v="0"/>
    <n v="1"/>
    <n v="0"/>
    <n v="0"/>
    <n v="0"/>
    <n v="0"/>
    <n v="0"/>
    <n v="0"/>
    <n v="0"/>
    <x v="0"/>
    <n v="0"/>
    <n v="0"/>
    <x v="3"/>
    <x v="8"/>
    <x v="2"/>
    <n v="20.586620330810501"/>
    <n v="92.689620971679702"/>
    <n v="220693"/>
    <x v="0"/>
    <m/>
  </r>
  <r>
    <x v="0"/>
    <x v="2"/>
    <x v="2"/>
    <m/>
    <x v="2"/>
    <x v="21"/>
    <x v="3"/>
    <x v="463"/>
    <n v="54"/>
    <n v="193"/>
    <m/>
    <m/>
    <m/>
    <m/>
    <m/>
    <m/>
    <m/>
    <m/>
    <m/>
    <m/>
    <m/>
    <m/>
    <m/>
    <m/>
    <m/>
    <m/>
    <m/>
    <m/>
    <m/>
    <m/>
    <m/>
    <m/>
    <m/>
    <m/>
    <m/>
    <m/>
    <m/>
    <m/>
    <m/>
    <m/>
    <m/>
    <m/>
    <m/>
    <m/>
    <m/>
    <m/>
    <m/>
    <m/>
    <m/>
    <x v="1"/>
    <x v="1"/>
    <m/>
    <m/>
    <m/>
    <m/>
    <m/>
    <m/>
    <m/>
    <m/>
    <m/>
    <m/>
    <m/>
    <m/>
    <m/>
    <m/>
    <m/>
    <m/>
    <m/>
    <s v="no test"/>
    <s v="no test"/>
    <x v="1"/>
    <n v="0"/>
    <n v="0"/>
    <n v="0"/>
    <n v="0"/>
    <n v="0"/>
    <n v="0"/>
    <n v="0"/>
    <n v="0"/>
    <n v="0"/>
    <n v="0"/>
    <n v="0"/>
    <n v="0"/>
    <n v="0"/>
    <n v="0"/>
    <n v="1"/>
    <n v="193"/>
    <n v="1"/>
    <n v="1"/>
    <n v="0"/>
    <n v="0"/>
    <n v="0"/>
    <n v="0"/>
    <n v="0"/>
    <n v="4"/>
    <n v="4"/>
    <n v="1"/>
    <n v="0"/>
    <n v="0"/>
    <n v="0"/>
    <n v="0"/>
    <n v="0"/>
    <n v="0"/>
    <n v="0"/>
    <n v="1"/>
    <n v="0"/>
    <n v="0"/>
    <n v="0"/>
    <n v="0"/>
    <n v="0"/>
    <n v="0"/>
    <n v="0"/>
    <x v="0"/>
    <n v="0"/>
    <n v="0"/>
    <x v="3"/>
    <x v="8"/>
    <x v="2"/>
    <n v="0"/>
    <n v="0"/>
    <s v="MMR012008701503"/>
    <x v="1"/>
    <m/>
  </r>
  <r>
    <x v="0"/>
    <x v="30"/>
    <x v="31"/>
    <m/>
    <x v="2"/>
    <x v="21"/>
    <x v="3"/>
    <x v="464"/>
    <n v="33"/>
    <n v="188"/>
    <m/>
    <m/>
    <m/>
    <m/>
    <m/>
    <m/>
    <m/>
    <m/>
    <m/>
    <m/>
    <m/>
    <m/>
    <m/>
    <m/>
    <m/>
    <m/>
    <m/>
    <m/>
    <m/>
    <m/>
    <m/>
    <m/>
    <m/>
    <m/>
    <m/>
    <m/>
    <m/>
    <m/>
    <m/>
    <m/>
    <m/>
    <n v="10"/>
    <m/>
    <m/>
    <m/>
    <m/>
    <m/>
    <m/>
    <m/>
    <x v="1"/>
    <x v="1"/>
    <m/>
    <m/>
    <m/>
    <m/>
    <m/>
    <m/>
    <m/>
    <m/>
    <m/>
    <m/>
    <m/>
    <m/>
    <m/>
    <m/>
    <m/>
    <m/>
    <m/>
    <s v="no test"/>
    <s v="no test"/>
    <x v="1"/>
    <n v="0"/>
    <n v="0"/>
    <n v="0"/>
    <n v="0"/>
    <n v="0"/>
    <n v="0"/>
    <n v="0"/>
    <n v="0"/>
    <n v="0"/>
    <n v="0"/>
    <n v="0"/>
    <n v="0"/>
    <n v="0"/>
    <n v="0"/>
    <n v="1"/>
    <n v="188"/>
    <n v="1"/>
    <n v="1"/>
    <n v="10"/>
    <n v="1"/>
    <n v="188"/>
    <n v="0"/>
    <n v="0"/>
    <n v="4"/>
    <n v="0"/>
    <n v="0"/>
    <n v="0"/>
    <n v="0"/>
    <n v="0"/>
    <n v="0"/>
    <n v="0"/>
    <n v="0"/>
    <n v="0"/>
    <n v="1"/>
    <n v="0"/>
    <n v="0"/>
    <n v="0"/>
    <n v="0"/>
    <n v="0"/>
    <n v="0"/>
    <n v="0"/>
    <x v="0"/>
    <n v="0"/>
    <n v="0"/>
    <x v="3"/>
    <x v="8"/>
    <x v="4"/>
    <n v="20.678159709999999"/>
    <n v="92.713821409999994"/>
    <n v="197683"/>
    <x v="0"/>
    <m/>
  </r>
  <r>
    <x v="0"/>
    <x v="32"/>
    <x v="34"/>
    <m/>
    <x v="2"/>
    <x v="21"/>
    <x v="3"/>
    <x v="465"/>
    <n v="84"/>
    <n v="423"/>
    <m/>
    <m/>
    <m/>
    <m/>
    <m/>
    <m/>
    <m/>
    <m/>
    <m/>
    <m/>
    <m/>
    <m/>
    <m/>
    <m/>
    <m/>
    <m/>
    <m/>
    <m/>
    <m/>
    <m/>
    <m/>
    <m/>
    <m/>
    <m/>
    <m/>
    <m/>
    <m/>
    <m/>
    <m/>
    <m/>
    <m/>
    <m/>
    <m/>
    <m/>
    <m/>
    <m/>
    <m/>
    <m/>
    <m/>
    <x v="1"/>
    <x v="1"/>
    <m/>
    <m/>
    <m/>
    <m/>
    <m/>
    <m/>
    <m/>
    <m/>
    <m/>
    <m/>
    <m/>
    <m/>
    <m/>
    <m/>
    <m/>
    <m/>
    <m/>
    <s v="no test"/>
    <s v="no test"/>
    <x v="1"/>
    <n v="0"/>
    <n v="0"/>
    <n v="0"/>
    <n v="0"/>
    <n v="0"/>
    <n v="0"/>
    <n v="0"/>
    <n v="0"/>
    <n v="0"/>
    <n v="0"/>
    <n v="0"/>
    <n v="0"/>
    <n v="0"/>
    <n v="0"/>
    <n v="1"/>
    <n v="423"/>
    <n v="1"/>
    <n v="1"/>
    <n v="0"/>
    <n v="0"/>
    <n v="0"/>
    <n v="0"/>
    <n v="0"/>
    <n v="8"/>
    <n v="8"/>
    <n v="1"/>
    <n v="0"/>
    <n v="0"/>
    <n v="0"/>
    <n v="0"/>
    <n v="0"/>
    <n v="0"/>
    <n v="0"/>
    <n v="1"/>
    <n v="0"/>
    <n v="0"/>
    <n v="0"/>
    <n v="0"/>
    <n v="0"/>
    <n v="0"/>
    <n v="0"/>
    <x v="0"/>
    <n v="0"/>
    <n v="0"/>
    <x v="3"/>
    <x v="8"/>
    <x v="2"/>
    <n v="20.660871505737301"/>
    <n v="92.683090209960895"/>
    <n v="197677"/>
    <x v="0"/>
    <m/>
  </r>
  <r>
    <x v="0"/>
    <x v="32"/>
    <x v="34"/>
    <m/>
    <x v="2"/>
    <x v="21"/>
    <x v="3"/>
    <x v="466"/>
    <n v="20"/>
    <n v="113"/>
    <m/>
    <m/>
    <m/>
    <m/>
    <m/>
    <m/>
    <m/>
    <m/>
    <m/>
    <m/>
    <m/>
    <m/>
    <m/>
    <m/>
    <m/>
    <m/>
    <m/>
    <m/>
    <m/>
    <m/>
    <m/>
    <m/>
    <m/>
    <m/>
    <m/>
    <m/>
    <m/>
    <m/>
    <m/>
    <m/>
    <m/>
    <m/>
    <m/>
    <m/>
    <m/>
    <m/>
    <m/>
    <m/>
    <m/>
    <x v="1"/>
    <x v="1"/>
    <m/>
    <m/>
    <m/>
    <m/>
    <m/>
    <m/>
    <m/>
    <m/>
    <m/>
    <m/>
    <m/>
    <m/>
    <m/>
    <m/>
    <m/>
    <m/>
    <m/>
    <s v="no test"/>
    <s v="no test"/>
    <x v="1"/>
    <n v="0"/>
    <n v="0"/>
    <n v="0"/>
    <n v="0"/>
    <n v="0"/>
    <n v="0"/>
    <n v="0"/>
    <n v="0"/>
    <n v="0"/>
    <n v="0"/>
    <n v="0"/>
    <n v="0"/>
    <n v="0"/>
    <n v="0"/>
    <n v="1"/>
    <n v="113"/>
    <n v="1"/>
    <n v="1"/>
    <n v="0"/>
    <n v="0"/>
    <n v="0"/>
    <n v="0"/>
    <n v="0"/>
    <n v="2"/>
    <n v="2"/>
    <n v="1"/>
    <n v="0"/>
    <n v="0"/>
    <n v="0"/>
    <n v="0"/>
    <n v="0"/>
    <n v="0"/>
    <n v="0"/>
    <n v="1"/>
    <n v="0"/>
    <n v="0"/>
    <n v="0"/>
    <n v="0"/>
    <n v="0"/>
    <n v="0"/>
    <n v="0"/>
    <x v="0"/>
    <n v="0"/>
    <n v="0"/>
    <x v="3"/>
    <x v="8"/>
    <x v="2"/>
    <n v="0"/>
    <n v="0"/>
    <n v="0"/>
    <x v="0"/>
    <m/>
  </r>
  <r>
    <x v="0"/>
    <x v="33"/>
    <x v="35"/>
    <m/>
    <x v="2"/>
    <x v="21"/>
    <x v="3"/>
    <x v="467"/>
    <n v="298"/>
    <n v="1260"/>
    <m/>
    <m/>
    <m/>
    <m/>
    <m/>
    <m/>
    <m/>
    <m/>
    <m/>
    <m/>
    <m/>
    <m/>
    <m/>
    <m/>
    <m/>
    <m/>
    <m/>
    <m/>
    <m/>
    <m/>
    <m/>
    <m/>
    <m/>
    <m/>
    <m/>
    <m/>
    <m/>
    <m/>
    <m/>
    <m/>
    <m/>
    <n v="20"/>
    <m/>
    <m/>
    <m/>
    <m/>
    <m/>
    <m/>
    <m/>
    <x v="1"/>
    <x v="1"/>
    <m/>
    <m/>
    <m/>
    <m/>
    <m/>
    <m/>
    <m/>
    <m/>
    <m/>
    <m/>
    <m/>
    <m/>
    <m/>
    <m/>
    <m/>
    <m/>
    <m/>
    <s v="no test"/>
    <s v="no test"/>
    <x v="1"/>
    <n v="0"/>
    <n v="0"/>
    <n v="0"/>
    <n v="0"/>
    <n v="0"/>
    <n v="0"/>
    <n v="0"/>
    <n v="0"/>
    <n v="0"/>
    <n v="0"/>
    <n v="0"/>
    <n v="0"/>
    <n v="0"/>
    <n v="0"/>
    <n v="1"/>
    <n v="1260"/>
    <n v="3"/>
    <n v="3"/>
    <n v="20"/>
    <n v="0.79365079365079361"/>
    <n v="1000"/>
    <n v="0"/>
    <n v="0"/>
    <n v="25"/>
    <n v="5"/>
    <n v="0.20634920634920639"/>
    <n v="0"/>
    <n v="0"/>
    <n v="0"/>
    <n v="0"/>
    <n v="0"/>
    <n v="0"/>
    <n v="0"/>
    <n v="1"/>
    <n v="0"/>
    <n v="0"/>
    <n v="0"/>
    <n v="0"/>
    <n v="0"/>
    <n v="0"/>
    <n v="0"/>
    <x v="0"/>
    <n v="0"/>
    <n v="0"/>
    <x v="3"/>
    <x v="8"/>
    <x v="2"/>
    <n v="0"/>
    <n v="0"/>
    <n v="0"/>
    <x v="0"/>
    <m/>
  </r>
  <r>
    <x v="0"/>
    <x v="2"/>
    <x v="2"/>
    <m/>
    <x v="1"/>
    <x v="13"/>
    <x v="3"/>
    <x v="468"/>
    <n v="10"/>
    <n v="25"/>
    <m/>
    <m/>
    <m/>
    <m/>
    <m/>
    <m/>
    <m/>
    <m/>
    <m/>
    <m/>
    <m/>
    <m/>
    <m/>
    <m/>
    <m/>
    <m/>
    <m/>
    <m/>
    <m/>
    <m/>
    <m/>
    <m/>
    <m/>
    <m/>
    <m/>
    <m/>
    <m/>
    <m/>
    <m/>
    <m/>
    <m/>
    <m/>
    <m/>
    <m/>
    <m/>
    <m/>
    <m/>
    <m/>
    <m/>
    <x v="1"/>
    <x v="1"/>
    <m/>
    <m/>
    <m/>
    <m/>
    <m/>
    <m/>
    <m/>
    <m/>
    <m/>
    <m/>
    <m/>
    <m/>
    <m/>
    <m/>
    <m/>
    <m/>
    <m/>
    <s v="no test"/>
    <s v="no test"/>
    <x v="1"/>
    <n v="0"/>
    <n v="0"/>
    <n v="0"/>
    <n v="0"/>
    <n v="0"/>
    <n v="0"/>
    <n v="0"/>
    <n v="0"/>
    <n v="0"/>
    <n v="0"/>
    <n v="0"/>
    <n v="0"/>
    <n v="0"/>
    <n v="0"/>
    <n v="1"/>
    <n v="25"/>
    <n v="1"/>
    <n v="1"/>
    <n v="0"/>
    <n v="0"/>
    <n v="0"/>
    <n v="0"/>
    <n v="0"/>
    <n v="1"/>
    <n v="1"/>
    <n v="1"/>
    <n v="0"/>
    <n v="0"/>
    <n v="0"/>
    <n v="0"/>
    <n v="0"/>
    <n v="0"/>
    <n v="0"/>
    <n v="1"/>
    <n v="0"/>
    <n v="0"/>
    <n v="0"/>
    <n v="0"/>
    <n v="0"/>
    <n v="0"/>
    <n v="0"/>
    <x v="0"/>
    <n v="0"/>
    <n v="0"/>
    <x v="3"/>
    <x v="8"/>
    <x v="2"/>
    <n v="20.343349456787099"/>
    <n v="93.121322631835895"/>
    <n v="197470"/>
    <x v="1"/>
    <m/>
  </r>
  <r>
    <x v="0"/>
    <x v="2"/>
    <x v="2"/>
    <m/>
    <x v="1"/>
    <x v="13"/>
    <x v="3"/>
    <x v="469"/>
    <n v="19"/>
    <n v="45"/>
    <m/>
    <m/>
    <m/>
    <m/>
    <m/>
    <m/>
    <m/>
    <m/>
    <m/>
    <m/>
    <m/>
    <m/>
    <m/>
    <m/>
    <m/>
    <m/>
    <m/>
    <m/>
    <m/>
    <m/>
    <m/>
    <m/>
    <m/>
    <m/>
    <m/>
    <m/>
    <m/>
    <m/>
    <m/>
    <m/>
    <m/>
    <m/>
    <m/>
    <m/>
    <m/>
    <m/>
    <m/>
    <m/>
    <m/>
    <x v="1"/>
    <x v="1"/>
    <m/>
    <m/>
    <m/>
    <m/>
    <m/>
    <m/>
    <m/>
    <m/>
    <m/>
    <m/>
    <m/>
    <m/>
    <m/>
    <m/>
    <m/>
    <m/>
    <m/>
    <s v="no test"/>
    <s v="no test"/>
    <x v="1"/>
    <n v="0"/>
    <n v="0"/>
    <n v="0"/>
    <n v="0"/>
    <n v="0"/>
    <n v="0"/>
    <n v="0"/>
    <n v="0"/>
    <n v="0"/>
    <n v="0"/>
    <n v="0"/>
    <n v="0"/>
    <n v="0"/>
    <n v="0"/>
    <n v="1"/>
    <n v="45"/>
    <n v="1"/>
    <n v="1"/>
    <n v="0"/>
    <n v="0"/>
    <n v="0"/>
    <n v="0"/>
    <n v="0"/>
    <n v="1"/>
    <n v="1"/>
    <n v="1"/>
    <n v="0"/>
    <n v="0"/>
    <n v="0"/>
    <n v="0"/>
    <n v="0"/>
    <n v="0"/>
    <n v="0"/>
    <n v="1"/>
    <n v="0"/>
    <n v="0"/>
    <n v="0"/>
    <n v="0"/>
    <n v="0"/>
    <n v="0"/>
    <n v="0"/>
    <x v="0"/>
    <n v="0"/>
    <n v="0"/>
    <x v="3"/>
    <x v="8"/>
    <x v="2"/>
    <n v="0"/>
    <n v="0"/>
    <s v="MMR012007701505"/>
    <x v="1"/>
    <m/>
  </r>
  <r>
    <x v="0"/>
    <x v="34"/>
    <x v="36"/>
    <m/>
    <x v="1"/>
    <x v="22"/>
    <x v="3"/>
    <x v="470"/>
    <n v="417"/>
    <n v="2027"/>
    <m/>
    <m/>
    <m/>
    <m/>
    <m/>
    <m/>
    <m/>
    <m/>
    <m/>
    <m/>
    <m/>
    <m/>
    <m/>
    <m/>
    <m/>
    <m/>
    <m/>
    <m/>
    <m/>
    <m/>
    <m/>
    <m/>
    <m/>
    <m/>
    <m/>
    <m/>
    <m/>
    <m/>
    <m/>
    <m/>
    <m/>
    <n v="30"/>
    <m/>
    <m/>
    <m/>
    <m/>
    <m/>
    <m/>
    <m/>
    <x v="1"/>
    <x v="1"/>
    <m/>
    <m/>
    <m/>
    <m/>
    <m/>
    <m/>
    <m/>
    <m/>
    <m/>
    <m/>
    <m/>
    <n v="122"/>
    <n v="122"/>
    <m/>
    <m/>
    <m/>
    <m/>
    <s v="no test"/>
    <s v="no test"/>
    <x v="1"/>
    <n v="0"/>
    <n v="0"/>
    <n v="0"/>
    <n v="0"/>
    <n v="0"/>
    <n v="0"/>
    <n v="0"/>
    <n v="0"/>
    <n v="0"/>
    <n v="0"/>
    <n v="0"/>
    <n v="0"/>
    <n v="0"/>
    <n v="0"/>
    <n v="1"/>
    <n v="2027"/>
    <n v="4"/>
    <n v="4"/>
    <n v="30"/>
    <n v="0.740009866798224"/>
    <n v="1500"/>
    <n v="0"/>
    <n v="0"/>
    <n v="41"/>
    <n v="11"/>
    <n v="0.259990133201776"/>
    <n v="0"/>
    <n v="0"/>
    <n v="610"/>
    <n v="610"/>
    <n v="610"/>
    <n v="610"/>
    <n v="0.30093734583127774"/>
    <n v="0.69906265416872226"/>
    <n v="0"/>
    <n v="0.29256594724220625"/>
    <n v="0.29256594724220625"/>
    <n v="0"/>
    <n v="0"/>
    <n v="0"/>
    <n v="0"/>
    <x v="0"/>
    <n v="0"/>
    <n v="0"/>
    <x v="3"/>
    <x v="8"/>
    <x v="2"/>
    <n v="20.686229705810501"/>
    <n v="93.220001220703097"/>
    <n v="196453"/>
    <x v="0"/>
    <m/>
  </r>
  <r>
    <x v="0"/>
    <x v="35"/>
    <x v="37"/>
    <m/>
    <x v="1"/>
    <x v="22"/>
    <x v="3"/>
    <x v="471"/>
    <n v="446"/>
    <n v="2290"/>
    <m/>
    <m/>
    <m/>
    <m/>
    <m/>
    <m/>
    <m/>
    <m/>
    <m/>
    <m/>
    <m/>
    <m/>
    <m/>
    <m/>
    <m/>
    <m/>
    <m/>
    <m/>
    <m/>
    <m/>
    <m/>
    <m/>
    <m/>
    <m/>
    <m/>
    <m/>
    <m/>
    <m/>
    <m/>
    <m/>
    <m/>
    <m/>
    <m/>
    <m/>
    <m/>
    <m/>
    <m/>
    <m/>
    <m/>
    <x v="1"/>
    <x v="1"/>
    <m/>
    <m/>
    <m/>
    <m/>
    <m/>
    <m/>
    <m/>
    <m/>
    <m/>
    <m/>
    <m/>
    <n v="100"/>
    <n v="100"/>
    <m/>
    <m/>
    <m/>
    <m/>
    <s v="no test"/>
    <s v="no test"/>
    <x v="1"/>
    <n v="0"/>
    <n v="0"/>
    <n v="0"/>
    <n v="0"/>
    <n v="0"/>
    <n v="0"/>
    <n v="0"/>
    <n v="0"/>
    <n v="0"/>
    <n v="0"/>
    <n v="0"/>
    <n v="0"/>
    <n v="0"/>
    <n v="0"/>
    <n v="1"/>
    <n v="2290"/>
    <n v="5"/>
    <n v="5"/>
    <n v="0"/>
    <n v="0"/>
    <n v="0"/>
    <n v="0"/>
    <n v="0"/>
    <n v="46"/>
    <n v="46"/>
    <n v="1"/>
    <n v="0"/>
    <n v="0"/>
    <n v="500"/>
    <n v="500"/>
    <n v="500"/>
    <n v="500"/>
    <n v="0.2183406113537118"/>
    <n v="0.78165938864628814"/>
    <n v="0"/>
    <n v="0.22421524663677131"/>
    <n v="0.22421524663677131"/>
    <n v="0"/>
    <n v="0"/>
    <n v="0"/>
    <n v="0"/>
    <x v="0"/>
    <n v="0"/>
    <n v="0"/>
    <x v="3"/>
    <x v="8"/>
    <x v="2"/>
    <n v="20.686229705810501"/>
    <n v="93.220001220703097"/>
    <n v="196453"/>
    <x v="0"/>
    <m/>
  </r>
  <r>
    <x v="0"/>
    <x v="36"/>
    <x v="10"/>
    <s v="OFDA"/>
    <x v="2"/>
    <x v="14"/>
    <x v="2"/>
    <x v="472"/>
    <n v="38"/>
    <n v="184"/>
    <d v="2018-05-31T00:00:00"/>
    <d v="2019-07-31T00:00:00"/>
    <m/>
    <m/>
    <m/>
    <m/>
    <m/>
    <m/>
    <m/>
    <n v="0"/>
    <n v="0"/>
    <n v="0"/>
    <n v="1"/>
    <n v="2"/>
    <n v="0"/>
    <n v="0"/>
    <n v="0"/>
    <n v="0"/>
    <n v="0"/>
    <m/>
    <n v="1"/>
    <m/>
    <m/>
    <n v="0"/>
    <n v="1"/>
    <n v="0"/>
    <n v="1"/>
    <n v="1"/>
    <n v="0"/>
    <n v="1"/>
    <m/>
    <n v="24"/>
    <n v="0"/>
    <m/>
    <m/>
    <m/>
    <m/>
    <m/>
    <n v="24"/>
    <x v="0"/>
    <x v="4"/>
    <n v="0"/>
    <m/>
    <n v="0"/>
    <m/>
    <m/>
    <m/>
    <m/>
    <m/>
    <m/>
    <n v="1"/>
    <n v="0"/>
    <n v="38"/>
    <n v="38"/>
    <s v="No"/>
    <n v="2"/>
    <m/>
    <m/>
    <n v="0"/>
    <n v="1"/>
    <x v="0"/>
    <n v="0"/>
    <n v="3"/>
    <n v="0"/>
    <n v="0"/>
    <n v="0"/>
    <n v="1"/>
    <n v="1"/>
    <n v="1"/>
    <n v="184"/>
    <n v="1"/>
    <n v="184"/>
    <n v="1"/>
    <n v="184"/>
    <n v="0.36799999999999999"/>
    <n v="0"/>
    <n v="0"/>
    <n v="0.63200000000000001"/>
    <n v="1"/>
    <n v="24"/>
    <n v="0.78260869565217395"/>
    <n v="144"/>
    <s v="N/A"/>
    <s v="NA"/>
    <n v="31"/>
    <n v="7"/>
    <n v="0.21739130434782605"/>
    <n v="0"/>
    <n v="184"/>
    <n v="184"/>
    <n v="184"/>
    <n v="184"/>
    <n v="184"/>
    <n v="1"/>
    <n v="0"/>
    <n v="1"/>
    <n v="1"/>
    <n v="1"/>
    <n v="0"/>
    <n v="0"/>
    <n v="0"/>
    <n v="0"/>
    <x v="0"/>
    <n v="0"/>
    <n v="0"/>
    <x v="2"/>
    <x v="6"/>
    <x v="2"/>
    <n v="20.813840866088899"/>
    <n v="92.599952697753906"/>
    <n v="198357"/>
    <x v="0"/>
    <m/>
  </r>
  <r>
    <x v="0"/>
    <x v="36"/>
    <x v="10"/>
    <s v="OFDA"/>
    <x v="2"/>
    <x v="14"/>
    <x v="3"/>
    <x v="473"/>
    <n v="41"/>
    <n v="172"/>
    <d v="2018-05-31T00:00:00"/>
    <d v="2019-07-31T00:00:00"/>
    <m/>
    <m/>
    <m/>
    <m/>
    <m/>
    <m/>
    <m/>
    <n v="0"/>
    <n v="0"/>
    <n v="0"/>
    <n v="2"/>
    <n v="0"/>
    <n v="0"/>
    <n v="0"/>
    <n v="0"/>
    <n v="1"/>
    <n v="0"/>
    <m/>
    <n v="2"/>
    <m/>
    <m/>
    <n v="0"/>
    <n v="1"/>
    <n v="0"/>
    <n v="1"/>
    <n v="1"/>
    <n v="1"/>
    <n v="1"/>
    <m/>
    <n v="0"/>
    <n v="0"/>
    <m/>
    <m/>
    <m/>
    <m/>
    <m/>
    <n v="0"/>
    <x v="2"/>
    <x v="4"/>
    <n v="0"/>
    <m/>
    <n v="6"/>
    <m/>
    <m/>
    <m/>
    <m/>
    <m/>
    <m/>
    <n v="1"/>
    <n v="1"/>
    <n v="41"/>
    <n v="0"/>
    <s v="No"/>
    <n v="2"/>
    <m/>
    <m/>
    <n v="0"/>
    <n v="1"/>
    <x v="0"/>
    <n v="0"/>
    <n v="2"/>
    <n v="-1"/>
    <n v="0"/>
    <n v="0"/>
    <n v="1"/>
    <n v="1"/>
    <n v="1"/>
    <n v="172"/>
    <n v="1"/>
    <n v="172"/>
    <n v="1"/>
    <n v="172"/>
    <n v="0.34399999999999997"/>
    <n v="0"/>
    <n v="0"/>
    <n v="0.65600000000000003"/>
    <n v="1"/>
    <n v="0"/>
    <n v="0"/>
    <n v="0"/>
    <n v="0"/>
    <n v="0"/>
    <n v="3"/>
    <n v="3"/>
    <n v="1"/>
    <n v="0"/>
    <n v="172"/>
    <n v="172"/>
    <n v="0"/>
    <n v="172"/>
    <n v="172"/>
    <n v="1"/>
    <n v="0"/>
    <n v="1"/>
    <n v="1"/>
    <n v="0"/>
    <n v="0"/>
    <n v="0"/>
    <n v="0"/>
    <n v="0"/>
    <x v="0"/>
    <n v="0"/>
    <n v="0"/>
    <x v="3"/>
    <x v="8"/>
    <x v="4"/>
    <n v="20.818290709999999"/>
    <n v="92.594978330000004"/>
    <n v="217876"/>
    <x v="0"/>
    <m/>
  </r>
  <r>
    <x v="0"/>
    <x v="36"/>
    <x v="10"/>
    <s v="OFDA"/>
    <x v="2"/>
    <x v="14"/>
    <x v="2"/>
    <x v="474"/>
    <n v="105"/>
    <n v="523"/>
    <d v="2018-05-31T00:00:00"/>
    <d v="2019-07-31T00:00:00"/>
    <m/>
    <m/>
    <m/>
    <m/>
    <m/>
    <m/>
    <m/>
    <n v="0"/>
    <n v="0"/>
    <n v="0"/>
    <n v="2"/>
    <n v="1"/>
    <n v="0"/>
    <n v="0"/>
    <n v="0"/>
    <n v="0"/>
    <n v="0"/>
    <m/>
    <n v="1"/>
    <m/>
    <m/>
    <n v="0"/>
    <n v="1"/>
    <n v="0"/>
    <n v="1"/>
    <n v="1"/>
    <n v="0"/>
    <n v="0"/>
    <m/>
    <n v="0"/>
    <n v="0"/>
    <m/>
    <m/>
    <m/>
    <m/>
    <m/>
    <n v="0"/>
    <x v="2"/>
    <x v="2"/>
    <n v="0"/>
    <m/>
    <n v="0"/>
    <m/>
    <m/>
    <m/>
    <m/>
    <m/>
    <m/>
    <n v="1"/>
    <n v="0"/>
    <n v="105"/>
    <n v="0"/>
    <s v="No"/>
    <n v="1"/>
    <m/>
    <m/>
    <n v="0"/>
    <n v="1"/>
    <x v="0"/>
    <n v="0"/>
    <n v="3"/>
    <n v="0"/>
    <n v="0"/>
    <n v="0"/>
    <n v="1"/>
    <n v="1"/>
    <n v="1"/>
    <n v="523"/>
    <n v="0.47801147227533458"/>
    <n v="250"/>
    <n v="1"/>
    <n v="523"/>
    <n v="1.046"/>
    <n v="0"/>
    <n v="0"/>
    <n v="0"/>
    <n v="1"/>
    <n v="0"/>
    <n v="0"/>
    <n v="0"/>
    <s v="N/A"/>
    <s v="NA"/>
    <n v="87"/>
    <n v="87"/>
    <n v="1"/>
    <n v="0"/>
    <n v="500"/>
    <n v="523"/>
    <n v="0"/>
    <n v="523"/>
    <n v="523"/>
    <n v="1"/>
    <n v="0"/>
    <n v="0.95602294455066916"/>
    <n v="1"/>
    <n v="0"/>
    <n v="0"/>
    <n v="0"/>
    <n v="0"/>
    <n v="0"/>
    <x v="0"/>
    <n v="0"/>
    <n v="0"/>
    <x v="2"/>
    <x v="6"/>
    <x v="3"/>
    <n v="20.806030270000001"/>
    <n v="92.601951600000007"/>
    <n v="198369"/>
    <x v="0"/>
    <m/>
  </r>
  <r>
    <x v="0"/>
    <x v="36"/>
    <x v="10"/>
    <s v="OFDA"/>
    <x v="2"/>
    <x v="14"/>
    <x v="2"/>
    <x v="475"/>
    <n v="311"/>
    <n v="1713"/>
    <d v="2018-05-31T00:00:00"/>
    <d v="2019-07-31T00:00:00"/>
    <m/>
    <m/>
    <m/>
    <m/>
    <m/>
    <m/>
    <m/>
    <n v="3"/>
    <n v="0"/>
    <n v="0"/>
    <n v="0"/>
    <n v="0"/>
    <n v="0"/>
    <n v="0"/>
    <n v="1"/>
    <n v="0"/>
    <n v="1"/>
    <m/>
    <n v="2"/>
    <m/>
    <m/>
    <n v="1"/>
    <n v="1"/>
    <n v="0"/>
    <n v="1"/>
    <n v="1"/>
    <n v="1"/>
    <n v="1"/>
    <m/>
    <n v="0"/>
    <n v="2"/>
    <m/>
    <m/>
    <m/>
    <m/>
    <m/>
    <n v="0"/>
    <x v="2"/>
    <x v="3"/>
    <n v="2"/>
    <m/>
    <n v="8"/>
    <m/>
    <m/>
    <m/>
    <m/>
    <m/>
    <m/>
    <n v="1"/>
    <n v="2"/>
    <n v="311"/>
    <n v="0"/>
    <s v="No"/>
    <n v="1"/>
    <m/>
    <m/>
    <n v="0"/>
    <n v="1"/>
    <x v="0"/>
    <n v="3"/>
    <n v="0"/>
    <n v="1"/>
    <n v="0"/>
    <n v="0"/>
    <n v="0.73944347149250833"/>
    <n v="0.47674644872543293"/>
    <n v="0.47674644872543293"/>
    <n v="816.66666666666663"/>
    <n v="0.29188558085230587"/>
    <n v="499.99999999999994"/>
    <n v="0.7686320295777388"/>
    <n v="1316.6666666666665"/>
    <n v="2.6333333333333329"/>
    <n v="0.2313679704222612"/>
    <n v="396.33333333333343"/>
    <n v="0.36666666666666714"/>
    <n v="3"/>
    <n v="2"/>
    <n v="7.0052539404553416E-3"/>
    <n v="12"/>
    <s v="N/A"/>
    <s v="NA"/>
    <n v="286"/>
    <n v="284"/>
    <n v="0.99299474605954463"/>
    <n v="0"/>
    <n v="1500"/>
    <n v="1713"/>
    <n v="0"/>
    <n v="1713"/>
    <n v="1713"/>
    <n v="1"/>
    <n v="0"/>
    <n v="0.87565674255691772"/>
    <n v="1"/>
    <n v="0"/>
    <n v="0"/>
    <n v="0"/>
    <n v="0"/>
    <n v="0"/>
    <x v="0"/>
    <n v="0"/>
    <n v="0"/>
    <x v="2"/>
    <x v="6"/>
    <x v="2"/>
    <n v="0"/>
    <n v="0"/>
    <n v="0"/>
    <x v="0"/>
    <m/>
  </r>
  <r>
    <x v="0"/>
    <x v="36"/>
    <x v="10"/>
    <s v="OFDA"/>
    <x v="2"/>
    <x v="14"/>
    <x v="2"/>
    <x v="476"/>
    <n v="20"/>
    <n v="96"/>
    <d v="2018-05-31T00:00:00"/>
    <d v="2019-07-31T00:00:00"/>
    <m/>
    <m/>
    <m/>
    <m/>
    <m/>
    <m/>
    <m/>
    <n v="0"/>
    <n v="0"/>
    <n v="0"/>
    <n v="0"/>
    <n v="0"/>
    <n v="0"/>
    <n v="0"/>
    <n v="0"/>
    <n v="0"/>
    <n v="0"/>
    <m/>
    <n v="1"/>
    <m/>
    <m/>
    <n v="0"/>
    <n v="1"/>
    <n v="0"/>
    <n v="1"/>
    <n v="1"/>
    <n v="0"/>
    <n v="0"/>
    <m/>
    <n v="17"/>
    <n v="0"/>
    <m/>
    <m/>
    <m/>
    <m/>
    <m/>
    <n v="17"/>
    <x v="2"/>
    <x v="4"/>
    <n v="0"/>
    <m/>
    <n v="0"/>
    <m/>
    <m/>
    <m/>
    <m/>
    <m/>
    <m/>
    <n v="1"/>
    <n v="0"/>
    <n v="20"/>
    <n v="20"/>
    <s v="No"/>
    <n v="0"/>
    <m/>
    <m/>
    <n v="0"/>
    <n v="1"/>
    <x v="0"/>
    <n v="0"/>
    <n v="0"/>
    <n v="0"/>
    <n v="0"/>
    <n v="0"/>
    <n v="0"/>
    <n v="0"/>
    <n v="0"/>
    <n v="0"/>
    <n v="1"/>
    <n v="96"/>
    <n v="1"/>
    <n v="96"/>
    <n v="0.192"/>
    <n v="0"/>
    <n v="0"/>
    <n v="0.80800000000000005"/>
    <n v="1"/>
    <n v="17"/>
    <n v="1"/>
    <n v="96"/>
    <s v="N/A"/>
    <s v="NA"/>
    <n v="16"/>
    <n v="0"/>
    <n v="0"/>
    <n v="0"/>
    <n v="96"/>
    <n v="96"/>
    <n v="96"/>
    <n v="96"/>
    <n v="96"/>
    <n v="1"/>
    <n v="0"/>
    <n v="1"/>
    <n v="1"/>
    <n v="1"/>
    <n v="0"/>
    <n v="0"/>
    <n v="0"/>
    <n v="0"/>
    <x v="0"/>
    <n v="0"/>
    <n v="0"/>
    <x v="2"/>
    <x v="6"/>
    <x v="2"/>
    <n v="0"/>
    <n v="0"/>
    <n v="0"/>
    <x v="0"/>
    <m/>
  </r>
  <r>
    <x v="0"/>
    <x v="36"/>
    <x v="10"/>
    <s v="OFDA"/>
    <x v="2"/>
    <x v="14"/>
    <x v="2"/>
    <x v="477"/>
    <n v="24"/>
    <n v="91"/>
    <d v="2018-05-31T00:00:00"/>
    <d v="2019-07-31T00:00:00"/>
    <m/>
    <m/>
    <m/>
    <m/>
    <m/>
    <m/>
    <m/>
    <n v="2"/>
    <n v="0"/>
    <n v="0"/>
    <n v="2"/>
    <n v="0"/>
    <n v="0"/>
    <n v="2"/>
    <n v="0"/>
    <n v="0"/>
    <n v="0"/>
    <m/>
    <n v="1"/>
    <m/>
    <m/>
    <n v="1"/>
    <n v="1"/>
    <n v="0"/>
    <n v="1"/>
    <n v="1"/>
    <n v="0"/>
    <n v="0"/>
    <m/>
    <n v="25"/>
    <n v="25"/>
    <m/>
    <m/>
    <m/>
    <m/>
    <m/>
    <n v="15"/>
    <x v="0"/>
    <x v="0"/>
    <n v="0"/>
    <m/>
    <n v="0"/>
    <m/>
    <m/>
    <m/>
    <m/>
    <m/>
    <m/>
    <n v="1"/>
    <n v="1"/>
    <n v="25"/>
    <n v="25"/>
    <s v="No"/>
    <n v="0"/>
    <m/>
    <m/>
    <n v="0"/>
    <n v="1"/>
    <x v="0"/>
    <n v="2"/>
    <n v="2"/>
    <n v="0"/>
    <n v="0"/>
    <n v="0"/>
    <n v="1"/>
    <n v="1"/>
    <n v="1"/>
    <n v="91"/>
    <n v="1"/>
    <n v="91"/>
    <n v="1"/>
    <n v="91"/>
    <n v="0.182"/>
    <n v="0"/>
    <n v="0"/>
    <n v="0.81800000000000006"/>
    <n v="1"/>
    <n v="50"/>
    <n v="1"/>
    <n v="91"/>
    <s v="N/A"/>
    <s v="NA"/>
    <n v="15"/>
    <n v="0"/>
    <n v="0"/>
    <n v="0"/>
    <n v="91"/>
    <n v="91"/>
    <n v="91"/>
    <n v="91"/>
    <n v="91"/>
    <n v="1"/>
    <n v="0"/>
    <n v="1"/>
    <n v="1"/>
    <n v="1"/>
    <n v="0"/>
    <n v="0"/>
    <n v="0"/>
    <n v="0"/>
    <x v="0"/>
    <n v="0"/>
    <n v="0"/>
    <x v="2"/>
    <x v="6"/>
    <x v="4"/>
    <n v="20.849060059999999"/>
    <n v="92.497413640000005"/>
    <n v="198313"/>
    <x v="0"/>
    <m/>
  </r>
  <r>
    <x v="0"/>
    <x v="36"/>
    <x v="10"/>
    <s v="OFDA"/>
    <x v="2"/>
    <x v="14"/>
    <x v="2"/>
    <x v="478"/>
    <n v="115"/>
    <n v="658"/>
    <d v="2018-05-31T00:00:00"/>
    <d v="2019-07-31T00:00:00"/>
    <m/>
    <m/>
    <m/>
    <m/>
    <m/>
    <m/>
    <m/>
    <n v="0"/>
    <n v="0"/>
    <n v="0"/>
    <n v="0"/>
    <n v="0"/>
    <n v="0"/>
    <n v="0"/>
    <n v="0"/>
    <n v="0"/>
    <n v="0"/>
    <m/>
    <n v="2"/>
    <m/>
    <m/>
    <n v="2"/>
    <n v="1"/>
    <n v="0"/>
    <n v="1"/>
    <n v="1"/>
    <n v="0"/>
    <n v="1"/>
    <m/>
    <n v="70"/>
    <n v="0"/>
    <m/>
    <m/>
    <m/>
    <m/>
    <m/>
    <n v="70"/>
    <x v="2"/>
    <x v="4"/>
    <n v="4"/>
    <m/>
    <n v="4"/>
    <m/>
    <m/>
    <m/>
    <m/>
    <m/>
    <m/>
    <n v="1"/>
    <n v="0"/>
    <n v="115"/>
    <n v="115"/>
    <s v="No"/>
    <n v="2"/>
    <m/>
    <m/>
    <n v="0"/>
    <n v="1"/>
    <x v="0"/>
    <n v="0"/>
    <n v="0"/>
    <n v="0"/>
    <n v="0"/>
    <n v="0"/>
    <n v="0"/>
    <n v="0"/>
    <n v="0"/>
    <n v="0"/>
    <n v="0.75987841945288759"/>
    <n v="500.00000000000006"/>
    <n v="0.75987841945288759"/>
    <n v="500.00000000000006"/>
    <n v="1.0000000000000002"/>
    <n v="0.24012158054711241"/>
    <n v="157.99999999999997"/>
    <n v="0"/>
    <n v="1"/>
    <n v="70"/>
    <n v="0.63829787234042556"/>
    <n v="420"/>
    <s v="N/A"/>
    <s v="NA"/>
    <n v="110"/>
    <n v="40"/>
    <n v="0.36170212765957444"/>
    <n v="0"/>
    <n v="500"/>
    <n v="658"/>
    <n v="658"/>
    <n v="658"/>
    <n v="658"/>
    <n v="1"/>
    <n v="0"/>
    <n v="0.75987841945288759"/>
    <n v="1"/>
    <n v="1"/>
    <n v="0"/>
    <n v="0"/>
    <n v="0"/>
    <n v="0"/>
    <x v="0"/>
    <n v="0"/>
    <n v="0"/>
    <x v="2"/>
    <x v="6"/>
    <x v="3"/>
    <n v="20.876710889999998"/>
    <n v="92.537406919999995"/>
    <n v="198301"/>
    <x v="0"/>
    <m/>
  </r>
  <r>
    <x v="0"/>
    <x v="36"/>
    <x v="10"/>
    <s v="OFDA"/>
    <x v="2"/>
    <x v="14"/>
    <x v="2"/>
    <x v="479"/>
    <n v="11"/>
    <n v="69"/>
    <d v="2018-05-31T00:00:00"/>
    <d v="2019-07-31T00:00:00"/>
    <m/>
    <m/>
    <m/>
    <m/>
    <m/>
    <m/>
    <m/>
    <n v="0"/>
    <n v="0"/>
    <n v="0"/>
    <n v="0"/>
    <n v="0"/>
    <n v="0"/>
    <n v="0"/>
    <n v="0"/>
    <n v="0"/>
    <n v="0"/>
    <m/>
    <n v="1"/>
    <m/>
    <m/>
    <n v="0"/>
    <n v="1"/>
    <n v="0"/>
    <n v="1"/>
    <n v="1"/>
    <n v="0"/>
    <n v="0"/>
    <m/>
    <n v="10"/>
    <n v="10"/>
    <m/>
    <m/>
    <m/>
    <m/>
    <m/>
    <n v="10"/>
    <x v="2"/>
    <x v="4"/>
    <n v="0"/>
    <m/>
    <n v="0"/>
    <m/>
    <m/>
    <m/>
    <m/>
    <m/>
    <m/>
    <n v="1"/>
    <n v="0"/>
    <n v="11"/>
    <n v="11"/>
    <s v="No"/>
    <n v="2"/>
    <m/>
    <m/>
    <n v="0"/>
    <n v="1"/>
    <x v="0"/>
    <n v="0"/>
    <n v="0"/>
    <n v="0"/>
    <n v="0"/>
    <n v="0"/>
    <n v="0"/>
    <n v="0"/>
    <n v="0"/>
    <n v="0"/>
    <n v="1"/>
    <n v="69"/>
    <n v="1"/>
    <n v="69"/>
    <n v="0.13800000000000001"/>
    <n v="0"/>
    <n v="0"/>
    <n v="0.86199999999999999"/>
    <n v="1"/>
    <n v="20"/>
    <n v="1"/>
    <n v="69"/>
    <s v="N/A"/>
    <s v="NA"/>
    <n v="12"/>
    <n v="0"/>
    <n v="0"/>
    <n v="0"/>
    <n v="69"/>
    <n v="69"/>
    <n v="69"/>
    <n v="69"/>
    <n v="69"/>
    <n v="1"/>
    <n v="0"/>
    <n v="1"/>
    <n v="1"/>
    <n v="1"/>
    <n v="0"/>
    <n v="0"/>
    <n v="0"/>
    <n v="0"/>
    <x v="0"/>
    <n v="0"/>
    <n v="0"/>
    <x v="2"/>
    <x v="6"/>
    <x v="3"/>
    <n v="20.887029649999999"/>
    <n v="92.556823730000005"/>
    <n v="217871"/>
    <x v="0"/>
    <m/>
  </r>
  <r>
    <x v="0"/>
    <x v="36"/>
    <x v="10"/>
    <s v="OFDA"/>
    <x v="2"/>
    <x v="14"/>
    <x v="2"/>
    <x v="480"/>
    <n v="250"/>
    <n v="1012"/>
    <d v="2018-05-31T00:00:00"/>
    <d v="2019-07-31T00:00:00"/>
    <m/>
    <m/>
    <m/>
    <m/>
    <m/>
    <m/>
    <m/>
    <n v="3"/>
    <n v="0"/>
    <n v="0"/>
    <n v="3"/>
    <n v="0"/>
    <n v="0"/>
    <n v="3"/>
    <n v="1"/>
    <n v="0"/>
    <n v="0"/>
    <m/>
    <n v="2"/>
    <m/>
    <m/>
    <n v="1"/>
    <n v="1"/>
    <n v="0"/>
    <n v="1"/>
    <n v="1"/>
    <n v="0"/>
    <n v="1"/>
    <m/>
    <n v="0"/>
    <n v="0"/>
    <m/>
    <m/>
    <m/>
    <m/>
    <m/>
    <n v="0"/>
    <x v="2"/>
    <x v="3"/>
    <n v="0"/>
    <m/>
    <n v="4"/>
    <m/>
    <m/>
    <m/>
    <m/>
    <m/>
    <m/>
    <n v="1"/>
    <n v="1"/>
    <n v="0"/>
    <n v="0"/>
    <s v="No"/>
    <n v="0"/>
    <m/>
    <m/>
    <n v="0"/>
    <n v="1"/>
    <x v="0"/>
    <n v="3"/>
    <n v="3"/>
    <n v="1"/>
    <n v="0"/>
    <n v="0"/>
    <n v="1"/>
    <n v="1"/>
    <n v="1"/>
    <n v="1012"/>
    <n v="0.49407114624505927"/>
    <n v="500"/>
    <n v="1"/>
    <n v="1012"/>
    <n v="2.024"/>
    <n v="0"/>
    <n v="0"/>
    <n v="0"/>
    <n v="2"/>
    <n v="0"/>
    <n v="0"/>
    <n v="0"/>
    <s v="N/A"/>
    <s v="NA"/>
    <n v="169"/>
    <n v="169"/>
    <n v="1"/>
    <n v="0"/>
    <n v="1000"/>
    <n v="0"/>
    <n v="0"/>
    <n v="0"/>
    <n v="1000"/>
    <n v="0.98814229249011853"/>
    <n v="1.1857707509881465E-2"/>
    <n v="0.98814229249011853"/>
    <n v="0"/>
    <n v="0"/>
    <n v="0"/>
    <n v="0"/>
    <n v="0"/>
    <n v="0"/>
    <x v="0"/>
    <n v="0"/>
    <n v="0"/>
    <x v="2"/>
    <x v="6"/>
    <x v="2"/>
    <n v="20.735639572143601"/>
    <n v="92.638076782226605"/>
    <n v="198424"/>
    <x v="0"/>
    <m/>
  </r>
  <r>
    <x v="0"/>
    <x v="36"/>
    <x v="10"/>
    <s v="OFDA"/>
    <x v="2"/>
    <x v="14"/>
    <x v="2"/>
    <x v="481"/>
    <n v="260"/>
    <n v="2652"/>
    <d v="2018-05-31T00:00:00"/>
    <d v="2019-07-31T00:00:00"/>
    <m/>
    <m/>
    <m/>
    <m/>
    <m/>
    <m/>
    <m/>
    <n v="0"/>
    <n v="0"/>
    <n v="0"/>
    <n v="9"/>
    <n v="0"/>
    <n v="9"/>
    <n v="9"/>
    <n v="2"/>
    <n v="0"/>
    <n v="2"/>
    <m/>
    <n v="5"/>
    <m/>
    <m/>
    <n v="2"/>
    <n v="1"/>
    <n v="0"/>
    <n v="1"/>
    <n v="1"/>
    <n v="0"/>
    <n v="1"/>
    <m/>
    <n v="0"/>
    <n v="0"/>
    <m/>
    <m/>
    <m/>
    <m/>
    <m/>
    <n v="0"/>
    <x v="2"/>
    <x v="4"/>
    <n v="0"/>
    <m/>
    <n v="4"/>
    <m/>
    <m/>
    <m/>
    <m/>
    <m/>
    <m/>
    <n v="0"/>
    <n v="0"/>
    <n v="260"/>
    <n v="0"/>
    <s v="No"/>
    <n v="1"/>
    <m/>
    <m/>
    <n v="0"/>
    <n v="1"/>
    <x v="0"/>
    <n v="0"/>
    <n v="0"/>
    <n v="2"/>
    <n v="0"/>
    <n v="0"/>
    <n v="5.0276520864756161E-2"/>
    <n v="5.0276520864756161E-2"/>
    <n v="5.0276520864756161E-2"/>
    <n v="133.33333333333334"/>
    <n v="0.47134238310708898"/>
    <n v="1250"/>
    <n v="0.52161890397184518"/>
    <n v="1383.3333333333333"/>
    <n v="2.7666666666666666"/>
    <n v="0.47838109602815482"/>
    <n v="1268.6666666666665"/>
    <n v="2.2333333333333334"/>
    <n v="5"/>
    <n v="0"/>
    <n v="0"/>
    <n v="0"/>
    <s v="N/A"/>
    <s v="NA"/>
    <n v="442"/>
    <n v="442"/>
    <n v="1"/>
    <n v="0"/>
    <n v="0"/>
    <n v="2652"/>
    <n v="0"/>
    <n v="2652"/>
    <n v="2652"/>
    <n v="1"/>
    <n v="0"/>
    <n v="0"/>
    <n v="1"/>
    <n v="0"/>
    <n v="0"/>
    <n v="0"/>
    <n v="0"/>
    <n v="0"/>
    <x v="0"/>
    <n v="0"/>
    <n v="0"/>
    <x v="2"/>
    <x v="6"/>
    <x v="3"/>
    <n v="20.775840759277301"/>
    <n v="92.613082885742202"/>
    <n v="198407"/>
    <x v="0"/>
    <m/>
  </r>
  <r>
    <x v="0"/>
    <x v="36"/>
    <x v="10"/>
    <s v="OFDA"/>
    <x v="2"/>
    <x v="14"/>
    <x v="2"/>
    <x v="482"/>
    <n v="55"/>
    <n v="233"/>
    <d v="2018-05-31T00:00:00"/>
    <d v="2019-07-31T00:00:00"/>
    <m/>
    <m/>
    <m/>
    <m/>
    <m/>
    <m/>
    <m/>
    <n v="0"/>
    <n v="0"/>
    <n v="0"/>
    <n v="2"/>
    <n v="0"/>
    <n v="0"/>
    <n v="2"/>
    <n v="0"/>
    <n v="0"/>
    <n v="0"/>
    <m/>
    <n v="1"/>
    <m/>
    <m/>
    <n v="2"/>
    <n v="1"/>
    <n v="0"/>
    <n v="1"/>
    <n v="1"/>
    <n v="0"/>
    <n v="0"/>
    <m/>
    <n v="45"/>
    <n v="45"/>
    <m/>
    <m/>
    <m/>
    <m/>
    <m/>
    <n v="0"/>
    <x v="2"/>
    <x v="4"/>
    <n v="0"/>
    <m/>
    <n v="0"/>
    <m/>
    <m/>
    <m/>
    <m/>
    <m/>
    <m/>
    <n v="0"/>
    <n v="0"/>
    <n v="55"/>
    <n v="0"/>
    <s v="No"/>
    <n v="2"/>
    <m/>
    <m/>
    <n v="0"/>
    <n v="1"/>
    <x v="0"/>
    <n v="0"/>
    <n v="2"/>
    <n v="0"/>
    <n v="0"/>
    <n v="0"/>
    <n v="1"/>
    <n v="1"/>
    <n v="1"/>
    <n v="233"/>
    <n v="1"/>
    <n v="233"/>
    <n v="1"/>
    <n v="233"/>
    <n v="0.46600000000000003"/>
    <n v="0"/>
    <n v="0"/>
    <n v="0.53400000000000003"/>
    <n v="1"/>
    <n v="90"/>
    <n v="1"/>
    <n v="233"/>
    <s v="N/A"/>
    <s v="NA"/>
    <n v="39"/>
    <n v="0"/>
    <n v="0"/>
    <n v="0"/>
    <n v="0"/>
    <n v="233"/>
    <n v="0"/>
    <n v="233"/>
    <n v="233"/>
    <n v="1"/>
    <n v="0"/>
    <n v="0"/>
    <n v="1"/>
    <n v="0"/>
    <n v="0"/>
    <n v="0"/>
    <n v="0"/>
    <n v="0"/>
    <x v="0"/>
    <n v="0"/>
    <n v="0"/>
    <x v="2"/>
    <x v="6"/>
    <x v="4"/>
    <n v="20.76407051"/>
    <n v="92.631126399999999"/>
    <n v="198408"/>
    <x v="0"/>
    <m/>
  </r>
  <r>
    <x v="0"/>
    <x v="36"/>
    <x v="10"/>
    <s v="OFDA"/>
    <x v="2"/>
    <x v="14"/>
    <x v="2"/>
    <x v="483"/>
    <n v="166"/>
    <n v="854"/>
    <d v="2018-05-31T00:00:00"/>
    <d v="2019-07-31T00:00:00"/>
    <m/>
    <m/>
    <m/>
    <m/>
    <m/>
    <m/>
    <m/>
    <n v="1"/>
    <n v="0"/>
    <n v="0"/>
    <n v="3"/>
    <n v="1"/>
    <n v="3"/>
    <n v="3"/>
    <n v="2"/>
    <n v="0"/>
    <n v="0"/>
    <m/>
    <n v="2"/>
    <m/>
    <m/>
    <n v="0"/>
    <n v="1"/>
    <n v="0"/>
    <n v="1"/>
    <n v="1"/>
    <n v="1"/>
    <n v="1"/>
    <m/>
    <n v="0"/>
    <n v="0"/>
    <m/>
    <m/>
    <m/>
    <m/>
    <m/>
    <n v="0"/>
    <x v="2"/>
    <x v="4"/>
    <n v="6"/>
    <m/>
    <n v="6"/>
    <m/>
    <m/>
    <m/>
    <m/>
    <m/>
    <m/>
    <n v="2"/>
    <n v="2"/>
    <n v="166"/>
    <n v="166"/>
    <s v="No"/>
    <n v="1"/>
    <m/>
    <m/>
    <n v="0"/>
    <n v="1"/>
    <x v="0"/>
    <n v="1"/>
    <n v="1"/>
    <n v="2"/>
    <n v="0"/>
    <n v="0"/>
    <n v="1"/>
    <n v="0.74160811865729903"/>
    <n v="0.74160811865729903"/>
    <n v="633.33333333333337"/>
    <n v="0.58548009367681497"/>
    <n v="500"/>
    <n v="1"/>
    <n v="854"/>
    <n v="1.708"/>
    <n v="0"/>
    <n v="0"/>
    <n v="0.29200000000000004"/>
    <n v="2"/>
    <n v="0"/>
    <n v="0"/>
    <n v="0"/>
    <s v="N/A"/>
    <s v="NA"/>
    <n v="142"/>
    <n v="142"/>
    <n v="1"/>
    <n v="0"/>
    <n v="854"/>
    <n v="854"/>
    <n v="854"/>
    <n v="854"/>
    <n v="854"/>
    <n v="1"/>
    <n v="0"/>
    <n v="1"/>
    <n v="1"/>
    <n v="1"/>
    <n v="0"/>
    <n v="0"/>
    <n v="0"/>
    <n v="0"/>
    <x v="0"/>
    <n v="0"/>
    <n v="0"/>
    <x v="2"/>
    <x v="6"/>
    <x v="4"/>
    <n v="20.756410599999999"/>
    <n v="92.63580322"/>
    <n v="198413"/>
    <x v="0"/>
    <m/>
  </r>
  <r>
    <x v="0"/>
    <x v="36"/>
    <x v="10"/>
    <s v="OFDA"/>
    <x v="2"/>
    <x v="14"/>
    <x v="2"/>
    <x v="484"/>
    <n v="192"/>
    <n v="1690"/>
    <d v="2018-05-31T00:00:00"/>
    <d v="2019-07-31T00:00:00"/>
    <m/>
    <m/>
    <m/>
    <m/>
    <m/>
    <m/>
    <m/>
    <n v="0"/>
    <n v="0"/>
    <n v="0"/>
    <n v="3"/>
    <n v="3"/>
    <n v="0"/>
    <n v="3"/>
    <n v="0"/>
    <n v="0"/>
    <n v="0"/>
    <m/>
    <n v="2"/>
    <m/>
    <m/>
    <n v="2"/>
    <n v="1"/>
    <n v="0"/>
    <n v="1"/>
    <n v="1"/>
    <n v="0"/>
    <n v="0"/>
    <m/>
    <n v="94"/>
    <n v="94"/>
    <m/>
    <m/>
    <m/>
    <m/>
    <m/>
    <n v="94"/>
    <x v="2"/>
    <x v="4"/>
    <n v="0"/>
    <m/>
    <n v="0"/>
    <m/>
    <m/>
    <m/>
    <m/>
    <m/>
    <m/>
    <n v="2"/>
    <n v="1"/>
    <n v="282"/>
    <n v="282"/>
    <s v="No"/>
    <n v="2"/>
    <m/>
    <m/>
    <n v="0"/>
    <n v="1"/>
    <x v="0"/>
    <n v="0"/>
    <n v="6"/>
    <n v="0"/>
    <n v="0"/>
    <n v="0"/>
    <n v="1"/>
    <n v="0.8875739644970414"/>
    <n v="0.8875739644970414"/>
    <n v="1500"/>
    <n v="0.29585798816568049"/>
    <n v="500"/>
    <n v="1"/>
    <n v="1690"/>
    <n v="3.38"/>
    <n v="0"/>
    <n v="0"/>
    <n v="0"/>
    <n v="3"/>
    <n v="188"/>
    <n v="0.66745562130177516"/>
    <n v="1128"/>
    <s v="N/A"/>
    <s v="NA"/>
    <n v="282"/>
    <n v="94"/>
    <n v="0.33254437869822484"/>
    <n v="0"/>
    <n v="1500"/>
    <n v="1410"/>
    <n v="1410"/>
    <n v="1410"/>
    <n v="1500"/>
    <n v="0.8875739644970414"/>
    <n v="0.1124260355029586"/>
    <n v="0.8875739644970414"/>
    <n v="1"/>
    <n v="1"/>
    <n v="0"/>
    <n v="0"/>
    <n v="0"/>
    <n v="0"/>
    <x v="0"/>
    <n v="0"/>
    <n v="0"/>
    <x v="2"/>
    <x v="6"/>
    <x v="3"/>
    <n v="20.741249079999999"/>
    <n v="92.610519409999995"/>
    <n v="198398"/>
    <x v="0"/>
    <m/>
  </r>
  <r>
    <x v="0"/>
    <x v="36"/>
    <x v="10"/>
    <s v="OFDA"/>
    <x v="2"/>
    <x v="14"/>
    <x v="2"/>
    <x v="485"/>
    <n v="80"/>
    <n v="300"/>
    <d v="2018-05-31T00:00:00"/>
    <d v="2019-07-31T00:00:00"/>
    <m/>
    <m/>
    <m/>
    <m/>
    <m/>
    <m/>
    <m/>
    <n v="0"/>
    <n v="0"/>
    <n v="0"/>
    <n v="0"/>
    <n v="0"/>
    <n v="0"/>
    <n v="0"/>
    <n v="0"/>
    <n v="0"/>
    <n v="0"/>
    <m/>
    <n v="3"/>
    <m/>
    <m/>
    <n v="3"/>
    <n v="1"/>
    <n v="0"/>
    <n v="1"/>
    <n v="1"/>
    <n v="0"/>
    <n v="0"/>
    <m/>
    <n v="41"/>
    <n v="41"/>
    <m/>
    <m/>
    <m/>
    <m/>
    <m/>
    <n v="41"/>
    <x v="2"/>
    <x v="4"/>
    <n v="4"/>
    <m/>
    <n v="4"/>
    <m/>
    <m/>
    <m/>
    <m/>
    <m/>
    <m/>
    <n v="1"/>
    <n v="1"/>
    <n v="80"/>
    <n v="80"/>
    <s v="No"/>
    <n v="2"/>
    <m/>
    <m/>
    <n v="0"/>
    <n v="1"/>
    <x v="0"/>
    <n v="0"/>
    <n v="0"/>
    <n v="0"/>
    <n v="0"/>
    <n v="0"/>
    <n v="0"/>
    <n v="0"/>
    <n v="0"/>
    <n v="0"/>
    <n v="1"/>
    <n v="300"/>
    <n v="1"/>
    <n v="300"/>
    <n v="0.6"/>
    <n v="0"/>
    <n v="0"/>
    <n v="0.4"/>
    <n v="1"/>
    <n v="82"/>
    <n v="1"/>
    <n v="300"/>
    <s v="N/A"/>
    <s v="NA"/>
    <n v="50"/>
    <n v="0"/>
    <n v="0"/>
    <n v="0"/>
    <n v="300"/>
    <n v="300"/>
    <n v="300"/>
    <n v="300"/>
    <n v="300"/>
    <n v="1"/>
    <n v="0"/>
    <n v="1"/>
    <n v="1"/>
    <n v="1"/>
    <n v="0"/>
    <n v="0"/>
    <n v="0"/>
    <n v="0"/>
    <x v="0"/>
    <n v="0"/>
    <n v="0"/>
    <x v="2"/>
    <x v="6"/>
    <x v="4"/>
    <n v="20.739839549999999"/>
    <n v="92.613456729999996"/>
    <n v="198399"/>
    <x v="0"/>
    <m/>
  </r>
  <r>
    <x v="0"/>
    <x v="36"/>
    <x v="10"/>
    <s v="OFDA"/>
    <x v="2"/>
    <x v="15"/>
    <x v="2"/>
    <x v="486"/>
    <n v="60"/>
    <n v="266"/>
    <d v="2018-05-31T00:00:00"/>
    <d v="2019-07-31T00:00:00"/>
    <m/>
    <m/>
    <m/>
    <m/>
    <m/>
    <m/>
    <m/>
    <n v="1"/>
    <n v="1"/>
    <n v="1"/>
    <n v="0"/>
    <n v="0"/>
    <n v="0"/>
    <n v="0"/>
    <n v="0"/>
    <n v="0"/>
    <n v="0"/>
    <m/>
    <n v="2"/>
    <m/>
    <m/>
    <n v="2"/>
    <n v="0"/>
    <n v="0"/>
    <n v="0"/>
    <n v="0"/>
    <n v="0"/>
    <n v="0"/>
    <m/>
    <n v="41"/>
    <n v="41"/>
    <m/>
    <m/>
    <m/>
    <m/>
    <m/>
    <n v="41"/>
    <x v="2"/>
    <x v="4"/>
    <n v="0"/>
    <m/>
    <n v="0"/>
    <m/>
    <m/>
    <m/>
    <m/>
    <m/>
    <m/>
    <n v="1"/>
    <n v="0"/>
    <n v="60"/>
    <n v="60"/>
    <s v="No"/>
    <n v="2"/>
    <m/>
    <m/>
    <s v="no test"/>
    <s v="no test"/>
    <x v="1"/>
    <n v="0"/>
    <n v="0"/>
    <n v="0"/>
    <n v="0"/>
    <n v="0"/>
    <n v="0"/>
    <n v="0"/>
    <n v="0"/>
    <n v="0"/>
    <n v="1"/>
    <n v="266"/>
    <n v="1"/>
    <n v="266"/>
    <n v="0.53200000000000003"/>
    <n v="0"/>
    <n v="0"/>
    <n v="0.46799999999999997"/>
    <n v="1"/>
    <n v="82"/>
    <n v="1"/>
    <n v="266"/>
    <s v="N/A"/>
    <s v="NA"/>
    <n v="44"/>
    <n v="0"/>
    <n v="0"/>
    <n v="0"/>
    <n v="266"/>
    <n v="266"/>
    <n v="266"/>
    <n v="266"/>
    <n v="266"/>
    <n v="1"/>
    <n v="0"/>
    <n v="1"/>
    <n v="1"/>
    <n v="1"/>
    <n v="0"/>
    <n v="0"/>
    <n v="0"/>
    <n v="0"/>
    <x v="0"/>
    <n v="0"/>
    <n v="0"/>
    <x v="2"/>
    <x v="6"/>
    <x v="4"/>
    <n v="20.991559980000002"/>
    <n v="92.290878300000003"/>
    <n v="197896"/>
    <x v="0"/>
    <m/>
  </r>
  <r>
    <x v="0"/>
    <x v="36"/>
    <x v="10"/>
    <s v="OFDA"/>
    <x v="2"/>
    <x v="15"/>
    <x v="2"/>
    <x v="487"/>
    <n v="24"/>
    <n v="93"/>
    <d v="2018-05-31T00:00:00"/>
    <d v="2019-07-31T00:00:00"/>
    <m/>
    <m/>
    <m/>
    <m/>
    <m/>
    <m/>
    <m/>
    <n v="0"/>
    <n v="0"/>
    <n v="0"/>
    <n v="4"/>
    <n v="2"/>
    <n v="2"/>
    <n v="4"/>
    <n v="0"/>
    <n v="0"/>
    <n v="0"/>
    <m/>
    <n v="2"/>
    <m/>
    <m/>
    <n v="2"/>
    <n v="0"/>
    <n v="0"/>
    <n v="0"/>
    <n v="0"/>
    <n v="0"/>
    <n v="0"/>
    <m/>
    <n v="10"/>
    <n v="10"/>
    <m/>
    <m/>
    <m/>
    <m/>
    <m/>
    <n v="10"/>
    <x v="2"/>
    <x v="4"/>
    <n v="2"/>
    <m/>
    <n v="2"/>
    <m/>
    <m/>
    <m/>
    <m/>
    <m/>
    <m/>
    <n v="0"/>
    <n v="0"/>
    <n v="42"/>
    <n v="42"/>
    <s v="No"/>
    <n v="2"/>
    <m/>
    <m/>
    <s v="no test"/>
    <s v="no test"/>
    <x v="1"/>
    <n v="0"/>
    <n v="4"/>
    <n v="0"/>
    <n v="0"/>
    <n v="0"/>
    <n v="1"/>
    <n v="1"/>
    <n v="1"/>
    <n v="93"/>
    <n v="1"/>
    <n v="93"/>
    <n v="1"/>
    <n v="93"/>
    <n v="0.186"/>
    <n v="0"/>
    <n v="0"/>
    <n v="0.81400000000000006"/>
    <n v="1"/>
    <n v="20"/>
    <n v="1"/>
    <n v="93"/>
    <s v="N/A"/>
    <s v="NA"/>
    <n v="16"/>
    <n v="0"/>
    <n v="0"/>
    <n v="0"/>
    <n v="0"/>
    <n v="93"/>
    <n v="93"/>
    <n v="93"/>
    <n v="93"/>
    <n v="1"/>
    <n v="0"/>
    <n v="0"/>
    <n v="1"/>
    <n v="1"/>
    <n v="0"/>
    <n v="0"/>
    <n v="0"/>
    <n v="0"/>
    <x v="0"/>
    <n v="0"/>
    <n v="0"/>
    <x v="2"/>
    <x v="6"/>
    <x v="4"/>
    <n v="21.004550930000001"/>
    <n v="92.294601439999994"/>
    <n v="197897"/>
    <x v="0"/>
    <m/>
  </r>
  <r>
    <x v="0"/>
    <x v="36"/>
    <x v="10"/>
    <s v="OFDA"/>
    <x v="2"/>
    <x v="15"/>
    <x v="2"/>
    <x v="488"/>
    <n v="170"/>
    <n v="989"/>
    <d v="2018-05-31T00:00:00"/>
    <d v="2019-07-31T00:00:00"/>
    <m/>
    <m/>
    <m/>
    <m/>
    <m/>
    <m/>
    <m/>
    <n v="6"/>
    <n v="4"/>
    <n v="2"/>
    <n v="5"/>
    <n v="2"/>
    <n v="0"/>
    <n v="3"/>
    <n v="0"/>
    <n v="0"/>
    <n v="0"/>
    <m/>
    <n v="4"/>
    <m/>
    <m/>
    <n v="3"/>
    <n v="0"/>
    <n v="0"/>
    <n v="0"/>
    <n v="0"/>
    <n v="1"/>
    <n v="1"/>
    <m/>
    <n v="102"/>
    <n v="102"/>
    <m/>
    <m/>
    <m/>
    <m/>
    <m/>
    <n v="102"/>
    <x v="2"/>
    <x v="4"/>
    <n v="0"/>
    <m/>
    <n v="6"/>
    <m/>
    <m/>
    <m/>
    <m/>
    <m/>
    <m/>
    <n v="4"/>
    <n v="0"/>
    <n v="170"/>
    <n v="170"/>
    <s v="No"/>
    <n v="2"/>
    <m/>
    <m/>
    <s v="no test"/>
    <s v="no test"/>
    <x v="1"/>
    <n v="2"/>
    <n v="7"/>
    <n v="0"/>
    <n v="0"/>
    <n v="0"/>
    <n v="1"/>
    <n v="1"/>
    <n v="1"/>
    <n v="989"/>
    <n v="1"/>
    <n v="989"/>
    <n v="1"/>
    <n v="989"/>
    <n v="1.978"/>
    <n v="0"/>
    <n v="0"/>
    <n v="2.200000000000002E-2"/>
    <n v="2"/>
    <n v="204"/>
    <n v="1"/>
    <n v="989"/>
    <s v="N/A"/>
    <s v="NA"/>
    <n v="165"/>
    <n v="0"/>
    <n v="0"/>
    <n v="0"/>
    <n v="989"/>
    <n v="989"/>
    <n v="989"/>
    <n v="989"/>
    <n v="989"/>
    <n v="1"/>
    <n v="0"/>
    <n v="1"/>
    <n v="1"/>
    <n v="1"/>
    <n v="0"/>
    <n v="0"/>
    <n v="0"/>
    <n v="0"/>
    <x v="0"/>
    <n v="0"/>
    <n v="0"/>
    <x v="2"/>
    <x v="6"/>
    <x v="3"/>
    <n v="20.914119719999999"/>
    <n v="92.3506012"/>
    <n v="197950"/>
    <x v="0"/>
    <m/>
  </r>
  <r>
    <x v="0"/>
    <x v="36"/>
    <x v="10"/>
    <s v="OFDA"/>
    <x v="2"/>
    <x v="15"/>
    <x v="2"/>
    <x v="489"/>
    <n v="150"/>
    <n v="626"/>
    <d v="2018-05-31T00:00:00"/>
    <d v="2019-07-31T00:00:00"/>
    <m/>
    <m/>
    <m/>
    <m/>
    <m/>
    <m/>
    <m/>
    <n v="1"/>
    <n v="1"/>
    <n v="0"/>
    <n v="16"/>
    <n v="9"/>
    <n v="7"/>
    <n v="9"/>
    <n v="0"/>
    <n v="0"/>
    <n v="0"/>
    <m/>
    <n v="3"/>
    <m/>
    <m/>
    <n v="2"/>
    <n v="0"/>
    <n v="0"/>
    <n v="0"/>
    <n v="0"/>
    <n v="0"/>
    <n v="0"/>
    <m/>
    <n v="82"/>
    <n v="82"/>
    <m/>
    <m/>
    <m/>
    <m/>
    <m/>
    <n v="82"/>
    <x v="2"/>
    <x v="4"/>
    <n v="0"/>
    <m/>
    <n v="0"/>
    <m/>
    <m/>
    <m/>
    <m/>
    <m/>
    <m/>
    <n v="1"/>
    <n v="0"/>
    <n v="150"/>
    <n v="150"/>
    <s v="No"/>
    <n v="2"/>
    <m/>
    <m/>
    <s v="no test"/>
    <s v="no test"/>
    <x v="1"/>
    <n v="0"/>
    <n v="18"/>
    <n v="0"/>
    <n v="0"/>
    <n v="0"/>
    <n v="1"/>
    <n v="1"/>
    <n v="1"/>
    <n v="626"/>
    <n v="1"/>
    <n v="626"/>
    <n v="1"/>
    <n v="626"/>
    <n v="1.252"/>
    <n v="0"/>
    <n v="0"/>
    <n v="0"/>
    <n v="1"/>
    <n v="164"/>
    <n v="1"/>
    <n v="626"/>
    <s v="N/A"/>
    <s v="NA"/>
    <n v="104"/>
    <n v="0"/>
    <n v="0"/>
    <n v="0"/>
    <n v="500"/>
    <n v="626"/>
    <n v="626"/>
    <n v="626"/>
    <n v="626"/>
    <n v="1"/>
    <n v="0"/>
    <n v="0.79872204472843455"/>
    <n v="1"/>
    <n v="1"/>
    <n v="0"/>
    <n v="0"/>
    <n v="0"/>
    <n v="0"/>
    <x v="0"/>
    <n v="0"/>
    <n v="0"/>
    <x v="2"/>
    <x v="6"/>
    <x v="3"/>
    <n v="20.900329589999998"/>
    <n v="92.362213130000001"/>
    <n v="197957"/>
    <x v="0"/>
    <m/>
  </r>
  <r>
    <x v="0"/>
    <x v="36"/>
    <x v="10"/>
    <s v="OFDA"/>
    <x v="2"/>
    <x v="15"/>
    <x v="2"/>
    <x v="490"/>
    <n v="87"/>
    <n v="361"/>
    <d v="2018-05-31T00:00:00"/>
    <d v="2019-07-31T00:00:00"/>
    <m/>
    <m/>
    <m/>
    <m/>
    <m/>
    <m/>
    <m/>
    <n v="3"/>
    <n v="1"/>
    <n v="2"/>
    <n v="0"/>
    <n v="0"/>
    <n v="0"/>
    <n v="0"/>
    <n v="0"/>
    <n v="0"/>
    <n v="0"/>
    <m/>
    <n v="5"/>
    <m/>
    <m/>
    <n v="1"/>
    <n v="0"/>
    <n v="0"/>
    <n v="0"/>
    <n v="0"/>
    <n v="0"/>
    <n v="0"/>
    <m/>
    <n v="0"/>
    <n v="0"/>
    <m/>
    <m/>
    <m/>
    <m/>
    <m/>
    <n v="0"/>
    <x v="2"/>
    <x v="4"/>
    <n v="4"/>
    <m/>
    <n v="4"/>
    <m/>
    <m/>
    <m/>
    <m/>
    <m/>
    <m/>
    <n v="1"/>
    <n v="0"/>
    <n v="87"/>
    <n v="0"/>
    <s v="No"/>
    <n v="1"/>
    <m/>
    <m/>
    <s v="no test"/>
    <s v="no test"/>
    <x v="1"/>
    <n v="2"/>
    <n v="0"/>
    <n v="0"/>
    <n v="0"/>
    <n v="0"/>
    <n v="1"/>
    <n v="1"/>
    <n v="1"/>
    <n v="361"/>
    <n v="1"/>
    <n v="361"/>
    <n v="1"/>
    <n v="361"/>
    <n v="0.72199999999999998"/>
    <n v="0"/>
    <n v="0"/>
    <n v="0.27800000000000002"/>
    <n v="1"/>
    <n v="0"/>
    <n v="0"/>
    <n v="0"/>
    <s v="N/A"/>
    <s v="NA"/>
    <n v="60"/>
    <n v="60"/>
    <n v="1"/>
    <n v="0"/>
    <n v="361"/>
    <n v="361"/>
    <n v="0"/>
    <n v="361"/>
    <n v="361"/>
    <n v="1"/>
    <n v="0"/>
    <n v="1"/>
    <n v="1"/>
    <n v="0"/>
    <n v="0"/>
    <n v="0"/>
    <n v="0"/>
    <n v="0"/>
    <x v="0"/>
    <n v="0"/>
    <n v="0"/>
    <x v="2"/>
    <x v="6"/>
    <x v="4"/>
    <n v="20.651159289999999"/>
    <n v="92.605712890000007"/>
    <n v="0"/>
    <x v="0"/>
    <m/>
  </r>
  <r>
    <x v="0"/>
    <x v="36"/>
    <x v="10"/>
    <s v="OFDA"/>
    <x v="2"/>
    <x v="15"/>
    <x v="2"/>
    <x v="491"/>
    <n v="55"/>
    <n v="241"/>
    <d v="2018-05-31T00:00:00"/>
    <d v="2019-07-31T00:00:00"/>
    <m/>
    <m/>
    <m/>
    <m/>
    <m/>
    <m/>
    <m/>
    <n v="3"/>
    <n v="0"/>
    <n v="0"/>
    <n v="3"/>
    <n v="0"/>
    <n v="0"/>
    <n v="1"/>
    <n v="0"/>
    <n v="0"/>
    <n v="0"/>
    <m/>
    <n v="1"/>
    <m/>
    <m/>
    <n v="1"/>
    <n v="0"/>
    <n v="0"/>
    <n v="0"/>
    <n v="0"/>
    <n v="0"/>
    <n v="0"/>
    <m/>
    <n v="0"/>
    <n v="0"/>
    <m/>
    <m/>
    <m/>
    <m/>
    <m/>
    <n v="0"/>
    <x v="2"/>
    <x v="4"/>
    <n v="4"/>
    <m/>
    <n v="4"/>
    <m/>
    <m/>
    <m/>
    <m/>
    <m/>
    <m/>
    <n v="0"/>
    <n v="1"/>
    <n v="55"/>
    <n v="0"/>
    <s v="No"/>
    <n v="2"/>
    <m/>
    <m/>
    <s v="no test"/>
    <s v="no test"/>
    <x v="1"/>
    <n v="3"/>
    <n v="3"/>
    <n v="0"/>
    <n v="0"/>
    <n v="0"/>
    <n v="1"/>
    <n v="1"/>
    <n v="1"/>
    <n v="241"/>
    <n v="1"/>
    <n v="241"/>
    <n v="1"/>
    <n v="241"/>
    <n v="0.48199999999999998"/>
    <n v="0"/>
    <n v="0"/>
    <n v="0.51800000000000002"/>
    <n v="1"/>
    <n v="0"/>
    <n v="0"/>
    <n v="0"/>
    <s v="N/A"/>
    <s v="NA"/>
    <n v="40"/>
    <n v="40"/>
    <n v="1"/>
    <n v="0"/>
    <n v="241"/>
    <n v="241"/>
    <n v="0"/>
    <n v="241"/>
    <n v="241"/>
    <n v="1"/>
    <n v="0"/>
    <n v="1"/>
    <n v="1"/>
    <n v="0"/>
    <n v="0"/>
    <n v="0"/>
    <n v="0"/>
    <n v="0"/>
    <x v="0"/>
    <n v="0"/>
    <n v="0"/>
    <x v="2"/>
    <x v="6"/>
    <x v="4"/>
    <n v="20.8013000488281"/>
    <n v="92.423202514648395"/>
    <n v="217895"/>
    <x v="0"/>
    <m/>
  </r>
  <r>
    <x v="0"/>
    <x v="36"/>
    <x v="10"/>
    <s v="OFDA"/>
    <x v="2"/>
    <x v="15"/>
    <x v="2"/>
    <x v="492"/>
    <n v="54"/>
    <n v="249"/>
    <d v="2018-05-31T00:00:00"/>
    <d v="2019-07-31T00:00:00"/>
    <m/>
    <m/>
    <m/>
    <m/>
    <m/>
    <m/>
    <m/>
    <n v="3"/>
    <n v="0"/>
    <n v="2"/>
    <n v="3"/>
    <n v="1"/>
    <n v="2"/>
    <n v="3"/>
    <n v="0"/>
    <n v="0"/>
    <n v="0"/>
    <m/>
    <n v="2"/>
    <m/>
    <m/>
    <n v="2"/>
    <n v="0"/>
    <n v="0"/>
    <n v="0"/>
    <n v="0"/>
    <n v="1"/>
    <n v="1"/>
    <m/>
    <n v="0"/>
    <n v="2"/>
    <m/>
    <m/>
    <m/>
    <m/>
    <m/>
    <n v="0"/>
    <x v="2"/>
    <x v="4"/>
    <n v="2"/>
    <m/>
    <n v="2"/>
    <m/>
    <m/>
    <m/>
    <m/>
    <m/>
    <m/>
    <n v="1"/>
    <n v="1"/>
    <n v="54"/>
    <n v="0"/>
    <s v="No"/>
    <n v="2"/>
    <m/>
    <m/>
    <s v="no test"/>
    <s v="no test"/>
    <x v="1"/>
    <n v="3"/>
    <n v="2"/>
    <n v="0"/>
    <n v="0"/>
    <n v="0"/>
    <n v="1"/>
    <n v="1"/>
    <n v="1"/>
    <n v="249"/>
    <n v="1"/>
    <n v="249"/>
    <n v="1"/>
    <n v="249"/>
    <n v="0.498"/>
    <n v="0"/>
    <n v="0"/>
    <n v="0.502"/>
    <n v="1"/>
    <n v="2"/>
    <n v="4.8192771084337352E-2"/>
    <n v="12"/>
    <s v="N/A"/>
    <s v="NA"/>
    <n v="42"/>
    <n v="40"/>
    <n v="0.95180722891566261"/>
    <n v="0"/>
    <n v="249"/>
    <n v="249"/>
    <n v="0"/>
    <n v="249"/>
    <n v="249"/>
    <n v="1"/>
    <n v="0"/>
    <n v="1"/>
    <n v="1"/>
    <n v="0"/>
    <n v="0"/>
    <n v="0"/>
    <n v="0"/>
    <n v="0"/>
    <x v="0"/>
    <n v="0"/>
    <n v="0"/>
    <x v="2"/>
    <x v="6"/>
    <x v="2"/>
    <n v="0"/>
    <n v="0"/>
    <n v="0"/>
    <x v="0"/>
    <m/>
  </r>
  <r>
    <x v="0"/>
    <x v="36"/>
    <x v="10"/>
    <s v="OFDA"/>
    <x v="2"/>
    <x v="15"/>
    <x v="2"/>
    <x v="493"/>
    <n v="62"/>
    <n v="332"/>
    <d v="2018-05-31T00:00:00"/>
    <d v="2019-07-31T00:00:00"/>
    <m/>
    <m/>
    <m/>
    <m/>
    <m/>
    <m/>
    <m/>
    <n v="0"/>
    <n v="0"/>
    <n v="0"/>
    <n v="2"/>
    <n v="1"/>
    <n v="1"/>
    <n v="2"/>
    <n v="0"/>
    <n v="0"/>
    <n v="0"/>
    <m/>
    <n v="2"/>
    <m/>
    <m/>
    <n v="2"/>
    <n v="0"/>
    <n v="0"/>
    <n v="0"/>
    <n v="0"/>
    <n v="0"/>
    <n v="0"/>
    <m/>
    <n v="0"/>
    <n v="0"/>
    <m/>
    <m/>
    <m/>
    <m/>
    <m/>
    <n v="0"/>
    <x v="2"/>
    <x v="4"/>
    <n v="0"/>
    <m/>
    <n v="0"/>
    <m/>
    <m/>
    <m/>
    <m/>
    <m/>
    <m/>
    <n v="0"/>
    <n v="0"/>
    <n v="62"/>
    <n v="0"/>
    <s v="No"/>
    <n v="0"/>
    <m/>
    <m/>
    <s v="no test"/>
    <s v="no test"/>
    <x v="1"/>
    <n v="0"/>
    <n v="2"/>
    <n v="0"/>
    <n v="0"/>
    <n v="0"/>
    <n v="1"/>
    <n v="1"/>
    <n v="1"/>
    <n v="332"/>
    <n v="1"/>
    <n v="332"/>
    <n v="1"/>
    <n v="332"/>
    <n v="0.66400000000000003"/>
    <n v="0"/>
    <n v="0"/>
    <n v="0.33599999999999997"/>
    <n v="1"/>
    <n v="0"/>
    <n v="0"/>
    <n v="0"/>
    <s v="N/A"/>
    <s v="NA"/>
    <n v="55"/>
    <n v="55"/>
    <n v="1"/>
    <n v="0"/>
    <n v="0"/>
    <n v="332"/>
    <n v="0"/>
    <n v="332"/>
    <n v="332"/>
    <n v="1"/>
    <n v="0"/>
    <n v="0"/>
    <n v="1"/>
    <n v="0"/>
    <n v="0"/>
    <n v="0"/>
    <n v="0"/>
    <n v="0"/>
    <x v="0"/>
    <n v="0"/>
    <n v="0"/>
    <x v="2"/>
    <x v="6"/>
    <x v="3"/>
    <n v="20.7818698883057"/>
    <n v="92.393142700195298"/>
    <n v="198002"/>
    <x v="0"/>
    <m/>
  </r>
  <r>
    <x v="0"/>
    <x v="2"/>
    <x v="2"/>
    <m/>
    <x v="3"/>
    <x v="24"/>
    <x v="1"/>
    <x v="494"/>
    <n v="86"/>
    <n v="496"/>
    <m/>
    <m/>
    <m/>
    <m/>
    <m/>
    <m/>
    <m/>
    <m/>
    <m/>
    <m/>
    <m/>
    <m/>
    <m/>
    <m/>
    <m/>
    <m/>
    <m/>
    <m/>
    <m/>
    <m/>
    <m/>
    <m/>
    <m/>
    <m/>
    <m/>
    <m/>
    <m/>
    <m/>
    <m/>
    <m/>
    <m/>
    <m/>
    <m/>
    <m/>
    <m/>
    <m/>
    <m/>
    <m/>
    <m/>
    <x v="1"/>
    <x v="1"/>
    <m/>
    <m/>
    <m/>
    <m/>
    <m/>
    <m/>
    <m/>
    <m/>
    <m/>
    <m/>
    <m/>
    <m/>
    <m/>
    <m/>
    <m/>
    <m/>
    <m/>
    <s v="no test"/>
    <s v="no test"/>
    <x v="1"/>
    <n v="0"/>
    <n v="0"/>
    <n v="0"/>
    <n v="0"/>
    <n v="0"/>
    <n v="0"/>
    <n v="0"/>
    <n v="0"/>
    <n v="0"/>
    <n v="0"/>
    <n v="0"/>
    <n v="0"/>
    <n v="0"/>
    <n v="0"/>
    <n v="1"/>
    <n v="496"/>
    <n v="1"/>
    <n v="1"/>
    <n v="0"/>
    <n v="0"/>
    <n v="0"/>
    <n v="0"/>
    <n v="0"/>
    <n v="25"/>
    <n v="25"/>
    <n v="1"/>
    <n v="0"/>
    <n v="0"/>
    <n v="0"/>
    <n v="0"/>
    <n v="0"/>
    <n v="0"/>
    <n v="0"/>
    <n v="1"/>
    <n v="0"/>
    <n v="0"/>
    <n v="0"/>
    <n v="0"/>
    <n v="0"/>
    <n v="0"/>
    <n v="0"/>
    <x v="0"/>
    <n v="0"/>
    <s v="uncovered"/>
    <x v="0"/>
    <x v="2"/>
    <x v="0"/>
    <n v="0"/>
    <n v="0"/>
    <s v="MMR015CMP212"/>
    <x v="1"/>
    <m/>
  </r>
  <r>
    <x v="0"/>
    <x v="37"/>
    <x v="38"/>
    <s v="GFFO, (UNICEF, WHH(AA))"/>
    <x v="3"/>
    <x v="25"/>
    <x v="1"/>
    <x v="495"/>
    <n v="146"/>
    <n v="494"/>
    <s v="12/1/2017,(1/2/19,1/10/18)"/>
    <s v="11/30/2019,(31/1/20,30/9/20)"/>
    <m/>
    <m/>
    <m/>
    <m/>
    <s v="Yes"/>
    <n v="2"/>
    <n v="7"/>
    <n v="0"/>
    <n v="0"/>
    <n v="0"/>
    <n v="0"/>
    <n v="0"/>
    <n v="0"/>
    <n v="0"/>
    <n v="20"/>
    <n v="0"/>
    <n v="0"/>
    <n v="0"/>
    <m/>
    <n v="0"/>
    <n v="1"/>
    <n v="1"/>
    <n v="1"/>
    <n v="0"/>
    <n v="15"/>
    <n v="0"/>
    <m/>
    <m/>
    <m/>
    <n v="40"/>
    <n v="0"/>
    <m/>
    <n v="0"/>
    <n v="6"/>
    <n v="0"/>
    <m/>
    <m/>
    <x v="2"/>
    <x v="3"/>
    <n v="0"/>
    <n v="0"/>
    <m/>
    <m/>
    <n v="2"/>
    <n v="0"/>
    <n v="0"/>
    <n v="6"/>
    <n v="0"/>
    <n v="0"/>
    <n v="2"/>
    <n v="153"/>
    <m/>
    <m/>
    <m/>
    <n v="0.5"/>
    <m/>
    <n v="0"/>
    <n v="0"/>
    <x v="0"/>
    <n v="0"/>
    <n v="0"/>
    <n v="20"/>
    <n v="0"/>
    <n v="0"/>
    <n v="1"/>
    <n v="1"/>
    <n v="1"/>
    <n v="494"/>
    <n v="0"/>
    <n v="0"/>
    <n v="1"/>
    <n v="494"/>
    <n v="0.98799999999999999"/>
    <n v="0"/>
    <n v="0"/>
    <n v="1.2000000000000011E-2"/>
    <n v="1"/>
    <n v="40"/>
    <n v="1"/>
    <n v="494"/>
    <n v="0"/>
    <n v="0"/>
    <n v="25"/>
    <n v="0"/>
    <n v="0"/>
    <n v="0"/>
    <n v="494"/>
    <n v="494"/>
    <n v="0"/>
    <n v="494"/>
    <n v="494"/>
    <n v="1"/>
    <n v="0"/>
    <n v="1"/>
    <n v="1"/>
    <n v="0"/>
    <n v="2"/>
    <n v="40"/>
    <n v="0"/>
    <n v="200"/>
    <x v="0"/>
    <s v="Yes"/>
    <s v="KBC-NSS"/>
    <x v="0"/>
    <x v="0"/>
    <x v="0"/>
    <n v="24.08738"/>
    <n v="98.115809999999996"/>
    <s v="MMR015CMP247"/>
    <x v="0"/>
    <m/>
  </r>
  <r>
    <x v="0"/>
    <x v="1"/>
    <x v="1"/>
    <s v="UNICEF, WHH(AA)"/>
    <x v="3"/>
    <x v="25"/>
    <x v="1"/>
    <x v="496"/>
    <n v="154"/>
    <n v="779"/>
    <s v="1/2/19,1/10/18"/>
    <s v="31/1/20,30/9/20"/>
    <n v="189"/>
    <m/>
    <m/>
    <m/>
    <s v="Yes"/>
    <m/>
    <m/>
    <m/>
    <m/>
    <m/>
    <m/>
    <m/>
    <m/>
    <m/>
    <m/>
    <m/>
    <m/>
    <m/>
    <m/>
    <m/>
    <m/>
    <m/>
    <m/>
    <m/>
    <m/>
    <m/>
    <m/>
    <m/>
    <m/>
    <n v="60"/>
    <m/>
    <m/>
    <m/>
    <m/>
    <m/>
    <m/>
    <m/>
    <x v="0"/>
    <x v="0"/>
    <m/>
    <m/>
    <m/>
    <m/>
    <m/>
    <m/>
    <m/>
    <n v="11"/>
    <m/>
    <m/>
    <m/>
    <n v="0"/>
    <n v="0"/>
    <m/>
    <m/>
    <m/>
    <m/>
    <s v="no test"/>
    <s v="no test"/>
    <x v="1"/>
    <n v="0"/>
    <n v="0"/>
    <n v="0"/>
    <n v="0"/>
    <n v="0"/>
    <n v="0"/>
    <n v="0"/>
    <n v="0"/>
    <n v="0"/>
    <n v="0"/>
    <n v="0"/>
    <n v="0"/>
    <n v="0"/>
    <n v="0"/>
    <n v="1"/>
    <n v="779"/>
    <n v="2"/>
    <n v="2"/>
    <n v="60"/>
    <n v="1"/>
    <n v="779"/>
    <n v="0"/>
    <n v="0"/>
    <n v="39"/>
    <n v="0"/>
    <n v="0"/>
    <n v="0"/>
    <n v="0"/>
    <n v="0"/>
    <n v="0"/>
    <n v="0"/>
    <n v="0"/>
    <n v="0"/>
    <n v="1"/>
    <n v="0"/>
    <n v="0"/>
    <n v="0"/>
    <n v="0"/>
    <n v="0"/>
    <n v="0"/>
    <n v="0"/>
    <x v="1"/>
    <n v="0"/>
    <n v="0"/>
    <x v="0"/>
    <x v="4"/>
    <x v="0"/>
    <n v="24.08738"/>
    <n v="98.115809999999996"/>
    <s v="MMR015CMP022"/>
    <x v="0"/>
    <m/>
  </r>
  <r>
    <x v="0"/>
    <x v="9"/>
    <x v="9"/>
    <s v="GFFO"/>
    <x v="3"/>
    <x v="24"/>
    <x v="1"/>
    <x v="497"/>
    <n v="32"/>
    <n v="154"/>
    <d v="2017-12-01T00:00:00"/>
    <d v="2019-11-30T00:00:00"/>
    <m/>
    <m/>
    <m/>
    <m/>
    <s v="Yes"/>
    <n v="4"/>
    <n v="5"/>
    <n v="0"/>
    <n v="0"/>
    <n v="0"/>
    <n v="0"/>
    <n v="0"/>
    <n v="0"/>
    <n v="0"/>
    <n v="54"/>
    <n v="0"/>
    <n v="0"/>
    <n v="0"/>
    <m/>
    <n v="0"/>
    <n v="1"/>
    <m/>
    <n v="1"/>
    <n v="0"/>
    <n v="15"/>
    <n v="0"/>
    <m/>
    <m/>
    <m/>
    <n v="32"/>
    <n v="0"/>
    <m/>
    <n v="0"/>
    <n v="0"/>
    <n v="0"/>
    <m/>
    <m/>
    <x v="2"/>
    <x v="0"/>
    <n v="0"/>
    <n v="0"/>
    <m/>
    <m/>
    <n v="0"/>
    <n v="0"/>
    <n v="0"/>
    <n v="0"/>
    <n v="0"/>
    <n v="0"/>
    <n v="1"/>
    <n v="32"/>
    <m/>
    <m/>
    <m/>
    <n v="0.5"/>
    <m/>
    <n v="0"/>
    <n v="0"/>
    <x v="0"/>
    <n v="0"/>
    <n v="0"/>
    <n v="54"/>
    <n v="0"/>
    <n v="0"/>
    <n v="1"/>
    <n v="1"/>
    <n v="1"/>
    <n v="154"/>
    <n v="0"/>
    <n v="0"/>
    <n v="1"/>
    <n v="154"/>
    <n v="0.308"/>
    <n v="0"/>
    <n v="0"/>
    <n v="0.69199999999999995"/>
    <n v="1"/>
    <n v="32"/>
    <n v="1"/>
    <n v="154"/>
    <n v="0"/>
    <n v="0"/>
    <n v="8"/>
    <n v="0"/>
    <n v="0"/>
    <n v="0"/>
    <n v="154"/>
    <n v="154"/>
    <n v="0"/>
    <n v="154"/>
    <n v="154"/>
    <n v="1"/>
    <n v="0"/>
    <n v="1"/>
    <n v="1"/>
    <n v="0"/>
    <n v="0"/>
    <n v="0"/>
    <n v="0"/>
    <n v="0"/>
    <x v="0"/>
    <s v="Yes"/>
    <s v="KMSS-LSO"/>
    <x v="0"/>
    <x v="0"/>
    <x v="0"/>
    <n v="0"/>
    <n v="0"/>
    <s v="MMR015CMP250"/>
    <x v="0"/>
    <m/>
  </r>
  <r>
    <x v="0"/>
    <x v="9"/>
    <x v="9"/>
    <s v="GFFO"/>
    <x v="3"/>
    <x v="24"/>
    <x v="1"/>
    <x v="498"/>
    <n v="86"/>
    <n v="442"/>
    <d v="2017-12-01T00:00:00"/>
    <d v="2019-11-30T00:00:00"/>
    <m/>
    <m/>
    <m/>
    <m/>
    <s v="Yes"/>
    <n v="8"/>
    <n v="1"/>
    <n v="0"/>
    <n v="0"/>
    <n v="0"/>
    <n v="0"/>
    <n v="0"/>
    <n v="0"/>
    <n v="0"/>
    <n v="21"/>
    <n v="0"/>
    <n v="0"/>
    <n v="0"/>
    <m/>
    <n v="0"/>
    <n v="1"/>
    <m/>
    <n v="1"/>
    <n v="0"/>
    <n v="15"/>
    <n v="0"/>
    <m/>
    <m/>
    <m/>
    <n v="86"/>
    <n v="0"/>
    <m/>
    <n v="0"/>
    <n v="0"/>
    <n v="0"/>
    <m/>
    <m/>
    <x v="2"/>
    <x v="4"/>
    <n v="0"/>
    <n v="0"/>
    <m/>
    <m/>
    <n v="0"/>
    <n v="0"/>
    <n v="0"/>
    <n v="0"/>
    <n v="0"/>
    <n v="0"/>
    <n v="1"/>
    <n v="86"/>
    <m/>
    <m/>
    <m/>
    <n v="0.5"/>
    <m/>
    <n v="0"/>
    <n v="0"/>
    <x v="0"/>
    <n v="0"/>
    <n v="0"/>
    <n v="21"/>
    <n v="0"/>
    <n v="0"/>
    <n v="1"/>
    <n v="1"/>
    <n v="1"/>
    <n v="442"/>
    <n v="0"/>
    <n v="0"/>
    <n v="1"/>
    <n v="442"/>
    <n v="0.88400000000000001"/>
    <n v="0"/>
    <n v="0"/>
    <n v="0.11599999999999999"/>
    <n v="1"/>
    <n v="86"/>
    <n v="1"/>
    <n v="442"/>
    <n v="0"/>
    <n v="0"/>
    <n v="74"/>
    <n v="0"/>
    <n v="0"/>
    <n v="0"/>
    <n v="442"/>
    <n v="442"/>
    <n v="0"/>
    <n v="442"/>
    <n v="442"/>
    <n v="1"/>
    <n v="0"/>
    <n v="1"/>
    <n v="1"/>
    <n v="0"/>
    <n v="0"/>
    <n v="0"/>
    <n v="0"/>
    <n v="0"/>
    <x v="0"/>
    <s v="Yes"/>
    <s v="KBC"/>
    <x v="1"/>
    <x v="4"/>
    <x v="0"/>
    <n v="23.4008"/>
    <n v="97.848529999999997"/>
    <s v="MMR015CMP015"/>
    <x v="0"/>
    <m/>
  </r>
  <r>
    <x v="0"/>
    <x v="1"/>
    <x v="1"/>
    <s v="UNICEF, WHH(AA)"/>
    <x v="3"/>
    <x v="24"/>
    <x v="1"/>
    <x v="499"/>
    <n v="61"/>
    <n v="292"/>
    <s v="1/2/19,1/10/18"/>
    <s v="31/1/20,30/9/20"/>
    <n v="126"/>
    <m/>
    <m/>
    <m/>
    <s v="Yes"/>
    <m/>
    <m/>
    <m/>
    <m/>
    <m/>
    <n v="1"/>
    <m/>
    <m/>
    <m/>
    <m/>
    <m/>
    <m/>
    <m/>
    <m/>
    <m/>
    <m/>
    <m/>
    <m/>
    <m/>
    <m/>
    <m/>
    <m/>
    <m/>
    <m/>
    <n v="12"/>
    <m/>
    <m/>
    <m/>
    <m/>
    <m/>
    <m/>
    <m/>
    <x v="0"/>
    <x v="0"/>
    <m/>
    <m/>
    <m/>
    <m/>
    <m/>
    <m/>
    <m/>
    <n v="1"/>
    <m/>
    <m/>
    <n v="1"/>
    <n v="0"/>
    <n v="0"/>
    <m/>
    <m/>
    <m/>
    <m/>
    <s v="no test"/>
    <s v="no test"/>
    <x v="1"/>
    <n v="0"/>
    <n v="1"/>
    <n v="0"/>
    <n v="0"/>
    <n v="0"/>
    <n v="1"/>
    <n v="0.85616438356164382"/>
    <n v="1"/>
    <n v="292"/>
    <n v="0"/>
    <n v="0"/>
    <n v="1"/>
    <n v="292"/>
    <n v="0.58399999999999996"/>
    <n v="0"/>
    <n v="0"/>
    <n v="0.41600000000000004"/>
    <n v="1"/>
    <n v="12"/>
    <n v="0.82191780821917804"/>
    <n v="240"/>
    <n v="0"/>
    <n v="0"/>
    <n v="15"/>
    <n v="3"/>
    <n v="0.17808219178082196"/>
    <n v="0"/>
    <n v="292"/>
    <n v="0"/>
    <n v="0"/>
    <n v="0"/>
    <n v="292"/>
    <n v="1"/>
    <n v="0"/>
    <n v="1"/>
    <n v="0"/>
    <n v="0"/>
    <n v="0"/>
    <n v="0"/>
    <n v="0"/>
    <n v="0"/>
    <x v="1"/>
    <s v="Yes"/>
    <s v="KBC-NSS"/>
    <x v="0"/>
    <x v="0"/>
    <x v="0"/>
    <n v="23.450914000000001"/>
    <n v="97.926813999999993"/>
    <s v="MMR015CMP016"/>
    <x v="0"/>
    <m/>
  </r>
  <r>
    <x v="0"/>
    <x v="37"/>
    <x v="38"/>
    <s v="GFFO, (UNICEF, WHH(AA))"/>
    <x v="3"/>
    <x v="24"/>
    <x v="1"/>
    <x v="500"/>
    <n v="46"/>
    <n v="156"/>
    <s v="12/1/2017,(1/2/19,1/10/18)"/>
    <s v="11/30/2019,(31/1/20,30/9/20)"/>
    <n v="64"/>
    <m/>
    <m/>
    <m/>
    <s v="Yes"/>
    <n v="3"/>
    <n v="6"/>
    <n v="1"/>
    <m/>
    <m/>
    <n v="1"/>
    <m/>
    <m/>
    <n v="1"/>
    <n v="7"/>
    <m/>
    <m/>
    <m/>
    <m/>
    <m/>
    <n v="1"/>
    <m/>
    <n v="1"/>
    <m/>
    <n v="15"/>
    <m/>
    <m/>
    <m/>
    <m/>
    <n v="12"/>
    <m/>
    <m/>
    <m/>
    <m/>
    <m/>
    <m/>
    <m/>
    <x v="0"/>
    <x v="0"/>
    <m/>
    <m/>
    <m/>
    <m/>
    <n v="6"/>
    <m/>
    <m/>
    <n v="2"/>
    <m/>
    <m/>
    <n v="1"/>
    <n v="46"/>
    <n v="0"/>
    <m/>
    <m/>
    <n v="0.5"/>
    <m/>
    <n v="0"/>
    <n v="0"/>
    <x v="0"/>
    <n v="1"/>
    <n v="1"/>
    <n v="7"/>
    <n v="0"/>
    <n v="0"/>
    <n v="1"/>
    <n v="1"/>
    <n v="1"/>
    <n v="156"/>
    <n v="0"/>
    <n v="0"/>
    <n v="1"/>
    <n v="156"/>
    <n v="0.312"/>
    <n v="0"/>
    <n v="0"/>
    <n v="0.68799999999999994"/>
    <n v="1"/>
    <n v="12"/>
    <n v="1"/>
    <n v="156"/>
    <n v="0"/>
    <n v="0"/>
    <n v="8"/>
    <n v="0"/>
    <n v="0"/>
    <n v="0"/>
    <n v="156"/>
    <n v="156"/>
    <n v="0"/>
    <n v="156"/>
    <n v="156"/>
    <n v="1"/>
    <n v="0"/>
    <n v="1"/>
    <n v="1"/>
    <n v="0"/>
    <n v="6"/>
    <n v="46"/>
    <n v="0"/>
    <n v="156"/>
    <x v="1"/>
    <s v="Yes"/>
    <s v="KBC-NSS"/>
    <x v="0"/>
    <x v="0"/>
    <x v="0"/>
    <n v="23.460349999999998"/>
    <n v="97.947360000000003"/>
    <s v="MMR015CMP245"/>
    <x v="0"/>
    <m/>
  </r>
  <r>
    <x v="0"/>
    <x v="1"/>
    <x v="1"/>
    <s v="UNICEF, WHH(AA)"/>
    <x v="3"/>
    <x v="24"/>
    <x v="1"/>
    <x v="501"/>
    <n v="30"/>
    <n v="138"/>
    <s v="1/2/19,1/10/18"/>
    <s v="31/1/20,30/9/20"/>
    <n v="59"/>
    <m/>
    <m/>
    <m/>
    <s v="Yes"/>
    <m/>
    <m/>
    <m/>
    <m/>
    <m/>
    <m/>
    <m/>
    <m/>
    <m/>
    <m/>
    <m/>
    <m/>
    <m/>
    <m/>
    <m/>
    <m/>
    <m/>
    <m/>
    <m/>
    <m/>
    <m/>
    <m/>
    <m/>
    <m/>
    <m/>
    <m/>
    <m/>
    <m/>
    <m/>
    <m/>
    <m/>
    <m/>
    <x v="0"/>
    <x v="0"/>
    <m/>
    <m/>
    <m/>
    <m/>
    <m/>
    <m/>
    <m/>
    <m/>
    <m/>
    <m/>
    <m/>
    <n v="0"/>
    <n v="0"/>
    <m/>
    <m/>
    <m/>
    <m/>
    <s v="no test"/>
    <s v="no test"/>
    <x v="1"/>
    <n v="0"/>
    <n v="0"/>
    <n v="0"/>
    <n v="0"/>
    <n v="0"/>
    <n v="0"/>
    <n v="0"/>
    <n v="0"/>
    <n v="0"/>
    <n v="0"/>
    <n v="0"/>
    <n v="0"/>
    <n v="0"/>
    <n v="0"/>
    <n v="1"/>
    <n v="138"/>
    <n v="1"/>
    <n v="1"/>
    <n v="0"/>
    <n v="0"/>
    <n v="0"/>
    <n v="0"/>
    <n v="0"/>
    <n v="7"/>
    <n v="7"/>
    <n v="1"/>
    <n v="0"/>
    <n v="0"/>
    <n v="0"/>
    <n v="0"/>
    <n v="0"/>
    <n v="0"/>
    <n v="0"/>
    <n v="1"/>
    <n v="0"/>
    <n v="0"/>
    <n v="0"/>
    <n v="0"/>
    <n v="0"/>
    <n v="0"/>
    <n v="0"/>
    <x v="1"/>
    <s v="Yes"/>
    <s v="KMSS-LSO"/>
    <x v="0"/>
    <x v="0"/>
    <x v="0"/>
    <n v="23.460349999999998"/>
    <n v="97.947360000000003"/>
    <s v="MMR015CMP017"/>
    <x v="0"/>
    <m/>
  </r>
  <r>
    <x v="0"/>
    <x v="2"/>
    <x v="2"/>
    <m/>
    <x v="3"/>
    <x v="26"/>
    <x v="1"/>
    <x v="502"/>
    <n v="63"/>
    <n v="290"/>
    <m/>
    <m/>
    <m/>
    <m/>
    <m/>
    <m/>
    <m/>
    <m/>
    <m/>
    <m/>
    <m/>
    <m/>
    <m/>
    <m/>
    <m/>
    <m/>
    <m/>
    <m/>
    <m/>
    <m/>
    <m/>
    <m/>
    <m/>
    <m/>
    <m/>
    <m/>
    <m/>
    <m/>
    <m/>
    <m/>
    <m/>
    <m/>
    <m/>
    <m/>
    <m/>
    <m/>
    <m/>
    <m/>
    <m/>
    <x v="1"/>
    <x v="1"/>
    <m/>
    <m/>
    <m/>
    <m/>
    <m/>
    <m/>
    <m/>
    <m/>
    <m/>
    <m/>
    <m/>
    <m/>
    <m/>
    <m/>
    <m/>
    <m/>
    <m/>
    <s v="no test"/>
    <s v="no test"/>
    <x v="1"/>
    <n v="0"/>
    <n v="0"/>
    <n v="0"/>
    <n v="0"/>
    <n v="0"/>
    <n v="0"/>
    <n v="0"/>
    <n v="0"/>
    <n v="0"/>
    <n v="0"/>
    <n v="0"/>
    <n v="0"/>
    <n v="0"/>
    <n v="0"/>
    <n v="1"/>
    <n v="290"/>
    <n v="1"/>
    <n v="1"/>
    <n v="0"/>
    <n v="0"/>
    <n v="0"/>
    <n v="0"/>
    <n v="0"/>
    <n v="15"/>
    <n v="15"/>
    <n v="1"/>
    <n v="0"/>
    <n v="0"/>
    <n v="0"/>
    <n v="0"/>
    <n v="0"/>
    <n v="0"/>
    <n v="0"/>
    <n v="1"/>
    <n v="0"/>
    <n v="0"/>
    <n v="0"/>
    <n v="0"/>
    <n v="0"/>
    <n v="0"/>
    <n v="0"/>
    <x v="0"/>
    <s v="Yes"/>
    <s v="KMSS-LSO"/>
    <x v="0"/>
    <x v="0"/>
    <x v="0"/>
    <n v="23.099304"/>
    <n v="97.400671000000003"/>
    <s v="MMR015CMP248"/>
    <x v="1"/>
    <m/>
  </r>
  <r>
    <x v="0"/>
    <x v="2"/>
    <x v="2"/>
    <m/>
    <x v="3"/>
    <x v="26"/>
    <x v="0"/>
    <x v="503"/>
    <n v="58"/>
    <n v="257"/>
    <m/>
    <m/>
    <m/>
    <m/>
    <m/>
    <m/>
    <m/>
    <m/>
    <m/>
    <m/>
    <m/>
    <m/>
    <m/>
    <m/>
    <m/>
    <m/>
    <m/>
    <m/>
    <m/>
    <m/>
    <m/>
    <m/>
    <m/>
    <m/>
    <m/>
    <m/>
    <m/>
    <m/>
    <m/>
    <m/>
    <m/>
    <m/>
    <m/>
    <m/>
    <m/>
    <m/>
    <m/>
    <m/>
    <m/>
    <x v="1"/>
    <x v="1"/>
    <m/>
    <m/>
    <m/>
    <m/>
    <m/>
    <m/>
    <m/>
    <m/>
    <m/>
    <m/>
    <m/>
    <m/>
    <m/>
    <m/>
    <m/>
    <m/>
    <m/>
    <s v="no test"/>
    <s v="no test"/>
    <x v="1"/>
    <n v="0"/>
    <n v="0"/>
    <n v="0"/>
    <n v="0"/>
    <n v="0"/>
    <n v="0"/>
    <n v="0"/>
    <n v="0"/>
    <n v="0"/>
    <n v="0"/>
    <n v="0"/>
    <n v="0"/>
    <n v="0"/>
    <n v="0"/>
    <n v="1"/>
    <n v="257"/>
    <n v="1"/>
    <n v="1"/>
    <n v="0"/>
    <n v="0"/>
    <n v="0"/>
    <n v="0"/>
    <n v="0"/>
    <n v="13"/>
    <n v="13"/>
    <n v="1"/>
    <n v="0"/>
    <n v="0"/>
    <n v="0"/>
    <n v="0"/>
    <n v="0"/>
    <n v="0"/>
    <n v="0"/>
    <n v="1"/>
    <n v="0"/>
    <n v="0"/>
    <n v="0"/>
    <n v="0"/>
    <n v="0"/>
    <n v="0"/>
    <n v="0"/>
    <x v="0"/>
    <n v="0"/>
    <n v="0"/>
    <x v="0"/>
    <x v="0"/>
    <x v="0"/>
    <n v="0"/>
    <n v="0"/>
    <n v="0"/>
    <x v="1"/>
    <m/>
  </r>
  <r>
    <x v="0"/>
    <x v="1"/>
    <x v="1"/>
    <s v="UNICEF, WHH(AA)"/>
    <x v="3"/>
    <x v="26"/>
    <x v="1"/>
    <x v="504"/>
    <n v="34"/>
    <n v="182"/>
    <s v="1/2/19,1/10/18"/>
    <s v="31/1/20,30/9/20"/>
    <n v="36"/>
    <m/>
    <m/>
    <m/>
    <s v="No"/>
    <m/>
    <m/>
    <m/>
    <m/>
    <m/>
    <m/>
    <m/>
    <m/>
    <m/>
    <m/>
    <m/>
    <m/>
    <m/>
    <m/>
    <n v="1"/>
    <m/>
    <m/>
    <m/>
    <m/>
    <m/>
    <m/>
    <m/>
    <m/>
    <m/>
    <n v="12"/>
    <m/>
    <m/>
    <n v="4"/>
    <m/>
    <m/>
    <m/>
    <m/>
    <x v="0"/>
    <x v="0"/>
    <m/>
    <m/>
    <m/>
    <m/>
    <m/>
    <m/>
    <m/>
    <n v="2"/>
    <m/>
    <m/>
    <n v="1"/>
    <n v="0"/>
    <n v="0"/>
    <m/>
    <m/>
    <m/>
    <m/>
    <s v="no test"/>
    <s v="no test"/>
    <x v="1"/>
    <n v="0"/>
    <n v="0"/>
    <n v="0"/>
    <n v="0"/>
    <n v="1"/>
    <n v="3.663003663003663E-4"/>
    <n v="3.663003663003663E-4"/>
    <n v="3.663003663003663E-4"/>
    <n v="6.6666666666666666E-2"/>
    <n v="0"/>
    <n v="0"/>
    <n v="3.663003663003663E-4"/>
    <n v="6.6666666666666666E-2"/>
    <n v="1.3333333333333334E-4"/>
    <n v="0.99963369963369964"/>
    <n v="181.93333333333334"/>
    <n v="0.99986666666666668"/>
    <n v="1"/>
    <n v="8"/>
    <n v="0.87912087912087911"/>
    <n v="160"/>
    <n v="0"/>
    <n v="0"/>
    <n v="9"/>
    <n v="0"/>
    <n v="0.12087912087912089"/>
    <n v="0.33333333333333331"/>
    <n v="182"/>
    <n v="0"/>
    <n v="0"/>
    <n v="0"/>
    <n v="182"/>
    <n v="1"/>
    <n v="0"/>
    <n v="1"/>
    <n v="0"/>
    <n v="0"/>
    <n v="0"/>
    <n v="0"/>
    <n v="0"/>
    <n v="0"/>
    <x v="1"/>
    <s v="Yes"/>
    <s v="KMSS-LSO"/>
    <x v="0"/>
    <x v="0"/>
    <x v="0"/>
    <n v="0"/>
    <n v="0"/>
    <s v="MMR015CMP232"/>
    <x v="0"/>
    <m/>
  </r>
  <r>
    <x v="0"/>
    <x v="37"/>
    <x v="38"/>
    <s v="GFFO, (UNICEF, WHH(AA))"/>
    <x v="3"/>
    <x v="24"/>
    <x v="1"/>
    <x v="505"/>
    <n v="82"/>
    <n v="426"/>
    <s v="12/1/2017,(1/2/19,1/10/18)"/>
    <s v="11/30/2019,(31/1/20,30/9/20)"/>
    <n v="102"/>
    <m/>
    <m/>
    <m/>
    <s v="Yes"/>
    <n v="6"/>
    <n v="3"/>
    <m/>
    <m/>
    <m/>
    <m/>
    <m/>
    <m/>
    <m/>
    <n v="54"/>
    <m/>
    <m/>
    <m/>
    <m/>
    <m/>
    <n v="1"/>
    <m/>
    <n v="1"/>
    <m/>
    <n v="15"/>
    <m/>
    <m/>
    <m/>
    <m/>
    <n v="15"/>
    <m/>
    <m/>
    <m/>
    <n v="2"/>
    <m/>
    <m/>
    <m/>
    <x v="0"/>
    <x v="3"/>
    <m/>
    <m/>
    <m/>
    <m/>
    <m/>
    <m/>
    <m/>
    <m/>
    <m/>
    <m/>
    <n v="1"/>
    <n v="63"/>
    <n v="0"/>
    <m/>
    <m/>
    <n v="0.5"/>
    <m/>
    <n v="0"/>
    <n v="0"/>
    <x v="0"/>
    <n v="0"/>
    <n v="0"/>
    <n v="54"/>
    <n v="0"/>
    <n v="0"/>
    <n v="1"/>
    <n v="1"/>
    <n v="1"/>
    <n v="426"/>
    <n v="0"/>
    <n v="0"/>
    <n v="1"/>
    <n v="426"/>
    <n v="0.85199999999999998"/>
    <n v="0"/>
    <n v="0"/>
    <n v="0.14800000000000002"/>
    <n v="1"/>
    <n v="15"/>
    <n v="0.70422535211267601"/>
    <n v="300"/>
    <n v="0"/>
    <n v="0"/>
    <n v="21"/>
    <n v="6"/>
    <n v="0.29577464788732399"/>
    <n v="0"/>
    <n v="426"/>
    <n v="315"/>
    <n v="0"/>
    <n v="315"/>
    <n v="426"/>
    <n v="1"/>
    <n v="0"/>
    <n v="1"/>
    <n v="0.76829268292682928"/>
    <n v="0"/>
    <n v="0"/>
    <n v="0"/>
    <n v="0"/>
    <n v="0"/>
    <x v="1"/>
    <s v="Yes"/>
    <s v="KMSS-LSO"/>
    <x v="0"/>
    <x v="0"/>
    <x v="0"/>
    <n v="23.591999999999999"/>
    <n v="97.796999999999997"/>
    <s v="MMR015CMP220"/>
    <x v="0"/>
    <m/>
  </r>
  <r>
    <x v="0"/>
    <x v="2"/>
    <x v="2"/>
    <m/>
    <x v="3"/>
    <x v="27"/>
    <x v="1"/>
    <x v="506"/>
    <n v="37"/>
    <n v="120"/>
    <m/>
    <m/>
    <m/>
    <m/>
    <m/>
    <m/>
    <m/>
    <m/>
    <m/>
    <m/>
    <m/>
    <m/>
    <m/>
    <m/>
    <m/>
    <m/>
    <m/>
    <m/>
    <m/>
    <m/>
    <m/>
    <m/>
    <m/>
    <m/>
    <m/>
    <m/>
    <m/>
    <m/>
    <m/>
    <m/>
    <m/>
    <m/>
    <m/>
    <m/>
    <m/>
    <m/>
    <m/>
    <m/>
    <m/>
    <x v="1"/>
    <x v="1"/>
    <m/>
    <m/>
    <m/>
    <m/>
    <m/>
    <m/>
    <m/>
    <m/>
    <m/>
    <m/>
    <m/>
    <m/>
    <m/>
    <m/>
    <m/>
    <m/>
    <m/>
    <s v="no test"/>
    <s v="no test"/>
    <x v="1"/>
    <n v="0"/>
    <n v="0"/>
    <n v="0"/>
    <n v="0"/>
    <n v="0"/>
    <n v="0"/>
    <n v="0"/>
    <n v="0"/>
    <n v="0"/>
    <n v="0"/>
    <n v="0"/>
    <n v="0"/>
    <n v="0"/>
    <n v="0"/>
    <n v="1"/>
    <n v="120"/>
    <n v="1"/>
    <n v="1"/>
    <n v="0"/>
    <n v="0"/>
    <n v="0"/>
    <n v="0"/>
    <n v="0"/>
    <n v="6"/>
    <n v="6"/>
    <n v="1"/>
    <n v="0"/>
    <n v="0"/>
    <n v="0"/>
    <n v="0"/>
    <n v="0"/>
    <n v="0"/>
    <n v="0"/>
    <n v="1"/>
    <n v="0"/>
    <n v="0"/>
    <n v="0"/>
    <n v="0"/>
    <n v="0"/>
    <n v="0"/>
    <n v="0"/>
    <x v="0"/>
    <n v="0"/>
    <s v="uncovered"/>
    <x v="0"/>
    <x v="2"/>
    <x v="0"/>
    <n v="22.677008000000001"/>
    <n v="97.314762999999999"/>
    <s v="MMR015CMP244"/>
    <x v="1"/>
    <m/>
  </r>
  <r>
    <x v="0"/>
    <x v="2"/>
    <x v="2"/>
    <m/>
    <x v="3"/>
    <x v="24"/>
    <x v="1"/>
    <x v="507"/>
    <n v="24"/>
    <n v="86"/>
    <m/>
    <m/>
    <m/>
    <m/>
    <m/>
    <m/>
    <m/>
    <m/>
    <m/>
    <m/>
    <m/>
    <m/>
    <m/>
    <m/>
    <m/>
    <m/>
    <m/>
    <m/>
    <m/>
    <m/>
    <m/>
    <m/>
    <m/>
    <m/>
    <m/>
    <m/>
    <m/>
    <m/>
    <m/>
    <m/>
    <m/>
    <m/>
    <m/>
    <m/>
    <m/>
    <m/>
    <m/>
    <m/>
    <m/>
    <x v="1"/>
    <x v="1"/>
    <m/>
    <m/>
    <m/>
    <m/>
    <m/>
    <m/>
    <m/>
    <m/>
    <m/>
    <m/>
    <m/>
    <m/>
    <m/>
    <m/>
    <m/>
    <m/>
    <m/>
    <s v="no test"/>
    <s v="no test"/>
    <x v="1"/>
    <n v="0"/>
    <n v="0"/>
    <n v="0"/>
    <n v="0"/>
    <n v="0"/>
    <n v="0"/>
    <n v="0"/>
    <n v="0"/>
    <n v="0"/>
    <n v="0"/>
    <n v="0"/>
    <n v="0"/>
    <n v="0"/>
    <n v="0"/>
    <n v="1"/>
    <n v="86"/>
    <n v="1"/>
    <n v="1"/>
    <n v="0"/>
    <n v="0"/>
    <n v="0"/>
    <n v="0"/>
    <n v="0"/>
    <n v="4"/>
    <n v="4"/>
    <n v="1"/>
    <n v="0"/>
    <n v="0"/>
    <n v="0"/>
    <n v="0"/>
    <n v="0"/>
    <n v="0"/>
    <n v="0"/>
    <n v="1"/>
    <n v="0"/>
    <n v="0"/>
    <n v="0"/>
    <n v="0"/>
    <n v="0"/>
    <n v="0"/>
    <n v="0"/>
    <x v="0"/>
    <n v="0"/>
    <s v="uncovered"/>
    <x v="0"/>
    <x v="2"/>
    <x v="0"/>
    <n v="0"/>
    <n v="0"/>
    <s v="MMR015CMP246"/>
    <x v="1"/>
    <m/>
  </r>
  <r>
    <x v="0"/>
    <x v="1"/>
    <x v="1"/>
    <s v="UNICEF, WHH(AA)"/>
    <x v="3"/>
    <x v="28"/>
    <x v="1"/>
    <x v="508"/>
    <n v="33"/>
    <n v="147"/>
    <s v="1/2/19,1/10/18"/>
    <s v="31/1/20,30/9/20"/>
    <n v="19"/>
    <m/>
    <m/>
    <m/>
    <s v="Yes"/>
    <m/>
    <m/>
    <m/>
    <m/>
    <m/>
    <n v="1"/>
    <m/>
    <m/>
    <m/>
    <m/>
    <m/>
    <m/>
    <m/>
    <m/>
    <m/>
    <m/>
    <m/>
    <m/>
    <m/>
    <m/>
    <m/>
    <m/>
    <m/>
    <m/>
    <n v="18"/>
    <m/>
    <m/>
    <m/>
    <m/>
    <m/>
    <m/>
    <m/>
    <x v="0"/>
    <x v="0"/>
    <m/>
    <m/>
    <m/>
    <m/>
    <m/>
    <m/>
    <m/>
    <n v="5"/>
    <m/>
    <m/>
    <n v="1"/>
    <n v="0"/>
    <n v="0"/>
    <m/>
    <m/>
    <m/>
    <m/>
    <s v="no test"/>
    <s v="no test"/>
    <x v="1"/>
    <n v="0"/>
    <n v="1"/>
    <n v="0"/>
    <n v="0"/>
    <n v="0"/>
    <n v="1"/>
    <n v="1"/>
    <n v="1"/>
    <n v="147"/>
    <n v="0"/>
    <n v="0"/>
    <n v="1"/>
    <n v="147"/>
    <n v="0.29399999999999998"/>
    <n v="0"/>
    <n v="0"/>
    <n v="0.70599999999999996"/>
    <n v="1"/>
    <n v="18"/>
    <n v="1"/>
    <n v="147"/>
    <n v="0"/>
    <n v="0"/>
    <n v="7"/>
    <n v="0"/>
    <n v="0"/>
    <n v="0"/>
    <n v="147"/>
    <n v="0"/>
    <n v="0"/>
    <n v="0"/>
    <n v="147"/>
    <n v="1"/>
    <n v="0"/>
    <n v="1"/>
    <n v="0"/>
    <n v="0"/>
    <n v="0"/>
    <n v="0"/>
    <n v="0"/>
    <n v="0"/>
    <x v="1"/>
    <s v="Yes"/>
    <s v="KBC-NSS"/>
    <x v="0"/>
    <x v="0"/>
    <x v="0"/>
    <n v="23.250678000000001"/>
    <n v="97.124403000000001"/>
    <s v="MMR015CMP009"/>
    <x v="0"/>
    <m/>
  </r>
  <r>
    <x v="0"/>
    <x v="3"/>
    <x v="3"/>
    <s v="HARP"/>
    <x v="3"/>
    <x v="28"/>
    <x v="1"/>
    <x v="509"/>
    <n v="30"/>
    <n v="170"/>
    <m/>
    <d v="2018-12-31T00:00:00"/>
    <m/>
    <m/>
    <m/>
    <m/>
    <m/>
    <m/>
    <m/>
    <n v="0"/>
    <m/>
    <m/>
    <n v="1"/>
    <m/>
    <m/>
    <m/>
    <m/>
    <m/>
    <m/>
    <m/>
    <n v="1"/>
    <m/>
    <m/>
    <m/>
    <m/>
    <m/>
    <m/>
    <m/>
    <m/>
    <m/>
    <m/>
    <n v="8"/>
    <m/>
    <m/>
    <m/>
    <m/>
    <m/>
    <m/>
    <m/>
    <x v="0"/>
    <x v="3"/>
    <m/>
    <m/>
    <n v="0"/>
    <m/>
    <m/>
    <m/>
    <n v="0"/>
    <n v="2"/>
    <m/>
    <m/>
    <n v="2"/>
    <m/>
    <m/>
    <m/>
    <m/>
    <m/>
    <m/>
    <s v="no test"/>
    <s v="no test"/>
    <x v="1"/>
    <n v="0"/>
    <n v="1"/>
    <n v="0"/>
    <n v="0"/>
    <n v="0"/>
    <n v="1"/>
    <n v="1"/>
    <n v="1"/>
    <n v="170"/>
    <n v="1"/>
    <n v="170"/>
    <n v="1"/>
    <n v="170"/>
    <n v="0.34"/>
    <n v="0"/>
    <n v="0"/>
    <n v="0.65999999999999992"/>
    <n v="1"/>
    <n v="8"/>
    <n v="0.94117647058823528"/>
    <n v="160"/>
    <n v="0"/>
    <n v="0"/>
    <n v="9"/>
    <n v="1"/>
    <n v="5.8823529411764719E-2"/>
    <n v="0"/>
    <n v="170"/>
    <n v="0"/>
    <n v="0"/>
    <n v="0"/>
    <n v="170"/>
    <n v="1"/>
    <n v="0"/>
    <n v="1"/>
    <n v="0"/>
    <n v="0"/>
    <n v="0"/>
    <n v="0"/>
    <n v="0"/>
    <n v="0"/>
    <x v="0"/>
    <s v="Yes"/>
    <s v="KMSS-LSO"/>
    <x v="0"/>
    <x v="0"/>
    <x v="0"/>
    <n v="23.24661"/>
    <n v="97.116680000000002"/>
    <s v="MMR015CMP209"/>
    <x v="0"/>
    <m/>
  </r>
  <r>
    <x v="0"/>
    <x v="37"/>
    <x v="38"/>
    <s v="GFFO, (UNICEF, WHH(AA))"/>
    <x v="3"/>
    <x v="24"/>
    <x v="1"/>
    <x v="510"/>
    <n v="76"/>
    <n v="344"/>
    <s v="12/1/2017,(1/2/19,1/10/18)"/>
    <s v="11/30/2019,(31/1/20,30/9/20)"/>
    <n v="79"/>
    <m/>
    <m/>
    <m/>
    <s v="Yes"/>
    <n v="4"/>
    <n v="5"/>
    <m/>
    <m/>
    <m/>
    <m/>
    <m/>
    <m/>
    <m/>
    <n v="436"/>
    <m/>
    <m/>
    <m/>
    <m/>
    <m/>
    <n v="1"/>
    <n v="1"/>
    <n v="1"/>
    <m/>
    <n v="15"/>
    <m/>
    <m/>
    <m/>
    <m/>
    <n v="81"/>
    <m/>
    <m/>
    <m/>
    <n v="15"/>
    <m/>
    <m/>
    <m/>
    <x v="2"/>
    <x v="3"/>
    <m/>
    <m/>
    <m/>
    <m/>
    <n v="2"/>
    <m/>
    <m/>
    <n v="3"/>
    <m/>
    <n v="1"/>
    <m/>
    <n v="76"/>
    <n v="0"/>
    <m/>
    <m/>
    <n v="0.5"/>
    <m/>
    <n v="0"/>
    <n v="0"/>
    <x v="0"/>
    <n v="0"/>
    <n v="0"/>
    <n v="436"/>
    <n v="0"/>
    <n v="0"/>
    <n v="1"/>
    <n v="1"/>
    <n v="1"/>
    <n v="344"/>
    <n v="0"/>
    <n v="0"/>
    <n v="1"/>
    <n v="344"/>
    <n v="0.68799999999999994"/>
    <n v="0"/>
    <n v="0"/>
    <n v="0.31200000000000006"/>
    <n v="1"/>
    <n v="81"/>
    <n v="1"/>
    <n v="344"/>
    <n v="0"/>
    <n v="0"/>
    <n v="57"/>
    <n v="0"/>
    <n v="0"/>
    <n v="0"/>
    <n v="344"/>
    <n v="344"/>
    <n v="0"/>
    <n v="344"/>
    <n v="344"/>
    <n v="1"/>
    <n v="0"/>
    <n v="1"/>
    <n v="1"/>
    <n v="0"/>
    <n v="2"/>
    <n v="40"/>
    <n v="0"/>
    <n v="200"/>
    <x v="1"/>
    <s v="Yes"/>
    <s v="KMSS-LSO"/>
    <x v="1"/>
    <x v="0"/>
    <x v="0"/>
    <n v="23.588920000000002"/>
    <n v="97.793019999999999"/>
    <s v="MMR015CMP018"/>
    <x v="0"/>
    <m/>
  </r>
  <r>
    <x v="0"/>
    <x v="9"/>
    <x v="9"/>
    <s v="GFFO"/>
    <x v="3"/>
    <x v="29"/>
    <x v="1"/>
    <x v="511"/>
    <n v="62"/>
    <n v="276"/>
    <d v="2017-12-01T00:00:00"/>
    <d v="2019-11-30T00:00:00"/>
    <m/>
    <m/>
    <m/>
    <m/>
    <s v="Yes"/>
    <n v="3"/>
    <n v="6"/>
    <n v="0"/>
    <n v="0"/>
    <n v="0"/>
    <n v="0"/>
    <n v="0"/>
    <n v="0"/>
    <n v="0"/>
    <n v="16"/>
    <n v="0"/>
    <n v="0"/>
    <n v="0"/>
    <m/>
    <n v="0"/>
    <n v="1"/>
    <m/>
    <n v="1"/>
    <n v="0"/>
    <n v="15"/>
    <n v="0"/>
    <m/>
    <m/>
    <m/>
    <n v="10"/>
    <n v="0"/>
    <m/>
    <n v="0"/>
    <n v="0"/>
    <n v="0"/>
    <m/>
    <m/>
    <x v="0"/>
    <x v="0"/>
    <n v="0"/>
    <n v="0"/>
    <m/>
    <m/>
    <n v="0"/>
    <n v="0"/>
    <n v="0"/>
    <n v="2"/>
    <n v="0"/>
    <n v="0"/>
    <n v="1"/>
    <n v="62"/>
    <m/>
    <m/>
    <m/>
    <n v="0.5"/>
    <m/>
    <n v="0"/>
    <n v="0"/>
    <x v="0"/>
    <n v="0"/>
    <n v="0"/>
    <n v="16"/>
    <n v="0"/>
    <n v="0"/>
    <n v="1"/>
    <n v="1"/>
    <n v="1"/>
    <n v="276"/>
    <n v="0"/>
    <n v="0"/>
    <n v="1"/>
    <n v="276"/>
    <n v="0.55200000000000005"/>
    <n v="0"/>
    <n v="0"/>
    <n v="0.44799999999999995"/>
    <n v="1"/>
    <n v="10"/>
    <n v="0.72463768115942029"/>
    <n v="200"/>
    <n v="0"/>
    <n v="0"/>
    <n v="14"/>
    <n v="4"/>
    <n v="0.27536231884057971"/>
    <n v="0"/>
    <n v="276"/>
    <n v="276"/>
    <n v="0"/>
    <n v="276"/>
    <n v="276"/>
    <n v="1"/>
    <n v="0"/>
    <n v="1"/>
    <n v="1"/>
    <n v="0"/>
    <n v="0"/>
    <n v="0"/>
    <n v="0"/>
    <n v="0"/>
    <x v="0"/>
    <n v="0"/>
    <s v="uncovered"/>
    <x v="0"/>
    <x v="2"/>
    <x v="0"/>
    <n v="23.611999999999998"/>
    <n v="97.506"/>
    <s v="MMR015CMP224"/>
    <x v="0"/>
    <m/>
  </r>
  <r>
    <x v="0"/>
    <x v="9"/>
    <x v="9"/>
    <s v="GFFO"/>
    <x v="3"/>
    <x v="24"/>
    <x v="1"/>
    <x v="512"/>
    <n v="30"/>
    <n v="180"/>
    <d v="2017-12-01T00:00:00"/>
    <d v="2019-11-30T00:00:00"/>
    <m/>
    <m/>
    <m/>
    <m/>
    <s v="Yes"/>
    <n v="5"/>
    <n v="4"/>
    <n v="0"/>
    <n v="0"/>
    <n v="0"/>
    <n v="0"/>
    <n v="0"/>
    <n v="0"/>
    <n v="0"/>
    <n v="12"/>
    <n v="0"/>
    <n v="0"/>
    <n v="0"/>
    <m/>
    <n v="0"/>
    <n v="1"/>
    <m/>
    <n v="1"/>
    <n v="0"/>
    <n v="15"/>
    <n v="0"/>
    <m/>
    <m/>
    <m/>
    <n v="30"/>
    <n v="0"/>
    <m/>
    <n v="0"/>
    <n v="0"/>
    <n v="0"/>
    <m/>
    <m/>
    <x v="3"/>
    <x v="0"/>
    <n v="0"/>
    <n v="0"/>
    <m/>
    <m/>
    <n v="2"/>
    <n v="0"/>
    <n v="0"/>
    <n v="2"/>
    <n v="0"/>
    <n v="0"/>
    <n v="1"/>
    <n v="30"/>
    <m/>
    <m/>
    <m/>
    <n v="0.1"/>
    <m/>
    <n v="0"/>
    <n v="0"/>
    <x v="0"/>
    <n v="0"/>
    <n v="0"/>
    <n v="12"/>
    <n v="0"/>
    <n v="0"/>
    <n v="1"/>
    <n v="1"/>
    <n v="1"/>
    <n v="180"/>
    <n v="0"/>
    <n v="0"/>
    <n v="1"/>
    <n v="180"/>
    <n v="0.36"/>
    <n v="0"/>
    <n v="0"/>
    <n v="0.64"/>
    <n v="1"/>
    <n v="30"/>
    <n v="1"/>
    <n v="180"/>
    <n v="0"/>
    <n v="0"/>
    <n v="9"/>
    <n v="0"/>
    <n v="0"/>
    <n v="0"/>
    <n v="180"/>
    <n v="180"/>
    <n v="0"/>
    <n v="180"/>
    <n v="180"/>
    <n v="1"/>
    <n v="0"/>
    <n v="1"/>
    <n v="1"/>
    <n v="0"/>
    <n v="2"/>
    <n v="30"/>
    <n v="0"/>
    <n v="180"/>
    <x v="0"/>
    <n v="0"/>
    <s v="uncovered"/>
    <x v="0"/>
    <x v="2"/>
    <x v="0"/>
    <n v="23.850999999999999"/>
    <n v="98.337999999999994"/>
    <s v="MMR015CMP227"/>
    <x v="0"/>
    <m/>
  </r>
  <r>
    <x v="0"/>
    <x v="2"/>
    <x v="2"/>
    <m/>
    <x v="3"/>
    <x v="24"/>
    <x v="1"/>
    <x v="513"/>
    <n v="44"/>
    <n v="265"/>
    <m/>
    <m/>
    <m/>
    <m/>
    <m/>
    <m/>
    <m/>
    <m/>
    <m/>
    <m/>
    <m/>
    <m/>
    <m/>
    <m/>
    <m/>
    <m/>
    <m/>
    <m/>
    <m/>
    <m/>
    <m/>
    <m/>
    <m/>
    <m/>
    <m/>
    <m/>
    <m/>
    <m/>
    <m/>
    <m/>
    <m/>
    <m/>
    <m/>
    <m/>
    <m/>
    <m/>
    <m/>
    <m/>
    <m/>
    <x v="0"/>
    <x v="4"/>
    <m/>
    <m/>
    <m/>
    <m/>
    <m/>
    <m/>
    <m/>
    <m/>
    <m/>
    <m/>
    <m/>
    <m/>
    <m/>
    <m/>
    <m/>
    <m/>
    <m/>
    <s v="no test"/>
    <s v="no test"/>
    <x v="1"/>
    <n v="0"/>
    <n v="0"/>
    <n v="0"/>
    <n v="0"/>
    <n v="0"/>
    <n v="0"/>
    <n v="0"/>
    <n v="0"/>
    <n v="0"/>
    <n v="0"/>
    <n v="0"/>
    <n v="0"/>
    <n v="0"/>
    <n v="0"/>
    <n v="1"/>
    <n v="265"/>
    <n v="1"/>
    <n v="1"/>
    <n v="0"/>
    <n v="0"/>
    <n v="0"/>
    <n v="0"/>
    <n v="0"/>
    <n v="44"/>
    <n v="44"/>
    <n v="1"/>
    <n v="0"/>
    <n v="0"/>
    <n v="0"/>
    <n v="0"/>
    <n v="0"/>
    <n v="0"/>
    <n v="0"/>
    <n v="1"/>
    <n v="0"/>
    <n v="0"/>
    <n v="0"/>
    <n v="0"/>
    <n v="0"/>
    <n v="0"/>
    <n v="0"/>
    <x v="0"/>
    <s v="Yes"/>
    <s v="KBC-NSS"/>
    <x v="1"/>
    <x v="0"/>
    <x v="0"/>
    <n v="23.400155999999999"/>
    <n v="98.220614999999995"/>
    <s v="MMR015CMP006"/>
    <x v="1"/>
    <m/>
  </r>
  <r>
    <x v="0"/>
    <x v="3"/>
    <x v="3"/>
    <s v="HARP"/>
    <x v="3"/>
    <x v="24"/>
    <x v="1"/>
    <x v="514"/>
    <n v="30"/>
    <n v="138"/>
    <m/>
    <d v="2018-12-31T00:00:00"/>
    <m/>
    <m/>
    <m/>
    <m/>
    <m/>
    <m/>
    <m/>
    <n v="0"/>
    <m/>
    <m/>
    <n v="0"/>
    <m/>
    <m/>
    <m/>
    <m/>
    <m/>
    <m/>
    <m/>
    <n v="1"/>
    <m/>
    <m/>
    <m/>
    <m/>
    <m/>
    <m/>
    <m/>
    <m/>
    <m/>
    <m/>
    <n v="8"/>
    <m/>
    <m/>
    <m/>
    <m/>
    <m/>
    <m/>
    <m/>
    <x v="0"/>
    <x v="0"/>
    <m/>
    <m/>
    <n v="0"/>
    <m/>
    <m/>
    <m/>
    <n v="0"/>
    <n v="2"/>
    <m/>
    <m/>
    <n v="0"/>
    <m/>
    <m/>
    <m/>
    <m/>
    <m/>
    <m/>
    <s v="no test"/>
    <s v="no test"/>
    <x v="1"/>
    <n v="0"/>
    <n v="0"/>
    <n v="0"/>
    <n v="0"/>
    <n v="0"/>
    <n v="0"/>
    <n v="0"/>
    <n v="0"/>
    <n v="0"/>
    <n v="1"/>
    <n v="138"/>
    <n v="1"/>
    <n v="138"/>
    <n v="0.27600000000000002"/>
    <n v="0"/>
    <n v="0"/>
    <n v="0.72399999999999998"/>
    <n v="1"/>
    <n v="8"/>
    <n v="1"/>
    <n v="138"/>
    <n v="0"/>
    <n v="0"/>
    <n v="7"/>
    <n v="0"/>
    <n v="0"/>
    <n v="0"/>
    <n v="0"/>
    <n v="0"/>
    <n v="0"/>
    <n v="0"/>
    <n v="0"/>
    <n v="0"/>
    <n v="1"/>
    <n v="0"/>
    <n v="0"/>
    <n v="0"/>
    <n v="0"/>
    <n v="0"/>
    <n v="0"/>
    <n v="0"/>
    <x v="0"/>
    <s v="Yes"/>
    <s v="KMSS-LSO"/>
    <x v="0"/>
    <x v="0"/>
    <x v="0"/>
    <n v="23.463000000000001"/>
    <n v="98.248999999999995"/>
    <s v="MMR015CMP217"/>
    <x v="0"/>
    <m/>
  </r>
  <r>
    <x v="0"/>
    <x v="1"/>
    <x v="1"/>
    <s v="UNICEF, WHH(AA)"/>
    <x v="3"/>
    <x v="25"/>
    <x v="1"/>
    <x v="515"/>
    <n v="51"/>
    <n v="207"/>
    <s v="1/2/19,1/10/18"/>
    <s v="31/1/20,30/9/20"/>
    <m/>
    <m/>
    <m/>
    <m/>
    <s v="Yes"/>
    <m/>
    <m/>
    <m/>
    <m/>
    <m/>
    <m/>
    <m/>
    <m/>
    <m/>
    <m/>
    <m/>
    <m/>
    <m/>
    <m/>
    <m/>
    <m/>
    <m/>
    <m/>
    <m/>
    <m/>
    <m/>
    <m/>
    <m/>
    <m/>
    <n v="12"/>
    <m/>
    <m/>
    <m/>
    <m/>
    <m/>
    <m/>
    <m/>
    <x v="0"/>
    <x v="0"/>
    <m/>
    <m/>
    <m/>
    <m/>
    <m/>
    <m/>
    <m/>
    <n v="3"/>
    <m/>
    <m/>
    <m/>
    <n v="0"/>
    <n v="0"/>
    <m/>
    <m/>
    <m/>
    <m/>
    <s v="no test"/>
    <s v="no test"/>
    <x v="1"/>
    <n v="0"/>
    <n v="0"/>
    <n v="0"/>
    <n v="0"/>
    <n v="0"/>
    <n v="0"/>
    <n v="0"/>
    <n v="0"/>
    <n v="0"/>
    <n v="0"/>
    <n v="0"/>
    <n v="0"/>
    <n v="0"/>
    <n v="0"/>
    <n v="1"/>
    <n v="207"/>
    <n v="1"/>
    <n v="1"/>
    <n v="12"/>
    <n v="1"/>
    <n v="207"/>
    <n v="0"/>
    <n v="0"/>
    <n v="10"/>
    <n v="0"/>
    <n v="0"/>
    <n v="0"/>
    <n v="0"/>
    <n v="0"/>
    <n v="0"/>
    <n v="0"/>
    <n v="0"/>
    <n v="0"/>
    <n v="1"/>
    <n v="0"/>
    <n v="0"/>
    <n v="0"/>
    <n v="0"/>
    <n v="0"/>
    <n v="0"/>
    <n v="0"/>
    <x v="0"/>
    <n v="0"/>
    <s v="uncovered"/>
    <x v="0"/>
    <x v="2"/>
    <x v="0"/>
    <n v="24.006319999999999"/>
    <n v="97.909400000000005"/>
    <s v="MMR015CMP213"/>
    <x v="0"/>
    <m/>
  </r>
  <r>
    <x v="0"/>
    <x v="3"/>
    <x v="3"/>
    <s v="HARP"/>
    <x v="3"/>
    <x v="25"/>
    <x v="1"/>
    <x v="516"/>
    <n v="24"/>
    <n v="114"/>
    <m/>
    <d v="2018-12-31T00:00:00"/>
    <m/>
    <m/>
    <m/>
    <m/>
    <m/>
    <m/>
    <m/>
    <n v="1"/>
    <m/>
    <m/>
    <n v="1"/>
    <m/>
    <m/>
    <m/>
    <m/>
    <m/>
    <m/>
    <m/>
    <m/>
    <m/>
    <m/>
    <m/>
    <m/>
    <m/>
    <m/>
    <m/>
    <m/>
    <m/>
    <m/>
    <n v="8"/>
    <m/>
    <m/>
    <m/>
    <m/>
    <m/>
    <m/>
    <m/>
    <x v="0"/>
    <x v="3"/>
    <m/>
    <m/>
    <n v="1"/>
    <m/>
    <m/>
    <m/>
    <n v="1"/>
    <n v="2"/>
    <m/>
    <m/>
    <n v="2"/>
    <m/>
    <m/>
    <m/>
    <m/>
    <m/>
    <m/>
    <s v="no test"/>
    <s v="no test"/>
    <x v="1"/>
    <n v="1"/>
    <n v="1"/>
    <n v="0"/>
    <n v="0"/>
    <n v="0"/>
    <n v="1"/>
    <n v="1"/>
    <n v="1"/>
    <n v="114"/>
    <n v="0"/>
    <n v="0"/>
    <n v="1"/>
    <n v="114"/>
    <n v="0.22800000000000001"/>
    <n v="0"/>
    <n v="0"/>
    <n v="0.77200000000000002"/>
    <n v="1"/>
    <n v="8"/>
    <n v="1"/>
    <n v="114"/>
    <n v="0"/>
    <n v="0"/>
    <n v="6"/>
    <n v="0"/>
    <n v="0"/>
    <n v="0"/>
    <n v="114"/>
    <n v="0"/>
    <n v="0"/>
    <n v="0"/>
    <n v="114"/>
    <n v="1"/>
    <n v="0"/>
    <n v="1"/>
    <n v="0"/>
    <n v="0"/>
    <n v="0"/>
    <n v="0"/>
    <n v="0"/>
    <n v="0"/>
    <x v="0"/>
    <s v="Yes"/>
    <s v="KMSS-LSO"/>
    <x v="0"/>
    <x v="0"/>
    <x v="0"/>
    <n v="24.006789000000001"/>
    <n v="97.911647000000002"/>
    <s v="MMR015CMP216"/>
    <x v="0"/>
    <m/>
  </r>
  <r>
    <x v="0"/>
    <x v="3"/>
    <x v="3"/>
    <s v="HARP"/>
    <x v="3"/>
    <x v="29"/>
    <x v="1"/>
    <x v="517"/>
    <n v="120"/>
    <n v="570"/>
    <m/>
    <d v="2018-12-31T00:00:00"/>
    <m/>
    <m/>
    <m/>
    <m/>
    <m/>
    <m/>
    <m/>
    <n v="0"/>
    <m/>
    <m/>
    <n v="1"/>
    <m/>
    <m/>
    <m/>
    <m/>
    <m/>
    <m/>
    <m/>
    <m/>
    <m/>
    <m/>
    <m/>
    <m/>
    <m/>
    <m/>
    <m/>
    <m/>
    <m/>
    <m/>
    <n v="17"/>
    <m/>
    <m/>
    <m/>
    <m/>
    <m/>
    <m/>
    <m/>
    <x v="0"/>
    <x v="0"/>
    <m/>
    <m/>
    <m/>
    <m/>
    <m/>
    <m/>
    <n v="0"/>
    <n v="2"/>
    <m/>
    <m/>
    <n v="2"/>
    <m/>
    <m/>
    <m/>
    <m/>
    <m/>
    <m/>
    <s v="no test"/>
    <s v="no test"/>
    <x v="1"/>
    <n v="0"/>
    <n v="1"/>
    <n v="0"/>
    <n v="0"/>
    <n v="0"/>
    <n v="0.8771929824561403"/>
    <n v="0.43859649122807015"/>
    <n v="0.8771929824561403"/>
    <n v="500"/>
    <n v="0"/>
    <n v="0"/>
    <n v="0.8771929824561403"/>
    <n v="500"/>
    <n v="1"/>
    <n v="0.1228070175438597"/>
    <n v="70.000000000000028"/>
    <n v="0"/>
    <n v="1"/>
    <n v="17"/>
    <n v="0.59649122807017541"/>
    <n v="340"/>
    <n v="0"/>
    <n v="0"/>
    <n v="29"/>
    <n v="12"/>
    <n v="0.40350877192982459"/>
    <n v="0"/>
    <n v="570"/>
    <n v="0"/>
    <n v="0"/>
    <n v="0"/>
    <n v="570"/>
    <n v="1"/>
    <n v="0"/>
    <n v="1"/>
    <n v="0"/>
    <n v="0"/>
    <n v="0"/>
    <n v="0"/>
    <n v="0"/>
    <n v="0"/>
    <x v="0"/>
    <s v="Yes"/>
    <s v="KBC-NSS"/>
    <x v="0"/>
    <x v="0"/>
    <x v="0"/>
    <n v="23.821380000000001"/>
    <n v="97.681970000000007"/>
    <s v="MMR015CMP004"/>
    <x v="0"/>
    <m/>
  </r>
  <r>
    <x v="0"/>
    <x v="2"/>
    <x v="2"/>
    <m/>
    <x v="3"/>
    <x v="29"/>
    <x v="1"/>
    <x v="518"/>
    <n v="68"/>
    <n v="350"/>
    <m/>
    <m/>
    <m/>
    <m/>
    <m/>
    <m/>
    <m/>
    <m/>
    <m/>
    <m/>
    <m/>
    <m/>
    <m/>
    <m/>
    <m/>
    <m/>
    <m/>
    <m/>
    <m/>
    <m/>
    <m/>
    <m/>
    <m/>
    <m/>
    <m/>
    <m/>
    <m/>
    <m/>
    <m/>
    <m/>
    <m/>
    <m/>
    <m/>
    <m/>
    <m/>
    <m/>
    <m/>
    <m/>
    <m/>
    <x v="1"/>
    <x v="1"/>
    <m/>
    <m/>
    <m/>
    <m/>
    <m/>
    <m/>
    <m/>
    <m/>
    <m/>
    <m/>
    <m/>
    <m/>
    <m/>
    <m/>
    <m/>
    <m/>
    <m/>
    <s v="no test"/>
    <s v="no test"/>
    <x v="1"/>
    <n v="0"/>
    <n v="0"/>
    <n v="0"/>
    <n v="0"/>
    <n v="0"/>
    <n v="0"/>
    <n v="0"/>
    <n v="0"/>
    <n v="0"/>
    <n v="0"/>
    <n v="0"/>
    <n v="0"/>
    <n v="0"/>
    <n v="0"/>
    <n v="1"/>
    <n v="350"/>
    <n v="1"/>
    <n v="1"/>
    <n v="0"/>
    <n v="0"/>
    <n v="0"/>
    <n v="0"/>
    <n v="0"/>
    <n v="18"/>
    <n v="18"/>
    <n v="1"/>
    <n v="0"/>
    <n v="0"/>
    <n v="0"/>
    <n v="0"/>
    <n v="0"/>
    <n v="0"/>
    <n v="0"/>
    <n v="1"/>
    <n v="0"/>
    <n v="0"/>
    <n v="0"/>
    <n v="0"/>
    <n v="0"/>
    <n v="0"/>
    <n v="0"/>
    <x v="0"/>
    <s v="Yes"/>
    <s v="KBC-NSS"/>
    <x v="0"/>
    <x v="0"/>
    <x v="0"/>
    <n v="23.828520000000001"/>
    <n v="97.669557999999995"/>
    <s v="MMR015CMP001"/>
    <x v="1"/>
    <m/>
  </r>
  <r>
    <x v="0"/>
    <x v="2"/>
    <x v="2"/>
    <m/>
    <x v="3"/>
    <x v="29"/>
    <x v="1"/>
    <x v="519"/>
    <n v="34"/>
    <n v="176"/>
    <m/>
    <m/>
    <m/>
    <m/>
    <m/>
    <m/>
    <m/>
    <m/>
    <m/>
    <m/>
    <m/>
    <m/>
    <m/>
    <m/>
    <m/>
    <m/>
    <m/>
    <m/>
    <m/>
    <m/>
    <m/>
    <m/>
    <m/>
    <m/>
    <m/>
    <m/>
    <m/>
    <m/>
    <m/>
    <m/>
    <m/>
    <m/>
    <m/>
    <m/>
    <m/>
    <m/>
    <m/>
    <m/>
    <m/>
    <x v="1"/>
    <x v="1"/>
    <m/>
    <m/>
    <m/>
    <m/>
    <m/>
    <m/>
    <m/>
    <m/>
    <m/>
    <m/>
    <m/>
    <m/>
    <m/>
    <m/>
    <m/>
    <m/>
    <m/>
    <s v="no test"/>
    <s v="no test"/>
    <x v="1"/>
    <n v="0"/>
    <n v="0"/>
    <n v="0"/>
    <n v="0"/>
    <n v="0"/>
    <n v="0"/>
    <n v="0"/>
    <n v="0"/>
    <n v="0"/>
    <n v="0"/>
    <n v="0"/>
    <n v="0"/>
    <n v="0"/>
    <n v="0"/>
    <n v="1"/>
    <n v="176"/>
    <n v="1"/>
    <n v="1"/>
    <n v="0"/>
    <n v="0"/>
    <n v="0"/>
    <n v="0"/>
    <n v="0"/>
    <n v="9"/>
    <n v="9"/>
    <n v="1"/>
    <n v="0"/>
    <n v="0"/>
    <n v="0"/>
    <n v="0"/>
    <n v="0"/>
    <n v="0"/>
    <n v="0"/>
    <n v="1"/>
    <n v="0"/>
    <n v="0"/>
    <n v="0"/>
    <n v="0"/>
    <n v="0"/>
    <n v="0"/>
    <n v="0"/>
    <x v="0"/>
    <s v="Yes"/>
    <s v="KBC-NSS"/>
    <x v="0"/>
    <x v="0"/>
    <x v="0"/>
    <n v="23.841646999999998"/>
    <n v="97.700940000000003"/>
    <s v="MMR015CMP214"/>
    <x v="1"/>
    <m/>
  </r>
  <r>
    <x v="0"/>
    <x v="3"/>
    <x v="3"/>
    <s v="HARP"/>
    <x v="3"/>
    <x v="29"/>
    <x v="1"/>
    <x v="520"/>
    <n v="44"/>
    <n v="209"/>
    <m/>
    <d v="2018-12-31T00:00:00"/>
    <m/>
    <m/>
    <m/>
    <m/>
    <m/>
    <m/>
    <m/>
    <n v="1"/>
    <m/>
    <m/>
    <n v="1"/>
    <m/>
    <m/>
    <m/>
    <m/>
    <m/>
    <m/>
    <m/>
    <m/>
    <m/>
    <m/>
    <m/>
    <m/>
    <m/>
    <m/>
    <m/>
    <m/>
    <m/>
    <m/>
    <n v="15"/>
    <m/>
    <m/>
    <m/>
    <m/>
    <m/>
    <m/>
    <m/>
    <x v="0"/>
    <x v="0"/>
    <m/>
    <m/>
    <m/>
    <m/>
    <m/>
    <m/>
    <n v="0"/>
    <n v="2"/>
    <m/>
    <m/>
    <n v="2"/>
    <m/>
    <m/>
    <m/>
    <m/>
    <m/>
    <m/>
    <s v="no test"/>
    <s v="no test"/>
    <x v="1"/>
    <n v="1"/>
    <n v="1"/>
    <n v="0"/>
    <n v="0"/>
    <n v="0"/>
    <n v="1"/>
    <n v="1"/>
    <n v="1"/>
    <n v="209"/>
    <n v="0"/>
    <n v="0"/>
    <n v="1"/>
    <n v="209"/>
    <n v="0.41799999999999998"/>
    <n v="0"/>
    <n v="0"/>
    <n v="0.58200000000000007"/>
    <n v="1"/>
    <n v="15"/>
    <n v="1"/>
    <n v="209"/>
    <n v="0"/>
    <n v="0"/>
    <n v="10"/>
    <n v="0"/>
    <n v="0"/>
    <n v="0"/>
    <n v="209"/>
    <n v="0"/>
    <n v="0"/>
    <n v="0"/>
    <n v="209"/>
    <n v="1"/>
    <n v="0"/>
    <n v="1"/>
    <n v="0"/>
    <n v="0"/>
    <n v="0"/>
    <n v="0"/>
    <n v="0"/>
    <n v="0"/>
    <x v="0"/>
    <s v="Yes"/>
    <s v="KMSS-LSO"/>
    <x v="0"/>
    <x v="0"/>
    <x v="0"/>
    <n v="23.828150000000001"/>
    <n v="97.670360000000002"/>
    <s v="MMR015CMP003"/>
    <x v="0"/>
    <m/>
  </r>
  <r>
    <x v="0"/>
    <x v="37"/>
    <x v="38"/>
    <s v="GFFO, (UNICEF, WHH(AA))"/>
    <x v="3"/>
    <x v="24"/>
    <x v="1"/>
    <x v="521"/>
    <n v="57"/>
    <n v="266"/>
    <s v="12/1/2017,(1/2/19,1/10/18)"/>
    <s v="11/30/2019,(31/1/20,30/9/20)"/>
    <n v="139"/>
    <m/>
    <m/>
    <m/>
    <s v="Yes"/>
    <n v="5"/>
    <n v="4"/>
    <m/>
    <m/>
    <m/>
    <m/>
    <m/>
    <m/>
    <m/>
    <n v="16"/>
    <m/>
    <m/>
    <m/>
    <m/>
    <m/>
    <n v="1"/>
    <m/>
    <n v="1"/>
    <m/>
    <n v="15"/>
    <m/>
    <m/>
    <m/>
    <m/>
    <n v="15"/>
    <m/>
    <m/>
    <n v="4"/>
    <n v="4"/>
    <n v="6"/>
    <m/>
    <m/>
    <x v="0"/>
    <x v="0"/>
    <m/>
    <m/>
    <m/>
    <m/>
    <n v="4"/>
    <n v="3"/>
    <m/>
    <n v="1"/>
    <m/>
    <m/>
    <n v="1"/>
    <n v="57"/>
    <n v="0"/>
    <m/>
    <m/>
    <n v="0.5"/>
    <m/>
    <n v="0"/>
    <n v="0"/>
    <x v="0"/>
    <n v="0"/>
    <n v="0"/>
    <n v="16"/>
    <n v="0"/>
    <n v="0"/>
    <n v="1"/>
    <n v="1"/>
    <n v="1"/>
    <n v="266"/>
    <n v="0"/>
    <n v="0"/>
    <n v="1"/>
    <n v="266"/>
    <n v="0.53200000000000003"/>
    <n v="0"/>
    <n v="0"/>
    <n v="0.46799999999999997"/>
    <n v="1"/>
    <n v="11"/>
    <n v="0.82706766917293228"/>
    <n v="220"/>
    <n v="120"/>
    <n v="0"/>
    <n v="13"/>
    <n v="0"/>
    <n v="0.17293233082706772"/>
    <n v="0.26666666666666666"/>
    <n v="266"/>
    <n v="266"/>
    <n v="0"/>
    <n v="266"/>
    <n v="266"/>
    <n v="1"/>
    <n v="0"/>
    <n v="1"/>
    <n v="1"/>
    <n v="0"/>
    <n v="1"/>
    <n v="20"/>
    <n v="0"/>
    <n v="100"/>
    <x v="1"/>
    <s v="Yes"/>
    <s v="KBC-NSS"/>
    <x v="0"/>
    <x v="0"/>
    <x v="0"/>
    <n v="23.694130000000001"/>
    <n v="97.818979999999996"/>
    <s v="MMR015CMP007"/>
    <x v="0"/>
    <m/>
  </r>
  <r>
    <x v="0"/>
    <x v="37"/>
    <x v="38"/>
    <s v="GFFO, (UNICEF, WHH(AA))"/>
    <x v="3"/>
    <x v="24"/>
    <x v="1"/>
    <x v="522"/>
    <n v="36"/>
    <n v="121"/>
    <s v="12/1/2017,(1/2/19,1/10/18)"/>
    <s v="11/30/2019,(31/1/20,30/9/20)"/>
    <n v="37"/>
    <m/>
    <m/>
    <m/>
    <s v="Yes"/>
    <n v="5"/>
    <n v="4"/>
    <m/>
    <m/>
    <m/>
    <n v="1"/>
    <n v="1"/>
    <m/>
    <m/>
    <m/>
    <m/>
    <m/>
    <m/>
    <m/>
    <m/>
    <n v="1"/>
    <m/>
    <n v="1"/>
    <m/>
    <n v="15"/>
    <m/>
    <m/>
    <m/>
    <m/>
    <n v="10"/>
    <m/>
    <m/>
    <n v="4"/>
    <n v="4"/>
    <n v="4"/>
    <m/>
    <m/>
    <x v="0"/>
    <x v="4"/>
    <m/>
    <m/>
    <m/>
    <m/>
    <n v="4"/>
    <n v="2"/>
    <m/>
    <n v="0"/>
    <m/>
    <m/>
    <n v="1"/>
    <n v="36"/>
    <n v="0"/>
    <m/>
    <m/>
    <n v="0.5"/>
    <m/>
    <n v="0"/>
    <n v="0"/>
    <x v="0"/>
    <n v="0"/>
    <n v="2"/>
    <n v="0"/>
    <n v="0"/>
    <n v="0"/>
    <n v="1"/>
    <n v="1"/>
    <n v="1"/>
    <n v="121"/>
    <n v="0"/>
    <n v="0"/>
    <n v="1"/>
    <n v="121"/>
    <n v="0.24199999999999999"/>
    <n v="0"/>
    <n v="0"/>
    <n v="0.75800000000000001"/>
    <n v="1"/>
    <n v="6"/>
    <n v="0.99173553719008267"/>
    <n v="120"/>
    <n v="80"/>
    <n v="0"/>
    <n v="6"/>
    <n v="0"/>
    <n v="8.2644628099173278E-3"/>
    <n v="0.4"/>
    <n v="121"/>
    <n v="121"/>
    <n v="0"/>
    <n v="121"/>
    <n v="121"/>
    <n v="1"/>
    <n v="0"/>
    <n v="1"/>
    <n v="1"/>
    <n v="0"/>
    <n v="2"/>
    <n v="36"/>
    <n v="0"/>
    <n v="121"/>
    <x v="1"/>
    <s v="Yes"/>
    <s v="KMSS-LSO"/>
    <x v="0"/>
    <x v="0"/>
    <x v="0"/>
    <n v="23.682887999999998"/>
    <n v="97.810101000000003"/>
    <s v="MMR015CMP225"/>
    <x v="0"/>
    <m/>
  </r>
  <r>
    <x v="0"/>
    <x v="1"/>
    <x v="1"/>
    <s v="UNICEF, WHH(AA)"/>
    <x v="3"/>
    <x v="30"/>
    <x v="1"/>
    <x v="523"/>
    <n v="36"/>
    <n v="166"/>
    <s v="1/2/19,1/10/18"/>
    <s v="31/1/20,30/9/20"/>
    <n v="57"/>
    <m/>
    <m/>
    <m/>
    <s v="Yes"/>
    <m/>
    <m/>
    <n v="3"/>
    <n v="1"/>
    <m/>
    <n v="1"/>
    <m/>
    <m/>
    <m/>
    <m/>
    <m/>
    <m/>
    <m/>
    <m/>
    <m/>
    <m/>
    <m/>
    <m/>
    <m/>
    <m/>
    <m/>
    <m/>
    <m/>
    <m/>
    <n v="20"/>
    <m/>
    <m/>
    <n v="2"/>
    <m/>
    <m/>
    <m/>
    <m/>
    <x v="0"/>
    <x v="0"/>
    <m/>
    <m/>
    <m/>
    <m/>
    <m/>
    <m/>
    <m/>
    <n v="2"/>
    <m/>
    <m/>
    <n v="1"/>
    <n v="0"/>
    <n v="0"/>
    <s v="No"/>
    <m/>
    <m/>
    <m/>
    <s v="no test"/>
    <s v="no test"/>
    <x v="1"/>
    <n v="2"/>
    <n v="1"/>
    <n v="0"/>
    <n v="0"/>
    <n v="0"/>
    <n v="1"/>
    <n v="1"/>
    <n v="1"/>
    <n v="166"/>
    <n v="0"/>
    <n v="0"/>
    <n v="1"/>
    <n v="166"/>
    <n v="0.33200000000000002"/>
    <n v="0"/>
    <n v="0"/>
    <n v="0.66799999999999993"/>
    <n v="1"/>
    <n v="18"/>
    <n v="1"/>
    <n v="166"/>
    <n v="0"/>
    <n v="0"/>
    <n v="8"/>
    <n v="0"/>
    <n v="0"/>
    <n v="0.1"/>
    <n v="166"/>
    <n v="0"/>
    <n v="0"/>
    <n v="0"/>
    <n v="166"/>
    <n v="1"/>
    <n v="0"/>
    <n v="1"/>
    <n v="0"/>
    <n v="0"/>
    <n v="0"/>
    <n v="0"/>
    <n v="0"/>
    <n v="0"/>
    <x v="1"/>
    <s v="Yes"/>
    <s v="KBC-NSS"/>
    <x v="0"/>
    <x v="0"/>
    <x v="0"/>
    <n v="23.354268999999999"/>
    <n v="98.218626999999998"/>
    <s v="MMR015CMP218"/>
    <x v="0"/>
    <m/>
  </r>
  <r>
    <x v="0"/>
    <x v="1"/>
    <x v="1"/>
    <s v="UNICEF, WHH(AA)"/>
    <x v="3"/>
    <x v="26"/>
    <x v="1"/>
    <x v="524"/>
    <n v="57"/>
    <n v="263"/>
    <s v="1/2/19,1/10/18"/>
    <s v="31/1/20,30/9/20"/>
    <n v="65"/>
    <m/>
    <m/>
    <m/>
    <s v="Yes"/>
    <m/>
    <m/>
    <m/>
    <m/>
    <m/>
    <m/>
    <m/>
    <m/>
    <m/>
    <m/>
    <m/>
    <m/>
    <m/>
    <m/>
    <n v="1"/>
    <m/>
    <m/>
    <m/>
    <m/>
    <m/>
    <m/>
    <m/>
    <m/>
    <m/>
    <n v="8"/>
    <m/>
    <m/>
    <m/>
    <m/>
    <m/>
    <m/>
    <m/>
    <x v="0"/>
    <x v="4"/>
    <m/>
    <m/>
    <m/>
    <s v="ေရႏႈတ္ေျမာင္းတူးရန္ အစီစဥ္ရွိသည္။"/>
    <n v="4"/>
    <m/>
    <m/>
    <n v="3"/>
    <m/>
    <m/>
    <n v="1"/>
    <n v="0"/>
    <n v="0"/>
    <m/>
    <m/>
    <m/>
    <m/>
    <s v="no test"/>
    <s v="no test"/>
    <x v="1"/>
    <n v="0"/>
    <n v="0"/>
    <n v="0"/>
    <n v="0"/>
    <n v="1"/>
    <n v="2.5348542458808617E-4"/>
    <n v="2.5348542458808617E-4"/>
    <n v="2.5348542458808617E-4"/>
    <n v="6.6666666666666666E-2"/>
    <n v="0"/>
    <n v="0"/>
    <n v="2.5348542458808617E-4"/>
    <n v="6.6666666666666666E-2"/>
    <n v="1.3333333333333334E-4"/>
    <n v="0.99974651457541186"/>
    <n v="262.93333333333334"/>
    <n v="0.99986666666666668"/>
    <n v="1"/>
    <n v="8"/>
    <n v="0.60836501901140683"/>
    <n v="160"/>
    <n v="0"/>
    <n v="0"/>
    <n v="13"/>
    <n v="5"/>
    <n v="0.39163498098859317"/>
    <n v="0"/>
    <n v="263"/>
    <n v="0"/>
    <n v="0"/>
    <n v="0"/>
    <n v="263"/>
    <n v="1"/>
    <n v="0"/>
    <n v="1"/>
    <n v="0"/>
    <n v="0"/>
    <n v="4"/>
    <n v="57"/>
    <n v="0"/>
    <n v="263"/>
    <x v="1"/>
    <s v="Yes"/>
    <s v="KBC-NSS"/>
    <x v="0"/>
    <x v="0"/>
    <x v="0"/>
    <n v="23.094290000000001"/>
    <n v="97.404089999999997"/>
    <s v="MMR015CMP014"/>
    <x v="0"/>
    <m/>
  </r>
  <r>
    <x v="0"/>
    <x v="2"/>
    <x v="2"/>
    <m/>
    <x v="3"/>
    <x v="29"/>
    <x v="1"/>
    <x v="525"/>
    <n v="118"/>
    <n v="568"/>
    <m/>
    <m/>
    <m/>
    <m/>
    <m/>
    <m/>
    <m/>
    <m/>
    <m/>
    <m/>
    <m/>
    <m/>
    <m/>
    <m/>
    <m/>
    <m/>
    <m/>
    <m/>
    <m/>
    <m/>
    <m/>
    <m/>
    <m/>
    <m/>
    <m/>
    <m/>
    <m/>
    <m/>
    <m/>
    <m/>
    <m/>
    <m/>
    <m/>
    <m/>
    <m/>
    <m/>
    <m/>
    <m/>
    <m/>
    <x v="1"/>
    <x v="1"/>
    <m/>
    <m/>
    <m/>
    <m/>
    <m/>
    <m/>
    <m/>
    <m/>
    <m/>
    <m/>
    <m/>
    <m/>
    <m/>
    <m/>
    <m/>
    <m/>
    <m/>
    <s v="no test"/>
    <s v="no test"/>
    <x v="1"/>
    <n v="0"/>
    <n v="0"/>
    <n v="0"/>
    <n v="0"/>
    <n v="0"/>
    <n v="0"/>
    <n v="0"/>
    <n v="0"/>
    <n v="0"/>
    <n v="0"/>
    <n v="0"/>
    <n v="0"/>
    <n v="0"/>
    <n v="0"/>
    <n v="1"/>
    <n v="568"/>
    <n v="1"/>
    <n v="1"/>
    <n v="0"/>
    <n v="0"/>
    <n v="0"/>
    <n v="0"/>
    <n v="0"/>
    <n v="28"/>
    <n v="28"/>
    <n v="1"/>
    <n v="0"/>
    <n v="0"/>
    <n v="0"/>
    <n v="0"/>
    <n v="0"/>
    <n v="0"/>
    <n v="0"/>
    <n v="1"/>
    <n v="0"/>
    <n v="0"/>
    <n v="0"/>
    <n v="0"/>
    <n v="0"/>
    <n v="0"/>
    <n v="0"/>
    <x v="0"/>
    <s v="Yes"/>
    <s v="KBC-NSS"/>
    <x v="0"/>
    <x v="0"/>
    <x v="0"/>
    <n v="23.838190000000001"/>
    <n v="97.709879999999998"/>
    <s v="MMR015CMP215"/>
    <x v="1"/>
    <m/>
  </r>
  <r>
    <x v="0"/>
    <x v="37"/>
    <x v="38"/>
    <s v="GFFO, (UNICEF, WHH(AA))"/>
    <x v="3"/>
    <x v="24"/>
    <x v="1"/>
    <x v="526"/>
    <n v="103"/>
    <n v="632"/>
    <s v="12/1/2017,(1/2/19,1/10/18)"/>
    <s v="11/30/2019,(31/1/20,30/9/20)"/>
    <m/>
    <m/>
    <m/>
    <m/>
    <s v="Yes"/>
    <n v="4"/>
    <n v="5"/>
    <m/>
    <m/>
    <m/>
    <m/>
    <m/>
    <m/>
    <m/>
    <n v="11"/>
    <m/>
    <m/>
    <m/>
    <m/>
    <m/>
    <n v="1"/>
    <m/>
    <n v="1"/>
    <m/>
    <n v="15"/>
    <m/>
    <m/>
    <m/>
    <m/>
    <n v="103"/>
    <m/>
    <m/>
    <m/>
    <m/>
    <m/>
    <m/>
    <m/>
    <x v="3"/>
    <x v="0"/>
    <m/>
    <m/>
    <m/>
    <m/>
    <n v="2"/>
    <m/>
    <m/>
    <m/>
    <m/>
    <m/>
    <n v="1"/>
    <n v="103"/>
    <n v="0"/>
    <m/>
    <m/>
    <n v="0.5"/>
    <m/>
    <n v="0"/>
    <n v="0"/>
    <x v="0"/>
    <n v="0"/>
    <n v="0"/>
    <n v="11"/>
    <n v="0"/>
    <n v="0"/>
    <n v="1"/>
    <n v="1"/>
    <n v="1"/>
    <n v="632"/>
    <n v="0"/>
    <n v="0"/>
    <n v="1"/>
    <n v="632"/>
    <n v="1.264"/>
    <n v="0"/>
    <n v="0"/>
    <n v="0"/>
    <n v="1"/>
    <n v="103"/>
    <n v="0.97784810126582278"/>
    <n v="618"/>
    <n v="0"/>
    <n v="0"/>
    <n v="105"/>
    <n v="2"/>
    <n v="2.2151898734177222E-2"/>
    <n v="0"/>
    <n v="500"/>
    <n v="632"/>
    <n v="0"/>
    <n v="632"/>
    <n v="632"/>
    <n v="1"/>
    <n v="0"/>
    <n v="0.79113924050632911"/>
    <n v="1"/>
    <n v="0"/>
    <n v="2"/>
    <n v="40"/>
    <n v="0"/>
    <n v="200"/>
    <x v="0"/>
    <s v="Yes"/>
    <s v="KMSS-LSO"/>
    <x v="1"/>
    <x v="0"/>
    <x v="0"/>
    <n v="23.447111"/>
    <n v="97.868876999999998"/>
    <s v="MMR015CMP219"/>
    <x v="0"/>
    <m/>
  </r>
  <r>
    <x v="0"/>
    <x v="37"/>
    <x v="38"/>
    <s v="GFFO, (UNICEF, WHH(AA))"/>
    <x v="3"/>
    <x v="24"/>
    <x v="1"/>
    <x v="527"/>
    <n v="36"/>
    <n v="191"/>
    <s v="12/1/2017,(1/2/19,1/10/18)"/>
    <s v="11/30/2019,(31/1/20,30/9/20)"/>
    <n v="44"/>
    <m/>
    <m/>
    <m/>
    <s v="Yes"/>
    <n v="5"/>
    <n v="4"/>
    <m/>
    <m/>
    <m/>
    <m/>
    <m/>
    <m/>
    <m/>
    <n v="16"/>
    <m/>
    <m/>
    <m/>
    <m/>
    <m/>
    <n v="1"/>
    <n v="1"/>
    <n v="1"/>
    <m/>
    <n v="15"/>
    <m/>
    <m/>
    <m/>
    <m/>
    <n v="36"/>
    <m/>
    <m/>
    <m/>
    <m/>
    <m/>
    <m/>
    <m/>
    <x v="3"/>
    <x v="3"/>
    <m/>
    <m/>
    <m/>
    <m/>
    <m/>
    <m/>
    <m/>
    <m/>
    <m/>
    <m/>
    <n v="1"/>
    <n v="36"/>
    <n v="0"/>
    <m/>
    <m/>
    <n v="0.5"/>
    <m/>
    <n v="0"/>
    <n v="0"/>
    <x v="0"/>
    <n v="0"/>
    <n v="0"/>
    <n v="16"/>
    <n v="0"/>
    <n v="0"/>
    <n v="1"/>
    <n v="1"/>
    <n v="1"/>
    <n v="191"/>
    <n v="0"/>
    <n v="0"/>
    <n v="1"/>
    <n v="191"/>
    <n v="0.38200000000000001"/>
    <n v="0"/>
    <n v="0"/>
    <n v="0.61799999999999999"/>
    <n v="1"/>
    <n v="36"/>
    <n v="1"/>
    <n v="191"/>
    <n v="0"/>
    <n v="0"/>
    <n v="10"/>
    <n v="0"/>
    <n v="0"/>
    <n v="0"/>
    <n v="191"/>
    <n v="191"/>
    <n v="0"/>
    <n v="191"/>
    <n v="191"/>
    <n v="1"/>
    <n v="0"/>
    <n v="1"/>
    <n v="1"/>
    <n v="0"/>
    <n v="0"/>
    <n v="0"/>
    <n v="0"/>
    <n v="0"/>
    <x v="1"/>
    <s v="Yes"/>
    <s v="KMSS-LSO"/>
    <x v="0"/>
    <x v="0"/>
    <x v="0"/>
    <n v="0"/>
    <n v="0"/>
    <s v="MMR015CMP249"/>
    <x v="0"/>
    <m/>
  </r>
  <r>
    <x v="0"/>
    <x v="1"/>
    <x v="1"/>
    <s v="UNICEF, WHH(AA)"/>
    <x v="3"/>
    <x v="26"/>
    <x v="1"/>
    <x v="528"/>
    <n v="6"/>
    <n v="27"/>
    <s v="1/2/19,1/10/18"/>
    <s v="31/1/20,30/9/20"/>
    <m/>
    <m/>
    <m/>
    <m/>
    <m/>
    <m/>
    <m/>
    <m/>
    <m/>
    <m/>
    <m/>
    <m/>
    <m/>
    <m/>
    <m/>
    <m/>
    <m/>
    <m/>
    <m/>
    <m/>
    <m/>
    <m/>
    <m/>
    <m/>
    <m/>
    <m/>
    <m/>
    <m/>
    <m/>
    <m/>
    <m/>
    <m/>
    <m/>
    <m/>
    <m/>
    <m/>
    <m/>
    <x v="2"/>
    <x v="4"/>
    <m/>
    <m/>
    <m/>
    <m/>
    <m/>
    <m/>
    <m/>
    <m/>
    <m/>
    <m/>
    <m/>
    <n v="0"/>
    <n v="0"/>
    <m/>
    <m/>
    <m/>
    <m/>
    <s v="no test"/>
    <s v="no test"/>
    <x v="1"/>
    <n v="0"/>
    <n v="0"/>
    <n v="0"/>
    <n v="0"/>
    <n v="0"/>
    <n v="0"/>
    <n v="0"/>
    <n v="0"/>
    <n v="0"/>
    <n v="0"/>
    <n v="0"/>
    <n v="0"/>
    <n v="0"/>
    <n v="0"/>
    <n v="1"/>
    <n v="27"/>
    <n v="1"/>
    <n v="1"/>
    <n v="0"/>
    <n v="0"/>
    <n v="0"/>
    <n v="0"/>
    <n v="0"/>
    <n v="1"/>
    <n v="1"/>
    <n v="1"/>
    <n v="0"/>
    <n v="0"/>
    <n v="0"/>
    <n v="0"/>
    <n v="0"/>
    <n v="0"/>
    <n v="0"/>
    <n v="1"/>
    <n v="0"/>
    <n v="0"/>
    <n v="0"/>
    <n v="0"/>
    <n v="0"/>
    <n v="0"/>
    <n v="0"/>
    <x v="0"/>
    <n v="0"/>
    <s v="uncovered"/>
    <x v="0"/>
    <x v="2"/>
    <x v="0"/>
    <n v="22.765999999999998"/>
    <n v="97.358999999999995"/>
    <s v="MMR015CMP221"/>
    <x v="0"/>
    <m/>
  </r>
  <r>
    <x v="0"/>
    <x v="37"/>
    <x v="38"/>
    <s v="GFFO, (UNICEF, WHH(AA))"/>
    <x v="3"/>
    <x v="30"/>
    <x v="1"/>
    <x v="529"/>
    <n v="36"/>
    <n v="175"/>
    <s v="12/1/2017,(1/2/19,1/10/18)"/>
    <s v="11/30/2019,(31/1/20,30/9/20)"/>
    <n v="63"/>
    <m/>
    <m/>
    <m/>
    <s v="Yes"/>
    <n v="4"/>
    <n v="4"/>
    <n v="1"/>
    <m/>
    <m/>
    <n v="1"/>
    <m/>
    <m/>
    <m/>
    <n v="13"/>
    <n v="13"/>
    <m/>
    <m/>
    <m/>
    <m/>
    <n v="1"/>
    <m/>
    <n v="1"/>
    <m/>
    <n v="15"/>
    <m/>
    <m/>
    <m/>
    <m/>
    <n v="27"/>
    <n v="9"/>
    <m/>
    <m/>
    <m/>
    <m/>
    <m/>
    <m/>
    <x v="2"/>
    <x v="4"/>
    <m/>
    <m/>
    <m/>
    <s v="Drinking water problem"/>
    <m/>
    <m/>
    <m/>
    <n v="2"/>
    <m/>
    <m/>
    <n v="1"/>
    <n v="36"/>
    <n v="0"/>
    <m/>
    <m/>
    <n v="0.5"/>
    <m/>
    <n v="0"/>
    <n v="0"/>
    <x v="0"/>
    <n v="1"/>
    <n v="1"/>
    <n v="0"/>
    <n v="0"/>
    <n v="0"/>
    <n v="1"/>
    <n v="1"/>
    <n v="1"/>
    <n v="175"/>
    <n v="0"/>
    <n v="0"/>
    <n v="1"/>
    <n v="175"/>
    <n v="0.35"/>
    <n v="0"/>
    <n v="0"/>
    <n v="0.65"/>
    <n v="1"/>
    <n v="36"/>
    <n v="1"/>
    <n v="175"/>
    <n v="0"/>
    <n v="0"/>
    <n v="9"/>
    <n v="0"/>
    <n v="0"/>
    <n v="0"/>
    <n v="175"/>
    <n v="175"/>
    <n v="0"/>
    <n v="175"/>
    <n v="175"/>
    <n v="1"/>
    <n v="0"/>
    <n v="1"/>
    <n v="1"/>
    <n v="0"/>
    <n v="0"/>
    <n v="0"/>
    <n v="0"/>
    <n v="0"/>
    <x v="1"/>
    <n v="0"/>
    <n v="0"/>
    <x v="0"/>
    <x v="4"/>
    <x v="0"/>
    <n v="23.353999999999999"/>
    <n v="98.221000000000004"/>
    <s v="MMR015CMP226"/>
    <x v="0"/>
    <m/>
  </r>
  <r>
    <x v="0"/>
    <x v="37"/>
    <x v="38"/>
    <s v="GFFO, (UNICEF, WHH(AA))"/>
    <x v="3"/>
    <x v="24"/>
    <x v="1"/>
    <x v="530"/>
    <n v="205"/>
    <n v="1077"/>
    <s v="12/1/2017,(1/2/19,1/10/18)"/>
    <s v="11/30/2019,(31/1/20,30/9/20)"/>
    <n v="269"/>
    <m/>
    <m/>
    <m/>
    <s v="Yes"/>
    <n v="5"/>
    <n v="4"/>
    <m/>
    <m/>
    <m/>
    <m/>
    <m/>
    <m/>
    <m/>
    <n v="99"/>
    <m/>
    <m/>
    <m/>
    <m/>
    <m/>
    <n v="1"/>
    <m/>
    <n v="1"/>
    <m/>
    <n v="15"/>
    <m/>
    <m/>
    <m/>
    <m/>
    <n v="179"/>
    <n v="26"/>
    <m/>
    <m/>
    <n v="26"/>
    <m/>
    <m/>
    <m/>
    <x v="2"/>
    <x v="4"/>
    <m/>
    <m/>
    <m/>
    <s v="most of the lartines are needed to repair"/>
    <n v="2"/>
    <m/>
    <m/>
    <n v="2"/>
    <m/>
    <m/>
    <n v="1"/>
    <n v="205"/>
    <n v="0"/>
    <m/>
    <m/>
    <n v="0.5"/>
    <m/>
    <n v="0"/>
    <n v="0"/>
    <x v="0"/>
    <n v="0"/>
    <n v="0"/>
    <n v="99"/>
    <n v="0"/>
    <n v="0"/>
    <n v="1"/>
    <n v="1"/>
    <n v="1"/>
    <n v="1077"/>
    <n v="0"/>
    <n v="0"/>
    <n v="1"/>
    <n v="1077"/>
    <n v="2.1539999999999999"/>
    <n v="0"/>
    <n v="0"/>
    <n v="0"/>
    <n v="2"/>
    <n v="205"/>
    <n v="1"/>
    <n v="1077"/>
    <n v="0"/>
    <n v="0"/>
    <n v="180"/>
    <n v="0"/>
    <n v="0"/>
    <n v="0"/>
    <n v="500"/>
    <n v="1077"/>
    <n v="0"/>
    <n v="1077"/>
    <n v="1077"/>
    <n v="1"/>
    <n v="0"/>
    <n v="0.46425255338904364"/>
    <n v="1"/>
    <n v="0"/>
    <n v="2"/>
    <n v="40"/>
    <n v="0"/>
    <n v="200"/>
    <x v="1"/>
    <s v="Yes"/>
    <s v="KBC-NSS"/>
    <x v="1"/>
    <x v="0"/>
    <x v="0"/>
    <n v="23.38503"/>
    <n v="97.837040000000002"/>
    <s v="MMR015CMP020"/>
    <x v="0"/>
    <m/>
  </r>
  <r>
    <x v="0"/>
    <x v="9"/>
    <x v="9"/>
    <m/>
    <x v="3"/>
    <x v="27"/>
    <x v="3"/>
    <x v="531"/>
    <n v="53"/>
    <n v="194"/>
    <m/>
    <m/>
    <m/>
    <m/>
    <m/>
    <m/>
    <m/>
    <m/>
    <m/>
    <m/>
    <m/>
    <m/>
    <m/>
    <m/>
    <m/>
    <m/>
    <m/>
    <m/>
    <m/>
    <m/>
    <m/>
    <m/>
    <m/>
    <m/>
    <m/>
    <m/>
    <m/>
    <m/>
    <m/>
    <m/>
    <m/>
    <m/>
    <m/>
    <m/>
    <m/>
    <m/>
    <m/>
    <m/>
    <m/>
    <x v="1"/>
    <x v="1"/>
    <m/>
    <m/>
    <m/>
    <m/>
    <m/>
    <m/>
    <m/>
    <m/>
    <m/>
    <m/>
    <m/>
    <n v="53"/>
    <n v="53"/>
    <m/>
    <m/>
    <m/>
    <m/>
    <s v="no test"/>
    <s v="no test"/>
    <x v="1"/>
    <n v="0"/>
    <n v="0"/>
    <n v="0"/>
    <n v="0"/>
    <n v="0"/>
    <n v="0"/>
    <n v="0"/>
    <n v="0"/>
    <n v="0"/>
    <n v="0"/>
    <n v="0"/>
    <n v="0"/>
    <n v="0"/>
    <n v="0"/>
    <n v="1"/>
    <n v="194"/>
    <n v="1"/>
    <n v="1"/>
    <n v="0"/>
    <n v="0"/>
    <n v="0"/>
    <n v="0"/>
    <n v="0"/>
    <n v="4"/>
    <n v="4"/>
    <n v="1"/>
    <n v="0"/>
    <n v="0"/>
    <n v="194"/>
    <n v="194"/>
    <n v="194"/>
    <n v="194"/>
    <n v="1"/>
    <n v="0"/>
    <n v="0"/>
    <n v="1"/>
    <n v="1"/>
    <n v="0"/>
    <n v="0"/>
    <n v="0"/>
    <n v="0"/>
    <x v="0"/>
    <n v="0"/>
    <n v="0"/>
    <x v="3"/>
    <x v="8"/>
    <x v="0"/>
    <n v="0"/>
    <n v="0"/>
    <n v="0"/>
    <x v="0"/>
    <m/>
  </r>
  <r>
    <x v="0"/>
    <x v="9"/>
    <x v="9"/>
    <m/>
    <x v="3"/>
    <x v="27"/>
    <x v="3"/>
    <x v="532"/>
    <n v="133"/>
    <n v="373"/>
    <m/>
    <m/>
    <m/>
    <m/>
    <m/>
    <m/>
    <m/>
    <m/>
    <m/>
    <m/>
    <m/>
    <m/>
    <m/>
    <m/>
    <m/>
    <m/>
    <m/>
    <m/>
    <m/>
    <m/>
    <m/>
    <m/>
    <m/>
    <m/>
    <m/>
    <m/>
    <m/>
    <m/>
    <m/>
    <m/>
    <m/>
    <m/>
    <m/>
    <m/>
    <m/>
    <m/>
    <m/>
    <m/>
    <m/>
    <x v="1"/>
    <x v="1"/>
    <m/>
    <m/>
    <m/>
    <m/>
    <m/>
    <m/>
    <m/>
    <n v="1"/>
    <m/>
    <m/>
    <m/>
    <m/>
    <m/>
    <m/>
    <m/>
    <m/>
    <m/>
    <s v="no test"/>
    <s v="no test"/>
    <x v="1"/>
    <n v="0"/>
    <n v="0"/>
    <n v="0"/>
    <n v="0"/>
    <n v="0"/>
    <n v="0"/>
    <n v="0"/>
    <n v="0"/>
    <n v="0"/>
    <n v="0"/>
    <n v="0"/>
    <n v="0"/>
    <n v="0"/>
    <n v="0"/>
    <n v="1"/>
    <n v="373"/>
    <n v="1"/>
    <n v="1"/>
    <n v="0"/>
    <n v="0"/>
    <n v="0"/>
    <n v="0"/>
    <n v="0"/>
    <n v="7"/>
    <n v="7"/>
    <n v="1"/>
    <n v="0"/>
    <n v="0"/>
    <n v="0"/>
    <n v="0"/>
    <n v="0"/>
    <n v="0"/>
    <n v="0"/>
    <n v="1"/>
    <n v="0"/>
    <n v="0"/>
    <n v="0"/>
    <n v="0"/>
    <n v="0"/>
    <n v="0"/>
    <n v="0"/>
    <x v="0"/>
    <n v="0"/>
    <n v="0"/>
    <x v="3"/>
    <x v="8"/>
    <x v="0"/>
    <n v="0"/>
    <n v="0"/>
    <n v="0"/>
    <x v="0"/>
    <m/>
  </r>
  <r>
    <x v="0"/>
    <x v="9"/>
    <x v="9"/>
    <m/>
    <x v="3"/>
    <x v="27"/>
    <x v="3"/>
    <x v="533"/>
    <n v="125"/>
    <n v="1360"/>
    <m/>
    <m/>
    <m/>
    <m/>
    <m/>
    <m/>
    <m/>
    <m/>
    <m/>
    <m/>
    <m/>
    <m/>
    <m/>
    <m/>
    <m/>
    <m/>
    <m/>
    <m/>
    <m/>
    <m/>
    <m/>
    <m/>
    <m/>
    <m/>
    <m/>
    <m/>
    <m/>
    <m/>
    <m/>
    <m/>
    <m/>
    <n v="20"/>
    <m/>
    <m/>
    <m/>
    <m/>
    <m/>
    <m/>
    <m/>
    <x v="1"/>
    <x v="1"/>
    <m/>
    <m/>
    <m/>
    <m/>
    <n v="4"/>
    <m/>
    <m/>
    <m/>
    <m/>
    <m/>
    <m/>
    <n v="134"/>
    <n v="134"/>
    <m/>
    <m/>
    <m/>
    <m/>
    <s v="no test"/>
    <s v="no test"/>
    <x v="1"/>
    <n v="0"/>
    <n v="0"/>
    <n v="0"/>
    <n v="0"/>
    <n v="0"/>
    <n v="0"/>
    <n v="0"/>
    <n v="0"/>
    <n v="0"/>
    <n v="0"/>
    <n v="0"/>
    <n v="0"/>
    <n v="0"/>
    <n v="0"/>
    <n v="1"/>
    <n v="1360"/>
    <n v="3"/>
    <n v="3"/>
    <n v="20"/>
    <n v="0.73529411764705888"/>
    <n v="1000"/>
    <n v="0"/>
    <n v="0"/>
    <n v="27"/>
    <n v="7"/>
    <n v="0.26470588235294112"/>
    <n v="0"/>
    <n v="0"/>
    <n v="670"/>
    <n v="670"/>
    <n v="670"/>
    <n v="670"/>
    <n v="0.49264705882352944"/>
    <n v="0.50735294117647056"/>
    <n v="0"/>
    <n v="1"/>
    <n v="1"/>
    <n v="4"/>
    <n v="80"/>
    <n v="0"/>
    <n v="400"/>
    <x v="0"/>
    <n v="0"/>
    <n v="0"/>
    <x v="3"/>
    <x v="8"/>
    <x v="0"/>
    <n v="0"/>
    <n v="0"/>
    <n v="0"/>
    <x v="0"/>
    <m/>
  </r>
  <r>
    <x v="1"/>
    <x v="0"/>
    <x v="0"/>
    <s v="ECHO, OFDA"/>
    <x v="0"/>
    <x v="0"/>
    <x v="0"/>
    <x v="0"/>
    <n v="70"/>
    <n v="356"/>
    <s v="01/06/2019, 01/07/2019"/>
    <s v="30/11/2019, 30/12/2019"/>
    <m/>
    <n v="0"/>
    <n v="1"/>
    <n v="0"/>
    <s v="Yes"/>
    <n v="0"/>
    <n v="0"/>
    <n v="0"/>
    <m/>
    <m/>
    <n v="1"/>
    <n v="0"/>
    <m/>
    <m/>
    <m/>
    <m/>
    <m/>
    <m/>
    <m/>
    <m/>
    <m/>
    <m/>
    <n v="1"/>
    <n v="1"/>
    <n v="8"/>
    <n v="0"/>
    <m/>
    <m/>
    <m/>
    <n v="13"/>
    <m/>
    <m/>
    <m/>
    <m/>
    <m/>
    <m/>
    <m/>
    <x v="0"/>
    <x v="0"/>
    <n v="0"/>
    <n v="1"/>
    <m/>
    <m/>
    <n v="4"/>
    <m/>
    <m/>
    <n v="2"/>
    <m/>
    <n v="0"/>
    <n v="1"/>
    <m/>
    <m/>
    <m/>
    <m/>
    <m/>
    <m/>
    <n v="1"/>
    <n v="0"/>
    <x v="0"/>
    <n v="0"/>
    <n v="1"/>
    <n v="0"/>
    <n v="0"/>
    <n v="0"/>
    <n v="1"/>
    <n v="0.702247191011236"/>
    <n v="1"/>
    <n v="356"/>
    <n v="0"/>
    <n v="0"/>
    <n v="1"/>
    <n v="356"/>
    <n v="0.71199999999999997"/>
    <n v="0"/>
    <n v="0"/>
    <n v="0.28800000000000003"/>
    <n v="1"/>
    <n v="13"/>
    <n v="0.7303370786516854"/>
    <n v="260"/>
    <n v="0"/>
    <n v="0"/>
    <n v="18"/>
    <n v="5"/>
    <n v="0.2696629213483146"/>
    <n v="0"/>
    <n v="356"/>
    <n v="0"/>
    <n v="0"/>
    <n v="0"/>
    <n v="356"/>
    <n v="1"/>
    <n v="0"/>
    <n v="1"/>
    <n v="0"/>
    <n v="0"/>
    <n v="4"/>
    <n v="70"/>
    <n v="0"/>
    <n v="356"/>
    <x v="0"/>
    <n v="0"/>
    <n v="0"/>
    <x v="0"/>
    <x v="0"/>
    <x v="0"/>
    <n v="0"/>
    <n v="0"/>
    <n v="0"/>
    <x v="0"/>
    <m/>
  </r>
  <r>
    <x v="1"/>
    <x v="0"/>
    <x v="0"/>
    <s v="ECHO, OFDA"/>
    <x v="0"/>
    <x v="0"/>
    <x v="1"/>
    <x v="1"/>
    <n v="166"/>
    <n v="815"/>
    <s v="01/06/2019, 01/07/2019"/>
    <s v="30/11/2019, 30/12/2019"/>
    <m/>
    <n v="0"/>
    <n v="0"/>
    <n v="0"/>
    <s v="Yes"/>
    <n v="13"/>
    <n v="10"/>
    <n v="2"/>
    <m/>
    <m/>
    <n v="8"/>
    <n v="0"/>
    <m/>
    <m/>
    <m/>
    <m/>
    <m/>
    <n v="0"/>
    <m/>
    <m/>
    <m/>
    <m/>
    <n v="0"/>
    <n v="0"/>
    <n v="10"/>
    <n v="1"/>
    <m/>
    <m/>
    <m/>
    <n v="38"/>
    <m/>
    <m/>
    <m/>
    <m/>
    <n v="50"/>
    <m/>
    <m/>
    <x v="0"/>
    <x v="0"/>
    <n v="0"/>
    <n v="0"/>
    <m/>
    <s v="we put combine data information for AD 2000 &amp; AD ext"/>
    <n v="6"/>
    <n v="3"/>
    <m/>
    <n v="3"/>
    <m/>
    <n v="0"/>
    <n v="2"/>
    <n v="80"/>
    <n v="213"/>
    <m/>
    <m/>
    <m/>
    <s v="we put combine data information for AD 2000 &amp; AD ext"/>
    <s v="no test"/>
    <n v="0.1"/>
    <x v="0"/>
    <n v="2"/>
    <n v="8"/>
    <n v="0"/>
    <n v="0"/>
    <n v="0"/>
    <n v="1"/>
    <n v="1"/>
    <n v="1"/>
    <n v="815"/>
    <n v="0"/>
    <n v="0"/>
    <n v="1"/>
    <n v="815"/>
    <n v="1.63"/>
    <n v="0"/>
    <n v="0"/>
    <n v="0.37000000000000011"/>
    <n v="2"/>
    <n v="38"/>
    <n v="0.93251533742331283"/>
    <n v="760"/>
    <n v="815"/>
    <n v="0"/>
    <n v="41"/>
    <n v="3"/>
    <n v="6.7484662576687171E-2"/>
    <n v="0"/>
    <n v="815"/>
    <n v="400"/>
    <n v="815"/>
    <n v="815"/>
    <n v="815"/>
    <n v="1"/>
    <n v="0"/>
    <n v="1"/>
    <n v="0.48192771084337349"/>
    <n v="1"/>
    <n v="3"/>
    <n v="60"/>
    <n v="0"/>
    <n v="300"/>
    <x v="0"/>
    <s v="Yes"/>
    <s v="KMSS-BMO"/>
    <x v="0"/>
    <x v="0"/>
    <x v="0"/>
    <n v="24.260719999999999"/>
    <n v="97.238829999999993"/>
    <s v="MMR001CMP050"/>
    <x v="0"/>
    <m/>
  </r>
  <r>
    <x v="1"/>
    <x v="1"/>
    <x v="1"/>
    <s v="WHH-AA / USAID"/>
    <x v="0"/>
    <x v="1"/>
    <x v="0"/>
    <x v="2"/>
    <n v="141"/>
    <n v="665"/>
    <d v="2019-01-01T00:00:00"/>
    <d v="2019-12-31T00:00:00"/>
    <m/>
    <m/>
    <m/>
    <m/>
    <s v="Yes"/>
    <n v="2"/>
    <n v="3"/>
    <n v="1"/>
    <m/>
    <m/>
    <n v="1"/>
    <n v="1"/>
    <m/>
    <m/>
    <m/>
    <m/>
    <m/>
    <m/>
    <m/>
    <m/>
    <m/>
    <m/>
    <m/>
    <m/>
    <m/>
    <m/>
    <m/>
    <m/>
    <m/>
    <n v="28"/>
    <m/>
    <m/>
    <m/>
    <m/>
    <m/>
    <m/>
    <m/>
    <x v="0"/>
    <x v="0"/>
    <m/>
    <m/>
    <m/>
    <m/>
    <n v="10"/>
    <m/>
    <m/>
    <n v="3"/>
    <m/>
    <m/>
    <m/>
    <n v="139"/>
    <n v="31"/>
    <m/>
    <m/>
    <m/>
    <m/>
    <s v="no test"/>
    <s v="no test"/>
    <x v="1"/>
    <n v="1"/>
    <n v="2"/>
    <n v="0"/>
    <n v="0"/>
    <n v="0"/>
    <n v="1"/>
    <n v="1"/>
    <n v="1"/>
    <n v="665"/>
    <n v="0"/>
    <n v="0"/>
    <n v="1"/>
    <n v="665"/>
    <n v="1.33"/>
    <n v="0"/>
    <n v="0"/>
    <n v="0"/>
    <n v="1"/>
    <n v="28"/>
    <n v="0.84210526315789469"/>
    <n v="560"/>
    <n v="0"/>
    <n v="0"/>
    <n v="33"/>
    <n v="5"/>
    <n v="0.15789473684210531"/>
    <n v="0"/>
    <n v="0"/>
    <n v="665"/>
    <n v="155"/>
    <n v="665"/>
    <n v="665"/>
    <n v="1"/>
    <n v="0"/>
    <n v="0"/>
    <n v="0.98581560283687941"/>
    <n v="0.21985815602836881"/>
    <n v="10"/>
    <n v="141"/>
    <n v="0"/>
    <n v="665"/>
    <x v="0"/>
    <n v="0"/>
    <n v="0"/>
    <x v="0"/>
    <x v="0"/>
    <x v="0"/>
    <n v="0"/>
    <n v="0"/>
    <n v="0"/>
    <x v="0"/>
    <m/>
  </r>
  <r>
    <x v="1"/>
    <x v="2"/>
    <x v="2"/>
    <m/>
    <x v="0"/>
    <x v="0"/>
    <x v="1"/>
    <x v="3"/>
    <n v="190"/>
    <n v="928"/>
    <m/>
    <m/>
    <m/>
    <m/>
    <m/>
    <m/>
    <m/>
    <m/>
    <m/>
    <m/>
    <m/>
    <m/>
    <m/>
    <m/>
    <m/>
    <m/>
    <m/>
    <m/>
    <m/>
    <m/>
    <m/>
    <m/>
    <m/>
    <m/>
    <m/>
    <m/>
    <m/>
    <m/>
    <m/>
    <m/>
    <m/>
    <m/>
    <m/>
    <m/>
    <m/>
    <m/>
    <m/>
    <m/>
    <m/>
    <x v="1"/>
    <x v="1"/>
    <m/>
    <m/>
    <m/>
    <m/>
    <m/>
    <m/>
    <m/>
    <m/>
    <m/>
    <m/>
    <m/>
    <m/>
    <m/>
    <m/>
    <m/>
    <m/>
    <m/>
    <s v="no test"/>
    <s v="no test"/>
    <x v="1"/>
    <n v="0"/>
    <n v="0"/>
    <n v="0"/>
    <n v="0"/>
    <n v="0"/>
    <n v="0"/>
    <n v="0"/>
    <n v="0"/>
    <n v="0"/>
    <n v="0"/>
    <n v="0"/>
    <n v="0"/>
    <n v="0"/>
    <n v="0"/>
    <n v="1"/>
    <n v="928"/>
    <n v="2"/>
    <n v="2"/>
    <n v="0"/>
    <n v="0"/>
    <n v="0"/>
    <n v="0"/>
    <n v="0"/>
    <n v="46"/>
    <n v="46"/>
    <n v="1"/>
    <n v="0"/>
    <n v="0"/>
    <n v="0"/>
    <n v="0"/>
    <n v="0"/>
    <n v="0"/>
    <n v="0"/>
    <n v="1"/>
    <n v="0"/>
    <n v="0"/>
    <n v="0"/>
    <n v="0"/>
    <n v="0"/>
    <n v="0"/>
    <n v="0"/>
    <x v="0"/>
    <n v="0"/>
    <s v="uncovered"/>
    <x v="0"/>
    <x v="1"/>
    <x v="0"/>
    <n v="24.263786"/>
    <n v="97.228835000000004"/>
    <s v="MMR001CMP163"/>
    <x v="1"/>
    <m/>
  </r>
  <r>
    <x v="1"/>
    <x v="1"/>
    <x v="1"/>
    <s v="WHH-AA / USAID"/>
    <x v="0"/>
    <x v="0"/>
    <x v="1"/>
    <x v="4"/>
    <n v="11"/>
    <n v="52"/>
    <d v="2019-01-01T00:00:00"/>
    <d v="2019-12-31T00:00:00"/>
    <m/>
    <m/>
    <m/>
    <m/>
    <s v="No"/>
    <m/>
    <m/>
    <m/>
    <m/>
    <m/>
    <m/>
    <n v="1"/>
    <m/>
    <m/>
    <m/>
    <m/>
    <m/>
    <m/>
    <m/>
    <m/>
    <m/>
    <m/>
    <m/>
    <m/>
    <m/>
    <m/>
    <m/>
    <m/>
    <m/>
    <n v="2"/>
    <m/>
    <m/>
    <m/>
    <m/>
    <m/>
    <m/>
    <m/>
    <x v="0"/>
    <x v="2"/>
    <m/>
    <m/>
    <m/>
    <m/>
    <n v="1"/>
    <m/>
    <m/>
    <n v="1"/>
    <m/>
    <m/>
    <m/>
    <n v="11"/>
    <n v="2"/>
    <m/>
    <m/>
    <m/>
    <m/>
    <s v="no test"/>
    <s v="no test"/>
    <x v="1"/>
    <n v="0"/>
    <n v="1"/>
    <n v="0"/>
    <n v="0"/>
    <n v="0"/>
    <n v="1"/>
    <n v="1"/>
    <n v="1"/>
    <n v="52"/>
    <n v="0"/>
    <n v="0"/>
    <n v="1"/>
    <n v="52"/>
    <n v="0.104"/>
    <n v="0"/>
    <n v="0"/>
    <n v="0.89600000000000002"/>
    <n v="1"/>
    <n v="2"/>
    <n v="0.76923076923076927"/>
    <n v="40"/>
    <n v="0"/>
    <n v="0"/>
    <n v="3"/>
    <n v="1"/>
    <n v="0.23076923076923073"/>
    <n v="0"/>
    <n v="0"/>
    <n v="52"/>
    <n v="10"/>
    <n v="52"/>
    <n v="52"/>
    <n v="1"/>
    <n v="0"/>
    <n v="0"/>
    <n v="1"/>
    <n v="0.18181818181818182"/>
    <n v="1"/>
    <n v="11"/>
    <n v="0"/>
    <n v="52"/>
    <x v="0"/>
    <s v="Yes"/>
    <s v="KBC"/>
    <x v="0"/>
    <x v="0"/>
    <x v="0"/>
    <n v="24.260466999999998"/>
    <n v="97.252650000000003"/>
    <s v="MMR001CMP194"/>
    <x v="0"/>
    <m/>
  </r>
  <r>
    <x v="1"/>
    <x v="3"/>
    <x v="3"/>
    <s v="HARP,UNICEF"/>
    <x v="0"/>
    <x v="2"/>
    <x v="1"/>
    <x v="5"/>
    <n v="101"/>
    <n v="458"/>
    <s v="1-Mar-2019 / 1-Dec-2019"/>
    <s v="31-12-2020 / 30-Nov-2019"/>
    <n v="48"/>
    <m/>
    <m/>
    <m/>
    <s v="Yes"/>
    <m/>
    <m/>
    <m/>
    <m/>
    <m/>
    <m/>
    <m/>
    <m/>
    <m/>
    <n v="1"/>
    <m/>
    <m/>
    <m/>
    <m/>
    <m/>
    <m/>
    <m/>
    <m/>
    <m/>
    <m/>
    <m/>
    <n v="4"/>
    <m/>
    <m/>
    <n v="90"/>
    <m/>
    <m/>
    <m/>
    <m/>
    <m/>
    <m/>
    <m/>
    <x v="0"/>
    <x v="0"/>
    <n v="0"/>
    <m/>
    <m/>
    <m/>
    <n v="2"/>
    <m/>
    <m/>
    <n v="3"/>
    <m/>
    <m/>
    <n v="2"/>
    <m/>
    <m/>
    <s v="No"/>
    <m/>
    <m/>
    <m/>
    <s v="no test"/>
    <s v="no test"/>
    <x v="1"/>
    <n v="0"/>
    <n v="0"/>
    <n v="1"/>
    <n v="0"/>
    <n v="0"/>
    <n v="0.14556040756914121"/>
    <n v="0.14556040756914121"/>
    <n v="0.14556040756914121"/>
    <n v="66.666666666666671"/>
    <n v="0"/>
    <n v="0"/>
    <n v="0.14556040756914121"/>
    <n v="66.666666666666671"/>
    <n v="0.13333333333333333"/>
    <n v="0.85443959243085876"/>
    <n v="391.33333333333331"/>
    <n v="0.8666666666666667"/>
    <n v="1"/>
    <n v="90"/>
    <n v="1"/>
    <n v="458"/>
    <n v="0"/>
    <n v="0"/>
    <n v="23"/>
    <n v="0"/>
    <n v="0"/>
    <n v="0"/>
    <n v="458"/>
    <n v="0"/>
    <n v="0"/>
    <n v="0"/>
    <n v="458"/>
    <n v="1"/>
    <n v="0"/>
    <n v="1"/>
    <n v="0"/>
    <n v="0"/>
    <n v="2"/>
    <n v="40"/>
    <n v="0"/>
    <n v="200"/>
    <x v="1"/>
    <s v="Yes"/>
    <s v="KMSS-MYT"/>
    <x v="0"/>
    <x v="0"/>
    <x v="1"/>
    <n v="25.220278"/>
    <n v="97.915833000000006"/>
    <s v="MMR001CMP113"/>
    <x v="0"/>
    <m/>
  </r>
  <r>
    <x v="1"/>
    <x v="1"/>
    <x v="1"/>
    <s v="WHH-AA"/>
    <x v="0"/>
    <x v="1"/>
    <x v="1"/>
    <x v="17"/>
    <n v="717"/>
    <n v="3662"/>
    <d v="2018-10-01T00:00:00"/>
    <d v="2020-09-30T00:00:00"/>
    <n v="749"/>
    <n v="0"/>
    <n v="0"/>
    <n v="0"/>
    <s v="Yes"/>
    <n v="7"/>
    <n v="3"/>
    <n v="3"/>
    <n v="1"/>
    <m/>
    <m/>
    <m/>
    <m/>
    <m/>
    <n v="3"/>
    <m/>
    <n v="1"/>
    <m/>
    <m/>
    <n v="183100"/>
    <m/>
    <m/>
    <n v="1"/>
    <m/>
    <m/>
    <m/>
    <m/>
    <n v="3"/>
    <s v="Require water running cost"/>
    <n v="306"/>
    <m/>
    <m/>
    <n v="20"/>
    <m/>
    <m/>
    <m/>
    <m/>
    <x v="0"/>
    <x v="0"/>
    <n v="10"/>
    <m/>
    <n v="46"/>
    <s v="require timinly desludging"/>
    <n v="77"/>
    <m/>
    <m/>
    <n v="22"/>
    <m/>
    <m/>
    <n v="3"/>
    <m/>
    <m/>
    <s v="Yes"/>
    <m/>
    <m/>
    <m/>
    <n v="0"/>
    <s v="no test"/>
    <x v="0"/>
    <n v="2"/>
    <n v="0"/>
    <n v="3"/>
    <n v="0"/>
    <n v="183100"/>
    <n v="1"/>
    <n v="1"/>
    <n v="1"/>
    <n v="3662"/>
    <n v="0"/>
    <n v="0"/>
    <n v="1"/>
    <n v="3662"/>
    <n v="7.3239999999999998"/>
    <n v="0"/>
    <n v="0"/>
    <n v="0"/>
    <n v="7"/>
    <n v="286"/>
    <n v="1"/>
    <n v="3662"/>
    <n v="0"/>
    <n v="749"/>
    <n v="183"/>
    <n v="0"/>
    <n v="0"/>
    <n v="6.535947712418301E-2"/>
    <n v="1500"/>
    <n v="0"/>
    <n v="0"/>
    <n v="0"/>
    <n v="1500"/>
    <n v="0.40961223375204808"/>
    <n v="0.59038776624795197"/>
    <n v="0.40961223375204808"/>
    <n v="0"/>
    <n v="0"/>
    <n v="77"/>
    <n v="717"/>
    <n v="0"/>
    <n v="3662"/>
    <x v="1"/>
    <s v="Yes"/>
    <s v="KMSS-MYT"/>
    <x v="0"/>
    <x v="0"/>
    <x v="1"/>
    <n v="24.661905999999998"/>
    <n v="97.573126000000002"/>
    <s v="MMR001CMP122"/>
    <x v="0"/>
    <m/>
  </r>
  <r>
    <x v="1"/>
    <x v="1"/>
    <x v="1"/>
    <s v="WHH-AA / USAID"/>
    <x v="0"/>
    <x v="0"/>
    <x v="1"/>
    <x v="7"/>
    <n v="40"/>
    <n v="235"/>
    <d v="2019-01-01T00:00:00"/>
    <d v="2019-12-31T00:00:00"/>
    <m/>
    <m/>
    <m/>
    <m/>
    <s v="Yes"/>
    <n v="1"/>
    <n v="2"/>
    <n v="1"/>
    <m/>
    <m/>
    <m/>
    <n v="2"/>
    <m/>
    <m/>
    <m/>
    <m/>
    <m/>
    <m/>
    <m/>
    <m/>
    <m/>
    <m/>
    <m/>
    <m/>
    <m/>
    <m/>
    <m/>
    <m/>
    <m/>
    <n v="7"/>
    <m/>
    <m/>
    <m/>
    <m/>
    <m/>
    <m/>
    <m/>
    <x v="0"/>
    <x v="0"/>
    <m/>
    <m/>
    <m/>
    <m/>
    <n v="3"/>
    <m/>
    <m/>
    <n v="2"/>
    <m/>
    <m/>
    <m/>
    <n v="40"/>
    <n v="5"/>
    <m/>
    <m/>
    <m/>
    <m/>
    <s v="no test"/>
    <s v="no test"/>
    <x v="1"/>
    <n v="1"/>
    <n v="2"/>
    <n v="0"/>
    <n v="0"/>
    <n v="0"/>
    <n v="1"/>
    <n v="1"/>
    <n v="1"/>
    <n v="235"/>
    <n v="0"/>
    <n v="0"/>
    <n v="1"/>
    <n v="235"/>
    <n v="0.47"/>
    <n v="0"/>
    <n v="0"/>
    <n v="0.53"/>
    <n v="1"/>
    <n v="7"/>
    <n v="0.5957446808510638"/>
    <n v="140"/>
    <n v="0"/>
    <n v="0"/>
    <n v="12"/>
    <n v="5"/>
    <n v="0.4042553191489362"/>
    <n v="0"/>
    <n v="0"/>
    <n v="235"/>
    <n v="25"/>
    <n v="235"/>
    <n v="235"/>
    <n v="1"/>
    <n v="0"/>
    <n v="0"/>
    <n v="1"/>
    <n v="0.125"/>
    <n v="3"/>
    <n v="40"/>
    <n v="0"/>
    <n v="235"/>
    <x v="0"/>
    <s v="Yes"/>
    <s v="KBC"/>
    <x v="0"/>
    <x v="0"/>
    <x v="0"/>
    <n v="24.24766"/>
    <n v="97.236919999999998"/>
    <s v="MMR001CMP052"/>
    <x v="0"/>
    <m/>
  </r>
  <r>
    <x v="1"/>
    <x v="3"/>
    <x v="3"/>
    <s v="HARP,UNICEF"/>
    <x v="0"/>
    <x v="1"/>
    <x v="1"/>
    <x v="9"/>
    <n v="101"/>
    <n v="458"/>
    <s v="1-Mar-2019 / 1-Dec-2018"/>
    <s v="31-12-2020 / 30-Nov-2019"/>
    <n v="260"/>
    <m/>
    <m/>
    <m/>
    <s v="Yes"/>
    <m/>
    <m/>
    <m/>
    <m/>
    <m/>
    <m/>
    <m/>
    <m/>
    <m/>
    <n v="1"/>
    <m/>
    <m/>
    <m/>
    <m/>
    <m/>
    <m/>
    <m/>
    <m/>
    <m/>
    <m/>
    <m/>
    <n v="3"/>
    <m/>
    <m/>
    <n v="86"/>
    <m/>
    <m/>
    <m/>
    <m/>
    <m/>
    <m/>
    <m/>
    <x v="0"/>
    <x v="0"/>
    <n v="3"/>
    <m/>
    <m/>
    <m/>
    <m/>
    <m/>
    <m/>
    <n v="3"/>
    <m/>
    <m/>
    <n v="2"/>
    <m/>
    <m/>
    <s v="No"/>
    <m/>
    <m/>
    <m/>
    <s v="no test"/>
    <s v="no test"/>
    <x v="1"/>
    <n v="0"/>
    <n v="0"/>
    <n v="1"/>
    <n v="0"/>
    <n v="0"/>
    <n v="0.14556040756914121"/>
    <n v="0.14556040756914121"/>
    <n v="0.14556040756914121"/>
    <n v="66.666666666666671"/>
    <n v="0"/>
    <n v="0"/>
    <n v="0.14556040756914121"/>
    <n v="66.666666666666671"/>
    <n v="0.13333333333333333"/>
    <n v="0.85443959243085876"/>
    <n v="391.33333333333331"/>
    <n v="0.8666666666666667"/>
    <n v="1"/>
    <n v="86"/>
    <n v="1"/>
    <n v="458"/>
    <n v="0"/>
    <n v="0"/>
    <n v="23"/>
    <n v="0"/>
    <n v="0"/>
    <n v="0"/>
    <n v="458"/>
    <n v="0"/>
    <n v="0"/>
    <n v="0"/>
    <n v="458"/>
    <n v="1"/>
    <n v="0"/>
    <n v="1"/>
    <n v="0"/>
    <n v="0"/>
    <n v="0"/>
    <n v="0"/>
    <n v="0"/>
    <n v="0"/>
    <x v="1"/>
    <s v="Yes"/>
    <s v="KMSS-MYT"/>
    <x v="0"/>
    <x v="0"/>
    <x v="1"/>
    <n v="24.461033"/>
    <n v="97.537099999999995"/>
    <s v="MMR001CMP123"/>
    <x v="0"/>
    <m/>
  </r>
  <r>
    <x v="1"/>
    <x v="0"/>
    <x v="0"/>
    <s v="ECHO, OFDA"/>
    <x v="0"/>
    <x v="1"/>
    <x v="1"/>
    <x v="11"/>
    <n v="40"/>
    <n v="240"/>
    <s v="01/06/2019, 01/07/2019"/>
    <s v="30/11/2019, 30/12/2019"/>
    <m/>
    <n v="0"/>
    <n v="0"/>
    <n v="0"/>
    <s v="Yes"/>
    <n v="4"/>
    <n v="7"/>
    <n v="1"/>
    <m/>
    <m/>
    <n v="0"/>
    <n v="0"/>
    <m/>
    <m/>
    <m/>
    <m/>
    <m/>
    <m/>
    <m/>
    <m/>
    <m/>
    <m/>
    <n v="1"/>
    <n v="1"/>
    <n v="4"/>
    <n v="0"/>
    <m/>
    <m/>
    <m/>
    <n v="9"/>
    <m/>
    <m/>
    <m/>
    <m/>
    <n v="9"/>
    <m/>
    <m/>
    <x v="0"/>
    <x v="0"/>
    <n v="0"/>
    <n v="0"/>
    <m/>
    <m/>
    <n v="4"/>
    <n v="2"/>
    <m/>
    <n v="1"/>
    <m/>
    <n v="0"/>
    <n v="1"/>
    <n v="3"/>
    <n v="38"/>
    <m/>
    <m/>
    <m/>
    <m/>
    <n v="1"/>
    <n v="0"/>
    <x v="0"/>
    <n v="1"/>
    <n v="0"/>
    <n v="0"/>
    <n v="0"/>
    <n v="0"/>
    <n v="1"/>
    <n v="1"/>
    <n v="1"/>
    <n v="240"/>
    <n v="0"/>
    <n v="0"/>
    <n v="1"/>
    <n v="240"/>
    <n v="0.48"/>
    <n v="0"/>
    <n v="0"/>
    <n v="0.52"/>
    <n v="1"/>
    <n v="9"/>
    <n v="0.75"/>
    <n v="180"/>
    <n v="180"/>
    <n v="0"/>
    <n v="12"/>
    <n v="3"/>
    <n v="0.25"/>
    <n v="0"/>
    <n v="240"/>
    <n v="15"/>
    <n v="190"/>
    <n v="190"/>
    <n v="240"/>
    <n v="1"/>
    <n v="0"/>
    <n v="1"/>
    <n v="7.4999999999999997E-2"/>
    <n v="0.95"/>
    <n v="2"/>
    <n v="40"/>
    <n v="0"/>
    <n v="200"/>
    <x v="0"/>
    <s v="Yes"/>
    <s v="KBC"/>
    <x v="0"/>
    <x v="0"/>
    <x v="0"/>
    <n v="24.200972"/>
    <n v="97.718582999999995"/>
    <s v="MMR001CMP071"/>
    <x v="0"/>
    <m/>
  </r>
  <r>
    <x v="1"/>
    <x v="1"/>
    <x v="1"/>
    <s v="WHH-BMZ,WHH-AA"/>
    <x v="0"/>
    <x v="2"/>
    <x v="1"/>
    <x v="8"/>
    <n v="144"/>
    <n v="680"/>
    <m/>
    <d v="2018-12-31T00:00:00"/>
    <m/>
    <m/>
    <m/>
    <m/>
    <m/>
    <m/>
    <m/>
    <m/>
    <m/>
    <m/>
    <m/>
    <m/>
    <m/>
    <m/>
    <m/>
    <m/>
    <m/>
    <m/>
    <m/>
    <n v="27200"/>
    <m/>
    <m/>
    <m/>
    <m/>
    <m/>
    <m/>
    <m/>
    <m/>
    <m/>
    <m/>
    <m/>
    <m/>
    <m/>
    <m/>
    <m/>
    <m/>
    <m/>
    <x v="0"/>
    <x v="0"/>
    <m/>
    <m/>
    <m/>
    <m/>
    <m/>
    <m/>
    <m/>
    <m/>
    <m/>
    <m/>
    <m/>
    <m/>
    <m/>
    <m/>
    <m/>
    <m/>
    <m/>
    <s v="no test"/>
    <s v="no test"/>
    <x v="1"/>
    <n v="0"/>
    <n v="0"/>
    <n v="0"/>
    <n v="0"/>
    <n v="27200"/>
    <n v="1"/>
    <n v="1"/>
    <n v="1"/>
    <n v="680"/>
    <n v="0"/>
    <n v="0"/>
    <n v="1"/>
    <n v="680"/>
    <n v="1.36"/>
    <n v="0"/>
    <n v="0"/>
    <n v="0"/>
    <n v="1"/>
    <n v="0"/>
    <n v="0"/>
    <n v="0"/>
    <n v="0"/>
    <n v="0"/>
    <n v="34"/>
    <n v="34"/>
    <n v="1"/>
    <n v="0"/>
    <n v="0"/>
    <n v="0"/>
    <n v="0"/>
    <n v="0"/>
    <n v="0"/>
    <n v="0"/>
    <n v="1"/>
    <n v="0"/>
    <n v="0"/>
    <n v="0"/>
    <n v="0"/>
    <n v="0"/>
    <n v="0"/>
    <n v="0"/>
    <x v="0"/>
    <n v="0"/>
    <s v="uncovered"/>
    <x v="0"/>
    <x v="3"/>
    <x v="1"/>
    <n v="24.752471"/>
    <n v="97.541793999999996"/>
    <s v="MMR001CMP208"/>
    <x v="0"/>
    <m/>
  </r>
  <r>
    <x v="1"/>
    <x v="5"/>
    <x v="5"/>
    <s v="DFID"/>
    <x v="0"/>
    <x v="6"/>
    <x v="1"/>
    <x v="19"/>
    <n v="70"/>
    <n v="371"/>
    <d v="2018-08-01T00:00:00"/>
    <d v="2020-07-31T00:00:00"/>
    <m/>
    <n v="1"/>
    <n v="0"/>
    <n v="0"/>
    <s v="Yes"/>
    <n v="10"/>
    <n v="3"/>
    <n v="0"/>
    <m/>
    <m/>
    <n v="0"/>
    <n v="0"/>
    <m/>
    <m/>
    <n v="0"/>
    <m/>
    <m/>
    <n v="0"/>
    <n v="0"/>
    <n v="0"/>
    <n v="0"/>
    <n v="1"/>
    <m/>
    <m/>
    <m/>
    <m/>
    <n v="0"/>
    <n v="0"/>
    <m/>
    <n v="15"/>
    <n v="7"/>
    <s v="Chruch"/>
    <m/>
    <m/>
    <m/>
    <m/>
    <n v="0"/>
    <x v="0"/>
    <x v="0"/>
    <n v="0"/>
    <n v="0"/>
    <n v="0"/>
    <m/>
    <n v="0"/>
    <m/>
    <n v="0"/>
    <n v="2"/>
    <m/>
    <n v="8"/>
    <n v="5"/>
    <m/>
    <m/>
    <s v="No"/>
    <m/>
    <n v="0.1"/>
    <m/>
    <s v="no test"/>
    <s v="no test"/>
    <x v="1"/>
    <n v="0"/>
    <n v="0"/>
    <n v="0"/>
    <n v="0"/>
    <n v="0"/>
    <n v="0"/>
    <n v="0"/>
    <n v="0"/>
    <n v="0"/>
    <n v="0"/>
    <n v="0"/>
    <n v="0"/>
    <n v="0"/>
    <n v="0"/>
    <n v="1"/>
    <n v="371"/>
    <n v="1"/>
    <n v="1"/>
    <n v="22"/>
    <n v="1"/>
    <n v="371"/>
    <n v="0"/>
    <n v="0"/>
    <n v="19"/>
    <n v="0"/>
    <n v="0"/>
    <n v="0"/>
    <n v="371"/>
    <n v="0"/>
    <n v="0"/>
    <n v="0"/>
    <n v="371"/>
    <n v="1"/>
    <n v="0"/>
    <n v="1"/>
    <n v="0"/>
    <n v="0"/>
    <n v="0"/>
    <n v="0"/>
    <n v="0"/>
    <n v="0"/>
    <x v="0"/>
    <s v="Yes"/>
    <s v="Shalom"/>
    <x v="0"/>
    <x v="0"/>
    <x v="0"/>
    <n v="25.635300000000001"/>
    <n v="96.345569999999995"/>
    <s v="MMR001CMP176"/>
    <x v="0"/>
    <m/>
  </r>
  <r>
    <x v="1"/>
    <x v="4"/>
    <x v="4"/>
    <s v="UNICEF,ADRA(CANADA),PLAN(GFFO)"/>
    <x v="0"/>
    <x v="3"/>
    <x v="1"/>
    <x v="14"/>
    <n v="43"/>
    <n v="197"/>
    <s v="4/1/2019,5/1/2019,5/1/2019"/>
    <s v="7/31/2019,1/31/2020,9/30/2021"/>
    <m/>
    <m/>
    <m/>
    <m/>
    <s v="Yes"/>
    <m/>
    <m/>
    <n v="0"/>
    <m/>
    <m/>
    <n v="3"/>
    <m/>
    <m/>
    <m/>
    <m/>
    <m/>
    <m/>
    <m/>
    <m/>
    <m/>
    <m/>
    <n v="3"/>
    <m/>
    <m/>
    <m/>
    <m/>
    <m/>
    <m/>
    <m/>
    <n v="7"/>
    <m/>
    <m/>
    <m/>
    <m/>
    <n v="9"/>
    <m/>
    <n v="7"/>
    <x v="0"/>
    <x v="0"/>
    <m/>
    <m/>
    <m/>
    <m/>
    <m/>
    <m/>
    <m/>
    <n v="3"/>
    <m/>
    <m/>
    <n v="2"/>
    <m/>
    <m/>
    <m/>
    <m/>
    <m/>
    <m/>
    <s v="no test"/>
    <s v="no test"/>
    <x v="1"/>
    <n v="0"/>
    <n v="3"/>
    <n v="0"/>
    <n v="0"/>
    <n v="0"/>
    <n v="1"/>
    <n v="1"/>
    <n v="1"/>
    <n v="197"/>
    <n v="0"/>
    <n v="0"/>
    <n v="1"/>
    <n v="197"/>
    <n v="0.39400000000000002"/>
    <n v="0"/>
    <n v="0"/>
    <n v="0.60599999999999998"/>
    <n v="1"/>
    <n v="7"/>
    <n v="0.71065989847715738"/>
    <n v="140"/>
    <n v="180"/>
    <n v="0"/>
    <n v="10"/>
    <n v="3"/>
    <n v="0.28934010152284262"/>
    <n v="0"/>
    <n v="197"/>
    <n v="0"/>
    <n v="0"/>
    <n v="0"/>
    <n v="197"/>
    <n v="1"/>
    <n v="0"/>
    <n v="1"/>
    <n v="0"/>
    <n v="0"/>
    <n v="0"/>
    <n v="0"/>
    <n v="0"/>
    <n v="0"/>
    <x v="0"/>
    <s v="Yes"/>
    <s v="KBC"/>
    <x v="0"/>
    <x v="0"/>
    <x v="0"/>
    <n v="25.395974089999999"/>
    <n v="97.382997579999994"/>
    <s v="MMR001CMP010"/>
    <x v="0"/>
    <m/>
  </r>
  <r>
    <x v="1"/>
    <x v="5"/>
    <x v="5"/>
    <s v="DFID"/>
    <x v="0"/>
    <x v="6"/>
    <x v="1"/>
    <x v="20"/>
    <n v="13"/>
    <n v="83"/>
    <d v="2018-08-01T00:00:00"/>
    <d v="2020-07-31T00:00:00"/>
    <m/>
    <n v="1"/>
    <n v="0"/>
    <n v="0"/>
    <s v="Yes"/>
    <n v="0"/>
    <n v="1"/>
    <n v="2"/>
    <m/>
    <m/>
    <n v="0"/>
    <n v="0"/>
    <m/>
    <m/>
    <n v="0"/>
    <m/>
    <m/>
    <n v="0"/>
    <n v="0"/>
    <n v="0"/>
    <n v="0"/>
    <n v="0"/>
    <m/>
    <m/>
    <m/>
    <m/>
    <n v="0"/>
    <n v="0"/>
    <m/>
    <n v="4"/>
    <n v="1"/>
    <s v="Shalom"/>
    <m/>
    <m/>
    <m/>
    <m/>
    <n v="0"/>
    <x v="0"/>
    <x v="4"/>
    <n v="0"/>
    <n v="0"/>
    <n v="0"/>
    <m/>
    <n v="3"/>
    <m/>
    <n v="0"/>
    <n v="1"/>
    <m/>
    <n v="1"/>
    <n v="2"/>
    <m/>
    <m/>
    <s v="No"/>
    <m/>
    <n v="0.3"/>
    <m/>
    <s v="no test"/>
    <s v="no test"/>
    <x v="1"/>
    <n v="2"/>
    <n v="0"/>
    <n v="0"/>
    <n v="0"/>
    <n v="0"/>
    <n v="1"/>
    <n v="1"/>
    <n v="1"/>
    <n v="83"/>
    <n v="0"/>
    <n v="0"/>
    <n v="1"/>
    <n v="83"/>
    <n v="0.16600000000000001"/>
    <n v="0"/>
    <n v="0"/>
    <n v="0.83399999999999996"/>
    <n v="1"/>
    <n v="5"/>
    <n v="1"/>
    <n v="83"/>
    <n v="0"/>
    <n v="0"/>
    <n v="4"/>
    <n v="0"/>
    <n v="0"/>
    <n v="0"/>
    <n v="83"/>
    <n v="0"/>
    <n v="0"/>
    <n v="0"/>
    <n v="83"/>
    <n v="1"/>
    <n v="0"/>
    <n v="1"/>
    <n v="0"/>
    <n v="0"/>
    <n v="3"/>
    <n v="13"/>
    <n v="0"/>
    <n v="83"/>
    <x v="0"/>
    <s v="Yes"/>
    <s v="Shalom"/>
    <x v="0"/>
    <x v="0"/>
    <x v="0"/>
    <n v="25.616509000000001"/>
    <n v="96.317350000000005"/>
    <s v="MMR001CMP190"/>
    <x v="0"/>
    <m/>
  </r>
  <r>
    <x v="1"/>
    <x v="2"/>
    <x v="2"/>
    <m/>
    <x v="0"/>
    <x v="6"/>
    <x v="1"/>
    <x v="16"/>
    <n v="70"/>
    <n v="350"/>
    <m/>
    <m/>
    <m/>
    <m/>
    <m/>
    <m/>
    <m/>
    <m/>
    <m/>
    <m/>
    <m/>
    <m/>
    <m/>
    <m/>
    <m/>
    <m/>
    <m/>
    <m/>
    <m/>
    <m/>
    <m/>
    <m/>
    <m/>
    <m/>
    <m/>
    <m/>
    <m/>
    <m/>
    <m/>
    <m/>
    <m/>
    <m/>
    <m/>
    <m/>
    <m/>
    <m/>
    <m/>
    <m/>
    <m/>
    <x v="1"/>
    <x v="1"/>
    <m/>
    <m/>
    <m/>
    <m/>
    <m/>
    <m/>
    <m/>
    <m/>
    <m/>
    <m/>
    <m/>
    <m/>
    <m/>
    <m/>
    <m/>
    <m/>
    <m/>
    <s v="no test"/>
    <s v="no test"/>
    <x v="1"/>
    <n v="0"/>
    <n v="0"/>
    <n v="0"/>
    <n v="0"/>
    <n v="0"/>
    <n v="0"/>
    <n v="0"/>
    <n v="0"/>
    <n v="0"/>
    <n v="0"/>
    <n v="0"/>
    <n v="0"/>
    <n v="0"/>
    <n v="0"/>
    <n v="1"/>
    <n v="350"/>
    <n v="1"/>
    <n v="1"/>
    <n v="0"/>
    <n v="0"/>
    <n v="0"/>
    <n v="0"/>
    <n v="0"/>
    <n v="18"/>
    <n v="18"/>
    <n v="1"/>
    <n v="0"/>
    <n v="0"/>
    <n v="0"/>
    <n v="0"/>
    <n v="0"/>
    <n v="0"/>
    <n v="0"/>
    <n v="1"/>
    <n v="0"/>
    <n v="0"/>
    <n v="0"/>
    <n v="0"/>
    <n v="0"/>
    <n v="0"/>
    <n v="0"/>
    <x v="0"/>
    <s v="Yes"/>
    <s v="KMSS-MYT"/>
    <x v="0"/>
    <x v="0"/>
    <x v="0"/>
    <n v="25.656009999999998"/>
    <n v="96.361609999999999"/>
    <s v="MMR001CMP168"/>
    <x v="1"/>
    <m/>
  </r>
  <r>
    <x v="1"/>
    <x v="1"/>
    <x v="1"/>
    <s v="WHH-AA / USAID"/>
    <x v="0"/>
    <x v="1"/>
    <x v="0"/>
    <x v="12"/>
    <n v="17"/>
    <n v="106"/>
    <d v="2019-01-01T00:00:00"/>
    <d v="2019-12-31T00:00:00"/>
    <m/>
    <m/>
    <m/>
    <m/>
    <s v="No"/>
    <m/>
    <m/>
    <n v="1"/>
    <m/>
    <m/>
    <m/>
    <m/>
    <m/>
    <m/>
    <m/>
    <m/>
    <m/>
    <m/>
    <m/>
    <m/>
    <m/>
    <m/>
    <m/>
    <m/>
    <m/>
    <m/>
    <m/>
    <m/>
    <m/>
    <n v="4"/>
    <m/>
    <m/>
    <n v="1"/>
    <m/>
    <m/>
    <m/>
    <m/>
    <x v="0"/>
    <x v="0"/>
    <m/>
    <m/>
    <m/>
    <m/>
    <n v="2"/>
    <m/>
    <m/>
    <n v="2"/>
    <m/>
    <m/>
    <m/>
    <n v="13"/>
    <n v="3"/>
    <m/>
    <m/>
    <m/>
    <m/>
    <s v="no test"/>
    <s v="no test"/>
    <x v="1"/>
    <n v="1"/>
    <n v="0"/>
    <n v="0"/>
    <n v="0"/>
    <n v="0"/>
    <n v="1"/>
    <n v="1"/>
    <n v="1"/>
    <n v="106"/>
    <n v="0"/>
    <n v="0"/>
    <n v="1"/>
    <n v="106"/>
    <n v="0.21199999999999999"/>
    <n v="0"/>
    <n v="0"/>
    <n v="0.78800000000000003"/>
    <n v="1"/>
    <n v="3"/>
    <n v="0.56603773584905659"/>
    <n v="60"/>
    <n v="0"/>
    <n v="0"/>
    <n v="5"/>
    <n v="1"/>
    <n v="0.43396226415094341"/>
    <n v="0.25"/>
    <n v="0"/>
    <n v="65"/>
    <n v="15"/>
    <n v="65"/>
    <n v="65"/>
    <n v="0.6132075471698113"/>
    <n v="0.3867924528301887"/>
    <n v="0"/>
    <n v="0.76470588235294112"/>
    <n v="0.17647058823529413"/>
    <n v="2"/>
    <n v="17"/>
    <n v="0"/>
    <n v="106"/>
    <x v="0"/>
    <n v="0"/>
    <n v="0"/>
    <x v="0"/>
    <x v="0"/>
    <x v="0"/>
    <n v="0"/>
    <n v="0"/>
    <n v="0"/>
    <x v="0"/>
    <m/>
  </r>
  <r>
    <x v="1"/>
    <x v="3"/>
    <x v="3"/>
    <s v="HARP"/>
    <x v="0"/>
    <x v="3"/>
    <x v="1"/>
    <x v="18"/>
    <n v="90"/>
    <n v="430"/>
    <d v="2019-03-01T00:00:00"/>
    <d v="2020-12-31T00:00:00"/>
    <m/>
    <m/>
    <m/>
    <m/>
    <s v="Yes"/>
    <m/>
    <m/>
    <n v="1"/>
    <m/>
    <m/>
    <m/>
    <m/>
    <m/>
    <m/>
    <m/>
    <m/>
    <m/>
    <m/>
    <m/>
    <m/>
    <m/>
    <m/>
    <m/>
    <m/>
    <m/>
    <m/>
    <m/>
    <m/>
    <m/>
    <n v="22"/>
    <m/>
    <m/>
    <m/>
    <m/>
    <m/>
    <m/>
    <m/>
    <x v="0"/>
    <x v="0"/>
    <m/>
    <m/>
    <m/>
    <m/>
    <m/>
    <m/>
    <m/>
    <n v="3"/>
    <m/>
    <m/>
    <n v="2"/>
    <m/>
    <m/>
    <m/>
    <m/>
    <m/>
    <m/>
    <s v="no test"/>
    <s v="no test"/>
    <x v="1"/>
    <n v="1"/>
    <n v="0"/>
    <n v="0"/>
    <n v="0"/>
    <n v="0"/>
    <n v="0.93023255813953487"/>
    <n v="0.58139534883720934"/>
    <n v="0.93023255813953487"/>
    <n v="400"/>
    <n v="0"/>
    <n v="0"/>
    <n v="0.93023255813953487"/>
    <n v="400"/>
    <n v="0.8"/>
    <n v="6.9767441860465129E-2"/>
    <n v="30.000000000000007"/>
    <n v="0.19999999999999996"/>
    <n v="1"/>
    <n v="22"/>
    <n v="1"/>
    <n v="430"/>
    <n v="0"/>
    <n v="0"/>
    <n v="22"/>
    <n v="0"/>
    <n v="0"/>
    <n v="0"/>
    <n v="430"/>
    <n v="0"/>
    <n v="0"/>
    <n v="0"/>
    <n v="430"/>
    <n v="1"/>
    <n v="0"/>
    <n v="1"/>
    <n v="0"/>
    <n v="0"/>
    <n v="0"/>
    <n v="0"/>
    <n v="0"/>
    <n v="0"/>
    <x v="0"/>
    <s v="Yes"/>
    <s v="KMSS-MYT"/>
    <x v="0"/>
    <x v="0"/>
    <x v="0"/>
    <n v="25.401061110000001"/>
    <n v="97.379594999999995"/>
    <s v="MMR001CMP019"/>
    <x v="0"/>
    <m/>
  </r>
  <r>
    <x v="1"/>
    <x v="5"/>
    <x v="5"/>
    <s v="DFID"/>
    <x v="0"/>
    <x v="6"/>
    <x v="1"/>
    <x v="21"/>
    <n v="36"/>
    <n v="228"/>
    <d v="2018-08-01T00:00:00"/>
    <d v="2020-07-31T00:00:00"/>
    <m/>
    <n v="1"/>
    <n v="0"/>
    <n v="0"/>
    <s v="Yes"/>
    <n v="2"/>
    <n v="2"/>
    <n v="1"/>
    <m/>
    <m/>
    <n v="0"/>
    <n v="0"/>
    <m/>
    <m/>
    <n v="0"/>
    <m/>
    <m/>
    <n v="0"/>
    <n v="0"/>
    <n v="0"/>
    <n v="0"/>
    <n v="1"/>
    <m/>
    <m/>
    <m/>
    <m/>
    <n v="0"/>
    <n v="0"/>
    <m/>
    <n v="10"/>
    <n v="0"/>
    <s v="Shalom"/>
    <m/>
    <m/>
    <m/>
    <m/>
    <n v="0"/>
    <x v="0"/>
    <x v="0"/>
    <n v="0"/>
    <n v="0"/>
    <n v="0"/>
    <m/>
    <n v="0"/>
    <m/>
    <n v="0"/>
    <n v="3"/>
    <m/>
    <n v="2"/>
    <n v="2"/>
    <m/>
    <m/>
    <s v="No"/>
    <m/>
    <n v="0.9"/>
    <m/>
    <s v="no test"/>
    <s v="no test"/>
    <x v="1"/>
    <n v="1"/>
    <n v="0"/>
    <n v="0"/>
    <n v="0"/>
    <n v="0"/>
    <n v="1"/>
    <n v="1"/>
    <n v="1"/>
    <n v="228"/>
    <n v="0"/>
    <n v="0"/>
    <n v="1"/>
    <n v="228"/>
    <n v="0.45600000000000002"/>
    <n v="0"/>
    <n v="0"/>
    <n v="0.54400000000000004"/>
    <n v="1"/>
    <n v="10"/>
    <n v="0.8771929824561403"/>
    <n v="200"/>
    <n v="0"/>
    <n v="0"/>
    <n v="11"/>
    <n v="1"/>
    <n v="0.1228070175438597"/>
    <n v="0"/>
    <n v="228"/>
    <n v="0"/>
    <n v="0"/>
    <n v="0"/>
    <n v="228"/>
    <n v="1"/>
    <n v="0"/>
    <n v="1"/>
    <n v="0"/>
    <n v="0"/>
    <n v="0"/>
    <n v="0"/>
    <n v="0"/>
    <n v="0"/>
    <x v="0"/>
    <s v="Yes"/>
    <s v="KBC"/>
    <x v="0"/>
    <x v="0"/>
    <x v="0"/>
    <n v="25.647649999999999"/>
    <n v="96.346469999999997"/>
    <s v="MMR001CMP169"/>
    <x v="0"/>
    <m/>
  </r>
  <r>
    <x v="1"/>
    <x v="5"/>
    <x v="5"/>
    <s v="DFID"/>
    <x v="0"/>
    <x v="6"/>
    <x v="1"/>
    <x v="22"/>
    <n v="6"/>
    <n v="31"/>
    <d v="2018-08-01T00:00:00"/>
    <d v="2020-07-31T00:00:00"/>
    <m/>
    <n v="1"/>
    <n v="0"/>
    <n v="0"/>
    <s v="Yes"/>
    <n v="1"/>
    <n v="2"/>
    <n v="0"/>
    <m/>
    <m/>
    <n v="0"/>
    <n v="0"/>
    <m/>
    <m/>
    <n v="0"/>
    <m/>
    <m/>
    <n v="0"/>
    <n v="0"/>
    <n v="0"/>
    <n v="0"/>
    <n v="0"/>
    <m/>
    <m/>
    <m/>
    <m/>
    <n v="0"/>
    <n v="0"/>
    <m/>
    <n v="2"/>
    <n v="0"/>
    <s v="Shalom"/>
    <m/>
    <m/>
    <m/>
    <m/>
    <n v="0"/>
    <x v="0"/>
    <x v="4"/>
    <n v="0"/>
    <n v="0"/>
    <n v="0"/>
    <m/>
    <n v="0"/>
    <m/>
    <n v="0"/>
    <n v="1"/>
    <m/>
    <n v="1"/>
    <n v="2"/>
    <m/>
    <m/>
    <s v="No"/>
    <m/>
    <n v="0.3"/>
    <m/>
    <s v="no test"/>
    <s v="no test"/>
    <x v="1"/>
    <n v="0"/>
    <n v="0"/>
    <n v="0"/>
    <n v="0"/>
    <n v="0"/>
    <n v="0"/>
    <n v="0"/>
    <n v="0"/>
    <n v="0"/>
    <n v="0"/>
    <n v="0"/>
    <n v="0"/>
    <n v="0"/>
    <n v="0"/>
    <n v="1"/>
    <n v="31"/>
    <n v="1"/>
    <n v="1"/>
    <n v="2"/>
    <n v="1"/>
    <n v="31"/>
    <n v="0"/>
    <n v="0"/>
    <n v="2"/>
    <n v="0"/>
    <n v="0"/>
    <n v="0"/>
    <n v="31"/>
    <n v="0"/>
    <n v="0"/>
    <n v="0"/>
    <n v="31"/>
    <n v="1"/>
    <n v="0"/>
    <n v="1"/>
    <n v="0"/>
    <n v="0"/>
    <n v="0"/>
    <n v="0"/>
    <n v="0"/>
    <n v="0"/>
    <x v="0"/>
    <s v="Yes"/>
    <s v="uncovered"/>
    <x v="0"/>
    <x v="2"/>
    <x v="0"/>
    <n v="25.582065"/>
    <n v="96.283377000000002"/>
    <s v="MMR001CMP109"/>
    <x v="0"/>
    <m/>
  </r>
  <r>
    <x v="1"/>
    <x v="5"/>
    <x v="5"/>
    <s v="DFID"/>
    <x v="0"/>
    <x v="5"/>
    <x v="1"/>
    <x v="13"/>
    <n v="162"/>
    <n v="830"/>
    <d v="2018-08-01T00:00:00"/>
    <d v="2020-07-31T00:00:00"/>
    <m/>
    <n v="1"/>
    <m/>
    <m/>
    <s v="Yes"/>
    <n v="2"/>
    <n v="3"/>
    <n v="0"/>
    <m/>
    <m/>
    <n v="0"/>
    <m/>
    <m/>
    <m/>
    <n v="1"/>
    <m/>
    <m/>
    <m/>
    <m/>
    <m/>
    <m/>
    <n v="1"/>
    <m/>
    <m/>
    <m/>
    <m/>
    <m/>
    <m/>
    <m/>
    <n v="40"/>
    <n v="12"/>
    <s v="ICRC"/>
    <m/>
    <m/>
    <m/>
    <m/>
    <n v="0"/>
    <x v="2"/>
    <x v="3"/>
    <n v="0"/>
    <n v="0"/>
    <n v="0"/>
    <m/>
    <n v="5"/>
    <m/>
    <n v="0"/>
    <n v="9"/>
    <m/>
    <n v="2"/>
    <n v="3"/>
    <m/>
    <m/>
    <s v="No"/>
    <m/>
    <n v="0.2"/>
    <m/>
    <s v="no test"/>
    <s v="no test"/>
    <x v="1"/>
    <n v="0"/>
    <n v="0"/>
    <n v="1"/>
    <n v="0"/>
    <n v="0"/>
    <n v="8.0321285140562249E-2"/>
    <n v="8.0321285140562249E-2"/>
    <n v="8.0321285140562249E-2"/>
    <n v="66.666666666666671"/>
    <n v="0"/>
    <n v="0"/>
    <n v="8.0321285140562249E-2"/>
    <n v="66.666666666666671"/>
    <n v="0.13333333333333333"/>
    <n v="0.91967871485943775"/>
    <n v="763.33333333333337"/>
    <n v="1.8666666666666667"/>
    <n v="2"/>
    <n v="52"/>
    <n v="1"/>
    <n v="830"/>
    <n v="0"/>
    <n v="0"/>
    <n v="42"/>
    <n v="0"/>
    <n v="0"/>
    <n v="0"/>
    <n v="830"/>
    <n v="0"/>
    <n v="0"/>
    <n v="0"/>
    <n v="830"/>
    <n v="1"/>
    <n v="0"/>
    <n v="1"/>
    <n v="0"/>
    <n v="0"/>
    <n v="5"/>
    <n v="100"/>
    <n v="0"/>
    <n v="500"/>
    <x v="0"/>
    <s v="Yes"/>
    <s v="Shalom"/>
    <x v="0"/>
    <x v="0"/>
    <x v="0"/>
    <n v="25.889410000000002"/>
    <n v="98.131550000000004"/>
    <s v="MMR001CMP042"/>
    <x v="0"/>
    <m/>
  </r>
  <r>
    <x v="1"/>
    <x v="5"/>
    <x v="5"/>
    <s v="DFID"/>
    <x v="0"/>
    <x v="6"/>
    <x v="1"/>
    <x v="23"/>
    <n v="70"/>
    <n v="377"/>
    <d v="2018-08-01T00:00:00"/>
    <d v="2020-07-31T00:00:00"/>
    <m/>
    <n v="1"/>
    <n v="0"/>
    <n v="0"/>
    <s v="Yes"/>
    <n v="4"/>
    <n v="4"/>
    <n v="0"/>
    <m/>
    <m/>
    <n v="0"/>
    <n v="0"/>
    <m/>
    <m/>
    <n v="0"/>
    <m/>
    <m/>
    <n v="0"/>
    <n v="0"/>
    <n v="0"/>
    <n v="0"/>
    <n v="0"/>
    <m/>
    <m/>
    <m/>
    <m/>
    <n v="0"/>
    <n v="0"/>
    <m/>
    <n v="24"/>
    <n v="0"/>
    <s v="Shalom"/>
    <m/>
    <m/>
    <m/>
    <m/>
    <n v="0"/>
    <x v="0"/>
    <x v="0"/>
    <n v="0"/>
    <n v="1"/>
    <n v="0"/>
    <m/>
    <n v="3"/>
    <m/>
    <n v="0"/>
    <n v="3"/>
    <m/>
    <n v="2"/>
    <n v="3"/>
    <m/>
    <m/>
    <s v="No"/>
    <m/>
    <n v="0.25"/>
    <m/>
    <s v="no test"/>
    <s v="no test"/>
    <x v="1"/>
    <n v="0"/>
    <n v="0"/>
    <n v="0"/>
    <n v="0"/>
    <n v="0"/>
    <n v="0"/>
    <n v="0"/>
    <n v="0"/>
    <n v="0"/>
    <n v="0"/>
    <n v="0"/>
    <n v="0"/>
    <n v="0"/>
    <n v="0"/>
    <n v="1"/>
    <n v="377"/>
    <n v="1"/>
    <n v="1"/>
    <n v="24"/>
    <n v="1"/>
    <n v="377"/>
    <n v="0"/>
    <n v="0"/>
    <n v="19"/>
    <n v="0"/>
    <n v="0"/>
    <n v="0"/>
    <n v="377"/>
    <n v="0"/>
    <n v="0"/>
    <n v="0"/>
    <n v="377"/>
    <n v="1"/>
    <n v="0"/>
    <n v="1"/>
    <n v="0"/>
    <n v="0"/>
    <n v="3"/>
    <n v="60"/>
    <n v="0"/>
    <n v="300"/>
    <x v="0"/>
    <s v="Yes"/>
    <s v="Shalom"/>
    <x v="0"/>
    <x v="0"/>
    <x v="0"/>
    <n v="25.637309999999999"/>
    <n v="96.35257"/>
    <s v="MMR001CMP174"/>
    <x v="0"/>
    <m/>
  </r>
  <r>
    <x v="1"/>
    <x v="5"/>
    <x v="5"/>
    <s v="DFID"/>
    <x v="0"/>
    <x v="2"/>
    <x v="1"/>
    <x v="137"/>
    <n v="92"/>
    <n v="448"/>
    <d v="2018-08-01T00:00:00"/>
    <d v="2020-07-31T00:00:00"/>
    <m/>
    <n v="1"/>
    <n v="0"/>
    <n v="0"/>
    <s v="Yes"/>
    <n v="4"/>
    <n v="4"/>
    <n v="2"/>
    <m/>
    <m/>
    <n v="3"/>
    <n v="3"/>
    <m/>
    <m/>
    <n v="0"/>
    <m/>
    <m/>
    <n v="0"/>
    <n v="0"/>
    <n v="0"/>
    <n v="0"/>
    <n v="2"/>
    <m/>
    <m/>
    <m/>
    <m/>
    <n v="0"/>
    <n v="0"/>
    <m/>
    <n v="16"/>
    <n v="6"/>
    <s v="Unicef &amp; World vision"/>
    <m/>
    <m/>
    <m/>
    <m/>
    <n v="0"/>
    <x v="0"/>
    <x v="0"/>
    <n v="2"/>
    <n v="2"/>
    <n v="0"/>
    <m/>
    <n v="0"/>
    <m/>
    <n v="0"/>
    <n v="0"/>
    <m/>
    <n v="0"/>
    <n v="0"/>
    <m/>
    <m/>
    <s v="No"/>
    <m/>
    <n v="0"/>
    <m/>
    <s v="no test"/>
    <s v="no test"/>
    <x v="1"/>
    <n v="2"/>
    <n v="6"/>
    <n v="0"/>
    <n v="0"/>
    <n v="0"/>
    <n v="1"/>
    <n v="1"/>
    <n v="1"/>
    <n v="448"/>
    <n v="0"/>
    <n v="0"/>
    <n v="1"/>
    <n v="448"/>
    <n v="0.89600000000000002"/>
    <n v="0"/>
    <n v="0"/>
    <n v="0.10399999999999998"/>
    <n v="1"/>
    <n v="22"/>
    <n v="0.9821428571428571"/>
    <n v="440"/>
    <n v="0"/>
    <n v="0"/>
    <n v="22"/>
    <n v="0"/>
    <n v="1.7857142857142905E-2"/>
    <n v="0"/>
    <n v="0"/>
    <n v="0"/>
    <n v="0"/>
    <n v="0"/>
    <n v="0"/>
    <n v="0"/>
    <n v="1"/>
    <n v="0"/>
    <n v="0"/>
    <n v="0"/>
    <n v="0"/>
    <n v="0"/>
    <n v="0"/>
    <n v="0"/>
    <x v="0"/>
    <s v="Yes"/>
    <s v="Shalom"/>
    <x v="0"/>
    <x v="0"/>
    <x v="0"/>
    <n v="25.321710740740698"/>
    <n v="97.404195925926004"/>
    <s v="MMR001CMP028"/>
    <x v="0"/>
    <m/>
  </r>
  <r>
    <x v="1"/>
    <x v="4"/>
    <x v="4"/>
    <s v="UNICEF,ADRA(CANADA)"/>
    <x v="0"/>
    <x v="2"/>
    <x v="1"/>
    <x v="24"/>
    <n v="140"/>
    <n v="875"/>
    <s v="4/1/2019,5/1/2019"/>
    <s v="7/31/2019,31/1/2020"/>
    <m/>
    <m/>
    <m/>
    <m/>
    <s v="Yes"/>
    <m/>
    <m/>
    <n v="0"/>
    <m/>
    <m/>
    <n v="0"/>
    <m/>
    <m/>
    <m/>
    <n v="1"/>
    <m/>
    <m/>
    <m/>
    <m/>
    <m/>
    <m/>
    <n v="0"/>
    <m/>
    <m/>
    <m/>
    <m/>
    <m/>
    <m/>
    <m/>
    <n v="50"/>
    <m/>
    <m/>
    <m/>
    <m/>
    <m/>
    <m/>
    <n v="50"/>
    <x v="0"/>
    <x v="0"/>
    <m/>
    <m/>
    <m/>
    <m/>
    <m/>
    <m/>
    <m/>
    <n v="4"/>
    <m/>
    <m/>
    <n v="3"/>
    <m/>
    <m/>
    <m/>
    <m/>
    <m/>
    <m/>
    <s v="no test"/>
    <s v="no test"/>
    <x v="1"/>
    <n v="0"/>
    <n v="0"/>
    <n v="1"/>
    <n v="0"/>
    <n v="0"/>
    <n v="7.6190476190476197E-2"/>
    <n v="7.6190476190476197E-2"/>
    <n v="7.6190476190476197E-2"/>
    <n v="66.666666666666671"/>
    <n v="0"/>
    <n v="0"/>
    <n v="7.6190476190476197E-2"/>
    <n v="66.666666666666671"/>
    <n v="0.13333333333333333"/>
    <n v="0.92380952380952386"/>
    <n v="808.33333333333337"/>
    <n v="1.8666666666666667"/>
    <n v="2"/>
    <n v="50"/>
    <n v="1"/>
    <n v="875"/>
    <n v="0"/>
    <n v="0"/>
    <n v="44"/>
    <n v="0"/>
    <n v="0"/>
    <n v="0"/>
    <n v="875"/>
    <n v="0"/>
    <n v="0"/>
    <n v="0"/>
    <n v="875"/>
    <n v="1"/>
    <n v="0"/>
    <n v="1"/>
    <n v="0"/>
    <n v="0"/>
    <n v="0"/>
    <n v="0"/>
    <n v="0"/>
    <n v="0"/>
    <x v="0"/>
    <s v="Yes"/>
    <s v="KBC-MYT"/>
    <x v="0"/>
    <x v="0"/>
    <x v="1"/>
    <n v="25.200333000000001"/>
    <n v="97.807182999999995"/>
    <s v="MMR001CMP115"/>
    <x v="0"/>
    <m/>
  </r>
  <r>
    <x v="1"/>
    <x v="5"/>
    <x v="5"/>
    <s v="DFID"/>
    <x v="0"/>
    <x v="6"/>
    <x v="1"/>
    <x v="25"/>
    <n v="2"/>
    <n v="14"/>
    <d v="2018-08-01T00:00:00"/>
    <d v="2020-07-31T00:00:00"/>
    <m/>
    <n v="0"/>
    <m/>
    <m/>
    <m/>
    <m/>
    <m/>
    <m/>
    <m/>
    <m/>
    <n v="0"/>
    <m/>
    <m/>
    <m/>
    <m/>
    <m/>
    <m/>
    <m/>
    <m/>
    <m/>
    <m/>
    <m/>
    <m/>
    <m/>
    <m/>
    <m/>
    <m/>
    <m/>
    <m/>
    <n v="0"/>
    <m/>
    <m/>
    <m/>
    <m/>
    <m/>
    <m/>
    <n v="0"/>
    <x v="3"/>
    <x v="2"/>
    <m/>
    <m/>
    <m/>
    <m/>
    <m/>
    <m/>
    <n v="0"/>
    <m/>
    <m/>
    <m/>
    <m/>
    <m/>
    <m/>
    <m/>
    <m/>
    <m/>
    <m/>
    <s v="no test"/>
    <s v="no test"/>
    <x v="1"/>
    <n v="0"/>
    <n v="0"/>
    <n v="0"/>
    <n v="0"/>
    <n v="0"/>
    <n v="0"/>
    <n v="0"/>
    <n v="0"/>
    <n v="0"/>
    <n v="0"/>
    <n v="0"/>
    <n v="0"/>
    <n v="0"/>
    <n v="0"/>
    <n v="1"/>
    <n v="14"/>
    <n v="1"/>
    <n v="1"/>
    <n v="0"/>
    <n v="0"/>
    <n v="0"/>
    <n v="0"/>
    <n v="0"/>
    <n v="1"/>
    <n v="1"/>
    <n v="1"/>
    <n v="0"/>
    <n v="0"/>
    <n v="0"/>
    <n v="0"/>
    <n v="0"/>
    <n v="0"/>
    <n v="0"/>
    <n v="1"/>
    <n v="0"/>
    <n v="0"/>
    <n v="0"/>
    <n v="0"/>
    <n v="0"/>
    <n v="0"/>
    <n v="0"/>
    <x v="0"/>
    <s v="Yes"/>
    <s v="uncovered"/>
    <x v="0"/>
    <x v="2"/>
    <x v="0"/>
    <n v="25.615960999999999"/>
    <n v="96.316564"/>
    <s v="MMR001CMP191"/>
    <x v="0"/>
    <m/>
  </r>
  <r>
    <x v="1"/>
    <x v="5"/>
    <x v="5"/>
    <s v="DFID"/>
    <x v="0"/>
    <x v="6"/>
    <x v="1"/>
    <x v="26"/>
    <n v="107"/>
    <n v="519"/>
    <d v="2018-08-01T00:00:00"/>
    <d v="2020-07-31T00:00:00"/>
    <n v="28"/>
    <n v="1"/>
    <n v="0"/>
    <n v="0"/>
    <s v="Yes"/>
    <n v="4"/>
    <n v="1"/>
    <n v="0"/>
    <m/>
    <m/>
    <n v="0"/>
    <n v="0"/>
    <m/>
    <m/>
    <n v="1"/>
    <m/>
    <m/>
    <n v="0"/>
    <n v="4"/>
    <n v="1"/>
    <n v="0"/>
    <n v="1"/>
    <m/>
    <m/>
    <m/>
    <m/>
    <n v="0"/>
    <n v="0"/>
    <m/>
    <n v="34"/>
    <n v="0"/>
    <s v="Shalom"/>
    <m/>
    <m/>
    <n v="14"/>
    <m/>
    <n v="0"/>
    <x v="0"/>
    <x v="0"/>
    <n v="0"/>
    <n v="0"/>
    <n v="2"/>
    <m/>
    <n v="5"/>
    <m/>
    <n v="0"/>
    <n v="5"/>
    <m/>
    <n v="4"/>
    <n v="4"/>
    <m/>
    <m/>
    <s v="No"/>
    <m/>
    <n v="0.3"/>
    <m/>
    <s v="no test"/>
    <s v="no test"/>
    <x v="1"/>
    <n v="0"/>
    <n v="0"/>
    <n v="1"/>
    <n v="0"/>
    <n v="1"/>
    <n v="0.1285806037251124"/>
    <n v="0.1285806037251124"/>
    <n v="0.1285806037251124"/>
    <n v="66.733333333333334"/>
    <n v="1"/>
    <n v="519"/>
    <n v="1"/>
    <n v="519"/>
    <n v="1.038"/>
    <n v="0"/>
    <n v="0"/>
    <n v="0"/>
    <n v="1"/>
    <n v="34"/>
    <n v="1"/>
    <n v="519"/>
    <n v="280"/>
    <n v="28"/>
    <n v="26"/>
    <n v="0"/>
    <n v="0"/>
    <n v="0"/>
    <n v="519"/>
    <n v="0"/>
    <n v="0"/>
    <n v="0"/>
    <n v="519"/>
    <n v="1"/>
    <n v="0"/>
    <n v="1"/>
    <n v="0"/>
    <n v="0"/>
    <n v="5"/>
    <n v="100"/>
    <n v="0"/>
    <n v="500"/>
    <x v="1"/>
    <s v="Yes"/>
    <s v="KBC"/>
    <x v="0"/>
    <x v="0"/>
    <x v="0"/>
    <n v="25.611160000000002"/>
    <n v="96.312790000000007"/>
    <s v="MMR001CMP229"/>
    <x v="0"/>
    <m/>
  </r>
  <r>
    <x v="1"/>
    <x v="4"/>
    <x v="4"/>
    <s v="UNICEF,ADRA(CANADA)"/>
    <x v="0"/>
    <x v="6"/>
    <x v="1"/>
    <x v="27"/>
    <n v="31"/>
    <n v="132"/>
    <s v="4/1/2019,5/1/2019"/>
    <s v="7/31/2019,31/1/2020"/>
    <m/>
    <m/>
    <m/>
    <m/>
    <s v="Yes"/>
    <m/>
    <m/>
    <n v="0"/>
    <m/>
    <m/>
    <n v="1"/>
    <m/>
    <m/>
    <m/>
    <m/>
    <m/>
    <m/>
    <m/>
    <m/>
    <m/>
    <m/>
    <n v="0"/>
    <m/>
    <m/>
    <m/>
    <m/>
    <m/>
    <m/>
    <m/>
    <n v="9"/>
    <m/>
    <m/>
    <m/>
    <m/>
    <m/>
    <m/>
    <n v="9"/>
    <x v="0"/>
    <x v="0"/>
    <m/>
    <m/>
    <m/>
    <m/>
    <m/>
    <m/>
    <m/>
    <n v="2"/>
    <m/>
    <m/>
    <n v="1"/>
    <m/>
    <m/>
    <m/>
    <m/>
    <m/>
    <m/>
    <s v="no test"/>
    <s v="no test"/>
    <x v="1"/>
    <n v="0"/>
    <n v="1"/>
    <n v="0"/>
    <n v="0"/>
    <n v="0"/>
    <n v="1"/>
    <n v="1"/>
    <n v="1"/>
    <n v="132"/>
    <n v="0"/>
    <n v="0"/>
    <n v="1"/>
    <n v="132"/>
    <n v="0.26400000000000001"/>
    <n v="0"/>
    <n v="0"/>
    <n v="0.73599999999999999"/>
    <n v="1"/>
    <n v="9"/>
    <n v="1"/>
    <n v="132"/>
    <n v="0"/>
    <n v="0"/>
    <n v="7"/>
    <n v="0"/>
    <n v="0"/>
    <n v="0"/>
    <n v="132"/>
    <n v="0"/>
    <n v="0"/>
    <n v="0"/>
    <n v="132"/>
    <n v="1"/>
    <n v="0"/>
    <n v="1"/>
    <n v="0"/>
    <n v="0"/>
    <n v="0"/>
    <n v="0"/>
    <n v="0"/>
    <n v="0"/>
    <x v="0"/>
    <s v="Yes"/>
    <s v="KBC"/>
    <x v="0"/>
    <x v="0"/>
    <x v="0"/>
    <n v="25.51352"/>
    <n v="96.705960000000005"/>
    <s v="MMR001CMP148"/>
    <x v="0"/>
    <m/>
  </r>
  <r>
    <x v="1"/>
    <x v="3"/>
    <x v="3"/>
    <s v="UNICEF"/>
    <x v="0"/>
    <x v="1"/>
    <x v="1"/>
    <x v="56"/>
    <n v="1490"/>
    <n v="8486"/>
    <d v="2018-12-01T00:00:00"/>
    <d v="2019-11-30T00:00:00"/>
    <n v="1340"/>
    <m/>
    <m/>
    <m/>
    <s v="Yes"/>
    <m/>
    <m/>
    <n v="1"/>
    <m/>
    <m/>
    <m/>
    <m/>
    <m/>
    <m/>
    <m/>
    <m/>
    <m/>
    <m/>
    <m/>
    <m/>
    <m/>
    <m/>
    <m/>
    <m/>
    <m/>
    <m/>
    <m/>
    <m/>
    <m/>
    <n v="22"/>
    <m/>
    <m/>
    <m/>
    <m/>
    <m/>
    <m/>
    <m/>
    <x v="0"/>
    <x v="0"/>
    <n v="6"/>
    <m/>
    <m/>
    <m/>
    <m/>
    <m/>
    <m/>
    <n v="3"/>
    <m/>
    <m/>
    <n v="2"/>
    <m/>
    <m/>
    <s v="No"/>
    <m/>
    <m/>
    <m/>
    <s v="no test"/>
    <s v="no test"/>
    <x v="1"/>
    <n v="1"/>
    <n v="0"/>
    <n v="0"/>
    <n v="0"/>
    <n v="0"/>
    <n v="4.7136460051850106E-2"/>
    <n v="2.9460287532406315E-2"/>
    <n v="4.7136460051850106E-2"/>
    <n v="400"/>
    <n v="0"/>
    <n v="0"/>
    <n v="4.7136460051850106E-2"/>
    <n v="400"/>
    <n v="0.8"/>
    <n v="0.95286353994814987"/>
    <n v="8086"/>
    <n v="16.2"/>
    <n v="17"/>
    <n v="22"/>
    <n v="5.185010605703512E-2"/>
    <n v="440"/>
    <n v="0"/>
    <n v="0"/>
    <n v="424"/>
    <n v="402"/>
    <n v="0.94814989394296489"/>
    <n v="0"/>
    <n v="1000"/>
    <n v="0"/>
    <n v="0"/>
    <n v="0"/>
    <n v="1000"/>
    <n v="0.11784115012962526"/>
    <n v="0.88215884987037474"/>
    <n v="0.11784115012962526"/>
    <n v="0"/>
    <n v="0"/>
    <n v="0"/>
    <n v="0"/>
    <n v="0"/>
    <n v="0"/>
    <x v="1"/>
    <s v="Yes"/>
    <s v="KMSS-MYT"/>
    <x v="0"/>
    <x v="0"/>
    <x v="1"/>
    <n v="24.688338999999999"/>
    <n v="97.568331999999998"/>
    <s v="MMR001CMP121"/>
    <x v="0"/>
    <m/>
  </r>
  <r>
    <x v="1"/>
    <x v="5"/>
    <x v="5"/>
    <s v="DFID"/>
    <x v="0"/>
    <x v="6"/>
    <x v="1"/>
    <x v="29"/>
    <n v="123"/>
    <n v="672"/>
    <d v="2018-08-01T00:00:00"/>
    <d v="2020-07-31T00:00:00"/>
    <n v="23"/>
    <n v="2"/>
    <n v="0"/>
    <n v="0"/>
    <s v="Yes"/>
    <n v="1"/>
    <n v="2"/>
    <n v="0"/>
    <m/>
    <m/>
    <n v="0"/>
    <n v="0"/>
    <m/>
    <m/>
    <n v="1"/>
    <m/>
    <m/>
    <n v="0"/>
    <n v="1"/>
    <n v="1"/>
    <n v="0"/>
    <n v="0"/>
    <m/>
    <m/>
    <m/>
    <m/>
    <n v="0"/>
    <n v="0"/>
    <m/>
    <n v="18"/>
    <n v="1"/>
    <s v="Chruch"/>
    <m/>
    <m/>
    <n v="5"/>
    <m/>
    <n v="0"/>
    <x v="0"/>
    <x v="0"/>
    <n v="0"/>
    <n v="0"/>
    <n v="0"/>
    <m/>
    <n v="3"/>
    <m/>
    <n v="0"/>
    <n v="4"/>
    <m/>
    <n v="1"/>
    <n v="2"/>
    <m/>
    <m/>
    <s v="No"/>
    <m/>
    <n v="0.05"/>
    <m/>
    <s v="no test"/>
    <s v="no test"/>
    <x v="1"/>
    <n v="0"/>
    <n v="0"/>
    <n v="1"/>
    <n v="0"/>
    <n v="1"/>
    <n v="9.9305555555555564E-2"/>
    <n v="9.9305555555555564E-2"/>
    <n v="9.9305555555555564E-2"/>
    <n v="66.733333333333334"/>
    <n v="0.37202380952380953"/>
    <n v="250"/>
    <n v="0.47132936507936507"/>
    <n v="316.73333333333335"/>
    <n v="0.63346666666666673"/>
    <n v="0.52867063492063493"/>
    <n v="355.26666666666665"/>
    <n v="0.36653333333333327"/>
    <n v="1"/>
    <n v="19"/>
    <n v="0.56547619047619047"/>
    <n v="380"/>
    <n v="100"/>
    <n v="0"/>
    <n v="34"/>
    <n v="15"/>
    <n v="0.43452380952380953"/>
    <n v="0"/>
    <n v="672"/>
    <n v="0"/>
    <n v="0"/>
    <n v="0"/>
    <n v="672"/>
    <n v="1"/>
    <n v="0"/>
    <n v="1"/>
    <n v="0"/>
    <n v="0"/>
    <n v="3"/>
    <n v="60"/>
    <n v="0"/>
    <n v="300"/>
    <x v="1"/>
    <s v="Yes"/>
    <s v="KBC"/>
    <x v="0"/>
    <x v="0"/>
    <x v="0"/>
    <n v="0"/>
    <n v="0"/>
    <s v="MMR001CMP250"/>
    <x v="0"/>
    <m/>
  </r>
  <r>
    <x v="1"/>
    <x v="5"/>
    <x v="5"/>
    <s v="DFID"/>
    <x v="0"/>
    <x v="5"/>
    <x v="1"/>
    <x v="15"/>
    <n v="205"/>
    <n v="856"/>
    <d v="2018-08-01T00:00:00"/>
    <d v="2020-07-31T00:00:00"/>
    <m/>
    <n v="1"/>
    <m/>
    <m/>
    <s v="Yes"/>
    <n v="4"/>
    <n v="2"/>
    <n v="0"/>
    <m/>
    <m/>
    <n v="0"/>
    <m/>
    <m/>
    <m/>
    <n v="0"/>
    <m/>
    <m/>
    <m/>
    <m/>
    <m/>
    <m/>
    <n v="2"/>
    <m/>
    <m/>
    <m/>
    <m/>
    <m/>
    <m/>
    <m/>
    <n v="47"/>
    <n v="14"/>
    <s v="Oxfam/ ICRC"/>
    <m/>
    <m/>
    <m/>
    <m/>
    <n v="0"/>
    <x v="2"/>
    <x v="3"/>
    <n v="0"/>
    <n v="0"/>
    <n v="0"/>
    <m/>
    <n v="3"/>
    <m/>
    <n v="0"/>
    <n v="12"/>
    <m/>
    <n v="4"/>
    <n v="2"/>
    <m/>
    <m/>
    <s v="No"/>
    <m/>
    <n v="0.2"/>
    <m/>
    <s v="no test"/>
    <s v="no test"/>
    <x v="1"/>
    <n v="0"/>
    <n v="0"/>
    <n v="0"/>
    <n v="0"/>
    <n v="0"/>
    <n v="0"/>
    <n v="0"/>
    <n v="0"/>
    <n v="0"/>
    <n v="0"/>
    <n v="0"/>
    <n v="0"/>
    <n v="0"/>
    <n v="0"/>
    <n v="1"/>
    <n v="856"/>
    <n v="2"/>
    <n v="2"/>
    <n v="61"/>
    <n v="1"/>
    <n v="856"/>
    <n v="0"/>
    <n v="0"/>
    <n v="43"/>
    <n v="0"/>
    <n v="0"/>
    <n v="0"/>
    <n v="856"/>
    <n v="0"/>
    <n v="0"/>
    <n v="0"/>
    <n v="856"/>
    <n v="1"/>
    <n v="0"/>
    <n v="1"/>
    <n v="0"/>
    <n v="0"/>
    <n v="3"/>
    <n v="60"/>
    <n v="0"/>
    <n v="300"/>
    <x v="0"/>
    <s v="Yes"/>
    <s v="Shalom"/>
    <x v="0"/>
    <x v="0"/>
    <x v="0"/>
    <n v="25.887339999999998"/>
    <n v="98.129990000000006"/>
    <s v="MMR001CMP195"/>
    <x v="0"/>
    <m/>
  </r>
  <r>
    <x v="1"/>
    <x v="5"/>
    <x v="5"/>
    <s v="DFID"/>
    <x v="0"/>
    <x v="6"/>
    <x v="1"/>
    <x v="30"/>
    <n v="18"/>
    <n v="103"/>
    <d v="2018-08-01T00:00:00"/>
    <d v="2020-07-31T00:00:00"/>
    <m/>
    <n v="1"/>
    <n v="0"/>
    <n v="0"/>
    <s v="Yes"/>
    <n v="1"/>
    <n v="2"/>
    <n v="0"/>
    <m/>
    <m/>
    <n v="0"/>
    <n v="0"/>
    <m/>
    <m/>
    <n v="2"/>
    <m/>
    <m/>
    <n v="0"/>
    <n v="2"/>
    <n v="1"/>
    <n v="1"/>
    <n v="0"/>
    <m/>
    <m/>
    <m/>
    <m/>
    <n v="0"/>
    <n v="0"/>
    <m/>
    <n v="4"/>
    <n v="0"/>
    <s v="Shalom"/>
    <m/>
    <m/>
    <m/>
    <m/>
    <n v="0"/>
    <x v="0"/>
    <x v="0"/>
    <n v="0"/>
    <n v="0"/>
    <n v="0"/>
    <m/>
    <n v="2"/>
    <m/>
    <n v="0"/>
    <n v="2"/>
    <m/>
    <n v="1"/>
    <n v="2"/>
    <m/>
    <m/>
    <s v="No"/>
    <m/>
    <n v="0.3"/>
    <m/>
    <s v="no test"/>
    <s v="no test"/>
    <x v="1"/>
    <n v="0"/>
    <n v="0"/>
    <n v="2"/>
    <n v="0"/>
    <n v="1"/>
    <n v="1"/>
    <n v="1"/>
    <n v="1"/>
    <n v="103"/>
    <n v="1"/>
    <n v="103"/>
    <n v="1"/>
    <n v="103"/>
    <n v="0.20599999999999999"/>
    <n v="0"/>
    <n v="0"/>
    <n v="0.79400000000000004"/>
    <n v="1"/>
    <n v="4"/>
    <n v="0.77669902912621358"/>
    <n v="80"/>
    <n v="0"/>
    <n v="0"/>
    <n v="5"/>
    <n v="1"/>
    <n v="0.22330097087378642"/>
    <n v="0"/>
    <n v="103"/>
    <n v="0"/>
    <n v="0"/>
    <n v="0"/>
    <n v="103"/>
    <n v="1"/>
    <n v="0"/>
    <n v="1"/>
    <n v="0"/>
    <n v="0"/>
    <n v="2"/>
    <n v="18"/>
    <n v="0"/>
    <n v="103"/>
    <x v="0"/>
    <s v="Yes"/>
    <s v="Shalom"/>
    <x v="0"/>
    <x v="0"/>
    <x v="0"/>
    <n v="25.566510000000001"/>
    <n v="96.269199999999998"/>
    <s v="MMR001CMP181"/>
    <x v="0"/>
    <m/>
  </r>
  <r>
    <x v="1"/>
    <x v="2"/>
    <x v="2"/>
    <m/>
    <x v="0"/>
    <x v="7"/>
    <x v="1"/>
    <x v="32"/>
    <n v="6"/>
    <n v="32"/>
    <m/>
    <m/>
    <m/>
    <m/>
    <m/>
    <m/>
    <m/>
    <m/>
    <m/>
    <m/>
    <m/>
    <m/>
    <m/>
    <m/>
    <m/>
    <m/>
    <m/>
    <m/>
    <m/>
    <m/>
    <m/>
    <m/>
    <m/>
    <m/>
    <m/>
    <m/>
    <m/>
    <m/>
    <m/>
    <m/>
    <m/>
    <m/>
    <m/>
    <m/>
    <m/>
    <m/>
    <m/>
    <m/>
    <m/>
    <x v="1"/>
    <x v="1"/>
    <m/>
    <m/>
    <m/>
    <m/>
    <m/>
    <m/>
    <m/>
    <m/>
    <m/>
    <m/>
    <m/>
    <m/>
    <m/>
    <m/>
    <m/>
    <m/>
    <m/>
    <s v="no test"/>
    <s v="no test"/>
    <x v="1"/>
    <n v="0"/>
    <n v="0"/>
    <n v="0"/>
    <n v="0"/>
    <n v="0"/>
    <n v="0"/>
    <n v="0"/>
    <n v="0"/>
    <n v="0"/>
    <n v="0"/>
    <n v="0"/>
    <n v="0"/>
    <n v="0"/>
    <n v="0"/>
    <n v="1"/>
    <n v="32"/>
    <n v="1"/>
    <n v="1"/>
    <n v="0"/>
    <n v="0"/>
    <n v="0"/>
    <n v="0"/>
    <n v="0"/>
    <n v="2"/>
    <n v="2"/>
    <n v="1"/>
    <n v="0"/>
    <n v="0"/>
    <n v="0"/>
    <n v="0"/>
    <n v="0"/>
    <n v="0"/>
    <n v="0"/>
    <n v="1"/>
    <n v="0"/>
    <n v="0"/>
    <n v="0"/>
    <n v="0"/>
    <n v="0"/>
    <n v="0"/>
    <n v="0"/>
    <x v="0"/>
    <n v="0"/>
    <s v="uncovered"/>
    <x v="0"/>
    <x v="2"/>
    <x v="0"/>
    <n v="0"/>
    <n v="0"/>
    <s v="MMR001CMP262"/>
    <x v="1"/>
    <m/>
  </r>
  <r>
    <x v="1"/>
    <x v="2"/>
    <x v="2"/>
    <m/>
    <x v="0"/>
    <x v="6"/>
    <x v="1"/>
    <x v="33"/>
    <n v="3"/>
    <n v="15"/>
    <m/>
    <m/>
    <m/>
    <n v="0"/>
    <m/>
    <m/>
    <s v="Yes"/>
    <m/>
    <m/>
    <n v="1"/>
    <m/>
    <m/>
    <n v="1"/>
    <m/>
    <m/>
    <m/>
    <n v="0"/>
    <m/>
    <m/>
    <m/>
    <m/>
    <m/>
    <m/>
    <n v="1"/>
    <m/>
    <m/>
    <m/>
    <m/>
    <m/>
    <m/>
    <m/>
    <n v="0"/>
    <m/>
    <m/>
    <m/>
    <m/>
    <m/>
    <m/>
    <n v="0"/>
    <x v="0"/>
    <x v="3"/>
    <m/>
    <m/>
    <m/>
    <m/>
    <m/>
    <m/>
    <n v="0"/>
    <m/>
    <m/>
    <m/>
    <m/>
    <m/>
    <m/>
    <m/>
    <m/>
    <m/>
    <m/>
    <s v="no test"/>
    <s v="no test"/>
    <x v="1"/>
    <n v="1"/>
    <n v="1"/>
    <n v="0"/>
    <n v="0"/>
    <n v="0"/>
    <n v="1"/>
    <n v="1"/>
    <n v="1"/>
    <n v="15"/>
    <n v="0"/>
    <n v="0"/>
    <n v="1"/>
    <n v="15"/>
    <n v="0.03"/>
    <n v="0"/>
    <n v="0"/>
    <n v="0.97"/>
    <n v="1"/>
    <n v="0"/>
    <n v="0"/>
    <n v="0"/>
    <n v="0"/>
    <n v="0"/>
    <n v="1"/>
    <n v="1"/>
    <n v="1"/>
    <n v="0"/>
    <n v="0"/>
    <n v="0"/>
    <n v="0"/>
    <n v="0"/>
    <n v="0"/>
    <n v="0"/>
    <n v="1"/>
    <n v="0"/>
    <n v="0"/>
    <n v="0"/>
    <n v="0"/>
    <n v="0"/>
    <n v="0"/>
    <n v="0"/>
    <x v="0"/>
    <s v="Yes"/>
    <s v="uncovered"/>
    <x v="0"/>
    <x v="2"/>
    <x v="0"/>
    <n v="25.6145"/>
    <n v="96.319829999999996"/>
    <s v="MMR001CMP091"/>
    <x v="1"/>
    <m/>
  </r>
  <r>
    <x v="1"/>
    <x v="2"/>
    <x v="2"/>
    <m/>
    <x v="0"/>
    <x v="6"/>
    <x v="1"/>
    <x v="34"/>
    <n v="10"/>
    <n v="18"/>
    <m/>
    <m/>
    <m/>
    <m/>
    <m/>
    <m/>
    <m/>
    <m/>
    <m/>
    <m/>
    <m/>
    <m/>
    <m/>
    <m/>
    <m/>
    <m/>
    <m/>
    <m/>
    <m/>
    <m/>
    <m/>
    <m/>
    <m/>
    <m/>
    <m/>
    <m/>
    <m/>
    <m/>
    <m/>
    <m/>
    <m/>
    <m/>
    <m/>
    <m/>
    <m/>
    <m/>
    <m/>
    <m/>
    <m/>
    <x v="1"/>
    <x v="1"/>
    <m/>
    <m/>
    <m/>
    <m/>
    <m/>
    <m/>
    <m/>
    <m/>
    <m/>
    <m/>
    <m/>
    <m/>
    <m/>
    <m/>
    <m/>
    <m/>
    <m/>
    <s v="no test"/>
    <s v="no test"/>
    <x v="1"/>
    <n v="0"/>
    <n v="0"/>
    <n v="0"/>
    <n v="0"/>
    <n v="0"/>
    <n v="0"/>
    <n v="0"/>
    <n v="0"/>
    <n v="0"/>
    <n v="0"/>
    <n v="0"/>
    <n v="0"/>
    <n v="0"/>
    <n v="0"/>
    <n v="1"/>
    <n v="18"/>
    <n v="1"/>
    <n v="1"/>
    <n v="0"/>
    <n v="0"/>
    <n v="0"/>
    <n v="0"/>
    <n v="0"/>
    <n v="1"/>
    <n v="1"/>
    <n v="1"/>
    <n v="0"/>
    <n v="0"/>
    <n v="0"/>
    <n v="0"/>
    <n v="0"/>
    <n v="0"/>
    <n v="0"/>
    <n v="1"/>
    <n v="0"/>
    <n v="0"/>
    <n v="0"/>
    <n v="0"/>
    <n v="0"/>
    <n v="0"/>
    <n v="0"/>
    <x v="0"/>
    <s v="Yes"/>
    <s v="KMSS-MYT"/>
    <x v="0"/>
    <x v="0"/>
    <x v="0"/>
    <n v="25.920006000000001"/>
    <n v="96.662092000000001"/>
    <s v="MMR001CMP247"/>
    <x v="1"/>
    <m/>
  </r>
  <r>
    <x v="1"/>
    <x v="5"/>
    <x v="5"/>
    <s v="DFID"/>
    <x v="0"/>
    <x v="6"/>
    <x v="1"/>
    <x v="31"/>
    <n v="12"/>
    <n v="60"/>
    <d v="2018-08-01T00:00:00"/>
    <d v="2020-07-31T00:00:00"/>
    <m/>
    <n v="1"/>
    <n v="0"/>
    <n v="0"/>
    <s v="Yes"/>
    <n v="3"/>
    <n v="4"/>
    <n v="0"/>
    <m/>
    <m/>
    <n v="0"/>
    <n v="0"/>
    <m/>
    <m/>
    <n v="0"/>
    <m/>
    <m/>
    <n v="0"/>
    <n v="0"/>
    <n v="1"/>
    <n v="0"/>
    <n v="1"/>
    <m/>
    <m/>
    <m/>
    <m/>
    <n v="0"/>
    <n v="0"/>
    <m/>
    <n v="2"/>
    <n v="0"/>
    <s v="Shalom"/>
    <m/>
    <m/>
    <m/>
    <m/>
    <n v="0"/>
    <x v="0"/>
    <x v="4"/>
    <n v="0"/>
    <n v="0"/>
    <n v="0"/>
    <m/>
    <n v="1"/>
    <m/>
    <n v="0"/>
    <n v="2"/>
    <m/>
    <n v="3"/>
    <n v="4"/>
    <m/>
    <m/>
    <s v="No"/>
    <m/>
    <n v="0.4"/>
    <m/>
    <s v="no test"/>
    <s v="no test"/>
    <x v="1"/>
    <n v="0"/>
    <n v="0"/>
    <n v="0"/>
    <n v="0"/>
    <n v="1"/>
    <n v="1.1111111111111111E-3"/>
    <n v="1.1111111111111111E-3"/>
    <n v="1.1111111111111111E-3"/>
    <n v="6.6666666666666666E-2"/>
    <n v="0"/>
    <n v="0"/>
    <n v="1.1111111111111111E-3"/>
    <n v="6.6666666666666666E-2"/>
    <n v="1.3333333333333334E-4"/>
    <n v="0.99888888888888894"/>
    <n v="59.933333333333337"/>
    <n v="0.99986666666666668"/>
    <n v="1"/>
    <n v="2"/>
    <n v="0.66666666666666663"/>
    <n v="40"/>
    <n v="0"/>
    <n v="0"/>
    <n v="3"/>
    <n v="1"/>
    <n v="0.33333333333333337"/>
    <n v="0"/>
    <n v="60"/>
    <n v="0"/>
    <n v="0"/>
    <n v="0"/>
    <n v="60"/>
    <n v="1"/>
    <n v="0"/>
    <n v="1"/>
    <n v="0"/>
    <n v="0"/>
    <n v="1"/>
    <n v="12"/>
    <n v="0"/>
    <n v="60"/>
    <x v="0"/>
    <s v="Yes"/>
    <s v="Shalom"/>
    <x v="0"/>
    <x v="0"/>
    <x v="0"/>
    <n v="25.61842"/>
    <n v="96.316400000000002"/>
    <s v="MMR001CMP167"/>
    <x v="0"/>
    <m/>
  </r>
  <r>
    <x v="1"/>
    <x v="3"/>
    <x v="3"/>
    <s v="AA"/>
    <x v="0"/>
    <x v="3"/>
    <x v="1"/>
    <x v="28"/>
    <n v="14"/>
    <n v="39"/>
    <d v="2018-10-01T00:00:00"/>
    <d v="2019-12-31T00:00:00"/>
    <m/>
    <m/>
    <m/>
    <m/>
    <m/>
    <m/>
    <m/>
    <m/>
    <m/>
    <m/>
    <n v="1"/>
    <m/>
    <m/>
    <m/>
    <m/>
    <m/>
    <m/>
    <m/>
    <m/>
    <m/>
    <m/>
    <m/>
    <m/>
    <m/>
    <m/>
    <m/>
    <m/>
    <m/>
    <m/>
    <n v="4"/>
    <m/>
    <m/>
    <m/>
    <m/>
    <m/>
    <m/>
    <m/>
    <x v="2"/>
    <x v="4"/>
    <m/>
    <m/>
    <m/>
    <m/>
    <m/>
    <m/>
    <m/>
    <n v="2"/>
    <m/>
    <m/>
    <n v="1"/>
    <m/>
    <m/>
    <m/>
    <m/>
    <m/>
    <m/>
    <s v="no test"/>
    <s v="no test"/>
    <x v="1"/>
    <n v="0"/>
    <n v="1"/>
    <n v="0"/>
    <n v="0"/>
    <n v="0"/>
    <n v="1"/>
    <n v="1"/>
    <n v="1"/>
    <n v="39"/>
    <n v="0"/>
    <n v="0"/>
    <n v="1"/>
    <n v="39"/>
    <n v="7.8E-2"/>
    <n v="0"/>
    <n v="0"/>
    <n v="0.92200000000000004"/>
    <n v="1"/>
    <n v="4"/>
    <n v="1"/>
    <n v="39"/>
    <n v="0"/>
    <n v="0"/>
    <n v="2"/>
    <n v="0"/>
    <n v="0"/>
    <n v="0"/>
    <n v="39"/>
    <n v="0"/>
    <n v="0"/>
    <n v="0"/>
    <n v="39"/>
    <n v="1"/>
    <n v="0"/>
    <n v="1"/>
    <n v="0"/>
    <n v="0"/>
    <n v="0"/>
    <n v="0"/>
    <n v="0"/>
    <n v="0"/>
    <x v="0"/>
    <n v="0"/>
    <s v="KMSS-MYT"/>
    <x v="0"/>
    <x v="0"/>
    <x v="0"/>
    <n v="0"/>
    <n v="0"/>
    <s v="MMR001CMP256"/>
    <x v="0"/>
    <m/>
  </r>
  <r>
    <x v="1"/>
    <x v="5"/>
    <x v="5"/>
    <s v="DFID"/>
    <x v="0"/>
    <x v="2"/>
    <x v="1"/>
    <x v="142"/>
    <n v="347"/>
    <n v="2065"/>
    <d v="2018-08-01T00:00:00"/>
    <d v="2020-07-31T00:00:00"/>
    <n v="80"/>
    <n v="1"/>
    <n v="0"/>
    <n v="0"/>
    <s v="Yes"/>
    <n v="1"/>
    <n v="3"/>
    <n v="4"/>
    <m/>
    <m/>
    <n v="0"/>
    <n v="7"/>
    <m/>
    <m/>
    <n v="0"/>
    <m/>
    <m/>
    <n v="0"/>
    <n v="0"/>
    <n v="0"/>
    <n v="0"/>
    <n v="0"/>
    <m/>
    <m/>
    <m/>
    <m/>
    <n v="0"/>
    <n v="0"/>
    <m/>
    <n v="13"/>
    <n v="28"/>
    <s v="KBC &amp; World vision"/>
    <m/>
    <m/>
    <m/>
    <m/>
    <n v="0"/>
    <x v="0"/>
    <x v="0"/>
    <n v="0"/>
    <n v="0"/>
    <n v="0"/>
    <m/>
    <n v="5"/>
    <m/>
    <n v="0"/>
    <n v="4"/>
    <m/>
    <n v="0"/>
    <n v="0"/>
    <m/>
    <m/>
    <s v="No"/>
    <m/>
    <n v="0"/>
    <m/>
    <s v="no test"/>
    <s v="no test"/>
    <x v="1"/>
    <n v="4"/>
    <n v="7"/>
    <n v="0"/>
    <n v="0"/>
    <n v="0"/>
    <n v="1"/>
    <n v="1"/>
    <n v="1"/>
    <n v="2065"/>
    <n v="0"/>
    <n v="0"/>
    <n v="1"/>
    <n v="2065"/>
    <n v="4.13"/>
    <n v="0"/>
    <n v="0"/>
    <n v="0"/>
    <n v="4"/>
    <n v="41"/>
    <n v="0.39709443099273606"/>
    <n v="820"/>
    <n v="0"/>
    <n v="0"/>
    <n v="103"/>
    <n v="62"/>
    <n v="0.602905569007264"/>
    <n v="0"/>
    <n v="0"/>
    <n v="0"/>
    <n v="0"/>
    <n v="0"/>
    <n v="0"/>
    <n v="0"/>
    <n v="1"/>
    <n v="0"/>
    <n v="0"/>
    <n v="0"/>
    <n v="5"/>
    <n v="100"/>
    <n v="0"/>
    <n v="500"/>
    <x v="1"/>
    <s v="Yes"/>
    <s v="Shalom"/>
    <x v="0"/>
    <x v="0"/>
    <x v="0"/>
    <n v="25.424529444444399"/>
    <n v="97.433419259259296"/>
    <s v="MMR001CMP031"/>
    <x v="0"/>
    <m/>
  </r>
  <r>
    <x v="1"/>
    <x v="4"/>
    <x v="4"/>
    <s v="UNICEF,ADRA(CANADA)"/>
    <x v="0"/>
    <x v="5"/>
    <x v="1"/>
    <x v="38"/>
    <n v="169"/>
    <n v="837"/>
    <s v="4/1/2019,5/1/2019"/>
    <s v="7/31/2019,1/31/2020"/>
    <n v="238"/>
    <m/>
    <m/>
    <m/>
    <s v="Yes"/>
    <m/>
    <m/>
    <n v="0"/>
    <m/>
    <m/>
    <n v="0"/>
    <m/>
    <m/>
    <m/>
    <n v="1"/>
    <m/>
    <m/>
    <m/>
    <m/>
    <m/>
    <m/>
    <n v="0"/>
    <m/>
    <m/>
    <m/>
    <m/>
    <m/>
    <m/>
    <m/>
    <n v="32"/>
    <m/>
    <m/>
    <m/>
    <m/>
    <m/>
    <m/>
    <n v="32"/>
    <x v="0"/>
    <x v="0"/>
    <m/>
    <m/>
    <n v="5"/>
    <m/>
    <m/>
    <m/>
    <m/>
    <n v="4"/>
    <m/>
    <m/>
    <n v="3"/>
    <m/>
    <m/>
    <m/>
    <m/>
    <m/>
    <m/>
    <s v="no test"/>
    <s v="no test"/>
    <x v="1"/>
    <n v="0"/>
    <n v="0"/>
    <n v="1"/>
    <n v="0"/>
    <n v="0"/>
    <n v="7.9649542015133412E-2"/>
    <n v="7.9649542015133412E-2"/>
    <n v="7.9649542015133412E-2"/>
    <n v="66.666666666666671"/>
    <n v="0"/>
    <n v="0"/>
    <n v="7.9649542015133412E-2"/>
    <n v="66.666666666666671"/>
    <n v="0.13333333333333333"/>
    <n v="0.92035045798486659"/>
    <n v="770.33333333333337"/>
    <n v="1.8666666666666667"/>
    <n v="2"/>
    <n v="32"/>
    <n v="0.7646356033452808"/>
    <n v="640"/>
    <n v="0"/>
    <n v="238"/>
    <n v="42"/>
    <n v="10"/>
    <n v="0.2353643966547192"/>
    <n v="0"/>
    <n v="837"/>
    <n v="0"/>
    <n v="0"/>
    <n v="0"/>
    <n v="837"/>
    <n v="1"/>
    <n v="0"/>
    <n v="1"/>
    <n v="0"/>
    <n v="0"/>
    <n v="0"/>
    <n v="0"/>
    <n v="0"/>
    <n v="0"/>
    <x v="1"/>
    <s v="Yes"/>
    <s v="KBC"/>
    <x v="0"/>
    <x v="0"/>
    <x v="1"/>
    <n v="25.754110000000001"/>
    <n v="98.475719999999995"/>
    <s v="MMR001CMP043"/>
    <x v="0"/>
    <m/>
  </r>
  <r>
    <x v="1"/>
    <x v="3"/>
    <x v="3"/>
    <s v="AA"/>
    <x v="0"/>
    <x v="6"/>
    <x v="1"/>
    <x v="36"/>
    <n v="16"/>
    <n v="63"/>
    <d v="2018-10-01T00:00:00"/>
    <d v="2019-12-31T00:00:00"/>
    <m/>
    <m/>
    <m/>
    <m/>
    <m/>
    <m/>
    <m/>
    <m/>
    <m/>
    <m/>
    <n v="1"/>
    <n v="1"/>
    <m/>
    <m/>
    <m/>
    <m/>
    <m/>
    <m/>
    <m/>
    <m/>
    <m/>
    <m/>
    <m/>
    <m/>
    <m/>
    <m/>
    <m/>
    <m/>
    <m/>
    <n v="4"/>
    <m/>
    <m/>
    <m/>
    <n v="2"/>
    <m/>
    <m/>
    <m/>
    <x v="2"/>
    <x v="4"/>
    <m/>
    <m/>
    <m/>
    <m/>
    <m/>
    <m/>
    <m/>
    <n v="2"/>
    <m/>
    <m/>
    <n v="1"/>
    <m/>
    <m/>
    <m/>
    <m/>
    <m/>
    <m/>
    <s v="no test"/>
    <s v="no test"/>
    <x v="1"/>
    <n v="0"/>
    <n v="2"/>
    <n v="0"/>
    <n v="0"/>
    <n v="0"/>
    <n v="1"/>
    <n v="1"/>
    <n v="1"/>
    <n v="63"/>
    <n v="0"/>
    <n v="0"/>
    <n v="1"/>
    <n v="63"/>
    <n v="0.126"/>
    <n v="0"/>
    <n v="0"/>
    <n v="0.874"/>
    <n v="1"/>
    <n v="4"/>
    <n v="1"/>
    <n v="63"/>
    <n v="0"/>
    <n v="0"/>
    <n v="3"/>
    <n v="0"/>
    <n v="0"/>
    <n v="0"/>
    <n v="63"/>
    <n v="0"/>
    <n v="0"/>
    <n v="0"/>
    <n v="63"/>
    <n v="1"/>
    <n v="0"/>
    <n v="1"/>
    <n v="0"/>
    <n v="0"/>
    <n v="0"/>
    <n v="0"/>
    <n v="0"/>
    <n v="0"/>
    <x v="0"/>
    <n v="0"/>
    <s v="KMSS-MYT"/>
    <x v="0"/>
    <x v="0"/>
    <x v="0"/>
    <n v="0"/>
    <n v="0"/>
    <s v="MMR001CMP270"/>
    <x v="0"/>
    <m/>
  </r>
  <r>
    <x v="1"/>
    <x v="5"/>
    <x v="5"/>
    <s v="DFID"/>
    <x v="0"/>
    <x v="3"/>
    <x v="1"/>
    <x v="104"/>
    <n v="22"/>
    <n v="92"/>
    <d v="2018-08-01T00:00:00"/>
    <d v="2020-07-31T00:00:00"/>
    <m/>
    <n v="1"/>
    <m/>
    <m/>
    <s v="Yes"/>
    <n v="3"/>
    <n v="7"/>
    <n v="1"/>
    <m/>
    <m/>
    <n v="1"/>
    <n v="1"/>
    <m/>
    <m/>
    <m/>
    <m/>
    <m/>
    <m/>
    <m/>
    <m/>
    <m/>
    <m/>
    <m/>
    <m/>
    <m/>
    <m/>
    <m/>
    <m/>
    <m/>
    <n v="5"/>
    <n v="5"/>
    <m/>
    <m/>
    <m/>
    <m/>
    <m/>
    <m/>
    <x v="0"/>
    <x v="3"/>
    <m/>
    <m/>
    <m/>
    <m/>
    <n v="2"/>
    <m/>
    <n v="0"/>
    <n v="0"/>
    <m/>
    <n v="0"/>
    <n v="0"/>
    <m/>
    <m/>
    <s v="No"/>
    <m/>
    <n v="0"/>
    <m/>
    <s v="no test"/>
    <s v="no test"/>
    <x v="1"/>
    <n v="1"/>
    <n v="2"/>
    <n v="0"/>
    <n v="0"/>
    <n v="0"/>
    <n v="1"/>
    <n v="1"/>
    <n v="1"/>
    <n v="92"/>
    <n v="0"/>
    <n v="0"/>
    <n v="1"/>
    <n v="92"/>
    <n v="0.184"/>
    <n v="0"/>
    <n v="0"/>
    <n v="0.81600000000000006"/>
    <n v="1"/>
    <n v="10"/>
    <n v="1"/>
    <n v="92"/>
    <n v="0"/>
    <n v="0"/>
    <n v="5"/>
    <n v="0"/>
    <n v="0"/>
    <n v="0"/>
    <n v="0"/>
    <n v="0"/>
    <n v="0"/>
    <n v="0"/>
    <n v="0"/>
    <n v="0"/>
    <n v="1"/>
    <n v="0"/>
    <n v="0"/>
    <n v="0"/>
    <n v="2"/>
    <n v="22"/>
    <n v="0"/>
    <n v="92"/>
    <x v="0"/>
    <s v="Yes"/>
    <s v="Shalom"/>
    <x v="0"/>
    <x v="0"/>
    <x v="0"/>
    <n v="25.374343974359"/>
    <n v="97.2843958974359"/>
    <s v="MMR001CMP020"/>
    <x v="0"/>
    <m/>
  </r>
  <r>
    <x v="1"/>
    <x v="5"/>
    <x v="5"/>
    <s v="DFID"/>
    <x v="0"/>
    <x v="3"/>
    <x v="1"/>
    <x v="105"/>
    <n v="21"/>
    <n v="123"/>
    <d v="2018-08-01T00:00:00"/>
    <d v="2020-07-31T00:00:00"/>
    <m/>
    <n v="1"/>
    <m/>
    <m/>
    <s v="Yes"/>
    <n v="1"/>
    <n v="4"/>
    <n v="0"/>
    <m/>
    <m/>
    <n v="1"/>
    <n v="1"/>
    <m/>
    <m/>
    <m/>
    <m/>
    <m/>
    <m/>
    <m/>
    <m/>
    <n v="1"/>
    <n v="1"/>
    <m/>
    <m/>
    <m/>
    <m/>
    <m/>
    <m/>
    <m/>
    <n v="3"/>
    <n v="3"/>
    <s v="Oxfam"/>
    <m/>
    <m/>
    <m/>
    <m/>
    <m/>
    <x v="0"/>
    <x v="3"/>
    <m/>
    <m/>
    <m/>
    <m/>
    <n v="1"/>
    <m/>
    <n v="0"/>
    <n v="2"/>
    <m/>
    <n v="1"/>
    <n v="0"/>
    <m/>
    <m/>
    <s v="No"/>
    <m/>
    <n v="0"/>
    <m/>
    <s v="no test"/>
    <s v="no test"/>
    <x v="1"/>
    <n v="0"/>
    <n v="2"/>
    <n v="0"/>
    <n v="0"/>
    <n v="0"/>
    <n v="1"/>
    <n v="1"/>
    <n v="1"/>
    <n v="123"/>
    <n v="0"/>
    <n v="0"/>
    <n v="1"/>
    <n v="123"/>
    <n v="0.246"/>
    <n v="0"/>
    <n v="0"/>
    <n v="0.754"/>
    <n v="1"/>
    <n v="6"/>
    <n v="0.97560975609756095"/>
    <n v="120"/>
    <n v="0"/>
    <n v="0"/>
    <n v="6"/>
    <n v="0"/>
    <n v="2.4390243902439046E-2"/>
    <n v="0"/>
    <n v="123"/>
    <n v="0"/>
    <n v="0"/>
    <n v="0"/>
    <n v="123"/>
    <n v="1"/>
    <n v="0"/>
    <n v="1"/>
    <n v="0"/>
    <n v="0"/>
    <n v="1"/>
    <n v="20"/>
    <n v="0"/>
    <n v="100"/>
    <x v="0"/>
    <s v="Yes"/>
    <s v="Shalom"/>
    <x v="0"/>
    <x v="0"/>
    <x v="0"/>
    <n v="25.371049444444399"/>
    <n v="97.290952037037002"/>
    <s v="MMR001CMP021"/>
    <x v="0"/>
    <m/>
  </r>
  <r>
    <x v="1"/>
    <x v="7"/>
    <x v="7"/>
    <s v="SCI/FFO"/>
    <x v="0"/>
    <x v="9"/>
    <x v="1"/>
    <x v="43"/>
    <n v="358"/>
    <n v="1661"/>
    <m/>
    <d v="2019-11-30T00:00:00"/>
    <m/>
    <n v="7"/>
    <n v="15"/>
    <m/>
    <s v="Yes"/>
    <m/>
    <m/>
    <n v="4"/>
    <m/>
    <m/>
    <m/>
    <m/>
    <m/>
    <m/>
    <m/>
    <m/>
    <m/>
    <m/>
    <n v="5"/>
    <m/>
    <m/>
    <n v="5"/>
    <m/>
    <m/>
    <n v="47"/>
    <n v="10"/>
    <n v="0"/>
    <n v="5"/>
    <m/>
    <n v="186"/>
    <m/>
    <m/>
    <n v="56"/>
    <m/>
    <m/>
    <m/>
    <m/>
    <x v="2"/>
    <x v="3"/>
    <m/>
    <m/>
    <m/>
    <m/>
    <m/>
    <m/>
    <m/>
    <n v="14"/>
    <m/>
    <m/>
    <n v="1"/>
    <n v="352"/>
    <m/>
    <m/>
    <n v="7"/>
    <m/>
    <m/>
    <s v="no test"/>
    <n v="0.21276595744680851"/>
    <x v="0"/>
    <n v="4"/>
    <n v="0"/>
    <n v="0"/>
    <n v="0"/>
    <n v="0"/>
    <n v="0.96327513546056598"/>
    <n v="0.60204695966285371"/>
    <n v="0.96327513546056598"/>
    <n v="1600"/>
    <n v="0.75255869957856714"/>
    <n v="1250"/>
    <n v="1"/>
    <n v="1661"/>
    <n v="3.3220000000000001"/>
    <n v="0"/>
    <n v="0"/>
    <n v="0"/>
    <n v="3"/>
    <n v="130"/>
    <n v="1"/>
    <n v="1661"/>
    <n v="0"/>
    <n v="0"/>
    <n v="83"/>
    <n v="0"/>
    <n v="0"/>
    <n v="0.30107526881720431"/>
    <n v="500"/>
    <n v="1661"/>
    <n v="0"/>
    <n v="1661"/>
    <n v="1661"/>
    <n v="1"/>
    <n v="0"/>
    <n v="0.30102347983142685"/>
    <n v="0.98324022346368711"/>
    <n v="0"/>
    <n v="0"/>
    <n v="0"/>
    <n v="0"/>
    <n v="0"/>
    <x v="0"/>
    <s v="Yes"/>
    <s v="KMSS-BMO"/>
    <x v="0"/>
    <x v="0"/>
    <x v="1"/>
    <n v="24.002433"/>
    <n v="97.609832999999995"/>
    <s v="MMR001CMP129"/>
    <x v="0"/>
    <m/>
  </r>
  <r>
    <x v="1"/>
    <x v="7"/>
    <x v="7"/>
    <s v="SCI/FFO"/>
    <x v="0"/>
    <x v="9"/>
    <x v="1"/>
    <x v="44"/>
    <n v="491"/>
    <n v="2581"/>
    <m/>
    <d v="2019-11-30T00:00:00"/>
    <m/>
    <n v="13"/>
    <n v="20"/>
    <m/>
    <s v="Yes"/>
    <m/>
    <m/>
    <n v="3"/>
    <m/>
    <m/>
    <m/>
    <m/>
    <m/>
    <m/>
    <m/>
    <m/>
    <m/>
    <m/>
    <n v="1"/>
    <m/>
    <m/>
    <n v="1"/>
    <m/>
    <m/>
    <n v="32"/>
    <n v="5"/>
    <n v="5"/>
    <n v="2"/>
    <m/>
    <n v="136"/>
    <m/>
    <m/>
    <n v="32"/>
    <m/>
    <n v="2"/>
    <m/>
    <m/>
    <x v="2"/>
    <x v="3"/>
    <m/>
    <m/>
    <m/>
    <m/>
    <m/>
    <m/>
    <m/>
    <n v="6"/>
    <m/>
    <m/>
    <m/>
    <n v="476"/>
    <m/>
    <m/>
    <n v="13"/>
    <m/>
    <m/>
    <s v="no test"/>
    <n v="0.15625"/>
    <x v="0"/>
    <n v="3"/>
    <n v="0"/>
    <n v="0"/>
    <n v="0"/>
    <n v="0"/>
    <n v="0.46493607129019759"/>
    <n v="0.29058504455637352"/>
    <n v="0.46493607129019759"/>
    <n v="1200"/>
    <n v="9.6861681518791168E-2"/>
    <n v="250"/>
    <n v="0.5617977528089888"/>
    <n v="1450"/>
    <n v="2.9"/>
    <n v="0.4382022471910112"/>
    <n v="1131"/>
    <n v="2.1"/>
    <n v="5"/>
    <n v="104"/>
    <n v="0.80588919023634253"/>
    <n v="2080"/>
    <n v="40"/>
    <n v="0"/>
    <n v="129"/>
    <n v="0"/>
    <n v="0.19411080976365747"/>
    <n v="0.23529411764705882"/>
    <n v="0"/>
    <n v="2380"/>
    <n v="0"/>
    <n v="2380"/>
    <n v="2380"/>
    <n v="0.92212320805889192"/>
    <n v="7.7876791941108081E-2"/>
    <n v="0"/>
    <n v="0.96945010183299385"/>
    <n v="0"/>
    <n v="0"/>
    <n v="0"/>
    <n v="0"/>
    <n v="0"/>
    <x v="0"/>
    <s v="Yes"/>
    <s v="KMSS-BMO"/>
    <x v="0"/>
    <x v="0"/>
    <x v="1"/>
    <n v="24.056132999999999"/>
    <n v="97.625617000000005"/>
    <s v="MMR001CMP128"/>
    <x v="0"/>
    <m/>
  </r>
  <r>
    <x v="1"/>
    <x v="4"/>
    <x v="4"/>
    <s v="UNICEF,ADRA(CANADA),PLAN(GFFO)"/>
    <x v="0"/>
    <x v="3"/>
    <x v="1"/>
    <x v="45"/>
    <n v="197"/>
    <n v="1050"/>
    <s v="4/1/2019,5/1/2019,5/1/2019"/>
    <s v="7/31/2019,1/31/2020,9/30/2021"/>
    <m/>
    <m/>
    <m/>
    <m/>
    <s v="Yes"/>
    <m/>
    <m/>
    <n v="1"/>
    <m/>
    <m/>
    <n v="4"/>
    <m/>
    <m/>
    <m/>
    <m/>
    <m/>
    <m/>
    <m/>
    <m/>
    <m/>
    <m/>
    <n v="5"/>
    <m/>
    <m/>
    <m/>
    <m/>
    <m/>
    <m/>
    <m/>
    <n v="43"/>
    <m/>
    <m/>
    <m/>
    <m/>
    <n v="41"/>
    <m/>
    <n v="43"/>
    <x v="0"/>
    <x v="0"/>
    <m/>
    <m/>
    <m/>
    <m/>
    <m/>
    <m/>
    <m/>
    <n v="3"/>
    <m/>
    <m/>
    <n v="5"/>
    <m/>
    <m/>
    <m/>
    <m/>
    <m/>
    <m/>
    <s v="no test"/>
    <s v="no test"/>
    <x v="1"/>
    <n v="1"/>
    <n v="4"/>
    <n v="0"/>
    <n v="0"/>
    <n v="0"/>
    <n v="1"/>
    <n v="1"/>
    <n v="1"/>
    <n v="1050"/>
    <n v="0"/>
    <n v="0"/>
    <n v="1"/>
    <n v="1050"/>
    <n v="2.1"/>
    <n v="0"/>
    <n v="0"/>
    <n v="0"/>
    <n v="2"/>
    <n v="43"/>
    <n v="0.81904761904761902"/>
    <n v="860"/>
    <n v="820"/>
    <n v="0"/>
    <n v="53"/>
    <n v="10"/>
    <n v="0.18095238095238098"/>
    <n v="0"/>
    <n v="1050"/>
    <n v="0"/>
    <n v="0"/>
    <n v="0"/>
    <n v="1050"/>
    <n v="1"/>
    <n v="0"/>
    <n v="1"/>
    <n v="0"/>
    <n v="0"/>
    <n v="0"/>
    <n v="0"/>
    <n v="0"/>
    <n v="0"/>
    <x v="0"/>
    <s v="Yes"/>
    <s v="KBC"/>
    <x v="0"/>
    <x v="0"/>
    <x v="0"/>
    <n v="25.403476999999999"/>
    <n v="97.373361000000003"/>
    <s v="MMR001CMP018"/>
    <x v="0"/>
    <m/>
  </r>
  <r>
    <x v="1"/>
    <x v="3"/>
    <x v="3"/>
    <s v="AA"/>
    <x v="0"/>
    <x v="7"/>
    <x v="1"/>
    <x v="40"/>
    <n v="79"/>
    <n v="396"/>
    <d v="2018-10-01T00:00:00"/>
    <d v="2019-12-31T00:00:00"/>
    <m/>
    <m/>
    <m/>
    <m/>
    <m/>
    <m/>
    <m/>
    <m/>
    <m/>
    <m/>
    <m/>
    <n v="1"/>
    <m/>
    <m/>
    <m/>
    <m/>
    <m/>
    <m/>
    <m/>
    <m/>
    <m/>
    <m/>
    <m/>
    <m/>
    <m/>
    <m/>
    <m/>
    <m/>
    <m/>
    <n v="6"/>
    <m/>
    <m/>
    <m/>
    <m/>
    <m/>
    <m/>
    <m/>
    <x v="0"/>
    <x v="3"/>
    <m/>
    <m/>
    <m/>
    <m/>
    <m/>
    <m/>
    <m/>
    <n v="2"/>
    <m/>
    <m/>
    <n v="1"/>
    <m/>
    <m/>
    <m/>
    <m/>
    <m/>
    <m/>
    <s v="no test"/>
    <s v="no test"/>
    <x v="1"/>
    <n v="0"/>
    <n v="1"/>
    <n v="0"/>
    <n v="0"/>
    <n v="0"/>
    <n v="1"/>
    <n v="0.63131313131313127"/>
    <n v="1"/>
    <n v="396"/>
    <n v="0"/>
    <n v="0"/>
    <n v="1"/>
    <n v="396"/>
    <n v="0.79200000000000004"/>
    <n v="0"/>
    <n v="0"/>
    <n v="0.20799999999999996"/>
    <n v="1"/>
    <n v="6"/>
    <n v="0.30303030303030304"/>
    <n v="120"/>
    <n v="0"/>
    <n v="0"/>
    <n v="20"/>
    <n v="14"/>
    <n v="0.69696969696969702"/>
    <n v="0"/>
    <n v="396"/>
    <n v="0"/>
    <n v="0"/>
    <n v="0"/>
    <n v="396"/>
    <n v="1"/>
    <n v="0"/>
    <n v="1"/>
    <n v="0"/>
    <n v="0"/>
    <n v="0"/>
    <n v="0"/>
    <n v="0"/>
    <n v="0"/>
    <x v="0"/>
    <n v="0"/>
    <s v="KMSS-MYT"/>
    <x v="0"/>
    <x v="0"/>
    <x v="0"/>
    <n v="97.013800000000003"/>
    <n v="25.383465999999999"/>
    <s v="MMR001CMP260"/>
    <x v="0"/>
    <m/>
  </r>
  <r>
    <x v="1"/>
    <x v="1"/>
    <x v="1"/>
    <s v="WHH-AA / USAID"/>
    <x v="0"/>
    <x v="1"/>
    <x v="0"/>
    <x v="52"/>
    <n v="19"/>
    <n v="94"/>
    <d v="2019-01-01T00:00:00"/>
    <d v="2019-12-31T00:00:00"/>
    <m/>
    <m/>
    <m/>
    <m/>
    <s v="No"/>
    <m/>
    <m/>
    <m/>
    <m/>
    <m/>
    <m/>
    <n v="1"/>
    <m/>
    <m/>
    <m/>
    <m/>
    <m/>
    <m/>
    <m/>
    <m/>
    <m/>
    <m/>
    <m/>
    <m/>
    <m/>
    <m/>
    <m/>
    <m/>
    <m/>
    <n v="5"/>
    <m/>
    <m/>
    <m/>
    <m/>
    <m/>
    <m/>
    <m/>
    <x v="0"/>
    <x v="0"/>
    <m/>
    <m/>
    <m/>
    <m/>
    <n v="2"/>
    <m/>
    <m/>
    <n v="1"/>
    <m/>
    <m/>
    <m/>
    <n v="19"/>
    <n v="4"/>
    <m/>
    <m/>
    <m/>
    <m/>
    <s v="no test"/>
    <s v="no test"/>
    <x v="1"/>
    <n v="0"/>
    <n v="1"/>
    <n v="0"/>
    <n v="0"/>
    <n v="0"/>
    <n v="1"/>
    <n v="1"/>
    <n v="1"/>
    <n v="94"/>
    <n v="0"/>
    <n v="0"/>
    <n v="1"/>
    <n v="94"/>
    <n v="0.188"/>
    <n v="0"/>
    <n v="0"/>
    <n v="0.81200000000000006"/>
    <n v="1"/>
    <n v="5"/>
    <n v="1"/>
    <n v="94"/>
    <n v="0"/>
    <n v="0"/>
    <n v="5"/>
    <n v="0"/>
    <n v="0"/>
    <n v="0"/>
    <n v="0"/>
    <n v="94"/>
    <n v="20"/>
    <n v="94"/>
    <n v="94"/>
    <n v="1"/>
    <n v="0"/>
    <n v="0"/>
    <n v="1"/>
    <n v="0.21052631578947367"/>
    <n v="2"/>
    <n v="19"/>
    <n v="0"/>
    <n v="94"/>
    <x v="0"/>
    <n v="0"/>
    <n v="0"/>
    <x v="0"/>
    <x v="0"/>
    <x v="0"/>
    <n v="0"/>
    <n v="0"/>
    <n v="0"/>
    <x v="0"/>
    <m/>
  </r>
  <r>
    <x v="1"/>
    <x v="1"/>
    <x v="1"/>
    <s v="WHH-AA / USAID"/>
    <x v="0"/>
    <x v="0"/>
    <x v="1"/>
    <x v="69"/>
    <n v="141"/>
    <n v="800"/>
    <d v="2019-01-01T00:00:00"/>
    <d v="2019-12-31T00:00:00"/>
    <m/>
    <m/>
    <m/>
    <m/>
    <s v="Yes"/>
    <n v="2"/>
    <n v="2"/>
    <n v="1"/>
    <m/>
    <m/>
    <m/>
    <n v="1"/>
    <m/>
    <m/>
    <m/>
    <m/>
    <m/>
    <m/>
    <m/>
    <m/>
    <m/>
    <m/>
    <m/>
    <m/>
    <m/>
    <m/>
    <m/>
    <m/>
    <m/>
    <n v="21"/>
    <m/>
    <m/>
    <n v="2"/>
    <m/>
    <m/>
    <m/>
    <m/>
    <x v="0"/>
    <x v="0"/>
    <m/>
    <m/>
    <m/>
    <m/>
    <n v="9"/>
    <m/>
    <m/>
    <n v="5"/>
    <m/>
    <m/>
    <m/>
    <n v="141"/>
    <n v="16"/>
    <m/>
    <m/>
    <m/>
    <m/>
    <s v="no test"/>
    <s v="no test"/>
    <x v="1"/>
    <n v="1"/>
    <n v="1"/>
    <n v="0"/>
    <n v="0"/>
    <n v="0"/>
    <n v="1"/>
    <n v="0.625"/>
    <n v="1"/>
    <n v="800"/>
    <n v="0"/>
    <n v="0"/>
    <n v="1"/>
    <n v="800"/>
    <n v="1.6"/>
    <n v="0"/>
    <n v="0"/>
    <n v="0.39999999999999991"/>
    <n v="2"/>
    <n v="19"/>
    <n v="0.47499999999999998"/>
    <n v="380"/>
    <n v="0"/>
    <n v="0"/>
    <n v="40"/>
    <n v="19"/>
    <n v="0.52500000000000002"/>
    <n v="9.5238095238095233E-2"/>
    <n v="0"/>
    <n v="800"/>
    <n v="80"/>
    <n v="800"/>
    <n v="800"/>
    <n v="1"/>
    <n v="0"/>
    <n v="0"/>
    <n v="1"/>
    <n v="0.11347517730496454"/>
    <n v="9"/>
    <n v="141"/>
    <n v="0"/>
    <n v="800"/>
    <x v="0"/>
    <s v="Yes"/>
    <s v="Shalom"/>
    <x v="0"/>
    <x v="0"/>
    <x v="0"/>
    <n v="24.263174360000001"/>
    <n v="97.240183459999997"/>
    <s v="MMR001CMP049"/>
    <x v="0"/>
    <m/>
  </r>
  <r>
    <x v="1"/>
    <x v="1"/>
    <x v="1"/>
    <s v="WHH-AA / USAID"/>
    <x v="0"/>
    <x v="1"/>
    <x v="1"/>
    <x v="71"/>
    <n v="242"/>
    <n v="1258"/>
    <d v="2019-01-01T00:00:00"/>
    <d v="2019-12-31T00:00:00"/>
    <m/>
    <m/>
    <m/>
    <m/>
    <s v="No"/>
    <m/>
    <m/>
    <m/>
    <m/>
    <m/>
    <n v="2"/>
    <n v="1"/>
    <m/>
    <m/>
    <m/>
    <m/>
    <m/>
    <m/>
    <m/>
    <m/>
    <m/>
    <m/>
    <m/>
    <m/>
    <m/>
    <m/>
    <m/>
    <m/>
    <m/>
    <n v="40"/>
    <m/>
    <m/>
    <n v="2"/>
    <m/>
    <m/>
    <m/>
    <m/>
    <x v="0"/>
    <x v="0"/>
    <m/>
    <m/>
    <m/>
    <m/>
    <n v="17"/>
    <m/>
    <m/>
    <n v="5"/>
    <m/>
    <m/>
    <m/>
    <n v="242"/>
    <n v="38"/>
    <m/>
    <m/>
    <m/>
    <m/>
    <s v="no test"/>
    <s v="no test"/>
    <x v="1"/>
    <n v="0"/>
    <n v="3"/>
    <n v="0"/>
    <n v="0"/>
    <n v="0"/>
    <n v="1"/>
    <n v="0.59618441971383151"/>
    <n v="1"/>
    <n v="1258"/>
    <n v="0"/>
    <n v="0"/>
    <n v="1"/>
    <n v="1258"/>
    <n v="2.516"/>
    <n v="0"/>
    <n v="0"/>
    <n v="0.48399999999999999"/>
    <n v="3"/>
    <n v="38"/>
    <n v="0.60413354531001595"/>
    <n v="760"/>
    <n v="0"/>
    <n v="0"/>
    <n v="63"/>
    <n v="23"/>
    <n v="0.39586645468998405"/>
    <n v="0.05"/>
    <n v="0"/>
    <n v="1258"/>
    <n v="190"/>
    <n v="1258"/>
    <n v="1258"/>
    <n v="1"/>
    <n v="0"/>
    <n v="0"/>
    <n v="1"/>
    <n v="0.15702479338842976"/>
    <n v="17"/>
    <n v="242"/>
    <n v="0"/>
    <n v="1258"/>
    <x v="0"/>
    <s v="Yes"/>
    <s v="KMSS-BMO"/>
    <x v="0"/>
    <x v="0"/>
    <x v="0"/>
    <n v="24.245100000000001"/>
    <n v="97.325019999999995"/>
    <s v="MMR001CMP062"/>
    <x v="0"/>
    <m/>
  </r>
  <r>
    <x v="1"/>
    <x v="1"/>
    <x v="1"/>
    <s v="UNICEF"/>
    <x v="0"/>
    <x v="9"/>
    <x v="1"/>
    <x v="47"/>
    <n v="128"/>
    <n v="647"/>
    <d v="2019-02-01T00:00:00"/>
    <d v="2020-01-31T00:00:00"/>
    <m/>
    <m/>
    <m/>
    <m/>
    <m/>
    <m/>
    <m/>
    <m/>
    <m/>
    <m/>
    <m/>
    <m/>
    <m/>
    <n v="1"/>
    <m/>
    <m/>
    <m/>
    <m/>
    <m/>
    <m/>
    <m/>
    <m/>
    <m/>
    <m/>
    <m/>
    <m/>
    <m/>
    <m/>
    <m/>
    <n v="8"/>
    <m/>
    <m/>
    <m/>
    <m/>
    <n v="8"/>
    <m/>
    <m/>
    <x v="3"/>
    <x v="2"/>
    <m/>
    <m/>
    <m/>
    <m/>
    <m/>
    <m/>
    <m/>
    <m/>
    <m/>
    <m/>
    <n v="1"/>
    <n v="128"/>
    <n v="128"/>
    <m/>
    <m/>
    <m/>
    <m/>
    <s v="no test"/>
    <s v="no test"/>
    <x v="1"/>
    <n v="0"/>
    <n v="0"/>
    <n v="0"/>
    <n v="0"/>
    <n v="0"/>
    <n v="0"/>
    <n v="0"/>
    <n v="0"/>
    <n v="0"/>
    <n v="0"/>
    <n v="0"/>
    <n v="0"/>
    <n v="0"/>
    <n v="0"/>
    <n v="1"/>
    <n v="647"/>
    <n v="1"/>
    <n v="1"/>
    <n v="8"/>
    <n v="0.2472952086553323"/>
    <n v="160"/>
    <n v="160"/>
    <n v="0"/>
    <n v="32"/>
    <n v="24"/>
    <n v="0.75270479134466772"/>
    <n v="0"/>
    <n v="500"/>
    <n v="647"/>
    <n v="647"/>
    <n v="647"/>
    <n v="647"/>
    <n v="1"/>
    <n v="0"/>
    <n v="0.77279752704791349"/>
    <n v="1"/>
    <n v="1"/>
    <n v="0"/>
    <n v="0"/>
    <n v="0"/>
    <n v="0"/>
    <x v="0"/>
    <s v="Yes"/>
    <s v="KBC"/>
    <x v="0"/>
    <x v="0"/>
    <x v="0"/>
    <n v="23.83013"/>
    <n v="97.589979999999997"/>
    <s v="MMR001CMP133"/>
    <x v="0"/>
    <m/>
  </r>
  <r>
    <x v="1"/>
    <x v="1"/>
    <x v="1"/>
    <s v="UNICEF"/>
    <x v="0"/>
    <x v="9"/>
    <x v="1"/>
    <x v="48"/>
    <n v="119"/>
    <n v="524"/>
    <d v="2019-02-01T00:00:00"/>
    <d v="2020-01-31T00:00:00"/>
    <m/>
    <m/>
    <m/>
    <m/>
    <m/>
    <m/>
    <m/>
    <m/>
    <m/>
    <m/>
    <m/>
    <m/>
    <m/>
    <n v="2"/>
    <m/>
    <m/>
    <m/>
    <m/>
    <m/>
    <m/>
    <m/>
    <m/>
    <m/>
    <m/>
    <m/>
    <m/>
    <m/>
    <m/>
    <m/>
    <n v="12"/>
    <m/>
    <m/>
    <m/>
    <n v="10"/>
    <n v="12"/>
    <m/>
    <m/>
    <x v="3"/>
    <x v="2"/>
    <m/>
    <m/>
    <m/>
    <m/>
    <m/>
    <m/>
    <m/>
    <m/>
    <m/>
    <m/>
    <m/>
    <n v="119"/>
    <n v="119"/>
    <m/>
    <m/>
    <m/>
    <m/>
    <s v="no test"/>
    <s v="no test"/>
    <x v="1"/>
    <n v="0"/>
    <n v="0"/>
    <n v="0"/>
    <n v="0"/>
    <n v="0"/>
    <n v="0"/>
    <n v="0"/>
    <n v="0"/>
    <n v="0"/>
    <n v="0"/>
    <n v="0"/>
    <n v="0"/>
    <n v="0"/>
    <n v="0"/>
    <n v="1"/>
    <n v="524"/>
    <n v="1"/>
    <n v="1"/>
    <n v="12"/>
    <n v="0.4580152671755725"/>
    <n v="240"/>
    <n v="240"/>
    <n v="0"/>
    <n v="26"/>
    <n v="14"/>
    <n v="0.5419847328244275"/>
    <n v="0"/>
    <n v="0"/>
    <n v="524"/>
    <n v="524"/>
    <n v="524"/>
    <n v="524"/>
    <n v="1"/>
    <n v="0"/>
    <n v="0"/>
    <n v="1"/>
    <n v="1"/>
    <n v="0"/>
    <n v="0"/>
    <n v="0"/>
    <n v="0"/>
    <x v="0"/>
    <s v="Yes"/>
    <s v="KBC"/>
    <x v="0"/>
    <x v="0"/>
    <x v="0"/>
    <n v="23.829599000000002"/>
    <n v="97.590767"/>
    <s v="MMR001CMP230"/>
    <x v="0"/>
    <m/>
  </r>
  <r>
    <x v="1"/>
    <x v="1"/>
    <x v="1"/>
    <s v="UNICEF"/>
    <x v="0"/>
    <x v="9"/>
    <x v="1"/>
    <x v="49"/>
    <n v="443"/>
    <n v="2338"/>
    <d v="2019-02-01T00:00:00"/>
    <d v="2020-01-31T00:00:00"/>
    <m/>
    <m/>
    <m/>
    <m/>
    <m/>
    <m/>
    <m/>
    <m/>
    <m/>
    <m/>
    <m/>
    <m/>
    <m/>
    <m/>
    <m/>
    <m/>
    <m/>
    <m/>
    <m/>
    <m/>
    <m/>
    <m/>
    <m/>
    <m/>
    <m/>
    <m/>
    <m/>
    <m/>
    <m/>
    <m/>
    <m/>
    <m/>
    <m/>
    <m/>
    <m/>
    <m/>
    <m/>
    <x v="3"/>
    <x v="2"/>
    <m/>
    <m/>
    <m/>
    <m/>
    <m/>
    <m/>
    <m/>
    <m/>
    <m/>
    <m/>
    <m/>
    <m/>
    <m/>
    <m/>
    <m/>
    <m/>
    <m/>
    <s v="no test"/>
    <s v="no test"/>
    <x v="1"/>
    <n v="0"/>
    <n v="0"/>
    <n v="0"/>
    <n v="0"/>
    <n v="0"/>
    <n v="0"/>
    <n v="0"/>
    <n v="0"/>
    <n v="0"/>
    <n v="0"/>
    <n v="0"/>
    <n v="0"/>
    <n v="0"/>
    <n v="0"/>
    <n v="1"/>
    <n v="2338"/>
    <n v="5"/>
    <n v="5"/>
    <n v="0"/>
    <n v="0"/>
    <n v="0"/>
    <n v="0"/>
    <n v="0"/>
    <n v="117"/>
    <n v="117"/>
    <n v="1"/>
    <n v="0"/>
    <n v="0"/>
    <n v="0"/>
    <n v="0"/>
    <n v="0"/>
    <n v="0"/>
    <n v="0"/>
    <n v="1"/>
    <n v="0"/>
    <n v="0"/>
    <n v="0"/>
    <n v="0"/>
    <n v="0"/>
    <n v="0"/>
    <n v="0"/>
    <x v="0"/>
    <s v="Yes"/>
    <s v="KMSS-BMO"/>
    <x v="0"/>
    <x v="0"/>
    <x v="0"/>
    <n v="23.835319999999999"/>
    <n v="97.578490000000002"/>
    <s v="MMR001CMP132"/>
    <x v="0"/>
    <m/>
  </r>
  <r>
    <x v="1"/>
    <x v="2"/>
    <x v="2"/>
    <m/>
    <x v="0"/>
    <x v="9"/>
    <x v="1"/>
    <x v="53"/>
    <n v="80"/>
    <n v="290"/>
    <m/>
    <m/>
    <m/>
    <m/>
    <m/>
    <m/>
    <m/>
    <m/>
    <m/>
    <m/>
    <m/>
    <m/>
    <m/>
    <m/>
    <m/>
    <m/>
    <m/>
    <m/>
    <m/>
    <m/>
    <m/>
    <m/>
    <m/>
    <m/>
    <m/>
    <m/>
    <m/>
    <m/>
    <m/>
    <m/>
    <m/>
    <m/>
    <m/>
    <m/>
    <m/>
    <m/>
    <m/>
    <m/>
    <m/>
    <x v="1"/>
    <x v="1"/>
    <m/>
    <m/>
    <m/>
    <m/>
    <m/>
    <m/>
    <m/>
    <m/>
    <m/>
    <m/>
    <m/>
    <m/>
    <m/>
    <m/>
    <m/>
    <m/>
    <m/>
    <s v="no test"/>
    <s v="no test"/>
    <x v="1"/>
    <n v="0"/>
    <n v="0"/>
    <n v="0"/>
    <n v="0"/>
    <n v="0"/>
    <n v="0"/>
    <n v="0"/>
    <n v="0"/>
    <n v="0"/>
    <n v="0"/>
    <n v="0"/>
    <n v="0"/>
    <n v="0"/>
    <n v="0"/>
    <n v="1"/>
    <n v="290"/>
    <n v="1"/>
    <n v="1"/>
    <n v="0"/>
    <n v="0"/>
    <n v="0"/>
    <n v="0"/>
    <n v="0"/>
    <n v="15"/>
    <n v="15"/>
    <n v="1"/>
    <n v="0"/>
    <n v="0"/>
    <n v="0"/>
    <n v="0"/>
    <n v="0"/>
    <n v="0"/>
    <n v="0"/>
    <n v="1"/>
    <n v="0"/>
    <n v="0"/>
    <n v="0"/>
    <n v="0"/>
    <n v="0"/>
    <n v="0"/>
    <n v="0"/>
    <x v="0"/>
    <n v="0"/>
    <s v="uncovered"/>
    <x v="0"/>
    <x v="1"/>
    <x v="0"/>
    <n v="24.118618999999999"/>
    <n v="97.298055000000005"/>
    <s v="MMR001CMP196"/>
    <x v="1"/>
    <m/>
  </r>
  <r>
    <x v="1"/>
    <x v="3"/>
    <x v="3"/>
    <s v="AA"/>
    <x v="0"/>
    <x v="6"/>
    <x v="1"/>
    <x v="46"/>
    <n v="48"/>
    <n v="218"/>
    <d v="2018-10-01T00:00:00"/>
    <d v="2019-12-31T00:00:00"/>
    <m/>
    <m/>
    <m/>
    <m/>
    <m/>
    <m/>
    <m/>
    <m/>
    <m/>
    <m/>
    <m/>
    <m/>
    <m/>
    <m/>
    <n v="1"/>
    <m/>
    <m/>
    <m/>
    <m/>
    <m/>
    <m/>
    <m/>
    <m/>
    <m/>
    <m/>
    <m/>
    <m/>
    <m/>
    <m/>
    <n v="8"/>
    <n v="4"/>
    <m/>
    <m/>
    <n v="8"/>
    <m/>
    <m/>
    <m/>
    <x v="2"/>
    <x v="4"/>
    <m/>
    <m/>
    <m/>
    <m/>
    <m/>
    <m/>
    <m/>
    <n v="2"/>
    <m/>
    <m/>
    <n v="1"/>
    <m/>
    <m/>
    <m/>
    <m/>
    <m/>
    <m/>
    <s v="no test"/>
    <s v="no test"/>
    <x v="1"/>
    <n v="0"/>
    <n v="0"/>
    <n v="1"/>
    <n v="0"/>
    <n v="0"/>
    <n v="0.30581039755351686"/>
    <n v="0.30581039755351686"/>
    <n v="0.30581039755351686"/>
    <n v="66.666666666666671"/>
    <n v="0"/>
    <n v="0"/>
    <n v="0.30581039755351686"/>
    <n v="66.666666666666671"/>
    <n v="0.13333333333333333"/>
    <n v="0.69418960244648309"/>
    <n v="151.33333333333331"/>
    <n v="0.8666666666666667"/>
    <n v="1"/>
    <n v="12"/>
    <n v="1"/>
    <n v="218"/>
    <n v="0"/>
    <n v="0"/>
    <n v="11"/>
    <n v="0"/>
    <n v="0"/>
    <n v="0"/>
    <n v="218"/>
    <n v="0"/>
    <n v="0"/>
    <n v="0"/>
    <n v="218"/>
    <n v="1"/>
    <n v="0"/>
    <n v="1"/>
    <n v="0"/>
    <n v="0"/>
    <n v="0"/>
    <n v="0"/>
    <n v="0"/>
    <n v="0"/>
    <x v="0"/>
    <n v="0"/>
    <s v="KMSS-MYT"/>
    <x v="0"/>
    <x v="0"/>
    <x v="0"/>
    <n v="0"/>
    <n v="0"/>
    <s v="MMR001CMP268"/>
    <x v="0"/>
    <m/>
  </r>
  <r>
    <x v="1"/>
    <x v="4"/>
    <x v="4"/>
    <s v="UNICEF,ADRA(CANADA),PLAN(GFFO)"/>
    <x v="0"/>
    <x v="3"/>
    <x v="1"/>
    <x v="55"/>
    <n v="118"/>
    <n v="489"/>
    <s v="4/1/2019,5/1/2019,5/1/2019"/>
    <s v="7/31/2019,1/31/2020,9/30/2021"/>
    <m/>
    <m/>
    <m/>
    <m/>
    <s v="Yes"/>
    <m/>
    <m/>
    <n v="1"/>
    <m/>
    <m/>
    <n v="7"/>
    <m/>
    <n v="4"/>
    <n v="3"/>
    <m/>
    <m/>
    <m/>
    <m/>
    <m/>
    <m/>
    <m/>
    <n v="6"/>
    <m/>
    <m/>
    <m/>
    <m/>
    <m/>
    <m/>
    <m/>
    <n v="16"/>
    <m/>
    <m/>
    <m/>
    <m/>
    <m/>
    <m/>
    <n v="16"/>
    <x v="0"/>
    <x v="0"/>
    <m/>
    <m/>
    <m/>
    <m/>
    <m/>
    <m/>
    <m/>
    <n v="0"/>
    <m/>
    <m/>
    <n v="2"/>
    <m/>
    <m/>
    <m/>
    <m/>
    <m/>
    <m/>
    <s v="no test"/>
    <s v="no test"/>
    <x v="1"/>
    <n v="1"/>
    <n v="3"/>
    <n v="0"/>
    <n v="0"/>
    <n v="0"/>
    <n v="1"/>
    <n v="1"/>
    <n v="1"/>
    <n v="489"/>
    <n v="0"/>
    <n v="0"/>
    <n v="1"/>
    <n v="489"/>
    <n v="0.97799999999999998"/>
    <n v="0"/>
    <n v="0"/>
    <n v="2.200000000000002E-2"/>
    <n v="1"/>
    <n v="16"/>
    <n v="0.65439672801635995"/>
    <n v="320"/>
    <n v="0"/>
    <n v="0"/>
    <n v="24"/>
    <n v="8"/>
    <n v="0.34560327198364005"/>
    <n v="0"/>
    <n v="489"/>
    <n v="0"/>
    <n v="0"/>
    <n v="0"/>
    <n v="489"/>
    <n v="1"/>
    <n v="0"/>
    <n v="1"/>
    <n v="0"/>
    <n v="0"/>
    <n v="0"/>
    <n v="0"/>
    <n v="0"/>
    <n v="0"/>
    <x v="0"/>
    <n v="0"/>
    <s v="KBC"/>
    <x v="0"/>
    <x v="0"/>
    <x v="0"/>
    <n v="0"/>
    <n v="0"/>
    <s v="MMR001CMP265"/>
    <x v="0"/>
    <m/>
  </r>
  <r>
    <x v="1"/>
    <x v="3"/>
    <x v="3"/>
    <s v="HARP"/>
    <x v="0"/>
    <x v="6"/>
    <x v="0"/>
    <x v="54"/>
    <n v="72"/>
    <n v="329"/>
    <d v="2019-03-01T00:00:00"/>
    <s v="31-12-2020"/>
    <m/>
    <m/>
    <m/>
    <m/>
    <s v="Yes"/>
    <m/>
    <m/>
    <n v="2"/>
    <m/>
    <m/>
    <m/>
    <m/>
    <m/>
    <m/>
    <n v="1"/>
    <m/>
    <m/>
    <m/>
    <m/>
    <m/>
    <m/>
    <m/>
    <m/>
    <m/>
    <m/>
    <m/>
    <m/>
    <m/>
    <m/>
    <n v="12"/>
    <m/>
    <m/>
    <m/>
    <m/>
    <m/>
    <m/>
    <m/>
    <x v="0"/>
    <x v="0"/>
    <m/>
    <m/>
    <m/>
    <m/>
    <m/>
    <m/>
    <m/>
    <n v="2"/>
    <m/>
    <n v="1"/>
    <n v="1"/>
    <m/>
    <m/>
    <m/>
    <m/>
    <m/>
    <m/>
    <s v="no test"/>
    <s v="no test"/>
    <x v="1"/>
    <n v="2"/>
    <n v="0"/>
    <n v="1"/>
    <n v="0"/>
    <n v="0"/>
    <n v="1"/>
    <n v="1"/>
    <n v="1"/>
    <n v="329"/>
    <n v="0"/>
    <n v="0"/>
    <n v="1"/>
    <n v="329"/>
    <n v="0.65800000000000003"/>
    <n v="0"/>
    <n v="0"/>
    <n v="0.34199999999999997"/>
    <n v="1"/>
    <n v="12"/>
    <n v="0.72948328267477203"/>
    <n v="240"/>
    <n v="0"/>
    <n v="0"/>
    <n v="16"/>
    <n v="4"/>
    <n v="0.27051671732522797"/>
    <n v="0"/>
    <n v="329"/>
    <n v="0"/>
    <n v="0"/>
    <n v="0"/>
    <n v="329"/>
    <n v="1"/>
    <n v="0"/>
    <n v="1"/>
    <n v="0"/>
    <n v="0"/>
    <n v="0"/>
    <n v="0"/>
    <n v="0"/>
    <n v="0"/>
    <x v="0"/>
    <n v="0"/>
    <n v="0"/>
    <x v="0"/>
    <x v="2"/>
    <x v="0"/>
    <n v="0"/>
    <n v="0"/>
    <n v="0"/>
    <x v="0"/>
    <m/>
  </r>
  <r>
    <x v="1"/>
    <x v="4"/>
    <x v="4"/>
    <s v="UNICEF,ADRA(CANADA),PLAN(GFFO)"/>
    <x v="0"/>
    <x v="3"/>
    <x v="1"/>
    <x v="57"/>
    <n v="43"/>
    <n v="194"/>
    <s v="4/1/2019,5/1/2019,5/1/2019"/>
    <s v="7/31/2019,1/31/2020,9/30/2021"/>
    <m/>
    <m/>
    <m/>
    <m/>
    <s v="Yes"/>
    <m/>
    <m/>
    <n v="0"/>
    <m/>
    <m/>
    <n v="1"/>
    <m/>
    <m/>
    <m/>
    <m/>
    <m/>
    <m/>
    <m/>
    <m/>
    <m/>
    <m/>
    <n v="2"/>
    <m/>
    <m/>
    <m/>
    <m/>
    <m/>
    <m/>
    <m/>
    <n v="4"/>
    <m/>
    <m/>
    <m/>
    <m/>
    <m/>
    <m/>
    <n v="8"/>
    <x v="0"/>
    <x v="0"/>
    <m/>
    <m/>
    <m/>
    <m/>
    <m/>
    <m/>
    <m/>
    <n v="1"/>
    <m/>
    <m/>
    <n v="1"/>
    <m/>
    <m/>
    <m/>
    <m/>
    <m/>
    <m/>
    <s v="no test"/>
    <s v="no test"/>
    <x v="1"/>
    <n v="0"/>
    <n v="1"/>
    <n v="0"/>
    <n v="0"/>
    <n v="0"/>
    <n v="1"/>
    <n v="1"/>
    <n v="1"/>
    <n v="194"/>
    <n v="0"/>
    <n v="0"/>
    <n v="1"/>
    <n v="194"/>
    <n v="0.38800000000000001"/>
    <n v="0"/>
    <n v="0"/>
    <n v="0.61199999999999999"/>
    <n v="1"/>
    <n v="4"/>
    <n v="0.41237113402061853"/>
    <n v="80"/>
    <n v="0"/>
    <n v="0"/>
    <n v="10"/>
    <n v="6"/>
    <n v="0.58762886597938147"/>
    <n v="0"/>
    <n v="194"/>
    <n v="0"/>
    <n v="0"/>
    <n v="0"/>
    <n v="194"/>
    <n v="1"/>
    <n v="0"/>
    <n v="1"/>
    <n v="0"/>
    <n v="0"/>
    <n v="0"/>
    <n v="0"/>
    <n v="0"/>
    <n v="0"/>
    <x v="0"/>
    <s v="Yes"/>
    <s v="KBC"/>
    <x v="0"/>
    <x v="4"/>
    <x v="0"/>
    <n v="25.36600361"/>
    <n v="97.405202779999996"/>
    <s v="MMR001CMP013"/>
    <x v="0"/>
    <m/>
  </r>
  <r>
    <x v="1"/>
    <x v="3"/>
    <x v="3"/>
    <s v="HARP,UNICEF"/>
    <x v="0"/>
    <x v="2"/>
    <x v="1"/>
    <x v="58"/>
    <n v="283"/>
    <n v="1481"/>
    <s v="1-Mar-2019 / 1-Dec-2019"/>
    <s v="31-12-2020 / 30-Nov-2019"/>
    <n v="85"/>
    <m/>
    <m/>
    <m/>
    <s v="Yes"/>
    <m/>
    <m/>
    <n v="10"/>
    <m/>
    <m/>
    <m/>
    <m/>
    <m/>
    <m/>
    <m/>
    <m/>
    <m/>
    <m/>
    <m/>
    <m/>
    <m/>
    <m/>
    <m/>
    <m/>
    <m/>
    <m/>
    <n v="2"/>
    <m/>
    <m/>
    <n v="97"/>
    <m/>
    <m/>
    <m/>
    <m/>
    <m/>
    <m/>
    <m/>
    <x v="0"/>
    <x v="0"/>
    <n v="4"/>
    <m/>
    <m/>
    <m/>
    <m/>
    <m/>
    <m/>
    <n v="6"/>
    <m/>
    <m/>
    <n v="4"/>
    <m/>
    <m/>
    <s v="No"/>
    <m/>
    <m/>
    <m/>
    <s v="no test"/>
    <s v="no test"/>
    <x v="1"/>
    <n v="10"/>
    <n v="0"/>
    <n v="0"/>
    <n v="0"/>
    <n v="0"/>
    <n v="1"/>
    <n v="1"/>
    <n v="1"/>
    <n v="1481"/>
    <n v="0"/>
    <n v="0"/>
    <n v="1"/>
    <n v="1481"/>
    <n v="2.9620000000000002"/>
    <n v="0"/>
    <n v="0"/>
    <n v="3.7999999999999812E-2"/>
    <n v="3"/>
    <n v="97"/>
    <n v="1"/>
    <n v="1481"/>
    <n v="0"/>
    <n v="0"/>
    <n v="74"/>
    <n v="0"/>
    <n v="0"/>
    <n v="0"/>
    <n v="1481"/>
    <n v="0"/>
    <n v="0"/>
    <n v="0"/>
    <n v="1481"/>
    <n v="1"/>
    <n v="0"/>
    <n v="1"/>
    <n v="0"/>
    <n v="0"/>
    <n v="0"/>
    <n v="0"/>
    <n v="0"/>
    <n v="0"/>
    <x v="1"/>
    <s v="Yes"/>
    <s v="KMSS-MYT"/>
    <x v="0"/>
    <x v="0"/>
    <x v="0"/>
    <n v="25.415667500000001"/>
    <n v="97.437782499999997"/>
    <s v="MMR001CMP029"/>
    <x v="0"/>
    <m/>
  </r>
  <r>
    <x v="1"/>
    <x v="3"/>
    <x v="3"/>
    <s v="HARP"/>
    <x v="0"/>
    <x v="9"/>
    <x v="1"/>
    <x v="59"/>
    <n v="154"/>
    <n v="694"/>
    <d v="2019-03-01T00:00:00"/>
    <s v="31-12-2020"/>
    <m/>
    <m/>
    <m/>
    <m/>
    <m/>
    <m/>
    <m/>
    <n v="1"/>
    <m/>
    <m/>
    <n v="3"/>
    <n v="2"/>
    <m/>
    <m/>
    <m/>
    <m/>
    <m/>
    <m/>
    <m/>
    <m/>
    <m/>
    <m/>
    <m/>
    <m/>
    <m/>
    <m/>
    <m/>
    <m/>
    <m/>
    <n v="61"/>
    <m/>
    <m/>
    <m/>
    <m/>
    <m/>
    <m/>
    <m/>
    <x v="0"/>
    <x v="0"/>
    <m/>
    <m/>
    <m/>
    <m/>
    <n v="10"/>
    <m/>
    <m/>
    <n v="7"/>
    <m/>
    <m/>
    <n v="2"/>
    <m/>
    <m/>
    <m/>
    <m/>
    <m/>
    <s v="IDP received hygiene icentive items; body soap 6 pcs, laundry soap 30 pcs and detergant powder 15 pcs from HE Session, its about 3 months covered. "/>
    <s v="no test"/>
    <s v="no test"/>
    <x v="1"/>
    <n v="1"/>
    <n v="5"/>
    <n v="0"/>
    <n v="0"/>
    <n v="0"/>
    <n v="1"/>
    <n v="1"/>
    <n v="1"/>
    <n v="694"/>
    <n v="0"/>
    <n v="0"/>
    <n v="1"/>
    <n v="694"/>
    <n v="1.3879999999999999"/>
    <n v="0"/>
    <n v="0"/>
    <n v="0"/>
    <n v="1"/>
    <n v="61"/>
    <n v="1"/>
    <n v="694"/>
    <n v="0"/>
    <n v="0"/>
    <n v="35"/>
    <n v="0"/>
    <n v="0"/>
    <n v="0"/>
    <n v="694"/>
    <n v="0"/>
    <n v="0"/>
    <n v="0"/>
    <n v="694"/>
    <n v="1"/>
    <n v="0"/>
    <n v="1"/>
    <n v="0"/>
    <n v="0"/>
    <n v="10"/>
    <n v="154"/>
    <n v="0"/>
    <n v="694"/>
    <x v="0"/>
    <s v="Yes"/>
    <s v="KMSS-BMO"/>
    <x v="0"/>
    <x v="0"/>
    <x v="0"/>
    <n v="23.976571"/>
    <n v="97.227057000000002"/>
    <s v="MMR001CMP223"/>
    <x v="0"/>
    <m/>
  </r>
  <r>
    <x v="1"/>
    <x v="4"/>
    <x v="4"/>
    <s v="UNICEF,ADRA(CANADA),PLAN(GFFO)"/>
    <x v="0"/>
    <x v="7"/>
    <x v="1"/>
    <x v="60"/>
    <n v="13"/>
    <n v="66"/>
    <s v="4/1/2019,5/1/2019"/>
    <s v="7/31/2019,31/1/2020"/>
    <m/>
    <m/>
    <m/>
    <m/>
    <s v="Yes"/>
    <m/>
    <m/>
    <n v="0"/>
    <m/>
    <m/>
    <n v="1"/>
    <m/>
    <m/>
    <m/>
    <m/>
    <m/>
    <m/>
    <m/>
    <m/>
    <m/>
    <m/>
    <n v="2"/>
    <m/>
    <m/>
    <m/>
    <m/>
    <m/>
    <m/>
    <m/>
    <n v="6"/>
    <m/>
    <m/>
    <m/>
    <m/>
    <m/>
    <m/>
    <n v="6"/>
    <x v="0"/>
    <x v="3"/>
    <m/>
    <m/>
    <m/>
    <m/>
    <m/>
    <m/>
    <m/>
    <n v="2"/>
    <m/>
    <m/>
    <n v="1"/>
    <m/>
    <m/>
    <m/>
    <m/>
    <m/>
    <m/>
    <s v="no test"/>
    <s v="no test"/>
    <x v="1"/>
    <n v="0"/>
    <n v="1"/>
    <n v="0"/>
    <n v="0"/>
    <n v="0"/>
    <n v="1"/>
    <n v="1"/>
    <n v="1"/>
    <n v="66"/>
    <n v="0"/>
    <n v="0"/>
    <n v="1"/>
    <n v="66"/>
    <n v="0.13200000000000001"/>
    <n v="0"/>
    <n v="0"/>
    <n v="0.86799999999999999"/>
    <n v="1"/>
    <n v="6"/>
    <n v="1"/>
    <n v="66"/>
    <n v="0"/>
    <n v="0"/>
    <n v="3"/>
    <n v="0"/>
    <n v="0"/>
    <n v="0"/>
    <n v="66"/>
    <n v="0"/>
    <n v="0"/>
    <n v="0"/>
    <n v="66"/>
    <n v="1"/>
    <n v="0"/>
    <n v="1"/>
    <n v="0"/>
    <n v="0"/>
    <n v="0"/>
    <n v="0"/>
    <n v="0"/>
    <n v="0"/>
    <x v="0"/>
    <s v="Yes"/>
    <s v="KBC"/>
    <x v="0"/>
    <x v="0"/>
    <x v="0"/>
    <n v="25.305669999999999"/>
    <n v="96.922619999999995"/>
    <s v="MMR001CMP078"/>
    <x v="0"/>
    <m/>
  </r>
  <r>
    <x v="1"/>
    <x v="4"/>
    <x v="4"/>
    <s v="OFDA,MHF-SI"/>
    <x v="0"/>
    <x v="1"/>
    <x v="0"/>
    <x v="61"/>
    <n v="1531"/>
    <n v="8743"/>
    <s v="7/1/2018, 10/11/2018"/>
    <s v="30/06/2019, 7/10/2019"/>
    <n v="1340"/>
    <m/>
    <m/>
    <m/>
    <s v="Yes"/>
    <n v="11"/>
    <n v="12"/>
    <n v="3"/>
    <n v="0"/>
    <n v="0"/>
    <n v="0"/>
    <n v="0"/>
    <n v="0"/>
    <n v="0"/>
    <n v="2"/>
    <n v="0"/>
    <n v="0"/>
    <n v="0"/>
    <n v="0"/>
    <n v="30"/>
    <n v="0"/>
    <n v="0"/>
    <n v="3"/>
    <n v="0"/>
    <n v="81"/>
    <n v="9"/>
    <n v="20"/>
    <n v="13"/>
    <s v="Spring water pipe line destroy due to heavy rain in every year."/>
    <n v="502"/>
    <n v="0"/>
    <m/>
    <n v="16"/>
    <n v="16"/>
    <n v="14"/>
    <n v="177"/>
    <n v="0"/>
    <x v="0"/>
    <x v="2"/>
    <m/>
    <m/>
    <m/>
    <m/>
    <n v="155"/>
    <n v="0"/>
    <n v="54"/>
    <n v="0"/>
    <m/>
    <m/>
    <n v="12"/>
    <n v="1531"/>
    <n v="1406"/>
    <s v="Yes"/>
    <m/>
    <m/>
    <m/>
    <n v="0"/>
    <n v="0.1111111111111111"/>
    <x v="0"/>
    <n v="3"/>
    <n v="0"/>
    <n v="2"/>
    <n v="0"/>
    <n v="30"/>
    <n v="0.15273170917686529"/>
    <n v="0.10126196195051279"/>
    <n v="0.15273170917686529"/>
    <n v="1335.3333333333333"/>
    <n v="0"/>
    <n v="0"/>
    <n v="0.15273170917686529"/>
    <n v="1335.3333333333333"/>
    <n v="2.6706666666666665"/>
    <n v="0.84726829082313471"/>
    <n v="7407.666666666667"/>
    <n v="14.329333333333334"/>
    <n v="17"/>
    <n v="486"/>
    <n v="1"/>
    <n v="8743"/>
    <n v="280"/>
    <n v="0"/>
    <n v="437"/>
    <n v="0"/>
    <n v="0"/>
    <n v="3.1872509960159362E-2"/>
    <n v="6000"/>
    <n v="8743"/>
    <n v="7030"/>
    <n v="8743"/>
    <n v="8743"/>
    <n v="1"/>
    <n v="0"/>
    <n v="0.68626329635136685"/>
    <n v="1"/>
    <n v="0.91835401698236452"/>
    <n v="155"/>
    <n v="1531"/>
    <n v="20"/>
    <n v="8743"/>
    <x v="1"/>
    <n v="0"/>
    <n v="0"/>
    <x v="0"/>
    <x v="5"/>
    <x v="1"/>
    <n v="0"/>
    <n v="0"/>
    <n v="0"/>
    <x v="0"/>
    <m/>
  </r>
  <r>
    <x v="1"/>
    <x v="4"/>
    <x v="4"/>
    <m/>
    <x v="0"/>
    <x v="3"/>
    <x v="0"/>
    <x v="62"/>
    <n v="51"/>
    <n v="252"/>
    <m/>
    <m/>
    <m/>
    <m/>
    <m/>
    <m/>
    <m/>
    <m/>
    <m/>
    <n v="0"/>
    <m/>
    <m/>
    <n v="0"/>
    <m/>
    <m/>
    <m/>
    <m/>
    <m/>
    <m/>
    <m/>
    <m/>
    <m/>
    <m/>
    <n v="0"/>
    <m/>
    <m/>
    <m/>
    <m/>
    <m/>
    <m/>
    <m/>
    <n v="0"/>
    <m/>
    <m/>
    <m/>
    <m/>
    <m/>
    <m/>
    <n v="0"/>
    <x v="2"/>
    <x v="2"/>
    <m/>
    <m/>
    <m/>
    <m/>
    <m/>
    <m/>
    <m/>
    <n v="0"/>
    <m/>
    <m/>
    <m/>
    <m/>
    <m/>
    <m/>
    <m/>
    <m/>
    <m/>
    <s v="no test"/>
    <s v="no test"/>
    <x v="1"/>
    <n v="0"/>
    <n v="0"/>
    <n v="0"/>
    <n v="0"/>
    <n v="0"/>
    <n v="0"/>
    <n v="0"/>
    <n v="0"/>
    <n v="0"/>
    <n v="0"/>
    <n v="0"/>
    <n v="0"/>
    <n v="0"/>
    <n v="0"/>
    <n v="1"/>
    <n v="252"/>
    <n v="1"/>
    <n v="1"/>
    <n v="0"/>
    <n v="0"/>
    <n v="0"/>
    <n v="0"/>
    <n v="0"/>
    <n v="13"/>
    <n v="13"/>
    <n v="1"/>
    <n v="0"/>
    <n v="0"/>
    <n v="0"/>
    <n v="0"/>
    <n v="0"/>
    <n v="0"/>
    <n v="0"/>
    <n v="1"/>
    <n v="0"/>
    <n v="0"/>
    <n v="0"/>
    <n v="0"/>
    <n v="0"/>
    <n v="0"/>
    <n v="0"/>
    <x v="0"/>
    <n v="0"/>
    <n v="0"/>
    <x v="0"/>
    <x v="2"/>
    <x v="1"/>
    <n v="0"/>
    <n v="0"/>
    <n v="0"/>
    <x v="0"/>
    <m/>
  </r>
  <r>
    <x v="1"/>
    <x v="4"/>
    <x v="4"/>
    <s v="UNICEF,ADRA(CANADA),PLAN(GFFO)"/>
    <x v="0"/>
    <x v="3"/>
    <x v="1"/>
    <x v="63"/>
    <n v="99"/>
    <n v="547"/>
    <s v="4/1/2019,5/1/2019,5/1/2019"/>
    <s v="7/31/2019,1/31/2020,9/30/2021"/>
    <m/>
    <m/>
    <m/>
    <m/>
    <s v="Yes"/>
    <m/>
    <m/>
    <n v="1"/>
    <m/>
    <m/>
    <n v="0"/>
    <m/>
    <m/>
    <m/>
    <m/>
    <m/>
    <m/>
    <m/>
    <m/>
    <m/>
    <m/>
    <n v="2"/>
    <m/>
    <m/>
    <m/>
    <m/>
    <m/>
    <m/>
    <m/>
    <n v="8"/>
    <m/>
    <m/>
    <m/>
    <m/>
    <m/>
    <m/>
    <n v="8"/>
    <x v="0"/>
    <x v="3"/>
    <m/>
    <m/>
    <m/>
    <m/>
    <m/>
    <m/>
    <m/>
    <n v="2"/>
    <m/>
    <m/>
    <n v="1"/>
    <m/>
    <m/>
    <m/>
    <m/>
    <m/>
    <m/>
    <s v="no test"/>
    <s v="no test"/>
    <x v="1"/>
    <n v="1"/>
    <n v="0"/>
    <n v="0"/>
    <n v="0"/>
    <n v="0"/>
    <n v="0.73126142595978061"/>
    <n v="0.45703839122486289"/>
    <n v="0.73126142595978061"/>
    <n v="400"/>
    <n v="0"/>
    <n v="0"/>
    <n v="0.73126142595978061"/>
    <n v="400"/>
    <n v="0.8"/>
    <n v="0.26873857404021939"/>
    <n v="147"/>
    <n v="0.19999999999999996"/>
    <n v="1"/>
    <n v="8"/>
    <n v="0.29250457038391225"/>
    <n v="160"/>
    <n v="0"/>
    <n v="0"/>
    <n v="27"/>
    <n v="19"/>
    <n v="0.7074954296160878"/>
    <n v="0"/>
    <n v="500"/>
    <n v="0"/>
    <n v="0"/>
    <n v="0"/>
    <n v="500"/>
    <n v="0.91407678244972579"/>
    <n v="8.5923217550274211E-2"/>
    <n v="0.91407678244972579"/>
    <n v="0"/>
    <n v="0"/>
    <n v="0"/>
    <n v="0"/>
    <n v="0"/>
    <n v="0"/>
    <x v="0"/>
    <s v="Yes"/>
    <s v="KBC-MYT"/>
    <x v="0"/>
    <x v="0"/>
    <x v="0"/>
    <n v="25.362420757575801"/>
    <n v="97.409035000000003"/>
    <s v="MMR001CMP015"/>
    <x v="0"/>
    <m/>
  </r>
  <r>
    <x v="1"/>
    <x v="2"/>
    <x v="2"/>
    <m/>
    <x v="0"/>
    <x v="8"/>
    <x v="1"/>
    <x v="64"/>
    <n v="27"/>
    <n v="121"/>
    <m/>
    <m/>
    <m/>
    <m/>
    <m/>
    <m/>
    <m/>
    <m/>
    <m/>
    <m/>
    <m/>
    <m/>
    <m/>
    <m/>
    <m/>
    <m/>
    <m/>
    <m/>
    <m/>
    <m/>
    <m/>
    <m/>
    <m/>
    <m/>
    <m/>
    <m/>
    <m/>
    <m/>
    <m/>
    <m/>
    <m/>
    <m/>
    <m/>
    <m/>
    <m/>
    <m/>
    <m/>
    <m/>
    <m/>
    <x v="1"/>
    <x v="1"/>
    <m/>
    <m/>
    <m/>
    <m/>
    <m/>
    <m/>
    <m/>
    <m/>
    <m/>
    <m/>
    <m/>
    <m/>
    <m/>
    <m/>
    <m/>
    <m/>
    <m/>
    <s v="no test"/>
    <s v="no test"/>
    <x v="1"/>
    <n v="0"/>
    <n v="0"/>
    <n v="0"/>
    <n v="0"/>
    <n v="0"/>
    <n v="0"/>
    <n v="0"/>
    <n v="0"/>
    <n v="0"/>
    <n v="0"/>
    <n v="0"/>
    <n v="0"/>
    <n v="0"/>
    <n v="0"/>
    <n v="1"/>
    <n v="121"/>
    <n v="1"/>
    <n v="1"/>
    <n v="0"/>
    <n v="0"/>
    <n v="0"/>
    <n v="0"/>
    <n v="0"/>
    <n v="6"/>
    <n v="6"/>
    <n v="1"/>
    <n v="0"/>
    <n v="0"/>
    <n v="0"/>
    <n v="0"/>
    <n v="0"/>
    <n v="0"/>
    <n v="0"/>
    <n v="1"/>
    <n v="0"/>
    <n v="0"/>
    <n v="0"/>
    <n v="0"/>
    <n v="0"/>
    <n v="0"/>
    <n v="0"/>
    <x v="0"/>
    <n v="0"/>
    <s v="uncovered"/>
    <x v="0"/>
    <x v="1"/>
    <x v="0"/>
    <n v="24.996279999999999"/>
    <n v="96.52534"/>
    <s v="MMR001CMP232"/>
    <x v="1"/>
    <m/>
  </r>
  <r>
    <x v="1"/>
    <x v="4"/>
    <x v="4"/>
    <s v="UNICEF,ADRA(CANADA),PLAN(GFFO)"/>
    <x v="0"/>
    <x v="3"/>
    <x v="1"/>
    <x v="65"/>
    <n v="132"/>
    <n v="676"/>
    <s v="4/1/2019,5/1/2019,5/1/2019"/>
    <s v="7/31/2019,1/31/2020,9/30/2021"/>
    <m/>
    <m/>
    <m/>
    <m/>
    <s v="Yes"/>
    <m/>
    <m/>
    <n v="0"/>
    <m/>
    <m/>
    <n v="3"/>
    <m/>
    <m/>
    <m/>
    <m/>
    <m/>
    <m/>
    <m/>
    <m/>
    <m/>
    <m/>
    <n v="2"/>
    <m/>
    <m/>
    <m/>
    <m/>
    <m/>
    <m/>
    <m/>
    <n v="32"/>
    <m/>
    <m/>
    <m/>
    <m/>
    <n v="18"/>
    <m/>
    <n v="32"/>
    <x v="0"/>
    <x v="0"/>
    <m/>
    <m/>
    <m/>
    <m/>
    <m/>
    <m/>
    <m/>
    <n v="2"/>
    <m/>
    <m/>
    <n v="1"/>
    <m/>
    <m/>
    <m/>
    <m/>
    <m/>
    <m/>
    <s v="no test"/>
    <s v="no test"/>
    <x v="1"/>
    <n v="0"/>
    <n v="3"/>
    <n v="0"/>
    <n v="0"/>
    <n v="0"/>
    <n v="1"/>
    <n v="1"/>
    <n v="1"/>
    <n v="676"/>
    <n v="0"/>
    <n v="0"/>
    <n v="1"/>
    <n v="676"/>
    <n v="1.3520000000000001"/>
    <n v="0"/>
    <n v="0"/>
    <n v="0"/>
    <n v="1"/>
    <n v="32"/>
    <n v="0.94674556213017746"/>
    <n v="640"/>
    <n v="360"/>
    <n v="0"/>
    <n v="34"/>
    <n v="2"/>
    <n v="5.3254437869822535E-2"/>
    <n v="0"/>
    <n v="500"/>
    <n v="0"/>
    <n v="0"/>
    <n v="0"/>
    <n v="500"/>
    <n v="0.73964497041420119"/>
    <n v="0.26035502958579881"/>
    <n v="0.73964497041420119"/>
    <n v="0"/>
    <n v="0"/>
    <n v="0"/>
    <n v="0"/>
    <n v="0"/>
    <n v="0"/>
    <x v="0"/>
    <s v="Yes"/>
    <s v="KBC-MYT"/>
    <x v="0"/>
    <x v="0"/>
    <x v="0"/>
    <n v="25.3510167948718"/>
    <n v="97.403402307692303"/>
    <s v="MMR001CMP014"/>
    <x v="0"/>
    <m/>
  </r>
  <r>
    <x v="1"/>
    <x v="2"/>
    <x v="2"/>
    <m/>
    <x v="0"/>
    <x v="8"/>
    <x v="1"/>
    <x v="66"/>
    <n v="14"/>
    <n v="63"/>
    <m/>
    <m/>
    <m/>
    <m/>
    <m/>
    <m/>
    <m/>
    <m/>
    <m/>
    <m/>
    <m/>
    <m/>
    <m/>
    <m/>
    <m/>
    <m/>
    <m/>
    <m/>
    <m/>
    <m/>
    <m/>
    <m/>
    <m/>
    <m/>
    <m/>
    <m/>
    <m/>
    <m/>
    <m/>
    <m/>
    <m/>
    <m/>
    <m/>
    <m/>
    <m/>
    <m/>
    <m/>
    <m/>
    <m/>
    <x v="1"/>
    <x v="1"/>
    <m/>
    <m/>
    <m/>
    <m/>
    <m/>
    <m/>
    <m/>
    <m/>
    <m/>
    <m/>
    <m/>
    <m/>
    <m/>
    <m/>
    <m/>
    <m/>
    <m/>
    <s v="no test"/>
    <s v="no test"/>
    <x v="1"/>
    <n v="0"/>
    <n v="0"/>
    <n v="0"/>
    <n v="0"/>
    <n v="0"/>
    <n v="0"/>
    <n v="0"/>
    <n v="0"/>
    <n v="0"/>
    <n v="0"/>
    <n v="0"/>
    <n v="0"/>
    <n v="0"/>
    <n v="0"/>
    <n v="1"/>
    <n v="63"/>
    <n v="1"/>
    <n v="1"/>
    <n v="0"/>
    <n v="0"/>
    <n v="0"/>
    <n v="0"/>
    <n v="0"/>
    <n v="3"/>
    <n v="3"/>
    <n v="1"/>
    <n v="0"/>
    <n v="0"/>
    <n v="0"/>
    <n v="0"/>
    <n v="0"/>
    <n v="0"/>
    <n v="0"/>
    <n v="1"/>
    <n v="0"/>
    <n v="0"/>
    <n v="0"/>
    <n v="0"/>
    <n v="0"/>
    <n v="0"/>
    <n v="0"/>
    <x v="0"/>
    <n v="0"/>
    <s v="uncovered"/>
    <x v="0"/>
    <x v="1"/>
    <x v="0"/>
    <n v="24.764959999999999"/>
    <n v="96.366919999999993"/>
    <s v="MMR001CMP233"/>
    <x v="1"/>
    <m/>
  </r>
  <r>
    <x v="1"/>
    <x v="4"/>
    <x v="4"/>
    <s v="UNICEF,ADRA(CANADA)"/>
    <x v="0"/>
    <x v="10"/>
    <x v="1"/>
    <x v="67"/>
    <n v="60"/>
    <n v="289"/>
    <s v="4/1/2019,5/1/2019"/>
    <s v="7/31/2019,31/1/2020"/>
    <m/>
    <m/>
    <m/>
    <m/>
    <s v="Yes"/>
    <m/>
    <m/>
    <n v="1"/>
    <m/>
    <m/>
    <n v="1"/>
    <m/>
    <m/>
    <m/>
    <m/>
    <m/>
    <m/>
    <m/>
    <n v="1"/>
    <m/>
    <m/>
    <n v="1"/>
    <m/>
    <m/>
    <m/>
    <m/>
    <m/>
    <m/>
    <m/>
    <n v="12"/>
    <m/>
    <m/>
    <n v="10"/>
    <n v="30"/>
    <m/>
    <m/>
    <n v="12"/>
    <x v="0"/>
    <x v="0"/>
    <m/>
    <m/>
    <m/>
    <m/>
    <m/>
    <m/>
    <m/>
    <n v="2"/>
    <m/>
    <m/>
    <n v="2"/>
    <n v="366"/>
    <n v="122"/>
    <m/>
    <m/>
    <m/>
    <m/>
    <s v="no test"/>
    <s v="no test"/>
    <x v="1"/>
    <n v="1"/>
    <n v="1"/>
    <n v="0"/>
    <n v="0"/>
    <n v="0"/>
    <n v="1"/>
    <n v="1"/>
    <n v="1"/>
    <n v="289"/>
    <n v="0.86505190311418689"/>
    <n v="250"/>
    <n v="1"/>
    <n v="289"/>
    <n v="0.57799999999999996"/>
    <n v="0"/>
    <n v="0"/>
    <n v="0.42200000000000004"/>
    <n v="1"/>
    <n v="2"/>
    <n v="0.13840830449826991"/>
    <n v="40"/>
    <n v="0"/>
    <n v="0"/>
    <n v="14"/>
    <n v="2"/>
    <n v="0.86159169550173009"/>
    <n v="0.83333333333333337"/>
    <n v="289"/>
    <n v="289"/>
    <n v="289"/>
    <n v="289"/>
    <n v="289"/>
    <n v="1"/>
    <n v="0"/>
    <n v="1"/>
    <n v="1"/>
    <n v="1"/>
    <n v="0"/>
    <n v="0"/>
    <n v="0"/>
    <n v="0"/>
    <x v="0"/>
    <s v="Yes"/>
    <s v="KBC-MYT"/>
    <x v="0"/>
    <x v="0"/>
    <x v="0"/>
    <n v="27.337499999999999"/>
    <n v="97.416121000000004"/>
    <s v="MMR001CMP234"/>
    <x v="0"/>
    <m/>
  </r>
  <r>
    <x v="1"/>
    <x v="3"/>
    <x v="3"/>
    <s v="AA"/>
    <x v="0"/>
    <x v="7"/>
    <x v="1"/>
    <x v="68"/>
    <n v="45"/>
    <n v="235"/>
    <d v="2018-10-01T00:00:00"/>
    <d v="2019-12-31T00:00:00"/>
    <m/>
    <m/>
    <m/>
    <m/>
    <m/>
    <m/>
    <m/>
    <m/>
    <m/>
    <m/>
    <m/>
    <n v="2"/>
    <m/>
    <m/>
    <m/>
    <m/>
    <m/>
    <m/>
    <m/>
    <m/>
    <m/>
    <m/>
    <m/>
    <m/>
    <m/>
    <m/>
    <m/>
    <m/>
    <m/>
    <n v="8"/>
    <m/>
    <m/>
    <m/>
    <m/>
    <m/>
    <m/>
    <m/>
    <x v="0"/>
    <x v="3"/>
    <m/>
    <m/>
    <m/>
    <m/>
    <m/>
    <m/>
    <m/>
    <n v="2"/>
    <m/>
    <m/>
    <n v="1"/>
    <m/>
    <m/>
    <m/>
    <m/>
    <m/>
    <m/>
    <s v="no test"/>
    <s v="no test"/>
    <x v="1"/>
    <n v="0"/>
    <n v="2"/>
    <n v="0"/>
    <n v="0"/>
    <n v="0"/>
    <n v="1"/>
    <n v="1"/>
    <n v="1"/>
    <n v="235"/>
    <n v="0"/>
    <n v="0"/>
    <n v="1"/>
    <n v="235"/>
    <n v="0.47"/>
    <n v="0"/>
    <n v="0"/>
    <n v="0.53"/>
    <n v="1"/>
    <n v="8"/>
    <n v="0.68085106382978722"/>
    <n v="160"/>
    <n v="0"/>
    <n v="0"/>
    <n v="12"/>
    <n v="4"/>
    <n v="0.31914893617021278"/>
    <n v="0"/>
    <n v="235"/>
    <n v="0"/>
    <n v="0"/>
    <n v="0"/>
    <n v="235"/>
    <n v="1"/>
    <n v="0"/>
    <n v="1"/>
    <n v="0"/>
    <n v="0"/>
    <n v="0"/>
    <n v="0"/>
    <n v="0"/>
    <n v="0"/>
    <x v="0"/>
    <n v="0"/>
    <s v="KMSS-MYT"/>
    <x v="0"/>
    <x v="0"/>
    <x v="0"/>
    <n v="97.010629910000006"/>
    <n v="25.37033053"/>
    <s v="MMR001CMP259"/>
    <x v="0"/>
    <m/>
  </r>
  <r>
    <x v="1"/>
    <x v="1"/>
    <x v="1"/>
    <s v="UNICEF"/>
    <x v="0"/>
    <x v="9"/>
    <x v="1"/>
    <x v="50"/>
    <n v="119"/>
    <n v="637"/>
    <d v="2019-02-01T00:00:00"/>
    <d v="2020-01-31T00:00:00"/>
    <m/>
    <m/>
    <m/>
    <m/>
    <m/>
    <m/>
    <m/>
    <m/>
    <m/>
    <m/>
    <m/>
    <m/>
    <m/>
    <m/>
    <m/>
    <m/>
    <m/>
    <m/>
    <m/>
    <m/>
    <m/>
    <m/>
    <m/>
    <m/>
    <m/>
    <m/>
    <m/>
    <m/>
    <m/>
    <m/>
    <m/>
    <m/>
    <m/>
    <m/>
    <m/>
    <m/>
    <m/>
    <x v="3"/>
    <x v="2"/>
    <m/>
    <m/>
    <m/>
    <m/>
    <m/>
    <m/>
    <m/>
    <m/>
    <m/>
    <m/>
    <m/>
    <m/>
    <m/>
    <m/>
    <m/>
    <m/>
    <m/>
    <s v="no test"/>
    <s v="no test"/>
    <x v="1"/>
    <n v="0"/>
    <n v="0"/>
    <n v="0"/>
    <n v="0"/>
    <n v="0"/>
    <n v="0"/>
    <n v="0"/>
    <n v="0"/>
    <n v="0"/>
    <n v="0"/>
    <n v="0"/>
    <n v="0"/>
    <n v="0"/>
    <n v="0"/>
    <n v="1"/>
    <n v="637"/>
    <n v="1"/>
    <n v="1"/>
    <n v="0"/>
    <n v="0"/>
    <n v="0"/>
    <n v="0"/>
    <n v="0"/>
    <n v="32"/>
    <n v="32"/>
    <n v="1"/>
    <n v="0"/>
    <n v="0"/>
    <n v="0"/>
    <n v="0"/>
    <n v="0"/>
    <n v="0"/>
    <n v="0"/>
    <n v="1"/>
    <n v="0"/>
    <n v="0"/>
    <n v="0"/>
    <n v="0"/>
    <n v="0"/>
    <n v="0"/>
    <n v="0"/>
    <x v="0"/>
    <s v="Yes"/>
    <s v="KMSS-BMO"/>
    <x v="0"/>
    <x v="0"/>
    <x v="0"/>
    <n v="23.833477999999999"/>
    <n v="97.578367"/>
    <s v="MMR001CMP228"/>
    <x v="0"/>
    <m/>
  </r>
  <r>
    <x v="1"/>
    <x v="3"/>
    <x v="3"/>
    <s v="HARP"/>
    <x v="0"/>
    <x v="3"/>
    <x v="1"/>
    <x v="70"/>
    <n v="63"/>
    <n v="309"/>
    <d v="2019-03-01T00:00:00"/>
    <d v="2020-12-31T00:00:00"/>
    <m/>
    <m/>
    <m/>
    <m/>
    <s v="Yes"/>
    <m/>
    <m/>
    <m/>
    <m/>
    <m/>
    <n v="4"/>
    <m/>
    <m/>
    <m/>
    <m/>
    <m/>
    <m/>
    <m/>
    <m/>
    <m/>
    <m/>
    <m/>
    <m/>
    <m/>
    <m/>
    <m/>
    <m/>
    <m/>
    <m/>
    <n v="20"/>
    <m/>
    <m/>
    <m/>
    <m/>
    <m/>
    <m/>
    <m/>
    <x v="0"/>
    <x v="0"/>
    <m/>
    <m/>
    <m/>
    <m/>
    <m/>
    <m/>
    <m/>
    <n v="2"/>
    <m/>
    <n v="1"/>
    <n v="1"/>
    <m/>
    <m/>
    <m/>
    <m/>
    <m/>
    <m/>
    <s v="no test"/>
    <s v="no test"/>
    <x v="1"/>
    <n v="0"/>
    <n v="4"/>
    <n v="0"/>
    <n v="0"/>
    <n v="0"/>
    <n v="1"/>
    <n v="1"/>
    <n v="1"/>
    <n v="309"/>
    <n v="0"/>
    <n v="0"/>
    <n v="1"/>
    <n v="309"/>
    <n v="0.61799999999999999"/>
    <n v="0"/>
    <n v="0"/>
    <n v="0.38200000000000001"/>
    <n v="1"/>
    <n v="20"/>
    <n v="1"/>
    <n v="309"/>
    <n v="0"/>
    <n v="0"/>
    <n v="15"/>
    <n v="0"/>
    <n v="0"/>
    <n v="0"/>
    <n v="309"/>
    <n v="0"/>
    <n v="0"/>
    <n v="0"/>
    <n v="309"/>
    <n v="1"/>
    <n v="0"/>
    <n v="1"/>
    <n v="0"/>
    <n v="0"/>
    <n v="0"/>
    <n v="0"/>
    <n v="0"/>
    <n v="0"/>
    <x v="0"/>
    <s v="Yes"/>
    <s v="KMSS-MYT"/>
    <x v="0"/>
    <x v="0"/>
    <x v="0"/>
    <n v="25.410569299999999"/>
    <n v="97.359320179999997"/>
    <s v="MMR001CMP024"/>
    <x v="0"/>
    <m/>
  </r>
  <r>
    <x v="1"/>
    <x v="1"/>
    <x v="1"/>
    <m/>
    <x v="0"/>
    <x v="9"/>
    <x v="1"/>
    <x v="51"/>
    <n v="202"/>
    <n v="1108"/>
    <m/>
    <m/>
    <m/>
    <m/>
    <m/>
    <m/>
    <m/>
    <m/>
    <m/>
    <m/>
    <m/>
    <m/>
    <m/>
    <m/>
    <m/>
    <m/>
    <m/>
    <m/>
    <m/>
    <m/>
    <m/>
    <m/>
    <m/>
    <m/>
    <m/>
    <m/>
    <m/>
    <m/>
    <m/>
    <m/>
    <m/>
    <m/>
    <m/>
    <m/>
    <m/>
    <m/>
    <m/>
    <m/>
    <m/>
    <x v="3"/>
    <x v="2"/>
    <m/>
    <m/>
    <m/>
    <m/>
    <m/>
    <m/>
    <m/>
    <m/>
    <m/>
    <m/>
    <m/>
    <m/>
    <m/>
    <m/>
    <m/>
    <m/>
    <m/>
    <s v="no test"/>
    <s v="no test"/>
    <x v="1"/>
    <n v="0"/>
    <n v="0"/>
    <n v="0"/>
    <n v="0"/>
    <n v="0"/>
    <n v="0"/>
    <n v="0"/>
    <n v="0"/>
    <n v="0"/>
    <n v="0"/>
    <n v="0"/>
    <n v="0"/>
    <n v="0"/>
    <n v="0"/>
    <n v="1"/>
    <n v="1108"/>
    <n v="2"/>
    <n v="2"/>
    <n v="0"/>
    <n v="0"/>
    <n v="0"/>
    <n v="0"/>
    <n v="0"/>
    <n v="55"/>
    <n v="55"/>
    <n v="1"/>
    <n v="0"/>
    <n v="0"/>
    <n v="0"/>
    <n v="0"/>
    <n v="0"/>
    <n v="0"/>
    <n v="0"/>
    <n v="1"/>
    <n v="0"/>
    <n v="0"/>
    <n v="0"/>
    <n v="0"/>
    <n v="0"/>
    <n v="0"/>
    <n v="0"/>
    <x v="0"/>
    <n v="0"/>
    <s v="uncovered"/>
    <x v="0"/>
    <x v="1"/>
    <x v="0"/>
    <n v="23.827870999999998"/>
    <n v="97.588291999999996"/>
    <s v="MMR001CMP134"/>
    <x v="0"/>
    <m/>
  </r>
  <r>
    <x v="1"/>
    <x v="0"/>
    <x v="0"/>
    <s v="ECHO, OFDA"/>
    <x v="0"/>
    <x v="1"/>
    <x v="0"/>
    <x v="534"/>
    <n v="24"/>
    <n v="114"/>
    <s v="01/06/2019, 01/07/2019"/>
    <s v="30/11/2019, 30/12/2019"/>
    <m/>
    <m/>
    <m/>
    <m/>
    <m/>
    <m/>
    <m/>
    <m/>
    <m/>
    <m/>
    <m/>
    <m/>
    <m/>
    <m/>
    <m/>
    <m/>
    <m/>
    <m/>
    <m/>
    <m/>
    <m/>
    <m/>
    <m/>
    <m/>
    <m/>
    <m/>
    <m/>
    <m/>
    <m/>
    <m/>
    <m/>
    <m/>
    <m/>
    <m/>
    <m/>
    <m/>
    <m/>
    <x v="3"/>
    <x v="2"/>
    <m/>
    <m/>
    <m/>
    <m/>
    <m/>
    <m/>
    <m/>
    <m/>
    <m/>
    <m/>
    <m/>
    <m/>
    <m/>
    <m/>
    <m/>
    <m/>
    <m/>
    <s v="no test"/>
    <s v="no test"/>
    <x v="1"/>
    <n v="0"/>
    <n v="0"/>
    <n v="0"/>
    <n v="0"/>
    <n v="0"/>
    <n v="0"/>
    <n v="0"/>
    <n v="0"/>
    <n v="0"/>
    <n v="0"/>
    <n v="0"/>
    <n v="0"/>
    <n v="0"/>
    <n v="0"/>
    <n v="1"/>
    <n v="114"/>
    <n v="1"/>
    <n v="1"/>
    <n v="0"/>
    <n v="0"/>
    <n v="0"/>
    <n v="0"/>
    <n v="0"/>
    <n v="6"/>
    <n v="6"/>
    <n v="1"/>
    <n v="0"/>
    <n v="0"/>
    <n v="0"/>
    <n v="0"/>
    <n v="0"/>
    <n v="0"/>
    <n v="0"/>
    <n v="1"/>
    <n v="0"/>
    <n v="0"/>
    <n v="0"/>
    <n v="0"/>
    <n v="0"/>
    <n v="0"/>
    <n v="0"/>
    <x v="0"/>
    <n v="0"/>
    <n v="0"/>
    <x v="0"/>
    <x v="15"/>
    <x v="0"/>
    <n v="0"/>
    <n v="0"/>
    <n v="0"/>
    <x v="0"/>
    <m/>
  </r>
  <r>
    <x v="1"/>
    <x v="0"/>
    <x v="0"/>
    <s v="ECHO, OFDA"/>
    <x v="0"/>
    <x v="1"/>
    <x v="1"/>
    <x v="72"/>
    <n v="70"/>
    <n v="405"/>
    <s v="01/01/2018, 01/07/2018"/>
    <s v="28-02-2019, 30/06/2019"/>
    <m/>
    <m/>
    <m/>
    <n v="0"/>
    <s v="Yes"/>
    <n v="10"/>
    <n v="12"/>
    <n v="0"/>
    <m/>
    <m/>
    <n v="1"/>
    <n v="0"/>
    <m/>
    <n v="1"/>
    <m/>
    <m/>
    <m/>
    <m/>
    <m/>
    <m/>
    <m/>
    <m/>
    <n v="2"/>
    <n v="2"/>
    <n v="8"/>
    <n v="0"/>
    <m/>
    <m/>
    <m/>
    <n v="18"/>
    <m/>
    <m/>
    <m/>
    <m/>
    <n v="4"/>
    <m/>
    <m/>
    <x v="0"/>
    <x v="0"/>
    <n v="0"/>
    <n v="0"/>
    <m/>
    <m/>
    <n v="5"/>
    <m/>
    <m/>
    <n v="3"/>
    <m/>
    <n v="0"/>
    <n v="2"/>
    <n v="15"/>
    <n v="64"/>
    <m/>
    <m/>
    <m/>
    <m/>
    <n v="1"/>
    <n v="0"/>
    <x v="0"/>
    <n v="0"/>
    <n v="1"/>
    <n v="0"/>
    <n v="0"/>
    <n v="0"/>
    <n v="1"/>
    <n v="0.61728395061728392"/>
    <n v="1"/>
    <n v="405"/>
    <n v="0"/>
    <n v="0"/>
    <n v="1"/>
    <n v="405"/>
    <n v="0.81"/>
    <n v="0"/>
    <n v="0"/>
    <n v="0.18999999999999995"/>
    <n v="1"/>
    <n v="18"/>
    <n v="0.88888888888888884"/>
    <n v="360"/>
    <n v="80"/>
    <n v="0"/>
    <n v="20"/>
    <n v="2"/>
    <n v="0.11111111111111116"/>
    <n v="0"/>
    <n v="405"/>
    <n v="75"/>
    <n v="320"/>
    <n v="320"/>
    <n v="405"/>
    <n v="1"/>
    <n v="0"/>
    <n v="1"/>
    <n v="0.21428571428571427"/>
    <n v="0.91428571428571426"/>
    <n v="5"/>
    <n v="70"/>
    <n v="0"/>
    <n v="405"/>
    <x v="0"/>
    <s v="Yes"/>
    <s v="KMSS-BMO"/>
    <x v="0"/>
    <x v="0"/>
    <x v="0"/>
    <n v="24.205417000000001"/>
    <n v="97.724566999999993"/>
    <s v="MMR001CMP069"/>
    <x v="0"/>
    <m/>
  </r>
  <r>
    <x v="1"/>
    <x v="1"/>
    <x v="1"/>
    <s v="WHH-AA / USAID"/>
    <x v="0"/>
    <x v="1"/>
    <x v="1"/>
    <x v="73"/>
    <n v="3"/>
    <n v="13"/>
    <d v="2019-01-01T00:00:00"/>
    <d v="2019-12-31T00:00:00"/>
    <m/>
    <m/>
    <m/>
    <m/>
    <s v="No"/>
    <m/>
    <m/>
    <m/>
    <m/>
    <m/>
    <m/>
    <n v="1"/>
    <m/>
    <m/>
    <m/>
    <m/>
    <m/>
    <m/>
    <m/>
    <m/>
    <m/>
    <m/>
    <m/>
    <m/>
    <m/>
    <m/>
    <m/>
    <m/>
    <m/>
    <n v="1"/>
    <m/>
    <m/>
    <m/>
    <m/>
    <m/>
    <m/>
    <m/>
    <x v="0"/>
    <x v="0"/>
    <m/>
    <m/>
    <m/>
    <m/>
    <n v="0"/>
    <m/>
    <m/>
    <n v="1"/>
    <m/>
    <m/>
    <m/>
    <n v="4"/>
    <m/>
    <m/>
    <m/>
    <m/>
    <m/>
    <s v="no test"/>
    <s v="no test"/>
    <x v="1"/>
    <n v="0"/>
    <n v="1"/>
    <n v="0"/>
    <n v="0"/>
    <n v="0"/>
    <n v="1"/>
    <n v="1"/>
    <n v="1"/>
    <n v="13"/>
    <n v="0"/>
    <n v="0"/>
    <n v="1"/>
    <n v="13"/>
    <n v="2.5999999999999999E-2"/>
    <n v="0"/>
    <n v="0"/>
    <n v="0.97399999999999998"/>
    <n v="1"/>
    <n v="1"/>
    <n v="1"/>
    <n v="13"/>
    <n v="0"/>
    <n v="0"/>
    <n v="1"/>
    <n v="0"/>
    <n v="0"/>
    <n v="0"/>
    <n v="0"/>
    <n v="13"/>
    <n v="0"/>
    <n v="13"/>
    <n v="13"/>
    <n v="1"/>
    <n v="0"/>
    <n v="0"/>
    <n v="1"/>
    <n v="0"/>
    <n v="0"/>
    <n v="0"/>
    <n v="0"/>
    <n v="0"/>
    <x v="0"/>
    <n v="0"/>
    <n v="0"/>
    <x v="0"/>
    <x v="4"/>
    <x v="0"/>
    <n v="24.251860000000001"/>
    <n v="97.346940000000004"/>
    <s v="MMR001CMP058"/>
    <x v="0"/>
    <m/>
  </r>
  <r>
    <x v="1"/>
    <x v="1"/>
    <x v="1"/>
    <s v="WHH-AA / USAID"/>
    <x v="0"/>
    <x v="9"/>
    <x v="1"/>
    <x v="74"/>
    <n v="175"/>
    <n v="807"/>
    <d v="2019-01-01T00:00:00"/>
    <d v="2019-12-31T00:00:00"/>
    <m/>
    <m/>
    <m/>
    <m/>
    <s v="Yes"/>
    <n v="2"/>
    <n v="3"/>
    <n v="2"/>
    <m/>
    <m/>
    <n v="2"/>
    <n v="3"/>
    <m/>
    <m/>
    <m/>
    <m/>
    <m/>
    <m/>
    <m/>
    <m/>
    <m/>
    <m/>
    <m/>
    <m/>
    <m/>
    <m/>
    <m/>
    <m/>
    <m/>
    <n v="40"/>
    <m/>
    <m/>
    <m/>
    <m/>
    <m/>
    <m/>
    <m/>
    <x v="0"/>
    <x v="0"/>
    <m/>
    <n v="1"/>
    <m/>
    <m/>
    <n v="16"/>
    <m/>
    <m/>
    <n v="7"/>
    <m/>
    <m/>
    <m/>
    <n v="175"/>
    <n v="50"/>
    <m/>
    <m/>
    <m/>
    <m/>
    <s v="no test"/>
    <s v="no test"/>
    <x v="1"/>
    <n v="2"/>
    <n v="5"/>
    <n v="0"/>
    <n v="0"/>
    <n v="0"/>
    <n v="1"/>
    <n v="1"/>
    <n v="1"/>
    <n v="807"/>
    <n v="0"/>
    <n v="0"/>
    <n v="1"/>
    <n v="807"/>
    <n v="1.6140000000000001"/>
    <n v="0"/>
    <n v="0"/>
    <n v="0.3859999999999999"/>
    <n v="2"/>
    <n v="40"/>
    <n v="0.99132589838909546"/>
    <n v="800"/>
    <n v="0"/>
    <n v="0"/>
    <n v="40"/>
    <n v="0"/>
    <n v="8.6741016109045388E-3"/>
    <n v="0"/>
    <n v="0"/>
    <n v="807"/>
    <n v="250"/>
    <n v="807"/>
    <n v="807"/>
    <n v="1"/>
    <n v="0"/>
    <n v="0"/>
    <n v="1"/>
    <n v="0.2857142857142857"/>
    <n v="16"/>
    <n v="175"/>
    <n v="0"/>
    <n v="807"/>
    <x v="0"/>
    <s v="Yes"/>
    <s v="KBC"/>
    <x v="0"/>
    <x v="0"/>
    <x v="0"/>
    <n v="24.129059999999999"/>
    <n v="97.291820000000001"/>
    <s v="MMR001CMP066"/>
    <x v="0"/>
    <m/>
  </r>
  <r>
    <x v="1"/>
    <x v="2"/>
    <x v="2"/>
    <m/>
    <x v="0"/>
    <x v="1"/>
    <x v="1"/>
    <x v="75"/>
    <n v="3"/>
    <n v="18"/>
    <m/>
    <m/>
    <m/>
    <m/>
    <m/>
    <m/>
    <m/>
    <m/>
    <m/>
    <m/>
    <m/>
    <m/>
    <m/>
    <m/>
    <m/>
    <m/>
    <m/>
    <m/>
    <m/>
    <m/>
    <m/>
    <m/>
    <m/>
    <m/>
    <m/>
    <m/>
    <m/>
    <m/>
    <m/>
    <m/>
    <m/>
    <m/>
    <m/>
    <m/>
    <m/>
    <m/>
    <m/>
    <m/>
    <m/>
    <x v="1"/>
    <x v="1"/>
    <m/>
    <m/>
    <m/>
    <m/>
    <m/>
    <m/>
    <m/>
    <m/>
    <m/>
    <m/>
    <m/>
    <m/>
    <m/>
    <m/>
    <m/>
    <m/>
    <m/>
    <s v="no test"/>
    <s v="no test"/>
    <x v="1"/>
    <n v="0"/>
    <n v="0"/>
    <n v="0"/>
    <n v="0"/>
    <n v="0"/>
    <n v="0"/>
    <n v="0"/>
    <n v="0"/>
    <n v="0"/>
    <n v="0"/>
    <n v="0"/>
    <n v="0"/>
    <n v="0"/>
    <n v="0"/>
    <n v="1"/>
    <n v="18"/>
    <n v="1"/>
    <n v="1"/>
    <n v="0"/>
    <n v="0"/>
    <n v="0"/>
    <n v="0"/>
    <n v="0"/>
    <n v="1"/>
    <n v="1"/>
    <n v="1"/>
    <n v="0"/>
    <n v="0"/>
    <n v="0"/>
    <n v="0"/>
    <n v="0"/>
    <n v="0"/>
    <n v="0"/>
    <n v="1"/>
    <n v="0"/>
    <n v="0"/>
    <n v="0"/>
    <n v="0"/>
    <n v="0"/>
    <n v="0"/>
    <n v="0"/>
    <x v="0"/>
    <n v="0"/>
    <s v="uncovered"/>
    <x v="0"/>
    <x v="1"/>
    <x v="0"/>
    <n v="24.377054000000001"/>
    <n v="97.343406999999999"/>
    <s v="MMR001CMP200"/>
    <x v="1"/>
    <m/>
  </r>
  <r>
    <x v="1"/>
    <x v="0"/>
    <x v="0"/>
    <s v="ECHO, OFDA"/>
    <x v="0"/>
    <x v="1"/>
    <x v="1"/>
    <x v="76"/>
    <n v="203"/>
    <n v="1138"/>
    <s v="01/01/2018, 01/07/2018"/>
    <s v="28-02-2019, 30/06/2019"/>
    <m/>
    <n v="0"/>
    <n v="0"/>
    <n v="0"/>
    <s v="Yes"/>
    <n v="6"/>
    <n v="9"/>
    <n v="5"/>
    <m/>
    <m/>
    <n v="1"/>
    <n v="0"/>
    <m/>
    <m/>
    <m/>
    <m/>
    <m/>
    <m/>
    <m/>
    <m/>
    <m/>
    <m/>
    <n v="4"/>
    <n v="4"/>
    <n v="22"/>
    <n v="0"/>
    <m/>
    <m/>
    <m/>
    <n v="38"/>
    <n v="0"/>
    <n v="0"/>
    <m/>
    <m/>
    <n v="32"/>
    <m/>
    <m/>
    <x v="0"/>
    <x v="0"/>
    <m/>
    <m/>
    <m/>
    <s v="we put combine data information for all lisu camps."/>
    <n v="12"/>
    <n v="1"/>
    <m/>
    <n v="5"/>
    <m/>
    <m/>
    <n v="4"/>
    <n v="71"/>
    <n v="218"/>
    <m/>
    <m/>
    <m/>
    <s v="we put combine data information for AD 2000 &amp; AD ext"/>
    <n v="1"/>
    <n v="0"/>
    <x v="0"/>
    <n v="5"/>
    <n v="1"/>
    <n v="0"/>
    <n v="0"/>
    <n v="0"/>
    <n v="1"/>
    <n v="1"/>
    <n v="1"/>
    <n v="1138"/>
    <n v="0"/>
    <n v="0"/>
    <n v="1"/>
    <n v="1138"/>
    <n v="2.2759999999999998"/>
    <n v="0"/>
    <n v="0"/>
    <n v="0"/>
    <n v="2"/>
    <n v="38"/>
    <n v="0.66783831282952544"/>
    <n v="760"/>
    <n v="640"/>
    <n v="0"/>
    <n v="57"/>
    <n v="19"/>
    <n v="0.33216168717047456"/>
    <n v="0"/>
    <n v="1138"/>
    <n v="355"/>
    <n v="1090"/>
    <n v="1090"/>
    <n v="1138"/>
    <n v="1"/>
    <n v="0"/>
    <n v="1"/>
    <n v="0.34975369458128081"/>
    <n v="1"/>
    <n v="11"/>
    <n v="203"/>
    <n v="0"/>
    <n v="1100"/>
    <x v="0"/>
    <s v="Yes"/>
    <s v="KBC"/>
    <x v="0"/>
    <x v="0"/>
    <x v="0"/>
    <n v="24.200433"/>
    <n v="97.717133000000004"/>
    <s v="MMR001CMP070"/>
    <x v="0"/>
    <m/>
  </r>
  <r>
    <x v="1"/>
    <x v="0"/>
    <x v="0"/>
    <s v="OFDA"/>
    <x v="0"/>
    <x v="1"/>
    <x v="0"/>
    <x v="77"/>
    <n v="470"/>
    <n v="2350"/>
    <s v="01/06/2019, 01/07/2019"/>
    <s v="30/11/2019, 30/12/2019"/>
    <n v="2350"/>
    <n v="0"/>
    <n v="0"/>
    <n v="0"/>
    <m/>
    <m/>
    <m/>
    <n v="0"/>
    <m/>
    <m/>
    <m/>
    <n v="0"/>
    <m/>
    <m/>
    <m/>
    <m/>
    <m/>
    <m/>
    <m/>
    <m/>
    <m/>
    <m/>
    <m/>
    <m/>
    <m/>
    <m/>
    <m/>
    <n v="1"/>
    <m/>
    <m/>
    <m/>
    <m/>
    <m/>
    <m/>
    <m/>
    <m/>
    <m/>
    <x v="0"/>
    <x v="0"/>
    <n v="0"/>
    <n v="0"/>
    <n v="52"/>
    <m/>
    <m/>
    <m/>
    <m/>
    <n v="0"/>
    <m/>
    <n v="0"/>
    <n v="0"/>
    <m/>
    <m/>
    <s v="Yes"/>
    <m/>
    <n v="0"/>
    <m/>
    <s v="no test"/>
    <s v="no test"/>
    <x v="1"/>
    <n v="0"/>
    <n v="0"/>
    <n v="0"/>
    <n v="0"/>
    <n v="0"/>
    <n v="0"/>
    <n v="0"/>
    <n v="0"/>
    <n v="0"/>
    <n v="0"/>
    <n v="0"/>
    <n v="0"/>
    <n v="0"/>
    <n v="0"/>
    <n v="1"/>
    <n v="2350"/>
    <n v="5"/>
    <n v="5"/>
    <n v="0"/>
    <n v="0"/>
    <n v="0"/>
    <n v="0"/>
    <n v="2350"/>
    <n v="118"/>
    <n v="118"/>
    <n v="1"/>
    <n v="0"/>
    <n v="0"/>
    <n v="0"/>
    <n v="0"/>
    <n v="0"/>
    <n v="0"/>
    <n v="0"/>
    <n v="1"/>
    <n v="0"/>
    <n v="0"/>
    <n v="0"/>
    <n v="0"/>
    <n v="0"/>
    <n v="0"/>
    <n v="0"/>
    <x v="1"/>
    <n v="0"/>
    <n v="0"/>
    <x v="0"/>
    <x v="5"/>
    <x v="0"/>
    <n v="0"/>
    <n v="0"/>
    <n v="0"/>
    <x v="0"/>
    <m/>
  </r>
  <r>
    <x v="1"/>
    <x v="0"/>
    <x v="0"/>
    <s v="ECHO, OFDA"/>
    <x v="0"/>
    <x v="1"/>
    <x v="0"/>
    <x v="78"/>
    <n v="117"/>
    <n v="650"/>
    <s v="01/01/2018, 01/07/2018"/>
    <s v="28-02-2019, 30/06/2019"/>
    <m/>
    <n v="0"/>
    <n v="0"/>
    <n v="0"/>
    <s v="Yes"/>
    <n v="14"/>
    <n v="10"/>
    <n v="1"/>
    <m/>
    <m/>
    <n v="1"/>
    <n v="0"/>
    <m/>
    <m/>
    <m/>
    <m/>
    <m/>
    <m/>
    <m/>
    <m/>
    <m/>
    <m/>
    <n v="1"/>
    <n v="1"/>
    <n v="8"/>
    <n v="0"/>
    <m/>
    <m/>
    <m/>
    <n v="28"/>
    <m/>
    <m/>
    <m/>
    <m/>
    <n v="31"/>
    <m/>
    <m/>
    <x v="0"/>
    <x v="0"/>
    <n v="0"/>
    <n v="0"/>
    <m/>
    <m/>
    <n v="9"/>
    <m/>
    <m/>
    <n v="4"/>
    <m/>
    <n v="0"/>
    <n v="2"/>
    <n v="45"/>
    <n v="135"/>
    <m/>
    <m/>
    <m/>
    <m/>
    <n v="1"/>
    <n v="0"/>
    <x v="0"/>
    <n v="1"/>
    <n v="1"/>
    <n v="0"/>
    <n v="0"/>
    <n v="0"/>
    <n v="1"/>
    <n v="0.76923076923076927"/>
    <n v="1"/>
    <n v="650"/>
    <n v="0"/>
    <n v="0"/>
    <n v="1"/>
    <n v="650"/>
    <n v="1.3"/>
    <n v="0"/>
    <n v="0"/>
    <n v="0"/>
    <n v="1"/>
    <n v="28"/>
    <n v="0.86153846153846159"/>
    <n v="560"/>
    <n v="620"/>
    <n v="0"/>
    <n v="33"/>
    <n v="5"/>
    <n v="0.13846153846153841"/>
    <n v="0"/>
    <n v="650"/>
    <n v="225"/>
    <n v="650"/>
    <n v="650"/>
    <n v="650"/>
    <n v="1"/>
    <n v="0"/>
    <n v="1"/>
    <n v="0.38461538461538464"/>
    <n v="1"/>
    <n v="9"/>
    <n v="117"/>
    <n v="0"/>
    <n v="650"/>
    <x v="0"/>
    <n v="0"/>
    <n v="0"/>
    <x v="0"/>
    <x v="0"/>
    <x v="0"/>
    <n v="0"/>
    <n v="0"/>
    <n v="0"/>
    <x v="0"/>
    <m/>
  </r>
  <r>
    <x v="1"/>
    <x v="0"/>
    <x v="0"/>
    <s v="ECHO, OFDA"/>
    <x v="0"/>
    <x v="1"/>
    <x v="1"/>
    <x v="79"/>
    <n v="49"/>
    <n v="300"/>
    <s v="01/01/2018, 01/07/2018"/>
    <s v="28-02-2019, 30/06/2019"/>
    <m/>
    <n v="0"/>
    <n v="0"/>
    <n v="0"/>
    <s v="Yes"/>
    <n v="4"/>
    <n v="7"/>
    <n v="3"/>
    <m/>
    <m/>
    <n v="0"/>
    <n v="0"/>
    <m/>
    <m/>
    <m/>
    <m/>
    <m/>
    <m/>
    <m/>
    <m/>
    <m/>
    <m/>
    <n v="1"/>
    <n v="1"/>
    <n v="8"/>
    <n v="0"/>
    <m/>
    <m/>
    <m/>
    <n v="18"/>
    <m/>
    <m/>
    <m/>
    <m/>
    <n v="16"/>
    <m/>
    <m/>
    <x v="0"/>
    <x v="0"/>
    <n v="0"/>
    <n v="0"/>
    <m/>
    <m/>
    <n v="5"/>
    <n v="1"/>
    <m/>
    <n v="3"/>
    <m/>
    <n v="0"/>
    <n v="1"/>
    <n v="14"/>
    <n v="41"/>
    <m/>
    <m/>
    <m/>
    <m/>
    <n v="1"/>
    <n v="0"/>
    <x v="0"/>
    <n v="3"/>
    <n v="0"/>
    <n v="0"/>
    <n v="0"/>
    <n v="0"/>
    <n v="1"/>
    <n v="1"/>
    <n v="1"/>
    <n v="300"/>
    <n v="0"/>
    <n v="0"/>
    <n v="1"/>
    <n v="300"/>
    <n v="0.6"/>
    <n v="0"/>
    <n v="0"/>
    <n v="0.4"/>
    <n v="1"/>
    <n v="18"/>
    <n v="1"/>
    <n v="300"/>
    <n v="300"/>
    <n v="0"/>
    <n v="15"/>
    <n v="0"/>
    <n v="0"/>
    <n v="0"/>
    <n v="300"/>
    <n v="70"/>
    <n v="205"/>
    <n v="205"/>
    <n v="300"/>
    <n v="1"/>
    <n v="0"/>
    <n v="1"/>
    <n v="0.2857142857142857"/>
    <n v="0.83673469387755106"/>
    <n v="4"/>
    <n v="49"/>
    <n v="0"/>
    <n v="300"/>
    <x v="0"/>
    <s v="Yes"/>
    <s v="KBC"/>
    <x v="0"/>
    <x v="0"/>
    <x v="0"/>
    <n v="24.205417000000001"/>
    <n v="97.724483000000006"/>
    <s v="MMR001CMP072"/>
    <x v="0"/>
    <m/>
  </r>
  <r>
    <x v="1"/>
    <x v="0"/>
    <x v="0"/>
    <s v="ECHO, OFDA"/>
    <x v="0"/>
    <x v="0"/>
    <x v="1"/>
    <x v="80"/>
    <n v="148"/>
    <n v="778"/>
    <s v="01/06/2019, 01/07/2019"/>
    <s v="30/11/2019, 30/12/2019"/>
    <m/>
    <n v="0"/>
    <n v="0"/>
    <n v="0"/>
    <s v="Yes"/>
    <n v="7"/>
    <n v="14"/>
    <n v="1"/>
    <m/>
    <m/>
    <n v="3"/>
    <n v="0"/>
    <m/>
    <m/>
    <m/>
    <m/>
    <m/>
    <m/>
    <m/>
    <m/>
    <m/>
    <m/>
    <n v="3"/>
    <n v="3"/>
    <n v="10"/>
    <n v="0"/>
    <m/>
    <m/>
    <m/>
    <n v="48"/>
    <m/>
    <m/>
    <m/>
    <m/>
    <n v="34"/>
    <m/>
    <m/>
    <x v="0"/>
    <x v="0"/>
    <n v="0"/>
    <n v="0"/>
    <m/>
    <m/>
    <n v="18"/>
    <n v="5"/>
    <m/>
    <n v="10"/>
    <m/>
    <n v="0"/>
    <n v="3"/>
    <n v="63"/>
    <n v="200"/>
    <m/>
    <m/>
    <m/>
    <m/>
    <n v="1"/>
    <n v="0"/>
    <x v="0"/>
    <n v="1"/>
    <n v="3"/>
    <n v="0"/>
    <n v="0"/>
    <n v="0"/>
    <n v="1"/>
    <n v="1"/>
    <n v="1"/>
    <n v="778"/>
    <n v="0"/>
    <n v="0"/>
    <n v="1"/>
    <n v="778"/>
    <n v="1.556"/>
    <n v="0"/>
    <n v="0"/>
    <n v="0.44399999999999995"/>
    <n v="2"/>
    <n v="48"/>
    <n v="1"/>
    <n v="778"/>
    <n v="680"/>
    <n v="0"/>
    <n v="39"/>
    <n v="0"/>
    <n v="0"/>
    <n v="0"/>
    <n v="778"/>
    <n v="315"/>
    <n v="778"/>
    <n v="778"/>
    <n v="778"/>
    <n v="1"/>
    <n v="0"/>
    <n v="1"/>
    <n v="0.42567567567567566"/>
    <n v="1"/>
    <n v="13"/>
    <n v="148"/>
    <n v="0"/>
    <n v="778"/>
    <x v="0"/>
    <s v="Yes"/>
    <s v="KBC"/>
    <x v="0"/>
    <x v="0"/>
    <x v="0"/>
    <n v="24.222349999999999"/>
    <n v="97.252650000000003"/>
    <s v="MMR001CMP193"/>
    <x v="0"/>
    <m/>
  </r>
  <r>
    <x v="1"/>
    <x v="1"/>
    <x v="1"/>
    <s v="WHH-AA / USAID"/>
    <x v="0"/>
    <x v="1"/>
    <x v="1"/>
    <x v="81"/>
    <n v="109"/>
    <n v="453"/>
    <d v="2019-01-01T00:00:00"/>
    <d v="2019-12-31T00:00:00"/>
    <m/>
    <m/>
    <m/>
    <m/>
    <s v="Yes"/>
    <n v="1"/>
    <n v="1"/>
    <n v="2"/>
    <m/>
    <m/>
    <n v="1"/>
    <n v="1"/>
    <m/>
    <m/>
    <m/>
    <m/>
    <m/>
    <m/>
    <m/>
    <m/>
    <m/>
    <m/>
    <m/>
    <m/>
    <m/>
    <m/>
    <m/>
    <m/>
    <m/>
    <n v="14"/>
    <m/>
    <m/>
    <n v="6"/>
    <m/>
    <m/>
    <m/>
    <m/>
    <x v="0"/>
    <x v="0"/>
    <m/>
    <m/>
    <m/>
    <m/>
    <n v="6"/>
    <m/>
    <m/>
    <n v="4"/>
    <m/>
    <m/>
    <m/>
    <n v="94"/>
    <n v="17"/>
    <m/>
    <m/>
    <m/>
    <m/>
    <s v="no test"/>
    <s v="no test"/>
    <x v="1"/>
    <n v="2"/>
    <n v="2"/>
    <n v="0"/>
    <n v="0"/>
    <n v="0"/>
    <n v="1"/>
    <n v="1"/>
    <n v="1"/>
    <n v="453"/>
    <n v="0"/>
    <n v="0"/>
    <n v="1"/>
    <n v="453"/>
    <n v="0.90600000000000003"/>
    <n v="0"/>
    <n v="0"/>
    <n v="9.3999999999999972E-2"/>
    <n v="1"/>
    <n v="8"/>
    <n v="0.35320088300220753"/>
    <n v="160"/>
    <n v="0"/>
    <n v="0"/>
    <n v="23"/>
    <n v="9"/>
    <n v="0.64679911699779247"/>
    <n v="0.42857142857142855"/>
    <n v="0"/>
    <n v="453"/>
    <n v="85"/>
    <n v="453"/>
    <n v="453"/>
    <n v="1"/>
    <n v="0"/>
    <n v="0"/>
    <n v="0.86238532110091748"/>
    <n v="0.15596330275229359"/>
    <n v="6"/>
    <n v="109"/>
    <n v="0"/>
    <n v="453"/>
    <x v="0"/>
    <s v="Yes"/>
    <s v="KBC"/>
    <x v="0"/>
    <x v="0"/>
    <x v="0"/>
    <n v="24.250689999999999"/>
    <n v="97.344359999999995"/>
    <s v="MMR001CMP056"/>
    <x v="0"/>
    <m/>
  </r>
  <r>
    <x v="1"/>
    <x v="0"/>
    <x v="0"/>
    <s v="ECHO, OFDA"/>
    <x v="0"/>
    <x v="0"/>
    <x v="1"/>
    <x v="82"/>
    <n v="638"/>
    <n v="4010"/>
    <s v="01/06/2019, 01/07/2019"/>
    <s v="30/11/2019, 30/12/2019"/>
    <m/>
    <n v="0"/>
    <n v="0"/>
    <n v="0"/>
    <s v="Yes"/>
    <n v="20"/>
    <n v="15"/>
    <n v="2"/>
    <m/>
    <m/>
    <n v="20"/>
    <n v="0"/>
    <m/>
    <m/>
    <m/>
    <m/>
    <m/>
    <m/>
    <m/>
    <m/>
    <m/>
    <m/>
    <n v="13"/>
    <n v="13"/>
    <n v="14"/>
    <n v="1"/>
    <m/>
    <m/>
    <m/>
    <n v="150"/>
    <m/>
    <m/>
    <m/>
    <m/>
    <n v="110"/>
    <m/>
    <m/>
    <x v="0"/>
    <x v="0"/>
    <n v="0"/>
    <n v="0"/>
    <m/>
    <m/>
    <n v="20"/>
    <n v="10"/>
    <m/>
    <n v="13"/>
    <m/>
    <n v="0"/>
    <n v="5"/>
    <n v="226"/>
    <n v="695"/>
    <m/>
    <m/>
    <m/>
    <m/>
    <n v="1"/>
    <n v="7.1428571428571425E-2"/>
    <x v="0"/>
    <n v="2"/>
    <n v="20"/>
    <n v="0"/>
    <n v="0"/>
    <n v="0"/>
    <n v="1"/>
    <n v="1"/>
    <n v="1"/>
    <n v="4010"/>
    <n v="0"/>
    <n v="0"/>
    <n v="1"/>
    <n v="4010"/>
    <n v="8.02"/>
    <n v="0"/>
    <n v="0"/>
    <n v="0"/>
    <n v="8"/>
    <n v="150"/>
    <n v="0.74812967581047385"/>
    <n v="3000"/>
    <n v="2200"/>
    <n v="0"/>
    <n v="201"/>
    <n v="51"/>
    <n v="0.25187032418952615"/>
    <n v="0"/>
    <n v="2500"/>
    <n v="1130"/>
    <n v="3475"/>
    <n v="3475"/>
    <n v="3475"/>
    <n v="0.86658354114713221"/>
    <n v="0.13341645885286779"/>
    <n v="0.62344139650872821"/>
    <n v="0.35423197492163011"/>
    <n v="1"/>
    <n v="10"/>
    <n v="200"/>
    <n v="0"/>
    <n v="1000"/>
    <x v="0"/>
    <s v="Yes"/>
    <s v="KBC"/>
    <x v="0"/>
    <x v="0"/>
    <x v="0"/>
    <n v="24.26829283"/>
    <n v="97.229116809999994"/>
    <s v="MMR001CMP047"/>
    <x v="0"/>
    <m/>
  </r>
  <r>
    <x v="1"/>
    <x v="1"/>
    <x v="1"/>
    <s v="WHH-AA / USAID"/>
    <x v="0"/>
    <x v="0"/>
    <x v="1"/>
    <x v="83"/>
    <n v="11"/>
    <n v="49"/>
    <d v="2019-01-01T00:00:00"/>
    <d v="2019-12-31T00:00:00"/>
    <m/>
    <m/>
    <m/>
    <m/>
    <s v="No"/>
    <m/>
    <m/>
    <m/>
    <m/>
    <m/>
    <n v="1"/>
    <n v="1"/>
    <m/>
    <m/>
    <m/>
    <m/>
    <m/>
    <m/>
    <m/>
    <m/>
    <m/>
    <m/>
    <m/>
    <m/>
    <m/>
    <m/>
    <m/>
    <m/>
    <m/>
    <n v="4"/>
    <m/>
    <m/>
    <n v="2"/>
    <m/>
    <m/>
    <m/>
    <m/>
    <x v="0"/>
    <x v="0"/>
    <m/>
    <m/>
    <m/>
    <m/>
    <n v="2"/>
    <m/>
    <m/>
    <n v="2"/>
    <m/>
    <m/>
    <m/>
    <n v="11"/>
    <n v="2"/>
    <m/>
    <m/>
    <m/>
    <m/>
    <s v="no test"/>
    <s v="no test"/>
    <x v="1"/>
    <n v="0"/>
    <n v="2"/>
    <n v="0"/>
    <n v="0"/>
    <n v="0"/>
    <n v="1"/>
    <n v="1"/>
    <n v="1"/>
    <n v="49"/>
    <n v="0"/>
    <n v="0"/>
    <n v="1"/>
    <n v="49"/>
    <n v="9.8000000000000004E-2"/>
    <n v="0"/>
    <n v="0"/>
    <n v="0.90200000000000002"/>
    <n v="1"/>
    <n v="2"/>
    <n v="0.81632653061224492"/>
    <n v="40"/>
    <n v="0"/>
    <n v="0"/>
    <n v="2"/>
    <n v="0"/>
    <n v="0.18367346938775508"/>
    <n v="0.5"/>
    <n v="0"/>
    <n v="49"/>
    <n v="10"/>
    <n v="49"/>
    <n v="49"/>
    <n v="1"/>
    <n v="0"/>
    <n v="0"/>
    <n v="1"/>
    <n v="0.18181818181818182"/>
    <n v="2"/>
    <n v="11"/>
    <n v="0"/>
    <n v="49"/>
    <x v="0"/>
    <s v="Yes"/>
    <s v="Shalom"/>
    <x v="0"/>
    <x v="0"/>
    <x v="0"/>
    <n v="24.253067000000001"/>
    <n v="97.234200000000001"/>
    <s v="MMR001CMP051"/>
    <x v="0"/>
    <m/>
  </r>
  <r>
    <x v="1"/>
    <x v="1"/>
    <x v="1"/>
    <s v="WHH-AA / USAID"/>
    <x v="0"/>
    <x v="0"/>
    <x v="1"/>
    <x v="84"/>
    <n v="17"/>
    <n v="76"/>
    <d v="2019-01-01T00:00:00"/>
    <d v="2019-12-31T00:00:00"/>
    <m/>
    <m/>
    <m/>
    <m/>
    <s v="No"/>
    <m/>
    <m/>
    <m/>
    <m/>
    <m/>
    <m/>
    <n v="1"/>
    <m/>
    <m/>
    <m/>
    <m/>
    <m/>
    <m/>
    <m/>
    <m/>
    <m/>
    <m/>
    <m/>
    <m/>
    <m/>
    <m/>
    <m/>
    <m/>
    <m/>
    <n v="4"/>
    <m/>
    <m/>
    <m/>
    <m/>
    <m/>
    <m/>
    <m/>
    <x v="0"/>
    <x v="0"/>
    <m/>
    <m/>
    <m/>
    <m/>
    <n v="2"/>
    <m/>
    <m/>
    <n v="2"/>
    <m/>
    <m/>
    <m/>
    <n v="17"/>
    <n v="2"/>
    <m/>
    <m/>
    <m/>
    <m/>
    <s v="no test"/>
    <s v="no test"/>
    <x v="1"/>
    <n v="0"/>
    <n v="1"/>
    <n v="0"/>
    <n v="0"/>
    <n v="0"/>
    <n v="1"/>
    <n v="1"/>
    <n v="1"/>
    <n v="76"/>
    <n v="0"/>
    <n v="0"/>
    <n v="1"/>
    <n v="76"/>
    <n v="0.152"/>
    <n v="0"/>
    <n v="0"/>
    <n v="0.84799999999999998"/>
    <n v="1"/>
    <n v="4"/>
    <n v="1"/>
    <n v="76"/>
    <n v="0"/>
    <n v="0"/>
    <n v="4"/>
    <n v="0"/>
    <n v="0"/>
    <n v="0"/>
    <n v="0"/>
    <n v="76"/>
    <n v="10"/>
    <n v="76"/>
    <n v="76"/>
    <n v="1"/>
    <n v="0"/>
    <n v="0"/>
    <n v="1"/>
    <n v="0.11764705882352941"/>
    <n v="2"/>
    <n v="17"/>
    <n v="0"/>
    <n v="76"/>
    <x v="0"/>
    <s v="Yes"/>
    <s v="KMSS-BMO"/>
    <x v="0"/>
    <x v="4"/>
    <x v="0"/>
    <n v="24.32638"/>
    <n v="97.315860000000001"/>
    <s v="MMR001CMP054"/>
    <x v="0"/>
    <m/>
  </r>
  <r>
    <x v="1"/>
    <x v="2"/>
    <x v="2"/>
    <m/>
    <x v="0"/>
    <x v="1"/>
    <x v="1"/>
    <x v="85"/>
    <n v="223"/>
    <n v="1067"/>
    <m/>
    <m/>
    <m/>
    <m/>
    <m/>
    <m/>
    <m/>
    <m/>
    <m/>
    <m/>
    <m/>
    <m/>
    <m/>
    <m/>
    <m/>
    <m/>
    <m/>
    <m/>
    <m/>
    <m/>
    <m/>
    <m/>
    <m/>
    <m/>
    <m/>
    <m/>
    <m/>
    <m/>
    <m/>
    <m/>
    <m/>
    <m/>
    <m/>
    <m/>
    <m/>
    <m/>
    <m/>
    <m/>
    <m/>
    <x v="1"/>
    <x v="1"/>
    <m/>
    <m/>
    <m/>
    <m/>
    <m/>
    <m/>
    <m/>
    <m/>
    <m/>
    <m/>
    <m/>
    <m/>
    <m/>
    <m/>
    <m/>
    <m/>
    <m/>
    <s v="no test"/>
    <s v="no test"/>
    <x v="1"/>
    <n v="0"/>
    <n v="0"/>
    <n v="0"/>
    <n v="0"/>
    <n v="0"/>
    <n v="0"/>
    <n v="0"/>
    <n v="0"/>
    <n v="0"/>
    <n v="0"/>
    <n v="0"/>
    <n v="0"/>
    <n v="0"/>
    <n v="0"/>
    <n v="1"/>
    <n v="1067"/>
    <n v="2"/>
    <n v="2"/>
    <n v="0"/>
    <n v="0"/>
    <n v="0"/>
    <n v="0"/>
    <n v="0"/>
    <n v="53"/>
    <n v="53"/>
    <n v="1"/>
    <n v="0"/>
    <n v="0"/>
    <n v="0"/>
    <n v="0"/>
    <n v="0"/>
    <n v="0"/>
    <n v="0"/>
    <n v="1"/>
    <n v="0"/>
    <n v="0"/>
    <n v="0"/>
    <n v="0"/>
    <n v="0"/>
    <n v="0"/>
    <n v="0"/>
    <x v="0"/>
    <n v="0"/>
    <s v="uncovered"/>
    <x v="0"/>
    <x v="1"/>
    <x v="0"/>
    <n v="24.251232000000002"/>
    <n v="97.348405"/>
    <s v="MMR001CMP197"/>
    <x v="1"/>
    <m/>
  </r>
  <r>
    <x v="1"/>
    <x v="2"/>
    <x v="2"/>
    <m/>
    <x v="0"/>
    <x v="1"/>
    <x v="1"/>
    <x v="86"/>
    <n v="47"/>
    <n v="153"/>
    <m/>
    <m/>
    <m/>
    <m/>
    <m/>
    <m/>
    <m/>
    <m/>
    <m/>
    <m/>
    <m/>
    <m/>
    <m/>
    <m/>
    <m/>
    <m/>
    <m/>
    <m/>
    <m/>
    <m/>
    <m/>
    <m/>
    <m/>
    <m/>
    <m/>
    <m/>
    <m/>
    <m/>
    <m/>
    <m/>
    <m/>
    <m/>
    <m/>
    <m/>
    <m/>
    <m/>
    <m/>
    <m/>
    <m/>
    <x v="1"/>
    <x v="1"/>
    <m/>
    <m/>
    <m/>
    <m/>
    <m/>
    <m/>
    <m/>
    <m/>
    <m/>
    <m/>
    <m/>
    <m/>
    <m/>
    <m/>
    <m/>
    <m/>
    <m/>
    <s v="no test"/>
    <s v="no test"/>
    <x v="1"/>
    <n v="0"/>
    <n v="0"/>
    <n v="0"/>
    <n v="0"/>
    <n v="0"/>
    <n v="0"/>
    <n v="0"/>
    <n v="0"/>
    <n v="0"/>
    <n v="0"/>
    <n v="0"/>
    <n v="0"/>
    <n v="0"/>
    <n v="0"/>
    <n v="1"/>
    <n v="153"/>
    <n v="1"/>
    <n v="1"/>
    <n v="0"/>
    <n v="0"/>
    <n v="0"/>
    <n v="0"/>
    <n v="0"/>
    <n v="8"/>
    <n v="8"/>
    <n v="1"/>
    <n v="0"/>
    <n v="0"/>
    <n v="0"/>
    <n v="0"/>
    <n v="0"/>
    <n v="0"/>
    <n v="0"/>
    <n v="1"/>
    <n v="0"/>
    <n v="0"/>
    <n v="0"/>
    <n v="0"/>
    <n v="0"/>
    <n v="0"/>
    <n v="0"/>
    <x v="0"/>
    <n v="0"/>
    <s v="uncovered"/>
    <x v="0"/>
    <x v="1"/>
    <x v="0"/>
    <n v="24.404876999999999"/>
    <n v="97.407787999999996"/>
    <s v="MMR001CMP061"/>
    <x v="1"/>
    <m/>
  </r>
  <r>
    <x v="1"/>
    <x v="7"/>
    <x v="7"/>
    <s v="SCI/FFO"/>
    <x v="0"/>
    <x v="1"/>
    <x v="1"/>
    <x v="87"/>
    <n v="336"/>
    <n v="1722"/>
    <m/>
    <d v="2019-11-30T00:00:00"/>
    <m/>
    <n v="9"/>
    <n v="10"/>
    <m/>
    <s v="Yes"/>
    <m/>
    <m/>
    <n v="2"/>
    <m/>
    <m/>
    <m/>
    <m/>
    <m/>
    <m/>
    <m/>
    <m/>
    <m/>
    <m/>
    <n v="6"/>
    <m/>
    <m/>
    <n v="6"/>
    <m/>
    <m/>
    <n v="60"/>
    <n v="8"/>
    <n v="4"/>
    <n v="2"/>
    <m/>
    <n v="123"/>
    <m/>
    <m/>
    <n v="25"/>
    <m/>
    <n v="2"/>
    <m/>
    <m/>
    <x v="2"/>
    <x v="3"/>
    <m/>
    <m/>
    <m/>
    <m/>
    <m/>
    <m/>
    <m/>
    <n v="16"/>
    <m/>
    <m/>
    <m/>
    <n v="276"/>
    <m/>
    <m/>
    <n v="9"/>
    <m/>
    <m/>
    <s v="no test"/>
    <n v="0.13333333333333333"/>
    <x v="0"/>
    <n v="2"/>
    <n v="0"/>
    <n v="0"/>
    <n v="0"/>
    <n v="0"/>
    <n v="0.46457607433217191"/>
    <n v="0.29036004645760743"/>
    <n v="0.46457607433217191"/>
    <n v="800"/>
    <n v="0.87108013937282225"/>
    <n v="1500"/>
    <n v="1"/>
    <n v="1722"/>
    <n v="3.444"/>
    <n v="0"/>
    <n v="0"/>
    <n v="0"/>
    <n v="3"/>
    <n v="98"/>
    <n v="1"/>
    <n v="1722"/>
    <n v="40"/>
    <n v="0"/>
    <n v="86"/>
    <n v="0"/>
    <n v="0"/>
    <n v="0.2032520325203252"/>
    <n v="0"/>
    <n v="1380"/>
    <n v="0"/>
    <n v="1380"/>
    <n v="1380"/>
    <n v="0.80139372822299648"/>
    <n v="0.19860627177700352"/>
    <n v="0"/>
    <n v="0.8214285714285714"/>
    <n v="0"/>
    <n v="0"/>
    <n v="0"/>
    <n v="0"/>
    <n v="0"/>
    <x v="0"/>
    <s v="Yes"/>
    <s v="KMSS-BMO"/>
    <x v="0"/>
    <x v="0"/>
    <x v="1"/>
    <n v="24.378167000000001"/>
    <n v="97.669366999999994"/>
    <s v="MMR001CMP131"/>
    <x v="0"/>
    <m/>
  </r>
  <r>
    <x v="1"/>
    <x v="0"/>
    <x v="0"/>
    <s v="OFDA"/>
    <x v="0"/>
    <x v="0"/>
    <x v="0"/>
    <x v="88"/>
    <n v="281"/>
    <n v="1409"/>
    <s v="01/06/2019, 01/07/2019"/>
    <s v="30/11/2019, 30/12/2019"/>
    <n v="1409"/>
    <n v="0"/>
    <n v="0"/>
    <n v="0"/>
    <m/>
    <m/>
    <m/>
    <n v="0"/>
    <m/>
    <m/>
    <m/>
    <n v="0"/>
    <m/>
    <m/>
    <m/>
    <m/>
    <m/>
    <m/>
    <m/>
    <m/>
    <m/>
    <m/>
    <m/>
    <m/>
    <m/>
    <m/>
    <m/>
    <n v="2"/>
    <m/>
    <m/>
    <m/>
    <m/>
    <m/>
    <m/>
    <m/>
    <m/>
    <m/>
    <x v="0"/>
    <x v="0"/>
    <n v="0"/>
    <n v="0"/>
    <n v="22"/>
    <m/>
    <m/>
    <m/>
    <m/>
    <n v="0"/>
    <m/>
    <n v="0"/>
    <n v="0"/>
    <m/>
    <m/>
    <s v="Yes"/>
    <m/>
    <n v="0"/>
    <m/>
    <s v="no test"/>
    <s v="no test"/>
    <x v="1"/>
    <n v="0"/>
    <n v="0"/>
    <n v="0"/>
    <n v="0"/>
    <n v="0"/>
    <n v="0"/>
    <n v="0"/>
    <n v="0"/>
    <n v="0"/>
    <n v="0"/>
    <n v="0"/>
    <n v="0"/>
    <n v="0"/>
    <n v="0"/>
    <n v="1"/>
    <n v="1409"/>
    <n v="3"/>
    <n v="3"/>
    <n v="0"/>
    <n v="0"/>
    <n v="0"/>
    <n v="0"/>
    <n v="1100"/>
    <n v="70"/>
    <n v="70"/>
    <n v="1"/>
    <n v="0"/>
    <n v="0"/>
    <n v="0"/>
    <n v="0"/>
    <n v="0"/>
    <n v="0"/>
    <n v="0"/>
    <n v="1"/>
    <n v="0"/>
    <n v="0"/>
    <n v="0"/>
    <n v="0"/>
    <n v="0"/>
    <n v="0"/>
    <n v="0"/>
    <x v="1"/>
    <s v="No"/>
    <n v="0"/>
    <x v="0"/>
    <x v="0"/>
    <x v="0"/>
    <n v="0"/>
    <n v="0"/>
    <n v="0"/>
    <x v="0"/>
    <m/>
  </r>
  <r>
    <x v="1"/>
    <x v="7"/>
    <x v="7"/>
    <s v="SCI/FFO"/>
    <x v="0"/>
    <x v="1"/>
    <x v="1"/>
    <x v="89"/>
    <n v="669"/>
    <n v="3316"/>
    <m/>
    <d v="2019-11-30T00:00:00"/>
    <m/>
    <n v="9"/>
    <n v="10"/>
    <m/>
    <s v="Yes"/>
    <m/>
    <m/>
    <n v="0"/>
    <m/>
    <m/>
    <n v="2"/>
    <m/>
    <m/>
    <m/>
    <m/>
    <m/>
    <m/>
    <m/>
    <n v="1"/>
    <m/>
    <m/>
    <n v="1"/>
    <m/>
    <m/>
    <n v="16"/>
    <n v="5"/>
    <n v="21"/>
    <n v="6"/>
    <m/>
    <n v="257"/>
    <m/>
    <m/>
    <n v="37"/>
    <m/>
    <n v="3"/>
    <m/>
    <m/>
    <x v="2"/>
    <x v="0"/>
    <m/>
    <m/>
    <m/>
    <m/>
    <m/>
    <m/>
    <m/>
    <n v="7"/>
    <m/>
    <m/>
    <m/>
    <n v="449"/>
    <m/>
    <m/>
    <n v="9"/>
    <m/>
    <m/>
    <s v="no test"/>
    <n v="0.3125"/>
    <x v="0"/>
    <n v="0"/>
    <n v="2"/>
    <n v="0"/>
    <n v="0"/>
    <n v="0"/>
    <n v="0.30156815440289503"/>
    <n v="0.15078407720144751"/>
    <n v="0.30156815440289503"/>
    <n v="999.99999999999989"/>
    <n v="7.5392038600723757E-2"/>
    <n v="249.99999999999997"/>
    <n v="0.37696019300361877"/>
    <n v="1249.9999999999998"/>
    <n v="2.4999999999999996"/>
    <n v="0.62303980699638117"/>
    <n v="2066"/>
    <n v="4.5"/>
    <n v="7"/>
    <n v="220"/>
    <n v="1"/>
    <n v="3316"/>
    <n v="60"/>
    <n v="0"/>
    <n v="166"/>
    <n v="0"/>
    <n v="0"/>
    <n v="0.14396887159533073"/>
    <n v="0"/>
    <n v="2245"/>
    <n v="0"/>
    <n v="2245"/>
    <n v="2245"/>
    <n v="0.67702050663449942"/>
    <n v="0.32297949336550058"/>
    <n v="0"/>
    <n v="0.67115097159940207"/>
    <n v="0"/>
    <n v="0"/>
    <n v="0"/>
    <n v="0"/>
    <n v="0"/>
    <x v="0"/>
    <s v="Yes"/>
    <s v="KMSS-BMO"/>
    <x v="0"/>
    <x v="0"/>
    <x v="1"/>
    <n v="24.2744"/>
    <n v="97.752667000000002"/>
    <s v="MMR001CMP126"/>
    <x v="0"/>
    <m/>
  </r>
  <r>
    <x v="1"/>
    <x v="0"/>
    <x v="0"/>
    <s v="ECHO, OFDA"/>
    <x v="0"/>
    <x v="1"/>
    <x v="1"/>
    <x v="90"/>
    <n v="41"/>
    <n v="253"/>
    <s v="01/01/2018, 01/07/2018"/>
    <s v="28-02-2019, 30/06/2019"/>
    <m/>
    <n v="0"/>
    <n v="0"/>
    <n v="0"/>
    <s v="Yes"/>
    <n v="4"/>
    <n v="6"/>
    <n v="2"/>
    <m/>
    <m/>
    <n v="0"/>
    <n v="0"/>
    <m/>
    <m/>
    <m/>
    <m/>
    <m/>
    <m/>
    <m/>
    <m/>
    <m/>
    <m/>
    <n v="1"/>
    <n v="1"/>
    <n v="4"/>
    <n v="0"/>
    <m/>
    <m/>
    <m/>
    <n v="16"/>
    <m/>
    <m/>
    <m/>
    <m/>
    <n v="15"/>
    <m/>
    <m/>
    <x v="0"/>
    <x v="0"/>
    <n v="0"/>
    <n v="0"/>
    <m/>
    <m/>
    <n v="7"/>
    <m/>
    <m/>
    <n v="1"/>
    <m/>
    <n v="0"/>
    <n v="1"/>
    <n v="13"/>
    <n v="52"/>
    <m/>
    <m/>
    <m/>
    <m/>
    <n v="1"/>
    <n v="0"/>
    <x v="0"/>
    <n v="2"/>
    <n v="0"/>
    <n v="0"/>
    <n v="0"/>
    <n v="0"/>
    <n v="1"/>
    <n v="1"/>
    <n v="1"/>
    <n v="253"/>
    <n v="0"/>
    <n v="0"/>
    <n v="1"/>
    <n v="253"/>
    <n v="0.50600000000000001"/>
    <n v="0"/>
    <n v="0"/>
    <n v="0.49399999999999999"/>
    <n v="1"/>
    <n v="16"/>
    <n v="1"/>
    <n v="253"/>
    <n v="253"/>
    <n v="0"/>
    <n v="13"/>
    <n v="0"/>
    <n v="0"/>
    <n v="0"/>
    <n v="253"/>
    <n v="65"/>
    <n v="253"/>
    <n v="253"/>
    <n v="253"/>
    <n v="1"/>
    <n v="0"/>
    <n v="1"/>
    <n v="0.31707317073170732"/>
    <n v="1"/>
    <n v="7"/>
    <n v="41"/>
    <n v="0"/>
    <n v="253"/>
    <x v="0"/>
    <s v="Yes"/>
    <s v="KBC"/>
    <x v="0"/>
    <x v="0"/>
    <x v="0"/>
    <n v="24.207332999999998"/>
    <n v="97.710864000000001"/>
    <s v="MMR001CMP073"/>
    <x v="0"/>
    <m/>
  </r>
  <r>
    <x v="1"/>
    <x v="4"/>
    <x v="4"/>
    <s v="UNICEF,ADRA(CANADA)"/>
    <x v="0"/>
    <x v="7"/>
    <x v="1"/>
    <x v="91"/>
    <n v="16"/>
    <n v="78"/>
    <s v="4/1/2019,5/1/2019"/>
    <s v="7/31/2019,31/1/2020"/>
    <m/>
    <m/>
    <m/>
    <m/>
    <s v="Yes"/>
    <m/>
    <m/>
    <n v="0"/>
    <m/>
    <m/>
    <n v="1"/>
    <m/>
    <m/>
    <m/>
    <m/>
    <m/>
    <m/>
    <m/>
    <m/>
    <m/>
    <m/>
    <n v="2"/>
    <m/>
    <m/>
    <m/>
    <m/>
    <m/>
    <m/>
    <m/>
    <n v="2"/>
    <m/>
    <m/>
    <m/>
    <m/>
    <m/>
    <m/>
    <n v="2"/>
    <x v="0"/>
    <x v="0"/>
    <m/>
    <m/>
    <m/>
    <m/>
    <m/>
    <m/>
    <m/>
    <n v="2"/>
    <m/>
    <m/>
    <n v="1"/>
    <m/>
    <m/>
    <m/>
    <m/>
    <m/>
    <m/>
    <s v="no test"/>
    <s v="no test"/>
    <x v="1"/>
    <n v="0"/>
    <n v="1"/>
    <n v="0"/>
    <n v="0"/>
    <n v="0"/>
    <n v="1"/>
    <n v="1"/>
    <n v="1"/>
    <n v="78"/>
    <n v="0"/>
    <n v="0"/>
    <n v="1"/>
    <n v="78"/>
    <n v="0.156"/>
    <n v="0"/>
    <n v="0"/>
    <n v="0.84399999999999997"/>
    <n v="1"/>
    <n v="2"/>
    <n v="0.51282051282051277"/>
    <n v="40"/>
    <n v="0"/>
    <n v="0"/>
    <n v="4"/>
    <n v="2"/>
    <n v="0.48717948717948723"/>
    <n v="0"/>
    <n v="78"/>
    <n v="0"/>
    <n v="0"/>
    <n v="0"/>
    <n v="78"/>
    <n v="1"/>
    <n v="0"/>
    <n v="1"/>
    <n v="0"/>
    <n v="0"/>
    <n v="0"/>
    <n v="0"/>
    <n v="0"/>
    <n v="0"/>
    <x v="0"/>
    <s v="Yes"/>
    <s v="KBC"/>
    <x v="0"/>
    <x v="0"/>
    <x v="0"/>
    <n v="25.296579999999999"/>
    <n v="96.942279999999997"/>
    <s v="MMR001CMP077"/>
    <x v="0"/>
    <m/>
  </r>
  <r>
    <x v="1"/>
    <x v="4"/>
    <x v="4"/>
    <s v="UNICEF,ADRA(CANADA),PLAN(GFFO)"/>
    <x v="0"/>
    <x v="2"/>
    <x v="1"/>
    <x v="92"/>
    <n v="28"/>
    <n v="159"/>
    <s v="4/1/2019,5/1/2019,5/1/2019"/>
    <s v="7/31/2019,1/31/2020,9/30/2021"/>
    <m/>
    <m/>
    <m/>
    <m/>
    <s v="Yes"/>
    <m/>
    <m/>
    <n v="2"/>
    <m/>
    <m/>
    <n v="1"/>
    <m/>
    <m/>
    <m/>
    <n v="0"/>
    <m/>
    <m/>
    <m/>
    <m/>
    <m/>
    <m/>
    <n v="3"/>
    <m/>
    <m/>
    <m/>
    <m/>
    <m/>
    <m/>
    <m/>
    <n v="6"/>
    <m/>
    <m/>
    <m/>
    <m/>
    <m/>
    <m/>
    <n v="6"/>
    <x v="0"/>
    <x v="0"/>
    <m/>
    <m/>
    <m/>
    <m/>
    <m/>
    <m/>
    <m/>
    <n v="3"/>
    <m/>
    <m/>
    <n v="1"/>
    <m/>
    <m/>
    <m/>
    <m/>
    <m/>
    <m/>
    <s v="no test"/>
    <s v="no test"/>
    <x v="1"/>
    <n v="2"/>
    <n v="1"/>
    <n v="0"/>
    <n v="0"/>
    <n v="0"/>
    <n v="1"/>
    <n v="1"/>
    <n v="1"/>
    <n v="159"/>
    <n v="0"/>
    <n v="0"/>
    <n v="1"/>
    <n v="159"/>
    <n v="0.318"/>
    <n v="0"/>
    <n v="0"/>
    <n v="0.68199999999999994"/>
    <n v="1"/>
    <n v="6"/>
    <n v="0.75471698113207553"/>
    <n v="120"/>
    <n v="0"/>
    <n v="0"/>
    <n v="8"/>
    <n v="2"/>
    <n v="0.24528301886792447"/>
    <n v="0"/>
    <n v="159"/>
    <n v="0"/>
    <n v="0"/>
    <n v="0"/>
    <n v="159"/>
    <n v="1"/>
    <n v="0"/>
    <n v="1"/>
    <n v="0"/>
    <n v="0"/>
    <n v="0"/>
    <n v="0"/>
    <n v="0"/>
    <n v="0"/>
    <x v="0"/>
    <s v="Yes"/>
    <s v="KBC-MYT"/>
    <x v="0"/>
    <x v="0"/>
    <x v="0"/>
    <n v="25.356632000000001"/>
    <n v="97.451965000000001"/>
    <s v="MMR001CMP027"/>
    <x v="0"/>
    <m/>
  </r>
  <r>
    <x v="1"/>
    <x v="4"/>
    <x v="4"/>
    <s v="UNICEF,ADRA(CANADA)"/>
    <x v="0"/>
    <x v="2"/>
    <x v="1"/>
    <x v="93"/>
    <n v="407"/>
    <n v="1801"/>
    <s v="4/1/2019,5/1/2019"/>
    <s v="7/31/2019,31/1/2020"/>
    <n v="218"/>
    <m/>
    <m/>
    <m/>
    <s v="Yes"/>
    <m/>
    <m/>
    <m/>
    <m/>
    <m/>
    <m/>
    <m/>
    <m/>
    <m/>
    <n v="6"/>
    <n v="2"/>
    <m/>
    <m/>
    <m/>
    <m/>
    <m/>
    <m/>
    <m/>
    <m/>
    <m/>
    <m/>
    <m/>
    <m/>
    <m/>
    <n v="407"/>
    <m/>
    <m/>
    <n v="195"/>
    <n v="30"/>
    <m/>
    <m/>
    <m/>
    <x v="0"/>
    <x v="0"/>
    <n v="3"/>
    <m/>
    <m/>
    <m/>
    <m/>
    <m/>
    <m/>
    <m/>
    <m/>
    <m/>
    <m/>
    <m/>
    <m/>
    <s v="No"/>
    <m/>
    <m/>
    <m/>
    <s v="no test"/>
    <s v="no test"/>
    <x v="1"/>
    <n v="0"/>
    <n v="0"/>
    <n v="4"/>
    <n v="0"/>
    <n v="0"/>
    <n v="0.14806588932074774"/>
    <n v="0.14806588932074774"/>
    <n v="0.14806588932074774"/>
    <n v="266.66666666666669"/>
    <n v="0"/>
    <n v="0"/>
    <n v="0.14806588932074774"/>
    <n v="266.66666666666669"/>
    <n v="0.53333333333333333"/>
    <n v="0.85193411067925229"/>
    <n v="1534.3333333333333"/>
    <n v="3.4666666666666668"/>
    <n v="4"/>
    <n v="212"/>
    <n v="0.70627429205996672"/>
    <n v="1272"/>
    <n v="0"/>
    <n v="0"/>
    <n v="300"/>
    <n v="0"/>
    <n v="0.29372570794003328"/>
    <n v="0.47911547911547914"/>
    <n v="0"/>
    <n v="0"/>
    <n v="0"/>
    <n v="0"/>
    <n v="0"/>
    <n v="0"/>
    <n v="1"/>
    <n v="0"/>
    <n v="0"/>
    <n v="0"/>
    <n v="0"/>
    <n v="0"/>
    <n v="0"/>
    <n v="0"/>
    <x v="1"/>
    <s v="Yes"/>
    <s v="KMSS-MYT"/>
    <x v="1"/>
    <x v="0"/>
    <x v="1"/>
    <n v="24.980250000000002"/>
    <n v="97.715230000000005"/>
    <s v="MMR001CMP119"/>
    <x v="0"/>
    <m/>
  </r>
  <r>
    <x v="1"/>
    <x v="3"/>
    <x v="3"/>
    <s v="HARP"/>
    <x v="0"/>
    <x v="6"/>
    <x v="1"/>
    <x v="94"/>
    <n v="50"/>
    <n v="218"/>
    <d v="2019-03-01T00:00:00"/>
    <s v="31-12-2020"/>
    <m/>
    <m/>
    <m/>
    <m/>
    <s v="Yes"/>
    <m/>
    <m/>
    <n v="1"/>
    <m/>
    <m/>
    <m/>
    <m/>
    <m/>
    <m/>
    <m/>
    <m/>
    <m/>
    <m/>
    <m/>
    <m/>
    <m/>
    <m/>
    <m/>
    <m/>
    <m/>
    <m/>
    <m/>
    <m/>
    <m/>
    <n v="16"/>
    <m/>
    <m/>
    <m/>
    <m/>
    <m/>
    <m/>
    <m/>
    <x v="0"/>
    <x v="0"/>
    <m/>
    <m/>
    <m/>
    <m/>
    <m/>
    <m/>
    <m/>
    <n v="2"/>
    <m/>
    <m/>
    <n v="2"/>
    <m/>
    <m/>
    <m/>
    <m/>
    <m/>
    <m/>
    <s v="no test"/>
    <s v="no test"/>
    <x v="1"/>
    <n v="1"/>
    <n v="0"/>
    <n v="0"/>
    <n v="0"/>
    <n v="0"/>
    <n v="1"/>
    <n v="1"/>
    <n v="1"/>
    <n v="218"/>
    <n v="0"/>
    <n v="0"/>
    <n v="1"/>
    <n v="218"/>
    <n v="0.436"/>
    <n v="0"/>
    <n v="0"/>
    <n v="0.56400000000000006"/>
    <n v="1"/>
    <n v="16"/>
    <n v="1"/>
    <n v="218"/>
    <n v="0"/>
    <n v="0"/>
    <n v="11"/>
    <n v="0"/>
    <n v="0"/>
    <n v="0"/>
    <n v="218"/>
    <n v="0"/>
    <n v="0"/>
    <n v="0"/>
    <n v="218"/>
    <n v="1"/>
    <n v="0"/>
    <n v="1"/>
    <n v="0"/>
    <n v="0"/>
    <n v="0"/>
    <n v="0"/>
    <n v="0"/>
    <n v="0"/>
    <x v="0"/>
    <s v="Yes"/>
    <s v="KMSS-MYT"/>
    <x v="0"/>
    <x v="0"/>
    <x v="0"/>
    <n v="25.613894999999999"/>
    <n v="96.341352999999998"/>
    <s v="MMR001CMP103"/>
    <x v="0"/>
    <m/>
  </r>
  <r>
    <x v="1"/>
    <x v="4"/>
    <x v="4"/>
    <s v="UNICEF,ADRA(CANADA),PLAN(GFFO)"/>
    <x v="0"/>
    <x v="2"/>
    <x v="1"/>
    <x v="95"/>
    <n v="494"/>
    <n v="2500"/>
    <s v="4/1/2019,5/1/2019,5/1/2019"/>
    <s v="7/31/2019,1/31/2020,9/30/2021"/>
    <m/>
    <m/>
    <m/>
    <m/>
    <s v="Yes"/>
    <m/>
    <m/>
    <n v="9"/>
    <m/>
    <m/>
    <n v="2"/>
    <m/>
    <m/>
    <m/>
    <m/>
    <m/>
    <m/>
    <m/>
    <m/>
    <m/>
    <m/>
    <n v="9"/>
    <m/>
    <m/>
    <m/>
    <m/>
    <m/>
    <m/>
    <m/>
    <n v="130"/>
    <m/>
    <m/>
    <n v="104"/>
    <n v="30"/>
    <n v="32"/>
    <m/>
    <n v="130"/>
    <x v="0"/>
    <x v="0"/>
    <m/>
    <m/>
    <m/>
    <m/>
    <m/>
    <m/>
    <m/>
    <n v="6"/>
    <m/>
    <m/>
    <n v="5"/>
    <m/>
    <m/>
    <m/>
    <m/>
    <m/>
    <m/>
    <s v="no test"/>
    <s v="no test"/>
    <x v="1"/>
    <n v="9"/>
    <n v="2"/>
    <n v="0"/>
    <n v="0"/>
    <n v="0"/>
    <n v="1"/>
    <n v="1"/>
    <n v="1"/>
    <n v="2500"/>
    <n v="0"/>
    <n v="0"/>
    <n v="1"/>
    <n v="2500"/>
    <n v="5"/>
    <n v="0"/>
    <n v="0"/>
    <n v="0"/>
    <n v="5"/>
    <n v="26"/>
    <n v="0.20799999999999999"/>
    <n v="520"/>
    <n v="640"/>
    <n v="0"/>
    <n v="125"/>
    <n v="0"/>
    <n v="0.79200000000000004"/>
    <n v="0.8"/>
    <n v="2500"/>
    <n v="0"/>
    <n v="0"/>
    <n v="0"/>
    <n v="2500"/>
    <n v="1"/>
    <n v="0"/>
    <n v="1"/>
    <n v="0"/>
    <n v="0"/>
    <n v="0"/>
    <n v="0"/>
    <n v="0"/>
    <n v="0"/>
    <x v="0"/>
    <s v="Yes"/>
    <s v="KBC-MYT"/>
    <x v="0"/>
    <x v="0"/>
    <x v="0"/>
    <n v="25.4118005797101"/>
    <n v="97.434855869565197"/>
    <s v="MMR001CMP040"/>
    <x v="0"/>
    <m/>
  </r>
  <r>
    <x v="1"/>
    <x v="3"/>
    <x v="3"/>
    <s v="HARP"/>
    <x v="0"/>
    <x v="3"/>
    <x v="1"/>
    <x v="96"/>
    <n v="147"/>
    <n v="882"/>
    <d v="2019-03-01T00:00:00"/>
    <d v="2020-12-31T00:00:00"/>
    <m/>
    <m/>
    <m/>
    <m/>
    <s v="Yes"/>
    <m/>
    <m/>
    <n v="8"/>
    <m/>
    <m/>
    <n v="2"/>
    <m/>
    <m/>
    <m/>
    <m/>
    <m/>
    <m/>
    <m/>
    <m/>
    <m/>
    <m/>
    <m/>
    <m/>
    <m/>
    <m/>
    <m/>
    <m/>
    <m/>
    <m/>
    <n v="74"/>
    <m/>
    <m/>
    <m/>
    <m/>
    <m/>
    <m/>
    <m/>
    <x v="0"/>
    <x v="0"/>
    <m/>
    <m/>
    <m/>
    <m/>
    <m/>
    <m/>
    <m/>
    <n v="13"/>
    <m/>
    <m/>
    <n v="4"/>
    <m/>
    <m/>
    <m/>
    <m/>
    <m/>
    <m/>
    <s v="no test"/>
    <s v="no test"/>
    <x v="1"/>
    <n v="8"/>
    <n v="2"/>
    <n v="0"/>
    <n v="0"/>
    <n v="0"/>
    <n v="1"/>
    <n v="1"/>
    <n v="1"/>
    <n v="882"/>
    <n v="0"/>
    <n v="0"/>
    <n v="1"/>
    <n v="882"/>
    <n v="1.764"/>
    <n v="0"/>
    <n v="0"/>
    <n v="0.23599999999999999"/>
    <n v="2"/>
    <n v="74"/>
    <n v="1"/>
    <n v="882"/>
    <n v="0"/>
    <n v="0"/>
    <n v="44"/>
    <n v="0"/>
    <n v="0"/>
    <n v="0"/>
    <n v="882"/>
    <n v="0"/>
    <n v="0"/>
    <n v="0"/>
    <n v="882"/>
    <n v="1"/>
    <n v="0"/>
    <n v="1"/>
    <n v="0"/>
    <n v="0"/>
    <n v="0"/>
    <n v="0"/>
    <n v="0"/>
    <n v="0"/>
    <x v="0"/>
    <s v="Yes"/>
    <s v="KMSS-MYT"/>
    <x v="0"/>
    <x v="0"/>
    <x v="0"/>
    <n v="25.493819999999999"/>
    <n v="97.4345"/>
    <s v="MMR001CMP162"/>
    <x v="0"/>
    <m/>
  </r>
  <r>
    <x v="1"/>
    <x v="4"/>
    <x v="4"/>
    <s v="UNICEF,ADRA(CANADA),PLAN(GFFO)"/>
    <x v="0"/>
    <x v="2"/>
    <x v="1"/>
    <x v="97"/>
    <n v="43"/>
    <n v="191"/>
    <s v="4/1/2019,5/1/2019,5/1/2019"/>
    <s v="7/31/2019,1/31/2020,9/30/2021"/>
    <m/>
    <m/>
    <m/>
    <m/>
    <s v="Yes"/>
    <m/>
    <m/>
    <n v="1"/>
    <m/>
    <m/>
    <n v="0"/>
    <m/>
    <m/>
    <m/>
    <m/>
    <m/>
    <m/>
    <m/>
    <m/>
    <m/>
    <m/>
    <n v="2"/>
    <m/>
    <m/>
    <m/>
    <m/>
    <m/>
    <m/>
    <m/>
    <n v="10"/>
    <m/>
    <m/>
    <m/>
    <m/>
    <n v="3"/>
    <m/>
    <n v="10"/>
    <x v="0"/>
    <x v="0"/>
    <m/>
    <m/>
    <m/>
    <m/>
    <m/>
    <m/>
    <m/>
    <n v="2"/>
    <m/>
    <m/>
    <n v="1"/>
    <m/>
    <m/>
    <m/>
    <m/>
    <m/>
    <m/>
    <s v="no test"/>
    <s v="no test"/>
    <x v="1"/>
    <n v="1"/>
    <n v="0"/>
    <n v="0"/>
    <n v="0"/>
    <n v="0"/>
    <n v="1"/>
    <n v="1"/>
    <n v="1"/>
    <n v="191"/>
    <n v="0"/>
    <n v="0"/>
    <n v="1"/>
    <n v="191"/>
    <n v="0.38200000000000001"/>
    <n v="0"/>
    <n v="0"/>
    <n v="0.61799999999999999"/>
    <n v="1"/>
    <n v="10"/>
    <n v="1"/>
    <n v="191"/>
    <n v="60"/>
    <n v="0"/>
    <n v="10"/>
    <n v="0"/>
    <n v="0"/>
    <n v="0"/>
    <n v="191"/>
    <n v="0"/>
    <n v="0"/>
    <n v="0"/>
    <n v="191"/>
    <n v="1"/>
    <n v="0"/>
    <n v="1"/>
    <n v="0"/>
    <n v="0"/>
    <n v="0"/>
    <n v="0"/>
    <n v="0"/>
    <n v="0"/>
    <x v="0"/>
    <s v="Yes"/>
    <s v="KBC-MYT"/>
    <x v="0"/>
    <x v="0"/>
    <x v="0"/>
    <n v="25.409612685185198"/>
    <n v="97.426536944444507"/>
    <s v="MMR001CMP039"/>
    <x v="0"/>
    <m/>
  </r>
  <r>
    <x v="1"/>
    <x v="2"/>
    <x v="2"/>
    <m/>
    <x v="0"/>
    <x v="3"/>
    <x v="1"/>
    <x v="98"/>
    <n v="375"/>
    <n v="1691"/>
    <m/>
    <m/>
    <m/>
    <m/>
    <m/>
    <m/>
    <m/>
    <m/>
    <m/>
    <m/>
    <m/>
    <m/>
    <m/>
    <m/>
    <m/>
    <m/>
    <m/>
    <m/>
    <m/>
    <m/>
    <m/>
    <m/>
    <m/>
    <m/>
    <m/>
    <m/>
    <m/>
    <m/>
    <m/>
    <m/>
    <m/>
    <m/>
    <m/>
    <m/>
    <m/>
    <m/>
    <m/>
    <m/>
    <m/>
    <x v="1"/>
    <x v="1"/>
    <m/>
    <m/>
    <m/>
    <m/>
    <m/>
    <m/>
    <m/>
    <m/>
    <m/>
    <m/>
    <m/>
    <m/>
    <m/>
    <m/>
    <m/>
    <m/>
    <m/>
    <s v="no test"/>
    <s v="no test"/>
    <x v="1"/>
    <n v="0"/>
    <n v="0"/>
    <n v="0"/>
    <n v="0"/>
    <n v="0"/>
    <n v="0"/>
    <n v="0"/>
    <n v="0"/>
    <n v="0"/>
    <n v="0"/>
    <n v="0"/>
    <n v="0"/>
    <n v="0"/>
    <n v="0"/>
    <n v="1"/>
    <n v="1691"/>
    <n v="3"/>
    <n v="3"/>
    <n v="0"/>
    <n v="0"/>
    <n v="0"/>
    <n v="0"/>
    <n v="0"/>
    <n v="85"/>
    <n v="85"/>
    <n v="1"/>
    <n v="0"/>
    <n v="0"/>
    <n v="0"/>
    <n v="0"/>
    <n v="0"/>
    <n v="0"/>
    <n v="0"/>
    <n v="1"/>
    <n v="0"/>
    <n v="0"/>
    <n v="0"/>
    <n v="0"/>
    <n v="0"/>
    <n v="0"/>
    <n v="0"/>
    <x v="0"/>
    <n v="0"/>
    <s v="uncovered"/>
    <x v="0"/>
    <x v="4"/>
    <x v="0"/>
    <n v="0"/>
    <n v="0"/>
    <s v="MMR001CMP147"/>
    <x v="1"/>
    <m/>
  </r>
  <r>
    <x v="1"/>
    <x v="4"/>
    <x v="4"/>
    <s v="Plan/GFFO"/>
    <x v="0"/>
    <x v="9"/>
    <x v="1"/>
    <x v="99"/>
    <n v="432"/>
    <n v="1855"/>
    <m/>
    <d v="2019-03-31T00:00:00"/>
    <m/>
    <m/>
    <m/>
    <m/>
    <s v="Yes"/>
    <m/>
    <m/>
    <n v="0"/>
    <m/>
    <m/>
    <n v="4"/>
    <m/>
    <m/>
    <m/>
    <m/>
    <m/>
    <m/>
    <m/>
    <m/>
    <m/>
    <m/>
    <n v="4"/>
    <m/>
    <m/>
    <m/>
    <m/>
    <m/>
    <m/>
    <m/>
    <n v="110"/>
    <m/>
    <m/>
    <m/>
    <m/>
    <m/>
    <m/>
    <n v="110"/>
    <x v="0"/>
    <x v="0"/>
    <m/>
    <m/>
    <m/>
    <m/>
    <m/>
    <m/>
    <m/>
    <n v="10"/>
    <m/>
    <m/>
    <n v="3"/>
    <m/>
    <m/>
    <m/>
    <m/>
    <m/>
    <m/>
    <s v="no test"/>
    <s v="no test"/>
    <x v="1"/>
    <n v="0"/>
    <n v="4"/>
    <n v="0"/>
    <n v="0"/>
    <n v="0"/>
    <n v="1"/>
    <n v="0.53908355795148244"/>
    <n v="1"/>
    <n v="1855"/>
    <n v="0"/>
    <n v="0"/>
    <n v="1"/>
    <n v="1855"/>
    <n v="3.71"/>
    <n v="0"/>
    <n v="0"/>
    <n v="0.29000000000000004"/>
    <n v="4"/>
    <n v="110"/>
    <n v="1"/>
    <n v="1855"/>
    <n v="0"/>
    <n v="0"/>
    <n v="93"/>
    <n v="0"/>
    <n v="0"/>
    <n v="0"/>
    <n v="1500"/>
    <n v="0"/>
    <n v="0"/>
    <n v="0"/>
    <n v="1500"/>
    <n v="0.80862533692722371"/>
    <n v="0.19137466307277629"/>
    <n v="0.80862533692722371"/>
    <n v="0"/>
    <n v="0"/>
    <n v="0"/>
    <n v="0"/>
    <n v="0"/>
    <n v="0"/>
    <x v="0"/>
    <s v="Yes"/>
    <s v="KBC"/>
    <x v="0"/>
    <x v="0"/>
    <x v="0"/>
    <n v="23.972453000000002"/>
    <n v="97.225881000000001"/>
    <s v="MMR001CMP218"/>
    <x v="0"/>
    <m/>
  </r>
  <r>
    <x v="1"/>
    <x v="4"/>
    <x v="4"/>
    <s v="UNICEF,ADRA(CANADA),PLAN(GFFO)"/>
    <x v="0"/>
    <x v="3"/>
    <x v="1"/>
    <x v="100"/>
    <n v="61"/>
    <n v="290"/>
    <s v="4/1/2019,5/1/2019,5/1/2019"/>
    <s v="7/31/2019,1/31/2020,9/30/2021"/>
    <m/>
    <m/>
    <m/>
    <m/>
    <s v="Yes"/>
    <m/>
    <m/>
    <n v="1"/>
    <m/>
    <m/>
    <n v="1"/>
    <m/>
    <m/>
    <m/>
    <m/>
    <m/>
    <m/>
    <m/>
    <m/>
    <m/>
    <m/>
    <n v="2"/>
    <m/>
    <m/>
    <m/>
    <m/>
    <m/>
    <m/>
    <m/>
    <n v="7"/>
    <m/>
    <m/>
    <m/>
    <m/>
    <n v="0"/>
    <m/>
    <n v="7"/>
    <x v="0"/>
    <x v="3"/>
    <m/>
    <m/>
    <m/>
    <m/>
    <m/>
    <m/>
    <m/>
    <n v="3"/>
    <m/>
    <m/>
    <n v="1"/>
    <m/>
    <m/>
    <m/>
    <m/>
    <m/>
    <m/>
    <s v="no test"/>
    <s v="no test"/>
    <x v="1"/>
    <n v="1"/>
    <n v="1"/>
    <n v="0"/>
    <n v="0"/>
    <n v="0"/>
    <n v="1"/>
    <n v="1"/>
    <n v="1"/>
    <n v="290"/>
    <n v="0"/>
    <n v="0"/>
    <n v="1"/>
    <n v="290"/>
    <n v="0.57999999999999996"/>
    <n v="0"/>
    <n v="0"/>
    <n v="0.42000000000000004"/>
    <n v="1"/>
    <n v="7"/>
    <n v="0.48275862068965519"/>
    <n v="140"/>
    <n v="0"/>
    <n v="0"/>
    <n v="15"/>
    <n v="8"/>
    <n v="0.51724137931034475"/>
    <n v="0"/>
    <n v="290"/>
    <n v="0"/>
    <n v="0"/>
    <n v="0"/>
    <n v="290"/>
    <n v="1"/>
    <n v="0"/>
    <n v="1"/>
    <n v="0"/>
    <n v="0"/>
    <n v="0"/>
    <n v="0"/>
    <n v="0"/>
    <n v="0"/>
    <x v="0"/>
    <s v="Yes"/>
    <s v="KBC-MYT"/>
    <x v="0"/>
    <x v="0"/>
    <x v="0"/>
    <n v="25.360463124999999"/>
    <n v="97.4113064583333"/>
    <s v="MMR001CMP016"/>
    <x v="0"/>
    <m/>
  </r>
  <r>
    <x v="1"/>
    <x v="4"/>
    <x v="4"/>
    <s v="UNICEF,ADRA(CANADA),PLAN(GFFO)"/>
    <x v="0"/>
    <x v="3"/>
    <x v="1"/>
    <x v="101"/>
    <n v="101"/>
    <n v="547"/>
    <s v="4/1/2019,5/1/2019,5/1/2019"/>
    <s v="7/31/2019,1/31/2020,9/30/2021"/>
    <m/>
    <m/>
    <m/>
    <m/>
    <s v="Yes"/>
    <m/>
    <m/>
    <n v="0"/>
    <m/>
    <m/>
    <n v="2"/>
    <m/>
    <m/>
    <m/>
    <m/>
    <m/>
    <m/>
    <m/>
    <m/>
    <m/>
    <m/>
    <n v="3"/>
    <m/>
    <m/>
    <m/>
    <m/>
    <m/>
    <m/>
    <m/>
    <n v="34"/>
    <m/>
    <m/>
    <m/>
    <m/>
    <n v="8"/>
    <m/>
    <n v="34"/>
    <x v="0"/>
    <x v="3"/>
    <m/>
    <m/>
    <m/>
    <m/>
    <m/>
    <m/>
    <m/>
    <n v="2"/>
    <m/>
    <m/>
    <n v="2"/>
    <m/>
    <m/>
    <m/>
    <m/>
    <m/>
    <m/>
    <s v="no test"/>
    <s v="no test"/>
    <x v="1"/>
    <n v="0"/>
    <n v="2"/>
    <n v="0"/>
    <n v="0"/>
    <n v="0"/>
    <n v="1"/>
    <n v="0.91407678244972579"/>
    <n v="1"/>
    <n v="547"/>
    <n v="0"/>
    <n v="0"/>
    <n v="1"/>
    <n v="547"/>
    <n v="1.0940000000000001"/>
    <n v="0"/>
    <n v="0"/>
    <n v="0"/>
    <n v="1"/>
    <n v="34"/>
    <n v="1"/>
    <n v="547"/>
    <n v="160"/>
    <n v="0"/>
    <n v="27"/>
    <n v="0"/>
    <n v="0"/>
    <n v="0"/>
    <n v="547"/>
    <n v="0"/>
    <n v="0"/>
    <n v="0"/>
    <n v="547"/>
    <n v="1"/>
    <n v="0"/>
    <n v="1"/>
    <n v="0"/>
    <n v="0"/>
    <n v="0"/>
    <n v="0"/>
    <n v="0"/>
    <n v="0"/>
    <x v="0"/>
    <s v="Yes"/>
    <s v="KBC-MYT"/>
    <x v="0"/>
    <x v="0"/>
    <x v="0"/>
    <n v="25.428910999999999"/>
    <n v="97.418694000000002"/>
    <s v="MMR001CMP008"/>
    <x v="0"/>
    <m/>
  </r>
  <r>
    <x v="1"/>
    <x v="4"/>
    <x v="4"/>
    <s v="MHF"/>
    <x v="0"/>
    <x v="0"/>
    <x v="0"/>
    <x v="102"/>
    <n v="40"/>
    <n v="187"/>
    <d v="2018-10-01T00:00:00"/>
    <d v="2019-07-10T00:00:00"/>
    <m/>
    <m/>
    <m/>
    <m/>
    <s v="Yes"/>
    <m/>
    <m/>
    <n v="2"/>
    <n v="2"/>
    <m/>
    <n v="2"/>
    <m/>
    <m/>
    <m/>
    <m/>
    <m/>
    <m/>
    <m/>
    <m/>
    <m/>
    <m/>
    <m/>
    <n v="4"/>
    <n v="2"/>
    <n v="7"/>
    <m/>
    <n v="0"/>
    <m/>
    <m/>
    <n v="6"/>
    <m/>
    <m/>
    <m/>
    <m/>
    <m/>
    <m/>
    <n v="6"/>
    <x v="0"/>
    <x v="0"/>
    <m/>
    <m/>
    <m/>
    <m/>
    <n v="2"/>
    <m/>
    <n v="2"/>
    <n v="0"/>
    <m/>
    <m/>
    <n v="1"/>
    <n v="40"/>
    <n v="34"/>
    <m/>
    <m/>
    <m/>
    <s v="Hygiene kit distrubution on regularly"/>
    <n v="0.5"/>
    <n v="0"/>
    <x v="0"/>
    <n v="0"/>
    <n v="2"/>
    <n v="0"/>
    <n v="0"/>
    <n v="0"/>
    <n v="1"/>
    <n v="1"/>
    <n v="1"/>
    <n v="187"/>
    <n v="0"/>
    <n v="0"/>
    <n v="1"/>
    <n v="187"/>
    <n v="0.374"/>
    <n v="0"/>
    <n v="0"/>
    <n v="0.626"/>
    <n v="1"/>
    <n v="6"/>
    <n v="0.64171122994652408"/>
    <n v="120"/>
    <n v="0"/>
    <n v="0"/>
    <n v="9"/>
    <n v="3"/>
    <n v="0.35828877005347592"/>
    <n v="0"/>
    <n v="187"/>
    <n v="187"/>
    <n v="170"/>
    <n v="187"/>
    <n v="187"/>
    <n v="1"/>
    <n v="0"/>
    <n v="1"/>
    <n v="1"/>
    <n v="0.85"/>
    <n v="2"/>
    <n v="40"/>
    <n v="0"/>
    <n v="187"/>
    <x v="0"/>
    <n v="0"/>
    <n v="0"/>
    <x v="0"/>
    <x v="0"/>
    <x v="0"/>
    <n v="0"/>
    <n v="0"/>
    <n v="0"/>
    <x v="0"/>
    <m/>
  </r>
  <r>
    <x v="1"/>
    <x v="4"/>
    <x v="4"/>
    <s v="UNICEF,ADRA(CANADA),PLAN(GFFO)"/>
    <x v="0"/>
    <x v="7"/>
    <x v="0"/>
    <x v="103"/>
    <n v="6"/>
    <n v="36"/>
    <s v="4/1/2019,5/1/2019,5/1/2019"/>
    <s v="7/31/2019,1/31/2020,9/30/2021"/>
    <m/>
    <m/>
    <m/>
    <m/>
    <s v="Yes"/>
    <m/>
    <m/>
    <n v="0"/>
    <m/>
    <m/>
    <n v="1"/>
    <m/>
    <m/>
    <m/>
    <m/>
    <m/>
    <m/>
    <m/>
    <m/>
    <m/>
    <m/>
    <n v="3"/>
    <m/>
    <m/>
    <m/>
    <m/>
    <m/>
    <m/>
    <m/>
    <n v="2"/>
    <m/>
    <m/>
    <m/>
    <m/>
    <m/>
    <m/>
    <n v="2"/>
    <x v="0"/>
    <x v="0"/>
    <m/>
    <m/>
    <m/>
    <m/>
    <m/>
    <m/>
    <m/>
    <n v="0"/>
    <m/>
    <m/>
    <n v="1"/>
    <m/>
    <m/>
    <m/>
    <m/>
    <m/>
    <m/>
    <s v="no test"/>
    <s v="no test"/>
    <x v="1"/>
    <n v="0"/>
    <n v="1"/>
    <n v="0"/>
    <n v="0"/>
    <n v="0"/>
    <n v="1"/>
    <n v="1"/>
    <n v="1"/>
    <n v="36"/>
    <n v="0"/>
    <n v="0"/>
    <n v="1"/>
    <n v="36"/>
    <n v="7.1999999999999995E-2"/>
    <n v="0"/>
    <n v="0"/>
    <n v="0.92800000000000005"/>
    <n v="1"/>
    <n v="2"/>
    <n v="1"/>
    <n v="36"/>
    <n v="0"/>
    <n v="0"/>
    <n v="2"/>
    <n v="0"/>
    <n v="0"/>
    <n v="0"/>
    <n v="36"/>
    <n v="0"/>
    <n v="0"/>
    <n v="0"/>
    <n v="36"/>
    <n v="1"/>
    <n v="0"/>
    <n v="1"/>
    <n v="0"/>
    <n v="0"/>
    <n v="0"/>
    <n v="0"/>
    <n v="0"/>
    <n v="0"/>
    <x v="0"/>
    <n v="0"/>
    <n v="0"/>
    <x v="0"/>
    <x v="2"/>
    <x v="0"/>
    <n v="0"/>
    <n v="0"/>
    <n v="0"/>
    <x v="0"/>
    <m/>
  </r>
  <r>
    <x v="1"/>
    <x v="5"/>
    <x v="5"/>
    <s v="DFID"/>
    <x v="0"/>
    <x v="6"/>
    <x v="1"/>
    <x v="35"/>
    <n v="11"/>
    <n v="42"/>
    <d v="2018-08-01T00:00:00"/>
    <d v="2020-07-31T00:00:00"/>
    <m/>
    <n v="1"/>
    <n v="0"/>
    <n v="0"/>
    <s v="Yes"/>
    <n v="4"/>
    <n v="2"/>
    <n v="1"/>
    <m/>
    <m/>
    <n v="0"/>
    <n v="0"/>
    <m/>
    <m/>
    <n v="2"/>
    <m/>
    <m/>
    <n v="0"/>
    <n v="0"/>
    <n v="1"/>
    <n v="0"/>
    <n v="1"/>
    <m/>
    <m/>
    <m/>
    <m/>
    <n v="0"/>
    <n v="0"/>
    <m/>
    <n v="4"/>
    <n v="0"/>
    <s v="Shalom"/>
    <m/>
    <m/>
    <m/>
    <m/>
    <n v="0"/>
    <x v="0"/>
    <x v="4"/>
    <n v="0"/>
    <n v="0"/>
    <n v="0"/>
    <n v="0"/>
    <n v="0"/>
    <m/>
    <n v="0"/>
    <n v="2"/>
    <m/>
    <n v="4"/>
    <n v="2"/>
    <m/>
    <m/>
    <s v="No"/>
    <m/>
    <n v="0.4"/>
    <m/>
    <s v="no test"/>
    <s v="no test"/>
    <x v="1"/>
    <n v="1"/>
    <n v="0"/>
    <n v="2"/>
    <n v="0"/>
    <n v="1"/>
    <n v="1"/>
    <n v="1"/>
    <n v="1"/>
    <n v="42"/>
    <n v="0"/>
    <n v="0"/>
    <n v="1"/>
    <n v="42"/>
    <n v="8.4000000000000005E-2"/>
    <n v="0"/>
    <n v="0"/>
    <n v="0.91600000000000004"/>
    <n v="1"/>
    <n v="4"/>
    <n v="1"/>
    <n v="42"/>
    <n v="0"/>
    <n v="0"/>
    <n v="2"/>
    <n v="0"/>
    <n v="0"/>
    <n v="0"/>
    <n v="42"/>
    <n v="0"/>
    <n v="0"/>
    <n v="0"/>
    <n v="42"/>
    <n v="1"/>
    <n v="0"/>
    <n v="1"/>
    <n v="0"/>
    <n v="0"/>
    <n v="0"/>
    <n v="0"/>
    <n v="0"/>
    <n v="0"/>
    <x v="0"/>
    <s v="Yes"/>
    <s v="uncovered"/>
    <x v="0"/>
    <x v="2"/>
    <x v="0"/>
    <n v="25.617998"/>
    <n v="96.339590000000001"/>
    <s v="MMR001CMP192"/>
    <x v="0"/>
    <m/>
  </r>
  <r>
    <x v="1"/>
    <x v="5"/>
    <x v="5"/>
    <s v="DFID"/>
    <x v="0"/>
    <x v="2"/>
    <x v="1"/>
    <x v="146"/>
    <n v="19"/>
    <n v="82"/>
    <d v="2018-08-01T00:00:00"/>
    <d v="2020-07-31T00:00:00"/>
    <m/>
    <n v="1"/>
    <n v="0"/>
    <n v="0"/>
    <s v="Yes"/>
    <n v="0"/>
    <n v="4"/>
    <n v="1"/>
    <m/>
    <m/>
    <n v="2"/>
    <n v="0"/>
    <m/>
    <m/>
    <n v="0"/>
    <m/>
    <m/>
    <n v="0"/>
    <n v="0"/>
    <n v="0"/>
    <n v="0"/>
    <n v="0"/>
    <m/>
    <m/>
    <m/>
    <m/>
    <n v="0"/>
    <m/>
    <m/>
    <n v="6"/>
    <n v="0"/>
    <m/>
    <m/>
    <m/>
    <m/>
    <m/>
    <n v="0"/>
    <x v="0"/>
    <x v="0"/>
    <n v="0"/>
    <n v="0"/>
    <n v="0"/>
    <m/>
    <n v="1"/>
    <m/>
    <n v="0"/>
    <n v="2"/>
    <m/>
    <n v="0"/>
    <n v="0"/>
    <m/>
    <m/>
    <s v="No"/>
    <m/>
    <n v="0"/>
    <m/>
    <s v="no test"/>
    <s v="no test"/>
    <x v="1"/>
    <n v="1"/>
    <n v="2"/>
    <n v="0"/>
    <n v="0"/>
    <n v="0"/>
    <n v="1"/>
    <n v="1"/>
    <n v="1"/>
    <n v="82"/>
    <n v="0"/>
    <n v="0"/>
    <n v="1"/>
    <n v="82"/>
    <n v="0.16400000000000001"/>
    <n v="0"/>
    <n v="0"/>
    <n v="0.83599999999999997"/>
    <n v="1"/>
    <n v="6"/>
    <n v="1"/>
    <n v="82"/>
    <n v="0"/>
    <n v="0"/>
    <n v="4"/>
    <n v="0"/>
    <n v="0"/>
    <n v="0"/>
    <n v="0"/>
    <n v="0"/>
    <n v="0"/>
    <n v="0"/>
    <n v="0"/>
    <n v="0"/>
    <n v="1"/>
    <n v="0"/>
    <n v="0"/>
    <n v="0"/>
    <n v="1"/>
    <n v="19"/>
    <n v="0"/>
    <n v="82"/>
    <x v="0"/>
    <s v="Yes"/>
    <s v="Shalom"/>
    <x v="0"/>
    <x v="0"/>
    <x v="0"/>
    <n v="25.351965"/>
    <n v="97.345039"/>
    <s v="MMR001CMP033"/>
    <x v="0"/>
    <m/>
  </r>
  <r>
    <x v="1"/>
    <x v="3"/>
    <x v="3"/>
    <s v="HARP,UNICEF"/>
    <x v="0"/>
    <x v="5"/>
    <x v="1"/>
    <x v="106"/>
    <n v="57"/>
    <n v="264"/>
    <s v="1-Mar-2019 / 1-Dec-2018"/>
    <s v="31-12-2020 / 30-Nov-2019"/>
    <n v="148"/>
    <m/>
    <m/>
    <m/>
    <s v="Yes"/>
    <m/>
    <m/>
    <m/>
    <m/>
    <m/>
    <m/>
    <m/>
    <m/>
    <m/>
    <n v="1"/>
    <m/>
    <m/>
    <m/>
    <m/>
    <m/>
    <m/>
    <m/>
    <m/>
    <m/>
    <m/>
    <m/>
    <m/>
    <m/>
    <m/>
    <n v="28"/>
    <m/>
    <m/>
    <m/>
    <m/>
    <m/>
    <m/>
    <m/>
    <x v="0"/>
    <x v="0"/>
    <n v="2"/>
    <m/>
    <m/>
    <m/>
    <m/>
    <m/>
    <m/>
    <n v="2"/>
    <m/>
    <n v="1"/>
    <m/>
    <m/>
    <m/>
    <s v="No"/>
    <m/>
    <m/>
    <m/>
    <s v="no test"/>
    <s v="no test"/>
    <x v="1"/>
    <n v="0"/>
    <n v="0"/>
    <n v="1"/>
    <n v="0"/>
    <n v="0"/>
    <n v="0.25252525252525254"/>
    <n v="0.25252525252525254"/>
    <n v="0.25252525252525254"/>
    <n v="66.666666666666671"/>
    <n v="0"/>
    <n v="0"/>
    <n v="0.25252525252525254"/>
    <n v="66.666666666666671"/>
    <n v="0.13333333333333333"/>
    <n v="0.7474747474747474"/>
    <n v="197.33333333333331"/>
    <n v="0.8666666666666667"/>
    <n v="1"/>
    <n v="28"/>
    <n v="1"/>
    <n v="264"/>
    <n v="0"/>
    <n v="0"/>
    <n v="13"/>
    <n v="0"/>
    <n v="0"/>
    <n v="0"/>
    <n v="264"/>
    <n v="0"/>
    <n v="0"/>
    <n v="0"/>
    <n v="264"/>
    <n v="1"/>
    <n v="0"/>
    <n v="1"/>
    <n v="0"/>
    <n v="0"/>
    <n v="0"/>
    <n v="0"/>
    <n v="0"/>
    <n v="0"/>
    <x v="1"/>
    <s v="Yes"/>
    <s v="KMSS-MYT"/>
    <x v="0"/>
    <x v="0"/>
    <x v="0"/>
    <n v="25.60867"/>
    <n v="98.377780000000001"/>
    <s v="MMR001CMP210"/>
    <x v="0"/>
    <m/>
  </r>
  <r>
    <x v="1"/>
    <x v="4"/>
    <x v="4"/>
    <s v="UNICEF,ADRA(CANADA),PLAN(GFFO)"/>
    <x v="0"/>
    <x v="7"/>
    <x v="1"/>
    <x v="107"/>
    <n v="105"/>
    <n v="474"/>
    <s v="4/1/2019,5/1/2019,5/1/2019"/>
    <s v="7/31/2019,1/31/2020,9/30/2021"/>
    <m/>
    <m/>
    <m/>
    <m/>
    <s v="Yes"/>
    <m/>
    <m/>
    <n v="1"/>
    <m/>
    <m/>
    <n v="0"/>
    <m/>
    <m/>
    <m/>
    <m/>
    <m/>
    <m/>
    <m/>
    <m/>
    <m/>
    <m/>
    <n v="2"/>
    <m/>
    <m/>
    <m/>
    <m/>
    <m/>
    <m/>
    <m/>
    <n v="12"/>
    <m/>
    <m/>
    <m/>
    <m/>
    <m/>
    <m/>
    <n v="12"/>
    <x v="0"/>
    <x v="0"/>
    <m/>
    <m/>
    <m/>
    <m/>
    <m/>
    <m/>
    <m/>
    <n v="3"/>
    <m/>
    <m/>
    <n v="2"/>
    <m/>
    <m/>
    <m/>
    <m/>
    <m/>
    <m/>
    <s v="no test"/>
    <s v="no test"/>
    <x v="1"/>
    <n v="1"/>
    <n v="0"/>
    <n v="0"/>
    <n v="0"/>
    <n v="0"/>
    <n v="0.84388185654008441"/>
    <n v="0.52742616033755274"/>
    <n v="0.84388185654008441"/>
    <n v="400"/>
    <n v="0"/>
    <n v="0"/>
    <n v="0.84388185654008441"/>
    <n v="400"/>
    <n v="0.8"/>
    <n v="0.15611814345991559"/>
    <n v="73.999999999999986"/>
    <n v="0.19999999999999996"/>
    <n v="1"/>
    <n v="12"/>
    <n v="0.50632911392405067"/>
    <n v="240"/>
    <n v="0"/>
    <n v="0"/>
    <n v="24"/>
    <n v="12"/>
    <n v="0.49367088607594933"/>
    <n v="0"/>
    <n v="474"/>
    <n v="0"/>
    <n v="0"/>
    <n v="0"/>
    <n v="474"/>
    <n v="1"/>
    <n v="0"/>
    <n v="1"/>
    <n v="0"/>
    <n v="0"/>
    <n v="0"/>
    <n v="0"/>
    <n v="0"/>
    <n v="0"/>
    <x v="0"/>
    <n v="0"/>
    <s v="KBC"/>
    <x v="0"/>
    <x v="0"/>
    <x v="0"/>
    <n v="97.104997409999996"/>
    <n v="25.379014999999999"/>
    <s v="MMR001CMP261"/>
    <x v="0"/>
    <m/>
  </r>
  <r>
    <x v="1"/>
    <x v="3"/>
    <x v="3"/>
    <s v="HARP,UNICEF"/>
    <x v="0"/>
    <x v="2"/>
    <x v="1"/>
    <x v="108"/>
    <n v="100"/>
    <n v="612"/>
    <s v="1-Mar-2019 / 1-Dec-2019"/>
    <s v="31-12-2020 / 30-Nov-2019"/>
    <n v="57"/>
    <m/>
    <m/>
    <m/>
    <s v="Yes"/>
    <m/>
    <m/>
    <m/>
    <m/>
    <m/>
    <m/>
    <m/>
    <m/>
    <m/>
    <n v="1"/>
    <m/>
    <m/>
    <m/>
    <m/>
    <m/>
    <m/>
    <m/>
    <m/>
    <m/>
    <m/>
    <m/>
    <n v="4"/>
    <m/>
    <m/>
    <n v="98"/>
    <m/>
    <m/>
    <m/>
    <m/>
    <m/>
    <m/>
    <m/>
    <x v="0"/>
    <x v="0"/>
    <n v="3"/>
    <m/>
    <m/>
    <m/>
    <m/>
    <m/>
    <m/>
    <n v="4"/>
    <m/>
    <n v="1"/>
    <n v="1"/>
    <m/>
    <m/>
    <s v="No"/>
    <m/>
    <n v="0.46"/>
    <m/>
    <s v="no test"/>
    <s v="no test"/>
    <x v="1"/>
    <n v="0"/>
    <n v="0"/>
    <n v="1"/>
    <n v="0"/>
    <n v="0"/>
    <n v="0.10893246187363835"/>
    <n v="0.10893246187363835"/>
    <n v="0.10893246187363835"/>
    <n v="66.666666666666671"/>
    <n v="0"/>
    <n v="0"/>
    <n v="0.10893246187363835"/>
    <n v="66.666666666666671"/>
    <n v="0.13333333333333333"/>
    <n v="0.89106753812636164"/>
    <n v="545.33333333333337"/>
    <n v="0.8666666666666667"/>
    <n v="1"/>
    <n v="98"/>
    <n v="1"/>
    <n v="612"/>
    <n v="0"/>
    <n v="0"/>
    <n v="31"/>
    <n v="0"/>
    <n v="0"/>
    <n v="0"/>
    <n v="612"/>
    <n v="0"/>
    <n v="0"/>
    <n v="0"/>
    <n v="612"/>
    <n v="1"/>
    <n v="0"/>
    <n v="1"/>
    <n v="0"/>
    <n v="0"/>
    <n v="0"/>
    <n v="0"/>
    <n v="0"/>
    <n v="0"/>
    <x v="1"/>
    <s v="Yes"/>
    <s v="KMSS-MYT"/>
    <x v="0"/>
    <x v="0"/>
    <x v="1"/>
    <n v="25.265277999999999"/>
    <n v="97.990555999999998"/>
    <s v="MMR001CMP160"/>
    <x v="0"/>
    <m/>
  </r>
  <r>
    <x v="1"/>
    <x v="2"/>
    <x v="2"/>
    <m/>
    <x v="0"/>
    <x v="3"/>
    <x v="1"/>
    <x v="109"/>
    <n v="255"/>
    <n v="1374"/>
    <m/>
    <m/>
    <m/>
    <m/>
    <m/>
    <m/>
    <m/>
    <m/>
    <m/>
    <m/>
    <m/>
    <m/>
    <m/>
    <m/>
    <m/>
    <m/>
    <m/>
    <m/>
    <m/>
    <m/>
    <m/>
    <m/>
    <m/>
    <m/>
    <m/>
    <m/>
    <m/>
    <m/>
    <m/>
    <m/>
    <m/>
    <m/>
    <m/>
    <m/>
    <m/>
    <m/>
    <m/>
    <m/>
    <m/>
    <x v="1"/>
    <x v="1"/>
    <m/>
    <m/>
    <m/>
    <m/>
    <m/>
    <m/>
    <m/>
    <m/>
    <m/>
    <m/>
    <m/>
    <m/>
    <m/>
    <m/>
    <m/>
    <m/>
    <m/>
    <s v="no test"/>
    <s v="no test"/>
    <x v="1"/>
    <n v="0"/>
    <n v="0"/>
    <n v="0"/>
    <n v="0"/>
    <n v="0"/>
    <n v="0"/>
    <n v="0"/>
    <n v="0"/>
    <n v="0"/>
    <n v="0"/>
    <n v="0"/>
    <n v="0"/>
    <n v="0"/>
    <n v="0"/>
    <n v="1"/>
    <n v="1374"/>
    <n v="3"/>
    <n v="3"/>
    <n v="0"/>
    <n v="0"/>
    <n v="0"/>
    <n v="0"/>
    <n v="0"/>
    <n v="69"/>
    <n v="69"/>
    <n v="1"/>
    <n v="0"/>
    <n v="0"/>
    <n v="0"/>
    <n v="0"/>
    <n v="0"/>
    <n v="0"/>
    <n v="0"/>
    <n v="1"/>
    <n v="0"/>
    <n v="0"/>
    <n v="0"/>
    <n v="0"/>
    <n v="0"/>
    <n v="0"/>
    <n v="0"/>
    <x v="0"/>
    <s v="Yes"/>
    <s v="KMSS-MYT"/>
    <x v="0"/>
    <x v="0"/>
    <x v="0"/>
    <n v="25.493819999999999"/>
    <n v="97.4345"/>
    <s v="MMR001CMP271"/>
    <x v="1"/>
    <m/>
  </r>
  <r>
    <x v="1"/>
    <x v="4"/>
    <x v="4"/>
    <s v="UNICEF,ADRA(CANADA)"/>
    <x v="0"/>
    <x v="7"/>
    <x v="1"/>
    <x v="110"/>
    <n v="10"/>
    <n v="41"/>
    <s v="4/1/2019,5/1/2019"/>
    <s v="7/31/2019,31/1/2020"/>
    <m/>
    <m/>
    <m/>
    <m/>
    <s v="Yes"/>
    <m/>
    <m/>
    <n v="1"/>
    <m/>
    <m/>
    <n v="0"/>
    <m/>
    <m/>
    <m/>
    <m/>
    <m/>
    <m/>
    <m/>
    <m/>
    <m/>
    <m/>
    <n v="3"/>
    <m/>
    <m/>
    <m/>
    <m/>
    <m/>
    <m/>
    <m/>
    <n v="3"/>
    <m/>
    <m/>
    <m/>
    <m/>
    <m/>
    <m/>
    <n v="3"/>
    <x v="0"/>
    <x v="0"/>
    <m/>
    <m/>
    <m/>
    <m/>
    <m/>
    <m/>
    <m/>
    <n v="2"/>
    <m/>
    <m/>
    <n v="1"/>
    <m/>
    <m/>
    <m/>
    <m/>
    <m/>
    <m/>
    <s v="no test"/>
    <s v="no test"/>
    <x v="1"/>
    <n v="1"/>
    <n v="0"/>
    <n v="0"/>
    <n v="0"/>
    <n v="0"/>
    <n v="1"/>
    <n v="1"/>
    <n v="1"/>
    <n v="41"/>
    <n v="0"/>
    <n v="0"/>
    <n v="1"/>
    <n v="41"/>
    <n v="8.2000000000000003E-2"/>
    <n v="0"/>
    <n v="0"/>
    <n v="0.91800000000000004"/>
    <n v="1"/>
    <n v="3"/>
    <n v="1"/>
    <n v="41"/>
    <n v="0"/>
    <n v="0"/>
    <n v="2"/>
    <n v="0"/>
    <n v="0"/>
    <n v="0"/>
    <n v="41"/>
    <n v="0"/>
    <n v="0"/>
    <n v="0"/>
    <n v="41"/>
    <n v="1"/>
    <n v="0"/>
    <n v="1"/>
    <n v="0"/>
    <n v="0"/>
    <n v="0"/>
    <n v="0"/>
    <n v="0"/>
    <n v="0"/>
    <x v="0"/>
    <s v="Yes"/>
    <s v="KBC"/>
    <x v="0"/>
    <x v="0"/>
    <x v="0"/>
    <n v="25.30442"/>
    <n v="96.948740000000001"/>
    <s v="MMR001CMP079"/>
    <x v="0"/>
    <m/>
  </r>
  <r>
    <x v="1"/>
    <x v="5"/>
    <x v="5"/>
    <s v="DFID"/>
    <x v="0"/>
    <x v="2"/>
    <x v="1"/>
    <x v="149"/>
    <n v="115"/>
    <n v="493"/>
    <d v="2018-08-01T00:00:00"/>
    <d v="2020-07-31T00:00:00"/>
    <n v="134"/>
    <n v="1"/>
    <n v="0"/>
    <n v="0"/>
    <s v="Yes"/>
    <n v="3"/>
    <n v="4"/>
    <n v="1"/>
    <m/>
    <m/>
    <n v="1"/>
    <n v="4"/>
    <m/>
    <m/>
    <n v="0"/>
    <m/>
    <m/>
    <n v="0"/>
    <n v="0"/>
    <n v="0"/>
    <n v="0"/>
    <n v="0"/>
    <m/>
    <m/>
    <m/>
    <m/>
    <n v="0"/>
    <n v="0"/>
    <m/>
    <n v="0"/>
    <n v="10"/>
    <s v="ICRC"/>
    <m/>
    <m/>
    <m/>
    <m/>
    <n v="0"/>
    <x v="0"/>
    <x v="0"/>
    <n v="0"/>
    <n v="0"/>
    <n v="0"/>
    <m/>
    <n v="5"/>
    <m/>
    <n v="0"/>
    <n v="2"/>
    <m/>
    <n v="0"/>
    <n v="0"/>
    <m/>
    <m/>
    <s v="Yes"/>
    <m/>
    <n v="0.2"/>
    <m/>
    <s v="no test"/>
    <s v="no test"/>
    <x v="1"/>
    <n v="1"/>
    <n v="5"/>
    <n v="0"/>
    <n v="0"/>
    <n v="0"/>
    <n v="1"/>
    <n v="1"/>
    <n v="1"/>
    <n v="493"/>
    <n v="0"/>
    <n v="0"/>
    <n v="1"/>
    <n v="493"/>
    <n v="0.98599999999999999"/>
    <n v="0"/>
    <n v="0"/>
    <n v="1.4000000000000012E-2"/>
    <n v="1"/>
    <n v="10"/>
    <n v="0.40567951318458417"/>
    <n v="200"/>
    <n v="0"/>
    <n v="0"/>
    <n v="25"/>
    <n v="15"/>
    <n v="0.59432048681541583"/>
    <n v="0"/>
    <n v="0"/>
    <n v="0"/>
    <n v="0"/>
    <n v="0"/>
    <n v="0"/>
    <n v="0"/>
    <n v="1"/>
    <n v="0"/>
    <n v="0"/>
    <n v="0"/>
    <n v="5"/>
    <n v="100"/>
    <n v="0"/>
    <n v="493"/>
    <x v="1"/>
    <s v="Yes"/>
    <s v="Shalom"/>
    <x v="0"/>
    <x v="0"/>
    <x v="0"/>
    <n v="25.3540362037037"/>
    <n v="97.441166388888902"/>
    <s v="MMR001CMP032"/>
    <x v="0"/>
    <m/>
  </r>
  <r>
    <x v="1"/>
    <x v="4"/>
    <x v="4"/>
    <s v="UNICEF,ADRA(CANADA)"/>
    <x v="0"/>
    <x v="8"/>
    <x v="1"/>
    <x v="112"/>
    <n v="22"/>
    <n v="113"/>
    <s v="4/1/2019,5/1/2019"/>
    <s v="7/31/2019,31/1/2020"/>
    <m/>
    <m/>
    <m/>
    <m/>
    <s v="Yes"/>
    <m/>
    <m/>
    <n v="0"/>
    <m/>
    <m/>
    <n v="3"/>
    <m/>
    <m/>
    <m/>
    <m/>
    <m/>
    <m/>
    <m/>
    <m/>
    <m/>
    <m/>
    <n v="0"/>
    <m/>
    <m/>
    <m/>
    <m/>
    <m/>
    <m/>
    <m/>
    <n v="5"/>
    <m/>
    <m/>
    <m/>
    <m/>
    <m/>
    <m/>
    <m/>
    <x v="0"/>
    <x v="3"/>
    <m/>
    <m/>
    <m/>
    <m/>
    <m/>
    <m/>
    <m/>
    <n v="2"/>
    <m/>
    <m/>
    <n v="1"/>
    <m/>
    <m/>
    <m/>
    <m/>
    <m/>
    <m/>
    <s v="no test"/>
    <s v="no test"/>
    <x v="1"/>
    <n v="0"/>
    <n v="3"/>
    <n v="0"/>
    <n v="0"/>
    <n v="0"/>
    <n v="1"/>
    <n v="1"/>
    <n v="1"/>
    <n v="113"/>
    <n v="0"/>
    <n v="0"/>
    <n v="1"/>
    <n v="113"/>
    <n v="0.22600000000000001"/>
    <n v="0"/>
    <n v="0"/>
    <n v="0.77400000000000002"/>
    <n v="1"/>
    <n v="5"/>
    <n v="0.88495575221238942"/>
    <n v="100"/>
    <n v="0"/>
    <n v="0"/>
    <n v="6"/>
    <n v="1"/>
    <n v="0.11504424778761058"/>
    <n v="0"/>
    <n v="113"/>
    <n v="0"/>
    <n v="0"/>
    <n v="0"/>
    <n v="113"/>
    <n v="1"/>
    <n v="0"/>
    <n v="1"/>
    <n v="0"/>
    <n v="0"/>
    <n v="0"/>
    <n v="0"/>
    <n v="0"/>
    <n v="0"/>
    <x v="0"/>
    <s v="Yes"/>
    <s v="KBC"/>
    <x v="0"/>
    <x v="0"/>
    <x v="0"/>
    <n v="24.998349999999999"/>
    <n v="96.364949999999993"/>
    <s v="MMR001CMP152"/>
    <x v="0"/>
    <m/>
  </r>
  <r>
    <x v="1"/>
    <x v="4"/>
    <x v="4"/>
    <s v="UNICEF,ADRA(CANADA)"/>
    <x v="0"/>
    <x v="11"/>
    <x v="1"/>
    <x v="113"/>
    <n v="127"/>
    <n v="547"/>
    <s v="4/1/2019,5/1/2019"/>
    <s v="7/31/2019,31/1/2020"/>
    <m/>
    <m/>
    <m/>
    <n v="30"/>
    <s v="Yes"/>
    <m/>
    <m/>
    <n v="0"/>
    <m/>
    <m/>
    <n v="0"/>
    <m/>
    <m/>
    <m/>
    <n v="1"/>
    <n v="1"/>
    <m/>
    <m/>
    <m/>
    <m/>
    <m/>
    <n v="0"/>
    <m/>
    <m/>
    <m/>
    <m/>
    <m/>
    <m/>
    <m/>
    <n v="74"/>
    <m/>
    <m/>
    <m/>
    <m/>
    <m/>
    <m/>
    <n v="74"/>
    <x v="0"/>
    <x v="0"/>
    <m/>
    <m/>
    <m/>
    <m/>
    <m/>
    <m/>
    <m/>
    <n v="0"/>
    <m/>
    <m/>
    <n v="2"/>
    <m/>
    <m/>
    <m/>
    <m/>
    <m/>
    <m/>
    <s v="no test"/>
    <s v="no test"/>
    <x v="1"/>
    <n v="0"/>
    <n v="0"/>
    <n v="0"/>
    <n v="0"/>
    <n v="0"/>
    <n v="0"/>
    <n v="0"/>
    <n v="0"/>
    <n v="0"/>
    <n v="0"/>
    <n v="0"/>
    <n v="0"/>
    <n v="0"/>
    <n v="0"/>
    <n v="1"/>
    <n v="547"/>
    <n v="1"/>
    <n v="1"/>
    <n v="74"/>
    <n v="1"/>
    <n v="547"/>
    <n v="0"/>
    <n v="0"/>
    <n v="27"/>
    <n v="0"/>
    <n v="0"/>
    <n v="0"/>
    <n v="547"/>
    <n v="0"/>
    <n v="0"/>
    <n v="0"/>
    <n v="547"/>
    <n v="1"/>
    <n v="0"/>
    <n v="1"/>
    <n v="0"/>
    <n v="0"/>
    <n v="0"/>
    <n v="0"/>
    <n v="0"/>
    <n v="0"/>
    <x v="0"/>
    <s v="Yes"/>
    <s v="KBC-MYT"/>
    <x v="0"/>
    <x v="0"/>
    <x v="1"/>
    <n v="26.569633"/>
    <n v="97.745480999999998"/>
    <s v="MMR001CMP238"/>
    <x v="0"/>
    <m/>
  </r>
  <r>
    <x v="1"/>
    <x v="5"/>
    <x v="5"/>
    <s v="DFID"/>
    <x v="0"/>
    <x v="2"/>
    <x v="1"/>
    <x v="151"/>
    <n v="36"/>
    <n v="189"/>
    <d v="2018-08-01T00:00:00"/>
    <d v="2020-07-31T00:00:00"/>
    <m/>
    <n v="1"/>
    <n v="0"/>
    <n v="0"/>
    <s v="Yes"/>
    <n v="2"/>
    <n v="2"/>
    <n v="2"/>
    <m/>
    <m/>
    <n v="0"/>
    <n v="2"/>
    <m/>
    <m/>
    <n v="0"/>
    <m/>
    <m/>
    <n v="0"/>
    <n v="0"/>
    <n v="0"/>
    <n v="0"/>
    <n v="0"/>
    <m/>
    <m/>
    <m/>
    <m/>
    <n v="0"/>
    <n v="0"/>
    <m/>
    <n v="8"/>
    <n v="0"/>
    <n v="0"/>
    <m/>
    <m/>
    <m/>
    <m/>
    <n v="0"/>
    <x v="0"/>
    <x v="0"/>
    <n v="0"/>
    <n v="0"/>
    <n v="0"/>
    <m/>
    <n v="3"/>
    <m/>
    <n v="4"/>
    <n v="2"/>
    <m/>
    <n v="0"/>
    <n v="0"/>
    <m/>
    <m/>
    <s v="No"/>
    <m/>
    <n v="0"/>
    <m/>
    <s v="no test"/>
    <s v="no test"/>
    <x v="1"/>
    <n v="2"/>
    <n v="2"/>
    <n v="0"/>
    <n v="0"/>
    <n v="0"/>
    <n v="1"/>
    <n v="1"/>
    <n v="1"/>
    <n v="189"/>
    <n v="0"/>
    <n v="0"/>
    <n v="1"/>
    <n v="189"/>
    <n v="0.378"/>
    <n v="0"/>
    <n v="0"/>
    <n v="0.622"/>
    <n v="1"/>
    <n v="8"/>
    <n v="0.84656084656084651"/>
    <n v="160"/>
    <n v="0"/>
    <n v="0"/>
    <n v="9"/>
    <n v="1"/>
    <n v="0.15343915343915349"/>
    <n v="0"/>
    <n v="0"/>
    <n v="0"/>
    <n v="0"/>
    <n v="0"/>
    <n v="0"/>
    <n v="0"/>
    <n v="1"/>
    <n v="0"/>
    <n v="0"/>
    <n v="0"/>
    <n v="3"/>
    <n v="36"/>
    <n v="0"/>
    <n v="189"/>
    <x v="0"/>
    <s v="Yes"/>
    <s v="Shalom"/>
    <x v="0"/>
    <x v="0"/>
    <x v="0"/>
    <n v="25.345918166666699"/>
    <n v="97.437472666666693"/>
    <s v="MMR001CMP030"/>
    <x v="0"/>
    <m/>
  </r>
  <r>
    <x v="1"/>
    <x v="5"/>
    <x v="5"/>
    <s v="DFID"/>
    <x v="0"/>
    <x v="6"/>
    <x v="1"/>
    <x v="37"/>
    <n v="10"/>
    <n v="38"/>
    <d v="2018-08-01T00:00:00"/>
    <d v="2020-07-31T00:00:00"/>
    <m/>
    <n v="1"/>
    <n v="0"/>
    <n v="0"/>
    <s v="Yes"/>
    <n v="2"/>
    <n v="2"/>
    <n v="1"/>
    <m/>
    <m/>
    <n v="0"/>
    <n v="0"/>
    <m/>
    <m/>
    <n v="2"/>
    <m/>
    <m/>
    <n v="0"/>
    <n v="1"/>
    <n v="1"/>
    <n v="0"/>
    <n v="1"/>
    <m/>
    <m/>
    <m/>
    <m/>
    <n v="0"/>
    <n v="0"/>
    <m/>
    <n v="2"/>
    <n v="0"/>
    <s v="Shalom"/>
    <m/>
    <m/>
    <m/>
    <m/>
    <n v="0"/>
    <x v="0"/>
    <x v="0"/>
    <n v="0"/>
    <n v="0"/>
    <n v="0"/>
    <m/>
    <n v="1"/>
    <m/>
    <n v="0"/>
    <n v="1"/>
    <m/>
    <n v="2"/>
    <n v="2"/>
    <m/>
    <m/>
    <s v="No"/>
    <m/>
    <n v="0.4"/>
    <m/>
    <s v="no test"/>
    <s v="no test"/>
    <x v="1"/>
    <n v="1"/>
    <n v="0"/>
    <n v="2"/>
    <n v="0"/>
    <n v="1"/>
    <n v="1"/>
    <n v="1"/>
    <n v="1"/>
    <n v="38"/>
    <n v="1"/>
    <n v="38"/>
    <n v="1"/>
    <n v="38"/>
    <n v="7.5999999999999998E-2"/>
    <n v="0"/>
    <n v="0"/>
    <n v="0.92400000000000004"/>
    <n v="1"/>
    <n v="2"/>
    <n v="1"/>
    <n v="38"/>
    <n v="0"/>
    <n v="0"/>
    <n v="2"/>
    <n v="0"/>
    <n v="0"/>
    <n v="0"/>
    <n v="38"/>
    <n v="0"/>
    <n v="0"/>
    <n v="0"/>
    <n v="38"/>
    <n v="1"/>
    <n v="0"/>
    <n v="1"/>
    <n v="0"/>
    <n v="0"/>
    <n v="1"/>
    <n v="10"/>
    <n v="0"/>
    <n v="38"/>
    <x v="0"/>
    <s v="Yes"/>
    <s v="uncovered"/>
    <x v="0"/>
    <x v="2"/>
    <x v="0"/>
    <n v="25.56551"/>
    <n v="96.279200000000003"/>
    <s v="MMR001CMP182"/>
    <x v="0"/>
    <m/>
  </r>
  <r>
    <x v="1"/>
    <x v="4"/>
    <x v="4"/>
    <s v="UNICEF,ADRA(CANADA),PLAN(GFFO)"/>
    <x v="0"/>
    <x v="3"/>
    <x v="1"/>
    <x v="116"/>
    <n v="67"/>
    <n v="281"/>
    <s v="4/1/2019,5/1/2019,5/1/2019"/>
    <s v="7/31/2019,1/31/2020,9/30/2021"/>
    <m/>
    <m/>
    <m/>
    <m/>
    <s v="Yes"/>
    <m/>
    <m/>
    <n v="1"/>
    <m/>
    <m/>
    <n v="2"/>
    <m/>
    <m/>
    <m/>
    <m/>
    <m/>
    <m/>
    <m/>
    <m/>
    <m/>
    <m/>
    <n v="3"/>
    <m/>
    <m/>
    <m/>
    <m/>
    <m/>
    <m/>
    <m/>
    <n v="15"/>
    <m/>
    <m/>
    <m/>
    <m/>
    <m/>
    <m/>
    <n v="15"/>
    <x v="0"/>
    <x v="0"/>
    <m/>
    <m/>
    <m/>
    <m/>
    <m/>
    <m/>
    <m/>
    <n v="2"/>
    <m/>
    <m/>
    <n v="1"/>
    <m/>
    <m/>
    <m/>
    <m/>
    <m/>
    <m/>
    <s v="no test"/>
    <s v="no test"/>
    <x v="1"/>
    <n v="1"/>
    <n v="2"/>
    <n v="0"/>
    <n v="0"/>
    <n v="0"/>
    <n v="1"/>
    <n v="1"/>
    <n v="1"/>
    <n v="281"/>
    <n v="0"/>
    <n v="0"/>
    <n v="1"/>
    <n v="281"/>
    <n v="0.56200000000000006"/>
    <n v="0"/>
    <n v="0"/>
    <n v="0.43799999999999994"/>
    <n v="1"/>
    <n v="15"/>
    <n v="1"/>
    <n v="281"/>
    <n v="0"/>
    <n v="0"/>
    <n v="14"/>
    <n v="0"/>
    <n v="0"/>
    <n v="0"/>
    <n v="281"/>
    <n v="0"/>
    <n v="0"/>
    <n v="0"/>
    <n v="281"/>
    <n v="1"/>
    <n v="0"/>
    <n v="1"/>
    <n v="0"/>
    <n v="0"/>
    <n v="0"/>
    <n v="0"/>
    <n v="0"/>
    <n v="0"/>
    <x v="0"/>
    <s v="Yes"/>
    <s v="KBC-MYT"/>
    <x v="0"/>
    <x v="0"/>
    <x v="0"/>
    <n v="25.422194000000001"/>
    <n v="97.394547000000003"/>
    <s v="MMR001CMP002"/>
    <x v="0"/>
    <m/>
  </r>
  <r>
    <x v="1"/>
    <x v="4"/>
    <x v="4"/>
    <s v="UNICEF,ADRA(CANADA)"/>
    <x v="0"/>
    <x v="2"/>
    <x v="1"/>
    <x v="117"/>
    <n v="178"/>
    <n v="846"/>
    <s v="4/1/2019,5/1/2019"/>
    <s v="7/31/2019,31/1/2020"/>
    <m/>
    <m/>
    <m/>
    <m/>
    <s v="Yes"/>
    <m/>
    <m/>
    <n v="0"/>
    <m/>
    <m/>
    <n v="0"/>
    <m/>
    <m/>
    <m/>
    <n v="3"/>
    <m/>
    <m/>
    <m/>
    <m/>
    <m/>
    <m/>
    <n v="0"/>
    <m/>
    <m/>
    <m/>
    <m/>
    <m/>
    <m/>
    <m/>
    <n v="150"/>
    <m/>
    <m/>
    <m/>
    <m/>
    <m/>
    <m/>
    <n v="150"/>
    <x v="0"/>
    <x v="0"/>
    <m/>
    <m/>
    <m/>
    <m/>
    <m/>
    <m/>
    <m/>
    <n v="4"/>
    <m/>
    <m/>
    <n v="3"/>
    <m/>
    <m/>
    <m/>
    <m/>
    <m/>
    <m/>
    <s v="no test"/>
    <s v="no test"/>
    <x v="1"/>
    <n v="0"/>
    <n v="0"/>
    <n v="3"/>
    <n v="0"/>
    <n v="0"/>
    <n v="0.2364066193853428"/>
    <n v="0.2364066193853428"/>
    <n v="0.2364066193853428"/>
    <n v="200"/>
    <n v="0"/>
    <n v="0"/>
    <n v="0.2364066193853428"/>
    <n v="200"/>
    <n v="0.4"/>
    <n v="0.7635933806146572"/>
    <n v="646"/>
    <n v="1.6"/>
    <n v="2"/>
    <n v="150"/>
    <n v="1"/>
    <n v="846"/>
    <n v="0"/>
    <n v="0"/>
    <n v="141"/>
    <n v="0"/>
    <n v="0"/>
    <n v="0"/>
    <n v="846"/>
    <n v="0"/>
    <n v="0"/>
    <n v="0"/>
    <n v="846"/>
    <n v="1"/>
    <n v="0"/>
    <n v="1"/>
    <n v="0"/>
    <n v="0"/>
    <n v="0"/>
    <n v="0"/>
    <n v="0"/>
    <n v="0"/>
    <x v="0"/>
    <s v="Yes"/>
    <s v="KBC-MYT"/>
    <x v="1"/>
    <x v="0"/>
    <x v="1"/>
    <n v="24.831944"/>
    <n v="97.751389000000003"/>
    <s v="MMR001CMP120"/>
    <x v="0"/>
    <m/>
  </r>
  <r>
    <x v="1"/>
    <x v="4"/>
    <x v="4"/>
    <s v="MHF/ MHF-SI"/>
    <x v="0"/>
    <x v="4"/>
    <x v="1"/>
    <x v="118"/>
    <n v="361"/>
    <n v="1436"/>
    <d v="2018-10-01T00:00:00"/>
    <d v="2019-07-30T00:00:00"/>
    <n v="278"/>
    <m/>
    <m/>
    <m/>
    <s v="Yes"/>
    <n v="8"/>
    <n v="6"/>
    <n v="14"/>
    <m/>
    <m/>
    <n v="1"/>
    <m/>
    <m/>
    <m/>
    <n v="1"/>
    <m/>
    <m/>
    <m/>
    <m/>
    <n v="14360"/>
    <m/>
    <n v="0"/>
    <n v="11"/>
    <n v="8"/>
    <n v="361"/>
    <n v="361"/>
    <n v="74"/>
    <n v="0"/>
    <s v="Short under ground water level, thus water shortage durnig every summer. "/>
    <n v="14"/>
    <n v="361"/>
    <s v="SI-KBC"/>
    <m/>
    <m/>
    <m/>
    <m/>
    <n v="16"/>
    <x v="0"/>
    <x v="4"/>
    <m/>
    <m/>
    <n v="35"/>
    <s v="Individual HH latrine was completed in every HH, KBC provide the latrine maintenance. "/>
    <n v="70"/>
    <n v="0"/>
    <n v="7"/>
    <n v="0"/>
    <n v="0"/>
    <n v="1"/>
    <n v="6"/>
    <n v="361"/>
    <n v="346"/>
    <s v="Yes"/>
    <m/>
    <m/>
    <m/>
    <n v="0.72727272727272729"/>
    <n v="1"/>
    <x v="0"/>
    <n v="14"/>
    <n v="1"/>
    <n v="1"/>
    <n v="0"/>
    <n v="14360"/>
    <n v="1"/>
    <n v="1"/>
    <n v="1"/>
    <n v="1436"/>
    <n v="0"/>
    <n v="0"/>
    <n v="1"/>
    <n v="1436"/>
    <n v="2.8719999999999999"/>
    <n v="0"/>
    <n v="0"/>
    <n v="0.12800000000000011"/>
    <n v="3"/>
    <n v="375"/>
    <n v="1"/>
    <n v="1436"/>
    <n v="0"/>
    <n v="278"/>
    <n v="72"/>
    <n v="0"/>
    <n v="0"/>
    <n v="0"/>
    <n v="1436"/>
    <n v="1436"/>
    <n v="1436"/>
    <n v="1436"/>
    <n v="1436"/>
    <n v="1"/>
    <n v="0"/>
    <n v="1"/>
    <n v="1"/>
    <n v="0.95844875346260383"/>
    <n v="70"/>
    <n v="361"/>
    <n v="74"/>
    <n v="1436"/>
    <x v="1"/>
    <n v="0"/>
    <n v="0"/>
    <x v="0"/>
    <x v="2"/>
    <x v="1"/>
    <n v="0"/>
    <n v="0"/>
    <s v="MMR001CMP273"/>
    <x v="0"/>
    <m/>
  </r>
  <r>
    <x v="1"/>
    <x v="4"/>
    <x v="4"/>
    <s v="UNICEF,ADRA(CANADA)"/>
    <x v="0"/>
    <x v="2"/>
    <x v="1"/>
    <x v="119"/>
    <n v="60"/>
    <n v="307"/>
    <s v="4/1/2019,5/1/2019,5/1/2019"/>
    <s v="7/31/2019,1/31/2020,9/30/2021"/>
    <m/>
    <m/>
    <m/>
    <m/>
    <s v="Yes"/>
    <m/>
    <m/>
    <n v="1"/>
    <m/>
    <m/>
    <n v="0"/>
    <m/>
    <m/>
    <m/>
    <m/>
    <m/>
    <m/>
    <m/>
    <m/>
    <m/>
    <m/>
    <n v="1"/>
    <m/>
    <m/>
    <m/>
    <m/>
    <m/>
    <m/>
    <m/>
    <n v="14"/>
    <m/>
    <m/>
    <m/>
    <m/>
    <m/>
    <m/>
    <n v="10"/>
    <x v="0"/>
    <x v="0"/>
    <m/>
    <m/>
    <m/>
    <m/>
    <m/>
    <m/>
    <m/>
    <n v="2"/>
    <m/>
    <m/>
    <n v="1"/>
    <m/>
    <m/>
    <m/>
    <m/>
    <m/>
    <m/>
    <s v="no test"/>
    <s v="no test"/>
    <x v="1"/>
    <n v="1"/>
    <n v="0"/>
    <n v="0"/>
    <n v="0"/>
    <n v="0"/>
    <n v="1"/>
    <n v="0.81433224755700329"/>
    <n v="1"/>
    <n v="307"/>
    <n v="0"/>
    <n v="0"/>
    <n v="1"/>
    <n v="307"/>
    <n v="0.61399999999999999"/>
    <n v="0"/>
    <n v="0"/>
    <n v="0.38600000000000001"/>
    <n v="1"/>
    <n v="14"/>
    <n v="0.91205211726384361"/>
    <n v="280"/>
    <n v="0"/>
    <n v="0"/>
    <n v="15"/>
    <n v="1"/>
    <n v="8.7947882736156391E-2"/>
    <n v="0"/>
    <n v="307"/>
    <n v="0"/>
    <n v="0"/>
    <n v="0"/>
    <n v="307"/>
    <n v="1"/>
    <n v="0"/>
    <n v="1"/>
    <n v="0"/>
    <n v="0"/>
    <n v="0"/>
    <n v="0"/>
    <n v="0"/>
    <n v="0"/>
    <x v="0"/>
    <s v="Yes"/>
    <s v="KBC-MYT"/>
    <x v="0"/>
    <x v="0"/>
    <x v="0"/>
    <n v="25.351724999999998"/>
    <n v="97.438432380952406"/>
    <s v="MMR001CMP025"/>
    <x v="0"/>
    <m/>
  </r>
  <r>
    <x v="1"/>
    <x v="2"/>
    <x v="2"/>
    <m/>
    <x v="0"/>
    <x v="10"/>
    <x v="1"/>
    <x v="120"/>
    <n v="10"/>
    <n v="56"/>
    <m/>
    <m/>
    <m/>
    <m/>
    <m/>
    <m/>
    <m/>
    <m/>
    <m/>
    <m/>
    <m/>
    <m/>
    <m/>
    <m/>
    <m/>
    <m/>
    <m/>
    <m/>
    <m/>
    <m/>
    <m/>
    <m/>
    <m/>
    <m/>
    <m/>
    <m/>
    <m/>
    <m/>
    <m/>
    <m/>
    <m/>
    <m/>
    <m/>
    <m/>
    <m/>
    <m/>
    <m/>
    <m/>
    <m/>
    <x v="1"/>
    <x v="1"/>
    <m/>
    <m/>
    <m/>
    <m/>
    <m/>
    <m/>
    <m/>
    <m/>
    <m/>
    <m/>
    <m/>
    <m/>
    <m/>
    <m/>
    <m/>
    <m/>
    <m/>
    <s v="no test"/>
    <s v="no test"/>
    <x v="1"/>
    <n v="0"/>
    <n v="0"/>
    <n v="0"/>
    <n v="0"/>
    <n v="0"/>
    <n v="0"/>
    <n v="0"/>
    <n v="0"/>
    <n v="0"/>
    <n v="0"/>
    <n v="0"/>
    <n v="0"/>
    <n v="0"/>
    <n v="0"/>
    <n v="1"/>
    <n v="56"/>
    <n v="1"/>
    <n v="1"/>
    <n v="0"/>
    <n v="0"/>
    <n v="0"/>
    <n v="0"/>
    <n v="0"/>
    <n v="3"/>
    <n v="3"/>
    <n v="1"/>
    <n v="0"/>
    <n v="0"/>
    <n v="0"/>
    <n v="0"/>
    <n v="0"/>
    <n v="0"/>
    <n v="0"/>
    <n v="1"/>
    <n v="0"/>
    <n v="0"/>
    <n v="0"/>
    <n v="0"/>
    <n v="0"/>
    <n v="0"/>
    <n v="0"/>
    <x v="0"/>
    <n v="0"/>
    <s v="uncovered"/>
    <x v="0"/>
    <x v="1"/>
    <x v="0"/>
    <n v="27.248964999999998"/>
    <n v="97.561105999999995"/>
    <s v="MMR001CMP227"/>
    <x v="1"/>
    <m/>
  </r>
  <r>
    <x v="1"/>
    <x v="4"/>
    <x v="4"/>
    <s v="UNICEF,ADRA(CANADA)"/>
    <x v="0"/>
    <x v="11"/>
    <x v="1"/>
    <x v="121"/>
    <n v="63"/>
    <n v="325"/>
    <s v="4/1/2019,5/1/2019"/>
    <s v="7/31/2019,31/1/2020"/>
    <m/>
    <m/>
    <m/>
    <n v="30"/>
    <s v="Yes"/>
    <m/>
    <m/>
    <n v="0"/>
    <m/>
    <m/>
    <n v="0"/>
    <m/>
    <m/>
    <m/>
    <n v="1"/>
    <n v="1"/>
    <m/>
    <m/>
    <m/>
    <m/>
    <m/>
    <n v="0"/>
    <m/>
    <m/>
    <m/>
    <m/>
    <m/>
    <m/>
    <m/>
    <n v="65"/>
    <m/>
    <m/>
    <m/>
    <m/>
    <m/>
    <m/>
    <n v="65"/>
    <x v="0"/>
    <x v="0"/>
    <m/>
    <m/>
    <m/>
    <m/>
    <m/>
    <m/>
    <m/>
    <n v="0"/>
    <m/>
    <m/>
    <n v="2"/>
    <m/>
    <m/>
    <m/>
    <m/>
    <m/>
    <m/>
    <s v="no test"/>
    <s v="no test"/>
    <x v="1"/>
    <n v="0"/>
    <n v="0"/>
    <n v="0"/>
    <n v="0"/>
    <n v="0"/>
    <n v="0"/>
    <n v="0"/>
    <n v="0"/>
    <n v="0"/>
    <n v="0"/>
    <n v="0"/>
    <n v="0"/>
    <n v="0"/>
    <n v="0"/>
    <n v="1"/>
    <n v="325"/>
    <n v="1"/>
    <n v="1"/>
    <n v="65"/>
    <n v="1"/>
    <n v="325"/>
    <n v="0"/>
    <n v="0"/>
    <n v="16"/>
    <n v="0"/>
    <n v="0"/>
    <n v="0"/>
    <n v="325"/>
    <n v="0"/>
    <n v="0"/>
    <n v="0"/>
    <n v="325"/>
    <n v="1"/>
    <n v="0"/>
    <n v="1"/>
    <n v="0"/>
    <n v="0"/>
    <n v="0"/>
    <n v="0"/>
    <n v="0"/>
    <n v="0"/>
    <x v="0"/>
    <s v="Yes"/>
    <s v="KBC-MYT"/>
    <x v="0"/>
    <x v="0"/>
    <x v="1"/>
    <n v="26.548506"/>
    <n v="97.75609"/>
    <s v="MMR001CMP239"/>
    <x v="0"/>
    <m/>
  </r>
  <r>
    <x v="1"/>
    <x v="2"/>
    <x v="2"/>
    <m/>
    <x v="0"/>
    <x v="10"/>
    <x v="1"/>
    <x v="122"/>
    <n v="14"/>
    <n v="75"/>
    <m/>
    <m/>
    <m/>
    <m/>
    <m/>
    <m/>
    <m/>
    <m/>
    <m/>
    <m/>
    <m/>
    <m/>
    <m/>
    <m/>
    <m/>
    <m/>
    <m/>
    <m/>
    <m/>
    <m/>
    <m/>
    <m/>
    <m/>
    <m/>
    <m/>
    <m/>
    <m/>
    <m/>
    <m/>
    <m/>
    <m/>
    <m/>
    <m/>
    <m/>
    <m/>
    <m/>
    <m/>
    <m/>
    <m/>
    <x v="1"/>
    <x v="1"/>
    <m/>
    <m/>
    <m/>
    <m/>
    <m/>
    <m/>
    <m/>
    <m/>
    <m/>
    <m/>
    <m/>
    <m/>
    <m/>
    <m/>
    <m/>
    <m/>
    <m/>
    <s v="no test"/>
    <s v="no test"/>
    <x v="1"/>
    <n v="0"/>
    <n v="0"/>
    <n v="0"/>
    <n v="0"/>
    <n v="0"/>
    <n v="0"/>
    <n v="0"/>
    <n v="0"/>
    <n v="0"/>
    <n v="0"/>
    <n v="0"/>
    <n v="0"/>
    <n v="0"/>
    <n v="0"/>
    <n v="1"/>
    <n v="75"/>
    <n v="1"/>
    <n v="1"/>
    <n v="0"/>
    <n v="0"/>
    <n v="0"/>
    <n v="0"/>
    <n v="0"/>
    <n v="4"/>
    <n v="4"/>
    <n v="1"/>
    <n v="0"/>
    <n v="0"/>
    <n v="0"/>
    <n v="0"/>
    <n v="0"/>
    <n v="0"/>
    <n v="0"/>
    <n v="1"/>
    <n v="0"/>
    <n v="0"/>
    <n v="0"/>
    <n v="0"/>
    <n v="0"/>
    <n v="0"/>
    <n v="0"/>
    <x v="0"/>
    <n v="0"/>
    <s v="uncovered"/>
    <x v="0"/>
    <x v="1"/>
    <x v="0"/>
    <n v="27.311699999999998"/>
    <n v="97.415289999999999"/>
    <s v="MMR001CMP075"/>
    <x v="1"/>
    <m/>
  </r>
  <r>
    <x v="1"/>
    <x v="4"/>
    <x v="4"/>
    <s v="UNICEF,ADRA(CANADA)"/>
    <x v="0"/>
    <x v="7"/>
    <x v="1"/>
    <x v="123"/>
    <n v="28"/>
    <n v="136"/>
    <s v="4/1/2019,5/1/2019"/>
    <s v="7/31/2019,31/1/2020"/>
    <m/>
    <m/>
    <m/>
    <m/>
    <s v="Yes"/>
    <m/>
    <m/>
    <n v="1"/>
    <m/>
    <m/>
    <n v="1"/>
    <m/>
    <m/>
    <m/>
    <m/>
    <m/>
    <m/>
    <m/>
    <m/>
    <m/>
    <m/>
    <n v="3"/>
    <m/>
    <m/>
    <m/>
    <m/>
    <m/>
    <m/>
    <m/>
    <n v="12"/>
    <m/>
    <m/>
    <m/>
    <m/>
    <m/>
    <m/>
    <n v="12"/>
    <x v="0"/>
    <x v="3"/>
    <m/>
    <m/>
    <m/>
    <m/>
    <m/>
    <m/>
    <m/>
    <n v="2"/>
    <m/>
    <m/>
    <n v="1"/>
    <m/>
    <m/>
    <m/>
    <m/>
    <m/>
    <m/>
    <s v="no test"/>
    <s v="no test"/>
    <x v="1"/>
    <n v="1"/>
    <n v="1"/>
    <n v="0"/>
    <n v="0"/>
    <n v="0"/>
    <n v="1"/>
    <n v="1"/>
    <n v="1"/>
    <n v="136"/>
    <n v="0"/>
    <n v="0"/>
    <n v="1"/>
    <n v="136"/>
    <n v="0.27200000000000002"/>
    <n v="0"/>
    <n v="0"/>
    <n v="0.72799999999999998"/>
    <n v="1"/>
    <n v="12"/>
    <n v="1"/>
    <n v="136"/>
    <n v="0"/>
    <n v="0"/>
    <n v="7"/>
    <n v="0"/>
    <n v="0"/>
    <n v="0"/>
    <n v="136"/>
    <n v="0"/>
    <n v="0"/>
    <n v="0"/>
    <n v="136"/>
    <n v="1"/>
    <n v="0"/>
    <n v="1"/>
    <n v="0"/>
    <n v="0"/>
    <n v="0"/>
    <n v="0"/>
    <n v="0"/>
    <n v="0"/>
    <x v="0"/>
    <s v="Yes"/>
    <s v="KBC"/>
    <x v="0"/>
    <x v="0"/>
    <x v="0"/>
    <n v="25.225000000000001"/>
    <n v="96.793999999999997"/>
    <s v="MMR001CMP236"/>
    <x v="0"/>
    <m/>
  </r>
  <r>
    <x v="1"/>
    <x v="4"/>
    <x v="4"/>
    <s v="UNICEF,ADRA(CANADA)"/>
    <x v="0"/>
    <x v="2"/>
    <x v="1"/>
    <x v="124"/>
    <n v="391"/>
    <n v="1775"/>
    <s v="4/1/2019,5/1/2019"/>
    <s v="7/31/2019,31/1/2020"/>
    <m/>
    <m/>
    <m/>
    <m/>
    <s v="Yes"/>
    <m/>
    <m/>
    <n v="0"/>
    <m/>
    <m/>
    <n v="0"/>
    <m/>
    <m/>
    <m/>
    <n v="4"/>
    <m/>
    <m/>
    <m/>
    <m/>
    <m/>
    <m/>
    <n v="0"/>
    <m/>
    <m/>
    <m/>
    <m/>
    <m/>
    <m/>
    <m/>
    <n v="391"/>
    <m/>
    <m/>
    <m/>
    <m/>
    <m/>
    <m/>
    <n v="413"/>
    <x v="0"/>
    <x v="0"/>
    <m/>
    <m/>
    <m/>
    <m/>
    <m/>
    <m/>
    <m/>
    <n v="9"/>
    <m/>
    <m/>
    <n v="5"/>
    <m/>
    <m/>
    <m/>
    <m/>
    <m/>
    <m/>
    <s v="no test"/>
    <s v="no test"/>
    <x v="1"/>
    <n v="0"/>
    <n v="0"/>
    <n v="4"/>
    <n v="0"/>
    <n v="0"/>
    <n v="0.15023474178403756"/>
    <n v="0.15023474178403756"/>
    <n v="0.15023474178403756"/>
    <n v="266.66666666666669"/>
    <n v="0"/>
    <n v="0"/>
    <n v="0.15023474178403756"/>
    <n v="266.66666666666669"/>
    <n v="0.53333333333333333"/>
    <n v="0.84976525821596249"/>
    <n v="1508.3333333333335"/>
    <n v="3.4666666666666668"/>
    <n v="4"/>
    <n v="391"/>
    <n v="1"/>
    <n v="1775"/>
    <n v="0"/>
    <n v="0"/>
    <n v="89"/>
    <n v="0"/>
    <n v="0"/>
    <n v="0"/>
    <n v="1775"/>
    <n v="0"/>
    <n v="0"/>
    <n v="0"/>
    <n v="1775"/>
    <n v="1"/>
    <n v="0"/>
    <n v="1"/>
    <n v="0"/>
    <n v="0"/>
    <n v="0"/>
    <n v="0"/>
    <n v="0"/>
    <n v="0"/>
    <x v="0"/>
    <s v="Yes"/>
    <s v="KBC-MYT"/>
    <x v="0"/>
    <x v="0"/>
    <x v="1"/>
    <n v="0"/>
    <n v="0"/>
    <s v="MMR001CMP249"/>
    <x v="0"/>
    <m/>
  </r>
  <r>
    <x v="1"/>
    <x v="1"/>
    <x v="1"/>
    <s v="WHH-AA / USAID"/>
    <x v="0"/>
    <x v="4"/>
    <x v="1"/>
    <x v="125"/>
    <n v="45"/>
    <n v="259"/>
    <d v="2019-01-01T00:00:00"/>
    <d v="2019-12-31T00:00:00"/>
    <m/>
    <m/>
    <m/>
    <m/>
    <s v="Yes"/>
    <n v="1"/>
    <n v="2"/>
    <m/>
    <m/>
    <m/>
    <m/>
    <n v="2"/>
    <m/>
    <m/>
    <m/>
    <m/>
    <m/>
    <m/>
    <m/>
    <m/>
    <m/>
    <m/>
    <m/>
    <m/>
    <m/>
    <m/>
    <m/>
    <m/>
    <m/>
    <n v="13"/>
    <m/>
    <m/>
    <n v="4"/>
    <m/>
    <m/>
    <m/>
    <m/>
    <x v="0"/>
    <x v="0"/>
    <m/>
    <m/>
    <m/>
    <m/>
    <n v="4"/>
    <m/>
    <m/>
    <n v="3"/>
    <m/>
    <m/>
    <m/>
    <n v="35"/>
    <n v="19"/>
    <m/>
    <m/>
    <m/>
    <m/>
    <s v="no test"/>
    <s v="no test"/>
    <x v="1"/>
    <n v="0"/>
    <n v="2"/>
    <n v="0"/>
    <n v="0"/>
    <n v="0"/>
    <n v="1"/>
    <n v="1"/>
    <n v="1"/>
    <n v="259"/>
    <n v="0"/>
    <n v="0"/>
    <n v="1"/>
    <n v="259"/>
    <n v="0.51800000000000002"/>
    <n v="0"/>
    <n v="0"/>
    <n v="0.48199999999999998"/>
    <n v="1"/>
    <n v="9"/>
    <n v="0.69498069498069504"/>
    <n v="180"/>
    <n v="0"/>
    <n v="0"/>
    <n v="13"/>
    <n v="0"/>
    <n v="0.30501930501930496"/>
    <n v="0.30769230769230771"/>
    <n v="0"/>
    <n v="175"/>
    <n v="95"/>
    <n v="175"/>
    <n v="175"/>
    <n v="0.67567567567567566"/>
    <n v="0.32432432432432434"/>
    <n v="0"/>
    <n v="0.77777777777777779"/>
    <n v="0.42222222222222222"/>
    <n v="4"/>
    <n v="45"/>
    <n v="0"/>
    <n v="259"/>
    <x v="0"/>
    <s v="Yes"/>
    <s v="KBC-BMO"/>
    <x v="0"/>
    <x v="0"/>
    <x v="0"/>
    <n v="24.200361000000001"/>
    <n v="96.807353000000006"/>
    <s v="MMR001CMP067"/>
    <x v="0"/>
    <m/>
  </r>
  <r>
    <x v="1"/>
    <x v="1"/>
    <x v="1"/>
    <s v="WHH-AA / USAID"/>
    <x v="0"/>
    <x v="4"/>
    <x v="1"/>
    <x v="126"/>
    <n v="33"/>
    <n v="169"/>
    <d v="2019-01-01T00:00:00"/>
    <d v="2019-12-31T00:00:00"/>
    <m/>
    <m/>
    <m/>
    <m/>
    <s v="Yes"/>
    <n v="1"/>
    <n v="1"/>
    <m/>
    <m/>
    <m/>
    <m/>
    <n v="1"/>
    <m/>
    <m/>
    <m/>
    <m/>
    <m/>
    <m/>
    <m/>
    <m/>
    <m/>
    <m/>
    <m/>
    <m/>
    <m/>
    <m/>
    <m/>
    <m/>
    <m/>
    <n v="9"/>
    <m/>
    <m/>
    <m/>
    <m/>
    <m/>
    <m/>
    <m/>
    <x v="0"/>
    <x v="0"/>
    <m/>
    <m/>
    <m/>
    <m/>
    <n v="0"/>
    <m/>
    <m/>
    <n v="2"/>
    <m/>
    <m/>
    <m/>
    <n v="39"/>
    <n v="16"/>
    <m/>
    <m/>
    <m/>
    <m/>
    <s v="no test"/>
    <s v="no test"/>
    <x v="1"/>
    <n v="0"/>
    <n v="1"/>
    <n v="0"/>
    <n v="0"/>
    <n v="0"/>
    <n v="1"/>
    <n v="1"/>
    <n v="1"/>
    <n v="169"/>
    <n v="0"/>
    <n v="0"/>
    <n v="1"/>
    <n v="169"/>
    <n v="0.33800000000000002"/>
    <n v="0"/>
    <n v="0"/>
    <n v="0.66199999999999992"/>
    <n v="1"/>
    <n v="9"/>
    <n v="1"/>
    <n v="169"/>
    <n v="0"/>
    <n v="0"/>
    <n v="8"/>
    <n v="0"/>
    <n v="0"/>
    <n v="0"/>
    <n v="0"/>
    <n v="169"/>
    <n v="80"/>
    <n v="169"/>
    <n v="169"/>
    <n v="1"/>
    <n v="0"/>
    <n v="0"/>
    <n v="1"/>
    <n v="0.48484848484848486"/>
    <n v="0"/>
    <n v="0"/>
    <n v="0"/>
    <n v="0"/>
    <x v="0"/>
    <s v="Yes"/>
    <s v="KMSS-BMO"/>
    <x v="0"/>
    <x v="0"/>
    <x v="0"/>
    <n v="24.200367"/>
    <n v="96.807353000000006"/>
    <s v="MMR001CMP068"/>
    <x v="0"/>
    <m/>
  </r>
  <r>
    <x v="1"/>
    <x v="4"/>
    <x v="4"/>
    <s v="UNICEF,ADRA(CANADA)"/>
    <x v="0"/>
    <x v="6"/>
    <x v="1"/>
    <x v="127"/>
    <n v="28"/>
    <n v="103"/>
    <s v="4/1/2019,5/1/2019"/>
    <s v="7/31/2019,31/1/2020"/>
    <m/>
    <m/>
    <m/>
    <m/>
    <s v="Yes"/>
    <m/>
    <m/>
    <n v="1"/>
    <m/>
    <m/>
    <n v="1"/>
    <m/>
    <m/>
    <m/>
    <m/>
    <m/>
    <m/>
    <m/>
    <m/>
    <m/>
    <m/>
    <n v="0"/>
    <m/>
    <m/>
    <m/>
    <m/>
    <m/>
    <m/>
    <m/>
    <n v="8"/>
    <m/>
    <m/>
    <m/>
    <m/>
    <m/>
    <m/>
    <n v="8"/>
    <x v="0"/>
    <x v="3"/>
    <m/>
    <m/>
    <m/>
    <m/>
    <m/>
    <m/>
    <m/>
    <n v="2"/>
    <m/>
    <m/>
    <n v="1"/>
    <m/>
    <m/>
    <m/>
    <m/>
    <m/>
    <m/>
    <s v="no test"/>
    <s v="no test"/>
    <x v="1"/>
    <n v="1"/>
    <n v="1"/>
    <n v="0"/>
    <n v="0"/>
    <n v="0"/>
    <n v="1"/>
    <n v="1"/>
    <n v="1"/>
    <n v="103"/>
    <n v="0"/>
    <n v="0"/>
    <n v="1"/>
    <n v="103"/>
    <n v="0.20599999999999999"/>
    <n v="0"/>
    <n v="0"/>
    <n v="0.79400000000000004"/>
    <n v="1"/>
    <n v="8"/>
    <n v="1"/>
    <n v="103"/>
    <n v="0"/>
    <n v="0"/>
    <n v="5"/>
    <n v="0"/>
    <n v="0"/>
    <n v="0"/>
    <n v="103"/>
    <n v="0"/>
    <n v="0"/>
    <n v="0"/>
    <n v="103"/>
    <n v="1"/>
    <n v="0"/>
    <n v="1"/>
    <n v="0"/>
    <n v="0"/>
    <n v="0"/>
    <n v="0"/>
    <n v="0"/>
    <n v="0"/>
    <x v="0"/>
    <s v="Yes"/>
    <s v="KBC"/>
    <x v="0"/>
    <x v="0"/>
    <x v="0"/>
    <n v="25.920006000000001"/>
    <n v="96.662092000000001"/>
    <s v="MMR001CMP244"/>
    <x v="0"/>
    <m/>
  </r>
  <r>
    <x v="1"/>
    <x v="4"/>
    <x v="4"/>
    <s v="UNICEF,ADRA(CANADA)"/>
    <x v="0"/>
    <x v="6"/>
    <x v="0"/>
    <x v="128"/>
    <n v="18"/>
    <n v="80"/>
    <s v="4/1/2019,5/1/2019"/>
    <s v="7/31/2019,31/1/2020"/>
    <m/>
    <m/>
    <m/>
    <m/>
    <s v="Yes"/>
    <m/>
    <m/>
    <n v="2"/>
    <m/>
    <m/>
    <m/>
    <m/>
    <m/>
    <m/>
    <m/>
    <m/>
    <m/>
    <m/>
    <m/>
    <m/>
    <m/>
    <n v="0"/>
    <m/>
    <m/>
    <m/>
    <m/>
    <m/>
    <m/>
    <m/>
    <n v="4"/>
    <m/>
    <m/>
    <m/>
    <m/>
    <m/>
    <m/>
    <n v="4"/>
    <x v="0"/>
    <x v="0"/>
    <m/>
    <m/>
    <m/>
    <m/>
    <m/>
    <m/>
    <m/>
    <n v="1"/>
    <m/>
    <m/>
    <n v="1"/>
    <m/>
    <m/>
    <m/>
    <m/>
    <m/>
    <m/>
    <s v="no test"/>
    <s v="no test"/>
    <x v="1"/>
    <n v="2"/>
    <n v="0"/>
    <n v="0"/>
    <n v="0"/>
    <n v="0"/>
    <n v="1"/>
    <n v="1"/>
    <n v="1"/>
    <n v="80"/>
    <n v="0"/>
    <n v="0"/>
    <n v="1"/>
    <n v="80"/>
    <n v="0.16"/>
    <n v="0"/>
    <n v="0"/>
    <n v="0.84"/>
    <n v="1"/>
    <n v="4"/>
    <n v="1"/>
    <n v="80"/>
    <n v="0"/>
    <n v="0"/>
    <n v="4"/>
    <n v="0"/>
    <n v="0"/>
    <n v="0"/>
    <n v="80"/>
    <n v="0"/>
    <n v="0"/>
    <n v="0"/>
    <n v="80"/>
    <n v="1"/>
    <n v="0"/>
    <n v="1"/>
    <n v="0"/>
    <n v="0"/>
    <n v="0"/>
    <n v="0"/>
    <n v="0"/>
    <n v="0"/>
    <x v="0"/>
    <n v="0"/>
    <n v="0"/>
    <x v="0"/>
    <x v="0"/>
    <x v="0"/>
    <n v="0"/>
    <n v="0"/>
    <n v="0"/>
    <x v="0"/>
    <m/>
  </r>
  <r>
    <x v="1"/>
    <x v="4"/>
    <x v="4"/>
    <s v="UNICEF,ADRA(CANADA),PLAN(GFFO)"/>
    <x v="0"/>
    <x v="3"/>
    <x v="1"/>
    <x v="129"/>
    <n v="107"/>
    <n v="534"/>
    <s v="4/1/2019,5/1/2019,5/1/2019"/>
    <s v="7/31/2019,1/31/2020,9/30/2021"/>
    <m/>
    <m/>
    <m/>
    <m/>
    <s v="Yes"/>
    <m/>
    <m/>
    <n v="1"/>
    <m/>
    <m/>
    <n v="1"/>
    <m/>
    <m/>
    <m/>
    <m/>
    <m/>
    <m/>
    <m/>
    <m/>
    <m/>
    <m/>
    <n v="2"/>
    <m/>
    <m/>
    <m/>
    <m/>
    <m/>
    <m/>
    <m/>
    <n v="13"/>
    <m/>
    <m/>
    <m/>
    <m/>
    <n v="14"/>
    <m/>
    <n v="13"/>
    <x v="0"/>
    <x v="0"/>
    <m/>
    <m/>
    <m/>
    <m/>
    <m/>
    <m/>
    <m/>
    <n v="2"/>
    <m/>
    <m/>
    <n v="2"/>
    <m/>
    <m/>
    <m/>
    <m/>
    <m/>
    <m/>
    <s v="no test"/>
    <s v="no test"/>
    <x v="1"/>
    <n v="1"/>
    <n v="1"/>
    <n v="0"/>
    <n v="0"/>
    <n v="0"/>
    <n v="1"/>
    <n v="0.93632958801498123"/>
    <n v="1"/>
    <n v="534"/>
    <n v="0"/>
    <n v="0"/>
    <n v="1"/>
    <n v="534"/>
    <n v="1.0680000000000001"/>
    <n v="0"/>
    <n v="0"/>
    <n v="0"/>
    <n v="1"/>
    <n v="13"/>
    <n v="0.48689138576779029"/>
    <n v="260"/>
    <n v="280"/>
    <n v="0"/>
    <n v="27"/>
    <n v="14"/>
    <n v="0.51310861423220966"/>
    <n v="0"/>
    <n v="534"/>
    <n v="0"/>
    <n v="0"/>
    <n v="0"/>
    <n v="534"/>
    <n v="1"/>
    <n v="0"/>
    <n v="1"/>
    <n v="0"/>
    <n v="0"/>
    <n v="0"/>
    <n v="0"/>
    <n v="0"/>
    <n v="0"/>
    <x v="0"/>
    <s v="Yes"/>
    <s v="KBC-MYT"/>
    <x v="0"/>
    <x v="0"/>
    <x v="0"/>
    <n v="25.412313000000001"/>
    <n v="97.399628000000007"/>
    <s v="MMR001CMP006"/>
    <x v="0"/>
    <m/>
  </r>
  <r>
    <x v="1"/>
    <x v="2"/>
    <x v="2"/>
    <m/>
    <x v="0"/>
    <x v="11"/>
    <x v="1"/>
    <x v="130"/>
    <n v="29"/>
    <n v="140"/>
    <m/>
    <m/>
    <m/>
    <m/>
    <m/>
    <m/>
    <m/>
    <m/>
    <m/>
    <m/>
    <m/>
    <m/>
    <m/>
    <m/>
    <m/>
    <m/>
    <m/>
    <m/>
    <m/>
    <m/>
    <m/>
    <m/>
    <m/>
    <m/>
    <m/>
    <m/>
    <m/>
    <m/>
    <m/>
    <m/>
    <m/>
    <m/>
    <m/>
    <m/>
    <m/>
    <m/>
    <m/>
    <m/>
    <m/>
    <x v="1"/>
    <x v="1"/>
    <m/>
    <m/>
    <m/>
    <m/>
    <m/>
    <m/>
    <m/>
    <m/>
    <m/>
    <m/>
    <m/>
    <m/>
    <m/>
    <m/>
    <m/>
    <m/>
    <m/>
    <s v="no test"/>
    <s v="no test"/>
    <x v="1"/>
    <n v="0"/>
    <n v="0"/>
    <n v="0"/>
    <n v="0"/>
    <n v="0"/>
    <n v="0"/>
    <n v="0"/>
    <n v="0"/>
    <n v="0"/>
    <n v="0"/>
    <n v="0"/>
    <n v="0"/>
    <n v="0"/>
    <n v="0"/>
    <n v="1"/>
    <n v="140"/>
    <n v="1"/>
    <n v="1"/>
    <n v="0"/>
    <n v="0"/>
    <n v="0"/>
    <n v="0"/>
    <n v="0"/>
    <n v="7"/>
    <n v="7"/>
    <n v="1"/>
    <n v="0"/>
    <n v="0"/>
    <n v="0"/>
    <n v="0"/>
    <n v="0"/>
    <n v="0"/>
    <n v="0"/>
    <n v="1"/>
    <n v="0"/>
    <n v="0"/>
    <n v="0"/>
    <n v="0"/>
    <n v="0"/>
    <n v="0"/>
    <n v="0"/>
    <x v="0"/>
    <n v="0"/>
    <s v="uncovered"/>
    <x v="0"/>
    <x v="2"/>
    <x v="0"/>
    <n v="25.415667500000001"/>
    <n v="97.437782499999997"/>
    <s v="MMR001CMP272"/>
    <x v="1"/>
    <m/>
  </r>
  <r>
    <x v="1"/>
    <x v="2"/>
    <x v="2"/>
    <m/>
    <x v="0"/>
    <x v="11"/>
    <x v="1"/>
    <x v="131"/>
    <n v="5"/>
    <n v="32"/>
    <m/>
    <m/>
    <m/>
    <m/>
    <m/>
    <m/>
    <m/>
    <m/>
    <m/>
    <m/>
    <m/>
    <m/>
    <m/>
    <m/>
    <m/>
    <m/>
    <m/>
    <m/>
    <m/>
    <m/>
    <m/>
    <m/>
    <m/>
    <m/>
    <m/>
    <m/>
    <m/>
    <m/>
    <m/>
    <m/>
    <m/>
    <m/>
    <m/>
    <m/>
    <m/>
    <m/>
    <m/>
    <m/>
    <m/>
    <x v="1"/>
    <x v="1"/>
    <m/>
    <m/>
    <m/>
    <m/>
    <m/>
    <m/>
    <m/>
    <m/>
    <m/>
    <m/>
    <m/>
    <m/>
    <m/>
    <m/>
    <m/>
    <m/>
    <m/>
    <s v="no test"/>
    <s v="no test"/>
    <x v="1"/>
    <n v="0"/>
    <n v="0"/>
    <n v="0"/>
    <n v="0"/>
    <n v="0"/>
    <n v="0"/>
    <n v="0"/>
    <n v="0"/>
    <n v="0"/>
    <n v="0"/>
    <n v="0"/>
    <n v="0"/>
    <n v="0"/>
    <n v="0"/>
    <n v="1"/>
    <n v="32"/>
    <n v="1"/>
    <n v="1"/>
    <n v="0"/>
    <n v="0"/>
    <n v="0"/>
    <n v="0"/>
    <n v="0"/>
    <n v="2"/>
    <n v="2"/>
    <n v="1"/>
    <n v="0"/>
    <n v="0"/>
    <n v="0"/>
    <n v="0"/>
    <n v="0"/>
    <n v="0"/>
    <n v="0"/>
    <n v="1"/>
    <n v="0"/>
    <n v="0"/>
    <n v="0"/>
    <n v="0"/>
    <n v="0"/>
    <n v="0"/>
    <n v="0"/>
    <x v="0"/>
    <n v="0"/>
    <s v="uncovered"/>
    <x v="0"/>
    <x v="2"/>
    <x v="0"/>
    <n v="26.541930000000001"/>
    <n v="97.568836000000005"/>
    <s v="MMR001CMP206"/>
    <x v="1"/>
    <m/>
  </r>
  <r>
    <x v="1"/>
    <x v="3"/>
    <x v="3"/>
    <s v="HARP,UNICEF"/>
    <x v="0"/>
    <x v="5"/>
    <x v="1"/>
    <x v="132"/>
    <n v="31"/>
    <n v="173"/>
    <s v="1-Mar-2019 / 1-Dec-2018"/>
    <s v="31-12-2020 / 30-Nov-2019"/>
    <n v="66"/>
    <m/>
    <m/>
    <m/>
    <s v="Yes"/>
    <m/>
    <m/>
    <m/>
    <m/>
    <m/>
    <m/>
    <m/>
    <m/>
    <m/>
    <m/>
    <m/>
    <m/>
    <m/>
    <m/>
    <m/>
    <m/>
    <m/>
    <m/>
    <m/>
    <m/>
    <m/>
    <m/>
    <m/>
    <m/>
    <n v="10"/>
    <m/>
    <m/>
    <m/>
    <m/>
    <m/>
    <m/>
    <m/>
    <x v="0"/>
    <x v="0"/>
    <n v="2"/>
    <m/>
    <m/>
    <m/>
    <m/>
    <m/>
    <m/>
    <m/>
    <m/>
    <m/>
    <n v="1"/>
    <m/>
    <m/>
    <s v="No"/>
    <m/>
    <m/>
    <m/>
    <s v="no test"/>
    <s v="no test"/>
    <x v="1"/>
    <n v="0"/>
    <n v="0"/>
    <n v="0"/>
    <n v="0"/>
    <n v="0"/>
    <n v="0"/>
    <n v="0"/>
    <n v="0"/>
    <n v="0"/>
    <n v="0"/>
    <n v="0"/>
    <n v="0"/>
    <n v="0"/>
    <n v="0"/>
    <n v="1"/>
    <n v="173"/>
    <n v="1"/>
    <n v="1"/>
    <n v="10"/>
    <n v="1"/>
    <n v="173"/>
    <n v="0"/>
    <n v="0"/>
    <n v="9"/>
    <n v="0"/>
    <n v="0"/>
    <n v="0"/>
    <n v="173"/>
    <n v="0"/>
    <n v="0"/>
    <n v="0"/>
    <n v="173"/>
    <n v="1"/>
    <n v="0"/>
    <n v="1"/>
    <n v="0"/>
    <n v="0"/>
    <n v="0"/>
    <n v="0"/>
    <n v="0"/>
    <n v="0"/>
    <x v="1"/>
    <s v="Yes"/>
    <s v="KMSS-MYT"/>
    <x v="0"/>
    <x v="0"/>
    <x v="0"/>
    <n v="25.645959999999999"/>
    <n v="98.356260000000006"/>
    <s v="MMR001CMP225"/>
    <x v="0"/>
    <m/>
  </r>
  <r>
    <x v="1"/>
    <x v="4"/>
    <x v="4"/>
    <s v="UNICEF,ADRA(CANADA)"/>
    <x v="0"/>
    <x v="2"/>
    <x v="1"/>
    <x v="133"/>
    <n v="179"/>
    <n v="958"/>
    <s v="4/1/2019,5/1/2019"/>
    <s v="7/31/2019,31/1/2020"/>
    <m/>
    <m/>
    <m/>
    <m/>
    <s v="Yes"/>
    <m/>
    <m/>
    <n v="0"/>
    <m/>
    <m/>
    <n v="0"/>
    <m/>
    <m/>
    <m/>
    <n v="1"/>
    <n v="1"/>
    <m/>
    <m/>
    <m/>
    <m/>
    <m/>
    <n v="0"/>
    <m/>
    <m/>
    <m/>
    <m/>
    <m/>
    <m/>
    <m/>
    <n v="158"/>
    <m/>
    <m/>
    <m/>
    <m/>
    <m/>
    <m/>
    <n v="158"/>
    <x v="0"/>
    <x v="0"/>
    <m/>
    <m/>
    <m/>
    <m/>
    <m/>
    <m/>
    <m/>
    <n v="4"/>
    <m/>
    <m/>
    <n v="2"/>
    <m/>
    <m/>
    <m/>
    <m/>
    <m/>
    <m/>
    <s v="no test"/>
    <s v="no test"/>
    <x v="1"/>
    <n v="0"/>
    <n v="0"/>
    <n v="0"/>
    <n v="0"/>
    <n v="0"/>
    <n v="0"/>
    <n v="0"/>
    <n v="0"/>
    <n v="0"/>
    <n v="0"/>
    <n v="0"/>
    <n v="0"/>
    <n v="0"/>
    <n v="0"/>
    <n v="1"/>
    <n v="958"/>
    <n v="2"/>
    <n v="2"/>
    <n v="158"/>
    <n v="1"/>
    <n v="958"/>
    <n v="0"/>
    <n v="0"/>
    <n v="48"/>
    <n v="0"/>
    <n v="0"/>
    <n v="0"/>
    <n v="958"/>
    <n v="0"/>
    <n v="0"/>
    <n v="0"/>
    <n v="958"/>
    <n v="1"/>
    <n v="0"/>
    <n v="1"/>
    <n v="0"/>
    <n v="0"/>
    <n v="0"/>
    <n v="0"/>
    <n v="0"/>
    <n v="0"/>
    <x v="0"/>
    <s v="Yes"/>
    <s v="KBC-MYT"/>
    <x v="0"/>
    <x v="0"/>
    <x v="0"/>
    <n v="25.418084"/>
    <n v="98.025662999999994"/>
    <s v="MMR001CMP041"/>
    <x v="0"/>
    <m/>
  </r>
  <r>
    <x v="1"/>
    <x v="2"/>
    <x v="2"/>
    <m/>
    <x v="0"/>
    <x v="12"/>
    <x v="1"/>
    <x v="134"/>
    <n v="31"/>
    <n v="129"/>
    <m/>
    <m/>
    <m/>
    <m/>
    <m/>
    <m/>
    <m/>
    <m/>
    <m/>
    <m/>
    <m/>
    <m/>
    <m/>
    <m/>
    <m/>
    <m/>
    <m/>
    <m/>
    <m/>
    <m/>
    <m/>
    <m/>
    <m/>
    <m/>
    <m/>
    <m/>
    <m/>
    <m/>
    <m/>
    <m/>
    <m/>
    <m/>
    <m/>
    <m/>
    <m/>
    <m/>
    <m/>
    <m/>
    <m/>
    <x v="1"/>
    <x v="1"/>
    <m/>
    <m/>
    <m/>
    <m/>
    <m/>
    <m/>
    <m/>
    <m/>
    <m/>
    <m/>
    <m/>
    <m/>
    <m/>
    <m/>
    <m/>
    <m/>
    <m/>
    <s v="no test"/>
    <s v="no test"/>
    <x v="1"/>
    <n v="0"/>
    <n v="0"/>
    <n v="0"/>
    <n v="0"/>
    <n v="0"/>
    <n v="0"/>
    <n v="0"/>
    <n v="0"/>
    <n v="0"/>
    <n v="0"/>
    <n v="0"/>
    <n v="0"/>
    <n v="0"/>
    <n v="0"/>
    <n v="1"/>
    <n v="129"/>
    <n v="1"/>
    <n v="1"/>
    <n v="0"/>
    <n v="0"/>
    <n v="0"/>
    <n v="0"/>
    <n v="0"/>
    <n v="6"/>
    <n v="6"/>
    <n v="1"/>
    <n v="0"/>
    <n v="0"/>
    <n v="0"/>
    <n v="0"/>
    <n v="0"/>
    <n v="0"/>
    <n v="0"/>
    <n v="1"/>
    <n v="0"/>
    <n v="0"/>
    <n v="0"/>
    <n v="0"/>
    <n v="0"/>
    <n v="0"/>
    <n v="0"/>
    <x v="0"/>
    <s v="Yes"/>
    <s v="KMSS-MYT"/>
    <x v="0"/>
    <x v="0"/>
    <x v="0"/>
    <n v="0"/>
    <n v="0"/>
    <s v="MMR001CMP251"/>
    <x v="1"/>
    <m/>
  </r>
  <r>
    <x v="1"/>
    <x v="3"/>
    <x v="3"/>
    <s v="HARP"/>
    <x v="0"/>
    <x v="9"/>
    <x v="0"/>
    <x v="135"/>
    <n v="22"/>
    <n v="122"/>
    <m/>
    <d v="2019-04-30T00:00:00"/>
    <m/>
    <m/>
    <m/>
    <m/>
    <m/>
    <m/>
    <m/>
    <m/>
    <m/>
    <m/>
    <m/>
    <n v="1"/>
    <m/>
    <m/>
    <m/>
    <m/>
    <m/>
    <m/>
    <m/>
    <m/>
    <m/>
    <m/>
    <m/>
    <m/>
    <m/>
    <m/>
    <m/>
    <m/>
    <m/>
    <n v="6"/>
    <m/>
    <m/>
    <m/>
    <m/>
    <m/>
    <m/>
    <m/>
    <x v="0"/>
    <x v="0"/>
    <m/>
    <m/>
    <m/>
    <m/>
    <n v="2"/>
    <m/>
    <m/>
    <n v="2"/>
    <m/>
    <m/>
    <n v="1"/>
    <m/>
    <m/>
    <m/>
    <m/>
    <m/>
    <s v="IDP received hygiene icentive items; body soap 6 pcs, laundry soap 30 pcs and detergant powder 15 pcs from HE Session, its about 3 months covered. "/>
    <s v="no test"/>
    <s v="no test"/>
    <x v="1"/>
    <n v="0"/>
    <n v="1"/>
    <n v="0"/>
    <n v="0"/>
    <n v="0"/>
    <n v="1"/>
    <n v="1"/>
    <n v="1"/>
    <n v="122"/>
    <n v="0"/>
    <n v="0"/>
    <n v="1"/>
    <n v="122"/>
    <n v="0.24399999999999999"/>
    <n v="0"/>
    <n v="0"/>
    <n v="0.75600000000000001"/>
    <n v="1"/>
    <n v="6"/>
    <n v="0.98360655737704916"/>
    <n v="120"/>
    <n v="0"/>
    <n v="0"/>
    <n v="6"/>
    <n v="0"/>
    <n v="1.6393442622950838E-2"/>
    <n v="0"/>
    <n v="122"/>
    <n v="0"/>
    <n v="0"/>
    <n v="0"/>
    <n v="122"/>
    <n v="1"/>
    <n v="0"/>
    <n v="1"/>
    <n v="0"/>
    <n v="0"/>
    <n v="2"/>
    <n v="22"/>
    <n v="0"/>
    <n v="122"/>
    <x v="0"/>
    <n v="0"/>
    <n v="0"/>
    <x v="0"/>
    <x v="0"/>
    <x v="0"/>
    <n v="0"/>
    <n v="0"/>
    <n v="0"/>
    <x v="0"/>
    <m/>
  </r>
  <r>
    <x v="1"/>
    <x v="2"/>
    <x v="2"/>
    <m/>
    <x v="0"/>
    <x v="2"/>
    <x v="1"/>
    <x v="136"/>
    <n v="62"/>
    <n v="410"/>
    <m/>
    <m/>
    <m/>
    <m/>
    <m/>
    <m/>
    <m/>
    <m/>
    <m/>
    <m/>
    <m/>
    <m/>
    <m/>
    <m/>
    <m/>
    <m/>
    <m/>
    <m/>
    <m/>
    <m/>
    <m/>
    <m/>
    <m/>
    <m/>
    <m/>
    <m/>
    <m/>
    <m/>
    <m/>
    <m/>
    <m/>
    <m/>
    <m/>
    <m/>
    <m/>
    <m/>
    <m/>
    <m/>
    <m/>
    <x v="1"/>
    <x v="1"/>
    <m/>
    <m/>
    <m/>
    <m/>
    <m/>
    <m/>
    <m/>
    <m/>
    <m/>
    <m/>
    <m/>
    <m/>
    <m/>
    <m/>
    <m/>
    <m/>
    <m/>
    <s v="no test"/>
    <s v="no test"/>
    <x v="1"/>
    <n v="0"/>
    <n v="0"/>
    <n v="0"/>
    <n v="0"/>
    <n v="0"/>
    <n v="0"/>
    <n v="0"/>
    <n v="0"/>
    <n v="0"/>
    <n v="0"/>
    <n v="0"/>
    <n v="0"/>
    <n v="0"/>
    <n v="0"/>
    <n v="1"/>
    <n v="410"/>
    <n v="1"/>
    <n v="1"/>
    <n v="0"/>
    <n v="0"/>
    <n v="0"/>
    <n v="0"/>
    <n v="0"/>
    <n v="21"/>
    <n v="21"/>
    <n v="1"/>
    <n v="0"/>
    <n v="0"/>
    <n v="0"/>
    <n v="0"/>
    <n v="0"/>
    <n v="0"/>
    <n v="0"/>
    <n v="1"/>
    <n v="0"/>
    <n v="0"/>
    <n v="0"/>
    <n v="0"/>
    <n v="0"/>
    <n v="0"/>
    <n v="0"/>
    <x v="0"/>
    <n v="0"/>
    <s v="uncovered"/>
    <x v="0"/>
    <x v="2"/>
    <x v="0"/>
    <n v="25.305008999999998"/>
    <n v="97.430321000000006"/>
    <s v="MMR001CMP248"/>
    <x v="1"/>
    <m/>
  </r>
  <r>
    <x v="1"/>
    <x v="5"/>
    <x v="5"/>
    <s v="DFID"/>
    <x v="0"/>
    <x v="3"/>
    <x v="1"/>
    <x v="111"/>
    <n v="24"/>
    <n v="111"/>
    <d v="2018-08-01T00:00:00"/>
    <d v="2020-07-31T00:00:00"/>
    <m/>
    <n v="1"/>
    <m/>
    <m/>
    <s v="Yes"/>
    <n v="1"/>
    <n v="3"/>
    <n v="1"/>
    <m/>
    <m/>
    <n v="0"/>
    <n v="0"/>
    <m/>
    <m/>
    <m/>
    <m/>
    <m/>
    <m/>
    <m/>
    <m/>
    <m/>
    <m/>
    <m/>
    <m/>
    <m/>
    <m/>
    <m/>
    <m/>
    <m/>
    <n v="2"/>
    <n v="5"/>
    <s v="Chruch"/>
    <m/>
    <m/>
    <m/>
    <m/>
    <m/>
    <x v="0"/>
    <x v="3"/>
    <m/>
    <m/>
    <m/>
    <m/>
    <n v="2"/>
    <m/>
    <n v="0"/>
    <n v="0"/>
    <m/>
    <n v="0"/>
    <n v="0"/>
    <m/>
    <m/>
    <s v="No"/>
    <m/>
    <n v="0"/>
    <m/>
    <s v="no test"/>
    <s v="no test"/>
    <x v="1"/>
    <n v="1"/>
    <n v="0"/>
    <n v="0"/>
    <n v="0"/>
    <n v="0"/>
    <n v="1"/>
    <n v="1"/>
    <n v="1"/>
    <n v="111"/>
    <n v="0"/>
    <n v="0"/>
    <n v="1"/>
    <n v="111"/>
    <n v="0.222"/>
    <n v="0"/>
    <n v="0"/>
    <n v="0.77800000000000002"/>
    <n v="1"/>
    <n v="7"/>
    <n v="1"/>
    <n v="111"/>
    <n v="0"/>
    <n v="0"/>
    <n v="6"/>
    <n v="0"/>
    <n v="0"/>
    <n v="0"/>
    <n v="0"/>
    <n v="0"/>
    <n v="0"/>
    <n v="0"/>
    <n v="0"/>
    <n v="0"/>
    <n v="1"/>
    <n v="0"/>
    <n v="0"/>
    <n v="0"/>
    <n v="2"/>
    <n v="24"/>
    <n v="0"/>
    <n v="111"/>
    <x v="0"/>
    <s v="Yes"/>
    <s v="Shalom"/>
    <x v="0"/>
    <x v="0"/>
    <x v="0"/>
    <n v="25.423817"/>
    <n v="97.418004999999994"/>
    <s v="MMR001CMP007"/>
    <x v="0"/>
    <m/>
  </r>
  <r>
    <x v="1"/>
    <x v="4"/>
    <x v="4"/>
    <s v="UNICEF,ADRA(CANADA),PLAN(GFFO)"/>
    <x v="0"/>
    <x v="3"/>
    <x v="1"/>
    <x v="138"/>
    <n v="93"/>
    <n v="499"/>
    <s v="4/1/2019,5/1/2019,5/1/2019"/>
    <s v="7/31/2019,1/31/2020,9/30/2021"/>
    <m/>
    <m/>
    <m/>
    <m/>
    <s v="Yes"/>
    <m/>
    <m/>
    <n v="2"/>
    <m/>
    <m/>
    <n v="2"/>
    <m/>
    <m/>
    <m/>
    <m/>
    <m/>
    <m/>
    <m/>
    <m/>
    <m/>
    <m/>
    <n v="2"/>
    <m/>
    <m/>
    <m/>
    <m/>
    <m/>
    <m/>
    <m/>
    <n v="17"/>
    <m/>
    <m/>
    <m/>
    <m/>
    <m/>
    <m/>
    <n v="17"/>
    <x v="0"/>
    <x v="0"/>
    <m/>
    <m/>
    <m/>
    <m/>
    <m/>
    <m/>
    <m/>
    <n v="2"/>
    <m/>
    <m/>
    <n v="2"/>
    <m/>
    <m/>
    <m/>
    <m/>
    <m/>
    <m/>
    <s v="no test"/>
    <s v="no test"/>
    <x v="1"/>
    <n v="2"/>
    <n v="2"/>
    <n v="0"/>
    <n v="0"/>
    <n v="0"/>
    <n v="1"/>
    <n v="1"/>
    <n v="1"/>
    <n v="499"/>
    <n v="0"/>
    <n v="0"/>
    <n v="1"/>
    <n v="499"/>
    <n v="0.998"/>
    <n v="0"/>
    <n v="0"/>
    <n v="2.0000000000000018E-3"/>
    <n v="1"/>
    <n v="17"/>
    <n v="0.68136272545090182"/>
    <n v="340"/>
    <n v="0"/>
    <n v="0"/>
    <n v="25"/>
    <n v="8"/>
    <n v="0.31863727454909818"/>
    <n v="0"/>
    <n v="499"/>
    <n v="0"/>
    <n v="0"/>
    <n v="0"/>
    <n v="499"/>
    <n v="1"/>
    <n v="0"/>
    <n v="1"/>
    <n v="0"/>
    <n v="0"/>
    <n v="0"/>
    <n v="0"/>
    <n v="0"/>
    <n v="0"/>
    <x v="0"/>
    <s v="Yes"/>
    <s v="KBC-MYT"/>
    <x v="0"/>
    <x v="0"/>
    <x v="0"/>
    <n v="25.440928"/>
    <n v="97.419403000000003"/>
    <s v="MMR001CMP009"/>
    <x v="0"/>
    <m/>
  </r>
  <r>
    <x v="1"/>
    <x v="3"/>
    <x v="3"/>
    <s v="HARP"/>
    <x v="0"/>
    <x v="8"/>
    <x v="1"/>
    <x v="139"/>
    <n v="11"/>
    <n v="52"/>
    <d v="2019-01-01T00:00:00"/>
    <s v="31-3-2019"/>
    <m/>
    <m/>
    <m/>
    <m/>
    <s v="Yes"/>
    <m/>
    <m/>
    <n v="1"/>
    <m/>
    <m/>
    <m/>
    <m/>
    <m/>
    <m/>
    <m/>
    <m/>
    <m/>
    <m/>
    <m/>
    <m/>
    <m/>
    <m/>
    <m/>
    <m/>
    <m/>
    <m/>
    <m/>
    <m/>
    <m/>
    <n v="7"/>
    <m/>
    <m/>
    <m/>
    <m/>
    <m/>
    <m/>
    <m/>
    <x v="0"/>
    <x v="0"/>
    <m/>
    <m/>
    <m/>
    <m/>
    <m/>
    <m/>
    <m/>
    <n v="2"/>
    <m/>
    <m/>
    <n v="1"/>
    <m/>
    <m/>
    <m/>
    <m/>
    <m/>
    <m/>
    <s v="no test"/>
    <s v="no test"/>
    <x v="1"/>
    <n v="1"/>
    <n v="0"/>
    <n v="0"/>
    <n v="0"/>
    <n v="0"/>
    <n v="1"/>
    <n v="1"/>
    <n v="1"/>
    <n v="52"/>
    <n v="0"/>
    <n v="0"/>
    <n v="1"/>
    <n v="52"/>
    <n v="0.104"/>
    <n v="0"/>
    <n v="0"/>
    <n v="0.89600000000000002"/>
    <n v="1"/>
    <n v="7"/>
    <n v="1"/>
    <n v="52"/>
    <n v="0"/>
    <n v="0"/>
    <n v="3"/>
    <n v="0"/>
    <n v="0"/>
    <n v="0"/>
    <n v="52"/>
    <n v="0"/>
    <n v="0"/>
    <n v="0"/>
    <n v="52"/>
    <n v="1"/>
    <n v="0"/>
    <n v="1"/>
    <n v="0"/>
    <n v="0"/>
    <n v="0"/>
    <n v="0"/>
    <n v="0"/>
    <n v="0"/>
    <x v="0"/>
    <s v="Yes"/>
    <s v="KMSS-MYT"/>
    <x v="0"/>
    <x v="0"/>
    <x v="0"/>
    <n v="24.764800000000001"/>
    <n v="96.367059999999995"/>
    <s v="MMR001CMP080"/>
    <x v="0"/>
    <m/>
  </r>
  <r>
    <x v="1"/>
    <x v="1"/>
    <x v="1"/>
    <s v="WHH-AA"/>
    <x v="0"/>
    <x v="2"/>
    <x v="1"/>
    <x v="141"/>
    <n v="1404"/>
    <n v="7165"/>
    <d v="1919-08-13T00:00:00"/>
    <d v="2018-10-01T00:00:00"/>
    <n v="427"/>
    <m/>
    <m/>
    <n v="0"/>
    <s v="Yes"/>
    <n v="3"/>
    <n v="2"/>
    <m/>
    <m/>
    <m/>
    <m/>
    <m/>
    <m/>
    <m/>
    <n v="3"/>
    <m/>
    <m/>
    <m/>
    <m/>
    <n v="358250"/>
    <m/>
    <m/>
    <n v="1"/>
    <m/>
    <m/>
    <m/>
    <m/>
    <n v="3"/>
    <s v="require tube well for drink water"/>
    <n v="225"/>
    <m/>
    <m/>
    <m/>
    <n v="17"/>
    <m/>
    <m/>
    <m/>
    <x v="0"/>
    <x v="0"/>
    <n v="2"/>
    <n v="2"/>
    <n v="8"/>
    <m/>
    <n v="50"/>
    <m/>
    <m/>
    <n v="22"/>
    <m/>
    <m/>
    <n v="6"/>
    <m/>
    <m/>
    <s v="Yes"/>
    <m/>
    <m/>
    <m/>
    <n v="0"/>
    <s v="no test"/>
    <x v="0"/>
    <n v="0"/>
    <n v="0"/>
    <n v="3"/>
    <n v="0"/>
    <n v="358250"/>
    <n v="1"/>
    <n v="1"/>
    <n v="1"/>
    <n v="7165"/>
    <n v="0"/>
    <n v="0"/>
    <n v="1"/>
    <n v="7165"/>
    <n v="14.33"/>
    <n v="0"/>
    <n v="0"/>
    <n v="0"/>
    <n v="14"/>
    <n v="225"/>
    <n v="0.62805303558967207"/>
    <n v="4500"/>
    <n v="0"/>
    <n v="400"/>
    <n v="358"/>
    <n v="133"/>
    <n v="0.37194696441032793"/>
    <n v="0"/>
    <n v="3000"/>
    <n v="0"/>
    <n v="0"/>
    <n v="0"/>
    <n v="3000"/>
    <n v="0.41870202372644799"/>
    <n v="0.58129797627355195"/>
    <n v="0.41870202372644799"/>
    <n v="0"/>
    <n v="0"/>
    <n v="50"/>
    <n v="1000"/>
    <n v="0"/>
    <n v="5000"/>
    <x v="1"/>
    <s v="Yes"/>
    <s v="KMSS-MYT"/>
    <x v="0"/>
    <x v="0"/>
    <x v="1"/>
    <n v="24.755253"/>
    <n v="97.546893999999995"/>
    <s v="MMR001CMP116"/>
    <x v="0"/>
    <m/>
  </r>
  <r>
    <x v="1"/>
    <x v="5"/>
    <x v="5"/>
    <s v="DFID"/>
    <x v="0"/>
    <x v="3"/>
    <x v="1"/>
    <x v="114"/>
    <n v="54"/>
    <n v="253"/>
    <d v="2018-08-01T00:00:00"/>
    <d v="2020-07-31T00:00:00"/>
    <m/>
    <n v="1"/>
    <m/>
    <m/>
    <s v="Yes"/>
    <n v="2"/>
    <n v="3"/>
    <n v="1"/>
    <m/>
    <m/>
    <n v="4"/>
    <n v="0"/>
    <m/>
    <m/>
    <m/>
    <m/>
    <m/>
    <m/>
    <m/>
    <m/>
    <m/>
    <m/>
    <m/>
    <m/>
    <m/>
    <m/>
    <m/>
    <m/>
    <m/>
    <n v="18"/>
    <n v="0"/>
    <m/>
    <m/>
    <m/>
    <m/>
    <m/>
    <m/>
    <x v="0"/>
    <x v="0"/>
    <m/>
    <n v="1"/>
    <m/>
    <m/>
    <n v="3"/>
    <m/>
    <m/>
    <n v="4"/>
    <m/>
    <n v="2"/>
    <n v="3"/>
    <m/>
    <m/>
    <s v="No"/>
    <m/>
    <n v="0"/>
    <m/>
    <s v="no test"/>
    <s v="no test"/>
    <x v="1"/>
    <n v="1"/>
    <n v="4"/>
    <n v="0"/>
    <n v="0"/>
    <n v="0"/>
    <n v="1"/>
    <n v="1"/>
    <n v="1"/>
    <n v="253"/>
    <n v="0"/>
    <n v="0"/>
    <n v="1"/>
    <n v="253"/>
    <n v="0.50600000000000001"/>
    <n v="0"/>
    <n v="0"/>
    <n v="0.49399999999999999"/>
    <n v="1"/>
    <n v="18"/>
    <n v="1"/>
    <n v="253"/>
    <n v="0"/>
    <n v="0"/>
    <n v="13"/>
    <n v="0"/>
    <n v="0"/>
    <n v="0"/>
    <n v="253"/>
    <n v="0"/>
    <n v="0"/>
    <n v="0"/>
    <n v="253"/>
    <n v="1"/>
    <n v="0"/>
    <n v="1"/>
    <n v="0"/>
    <n v="0"/>
    <n v="3"/>
    <n v="54"/>
    <n v="0"/>
    <n v="253"/>
    <x v="0"/>
    <s v="Yes"/>
    <s v="Shalom"/>
    <x v="0"/>
    <x v="0"/>
    <x v="0"/>
    <n v="25.423209"/>
    <n v="97.379987"/>
    <s v="MMR001CMP023"/>
    <x v="0"/>
    <m/>
  </r>
  <r>
    <x v="1"/>
    <x v="2"/>
    <x v="2"/>
    <m/>
    <x v="0"/>
    <x v="12"/>
    <x v="1"/>
    <x v="143"/>
    <n v="36"/>
    <n v="152"/>
    <m/>
    <m/>
    <m/>
    <m/>
    <m/>
    <m/>
    <m/>
    <m/>
    <m/>
    <m/>
    <m/>
    <m/>
    <m/>
    <m/>
    <m/>
    <m/>
    <m/>
    <m/>
    <m/>
    <m/>
    <m/>
    <m/>
    <m/>
    <m/>
    <m/>
    <m/>
    <m/>
    <m/>
    <m/>
    <m/>
    <m/>
    <m/>
    <m/>
    <m/>
    <m/>
    <m/>
    <m/>
    <m/>
    <m/>
    <x v="1"/>
    <x v="1"/>
    <m/>
    <m/>
    <m/>
    <m/>
    <m/>
    <m/>
    <m/>
    <m/>
    <m/>
    <m/>
    <m/>
    <m/>
    <m/>
    <m/>
    <m/>
    <m/>
    <m/>
    <s v="no test"/>
    <s v="no test"/>
    <x v="1"/>
    <n v="0"/>
    <n v="0"/>
    <n v="0"/>
    <n v="0"/>
    <n v="0"/>
    <n v="0"/>
    <n v="0"/>
    <n v="0"/>
    <n v="0"/>
    <n v="0"/>
    <n v="0"/>
    <n v="0"/>
    <n v="0"/>
    <n v="0"/>
    <n v="1"/>
    <n v="152"/>
    <n v="1"/>
    <n v="1"/>
    <n v="0"/>
    <n v="0"/>
    <n v="0"/>
    <n v="0"/>
    <n v="0"/>
    <n v="8"/>
    <n v="8"/>
    <n v="1"/>
    <n v="0"/>
    <n v="0"/>
    <n v="0"/>
    <n v="0"/>
    <n v="0"/>
    <n v="0"/>
    <n v="0"/>
    <n v="1"/>
    <n v="0"/>
    <n v="0"/>
    <n v="0"/>
    <n v="0"/>
    <n v="0"/>
    <n v="0"/>
    <n v="0"/>
    <x v="0"/>
    <s v="Yes"/>
    <s v="KMSS-MYT"/>
    <x v="0"/>
    <x v="0"/>
    <x v="0"/>
    <n v="0"/>
    <n v="0"/>
    <s v="MMR001CMP254"/>
    <x v="1"/>
    <m/>
  </r>
  <r>
    <x v="1"/>
    <x v="4"/>
    <x v="4"/>
    <s v="UNICEF,ADRA(CANADA),PLAN(GFFO)"/>
    <x v="0"/>
    <x v="3"/>
    <x v="1"/>
    <x v="144"/>
    <n v="69"/>
    <n v="351"/>
    <s v="4/1/2019,5/1/2019,5/1/2019"/>
    <s v="7/31/2019,1/31/2020,9/30/2021"/>
    <m/>
    <m/>
    <m/>
    <m/>
    <s v="Yes"/>
    <m/>
    <m/>
    <n v="0"/>
    <m/>
    <m/>
    <n v="2"/>
    <m/>
    <m/>
    <m/>
    <m/>
    <m/>
    <m/>
    <m/>
    <m/>
    <m/>
    <m/>
    <n v="2"/>
    <m/>
    <m/>
    <m/>
    <m/>
    <m/>
    <m/>
    <m/>
    <n v="11"/>
    <m/>
    <m/>
    <m/>
    <m/>
    <n v="60"/>
    <m/>
    <n v="11"/>
    <x v="0"/>
    <x v="0"/>
    <m/>
    <m/>
    <m/>
    <m/>
    <m/>
    <m/>
    <m/>
    <n v="2"/>
    <m/>
    <m/>
    <n v="1"/>
    <m/>
    <m/>
    <m/>
    <m/>
    <m/>
    <m/>
    <s v="no test"/>
    <s v="no test"/>
    <x v="1"/>
    <n v="0"/>
    <n v="2"/>
    <n v="0"/>
    <n v="0"/>
    <n v="0"/>
    <n v="1"/>
    <n v="1"/>
    <n v="1"/>
    <n v="351"/>
    <n v="0"/>
    <n v="0"/>
    <n v="1"/>
    <n v="351"/>
    <n v="0.70199999999999996"/>
    <n v="0"/>
    <n v="0"/>
    <n v="0.29800000000000004"/>
    <n v="1"/>
    <n v="11"/>
    <n v="0.62678062678062674"/>
    <n v="220"/>
    <n v="351"/>
    <n v="0"/>
    <n v="18"/>
    <n v="7"/>
    <n v="0.37321937321937326"/>
    <n v="0"/>
    <n v="351"/>
    <n v="0"/>
    <n v="0"/>
    <n v="0"/>
    <n v="351"/>
    <n v="1"/>
    <n v="0"/>
    <n v="1"/>
    <n v="0"/>
    <n v="0"/>
    <n v="0"/>
    <n v="0"/>
    <n v="0"/>
    <n v="0"/>
    <x v="0"/>
    <s v="Yes"/>
    <s v="KBC-MYT"/>
    <x v="0"/>
    <x v="0"/>
    <x v="0"/>
    <n v="25.415482000000001"/>
    <n v="97.386718999999999"/>
    <s v="MMR001CMP001"/>
    <x v="0"/>
    <m/>
  </r>
  <r>
    <x v="1"/>
    <x v="4"/>
    <x v="4"/>
    <s v="UNICEF,ADRA(CANADA),PLAN(GFFO)"/>
    <x v="0"/>
    <x v="3"/>
    <x v="1"/>
    <x v="145"/>
    <n v="30"/>
    <n v="165"/>
    <s v="4/1/2019,5/1/2019,5/1/2019"/>
    <s v="7/31/2019,1/31/2020,9/30/2021"/>
    <m/>
    <m/>
    <m/>
    <m/>
    <s v="Yes"/>
    <m/>
    <m/>
    <n v="0"/>
    <m/>
    <m/>
    <n v="2"/>
    <m/>
    <m/>
    <m/>
    <m/>
    <m/>
    <m/>
    <m/>
    <m/>
    <m/>
    <m/>
    <n v="3"/>
    <m/>
    <m/>
    <m/>
    <m/>
    <m/>
    <m/>
    <m/>
    <n v="5"/>
    <m/>
    <m/>
    <m/>
    <m/>
    <n v="24"/>
    <m/>
    <n v="5"/>
    <x v="0"/>
    <x v="0"/>
    <m/>
    <m/>
    <m/>
    <m/>
    <m/>
    <m/>
    <m/>
    <n v="2"/>
    <m/>
    <m/>
    <n v="1"/>
    <m/>
    <m/>
    <m/>
    <m/>
    <m/>
    <m/>
    <s v="no test"/>
    <s v="no test"/>
    <x v="1"/>
    <n v="0"/>
    <n v="2"/>
    <n v="0"/>
    <n v="0"/>
    <n v="0"/>
    <n v="1"/>
    <n v="1"/>
    <n v="1"/>
    <n v="165"/>
    <n v="0"/>
    <n v="0"/>
    <n v="1"/>
    <n v="165"/>
    <n v="0.33"/>
    <n v="0"/>
    <n v="0"/>
    <n v="0.66999999999999993"/>
    <n v="1"/>
    <n v="5"/>
    <n v="0.60606060606060608"/>
    <n v="100"/>
    <n v="165"/>
    <n v="0"/>
    <n v="8"/>
    <n v="3"/>
    <n v="0.39393939393939392"/>
    <n v="0"/>
    <n v="165"/>
    <n v="0"/>
    <n v="0"/>
    <n v="0"/>
    <n v="165"/>
    <n v="1"/>
    <n v="0"/>
    <n v="1"/>
    <n v="0"/>
    <n v="0"/>
    <n v="0"/>
    <n v="0"/>
    <n v="0"/>
    <n v="0"/>
    <x v="0"/>
    <s v="Yes"/>
    <s v="KBC-MYT"/>
    <x v="0"/>
    <x v="0"/>
    <x v="0"/>
    <n v="25.404752999999999"/>
    <n v="97.377662999999998"/>
    <s v="MMR001CMP003"/>
    <x v="0"/>
    <m/>
  </r>
  <r>
    <x v="1"/>
    <x v="5"/>
    <x v="5"/>
    <s v="DFID"/>
    <x v="0"/>
    <x v="3"/>
    <x v="1"/>
    <x v="115"/>
    <n v="16"/>
    <n v="77"/>
    <d v="2018-08-01T00:00:00"/>
    <d v="2020-07-31T00:00:00"/>
    <m/>
    <n v="1"/>
    <m/>
    <m/>
    <s v="Yes"/>
    <n v="0"/>
    <n v="3"/>
    <n v="1"/>
    <m/>
    <m/>
    <n v="3"/>
    <n v="3"/>
    <m/>
    <m/>
    <m/>
    <m/>
    <m/>
    <m/>
    <m/>
    <m/>
    <m/>
    <n v="0"/>
    <m/>
    <m/>
    <m/>
    <m/>
    <m/>
    <m/>
    <m/>
    <n v="7"/>
    <n v="4"/>
    <s v="Chruch"/>
    <m/>
    <m/>
    <m/>
    <m/>
    <m/>
    <x v="0"/>
    <x v="3"/>
    <m/>
    <m/>
    <m/>
    <m/>
    <n v="2"/>
    <m/>
    <n v="0"/>
    <n v="2"/>
    <m/>
    <n v="0"/>
    <n v="0"/>
    <m/>
    <m/>
    <s v="No"/>
    <m/>
    <n v="0"/>
    <m/>
    <s v="no test"/>
    <s v="no test"/>
    <x v="1"/>
    <n v="1"/>
    <n v="6"/>
    <n v="0"/>
    <n v="0"/>
    <n v="0"/>
    <n v="1"/>
    <n v="1"/>
    <n v="1"/>
    <n v="77"/>
    <n v="0"/>
    <n v="0"/>
    <n v="1"/>
    <n v="77"/>
    <n v="0.154"/>
    <n v="0"/>
    <n v="0"/>
    <n v="0.84599999999999997"/>
    <n v="1"/>
    <n v="11"/>
    <n v="1"/>
    <n v="77"/>
    <n v="0"/>
    <n v="0"/>
    <n v="4"/>
    <n v="0"/>
    <n v="0"/>
    <n v="0"/>
    <n v="0"/>
    <n v="0"/>
    <n v="0"/>
    <n v="0"/>
    <n v="0"/>
    <n v="0"/>
    <n v="1"/>
    <n v="0"/>
    <n v="0"/>
    <n v="0"/>
    <n v="2"/>
    <n v="16"/>
    <n v="0"/>
    <n v="77"/>
    <x v="0"/>
    <s v="Yes"/>
    <s v="Shalom"/>
    <x v="0"/>
    <x v="0"/>
    <x v="0"/>
    <n v="25.417733999999999"/>
    <n v="97.389778000000007"/>
    <s v="MMR001CMP004"/>
    <x v="0"/>
    <m/>
  </r>
  <r>
    <x v="1"/>
    <x v="4"/>
    <x v="4"/>
    <s v="UNICEF,ADRA(CANADA),PLAN(GFFO)"/>
    <x v="0"/>
    <x v="3"/>
    <x v="1"/>
    <x v="147"/>
    <n v="43"/>
    <n v="219"/>
    <s v="4/1/2019,5/1/2019,5/1/2019"/>
    <s v="7/31/2019,1/31/2020,9/30/2021"/>
    <m/>
    <m/>
    <m/>
    <m/>
    <s v="Yes"/>
    <m/>
    <m/>
    <n v="0"/>
    <m/>
    <m/>
    <n v="2"/>
    <m/>
    <m/>
    <m/>
    <m/>
    <m/>
    <m/>
    <m/>
    <m/>
    <m/>
    <m/>
    <n v="3"/>
    <m/>
    <m/>
    <m/>
    <m/>
    <m/>
    <m/>
    <m/>
    <n v="13"/>
    <m/>
    <m/>
    <m/>
    <m/>
    <n v="7"/>
    <m/>
    <n v="13"/>
    <x v="0"/>
    <x v="0"/>
    <m/>
    <m/>
    <m/>
    <m/>
    <m/>
    <m/>
    <m/>
    <n v="3"/>
    <m/>
    <m/>
    <n v="1"/>
    <m/>
    <m/>
    <m/>
    <m/>
    <m/>
    <m/>
    <s v="no test"/>
    <s v="no test"/>
    <x v="1"/>
    <n v="0"/>
    <n v="2"/>
    <n v="0"/>
    <n v="0"/>
    <n v="0"/>
    <n v="1"/>
    <n v="1"/>
    <n v="1"/>
    <n v="219"/>
    <n v="0"/>
    <n v="0"/>
    <n v="1"/>
    <n v="219"/>
    <n v="0.438"/>
    <n v="0"/>
    <n v="0"/>
    <n v="0.56200000000000006"/>
    <n v="1"/>
    <n v="13"/>
    <n v="1"/>
    <n v="219"/>
    <n v="140"/>
    <n v="0"/>
    <n v="11"/>
    <n v="0"/>
    <n v="0"/>
    <n v="0"/>
    <n v="219"/>
    <n v="0"/>
    <n v="0"/>
    <n v="0"/>
    <n v="219"/>
    <n v="1"/>
    <n v="0"/>
    <n v="1"/>
    <n v="0"/>
    <n v="0"/>
    <n v="0"/>
    <n v="0"/>
    <n v="0"/>
    <n v="0"/>
    <x v="0"/>
    <s v="Yes"/>
    <s v="KBC-MYT"/>
    <x v="0"/>
    <x v="0"/>
    <x v="0"/>
    <n v="25.404015000000001"/>
    <n v="97.382192000000003"/>
    <s v="MMR001CMP005"/>
    <x v="0"/>
    <m/>
  </r>
  <r>
    <x v="1"/>
    <x v="2"/>
    <x v="2"/>
    <m/>
    <x v="0"/>
    <x v="12"/>
    <x v="1"/>
    <x v="148"/>
    <n v="127"/>
    <n v="450"/>
    <m/>
    <m/>
    <m/>
    <m/>
    <m/>
    <m/>
    <m/>
    <m/>
    <m/>
    <m/>
    <m/>
    <m/>
    <m/>
    <m/>
    <m/>
    <m/>
    <m/>
    <m/>
    <m/>
    <m/>
    <m/>
    <m/>
    <m/>
    <m/>
    <m/>
    <m/>
    <m/>
    <m/>
    <m/>
    <m/>
    <m/>
    <m/>
    <m/>
    <m/>
    <m/>
    <m/>
    <m/>
    <m/>
    <m/>
    <x v="1"/>
    <x v="1"/>
    <m/>
    <m/>
    <m/>
    <m/>
    <m/>
    <m/>
    <m/>
    <m/>
    <m/>
    <m/>
    <m/>
    <m/>
    <m/>
    <m/>
    <m/>
    <m/>
    <m/>
    <s v="no test"/>
    <s v="no test"/>
    <x v="1"/>
    <n v="0"/>
    <n v="0"/>
    <n v="0"/>
    <n v="0"/>
    <n v="0"/>
    <n v="0"/>
    <n v="0"/>
    <n v="0"/>
    <n v="0"/>
    <n v="0"/>
    <n v="0"/>
    <n v="0"/>
    <n v="0"/>
    <n v="0"/>
    <n v="1"/>
    <n v="450"/>
    <n v="1"/>
    <n v="1"/>
    <n v="0"/>
    <n v="0"/>
    <n v="0"/>
    <n v="0"/>
    <n v="0"/>
    <n v="23"/>
    <n v="23"/>
    <n v="1"/>
    <n v="0"/>
    <n v="0"/>
    <n v="0"/>
    <n v="0"/>
    <n v="0"/>
    <n v="0"/>
    <n v="0"/>
    <n v="1"/>
    <n v="0"/>
    <n v="0"/>
    <n v="0"/>
    <n v="0"/>
    <n v="0"/>
    <n v="0"/>
    <n v="0"/>
    <x v="0"/>
    <s v="Yes"/>
    <s v="KBC-MYT"/>
    <x v="0"/>
    <x v="0"/>
    <x v="0"/>
    <n v="0"/>
    <n v="0"/>
    <s v="MMR001CMP253"/>
    <x v="1"/>
    <m/>
  </r>
  <r>
    <x v="1"/>
    <x v="5"/>
    <x v="5"/>
    <s v="DFID"/>
    <x v="0"/>
    <x v="2"/>
    <x v="1"/>
    <x v="155"/>
    <n v="45"/>
    <n v="186"/>
    <d v="2018-08-01T00:00:00"/>
    <d v="2020-07-31T00:00:00"/>
    <m/>
    <n v="1"/>
    <n v="0"/>
    <n v="0"/>
    <s v="Yes"/>
    <n v="0"/>
    <n v="5"/>
    <n v="1"/>
    <m/>
    <m/>
    <n v="0"/>
    <n v="1"/>
    <m/>
    <m/>
    <n v="0"/>
    <m/>
    <m/>
    <n v="0"/>
    <n v="0"/>
    <n v="0"/>
    <n v="0"/>
    <n v="0"/>
    <m/>
    <m/>
    <m/>
    <m/>
    <n v="0"/>
    <n v="0"/>
    <m/>
    <n v="0"/>
    <n v="7"/>
    <s v="UNHCR &amp; World vision"/>
    <m/>
    <m/>
    <m/>
    <m/>
    <n v="0"/>
    <x v="0"/>
    <x v="0"/>
    <n v="0"/>
    <n v="0"/>
    <n v="0"/>
    <m/>
    <n v="2"/>
    <m/>
    <n v="0"/>
    <n v="2"/>
    <m/>
    <n v="0"/>
    <n v="0"/>
    <m/>
    <m/>
    <s v="No"/>
    <m/>
    <n v="0"/>
    <m/>
    <s v="no test"/>
    <s v="no test"/>
    <x v="1"/>
    <n v="1"/>
    <n v="1"/>
    <n v="0"/>
    <n v="0"/>
    <n v="0"/>
    <n v="1"/>
    <n v="1"/>
    <n v="1"/>
    <n v="186"/>
    <n v="0"/>
    <n v="0"/>
    <n v="1"/>
    <n v="186"/>
    <n v="0.372"/>
    <n v="0"/>
    <n v="0"/>
    <n v="0.628"/>
    <n v="1"/>
    <n v="7"/>
    <n v="0.75268817204301075"/>
    <n v="140"/>
    <n v="0"/>
    <n v="0"/>
    <n v="9"/>
    <n v="2"/>
    <n v="0.24731182795698925"/>
    <n v="0"/>
    <n v="0"/>
    <n v="0"/>
    <n v="0"/>
    <n v="0"/>
    <n v="0"/>
    <n v="0"/>
    <n v="1"/>
    <n v="0"/>
    <n v="0"/>
    <n v="0"/>
    <n v="2"/>
    <n v="40"/>
    <n v="0"/>
    <n v="186"/>
    <x v="0"/>
    <s v="Yes"/>
    <s v="Shalom"/>
    <x v="0"/>
    <x v="0"/>
    <x v="0"/>
    <n v="25.333683333333301"/>
    <n v="97.428251153846105"/>
    <s v="MMR001CMP037"/>
    <x v="0"/>
    <m/>
  </r>
  <r>
    <x v="1"/>
    <x v="4"/>
    <x v="4"/>
    <s v="UNICEF,ADRA(CANADA)"/>
    <x v="0"/>
    <x v="3"/>
    <x v="1"/>
    <x v="150"/>
    <n v="18"/>
    <n v="87"/>
    <s v="4/1/2019,5/1/2019"/>
    <s v="7/31/2019,31/1/2020"/>
    <m/>
    <m/>
    <m/>
    <m/>
    <s v="Yes"/>
    <m/>
    <m/>
    <n v="0"/>
    <m/>
    <m/>
    <n v="0"/>
    <m/>
    <m/>
    <m/>
    <n v="1"/>
    <m/>
    <m/>
    <m/>
    <m/>
    <m/>
    <m/>
    <n v="0"/>
    <m/>
    <m/>
    <m/>
    <m/>
    <m/>
    <m/>
    <m/>
    <n v="10"/>
    <m/>
    <m/>
    <m/>
    <m/>
    <m/>
    <m/>
    <n v="10"/>
    <x v="0"/>
    <x v="0"/>
    <m/>
    <m/>
    <m/>
    <m/>
    <m/>
    <m/>
    <m/>
    <n v="0"/>
    <m/>
    <m/>
    <n v="1"/>
    <m/>
    <m/>
    <m/>
    <m/>
    <m/>
    <m/>
    <s v="no test"/>
    <s v="no test"/>
    <x v="1"/>
    <n v="0"/>
    <n v="0"/>
    <n v="1"/>
    <n v="0"/>
    <n v="0"/>
    <n v="0.76628352490421459"/>
    <n v="0.76628352490421459"/>
    <n v="0.76628352490421459"/>
    <n v="66.666666666666671"/>
    <n v="0"/>
    <n v="0"/>
    <n v="0.76628352490421459"/>
    <n v="66.666666666666671"/>
    <n v="0.13333333333333333"/>
    <n v="0.23371647509578541"/>
    <n v="20.333333333333332"/>
    <n v="0.8666666666666667"/>
    <n v="1"/>
    <n v="10"/>
    <n v="1"/>
    <n v="87"/>
    <n v="0"/>
    <n v="0"/>
    <n v="4"/>
    <n v="0"/>
    <n v="0"/>
    <n v="0"/>
    <n v="87"/>
    <n v="0"/>
    <n v="0"/>
    <n v="0"/>
    <n v="87"/>
    <n v="1"/>
    <n v="0"/>
    <n v="1"/>
    <n v="0"/>
    <n v="0"/>
    <n v="0"/>
    <n v="0"/>
    <n v="0"/>
    <n v="0"/>
    <x v="0"/>
    <n v="0"/>
    <s v="uncovered"/>
    <x v="0"/>
    <x v="2"/>
    <x v="0"/>
    <n v="0"/>
    <n v="0"/>
    <s v="MMR001CMP267"/>
    <x v="0"/>
    <m/>
  </r>
  <r>
    <x v="1"/>
    <x v="5"/>
    <x v="5"/>
    <s v="DFID"/>
    <x v="0"/>
    <x v="2"/>
    <x v="1"/>
    <x v="157"/>
    <n v="66"/>
    <n v="263"/>
    <d v="2018-08-01T00:00:00"/>
    <d v="2020-07-31T00:00:00"/>
    <m/>
    <n v="1"/>
    <n v="0"/>
    <n v="0"/>
    <s v="Yes"/>
    <n v="3"/>
    <n v="2"/>
    <n v="3"/>
    <m/>
    <m/>
    <n v="1"/>
    <n v="3"/>
    <m/>
    <m/>
    <n v="0"/>
    <m/>
    <m/>
    <n v="0"/>
    <n v="0"/>
    <n v="0"/>
    <n v="0"/>
    <n v="0"/>
    <m/>
    <m/>
    <m/>
    <m/>
    <n v="0"/>
    <n v="0"/>
    <m/>
    <n v="0"/>
    <n v="7"/>
    <n v="0"/>
    <m/>
    <m/>
    <m/>
    <m/>
    <n v="0"/>
    <x v="0"/>
    <x v="0"/>
    <n v="0"/>
    <n v="0"/>
    <n v="0"/>
    <m/>
    <n v="2"/>
    <m/>
    <n v="0"/>
    <n v="4"/>
    <m/>
    <n v="0"/>
    <n v="0"/>
    <m/>
    <m/>
    <s v="No"/>
    <m/>
    <n v="0"/>
    <m/>
    <s v="no test"/>
    <s v="no test"/>
    <x v="1"/>
    <n v="3"/>
    <n v="4"/>
    <n v="0"/>
    <n v="0"/>
    <n v="0"/>
    <n v="1"/>
    <n v="1"/>
    <n v="1"/>
    <n v="263"/>
    <n v="0"/>
    <n v="0"/>
    <n v="1"/>
    <n v="263"/>
    <n v="0.52600000000000002"/>
    <n v="0"/>
    <n v="0"/>
    <n v="0.47399999999999998"/>
    <n v="1"/>
    <n v="7"/>
    <n v="0.53231939163498099"/>
    <n v="140"/>
    <n v="0"/>
    <n v="0"/>
    <n v="13"/>
    <n v="6"/>
    <n v="0.46768060836501901"/>
    <n v="0"/>
    <n v="0"/>
    <n v="0"/>
    <n v="0"/>
    <n v="0"/>
    <n v="0"/>
    <n v="0"/>
    <n v="1"/>
    <n v="0"/>
    <n v="0"/>
    <n v="0"/>
    <n v="2"/>
    <n v="40"/>
    <n v="0"/>
    <n v="200"/>
    <x v="0"/>
    <s v="Yes"/>
    <s v="Shalom"/>
    <x v="0"/>
    <x v="0"/>
    <x v="0"/>
    <n v="25.351250396825399"/>
    <n v="97.444283730158702"/>
    <s v="MMR001CMP038"/>
    <x v="0"/>
    <m/>
  </r>
  <r>
    <x v="1"/>
    <x v="2"/>
    <x v="2"/>
    <m/>
    <x v="0"/>
    <x v="2"/>
    <x v="1"/>
    <x v="152"/>
    <n v="80"/>
    <n v="449"/>
    <m/>
    <m/>
    <m/>
    <m/>
    <m/>
    <m/>
    <m/>
    <m/>
    <m/>
    <m/>
    <m/>
    <m/>
    <m/>
    <m/>
    <m/>
    <m/>
    <m/>
    <m/>
    <m/>
    <m/>
    <m/>
    <m/>
    <m/>
    <m/>
    <m/>
    <m/>
    <m/>
    <m/>
    <m/>
    <m/>
    <m/>
    <m/>
    <m/>
    <m/>
    <m/>
    <m/>
    <m/>
    <m/>
    <m/>
    <x v="1"/>
    <x v="1"/>
    <m/>
    <m/>
    <m/>
    <m/>
    <m/>
    <m/>
    <m/>
    <m/>
    <m/>
    <m/>
    <m/>
    <m/>
    <m/>
    <m/>
    <m/>
    <m/>
    <m/>
    <s v="no test"/>
    <s v="no test"/>
    <x v="1"/>
    <n v="0"/>
    <n v="0"/>
    <n v="0"/>
    <n v="0"/>
    <n v="0"/>
    <n v="0"/>
    <n v="0"/>
    <n v="0"/>
    <n v="0"/>
    <n v="0"/>
    <n v="0"/>
    <n v="0"/>
    <n v="0"/>
    <n v="0"/>
    <n v="1"/>
    <n v="449"/>
    <n v="1"/>
    <n v="1"/>
    <n v="0"/>
    <n v="0"/>
    <n v="0"/>
    <n v="0"/>
    <n v="0"/>
    <n v="22"/>
    <n v="22"/>
    <n v="1"/>
    <n v="0"/>
    <n v="0"/>
    <n v="0"/>
    <n v="0"/>
    <n v="0"/>
    <n v="0"/>
    <n v="0"/>
    <n v="1"/>
    <n v="0"/>
    <n v="0"/>
    <n v="0"/>
    <n v="0"/>
    <n v="0"/>
    <n v="0"/>
    <n v="0"/>
    <x v="0"/>
    <n v="0"/>
    <s v="uncovered"/>
    <x v="0"/>
    <x v="2"/>
    <x v="0"/>
    <n v="0"/>
    <n v="0"/>
    <s v="MMR001CMP258"/>
    <x v="1"/>
    <m/>
  </r>
  <r>
    <x v="1"/>
    <x v="4"/>
    <x v="4"/>
    <s v="UNICEF,ADRA(CANADA),PLAN(GFFO)"/>
    <x v="0"/>
    <x v="3"/>
    <x v="1"/>
    <x v="153"/>
    <n v="169"/>
    <n v="724"/>
    <s v="4/1/2019,5/1/2019,5/1/2019"/>
    <s v="7/31/2019,1/31/2020,9/30/2021"/>
    <m/>
    <m/>
    <m/>
    <m/>
    <s v="Yes"/>
    <m/>
    <m/>
    <n v="1"/>
    <m/>
    <m/>
    <n v="3"/>
    <m/>
    <m/>
    <m/>
    <m/>
    <m/>
    <m/>
    <n v="900"/>
    <m/>
    <m/>
    <m/>
    <n v="4"/>
    <m/>
    <m/>
    <m/>
    <m/>
    <m/>
    <m/>
    <m/>
    <n v="28"/>
    <m/>
    <m/>
    <m/>
    <m/>
    <n v="7"/>
    <m/>
    <n v="10"/>
    <x v="0"/>
    <x v="0"/>
    <m/>
    <m/>
    <m/>
    <m/>
    <m/>
    <m/>
    <m/>
    <n v="0"/>
    <m/>
    <m/>
    <n v="2"/>
    <m/>
    <m/>
    <m/>
    <m/>
    <m/>
    <m/>
    <s v="no test"/>
    <s v="no test"/>
    <x v="1"/>
    <n v="1"/>
    <n v="3"/>
    <n v="0"/>
    <n v="900"/>
    <n v="0"/>
    <n v="1"/>
    <n v="1"/>
    <n v="1"/>
    <n v="724"/>
    <n v="0"/>
    <n v="0"/>
    <n v="1"/>
    <n v="724"/>
    <n v="1.448"/>
    <n v="0"/>
    <n v="0"/>
    <n v="0"/>
    <n v="1"/>
    <n v="28"/>
    <n v="0.77348066298342544"/>
    <n v="560"/>
    <n v="140"/>
    <n v="0"/>
    <n v="36"/>
    <n v="8"/>
    <n v="0.22651933701657456"/>
    <n v="0"/>
    <n v="724"/>
    <n v="0"/>
    <n v="0"/>
    <n v="0"/>
    <n v="724"/>
    <n v="1"/>
    <n v="0"/>
    <n v="1"/>
    <n v="0"/>
    <n v="0"/>
    <n v="0"/>
    <n v="0"/>
    <n v="0"/>
    <n v="0"/>
    <x v="0"/>
    <s v="Yes"/>
    <s v="KBC-MYT"/>
    <x v="0"/>
    <x v="0"/>
    <x v="0"/>
    <n v="25.480989999999998"/>
    <n v="97.431079999999994"/>
    <s v="MMR001CMP263"/>
    <x v="0"/>
    <m/>
  </r>
  <r>
    <x v="1"/>
    <x v="4"/>
    <x v="4"/>
    <s v="UNICEF,ADRA(CANADA),PLAN(GFFO)"/>
    <x v="0"/>
    <x v="2"/>
    <x v="1"/>
    <x v="154"/>
    <n v="79"/>
    <n v="356"/>
    <s v="4/1/2019,5/1/2019,5/1/2019"/>
    <s v="7/31/2019,1/31/2020,9/30/2021"/>
    <m/>
    <m/>
    <m/>
    <m/>
    <s v="Yes"/>
    <m/>
    <m/>
    <n v="0"/>
    <m/>
    <m/>
    <n v="1"/>
    <m/>
    <m/>
    <m/>
    <m/>
    <m/>
    <m/>
    <m/>
    <m/>
    <m/>
    <m/>
    <n v="3"/>
    <m/>
    <m/>
    <m/>
    <m/>
    <m/>
    <m/>
    <m/>
    <n v="8"/>
    <m/>
    <m/>
    <m/>
    <m/>
    <n v="2"/>
    <m/>
    <n v="6"/>
    <x v="0"/>
    <x v="0"/>
    <m/>
    <m/>
    <m/>
    <m/>
    <m/>
    <m/>
    <m/>
    <n v="0"/>
    <m/>
    <m/>
    <n v="1"/>
    <m/>
    <m/>
    <m/>
    <m/>
    <m/>
    <m/>
    <s v="no test"/>
    <s v="no test"/>
    <x v="1"/>
    <n v="0"/>
    <n v="1"/>
    <n v="0"/>
    <n v="0"/>
    <n v="0"/>
    <n v="1"/>
    <n v="0.702247191011236"/>
    <n v="1"/>
    <n v="356"/>
    <n v="0"/>
    <n v="0"/>
    <n v="1"/>
    <n v="356"/>
    <n v="0.71199999999999997"/>
    <n v="0"/>
    <n v="0"/>
    <n v="0.28800000000000003"/>
    <n v="1"/>
    <n v="8"/>
    <n v="0.449438202247191"/>
    <n v="160"/>
    <n v="40"/>
    <n v="0"/>
    <n v="18"/>
    <n v="10"/>
    <n v="0.550561797752809"/>
    <n v="0"/>
    <n v="356"/>
    <n v="0"/>
    <n v="0"/>
    <n v="0"/>
    <n v="356"/>
    <n v="1"/>
    <n v="0"/>
    <n v="1"/>
    <n v="0"/>
    <n v="0"/>
    <n v="0"/>
    <n v="0"/>
    <n v="0"/>
    <n v="0"/>
    <x v="0"/>
    <s v="Yes"/>
    <s v="KBC-MYT"/>
    <x v="0"/>
    <x v="0"/>
    <x v="0"/>
    <n v="0"/>
    <n v="0"/>
    <s v="MMR001CMP269"/>
    <x v="0"/>
    <m/>
  </r>
  <r>
    <x v="1"/>
    <x v="5"/>
    <x v="5"/>
    <s v="DFID"/>
    <x v="0"/>
    <x v="6"/>
    <x v="1"/>
    <x v="41"/>
    <n v="32"/>
    <n v="172"/>
    <d v="2018-08-01T00:00:00"/>
    <d v="2020-07-31T00:00:00"/>
    <m/>
    <n v="1"/>
    <n v="0"/>
    <n v="0"/>
    <s v="Yes"/>
    <n v="4"/>
    <n v="1"/>
    <n v="0"/>
    <m/>
    <m/>
    <n v="0"/>
    <n v="0"/>
    <m/>
    <m/>
    <n v="1"/>
    <m/>
    <m/>
    <n v="0"/>
    <n v="1"/>
    <n v="1"/>
    <n v="0"/>
    <n v="1"/>
    <m/>
    <m/>
    <m/>
    <m/>
    <n v="0"/>
    <n v="0"/>
    <m/>
    <n v="10"/>
    <n v="1"/>
    <s v="Shalom"/>
    <m/>
    <m/>
    <m/>
    <m/>
    <n v="0"/>
    <x v="0"/>
    <x v="4"/>
    <n v="0"/>
    <n v="0"/>
    <n v="0"/>
    <m/>
    <n v="2"/>
    <m/>
    <n v="2"/>
    <n v="0"/>
    <m/>
    <n v="1"/>
    <n v="0"/>
    <m/>
    <m/>
    <s v="No"/>
    <m/>
    <n v="0.05"/>
    <m/>
    <s v="no test"/>
    <s v="no test"/>
    <x v="1"/>
    <n v="0"/>
    <n v="0"/>
    <n v="1"/>
    <n v="0"/>
    <n v="1"/>
    <n v="0.38798449612403102"/>
    <n v="0.38798449612403102"/>
    <n v="0.38798449612403102"/>
    <n v="66.733333333333334"/>
    <n v="1"/>
    <n v="172"/>
    <n v="1"/>
    <n v="172"/>
    <n v="0.34399999999999997"/>
    <n v="0"/>
    <n v="0"/>
    <n v="0.65600000000000003"/>
    <n v="1"/>
    <n v="11"/>
    <n v="1"/>
    <n v="172"/>
    <n v="0"/>
    <n v="0"/>
    <n v="9"/>
    <n v="0"/>
    <n v="0"/>
    <n v="0"/>
    <n v="172"/>
    <n v="0"/>
    <n v="0"/>
    <n v="0"/>
    <n v="172"/>
    <n v="1"/>
    <n v="0"/>
    <n v="1"/>
    <n v="0"/>
    <n v="0"/>
    <n v="2"/>
    <n v="32"/>
    <n v="0"/>
    <n v="172"/>
    <x v="0"/>
    <s v="Yes"/>
    <s v="KBC"/>
    <x v="0"/>
    <x v="0"/>
    <x v="0"/>
    <n v="25.577559999999998"/>
    <n v="96.286680000000004"/>
    <s v="MMR001CMP184"/>
    <x v="0"/>
    <m/>
  </r>
  <r>
    <x v="1"/>
    <x v="5"/>
    <x v="5"/>
    <s v="DFID"/>
    <x v="0"/>
    <x v="6"/>
    <x v="1"/>
    <x v="42"/>
    <n v="15"/>
    <n v="67"/>
    <d v="2018-08-01T00:00:00"/>
    <d v="2020-07-31T00:00:00"/>
    <m/>
    <n v="1"/>
    <n v="0"/>
    <n v="0"/>
    <s v="Yes"/>
    <n v="2"/>
    <n v="2"/>
    <n v="0"/>
    <m/>
    <m/>
    <n v="0"/>
    <n v="0"/>
    <m/>
    <m/>
    <n v="0"/>
    <m/>
    <m/>
    <n v="0"/>
    <n v="0"/>
    <n v="0"/>
    <n v="0"/>
    <n v="0"/>
    <m/>
    <m/>
    <m/>
    <m/>
    <n v="0"/>
    <n v="0"/>
    <m/>
    <n v="4"/>
    <n v="1"/>
    <s v="Shalom &amp; Chruch"/>
    <m/>
    <m/>
    <m/>
    <m/>
    <n v="0"/>
    <x v="0"/>
    <x v="4"/>
    <n v="0"/>
    <n v="0"/>
    <n v="0"/>
    <m/>
    <n v="0"/>
    <m/>
    <n v="0"/>
    <n v="2"/>
    <m/>
    <n v="2"/>
    <n v="0"/>
    <m/>
    <m/>
    <s v="No"/>
    <m/>
    <n v="0.65"/>
    <m/>
    <s v="no test"/>
    <s v="no test"/>
    <x v="1"/>
    <n v="0"/>
    <n v="0"/>
    <n v="0"/>
    <n v="0"/>
    <n v="0"/>
    <n v="0"/>
    <n v="0"/>
    <n v="0"/>
    <n v="0"/>
    <n v="0"/>
    <n v="0"/>
    <n v="0"/>
    <n v="0"/>
    <n v="0"/>
    <n v="1"/>
    <n v="67"/>
    <n v="1"/>
    <n v="1"/>
    <n v="5"/>
    <n v="1"/>
    <n v="67"/>
    <n v="0"/>
    <n v="0"/>
    <n v="3"/>
    <n v="0"/>
    <n v="0"/>
    <n v="0"/>
    <n v="67"/>
    <n v="0"/>
    <n v="0"/>
    <n v="0"/>
    <n v="67"/>
    <n v="1"/>
    <n v="0"/>
    <n v="1"/>
    <n v="0"/>
    <n v="0"/>
    <n v="0"/>
    <n v="0"/>
    <n v="0"/>
    <n v="0"/>
    <x v="0"/>
    <s v="Yes"/>
    <s v="KBC"/>
    <x v="0"/>
    <x v="0"/>
    <x v="0"/>
    <n v="25.599250000000001"/>
    <n v="96.306910999999999"/>
    <s v="MMR001CMP105"/>
    <x v="0"/>
    <m/>
  </r>
  <r>
    <x v="1"/>
    <x v="1"/>
    <x v="1"/>
    <s v="WHH-BMZ,WHH-AA"/>
    <x v="0"/>
    <x v="2"/>
    <x v="0"/>
    <x v="158"/>
    <n v="134"/>
    <n v="709"/>
    <m/>
    <d v="2018-06-30T00:00:00"/>
    <m/>
    <m/>
    <m/>
    <m/>
    <m/>
    <m/>
    <m/>
    <m/>
    <m/>
    <m/>
    <m/>
    <m/>
    <m/>
    <m/>
    <m/>
    <m/>
    <m/>
    <m/>
    <m/>
    <m/>
    <m/>
    <m/>
    <m/>
    <m/>
    <m/>
    <m/>
    <m/>
    <m/>
    <m/>
    <m/>
    <m/>
    <m/>
    <m/>
    <m/>
    <m/>
    <m/>
    <m/>
    <x v="0"/>
    <x v="3"/>
    <m/>
    <m/>
    <m/>
    <m/>
    <m/>
    <m/>
    <m/>
    <m/>
    <m/>
    <m/>
    <m/>
    <m/>
    <m/>
    <m/>
    <m/>
    <m/>
    <m/>
    <s v="no test"/>
    <s v="no test"/>
    <x v="1"/>
    <n v="0"/>
    <n v="0"/>
    <n v="0"/>
    <n v="0"/>
    <n v="0"/>
    <n v="0"/>
    <n v="0"/>
    <n v="0"/>
    <n v="0"/>
    <n v="0"/>
    <n v="0"/>
    <n v="0"/>
    <n v="0"/>
    <n v="0"/>
    <n v="1"/>
    <n v="709"/>
    <n v="1"/>
    <n v="1"/>
    <n v="0"/>
    <n v="0"/>
    <n v="0"/>
    <n v="0"/>
    <n v="0"/>
    <n v="35"/>
    <n v="35"/>
    <n v="1"/>
    <n v="0"/>
    <n v="0"/>
    <n v="0"/>
    <n v="0"/>
    <n v="0"/>
    <n v="0"/>
    <n v="0"/>
    <n v="1"/>
    <n v="0"/>
    <n v="0"/>
    <n v="0"/>
    <n v="0"/>
    <n v="0"/>
    <n v="0"/>
    <n v="0"/>
    <x v="0"/>
    <n v="0"/>
    <n v="0"/>
    <x v="0"/>
    <x v="0"/>
    <x v="1"/>
    <n v="0"/>
    <n v="0"/>
    <n v="0"/>
    <x v="0"/>
    <m/>
  </r>
  <r>
    <x v="1"/>
    <x v="1"/>
    <x v="1"/>
    <s v="WHH-BMZ,WHH-AA"/>
    <x v="0"/>
    <x v="2"/>
    <x v="0"/>
    <x v="159"/>
    <n v="546"/>
    <n v="2550"/>
    <m/>
    <d v="2018-06-30T00:00:00"/>
    <m/>
    <m/>
    <m/>
    <m/>
    <m/>
    <m/>
    <m/>
    <m/>
    <m/>
    <m/>
    <m/>
    <m/>
    <m/>
    <m/>
    <m/>
    <m/>
    <m/>
    <m/>
    <m/>
    <m/>
    <m/>
    <m/>
    <m/>
    <m/>
    <m/>
    <m/>
    <m/>
    <m/>
    <m/>
    <m/>
    <m/>
    <m/>
    <m/>
    <m/>
    <m/>
    <m/>
    <m/>
    <x v="2"/>
    <x v="4"/>
    <m/>
    <m/>
    <m/>
    <m/>
    <m/>
    <m/>
    <m/>
    <m/>
    <m/>
    <m/>
    <m/>
    <m/>
    <m/>
    <m/>
    <m/>
    <m/>
    <m/>
    <s v="no test"/>
    <s v="no test"/>
    <x v="1"/>
    <n v="0"/>
    <n v="0"/>
    <n v="0"/>
    <n v="0"/>
    <n v="0"/>
    <n v="0"/>
    <n v="0"/>
    <n v="0"/>
    <n v="0"/>
    <n v="0"/>
    <n v="0"/>
    <n v="0"/>
    <n v="0"/>
    <n v="0"/>
    <n v="1"/>
    <n v="2550"/>
    <n v="5"/>
    <n v="5"/>
    <n v="0"/>
    <n v="0"/>
    <n v="0"/>
    <n v="0"/>
    <n v="0"/>
    <n v="128"/>
    <n v="128"/>
    <n v="1"/>
    <n v="0"/>
    <n v="0"/>
    <n v="0"/>
    <n v="0"/>
    <n v="0"/>
    <n v="0"/>
    <n v="0"/>
    <n v="1"/>
    <n v="0"/>
    <n v="0"/>
    <n v="0"/>
    <n v="0"/>
    <n v="0"/>
    <n v="0"/>
    <n v="0"/>
    <x v="0"/>
    <n v="0"/>
    <n v="0"/>
    <x v="0"/>
    <x v="1"/>
    <x v="1"/>
    <n v="0"/>
    <n v="0"/>
    <n v="0"/>
    <x v="0"/>
    <m/>
  </r>
  <r>
    <x v="1"/>
    <x v="1"/>
    <x v="1"/>
    <s v="WHH-AA / USAID"/>
    <x v="0"/>
    <x v="0"/>
    <x v="1"/>
    <x v="160"/>
    <n v="10"/>
    <n v="59"/>
    <d v="2019-01-01T00:00:00"/>
    <d v="2019-12-31T00:00:00"/>
    <m/>
    <m/>
    <m/>
    <m/>
    <s v="No"/>
    <m/>
    <m/>
    <m/>
    <m/>
    <m/>
    <m/>
    <n v="1"/>
    <m/>
    <m/>
    <m/>
    <m/>
    <m/>
    <m/>
    <m/>
    <m/>
    <m/>
    <m/>
    <m/>
    <m/>
    <m/>
    <m/>
    <m/>
    <m/>
    <m/>
    <n v="10"/>
    <m/>
    <m/>
    <m/>
    <m/>
    <m/>
    <m/>
    <m/>
    <x v="0"/>
    <x v="0"/>
    <m/>
    <m/>
    <m/>
    <m/>
    <n v="1"/>
    <m/>
    <m/>
    <n v="2"/>
    <m/>
    <m/>
    <m/>
    <n v="10"/>
    <n v="1"/>
    <m/>
    <m/>
    <m/>
    <m/>
    <s v="no test"/>
    <s v="no test"/>
    <x v="1"/>
    <n v="0"/>
    <n v="1"/>
    <n v="0"/>
    <n v="0"/>
    <n v="0"/>
    <n v="1"/>
    <n v="1"/>
    <n v="1"/>
    <n v="59"/>
    <n v="0"/>
    <n v="0"/>
    <n v="1"/>
    <n v="59"/>
    <n v="0.11799999999999999"/>
    <n v="0"/>
    <n v="0"/>
    <n v="0.88200000000000001"/>
    <n v="1"/>
    <n v="10"/>
    <n v="1"/>
    <n v="59"/>
    <n v="0"/>
    <n v="0"/>
    <n v="3"/>
    <n v="0"/>
    <n v="0"/>
    <n v="0"/>
    <n v="0"/>
    <n v="59"/>
    <n v="5"/>
    <n v="59"/>
    <n v="59"/>
    <n v="1"/>
    <n v="0"/>
    <n v="0"/>
    <n v="1"/>
    <n v="0.1"/>
    <n v="1"/>
    <n v="10"/>
    <n v="0"/>
    <n v="59"/>
    <x v="0"/>
    <s v="Yes"/>
    <s v="Shalom"/>
    <x v="0"/>
    <x v="4"/>
    <x v="0"/>
    <n v="24.24953"/>
    <n v="97.240639999999999"/>
    <s v="MMR001CMP053"/>
    <x v="0"/>
    <m/>
  </r>
  <r>
    <x v="1"/>
    <x v="9"/>
    <x v="9"/>
    <s v="Germany FFO"/>
    <x v="3"/>
    <x v="27"/>
    <x v="3"/>
    <x v="532"/>
    <n v="133"/>
    <n v="373"/>
    <d v="2017-12-31T00:00:00"/>
    <d v="2019-11-30T00:00:00"/>
    <m/>
    <m/>
    <m/>
    <m/>
    <m/>
    <m/>
    <m/>
    <m/>
    <m/>
    <m/>
    <m/>
    <m/>
    <m/>
    <m/>
    <m/>
    <m/>
    <m/>
    <m/>
    <m/>
    <m/>
    <m/>
    <m/>
    <m/>
    <m/>
    <m/>
    <m/>
    <m/>
    <m/>
    <m/>
    <m/>
    <m/>
    <m/>
    <m/>
    <m/>
    <m/>
    <m/>
    <m/>
    <x v="3"/>
    <x v="2"/>
    <m/>
    <m/>
    <m/>
    <m/>
    <m/>
    <m/>
    <m/>
    <n v="1"/>
    <m/>
    <m/>
    <m/>
    <m/>
    <m/>
    <m/>
    <m/>
    <m/>
    <m/>
    <s v="no test"/>
    <s v="no test"/>
    <x v="1"/>
    <n v="0"/>
    <n v="0"/>
    <n v="0"/>
    <n v="0"/>
    <n v="0"/>
    <n v="0"/>
    <n v="0"/>
    <n v="0"/>
    <n v="0"/>
    <n v="0"/>
    <n v="0"/>
    <n v="0"/>
    <n v="0"/>
    <n v="0"/>
    <n v="1"/>
    <n v="373"/>
    <n v="1"/>
    <n v="1"/>
    <n v="0"/>
    <n v="0"/>
    <n v="0"/>
    <n v="0"/>
    <n v="0"/>
    <n v="7"/>
    <n v="7"/>
    <n v="1"/>
    <n v="0"/>
    <n v="0"/>
    <n v="0"/>
    <n v="0"/>
    <n v="0"/>
    <n v="0"/>
    <n v="0"/>
    <n v="1"/>
    <n v="0"/>
    <n v="0"/>
    <n v="0"/>
    <n v="0"/>
    <n v="0"/>
    <n v="0"/>
    <n v="0"/>
    <x v="0"/>
    <n v="0"/>
    <n v="0"/>
    <x v="3"/>
    <x v="8"/>
    <x v="0"/>
    <n v="0"/>
    <n v="0"/>
    <n v="0"/>
    <x v="0"/>
    <m/>
  </r>
  <r>
    <x v="1"/>
    <x v="38"/>
    <x v="39"/>
    <s v="HARP"/>
    <x v="3"/>
    <x v="31"/>
    <x v="2"/>
    <x v="535"/>
    <n v="104"/>
    <n v="569"/>
    <m/>
    <d v="2020-12-31T00:00:00"/>
    <m/>
    <m/>
    <m/>
    <m/>
    <s v="Yes"/>
    <n v="5"/>
    <n v="1"/>
    <m/>
    <m/>
    <m/>
    <m/>
    <m/>
    <m/>
    <m/>
    <n v="1"/>
    <m/>
    <m/>
    <m/>
    <n v="1"/>
    <m/>
    <n v="1"/>
    <n v="1"/>
    <m/>
    <m/>
    <m/>
    <m/>
    <m/>
    <m/>
    <s v="lack of water tank/collection pool"/>
    <m/>
    <n v="70"/>
    <m/>
    <m/>
    <m/>
    <m/>
    <m/>
    <m/>
    <x v="2"/>
    <x v="5"/>
    <m/>
    <m/>
    <m/>
    <s v="some families need new latrines the original place is close to their kitchen"/>
    <m/>
    <m/>
    <n v="70"/>
    <n v="0"/>
    <m/>
    <n v="5"/>
    <n v="1"/>
    <m/>
    <m/>
    <m/>
    <m/>
    <m/>
    <m/>
    <s v="no test"/>
    <s v="no test"/>
    <x v="1"/>
    <n v="0"/>
    <n v="0"/>
    <n v="1"/>
    <n v="0"/>
    <n v="0"/>
    <n v="0.11716461628588168"/>
    <n v="0.11716461628588168"/>
    <n v="0.11716461628588168"/>
    <n v="66.666666666666671"/>
    <n v="0.43936731107205623"/>
    <n v="250"/>
    <n v="0.55653192735793788"/>
    <n v="316.66666666666669"/>
    <n v="0.63333333333333341"/>
    <n v="0.44346807264206212"/>
    <n v="252.33333333333334"/>
    <n v="0.36666666666666659"/>
    <n v="1"/>
    <n v="70"/>
    <n v="0.73813708260105448"/>
    <n v="420"/>
    <s v="N/A"/>
    <s v="NA"/>
    <n v="95"/>
    <n v="25"/>
    <n v="0.26186291739894552"/>
    <n v="0"/>
    <n v="569"/>
    <n v="0"/>
    <n v="0"/>
    <n v="0"/>
    <n v="569"/>
    <n v="1"/>
    <n v="0"/>
    <n v="1"/>
    <n v="0"/>
    <n v="0"/>
    <n v="0"/>
    <n v="0"/>
    <n v="0"/>
    <n v="0"/>
    <x v="0"/>
    <n v="0"/>
    <n v="0"/>
    <x v="2"/>
    <x v="6"/>
    <x v="0"/>
    <n v="0"/>
    <n v="0"/>
    <n v="0"/>
    <x v="0"/>
    <m/>
  </r>
  <r>
    <x v="1"/>
    <x v="1"/>
    <x v="1"/>
    <s v="UNICEF, WHH (AA)"/>
    <x v="3"/>
    <x v="32"/>
    <x v="0"/>
    <x v="536"/>
    <n v="23"/>
    <n v="95"/>
    <s v="2/1/2019,8/1/18"/>
    <s v="1/31/2020, 9/30/2020"/>
    <n v="30"/>
    <m/>
    <m/>
    <m/>
    <s v="Yes"/>
    <n v="5"/>
    <n v="1"/>
    <m/>
    <m/>
    <m/>
    <m/>
    <m/>
    <m/>
    <m/>
    <m/>
    <m/>
    <m/>
    <m/>
    <m/>
    <m/>
    <m/>
    <m/>
    <m/>
    <m/>
    <m/>
    <m/>
    <m/>
    <m/>
    <m/>
    <n v="23"/>
    <m/>
    <m/>
    <m/>
    <m/>
    <m/>
    <m/>
    <m/>
    <x v="3"/>
    <x v="2"/>
    <m/>
    <m/>
    <m/>
    <m/>
    <m/>
    <m/>
    <m/>
    <m/>
    <m/>
    <m/>
    <m/>
    <n v="23"/>
    <n v="23"/>
    <m/>
    <m/>
    <m/>
    <m/>
    <s v="no test"/>
    <s v="no test"/>
    <x v="1"/>
    <n v="0"/>
    <n v="0"/>
    <n v="0"/>
    <n v="0"/>
    <n v="0"/>
    <n v="0"/>
    <n v="0"/>
    <n v="0"/>
    <n v="0"/>
    <n v="0"/>
    <n v="0"/>
    <n v="0"/>
    <n v="0"/>
    <n v="0"/>
    <n v="1"/>
    <n v="95"/>
    <n v="1"/>
    <n v="1"/>
    <n v="23"/>
    <n v="1"/>
    <n v="95"/>
    <n v="0"/>
    <n v="0"/>
    <n v="5"/>
    <n v="0"/>
    <n v="0"/>
    <n v="0"/>
    <n v="0"/>
    <n v="95"/>
    <n v="95"/>
    <n v="95"/>
    <n v="95"/>
    <n v="1"/>
    <n v="0"/>
    <n v="0"/>
    <n v="1"/>
    <n v="1"/>
    <n v="0"/>
    <n v="0"/>
    <n v="0"/>
    <n v="0"/>
    <x v="1"/>
    <n v="0"/>
    <n v="0"/>
    <x v="0"/>
    <x v="2"/>
    <x v="0"/>
    <n v="0"/>
    <n v="0"/>
    <n v="0"/>
    <x v="0"/>
    <m/>
  </r>
  <r>
    <x v="1"/>
    <x v="1"/>
    <x v="1"/>
    <s v="UNICEF"/>
    <x v="3"/>
    <x v="24"/>
    <x v="1"/>
    <x v="494"/>
    <n v="71"/>
    <n v="496"/>
    <d v="2019-02-01T00:00:00"/>
    <d v="2020-01-31T00:00:00"/>
    <n v="43"/>
    <m/>
    <m/>
    <m/>
    <s v="Yes"/>
    <n v="5"/>
    <n v="1"/>
    <m/>
    <m/>
    <m/>
    <m/>
    <m/>
    <m/>
    <m/>
    <m/>
    <m/>
    <m/>
    <m/>
    <m/>
    <m/>
    <m/>
    <m/>
    <m/>
    <m/>
    <m/>
    <m/>
    <m/>
    <m/>
    <m/>
    <m/>
    <m/>
    <m/>
    <m/>
    <m/>
    <m/>
    <m/>
    <m/>
    <x v="3"/>
    <x v="2"/>
    <m/>
    <m/>
    <m/>
    <m/>
    <m/>
    <m/>
    <m/>
    <m/>
    <m/>
    <m/>
    <n v="1"/>
    <n v="71"/>
    <n v="71"/>
    <m/>
    <m/>
    <m/>
    <m/>
    <s v="no test"/>
    <s v="no test"/>
    <x v="1"/>
    <n v="0"/>
    <n v="0"/>
    <n v="0"/>
    <n v="0"/>
    <n v="0"/>
    <n v="0"/>
    <n v="0"/>
    <n v="0"/>
    <n v="0"/>
    <n v="0"/>
    <n v="0"/>
    <n v="0"/>
    <n v="0"/>
    <n v="0"/>
    <n v="1"/>
    <n v="496"/>
    <n v="1"/>
    <n v="1"/>
    <n v="0"/>
    <n v="0"/>
    <n v="0"/>
    <n v="0"/>
    <n v="0"/>
    <n v="25"/>
    <n v="25"/>
    <n v="1"/>
    <n v="0"/>
    <n v="496"/>
    <n v="496"/>
    <n v="496"/>
    <n v="496"/>
    <n v="496"/>
    <n v="1"/>
    <n v="0"/>
    <n v="1"/>
    <n v="1"/>
    <n v="1"/>
    <n v="0"/>
    <n v="0"/>
    <n v="0"/>
    <n v="0"/>
    <x v="1"/>
    <n v="0"/>
    <s v="uncovered"/>
    <x v="0"/>
    <x v="2"/>
    <x v="0"/>
    <n v="0"/>
    <n v="0"/>
    <s v="MMR015CMP212"/>
    <x v="0"/>
    <m/>
  </r>
  <r>
    <x v="1"/>
    <x v="9"/>
    <x v="9"/>
    <s v="GFFO"/>
    <x v="3"/>
    <x v="25"/>
    <x v="1"/>
    <x v="495"/>
    <n v="136"/>
    <n v="553"/>
    <d v="2017-12-01T00:00:00"/>
    <d v="2019-11-30T00:00:00"/>
    <m/>
    <m/>
    <m/>
    <m/>
    <s v="Yes"/>
    <n v="5"/>
    <n v="1"/>
    <n v="0"/>
    <m/>
    <m/>
    <n v="0"/>
    <n v="0"/>
    <m/>
    <m/>
    <n v="20"/>
    <m/>
    <m/>
    <n v="0"/>
    <m/>
    <n v="0"/>
    <n v="1"/>
    <n v="1"/>
    <n v="1"/>
    <m/>
    <m/>
    <m/>
    <m/>
    <m/>
    <m/>
    <n v="40"/>
    <n v="0"/>
    <m/>
    <m/>
    <m/>
    <m/>
    <m/>
    <m/>
    <x v="2"/>
    <x v="3"/>
    <n v="0"/>
    <n v="0"/>
    <m/>
    <m/>
    <n v="2"/>
    <m/>
    <n v="0"/>
    <n v="6"/>
    <m/>
    <n v="0"/>
    <n v="2"/>
    <m/>
    <m/>
    <m/>
    <m/>
    <n v="0.5"/>
    <m/>
    <n v="0"/>
    <s v="no test"/>
    <x v="0"/>
    <n v="0"/>
    <n v="0"/>
    <n v="20"/>
    <n v="0"/>
    <n v="0"/>
    <n v="1"/>
    <n v="1"/>
    <n v="1"/>
    <n v="553"/>
    <n v="0"/>
    <n v="0"/>
    <n v="1"/>
    <n v="553"/>
    <n v="1.1060000000000001"/>
    <n v="0"/>
    <n v="0"/>
    <n v="0"/>
    <n v="1"/>
    <n v="40"/>
    <n v="1"/>
    <n v="553"/>
    <n v="0"/>
    <n v="0"/>
    <n v="28"/>
    <n v="0"/>
    <n v="0"/>
    <n v="0"/>
    <n v="553"/>
    <n v="0"/>
    <n v="0"/>
    <n v="0"/>
    <n v="553"/>
    <n v="1"/>
    <n v="0"/>
    <n v="1"/>
    <n v="0"/>
    <n v="0"/>
    <n v="2"/>
    <n v="40"/>
    <n v="0"/>
    <n v="200"/>
    <x v="0"/>
    <s v="Yes"/>
    <s v="KBC-NSS"/>
    <x v="0"/>
    <x v="0"/>
    <x v="0"/>
    <n v="24.08738"/>
    <n v="98.115809999999996"/>
    <s v="MMR015CMP247"/>
    <x v="0"/>
    <m/>
  </r>
  <r>
    <x v="1"/>
    <x v="1"/>
    <x v="1"/>
    <s v="WHH(AA)"/>
    <x v="3"/>
    <x v="25"/>
    <x v="1"/>
    <x v="496"/>
    <n v="154"/>
    <n v="779"/>
    <m/>
    <d v="2020-09-30T00:00:00"/>
    <m/>
    <m/>
    <m/>
    <m/>
    <s v="Yes"/>
    <m/>
    <m/>
    <m/>
    <m/>
    <m/>
    <m/>
    <m/>
    <m/>
    <m/>
    <m/>
    <m/>
    <m/>
    <m/>
    <m/>
    <m/>
    <m/>
    <m/>
    <m/>
    <m/>
    <m/>
    <m/>
    <m/>
    <m/>
    <m/>
    <n v="60"/>
    <m/>
    <m/>
    <m/>
    <m/>
    <m/>
    <m/>
    <m/>
    <x v="0"/>
    <x v="0"/>
    <m/>
    <m/>
    <m/>
    <m/>
    <m/>
    <m/>
    <m/>
    <n v="11"/>
    <m/>
    <m/>
    <m/>
    <m/>
    <m/>
    <m/>
    <m/>
    <m/>
    <m/>
    <s v="no test"/>
    <s v="no test"/>
    <x v="1"/>
    <n v="0"/>
    <n v="0"/>
    <n v="0"/>
    <n v="0"/>
    <n v="0"/>
    <n v="0"/>
    <n v="0"/>
    <n v="0"/>
    <n v="0"/>
    <n v="0"/>
    <n v="0"/>
    <n v="0"/>
    <n v="0"/>
    <n v="0"/>
    <n v="1"/>
    <n v="779"/>
    <n v="2"/>
    <n v="2"/>
    <n v="60"/>
    <n v="1"/>
    <n v="779"/>
    <n v="0"/>
    <n v="0"/>
    <n v="39"/>
    <n v="0"/>
    <n v="0"/>
    <n v="0"/>
    <n v="0"/>
    <n v="0"/>
    <n v="0"/>
    <n v="0"/>
    <n v="0"/>
    <n v="0"/>
    <n v="1"/>
    <n v="0"/>
    <n v="0"/>
    <n v="0"/>
    <n v="0"/>
    <n v="0"/>
    <n v="0"/>
    <n v="0"/>
    <x v="0"/>
    <n v="0"/>
    <n v="0"/>
    <x v="0"/>
    <x v="4"/>
    <x v="0"/>
    <n v="24.08738"/>
    <n v="98.115809999999996"/>
    <s v="MMR015CMP022"/>
    <x v="0"/>
    <m/>
  </r>
  <r>
    <x v="1"/>
    <x v="37"/>
    <x v="38"/>
    <s v="GFFO, (UNICEF, WHH(AA))"/>
    <x v="3"/>
    <x v="24"/>
    <x v="1"/>
    <x v="497"/>
    <n v="32"/>
    <n v="154"/>
    <s v="12/1/2017,(2/1/2019,8/1/18)"/>
    <s v="11/30/2019,(1/31/2020,9/30/2020)"/>
    <n v="23"/>
    <m/>
    <m/>
    <m/>
    <s v="Yes"/>
    <n v="4"/>
    <n v="5"/>
    <n v="0"/>
    <m/>
    <m/>
    <n v="0"/>
    <n v="0"/>
    <m/>
    <m/>
    <n v="54"/>
    <m/>
    <m/>
    <n v="0"/>
    <m/>
    <n v="0"/>
    <n v="1"/>
    <m/>
    <n v="1"/>
    <m/>
    <m/>
    <m/>
    <m/>
    <m/>
    <m/>
    <n v="32"/>
    <n v="0"/>
    <m/>
    <m/>
    <m/>
    <m/>
    <m/>
    <m/>
    <x v="2"/>
    <x v="0"/>
    <n v="0"/>
    <n v="0"/>
    <m/>
    <m/>
    <n v="0"/>
    <m/>
    <n v="0"/>
    <n v="0"/>
    <m/>
    <n v="0"/>
    <n v="2"/>
    <n v="30"/>
    <n v="30"/>
    <m/>
    <m/>
    <n v="0.5"/>
    <m/>
    <n v="0"/>
    <s v="no test"/>
    <x v="0"/>
    <n v="0"/>
    <n v="0"/>
    <n v="54"/>
    <n v="0"/>
    <n v="0"/>
    <n v="1"/>
    <n v="1"/>
    <n v="1"/>
    <n v="154"/>
    <n v="0"/>
    <n v="0"/>
    <n v="1"/>
    <n v="154"/>
    <n v="0.308"/>
    <n v="0"/>
    <n v="0"/>
    <n v="0.69199999999999995"/>
    <n v="1"/>
    <n v="32"/>
    <n v="1"/>
    <n v="154"/>
    <n v="0"/>
    <n v="0"/>
    <n v="8"/>
    <n v="0"/>
    <n v="0"/>
    <n v="0"/>
    <n v="154"/>
    <n v="150"/>
    <n v="150"/>
    <n v="150"/>
    <n v="154"/>
    <n v="1"/>
    <n v="0"/>
    <n v="1"/>
    <n v="0.9375"/>
    <n v="0.9375"/>
    <n v="0"/>
    <n v="0"/>
    <n v="0"/>
    <n v="0"/>
    <x v="1"/>
    <s v="Yes"/>
    <s v="KMSS-LSO"/>
    <x v="0"/>
    <x v="0"/>
    <x v="0"/>
    <n v="0"/>
    <n v="0"/>
    <s v="MMR015CMP250"/>
    <x v="0"/>
    <m/>
  </r>
  <r>
    <x v="1"/>
    <x v="9"/>
    <x v="9"/>
    <s v="GFFO"/>
    <x v="3"/>
    <x v="24"/>
    <x v="1"/>
    <x v="498"/>
    <n v="86"/>
    <n v="496"/>
    <d v="2017-12-01T00:00:00"/>
    <d v="2019-11-30T00:00:00"/>
    <m/>
    <m/>
    <m/>
    <m/>
    <s v="Yes"/>
    <n v="8"/>
    <n v="1"/>
    <n v="0"/>
    <m/>
    <m/>
    <n v="0"/>
    <n v="0"/>
    <m/>
    <m/>
    <n v="21"/>
    <m/>
    <m/>
    <n v="0"/>
    <m/>
    <n v="0"/>
    <n v="1"/>
    <m/>
    <m/>
    <m/>
    <m/>
    <m/>
    <m/>
    <m/>
    <m/>
    <n v="86"/>
    <n v="0"/>
    <m/>
    <m/>
    <m/>
    <m/>
    <m/>
    <m/>
    <x v="2"/>
    <x v="4"/>
    <n v="0"/>
    <n v="0"/>
    <m/>
    <m/>
    <n v="0"/>
    <m/>
    <n v="0"/>
    <n v="0"/>
    <m/>
    <n v="0"/>
    <n v="1"/>
    <n v="68.8"/>
    <m/>
    <m/>
    <m/>
    <n v="0.5"/>
    <m/>
    <s v="no test"/>
    <s v="no test"/>
    <x v="1"/>
    <n v="0"/>
    <n v="0"/>
    <n v="21"/>
    <n v="0"/>
    <n v="0"/>
    <n v="1"/>
    <n v="1"/>
    <n v="1"/>
    <n v="496"/>
    <n v="0"/>
    <n v="0"/>
    <n v="1"/>
    <n v="496"/>
    <n v="0.99199999999999999"/>
    <n v="0"/>
    <n v="0"/>
    <n v="8.0000000000000071E-3"/>
    <n v="1"/>
    <n v="86"/>
    <n v="1"/>
    <n v="496"/>
    <n v="0"/>
    <n v="0"/>
    <n v="83"/>
    <n v="0"/>
    <n v="0"/>
    <n v="0"/>
    <n v="496"/>
    <n v="344"/>
    <n v="0"/>
    <n v="344"/>
    <n v="496"/>
    <n v="1"/>
    <n v="0"/>
    <n v="1"/>
    <n v="0.79999999999999993"/>
    <n v="0"/>
    <n v="0"/>
    <n v="0"/>
    <n v="0"/>
    <n v="0"/>
    <x v="0"/>
    <s v="Yes"/>
    <s v="KBC"/>
    <x v="1"/>
    <x v="4"/>
    <x v="0"/>
    <n v="23.4008"/>
    <n v="97.848529999999997"/>
    <s v="MMR015CMP015"/>
    <x v="0"/>
    <m/>
  </r>
  <r>
    <x v="1"/>
    <x v="37"/>
    <x v="38"/>
    <s v="MHF,UNICEF"/>
    <x v="3"/>
    <x v="24"/>
    <x v="1"/>
    <x v="499"/>
    <n v="52"/>
    <n v="259"/>
    <s v="2/1/2019,2/1/2019"/>
    <s v="31/1/2020,1/31/2020"/>
    <n v="155"/>
    <m/>
    <m/>
    <m/>
    <s v="Yes"/>
    <n v="3"/>
    <n v="3"/>
    <m/>
    <m/>
    <m/>
    <n v="1"/>
    <n v="2"/>
    <m/>
    <n v="1"/>
    <n v="15"/>
    <m/>
    <m/>
    <m/>
    <m/>
    <m/>
    <m/>
    <m/>
    <n v="1"/>
    <m/>
    <n v="15"/>
    <m/>
    <m/>
    <m/>
    <m/>
    <n v="12"/>
    <m/>
    <m/>
    <m/>
    <m/>
    <m/>
    <m/>
    <m/>
    <x v="0"/>
    <x v="4"/>
    <m/>
    <m/>
    <n v="1"/>
    <m/>
    <m/>
    <m/>
    <m/>
    <n v="2"/>
    <m/>
    <m/>
    <n v="1"/>
    <n v="95"/>
    <n v="53"/>
    <s v="Yes"/>
    <m/>
    <n v="0.5"/>
    <m/>
    <n v="0"/>
    <n v="0"/>
    <x v="0"/>
    <n v="0"/>
    <n v="3"/>
    <n v="15"/>
    <n v="0"/>
    <n v="0"/>
    <n v="1"/>
    <n v="1"/>
    <n v="1"/>
    <n v="259"/>
    <n v="0"/>
    <n v="0"/>
    <n v="1"/>
    <n v="259"/>
    <n v="0.51800000000000002"/>
    <n v="0"/>
    <n v="0"/>
    <n v="0.48199999999999998"/>
    <n v="1"/>
    <n v="12"/>
    <n v="0.92664092664092668"/>
    <n v="240"/>
    <n v="0"/>
    <n v="50"/>
    <n v="13"/>
    <n v="1"/>
    <n v="7.3359073359073323E-2"/>
    <n v="0"/>
    <n v="259"/>
    <n v="259"/>
    <n v="259"/>
    <n v="259"/>
    <n v="259"/>
    <n v="1"/>
    <n v="0"/>
    <n v="1"/>
    <n v="1"/>
    <n v="1"/>
    <n v="0"/>
    <n v="0"/>
    <n v="0"/>
    <n v="0"/>
    <x v="1"/>
    <s v="Yes"/>
    <s v="KBC-NSS"/>
    <x v="0"/>
    <x v="0"/>
    <x v="0"/>
    <n v="23.450914000000001"/>
    <n v="97.926813999999993"/>
    <s v="MMR015CMP016"/>
    <x v="0"/>
    <m/>
  </r>
  <r>
    <x v="1"/>
    <x v="37"/>
    <x v="38"/>
    <s v="GFFO, UNICEF"/>
    <x v="3"/>
    <x v="24"/>
    <x v="1"/>
    <x v="500"/>
    <n v="35"/>
    <n v="156"/>
    <s v="12/1/2017,2/1/2019"/>
    <s v="11/30/2019,1/31/2020"/>
    <n v="58"/>
    <m/>
    <m/>
    <m/>
    <s v="Yes"/>
    <n v="4"/>
    <n v="5"/>
    <n v="1"/>
    <m/>
    <m/>
    <n v="1"/>
    <m/>
    <m/>
    <n v="1"/>
    <n v="7"/>
    <m/>
    <m/>
    <m/>
    <m/>
    <m/>
    <n v="1"/>
    <m/>
    <n v="1"/>
    <m/>
    <n v="15"/>
    <m/>
    <m/>
    <m/>
    <m/>
    <n v="12"/>
    <m/>
    <m/>
    <m/>
    <m/>
    <m/>
    <m/>
    <m/>
    <x v="0"/>
    <x v="0"/>
    <m/>
    <m/>
    <m/>
    <m/>
    <n v="2"/>
    <m/>
    <m/>
    <n v="2"/>
    <m/>
    <m/>
    <n v="1"/>
    <n v="62"/>
    <n v="34"/>
    <m/>
    <n v="3"/>
    <n v="1"/>
    <m/>
    <n v="0"/>
    <n v="0"/>
    <x v="0"/>
    <n v="1"/>
    <n v="1"/>
    <n v="7"/>
    <n v="0"/>
    <n v="0"/>
    <n v="1"/>
    <n v="1"/>
    <n v="1"/>
    <n v="156"/>
    <n v="0"/>
    <n v="0"/>
    <n v="1"/>
    <n v="156"/>
    <n v="0.312"/>
    <n v="0"/>
    <n v="0"/>
    <n v="0.68799999999999994"/>
    <n v="1"/>
    <n v="12"/>
    <n v="1"/>
    <n v="156"/>
    <n v="0"/>
    <n v="0"/>
    <n v="8"/>
    <n v="0"/>
    <n v="0"/>
    <n v="0"/>
    <n v="156"/>
    <n v="156"/>
    <n v="156"/>
    <n v="156"/>
    <n v="156"/>
    <n v="1"/>
    <n v="0"/>
    <n v="1"/>
    <n v="1"/>
    <n v="0.97142857142857142"/>
    <n v="2"/>
    <n v="35"/>
    <n v="0"/>
    <n v="156"/>
    <x v="1"/>
    <s v="Yes"/>
    <s v="KBC-NSS"/>
    <x v="0"/>
    <x v="0"/>
    <x v="0"/>
    <n v="23.460349999999998"/>
    <n v="97.947360000000003"/>
    <s v="MMR015CMP245"/>
    <x v="0"/>
    <m/>
  </r>
  <r>
    <x v="1"/>
    <x v="37"/>
    <x v="38"/>
    <s v="MHF,UNICEF"/>
    <x v="3"/>
    <x v="24"/>
    <x v="1"/>
    <x v="501"/>
    <n v="30"/>
    <n v="138"/>
    <s v="2/1/2019,2/1/2019"/>
    <s v="31/1/2020,1/31/2020"/>
    <m/>
    <m/>
    <m/>
    <m/>
    <s v="Yes"/>
    <n v="3"/>
    <n v="2"/>
    <m/>
    <m/>
    <m/>
    <m/>
    <m/>
    <m/>
    <m/>
    <n v="11"/>
    <m/>
    <m/>
    <m/>
    <m/>
    <m/>
    <m/>
    <m/>
    <n v="1"/>
    <m/>
    <n v="15"/>
    <m/>
    <m/>
    <m/>
    <m/>
    <n v="25"/>
    <m/>
    <m/>
    <m/>
    <m/>
    <m/>
    <m/>
    <m/>
    <x v="0"/>
    <x v="4"/>
    <m/>
    <m/>
    <m/>
    <m/>
    <m/>
    <m/>
    <m/>
    <m/>
    <m/>
    <m/>
    <m/>
    <n v="45"/>
    <n v="26"/>
    <m/>
    <m/>
    <n v="0.5"/>
    <m/>
    <n v="0"/>
    <n v="0"/>
    <x v="0"/>
    <n v="0"/>
    <n v="0"/>
    <n v="11"/>
    <n v="0"/>
    <n v="0"/>
    <n v="1"/>
    <n v="1"/>
    <n v="1"/>
    <n v="138"/>
    <n v="0"/>
    <n v="0"/>
    <n v="1"/>
    <n v="138"/>
    <n v="0.27600000000000002"/>
    <n v="0"/>
    <n v="0"/>
    <n v="0.72399999999999998"/>
    <n v="1"/>
    <n v="25"/>
    <n v="1"/>
    <n v="138"/>
    <n v="0"/>
    <n v="0"/>
    <n v="7"/>
    <n v="0"/>
    <n v="0"/>
    <n v="0"/>
    <n v="0"/>
    <n v="138"/>
    <n v="130"/>
    <n v="138"/>
    <n v="138"/>
    <n v="1"/>
    <n v="0"/>
    <n v="0"/>
    <n v="1"/>
    <n v="0.8666666666666667"/>
    <n v="0"/>
    <n v="0"/>
    <n v="0"/>
    <n v="0"/>
    <x v="0"/>
    <s v="Yes"/>
    <s v="KMSS-LSO"/>
    <x v="0"/>
    <x v="0"/>
    <x v="0"/>
    <n v="23.460349999999998"/>
    <n v="97.947360000000003"/>
    <s v="MMR015CMP017"/>
    <x v="0"/>
    <m/>
  </r>
  <r>
    <x v="1"/>
    <x v="2"/>
    <x v="2"/>
    <m/>
    <x v="3"/>
    <x v="27"/>
    <x v="1"/>
    <x v="506"/>
    <n v="37"/>
    <n v="120"/>
    <m/>
    <m/>
    <m/>
    <m/>
    <m/>
    <m/>
    <m/>
    <m/>
    <m/>
    <m/>
    <m/>
    <m/>
    <m/>
    <m/>
    <m/>
    <m/>
    <m/>
    <m/>
    <m/>
    <m/>
    <m/>
    <m/>
    <m/>
    <m/>
    <m/>
    <m/>
    <m/>
    <m/>
    <m/>
    <m/>
    <m/>
    <m/>
    <m/>
    <m/>
    <m/>
    <m/>
    <m/>
    <m/>
    <m/>
    <x v="1"/>
    <x v="1"/>
    <m/>
    <m/>
    <m/>
    <m/>
    <m/>
    <m/>
    <m/>
    <m/>
    <m/>
    <m/>
    <m/>
    <m/>
    <m/>
    <m/>
    <m/>
    <m/>
    <m/>
    <s v="no test"/>
    <s v="no test"/>
    <x v="1"/>
    <n v="0"/>
    <n v="0"/>
    <n v="0"/>
    <n v="0"/>
    <n v="0"/>
    <n v="0"/>
    <n v="0"/>
    <n v="0"/>
    <n v="0"/>
    <n v="0"/>
    <n v="0"/>
    <n v="0"/>
    <n v="0"/>
    <n v="0"/>
    <n v="1"/>
    <n v="120"/>
    <n v="1"/>
    <n v="1"/>
    <n v="0"/>
    <n v="0"/>
    <n v="0"/>
    <n v="0"/>
    <n v="0"/>
    <n v="6"/>
    <n v="6"/>
    <n v="1"/>
    <n v="0"/>
    <n v="0"/>
    <n v="0"/>
    <n v="0"/>
    <n v="0"/>
    <n v="0"/>
    <n v="0"/>
    <n v="1"/>
    <n v="0"/>
    <n v="0"/>
    <n v="0"/>
    <n v="0"/>
    <n v="0"/>
    <n v="0"/>
    <n v="0"/>
    <x v="0"/>
    <n v="0"/>
    <s v="uncovered"/>
    <x v="0"/>
    <x v="2"/>
    <x v="0"/>
    <n v="22.677008000000001"/>
    <n v="97.314762999999999"/>
    <s v="MMR015CMP244"/>
    <x v="1"/>
    <m/>
  </r>
  <r>
    <x v="1"/>
    <x v="37"/>
    <x v="38"/>
    <s v="MHF, UNICEF"/>
    <x v="3"/>
    <x v="26"/>
    <x v="1"/>
    <x v="502"/>
    <n v="38"/>
    <n v="267"/>
    <s v="2/1/2019,2/1/2019"/>
    <s v="1/31/2020,1/31/2020"/>
    <n v="68"/>
    <m/>
    <m/>
    <m/>
    <s v="Yes"/>
    <n v="4"/>
    <n v="3"/>
    <m/>
    <m/>
    <m/>
    <m/>
    <m/>
    <m/>
    <m/>
    <n v="20"/>
    <m/>
    <m/>
    <m/>
    <m/>
    <m/>
    <n v="1"/>
    <m/>
    <n v="1"/>
    <m/>
    <n v="15"/>
    <m/>
    <m/>
    <m/>
    <m/>
    <n v="16"/>
    <m/>
    <m/>
    <n v="6"/>
    <m/>
    <m/>
    <m/>
    <m/>
    <x v="0"/>
    <x v="0"/>
    <m/>
    <m/>
    <m/>
    <m/>
    <n v="8"/>
    <n v="5"/>
    <m/>
    <n v="2"/>
    <n v="1"/>
    <m/>
    <n v="2"/>
    <n v="92"/>
    <n v="62"/>
    <m/>
    <m/>
    <n v="0.5"/>
    <m/>
    <n v="0"/>
    <n v="0"/>
    <x v="0"/>
    <n v="0"/>
    <n v="0"/>
    <n v="20"/>
    <n v="0"/>
    <n v="0"/>
    <n v="1"/>
    <n v="1"/>
    <n v="1"/>
    <n v="267"/>
    <n v="0"/>
    <n v="0"/>
    <n v="1"/>
    <n v="267"/>
    <n v="0.53400000000000003"/>
    <n v="0"/>
    <n v="0"/>
    <n v="0.46599999999999997"/>
    <n v="1"/>
    <n v="10"/>
    <n v="0.74906367041198507"/>
    <n v="200"/>
    <n v="0"/>
    <n v="0"/>
    <n v="13"/>
    <n v="0"/>
    <n v="0.25093632958801493"/>
    <n v="0.375"/>
    <n v="267"/>
    <n v="267"/>
    <n v="267"/>
    <n v="267"/>
    <n v="267"/>
    <n v="1"/>
    <n v="0"/>
    <n v="1"/>
    <n v="1"/>
    <n v="1"/>
    <n v="3"/>
    <n v="38"/>
    <n v="0"/>
    <n v="267"/>
    <x v="1"/>
    <s v="Yes"/>
    <s v="KMSS-LSO"/>
    <x v="0"/>
    <x v="0"/>
    <x v="0"/>
    <n v="23.099304"/>
    <n v="97.400671000000003"/>
    <s v="MMR015CMP248"/>
    <x v="0"/>
    <m/>
  </r>
  <r>
    <x v="1"/>
    <x v="38"/>
    <x v="39"/>
    <s v="HARP"/>
    <x v="3"/>
    <x v="31"/>
    <x v="2"/>
    <x v="537"/>
    <n v="472"/>
    <n v="2624"/>
    <m/>
    <d v="2020-12-31T00:00:00"/>
    <m/>
    <m/>
    <m/>
    <m/>
    <s v="Yes"/>
    <n v="4"/>
    <n v="2"/>
    <m/>
    <m/>
    <m/>
    <m/>
    <m/>
    <m/>
    <m/>
    <n v="1"/>
    <m/>
    <m/>
    <m/>
    <n v="1"/>
    <m/>
    <n v="1"/>
    <n v="2"/>
    <m/>
    <m/>
    <m/>
    <m/>
    <m/>
    <m/>
    <s v="water source is a big problem in the camp, not eough for all villagers"/>
    <m/>
    <n v="340"/>
    <m/>
    <m/>
    <m/>
    <m/>
    <m/>
    <m/>
    <x v="2"/>
    <x v="5"/>
    <m/>
    <m/>
    <m/>
    <s v="some families need new latrines the original place is close to their kitchen"/>
    <m/>
    <m/>
    <n v="340"/>
    <n v="0"/>
    <m/>
    <n v="4"/>
    <n v="2"/>
    <m/>
    <m/>
    <m/>
    <m/>
    <m/>
    <m/>
    <s v="no test"/>
    <s v="no test"/>
    <x v="1"/>
    <n v="0"/>
    <n v="0"/>
    <n v="1"/>
    <n v="0"/>
    <n v="0"/>
    <n v="2.5406504065040653E-2"/>
    <n v="2.5406504065040653E-2"/>
    <n v="2.5406504065040653E-2"/>
    <n v="66.666666666666671"/>
    <n v="9.527439024390244E-2"/>
    <n v="250"/>
    <n v="0.12068089430894309"/>
    <n v="316.66666666666669"/>
    <n v="0.63333333333333341"/>
    <n v="0.87931910569105687"/>
    <n v="2307.333333333333"/>
    <n v="4.3666666666666663"/>
    <n v="5"/>
    <n v="340"/>
    <n v="0.77743902439024393"/>
    <n v="2040"/>
    <s v="N/A"/>
    <s v="NA"/>
    <n v="437"/>
    <n v="97"/>
    <n v="0.22256097560975607"/>
    <n v="0"/>
    <n v="2624"/>
    <n v="0"/>
    <n v="0"/>
    <n v="0"/>
    <n v="2624"/>
    <n v="1"/>
    <n v="0"/>
    <n v="1"/>
    <n v="0"/>
    <n v="0"/>
    <n v="0"/>
    <n v="0"/>
    <n v="0"/>
    <n v="0"/>
    <x v="0"/>
    <n v="0"/>
    <n v="0"/>
    <x v="2"/>
    <x v="6"/>
    <x v="0"/>
    <n v="0"/>
    <n v="0"/>
    <n v="0"/>
    <x v="0"/>
    <m/>
  </r>
  <r>
    <x v="1"/>
    <x v="38"/>
    <x v="39"/>
    <s v="HARP"/>
    <x v="3"/>
    <x v="31"/>
    <x v="2"/>
    <x v="538"/>
    <n v="147"/>
    <n v="719"/>
    <m/>
    <d v="2020-12-31T00:00:00"/>
    <m/>
    <m/>
    <m/>
    <m/>
    <s v="Yes"/>
    <n v="5"/>
    <n v="2"/>
    <m/>
    <m/>
    <m/>
    <m/>
    <m/>
    <m/>
    <m/>
    <n v="1"/>
    <m/>
    <m/>
    <m/>
    <n v="0"/>
    <m/>
    <n v="1"/>
    <n v="1"/>
    <m/>
    <m/>
    <m/>
    <m/>
    <m/>
    <m/>
    <s v="lack of water tank/collection pool"/>
    <m/>
    <n v="120"/>
    <m/>
    <m/>
    <m/>
    <m/>
    <m/>
    <m/>
    <x v="2"/>
    <x v="5"/>
    <m/>
    <m/>
    <m/>
    <s v="some families need new latrines the original place is close to their kitchen"/>
    <m/>
    <m/>
    <n v="120"/>
    <n v="0"/>
    <m/>
    <n v="5"/>
    <n v="2"/>
    <m/>
    <m/>
    <m/>
    <m/>
    <m/>
    <m/>
    <s v="no test"/>
    <s v="no test"/>
    <x v="1"/>
    <n v="0"/>
    <n v="0"/>
    <n v="1"/>
    <n v="0"/>
    <n v="0"/>
    <n v="9.2721372276309694E-2"/>
    <n v="9.2721372276309694E-2"/>
    <n v="9.2721372276309694E-2"/>
    <n v="66.666666666666671"/>
    <n v="0"/>
    <n v="0"/>
    <n v="9.2721372276309694E-2"/>
    <n v="66.666666666666671"/>
    <n v="0.13333333333333333"/>
    <n v="0.90727862772369028"/>
    <n v="652.33333333333326"/>
    <n v="0.8666666666666667"/>
    <n v="1"/>
    <n v="120"/>
    <n v="1"/>
    <n v="719"/>
    <s v="N/A"/>
    <s v="NA"/>
    <n v="120"/>
    <n v="0"/>
    <n v="0"/>
    <n v="0"/>
    <n v="719"/>
    <n v="0"/>
    <n v="0"/>
    <n v="0"/>
    <n v="719"/>
    <n v="1"/>
    <n v="0"/>
    <n v="1"/>
    <n v="0"/>
    <n v="0"/>
    <n v="0"/>
    <n v="0"/>
    <n v="0"/>
    <n v="0"/>
    <x v="0"/>
    <n v="0"/>
    <n v="0"/>
    <x v="2"/>
    <x v="6"/>
    <x v="0"/>
    <n v="0"/>
    <n v="0"/>
    <n v="0"/>
    <x v="0"/>
    <m/>
  </r>
  <r>
    <x v="1"/>
    <x v="1"/>
    <x v="1"/>
    <s v="UNICEF"/>
    <x v="3"/>
    <x v="26"/>
    <x v="0"/>
    <x v="503"/>
    <n v="28"/>
    <n v="137"/>
    <d v="2019-02-01T00:00:00"/>
    <d v="2020-01-31T00:00:00"/>
    <n v="31"/>
    <m/>
    <m/>
    <m/>
    <m/>
    <m/>
    <m/>
    <m/>
    <m/>
    <m/>
    <m/>
    <m/>
    <m/>
    <m/>
    <m/>
    <m/>
    <m/>
    <m/>
    <m/>
    <m/>
    <m/>
    <m/>
    <m/>
    <m/>
    <m/>
    <m/>
    <m/>
    <m/>
    <m/>
    <m/>
    <n v="4"/>
    <m/>
    <n v="4"/>
    <m/>
    <m/>
    <m/>
    <m/>
    <x v="2"/>
    <x v="3"/>
    <m/>
    <m/>
    <m/>
    <m/>
    <m/>
    <m/>
    <m/>
    <m/>
    <m/>
    <m/>
    <n v="1"/>
    <n v="28"/>
    <n v="28"/>
    <m/>
    <m/>
    <m/>
    <m/>
    <s v="no test"/>
    <s v="no test"/>
    <x v="1"/>
    <n v="0"/>
    <n v="0"/>
    <n v="0"/>
    <n v="0"/>
    <n v="0"/>
    <n v="0"/>
    <n v="0"/>
    <n v="0"/>
    <n v="0"/>
    <n v="0"/>
    <n v="0"/>
    <n v="0"/>
    <n v="0"/>
    <n v="0"/>
    <n v="1"/>
    <n v="137"/>
    <n v="1"/>
    <n v="1"/>
    <n v="0"/>
    <n v="0"/>
    <n v="0"/>
    <n v="0"/>
    <n v="0"/>
    <n v="7"/>
    <n v="3"/>
    <n v="1"/>
    <n v="1"/>
    <n v="137"/>
    <n v="137"/>
    <n v="137"/>
    <n v="137"/>
    <n v="137"/>
    <n v="1"/>
    <n v="0"/>
    <n v="1"/>
    <n v="1"/>
    <n v="1"/>
    <n v="0"/>
    <n v="0"/>
    <n v="0"/>
    <n v="0"/>
    <x v="1"/>
    <n v="0"/>
    <n v="0"/>
    <x v="0"/>
    <x v="0"/>
    <x v="0"/>
    <n v="0"/>
    <n v="0"/>
    <n v="0"/>
    <x v="0"/>
    <m/>
  </r>
  <r>
    <x v="1"/>
    <x v="9"/>
    <x v="9"/>
    <s v="MHF"/>
    <x v="3"/>
    <x v="26"/>
    <x v="1"/>
    <x v="504"/>
    <n v="28"/>
    <n v="146"/>
    <d v="2019-02-01T00:00:00"/>
    <d v="2020-01-31T00:00:00"/>
    <n v="36"/>
    <m/>
    <m/>
    <m/>
    <s v="Yes"/>
    <n v="3"/>
    <n v="3"/>
    <m/>
    <m/>
    <m/>
    <m/>
    <m/>
    <m/>
    <m/>
    <n v="49"/>
    <m/>
    <m/>
    <m/>
    <m/>
    <n v="1"/>
    <n v="1"/>
    <m/>
    <n v="1"/>
    <m/>
    <n v="15"/>
    <m/>
    <m/>
    <m/>
    <m/>
    <n v="12"/>
    <m/>
    <m/>
    <m/>
    <m/>
    <m/>
    <m/>
    <m/>
    <x v="0"/>
    <x v="0"/>
    <m/>
    <m/>
    <m/>
    <m/>
    <n v="11"/>
    <n v="11"/>
    <m/>
    <n v="2"/>
    <n v="1"/>
    <m/>
    <n v="1"/>
    <n v="22"/>
    <m/>
    <m/>
    <m/>
    <n v="0.5"/>
    <m/>
    <n v="0"/>
    <n v="0"/>
    <x v="0"/>
    <n v="0"/>
    <n v="0"/>
    <n v="49"/>
    <n v="0"/>
    <n v="1"/>
    <n v="1"/>
    <n v="1"/>
    <n v="1"/>
    <n v="146"/>
    <n v="0"/>
    <n v="0"/>
    <n v="1"/>
    <n v="146"/>
    <n v="0.29199999999999998"/>
    <n v="0"/>
    <n v="0"/>
    <n v="0.70799999999999996"/>
    <n v="1"/>
    <n v="12"/>
    <n v="1"/>
    <n v="146"/>
    <n v="0"/>
    <n v="0"/>
    <n v="7"/>
    <n v="0"/>
    <n v="0"/>
    <n v="0"/>
    <n v="146"/>
    <n v="110"/>
    <n v="0"/>
    <n v="110"/>
    <n v="146"/>
    <n v="1"/>
    <n v="0"/>
    <n v="1"/>
    <n v="0.7857142857142857"/>
    <n v="0"/>
    <n v="0"/>
    <n v="0"/>
    <n v="0"/>
    <n v="0"/>
    <x v="1"/>
    <s v="Yes"/>
    <s v="KMSS-LSO"/>
    <x v="0"/>
    <x v="0"/>
    <x v="0"/>
    <n v="0"/>
    <n v="0"/>
    <s v="MMR015CMP232"/>
    <x v="0"/>
    <m/>
  </r>
  <r>
    <x v="1"/>
    <x v="37"/>
    <x v="38"/>
    <s v="GFFO, UNICEF"/>
    <x v="3"/>
    <x v="24"/>
    <x v="1"/>
    <x v="505"/>
    <n v="69"/>
    <n v="721"/>
    <s v="12/1/2017,2/1/2019"/>
    <s v="11/30/2019,1/31/2020"/>
    <n v="102"/>
    <m/>
    <m/>
    <m/>
    <s v="Yes"/>
    <n v="6"/>
    <n v="3"/>
    <m/>
    <m/>
    <m/>
    <m/>
    <m/>
    <m/>
    <m/>
    <n v="54"/>
    <m/>
    <m/>
    <m/>
    <m/>
    <m/>
    <n v="1"/>
    <m/>
    <n v="1"/>
    <m/>
    <m/>
    <m/>
    <m/>
    <m/>
    <m/>
    <n v="15"/>
    <m/>
    <m/>
    <m/>
    <n v="2"/>
    <m/>
    <m/>
    <m/>
    <x v="0"/>
    <x v="3"/>
    <m/>
    <m/>
    <m/>
    <m/>
    <m/>
    <m/>
    <m/>
    <m/>
    <m/>
    <m/>
    <n v="1"/>
    <n v="65"/>
    <n v="65"/>
    <m/>
    <m/>
    <n v="0.5"/>
    <m/>
    <n v="0"/>
    <s v="no test"/>
    <x v="0"/>
    <n v="0"/>
    <n v="0"/>
    <n v="54"/>
    <n v="0"/>
    <n v="0"/>
    <n v="1"/>
    <n v="1"/>
    <n v="1"/>
    <n v="721"/>
    <n v="0"/>
    <n v="0"/>
    <n v="1"/>
    <n v="721"/>
    <n v="1.4419999999999999"/>
    <n v="0"/>
    <n v="0"/>
    <n v="0"/>
    <n v="1"/>
    <n v="15"/>
    <n v="0.41608876560332869"/>
    <n v="300"/>
    <n v="0"/>
    <n v="0"/>
    <n v="36"/>
    <n v="21"/>
    <n v="0.58391123439667125"/>
    <n v="0"/>
    <n v="500"/>
    <n v="325"/>
    <n v="325"/>
    <n v="325"/>
    <n v="500"/>
    <n v="0.69348127600554788"/>
    <n v="0.30651872399445212"/>
    <n v="0.69348127600554788"/>
    <n v="0.94202898550724634"/>
    <n v="0.94202898550724634"/>
    <n v="0"/>
    <n v="0"/>
    <n v="0"/>
    <n v="0"/>
    <x v="1"/>
    <s v="Yes"/>
    <s v="KMSS-LSO"/>
    <x v="0"/>
    <x v="0"/>
    <x v="0"/>
    <n v="23.591999999999999"/>
    <n v="97.796999999999997"/>
    <s v="MMR015CMP220"/>
    <x v="0"/>
    <m/>
  </r>
  <r>
    <x v="1"/>
    <x v="9"/>
    <x v="9"/>
    <s v="Germany FFO"/>
    <x v="3"/>
    <x v="27"/>
    <x v="3"/>
    <x v="533"/>
    <n v="125"/>
    <n v="1360"/>
    <d v="2017-12-31T00:00:00"/>
    <d v="2019-11-30T00:00:00"/>
    <m/>
    <m/>
    <m/>
    <m/>
    <m/>
    <m/>
    <m/>
    <m/>
    <m/>
    <m/>
    <m/>
    <m/>
    <m/>
    <m/>
    <m/>
    <m/>
    <m/>
    <m/>
    <m/>
    <m/>
    <m/>
    <m/>
    <m/>
    <m/>
    <m/>
    <m/>
    <m/>
    <m/>
    <m/>
    <n v="20"/>
    <m/>
    <m/>
    <m/>
    <m/>
    <m/>
    <m/>
    <m/>
    <x v="3"/>
    <x v="2"/>
    <m/>
    <m/>
    <m/>
    <m/>
    <n v="4"/>
    <m/>
    <m/>
    <m/>
    <m/>
    <m/>
    <m/>
    <m/>
    <m/>
    <m/>
    <m/>
    <m/>
    <m/>
    <s v="no test"/>
    <s v="no test"/>
    <x v="1"/>
    <n v="0"/>
    <n v="0"/>
    <n v="0"/>
    <n v="0"/>
    <n v="0"/>
    <n v="0"/>
    <n v="0"/>
    <n v="0"/>
    <n v="0"/>
    <n v="0"/>
    <n v="0"/>
    <n v="0"/>
    <n v="0"/>
    <n v="0"/>
    <n v="1"/>
    <n v="1360"/>
    <n v="3"/>
    <n v="3"/>
    <n v="20"/>
    <n v="0.73529411764705888"/>
    <n v="1000"/>
    <n v="0"/>
    <n v="0"/>
    <n v="27"/>
    <n v="7"/>
    <n v="0.26470588235294112"/>
    <n v="0"/>
    <n v="0"/>
    <n v="0"/>
    <n v="0"/>
    <n v="0"/>
    <n v="0"/>
    <n v="0"/>
    <n v="1"/>
    <n v="0"/>
    <n v="0"/>
    <n v="0"/>
    <n v="4"/>
    <n v="80"/>
    <n v="0"/>
    <n v="400"/>
    <x v="0"/>
    <n v="0"/>
    <n v="0"/>
    <x v="3"/>
    <x v="8"/>
    <x v="0"/>
    <n v="0"/>
    <n v="0"/>
    <n v="0"/>
    <x v="0"/>
    <m/>
  </r>
  <r>
    <x v="1"/>
    <x v="1"/>
    <x v="1"/>
    <s v="UNICEF"/>
    <x v="3"/>
    <x v="24"/>
    <x v="1"/>
    <x v="507"/>
    <n v="24"/>
    <n v="85"/>
    <d v="2019-02-01T00:00:00"/>
    <d v="2020-01-31T00:00:00"/>
    <m/>
    <m/>
    <m/>
    <m/>
    <m/>
    <m/>
    <m/>
    <m/>
    <m/>
    <m/>
    <m/>
    <m/>
    <m/>
    <m/>
    <m/>
    <m/>
    <m/>
    <m/>
    <m/>
    <m/>
    <m/>
    <m/>
    <m/>
    <m/>
    <m/>
    <m/>
    <m/>
    <m/>
    <m/>
    <m/>
    <m/>
    <m/>
    <m/>
    <n v="4"/>
    <m/>
    <m/>
    <m/>
    <x v="3"/>
    <x v="2"/>
    <m/>
    <m/>
    <m/>
    <m/>
    <m/>
    <m/>
    <m/>
    <m/>
    <m/>
    <m/>
    <m/>
    <n v="22"/>
    <n v="22"/>
    <m/>
    <m/>
    <m/>
    <m/>
    <s v="no test"/>
    <s v="no test"/>
    <x v="1"/>
    <n v="0"/>
    <n v="0"/>
    <n v="0"/>
    <n v="0"/>
    <n v="0"/>
    <n v="0"/>
    <n v="0"/>
    <n v="0"/>
    <n v="0"/>
    <n v="0"/>
    <n v="0"/>
    <n v="0"/>
    <n v="0"/>
    <n v="0"/>
    <n v="1"/>
    <n v="85"/>
    <n v="1"/>
    <n v="1"/>
    <n v="0"/>
    <n v="0"/>
    <n v="0"/>
    <n v="0"/>
    <n v="0"/>
    <n v="4"/>
    <n v="4"/>
    <n v="1"/>
    <n v="0"/>
    <n v="0"/>
    <n v="85"/>
    <n v="85"/>
    <n v="85"/>
    <n v="85"/>
    <n v="1"/>
    <n v="0"/>
    <n v="0"/>
    <n v="0.91666666666666663"/>
    <n v="0.91666666666666663"/>
    <n v="0"/>
    <n v="0"/>
    <n v="0"/>
    <n v="0"/>
    <x v="0"/>
    <n v="0"/>
    <s v="uncovered"/>
    <x v="0"/>
    <x v="2"/>
    <x v="0"/>
    <n v="0"/>
    <n v="0"/>
    <s v="MMR015CMP246"/>
    <x v="0"/>
    <m/>
  </r>
  <r>
    <x v="1"/>
    <x v="1"/>
    <x v="1"/>
    <s v="UNICEF"/>
    <x v="3"/>
    <x v="28"/>
    <x v="1"/>
    <x v="508"/>
    <n v="29"/>
    <n v="135"/>
    <d v="2019-02-01T00:00:00"/>
    <d v="2020-01-31T00:00:00"/>
    <n v="88"/>
    <m/>
    <m/>
    <m/>
    <s v="Yes"/>
    <m/>
    <m/>
    <m/>
    <m/>
    <m/>
    <n v="1"/>
    <n v="1"/>
    <m/>
    <n v="1"/>
    <m/>
    <m/>
    <m/>
    <m/>
    <m/>
    <m/>
    <m/>
    <m/>
    <m/>
    <m/>
    <m/>
    <m/>
    <m/>
    <m/>
    <m/>
    <n v="18"/>
    <m/>
    <m/>
    <m/>
    <m/>
    <m/>
    <m/>
    <m/>
    <x v="0"/>
    <x v="0"/>
    <m/>
    <m/>
    <m/>
    <m/>
    <m/>
    <m/>
    <m/>
    <n v="5"/>
    <m/>
    <m/>
    <n v="1"/>
    <n v="29"/>
    <n v="29"/>
    <m/>
    <m/>
    <m/>
    <m/>
    <s v="no test"/>
    <s v="no test"/>
    <x v="1"/>
    <n v="0"/>
    <n v="2"/>
    <n v="0"/>
    <n v="0"/>
    <n v="0"/>
    <n v="1"/>
    <n v="1"/>
    <n v="1"/>
    <n v="135"/>
    <n v="0"/>
    <n v="0"/>
    <n v="1"/>
    <n v="135"/>
    <n v="0.27"/>
    <n v="0"/>
    <n v="0"/>
    <n v="0.73"/>
    <n v="1"/>
    <n v="18"/>
    <n v="1"/>
    <n v="135"/>
    <n v="0"/>
    <n v="0"/>
    <n v="7"/>
    <n v="0"/>
    <n v="0"/>
    <n v="0"/>
    <n v="135"/>
    <n v="135"/>
    <n v="135"/>
    <n v="135"/>
    <n v="135"/>
    <n v="1"/>
    <n v="0"/>
    <n v="1"/>
    <n v="1"/>
    <n v="1"/>
    <n v="0"/>
    <n v="0"/>
    <n v="0"/>
    <n v="0"/>
    <x v="1"/>
    <s v="Yes"/>
    <s v="KBC-NSS"/>
    <x v="0"/>
    <x v="0"/>
    <x v="0"/>
    <n v="23.250678000000001"/>
    <n v="97.124403000000001"/>
    <s v="MMR015CMP009"/>
    <x v="0"/>
    <m/>
  </r>
  <r>
    <x v="1"/>
    <x v="39"/>
    <x v="40"/>
    <s v="HARP,UNICEF"/>
    <x v="3"/>
    <x v="28"/>
    <x v="1"/>
    <x v="509"/>
    <n v="29"/>
    <n v="235"/>
    <d v="2019-02-01T00:00:00"/>
    <s v="12/31/2019,1/31/2020"/>
    <n v="48"/>
    <n v="2"/>
    <m/>
    <m/>
    <s v="Yes"/>
    <n v="7"/>
    <n v="6"/>
    <n v="1"/>
    <m/>
    <n v="1"/>
    <n v="1"/>
    <m/>
    <m/>
    <n v="1"/>
    <m/>
    <m/>
    <m/>
    <m/>
    <n v="1"/>
    <m/>
    <m/>
    <n v="1"/>
    <n v="2"/>
    <m/>
    <n v="15"/>
    <m/>
    <m/>
    <m/>
    <m/>
    <n v="8"/>
    <m/>
    <m/>
    <m/>
    <m/>
    <m/>
    <m/>
    <m/>
    <x v="0"/>
    <x v="0"/>
    <m/>
    <m/>
    <n v="0"/>
    <m/>
    <n v="4"/>
    <m/>
    <n v="0"/>
    <n v="2"/>
    <m/>
    <m/>
    <n v="2"/>
    <n v="30"/>
    <n v="30"/>
    <m/>
    <m/>
    <m/>
    <m/>
    <n v="0"/>
    <n v="0"/>
    <x v="0"/>
    <n v="1"/>
    <n v="1"/>
    <n v="0"/>
    <n v="0"/>
    <n v="0"/>
    <n v="1"/>
    <n v="1"/>
    <n v="1"/>
    <n v="235"/>
    <n v="1"/>
    <n v="235"/>
    <n v="1"/>
    <n v="235"/>
    <n v="0.47"/>
    <n v="0"/>
    <n v="0"/>
    <n v="0.53"/>
    <n v="1"/>
    <n v="8"/>
    <n v="0.68085106382978722"/>
    <n v="160"/>
    <n v="0"/>
    <n v="0"/>
    <n v="12"/>
    <n v="4"/>
    <n v="0.31914893617021278"/>
    <n v="0"/>
    <n v="235"/>
    <n v="150"/>
    <n v="150"/>
    <n v="150"/>
    <n v="235"/>
    <n v="1"/>
    <n v="0"/>
    <n v="1"/>
    <n v="1"/>
    <n v="1"/>
    <n v="4"/>
    <n v="29"/>
    <n v="0"/>
    <n v="235"/>
    <x v="1"/>
    <s v="Yes"/>
    <s v="KMSS-LSO"/>
    <x v="0"/>
    <x v="0"/>
    <x v="0"/>
    <n v="23.24661"/>
    <n v="97.116680000000002"/>
    <s v="MMR015CMP209"/>
    <x v="0"/>
    <m/>
  </r>
  <r>
    <x v="1"/>
    <x v="1"/>
    <x v="1"/>
    <s v="UNICEF"/>
    <x v="3"/>
    <x v="33"/>
    <x v="0"/>
    <x v="539"/>
    <n v="11"/>
    <n v="53"/>
    <d v="2019-02-01T00:00:00"/>
    <d v="2020-01-31T00:00:00"/>
    <n v="10"/>
    <m/>
    <m/>
    <m/>
    <m/>
    <m/>
    <m/>
    <m/>
    <m/>
    <m/>
    <m/>
    <m/>
    <m/>
    <m/>
    <m/>
    <m/>
    <m/>
    <m/>
    <m/>
    <m/>
    <m/>
    <m/>
    <m/>
    <m/>
    <m/>
    <m/>
    <m/>
    <m/>
    <m/>
    <m/>
    <m/>
    <m/>
    <m/>
    <m/>
    <m/>
    <m/>
    <m/>
    <x v="3"/>
    <x v="2"/>
    <m/>
    <m/>
    <m/>
    <m/>
    <m/>
    <m/>
    <m/>
    <m/>
    <m/>
    <m/>
    <m/>
    <n v="11"/>
    <n v="11"/>
    <m/>
    <m/>
    <m/>
    <m/>
    <s v="no test"/>
    <s v="no test"/>
    <x v="1"/>
    <n v="0"/>
    <n v="0"/>
    <n v="0"/>
    <n v="0"/>
    <n v="0"/>
    <n v="0"/>
    <n v="0"/>
    <n v="0"/>
    <n v="0"/>
    <n v="0"/>
    <n v="0"/>
    <n v="0"/>
    <n v="0"/>
    <n v="0"/>
    <n v="1"/>
    <n v="53"/>
    <n v="1"/>
    <n v="1"/>
    <n v="0"/>
    <n v="0"/>
    <n v="0"/>
    <n v="0"/>
    <n v="0"/>
    <n v="3"/>
    <n v="3"/>
    <n v="1"/>
    <n v="0"/>
    <n v="0"/>
    <n v="53"/>
    <n v="53"/>
    <n v="53"/>
    <n v="53"/>
    <n v="1"/>
    <n v="0"/>
    <n v="0"/>
    <n v="1"/>
    <n v="1"/>
    <n v="0"/>
    <n v="0"/>
    <n v="0"/>
    <n v="0"/>
    <x v="1"/>
    <n v="0"/>
    <n v="0"/>
    <x v="0"/>
    <x v="0"/>
    <x v="0"/>
    <n v="0"/>
    <n v="0"/>
    <n v="0"/>
    <x v="0"/>
    <m/>
  </r>
  <r>
    <x v="1"/>
    <x v="37"/>
    <x v="38"/>
    <s v="GFFO, (UNICEF, WHH(AA))"/>
    <x v="3"/>
    <x v="24"/>
    <x v="1"/>
    <x v="510"/>
    <n v="145"/>
    <n v="305"/>
    <s v="12/1/2017,(2/1/2019,8/1/18)"/>
    <s v="11/30/2019,(1/31/2020,9/30/2020)"/>
    <n v="79"/>
    <m/>
    <m/>
    <m/>
    <s v="Yes"/>
    <n v="4"/>
    <n v="5"/>
    <m/>
    <m/>
    <m/>
    <m/>
    <m/>
    <m/>
    <m/>
    <n v="436"/>
    <m/>
    <m/>
    <m/>
    <m/>
    <m/>
    <n v="1"/>
    <n v="1"/>
    <n v="1"/>
    <m/>
    <m/>
    <m/>
    <m/>
    <m/>
    <m/>
    <n v="81"/>
    <m/>
    <m/>
    <m/>
    <n v="15"/>
    <m/>
    <m/>
    <m/>
    <x v="2"/>
    <x v="3"/>
    <m/>
    <m/>
    <n v="5"/>
    <m/>
    <n v="2"/>
    <m/>
    <m/>
    <n v="3"/>
    <m/>
    <n v="1"/>
    <n v="1"/>
    <n v="68"/>
    <n v="68"/>
    <m/>
    <m/>
    <n v="0.5"/>
    <m/>
    <n v="0"/>
    <s v="no test"/>
    <x v="0"/>
    <n v="0"/>
    <n v="0"/>
    <n v="436"/>
    <n v="0"/>
    <n v="0"/>
    <n v="1"/>
    <n v="1"/>
    <n v="1"/>
    <n v="305"/>
    <n v="0"/>
    <n v="0"/>
    <n v="1"/>
    <n v="305"/>
    <n v="0.61"/>
    <n v="0"/>
    <n v="0"/>
    <n v="0.39"/>
    <n v="1"/>
    <n v="81"/>
    <n v="1"/>
    <n v="305"/>
    <n v="0"/>
    <n v="79"/>
    <n v="51"/>
    <n v="0"/>
    <n v="0"/>
    <n v="0"/>
    <n v="305"/>
    <n v="305"/>
    <n v="305"/>
    <n v="305"/>
    <n v="305"/>
    <n v="1"/>
    <n v="0"/>
    <n v="1"/>
    <n v="0.4689655172413793"/>
    <n v="0.4689655172413793"/>
    <n v="2"/>
    <n v="40"/>
    <n v="0"/>
    <n v="200"/>
    <x v="1"/>
    <s v="Yes"/>
    <s v="KMSS-LSO"/>
    <x v="1"/>
    <x v="0"/>
    <x v="0"/>
    <n v="23.588920000000002"/>
    <n v="97.793019999999999"/>
    <s v="MMR015CMP018"/>
    <x v="0"/>
    <m/>
  </r>
  <r>
    <x v="1"/>
    <x v="9"/>
    <x v="9"/>
    <s v="GFFO"/>
    <x v="3"/>
    <x v="29"/>
    <x v="1"/>
    <x v="511"/>
    <n v="60"/>
    <n v="276"/>
    <d v="2017-12-01T00:00:00"/>
    <d v="2019-11-30T00:00:00"/>
    <m/>
    <m/>
    <m/>
    <m/>
    <s v="Yes"/>
    <n v="4"/>
    <n v="5"/>
    <n v="0"/>
    <m/>
    <m/>
    <n v="0"/>
    <n v="0"/>
    <m/>
    <m/>
    <n v="30"/>
    <m/>
    <m/>
    <n v="0"/>
    <m/>
    <n v="0"/>
    <n v="1"/>
    <m/>
    <n v="1"/>
    <m/>
    <n v="15"/>
    <m/>
    <m/>
    <m/>
    <m/>
    <n v="10"/>
    <n v="0"/>
    <m/>
    <m/>
    <m/>
    <m/>
    <m/>
    <m/>
    <x v="0"/>
    <x v="0"/>
    <n v="0"/>
    <n v="0"/>
    <m/>
    <m/>
    <n v="0"/>
    <m/>
    <n v="0"/>
    <n v="2"/>
    <m/>
    <n v="0"/>
    <n v="1"/>
    <n v="48"/>
    <m/>
    <m/>
    <m/>
    <n v="1"/>
    <m/>
    <n v="0"/>
    <n v="0"/>
    <x v="0"/>
    <n v="0"/>
    <n v="0"/>
    <n v="30"/>
    <n v="0"/>
    <n v="0"/>
    <n v="1"/>
    <n v="1"/>
    <n v="1"/>
    <n v="276"/>
    <n v="0"/>
    <n v="0"/>
    <n v="1"/>
    <n v="276"/>
    <n v="0.55200000000000005"/>
    <n v="0"/>
    <n v="0"/>
    <n v="0.44799999999999995"/>
    <n v="1"/>
    <n v="10"/>
    <n v="0.72463768115942029"/>
    <n v="200"/>
    <n v="0"/>
    <n v="0"/>
    <n v="14"/>
    <n v="4"/>
    <n v="0.27536231884057971"/>
    <n v="0"/>
    <n v="276"/>
    <n v="240"/>
    <n v="0"/>
    <n v="240"/>
    <n v="276"/>
    <n v="1"/>
    <n v="0"/>
    <n v="1"/>
    <n v="0.8"/>
    <n v="0"/>
    <n v="0"/>
    <n v="0"/>
    <n v="0"/>
    <n v="0"/>
    <x v="0"/>
    <n v="0"/>
    <s v="uncovered"/>
    <x v="0"/>
    <x v="2"/>
    <x v="0"/>
    <n v="23.611999999999998"/>
    <n v="97.506"/>
    <s v="MMR015CMP224"/>
    <x v="0"/>
    <m/>
  </r>
  <r>
    <x v="1"/>
    <x v="2"/>
    <x v="2"/>
    <m/>
    <x v="3"/>
    <x v="25"/>
    <x v="1"/>
    <x v="515"/>
    <n v="55"/>
    <n v="221"/>
    <m/>
    <m/>
    <m/>
    <m/>
    <m/>
    <m/>
    <s v="Yes"/>
    <m/>
    <m/>
    <m/>
    <m/>
    <m/>
    <m/>
    <m/>
    <m/>
    <m/>
    <m/>
    <m/>
    <m/>
    <m/>
    <m/>
    <m/>
    <m/>
    <m/>
    <m/>
    <m/>
    <m/>
    <m/>
    <m/>
    <m/>
    <m/>
    <n v="12"/>
    <m/>
    <m/>
    <m/>
    <m/>
    <m/>
    <m/>
    <m/>
    <x v="0"/>
    <x v="0"/>
    <m/>
    <m/>
    <m/>
    <m/>
    <m/>
    <m/>
    <m/>
    <n v="3"/>
    <m/>
    <m/>
    <m/>
    <m/>
    <m/>
    <m/>
    <m/>
    <m/>
    <m/>
    <s v="no test"/>
    <s v="no test"/>
    <x v="1"/>
    <n v="0"/>
    <n v="0"/>
    <n v="0"/>
    <n v="0"/>
    <n v="0"/>
    <n v="0"/>
    <n v="0"/>
    <n v="0"/>
    <n v="0"/>
    <n v="0"/>
    <n v="0"/>
    <n v="0"/>
    <n v="0"/>
    <n v="0"/>
    <n v="1"/>
    <n v="221"/>
    <n v="1"/>
    <n v="1"/>
    <n v="12"/>
    <n v="1"/>
    <n v="221"/>
    <n v="0"/>
    <n v="0"/>
    <n v="11"/>
    <n v="0"/>
    <n v="0"/>
    <n v="0"/>
    <n v="0"/>
    <n v="0"/>
    <n v="0"/>
    <n v="0"/>
    <n v="0"/>
    <n v="0"/>
    <n v="1"/>
    <n v="0"/>
    <n v="0"/>
    <n v="0"/>
    <n v="0"/>
    <n v="0"/>
    <n v="0"/>
    <n v="0"/>
    <x v="0"/>
    <n v="0"/>
    <s v="uncovered"/>
    <x v="0"/>
    <x v="2"/>
    <x v="0"/>
    <n v="24.006319999999999"/>
    <n v="97.909400000000005"/>
    <s v="MMR015CMP213"/>
    <x v="1"/>
    <m/>
  </r>
  <r>
    <x v="1"/>
    <x v="37"/>
    <x v="38"/>
    <s v="GFFO, UNICEF"/>
    <x v="3"/>
    <x v="24"/>
    <x v="1"/>
    <x v="512"/>
    <n v="34"/>
    <n v="180"/>
    <s v="12/1/2017,2/1/2019"/>
    <s v="11/30/2019,1/31/2020"/>
    <m/>
    <m/>
    <m/>
    <m/>
    <s v="Yes"/>
    <n v="5"/>
    <n v="4"/>
    <n v="0"/>
    <m/>
    <m/>
    <n v="0"/>
    <n v="0"/>
    <m/>
    <m/>
    <n v="25"/>
    <m/>
    <m/>
    <n v="0"/>
    <m/>
    <n v="0"/>
    <n v="1"/>
    <m/>
    <n v="1"/>
    <m/>
    <n v="15"/>
    <m/>
    <m/>
    <m/>
    <m/>
    <n v="34"/>
    <n v="0"/>
    <m/>
    <m/>
    <m/>
    <m/>
    <m/>
    <m/>
    <x v="0"/>
    <x v="0"/>
    <n v="0"/>
    <n v="0"/>
    <m/>
    <m/>
    <n v="2"/>
    <m/>
    <n v="0"/>
    <n v="2"/>
    <m/>
    <n v="0"/>
    <n v="1"/>
    <n v="58"/>
    <n v="31"/>
    <m/>
    <m/>
    <n v="1"/>
    <m/>
    <n v="0"/>
    <n v="0"/>
    <x v="0"/>
    <n v="0"/>
    <n v="0"/>
    <n v="25"/>
    <n v="0"/>
    <n v="0"/>
    <n v="1"/>
    <n v="1"/>
    <n v="1"/>
    <n v="180"/>
    <n v="0"/>
    <n v="0"/>
    <n v="1"/>
    <n v="180"/>
    <n v="0.36"/>
    <n v="0"/>
    <n v="0"/>
    <n v="0.64"/>
    <n v="1"/>
    <n v="34"/>
    <n v="1"/>
    <n v="180"/>
    <n v="0"/>
    <n v="0"/>
    <n v="9"/>
    <n v="0"/>
    <n v="0"/>
    <n v="0"/>
    <n v="180"/>
    <n v="180"/>
    <n v="155"/>
    <n v="180"/>
    <n v="180"/>
    <n v="1"/>
    <n v="0"/>
    <n v="1"/>
    <n v="1"/>
    <n v="0.91176470588235292"/>
    <n v="2"/>
    <n v="34"/>
    <n v="0"/>
    <n v="180"/>
    <x v="0"/>
    <n v="0"/>
    <s v="uncovered"/>
    <x v="0"/>
    <x v="2"/>
    <x v="0"/>
    <n v="23.850999999999999"/>
    <n v="98.337999999999994"/>
    <s v="MMR015CMP227"/>
    <x v="0"/>
    <m/>
  </r>
  <r>
    <x v="1"/>
    <x v="1"/>
    <x v="1"/>
    <s v="UNICEF"/>
    <x v="3"/>
    <x v="24"/>
    <x v="1"/>
    <x v="513"/>
    <n v="44"/>
    <n v="264"/>
    <d v="2019-02-01T00:00:00"/>
    <d v="2020-01-31T00:00:00"/>
    <m/>
    <m/>
    <m/>
    <m/>
    <m/>
    <m/>
    <m/>
    <m/>
    <m/>
    <m/>
    <m/>
    <m/>
    <m/>
    <m/>
    <m/>
    <m/>
    <m/>
    <m/>
    <m/>
    <m/>
    <m/>
    <m/>
    <m/>
    <m/>
    <m/>
    <m/>
    <m/>
    <m/>
    <m/>
    <m/>
    <m/>
    <m/>
    <m/>
    <m/>
    <m/>
    <m/>
    <m/>
    <x v="0"/>
    <x v="4"/>
    <m/>
    <m/>
    <m/>
    <m/>
    <m/>
    <m/>
    <m/>
    <m/>
    <m/>
    <m/>
    <m/>
    <n v="38"/>
    <n v="38"/>
    <m/>
    <m/>
    <m/>
    <m/>
    <s v="no test"/>
    <s v="no test"/>
    <x v="1"/>
    <n v="0"/>
    <n v="0"/>
    <n v="0"/>
    <n v="0"/>
    <n v="0"/>
    <n v="0"/>
    <n v="0"/>
    <n v="0"/>
    <n v="0"/>
    <n v="0"/>
    <n v="0"/>
    <n v="0"/>
    <n v="0"/>
    <n v="0"/>
    <n v="1"/>
    <n v="264"/>
    <n v="1"/>
    <n v="1"/>
    <n v="0"/>
    <n v="0"/>
    <n v="0"/>
    <n v="0"/>
    <n v="0"/>
    <n v="44"/>
    <n v="44"/>
    <n v="1"/>
    <n v="0"/>
    <n v="0"/>
    <n v="190"/>
    <n v="190"/>
    <n v="190"/>
    <n v="190"/>
    <n v="0.71969696969696972"/>
    <n v="0.28030303030303028"/>
    <n v="0"/>
    <n v="0.86363636363636365"/>
    <n v="0.86363636363636365"/>
    <n v="0"/>
    <n v="0"/>
    <n v="0"/>
    <n v="0"/>
    <x v="0"/>
    <s v="Yes"/>
    <s v="KBC-NSS"/>
    <x v="1"/>
    <x v="0"/>
    <x v="0"/>
    <n v="23.400155999999999"/>
    <n v="98.220614999999995"/>
    <s v="MMR015CMP006"/>
    <x v="0"/>
    <m/>
  </r>
  <r>
    <x v="1"/>
    <x v="1"/>
    <x v="1"/>
    <s v="UNICEF"/>
    <x v="3"/>
    <x v="24"/>
    <x v="1"/>
    <x v="514"/>
    <n v="22"/>
    <n v="111"/>
    <m/>
    <d v="2020-01-31T00:00:00"/>
    <n v="42"/>
    <m/>
    <m/>
    <m/>
    <m/>
    <m/>
    <m/>
    <n v="0"/>
    <m/>
    <m/>
    <n v="0"/>
    <m/>
    <m/>
    <m/>
    <m/>
    <m/>
    <m/>
    <m/>
    <n v="1"/>
    <m/>
    <m/>
    <m/>
    <m/>
    <m/>
    <m/>
    <m/>
    <m/>
    <m/>
    <m/>
    <n v="8"/>
    <m/>
    <m/>
    <m/>
    <m/>
    <m/>
    <m/>
    <m/>
    <x v="0"/>
    <x v="0"/>
    <m/>
    <m/>
    <n v="0"/>
    <m/>
    <m/>
    <m/>
    <n v="0"/>
    <n v="2"/>
    <m/>
    <m/>
    <n v="0"/>
    <n v="19"/>
    <n v="19"/>
    <m/>
    <m/>
    <m/>
    <m/>
    <s v="no test"/>
    <s v="no test"/>
    <x v="1"/>
    <n v="0"/>
    <n v="0"/>
    <n v="0"/>
    <n v="0"/>
    <n v="0"/>
    <n v="0"/>
    <n v="0"/>
    <n v="0"/>
    <n v="0"/>
    <n v="1"/>
    <n v="111"/>
    <n v="1"/>
    <n v="111"/>
    <n v="0.222"/>
    <n v="0"/>
    <n v="0"/>
    <n v="0.77800000000000002"/>
    <n v="1"/>
    <n v="8"/>
    <n v="1"/>
    <n v="111"/>
    <n v="0"/>
    <n v="0"/>
    <n v="6"/>
    <n v="0"/>
    <n v="0"/>
    <n v="0"/>
    <n v="0"/>
    <n v="95"/>
    <n v="95"/>
    <n v="95"/>
    <n v="95"/>
    <n v="0.85585585585585588"/>
    <n v="0.14414414414414412"/>
    <n v="0"/>
    <n v="0.86363636363636365"/>
    <n v="0.86363636363636365"/>
    <n v="0"/>
    <n v="0"/>
    <n v="0"/>
    <n v="0"/>
    <x v="1"/>
    <s v="Yes"/>
    <s v="KMSS-LSO"/>
    <x v="0"/>
    <x v="0"/>
    <x v="0"/>
    <n v="23.463000000000001"/>
    <n v="98.248999999999995"/>
    <s v="MMR015CMP217"/>
    <x v="0"/>
    <m/>
  </r>
  <r>
    <x v="1"/>
    <x v="2"/>
    <x v="2"/>
    <m/>
    <x v="3"/>
    <x v="25"/>
    <x v="1"/>
    <x v="516"/>
    <n v="24"/>
    <n v="114"/>
    <m/>
    <m/>
    <m/>
    <m/>
    <m/>
    <m/>
    <m/>
    <m/>
    <m/>
    <n v="1"/>
    <m/>
    <m/>
    <n v="1"/>
    <m/>
    <m/>
    <m/>
    <m/>
    <m/>
    <m/>
    <m/>
    <m/>
    <m/>
    <m/>
    <m/>
    <m/>
    <m/>
    <m/>
    <m/>
    <m/>
    <m/>
    <m/>
    <n v="8"/>
    <m/>
    <m/>
    <m/>
    <m/>
    <m/>
    <m/>
    <m/>
    <x v="0"/>
    <x v="3"/>
    <m/>
    <m/>
    <n v="1"/>
    <m/>
    <m/>
    <m/>
    <n v="1"/>
    <n v="2"/>
    <m/>
    <m/>
    <n v="2"/>
    <m/>
    <m/>
    <m/>
    <m/>
    <m/>
    <m/>
    <s v="no test"/>
    <s v="no test"/>
    <x v="1"/>
    <n v="1"/>
    <n v="1"/>
    <n v="0"/>
    <n v="0"/>
    <n v="0"/>
    <n v="1"/>
    <n v="1"/>
    <n v="1"/>
    <n v="114"/>
    <n v="0"/>
    <n v="0"/>
    <n v="1"/>
    <n v="114"/>
    <n v="0.22800000000000001"/>
    <n v="0"/>
    <n v="0"/>
    <n v="0.77200000000000002"/>
    <n v="1"/>
    <n v="8"/>
    <n v="1"/>
    <n v="114"/>
    <n v="0"/>
    <n v="0"/>
    <n v="6"/>
    <n v="0"/>
    <n v="0"/>
    <n v="0"/>
    <n v="114"/>
    <n v="0"/>
    <n v="0"/>
    <n v="0"/>
    <n v="114"/>
    <n v="1"/>
    <n v="0"/>
    <n v="1"/>
    <n v="0"/>
    <n v="0"/>
    <n v="0"/>
    <n v="0"/>
    <n v="0"/>
    <n v="0"/>
    <x v="0"/>
    <s v="Yes"/>
    <s v="KMSS-LSO"/>
    <x v="0"/>
    <x v="0"/>
    <x v="0"/>
    <n v="24.006789000000001"/>
    <n v="97.911647000000002"/>
    <s v="MMR015CMP216"/>
    <x v="1"/>
    <m/>
  </r>
  <r>
    <x v="1"/>
    <x v="40"/>
    <x v="41"/>
    <s v="HARP,UNICEF"/>
    <x v="3"/>
    <x v="29"/>
    <x v="1"/>
    <x v="517"/>
    <n v="76"/>
    <n v="390"/>
    <d v="2019-02-01T00:00:00"/>
    <s v="12/31/2019,1/31/2020"/>
    <m/>
    <n v="2"/>
    <m/>
    <m/>
    <s v="Yes"/>
    <n v="8"/>
    <n v="7"/>
    <n v="0"/>
    <m/>
    <m/>
    <n v="1"/>
    <m/>
    <m/>
    <n v="1"/>
    <n v="1"/>
    <m/>
    <n v="1"/>
    <m/>
    <m/>
    <m/>
    <m/>
    <m/>
    <n v="2"/>
    <m/>
    <n v="32"/>
    <m/>
    <m/>
    <m/>
    <m/>
    <n v="8"/>
    <n v="9"/>
    <m/>
    <m/>
    <m/>
    <m/>
    <m/>
    <m/>
    <x v="0"/>
    <x v="0"/>
    <m/>
    <m/>
    <m/>
    <m/>
    <n v="11"/>
    <m/>
    <n v="0"/>
    <n v="2"/>
    <m/>
    <n v="1"/>
    <n v="2"/>
    <n v="75"/>
    <n v="75"/>
    <m/>
    <m/>
    <m/>
    <m/>
    <n v="0"/>
    <n v="0"/>
    <x v="0"/>
    <n v="0"/>
    <n v="1"/>
    <n v="1"/>
    <n v="0"/>
    <n v="0"/>
    <n v="1"/>
    <n v="0.81196581196581197"/>
    <n v="1"/>
    <n v="390"/>
    <n v="0"/>
    <n v="0"/>
    <n v="1"/>
    <n v="390"/>
    <n v="0.78"/>
    <n v="0"/>
    <n v="0"/>
    <n v="0.21999999999999997"/>
    <n v="1"/>
    <n v="17"/>
    <n v="0.87179487179487181"/>
    <n v="340"/>
    <n v="0"/>
    <n v="0"/>
    <n v="20"/>
    <n v="3"/>
    <n v="0.12820512820512819"/>
    <n v="0"/>
    <n v="390"/>
    <n v="375"/>
    <n v="375"/>
    <n v="375"/>
    <n v="390"/>
    <n v="1"/>
    <n v="0"/>
    <n v="1"/>
    <n v="0.98684210526315785"/>
    <n v="0.98684210526315785"/>
    <n v="11"/>
    <n v="76"/>
    <n v="0"/>
    <n v="390"/>
    <x v="0"/>
    <s v="Yes"/>
    <s v="KBC-NSS"/>
    <x v="0"/>
    <x v="0"/>
    <x v="0"/>
    <n v="23.821380000000001"/>
    <n v="97.681970000000007"/>
    <s v="MMR015CMP004"/>
    <x v="0"/>
    <m/>
  </r>
  <r>
    <x v="1"/>
    <x v="1"/>
    <x v="1"/>
    <s v="UNICEF"/>
    <x v="3"/>
    <x v="29"/>
    <x v="1"/>
    <x v="518"/>
    <n v="68"/>
    <n v="350"/>
    <d v="2019-02-01T00:00:00"/>
    <d v="2020-01-31T00:00:00"/>
    <n v="112"/>
    <m/>
    <m/>
    <m/>
    <m/>
    <m/>
    <m/>
    <m/>
    <m/>
    <m/>
    <m/>
    <n v="1"/>
    <m/>
    <n v="1"/>
    <m/>
    <m/>
    <m/>
    <m/>
    <m/>
    <m/>
    <m/>
    <m/>
    <m/>
    <m/>
    <m/>
    <m/>
    <m/>
    <m/>
    <m/>
    <m/>
    <m/>
    <m/>
    <m/>
    <m/>
    <n v="10"/>
    <m/>
    <m/>
    <x v="3"/>
    <x v="2"/>
    <m/>
    <m/>
    <m/>
    <m/>
    <m/>
    <m/>
    <m/>
    <m/>
    <m/>
    <m/>
    <m/>
    <n v="65"/>
    <n v="65"/>
    <m/>
    <m/>
    <m/>
    <m/>
    <s v="no test"/>
    <s v="no test"/>
    <x v="1"/>
    <n v="0"/>
    <n v="1"/>
    <n v="0"/>
    <n v="0"/>
    <n v="0"/>
    <n v="1"/>
    <n v="0.7142857142857143"/>
    <n v="1"/>
    <n v="350"/>
    <n v="0"/>
    <n v="0"/>
    <n v="1"/>
    <n v="350"/>
    <n v="0.7"/>
    <n v="0"/>
    <n v="0"/>
    <n v="0.30000000000000004"/>
    <n v="1"/>
    <n v="0"/>
    <n v="0"/>
    <n v="0"/>
    <n v="200"/>
    <n v="0"/>
    <n v="18"/>
    <n v="18"/>
    <n v="1"/>
    <n v="0"/>
    <n v="0"/>
    <n v="325"/>
    <n v="325"/>
    <n v="325"/>
    <n v="325"/>
    <n v="0.9285714285714286"/>
    <n v="7.1428571428571397E-2"/>
    <n v="0"/>
    <n v="0.95588235294117652"/>
    <n v="0.95588235294117652"/>
    <n v="0"/>
    <n v="0"/>
    <n v="0"/>
    <n v="0"/>
    <x v="1"/>
    <s v="Yes"/>
    <s v="KBC-NSS"/>
    <x v="0"/>
    <x v="0"/>
    <x v="0"/>
    <n v="23.828520000000001"/>
    <n v="97.669557999999995"/>
    <s v="MMR015CMP001"/>
    <x v="0"/>
    <m/>
  </r>
  <r>
    <x v="1"/>
    <x v="1"/>
    <x v="1"/>
    <s v="UNICEF"/>
    <x v="3"/>
    <x v="29"/>
    <x v="1"/>
    <x v="519"/>
    <n v="37"/>
    <n v="176"/>
    <d v="2019-02-01T00:00:00"/>
    <d v="2020-01-31T00:00:00"/>
    <n v="48"/>
    <m/>
    <m/>
    <m/>
    <m/>
    <m/>
    <m/>
    <m/>
    <m/>
    <m/>
    <m/>
    <n v="1"/>
    <m/>
    <n v="1"/>
    <m/>
    <m/>
    <m/>
    <m/>
    <m/>
    <m/>
    <m/>
    <m/>
    <m/>
    <m/>
    <m/>
    <m/>
    <m/>
    <m/>
    <m/>
    <m/>
    <m/>
    <m/>
    <m/>
    <m/>
    <m/>
    <m/>
    <m/>
    <x v="3"/>
    <x v="2"/>
    <m/>
    <m/>
    <m/>
    <m/>
    <m/>
    <m/>
    <m/>
    <m/>
    <m/>
    <m/>
    <n v="1"/>
    <n v="37"/>
    <n v="37"/>
    <m/>
    <m/>
    <m/>
    <m/>
    <s v="no test"/>
    <s v="no test"/>
    <x v="1"/>
    <n v="0"/>
    <n v="1"/>
    <n v="0"/>
    <n v="0"/>
    <n v="0"/>
    <n v="1"/>
    <n v="1"/>
    <n v="1"/>
    <n v="176"/>
    <n v="0"/>
    <n v="0"/>
    <n v="1"/>
    <n v="176"/>
    <n v="0.35199999999999998"/>
    <n v="0"/>
    <n v="0"/>
    <n v="0.64800000000000002"/>
    <n v="1"/>
    <n v="0"/>
    <n v="0"/>
    <n v="0"/>
    <n v="0"/>
    <n v="0"/>
    <n v="9"/>
    <n v="9"/>
    <n v="1"/>
    <n v="0"/>
    <n v="176"/>
    <n v="176"/>
    <n v="176"/>
    <n v="176"/>
    <n v="176"/>
    <n v="1"/>
    <n v="0"/>
    <n v="1"/>
    <n v="1"/>
    <n v="1"/>
    <n v="0"/>
    <n v="0"/>
    <n v="0"/>
    <n v="0"/>
    <x v="1"/>
    <s v="Yes"/>
    <s v="KBC-NSS"/>
    <x v="0"/>
    <x v="0"/>
    <x v="0"/>
    <n v="23.841646999999998"/>
    <n v="97.700940000000003"/>
    <s v="MMR015CMP214"/>
    <x v="0"/>
    <m/>
  </r>
  <r>
    <x v="1"/>
    <x v="39"/>
    <x v="40"/>
    <s v="HARP,UNICEF"/>
    <x v="3"/>
    <x v="29"/>
    <x v="1"/>
    <x v="520"/>
    <n v="43"/>
    <n v="212"/>
    <d v="2019-02-01T00:00:00"/>
    <s v="12/31/2019,1/31/2020"/>
    <m/>
    <n v="2"/>
    <m/>
    <m/>
    <s v="Yes"/>
    <n v="6"/>
    <n v="5"/>
    <n v="1"/>
    <m/>
    <m/>
    <n v="1"/>
    <n v="1"/>
    <m/>
    <n v="1"/>
    <m/>
    <m/>
    <m/>
    <m/>
    <n v="1"/>
    <m/>
    <m/>
    <n v="2"/>
    <n v="1"/>
    <m/>
    <n v="17"/>
    <m/>
    <m/>
    <m/>
    <m/>
    <n v="15"/>
    <m/>
    <m/>
    <m/>
    <m/>
    <m/>
    <m/>
    <m/>
    <x v="0"/>
    <x v="0"/>
    <m/>
    <m/>
    <m/>
    <m/>
    <n v="4"/>
    <n v="2"/>
    <n v="0"/>
    <n v="2"/>
    <m/>
    <n v="1"/>
    <n v="2"/>
    <n v="43"/>
    <n v="43"/>
    <m/>
    <m/>
    <m/>
    <m/>
    <n v="0"/>
    <n v="0"/>
    <x v="0"/>
    <n v="1"/>
    <n v="2"/>
    <n v="0"/>
    <n v="0"/>
    <n v="0"/>
    <n v="1"/>
    <n v="1"/>
    <n v="1"/>
    <n v="212"/>
    <n v="1"/>
    <n v="212"/>
    <n v="1"/>
    <n v="212"/>
    <n v="0.42399999999999999"/>
    <n v="0"/>
    <n v="0"/>
    <n v="0.57600000000000007"/>
    <n v="1"/>
    <n v="15"/>
    <n v="1"/>
    <n v="212"/>
    <n v="0"/>
    <n v="0"/>
    <n v="11"/>
    <n v="0"/>
    <n v="0"/>
    <n v="0"/>
    <n v="212"/>
    <n v="212"/>
    <n v="212"/>
    <n v="212"/>
    <n v="212"/>
    <n v="1"/>
    <n v="0"/>
    <n v="1"/>
    <n v="1"/>
    <n v="1"/>
    <n v="2"/>
    <n v="40"/>
    <n v="0"/>
    <n v="200"/>
    <x v="0"/>
    <s v="Yes"/>
    <s v="KMSS-LSO"/>
    <x v="0"/>
    <x v="0"/>
    <x v="0"/>
    <n v="23.828150000000001"/>
    <n v="97.670360000000002"/>
    <s v="MMR015CMP003"/>
    <x v="0"/>
    <m/>
  </r>
  <r>
    <x v="1"/>
    <x v="37"/>
    <x v="38"/>
    <s v="GFFO, (UNICEF, WHH(AA))"/>
    <x v="3"/>
    <x v="24"/>
    <x v="1"/>
    <x v="521"/>
    <n v="56"/>
    <n v="263"/>
    <s v="12/1/2017,(2/1/2019,8/1/18)"/>
    <s v="11/30/2019,(1/31/2020,9/30/2020)"/>
    <n v="139"/>
    <m/>
    <m/>
    <m/>
    <s v="Yes"/>
    <n v="5"/>
    <n v="4"/>
    <m/>
    <m/>
    <m/>
    <m/>
    <m/>
    <m/>
    <m/>
    <n v="23"/>
    <m/>
    <m/>
    <m/>
    <m/>
    <m/>
    <n v="1"/>
    <m/>
    <n v="1"/>
    <m/>
    <n v="15"/>
    <m/>
    <m/>
    <m/>
    <m/>
    <n v="15"/>
    <m/>
    <m/>
    <m/>
    <n v="4"/>
    <m/>
    <m/>
    <m/>
    <x v="0"/>
    <x v="0"/>
    <m/>
    <m/>
    <m/>
    <m/>
    <n v="5"/>
    <n v="3"/>
    <m/>
    <n v="2"/>
    <m/>
    <m/>
    <n v="2"/>
    <n v="99"/>
    <n v="54"/>
    <m/>
    <m/>
    <n v="0.5"/>
    <m/>
    <n v="0"/>
    <n v="0"/>
    <x v="0"/>
    <n v="0"/>
    <n v="0"/>
    <n v="23"/>
    <n v="0"/>
    <n v="0"/>
    <n v="1"/>
    <n v="1"/>
    <n v="1"/>
    <n v="263"/>
    <n v="0"/>
    <n v="0"/>
    <n v="1"/>
    <n v="263"/>
    <n v="0.52600000000000002"/>
    <n v="0"/>
    <n v="0"/>
    <n v="0.47399999999999998"/>
    <n v="1"/>
    <n v="15"/>
    <n v="1"/>
    <n v="263"/>
    <n v="0"/>
    <n v="0"/>
    <n v="13"/>
    <n v="0"/>
    <n v="0"/>
    <n v="0"/>
    <n v="263"/>
    <n v="263"/>
    <n v="263"/>
    <n v="263"/>
    <n v="263"/>
    <n v="1"/>
    <n v="0"/>
    <n v="1"/>
    <n v="1"/>
    <n v="0.9642857142857143"/>
    <n v="2"/>
    <n v="40"/>
    <n v="0"/>
    <n v="200"/>
    <x v="1"/>
    <s v="Yes"/>
    <s v="KBC-NSS"/>
    <x v="0"/>
    <x v="0"/>
    <x v="0"/>
    <n v="23.694130000000001"/>
    <n v="97.818979999999996"/>
    <s v="MMR015CMP007"/>
    <x v="0"/>
    <m/>
  </r>
  <r>
    <x v="1"/>
    <x v="37"/>
    <x v="38"/>
    <s v="GFFO, (UNICEF, WHH(AA))"/>
    <x v="3"/>
    <x v="24"/>
    <x v="1"/>
    <x v="522"/>
    <n v="34"/>
    <n v="114"/>
    <s v="12/1/2017,(2/1/2019,8/1/18)"/>
    <s v="11/30/2019,(1/31/2020,9/30/2020)"/>
    <n v="37"/>
    <m/>
    <m/>
    <m/>
    <s v="Yes"/>
    <n v="5"/>
    <n v="4"/>
    <m/>
    <m/>
    <m/>
    <n v="2"/>
    <m/>
    <m/>
    <m/>
    <m/>
    <m/>
    <m/>
    <m/>
    <m/>
    <m/>
    <n v="1"/>
    <m/>
    <n v="1"/>
    <m/>
    <n v="15"/>
    <m/>
    <m/>
    <m/>
    <m/>
    <n v="8"/>
    <m/>
    <m/>
    <n v="4"/>
    <m/>
    <m/>
    <m/>
    <m/>
    <x v="0"/>
    <x v="4"/>
    <m/>
    <m/>
    <m/>
    <m/>
    <n v="4"/>
    <m/>
    <m/>
    <n v="1"/>
    <m/>
    <m/>
    <n v="2"/>
    <n v="60"/>
    <n v="33"/>
    <m/>
    <m/>
    <n v="0.5"/>
    <m/>
    <n v="0"/>
    <n v="0"/>
    <x v="0"/>
    <n v="0"/>
    <n v="2"/>
    <n v="0"/>
    <n v="0"/>
    <n v="0"/>
    <n v="1"/>
    <n v="1"/>
    <n v="1"/>
    <n v="114"/>
    <n v="0"/>
    <n v="0"/>
    <n v="1"/>
    <n v="114"/>
    <n v="0.22800000000000001"/>
    <n v="0"/>
    <n v="0"/>
    <n v="0.77200000000000002"/>
    <n v="1"/>
    <n v="4"/>
    <n v="0.70175438596491224"/>
    <n v="80"/>
    <n v="0"/>
    <n v="0"/>
    <n v="6"/>
    <n v="0"/>
    <n v="0.29824561403508776"/>
    <n v="0.5"/>
    <n v="114"/>
    <n v="114"/>
    <n v="114"/>
    <n v="114"/>
    <n v="114"/>
    <n v="1"/>
    <n v="0"/>
    <n v="1"/>
    <n v="1"/>
    <n v="0.97058823529411764"/>
    <n v="4"/>
    <n v="34"/>
    <n v="0"/>
    <n v="114"/>
    <x v="1"/>
    <s v="Yes"/>
    <s v="KMSS-LSO"/>
    <x v="0"/>
    <x v="0"/>
    <x v="0"/>
    <n v="23.682887999999998"/>
    <n v="97.810101000000003"/>
    <s v="MMR015CMP225"/>
    <x v="0"/>
    <m/>
  </r>
  <r>
    <x v="1"/>
    <x v="1"/>
    <x v="1"/>
    <s v="UNICEF"/>
    <x v="3"/>
    <x v="30"/>
    <x v="1"/>
    <x v="523"/>
    <n v="34"/>
    <n v="182"/>
    <d v="2019-02-01T00:00:00"/>
    <d v="2020-01-31T00:00:00"/>
    <n v="49"/>
    <m/>
    <m/>
    <m/>
    <s v="Yes"/>
    <m/>
    <m/>
    <n v="4"/>
    <m/>
    <m/>
    <n v="1"/>
    <m/>
    <m/>
    <m/>
    <m/>
    <m/>
    <m/>
    <m/>
    <m/>
    <m/>
    <m/>
    <m/>
    <m/>
    <m/>
    <m/>
    <m/>
    <m/>
    <m/>
    <m/>
    <m/>
    <n v="10"/>
    <m/>
    <n v="2"/>
    <m/>
    <m/>
    <m/>
    <m/>
    <x v="0"/>
    <x v="0"/>
    <m/>
    <m/>
    <m/>
    <m/>
    <m/>
    <m/>
    <m/>
    <n v="2"/>
    <m/>
    <m/>
    <n v="1"/>
    <n v="34"/>
    <n v="34"/>
    <s v="No"/>
    <m/>
    <m/>
    <m/>
    <s v="no test"/>
    <s v="no test"/>
    <x v="1"/>
    <n v="4"/>
    <n v="1"/>
    <n v="0"/>
    <n v="0"/>
    <n v="0"/>
    <n v="1"/>
    <n v="1"/>
    <n v="1"/>
    <n v="182"/>
    <n v="0"/>
    <n v="0"/>
    <n v="1"/>
    <n v="182"/>
    <n v="0.36399999999999999"/>
    <n v="0"/>
    <n v="0"/>
    <n v="0.63600000000000001"/>
    <n v="1"/>
    <n v="8"/>
    <n v="0.87912087912087911"/>
    <n v="160"/>
    <n v="0"/>
    <n v="0"/>
    <n v="9"/>
    <n v="0"/>
    <n v="0.12087912087912089"/>
    <n v="0.2"/>
    <n v="182"/>
    <n v="182"/>
    <n v="182"/>
    <n v="182"/>
    <n v="182"/>
    <n v="1"/>
    <n v="0"/>
    <n v="1"/>
    <n v="1"/>
    <n v="1"/>
    <n v="0"/>
    <n v="0"/>
    <n v="0"/>
    <n v="0"/>
    <x v="1"/>
    <s v="Yes"/>
    <s v="KBC-NSS"/>
    <x v="0"/>
    <x v="0"/>
    <x v="0"/>
    <n v="23.354268999999999"/>
    <n v="98.218626999999998"/>
    <s v="MMR015CMP218"/>
    <x v="0"/>
    <m/>
  </r>
  <r>
    <x v="1"/>
    <x v="37"/>
    <x v="38"/>
    <s v="MHF, UNICEF"/>
    <x v="3"/>
    <x v="26"/>
    <x v="1"/>
    <x v="524"/>
    <n v="38"/>
    <n v="161"/>
    <s v="2/1/2019,2/1/2019"/>
    <s v="1/31/2020,1/31/2020"/>
    <n v="58"/>
    <m/>
    <m/>
    <m/>
    <s v="Yes"/>
    <n v="3"/>
    <n v="3"/>
    <m/>
    <m/>
    <m/>
    <m/>
    <m/>
    <m/>
    <m/>
    <n v="15"/>
    <m/>
    <m/>
    <m/>
    <m/>
    <n v="1"/>
    <n v="1"/>
    <m/>
    <n v="1"/>
    <m/>
    <n v="15"/>
    <m/>
    <m/>
    <m/>
    <m/>
    <n v="8"/>
    <m/>
    <m/>
    <m/>
    <m/>
    <m/>
    <m/>
    <m/>
    <x v="0"/>
    <x v="0"/>
    <m/>
    <m/>
    <m/>
    <s v="has plan for draiange"/>
    <n v="3"/>
    <n v="1"/>
    <m/>
    <n v="2"/>
    <m/>
    <m/>
    <n v="1"/>
    <n v="67"/>
    <n v="37"/>
    <m/>
    <n v="47"/>
    <n v="0.5"/>
    <m/>
    <n v="0"/>
    <n v="0"/>
    <x v="0"/>
    <n v="0"/>
    <n v="0"/>
    <n v="15"/>
    <n v="0"/>
    <n v="1"/>
    <n v="1"/>
    <n v="1"/>
    <n v="1"/>
    <n v="161"/>
    <n v="0"/>
    <n v="0"/>
    <n v="1"/>
    <n v="161"/>
    <n v="0.32200000000000001"/>
    <n v="0"/>
    <n v="0"/>
    <n v="0.67799999999999994"/>
    <n v="1"/>
    <n v="8"/>
    <n v="0.99378881987577639"/>
    <n v="160"/>
    <n v="0"/>
    <n v="0"/>
    <n v="8"/>
    <n v="0"/>
    <n v="6.2111801242236142E-3"/>
    <n v="0"/>
    <n v="161"/>
    <n v="161"/>
    <n v="161"/>
    <n v="161"/>
    <n v="161"/>
    <n v="1"/>
    <n v="0"/>
    <n v="1"/>
    <n v="1"/>
    <n v="0.97368421052631582"/>
    <n v="2"/>
    <n v="38"/>
    <n v="0"/>
    <n v="161"/>
    <x v="1"/>
    <s v="Yes"/>
    <s v="KBC-NSS"/>
    <x v="0"/>
    <x v="0"/>
    <x v="0"/>
    <n v="23.094290000000001"/>
    <n v="97.404089999999997"/>
    <s v="MMR015CMP014"/>
    <x v="0"/>
    <m/>
  </r>
  <r>
    <x v="1"/>
    <x v="1"/>
    <x v="1"/>
    <s v="UNICEF"/>
    <x v="3"/>
    <x v="29"/>
    <x v="1"/>
    <x v="525"/>
    <n v="111"/>
    <n v="568"/>
    <d v="2019-02-01T00:00:00"/>
    <d v="2020-01-31T00:00:00"/>
    <n v="153"/>
    <m/>
    <m/>
    <m/>
    <m/>
    <m/>
    <m/>
    <m/>
    <m/>
    <m/>
    <m/>
    <m/>
    <m/>
    <m/>
    <n v="1"/>
    <m/>
    <m/>
    <m/>
    <m/>
    <m/>
    <m/>
    <m/>
    <m/>
    <m/>
    <m/>
    <m/>
    <m/>
    <m/>
    <m/>
    <m/>
    <n v="16"/>
    <m/>
    <m/>
    <m/>
    <m/>
    <m/>
    <m/>
    <x v="3"/>
    <x v="2"/>
    <m/>
    <m/>
    <m/>
    <m/>
    <m/>
    <m/>
    <m/>
    <m/>
    <m/>
    <m/>
    <m/>
    <n v="111"/>
    <n v="111"/>
    <m/>
    <m/>
    <m/>
    <m/>
    <s v="no test"/>
    <s v="no test"/>
    <x v="1"/>
    <n v="0"/>
    <n v="0"/>
    <n v="1"/>
    <n v="0"/>
    <n v="0"/>
    <n v="0.11737089201877936"/>
    <n v="0.11737089201877936"/>
    <n v="0.11737089201877936"/>
    <n v="66.666666666666671"/>
    <n v="0"/>
    <n v="0"/>
    <n v="0.11737089201877936"/>
    <n v="66.666666666666671"/>
    <n v="0.13333333333333333"/>
    <n v="0.88262910798122063"/>
    <n v="501.33333333333331"/>
    <n v="0.8666666666666667"/>
    <n v="1"/>
    <n v="16"/>
    <n v="0.56338028169014087"/>
    <n v="320"/>
    <n v="0"/>
    <n v="0"/>
    <n v="28"/>
    <n v="12"/>
    <n v="0.43661971830985913"/>
    <n v="0"/>
    <n v="0"/>
    <n v="568"/>
    <n v="568"/>
    <n v="568"/>
    <n v="568"/>
    <n v="1"/>
    <n v="0"/>
    <n v="0"/>
    <n v="1"/>
    <n v="1"/>
    <n v="0"/>
    <n v="0"/>
    <n v="0"/>
    <n v="0"/>
    <x v="1"/>
    <s v="Yes"/>
    <s v="KBC-NSS"/>
    <x v="0"/>
    <x v="0"/>
    <x v="0"/>
    <n v="23.838190000000001"/>
    <n v="97.709879999999998"/>
    <s v="MMR015CMP215"/>
    <x v="0"/>
    <m/>
  </r>
  <r>
    <x v="1"/>
    <x v="38"/>
    <x v="39"/>
    <s v="HARP"/>
    <x v="3"/>
    <x v="31"/>
    <x v="2"/>
    <x v="540"/>
    <n v="54"/>
    <n v="259"/>
    <m/>
    <d v="2020-12-31T00:00:00"/>
    <m/>
    <m/>
    <m/>
    <m/>
    <s v="Yes"/>
    <n v="3"/>
    <n v="1"/>
    <m/>
    <m/>
    <m/>
    <m/>
    <m/>
    <m/>
    <m/>
    <n v="1"/>
    <m/>
    <m/>
    <m/>
    <n v="2"/>
    <m/>
    <n v="1"/>
    <n v="1"/>
    <m/>
    <m/>
    <m/>
    <m/>
    <m/>
    <m/>
    <s v="lack of water tank/collection pool"/>
    <m/>
    <n v="30"/>
    <m/>
    <m/>
    <m/>
    <m/>
    <m/>
    <m/>
    <x v="2"/>
    <x v="5"/>
    <m/>
    <m/>
    <m/>
    <s v="some families need new latrines the original place is close to their kitchen"/>
    <m/>
    <m/>
    <n v="30"/>
    <n v="0"/>
    <m/>
    <n v="3"/>
    <n v="1"/>
    <m/>
    <m/>
    <m/>
    <m/>
    <m/>
    <m/>
    <s v="no test"/>
    <s v="no test"/>
    <x v="1"/>
    <n v="0"/>
    <n v="0"/>
    <n v="1"/>
    <n v="0"/>
    <n v="0"/>
    <n v="0.2574002574002574"/>
    <n v="0.2574002574002574"/>
    <n v="0.2574002574002574"/>
    <n v="66.666666666666671"/>
    <n v="1"/>
    <n v="259"/>
    <n v="1"/>
    <n v="259"/>
    <n v="0.51800000000000002"/>
    <n v="0"/>
    <n v="0"/>
    <n v="0.48199999999999998"/>
    <n v="1"/>
    <n v="30"/>
    <n v="0.69498069498069504"/>
    <n v="180"/>
    <s v="N/A"/>
    <s v="NA"/>
    <n v="43"/>
    <n v="13"/>
    <n v="0.30501930501930496"/>
    <n v="0"/>
    <n v="259"/>
    <n v="0"/>
    <n v="0"/>
    <n v="0"/>
    <n v="259"/>
    <n v="1"/>
    <n v="0"/>
    <n v="1"/>
    <n v="0"/>
    <n v="0"/>
    <n v="0"/>
    <n v="0"/>
    <n v="0"/>
    <n v="0"/>
    <x v="0"/>
    <n v="0"/>
    <n v="0"/>
    <x v="2"/>
    <x v="6"/>
    <x v="0"/>
    <n v="0"/>
    <n v="0"/>
    <n v="0"/>
    <x v="0"/>
    <m/>
  </r>
  <r>
    <x v="1"/>
    <x v="37"/>
    <x v="38"/>
    <s v="GFFO, UNICEF"/>
    <x v="3"/>
    <x v="24"/>
    <x v="1"/>
    <x v="526"/>
    <n v="103"/>
    <n v="632"/>
    <s v="12/1/2017,2/1/2019"/>
    <s v="11/30/2019,1/31/2020"/>
    <n v="88"/>
    <m/>
    <m/>
    <m/>
    <s v="Yes"/>
    <n v="4"/>
    <n v="5"/>
    <m/>
    <m/>
    <m/>
    <m/>
    <m/>
    <m/>
    <n v="1"/>
    <n v="20"/>
    <m/>
    <m/>
    <m/>
    <m/>
    <m/>
    <n v="1"/>
    <m/>
    <n v="1"/>
    <m/>
    <n v="15"/>
    <m/>
    <n v="1"/>
    <m/>
    <m/>
    <n v="103"/>
    <m/>
    <m/>
    <m/>
    <m/>
    <m/>
    <m/>
    <m/>
    <x v="0"/>
    <x v="0"/>
    <m/>
    <m/>
    <m/>
    <m/>
    <n v="2"/>
    <m/>
    <m/>
    <m/>
    <m/>
    <m/>
    <n v="2"/>
    <n v="185"/>
    <n v="103"/>
    <m/>
    <m/>
    <n v="1"/>
    <m/>
    <n v="0"/>
    <n v="0"/>
    <x v="0"/>
    <n v="0"/>
    <n v="0"/>
    <n v="20"/>
    <n v="0"/>
    <n v="0"/>
    <n v="1"/>
    <n v="1"/>
    <n v="1"/>
    <n v="632"/>
    <n v="0"/>
    <n v="0"/>
    <n v="1"/>
    <n v="632"/>
    <n v="1.264"/>
    <n v="0"/>
    <n v="0"/>
    <n v="0"/>
    <n v="1"/>
    <n v="103"/>
    <n v="0.97784810126582278"/>
    <n v="618"/>
    <n v="0"/>
    <n v="0"/>
    <n v="105"/>
    <n v="2"/>
    <n v="2.2151898734177222E-2"/>
    <n v="0"/>
    <n v="632"/>
    <n v="632"/>
    <n v="632"/>
    <n v="632"/>
    <n v="632"/>
    <n v="1"/>
    <n v="0"/>
    <n v="1"/>
    <n v="1"/>
    <n v="1"/>
    <n v="2"/>
    <n v="40"/>
    <n v="0"/>
    <n v="200"/>
    <x v="1"/>
    <s v="Yes"/>
    <s v="KMSS-LSO"/>
    <x v="1"/>
    <x v="0"/>
    <x v="0"/>
    <n v="23.447111"/>
    <n v="97.868876999999998"/>
    <s v="MMR015CMP219"/>
    <x v="0"/>
    <m/>
  </r>
  <r>
    <x v="1"/>
    <x v="37"/>
    <x v="38"/>
    <s v="GFFO, UNICEF"/>
    <x v="3"/>
    <x v="24"/>
    <x v="1"/>
    <x v="527"/>
    <n v="33"/>
    <n v="196"/>
    <s v="12/1/2017,2/1/2019"/>
    <s v="11/30/2019,1/31/2020"/>
    <n v="44"/>
    <m/>
    <m/>
    <m/>
    <s v="Yes"/>
    <n v="5"/>
    <n v="4"/>
    <m/>
    <m/>
    <m/>
    <m/>
    <m/>
    <n v="1"/>
    <m/>
    <n v="16"/>
    <m/>
    <m/>
    <m/>
    <m/>
    <m/>
    <n v="1"/>
    <n v="1"/>
    <n v="1"/>
    <m/>
    <m/>
    <m/>
    <m/>
    <m/>
    <m/>
    <n v="36"/>
    <m/>
    <m/>
    <m/>
    <m/>
    <m/>
    <m/>
    <m/>
    <x v="3"/>
    <x v="3"/>
    <m/>
    <m/>
    <m/>
    <m/>
    <m/>
    <m/>
    <m/>
    <m/>
    <m/>
    <m/>
    <n v="1"/>
    <n v="36"/>
    <n v="36"/>
    <m/>
    <m/>
    <n v="0.5"/>
    <m/>
    <n v="0"/>
    <s v="no test"/>
    <x v="0"/>
    <n v="0"/>
    <n v="-1"/>
    <n v="16"/>
    <n v="0"/>
    <n v="0"/>
    <n v="1"/>
    <n v="1"/>
    <n v="1"/>
    <n v="196"/>
    <n v="0"/>
    <n v="0"/>
    <n v="1"/>
    <n v="196"/>
    <n v="0.39200000000000002"/>
    <n v="0"/>
    <n v="0"/>
    <n v="0.60799999999999998"/>
    <n v="1"/>
    <n v="36"/>
    <n v="1"/>
    <n v="196"/>
    <n v="0"/>
    <n v="0"/>
    <n v="10"/>
    <n v="0"/>
    <n v="0"/>
    <n v="0"/>
    <n v="196"/>
    <n v="180"/>
    <n v="180"/>
    <n v="180"/>
    <n v="196"/>
    <n v="1"/>
    <n v="0"/>
    <n v="1"/>
    <n v="1"/>
    <n v="1"/>
    <n v="0"/>
    <n v="0"/>
    <n v="0"/>
    <n v="0"/>
    <x v="1"/>
    <s v="Yes"/>
    <s v="KMSS-LSO"/>
    <x v="0"/>
    <x v="0"/>
    <x v="0"/>
    <n v="0"/>
    <n v="0"/>
    <s v="MMR015CMP249"/>
    <x v="0"/>
    <m/>
  </r>
  <r>
    <x v="1"/>
    <x v="1"/>
    <x v="1"/>
    <s v="UNICEF"/>
    <x v="3"/>
    <x v="26"/>
    <x v="1"/>
    <x v="528"/>
    <n v="6"/>
    <n v="27"/>
    <d v="2019-02-01T00:00:00"/>
    <d v="2020-01-31T00:00:00"/>
    <n v="6"/>
    <m/>
    <m/>
    <m/>
    <m/>
    <m/>
    <m/>
    <m/>
    <m/>
    <m/>
    <m/>
    <m/>
    <m/>
    <m/>
    <m/>
    <m/>
    <m/>
    <m/>
    <m/>
    <m/>
    <m/>
    <m/>
    <m/>
    <m/>
    <m/>
    <m/>
    <m/>
    <m/>
    <m/>
    <n v="6"/>
    <m/>
    <m/>
    <m/>
    <m/>
    <m/>
    <m/>
    <m/>
    <x v="2"/>
    <x v="3"/>
    <m/>
    <m/>
    <m/>
    <m/>
    <m/>
    <m/>
    <m/>
    <m/>
    <m/>
    <m/>
    <m/>
    <n v="6"/>
    <n v="6"/>
    <m/>
    <n v="37"/>
    <m/>
    <m/>
    <s v="no test"/>
    <s v="no test"/>
    <x v="1"/>
    <n v="0"/>
    <n v="0"/>
    <n v="0"/>
    <n v="0"/>
    <n v="0"/>
    <n v="0"/>
    <n v="0"/>
    <n v="0"/>
    <n v="0"/>
    <n v="0"/>
    <n v="0"/>
    <n v="0"/>
    <n v="0"/>
    <n v="0"/>
    <n v="1"/>
    <n v="27"/>
    <n v="1"/>
    <n v="1"/>
    <n v="6"/>
    <n v="1"/>
    <n v="27"/>
    <n v="0"/>
    <n v="0"/>
    <n v="1"/>
    <n v="0"/>
    <n v="0"/>
    <n v="0"/>
    <n v="0"/>
    <n v="27"/>
    <n v="27"/>
    <n v="27"/>
    <n v="27"/>
    <n v="1"/>
    <n v="0"/>
    <n v="0"/>
    <n v="1"/>
    <n v="1"/>
    <n v="0"/>
    <n v="0"/>
    <n v="0"/>
    <n v="0"/>
    <x v="1"/>
    <n v="0"/>
    <s v="uncovered"/>
    <x v="0"/>
    <x v="2"/>
    <x v="0"/>
    <n v="22.765999999999998"/>
    <n v="97.358999999999995"/>
    <s v="MMR015CMP221"/>
    <x v="0"/>
    <m/>
  </r>
  <r>
    <x v="1"/>
    <x v="9"/>
    <x v="9"/>
    <s v="Germany FFO"/>
    <x v="3"/>
    <x v="27"/>
    <x v="3"/>
    <x v="531"/>
    <n v="53"/>
    <n v="194"/>
    <d v="2017-12-31T00:00:00"/>
    <d v="2019-11-30T00:00:00"/>
    <m/>
    <m/>
    <m/>
    <m/>
    <m/>
    <m/>
    <m/>
    <m/>
    <m/>
    <m/>
    <m/>
    <m/>
    <m/>
    <m/>
    <m/>
    <m/>
    <m/>
    <m/>
    <m/>
    <m/>
    <m/>
    <m/>
    <m/>
    <m/>
    <m/>
    <m/>
    <m/>
    <m/>
    <m/>
    <m/>
    <m/>
    <m/>
    <m/>
    <m/>
    <m/>
    <m/>
    <m/>
    <x v="3"/>
    <x v="2"/>
    <m/>
    <m/>
    <m/>
    <m/>
    <m/>
    <m/>
    <m/>
    <m/>
    <m/>
    <m/>
    <m/>
    <m/>
    <m/>
    <m/>
    <m/>
    <m/>
    <m/>
    <s v="no test"/>
    <s v="no test"/>
    <x v="1"/>
    <n v="0"/>
    <n v="0"/>
    <n v="0"/>
    <n v="0"/>
    <n v="0"/>
    <n v="0"/>
    <n v="0"/>
    <n v="0"/>
    <n v="0"/>
    <n v="0"/>
    <n v="0"/>
    <n v="0"/>
    <n v="0"/>
    <n v="0"/>
    <n v="1"/>
    <n v="194"/>
    <n v="1"/>
    <n v="1"/>
    <n v="0"/>
    <n v="0"/>
    <n v="0"/>
    <n v="0"/>
    <n v="0"/>
    <n v="4"/>
    <n v="4"/>
    <n v="1"/>
    <n v="0"/>
    <n v="0"/>
    <n v="0"/>
    <n v="0"/>
    <n v="0"/>
    <n v="0"/>
    <n v="0"/>
    <n v="1"/>
    <n v="0"/>
    <n v="0"/>
    <n v="0"/>
    <n v="0"/>
    <n v="0"/>
    <n v="0"/>
    <n v="0"/>
    <x v="0"/>
    <n v="0"/>
    <n v="0"/>
    <x v="3"/>
    <x v="8"/>
    <x v="0"/>
    <n v="0"/>
    <n v="0"/>
    <n v="0"/>
    <x v="0"/>
    <m/>
  </r>
  <r>
    <x v="1"/>
    <x v="37"/>
    <x v="38"/>
    <s v="GFFO,UNICEF"/>
    <x v="3"/>
    <x v="30"/>
    <x v="1"/>
    <x v="529"/>
    <n v="38"/>
    <n v="183"/>
    <s v="12/1/2017,2/1/2019"/>
    <s v="11/30/2019,1/31/2020"/>
    <n v="55"/>
    <m/>
    <m/>
    <m/>
    <s v="Yes"/>
    <n v="4"/>
    <n v="4"/>
    <n v="1"/>
    <m/>
    <m/>
    <n v="1"/>
    <m/>
    <m/>
    <m/>
    <n v="13"/>
    <n v="13"/>
    <m/>
    <m/>
    <m/>
    <m/>
    <n v="1"/>
    <m/>
    <n v="1"/>
    <m/>
    <n v="15"/>
    <m/>
    <m/>
    <m/>
    <m/>
    <n v="27"/>
    <n v="9"/>
    <m/>
    <m/>
    <m/>
    <m/>
    <m/>
    <m/>
    <x v="2"/>
    <x v="4"/>
    <m/>
    <m/>
    <m/>
    <s v="Drinking water problem"/>
    <m/>
    <m/>
    <m/>
    <m/>
    <m/>
    <m/>
    <n v="1"/>
    <n v="61"/>
    <n v="61"/>
    <m/>
    <m/>
    <n v="0.5"/>
    <m/>
    <n v="0"/>
    <n v="0"/>
    <x v="0"/>
    <n v="1"/>
    <n v="1"/>
    <n v="0"/>
    <n v="0"/>
    <n v="0"/>
    <n v="1"/>
    <n v="1"/>
    <n v="1"/>
    <n v="183"/>
    <n v="0"/>
    <n v="0"/>
    <n v="1"/>
    <n v="183"/>
    <n v="0.36599999999999999"/>
    <n v="0"/>
    <n v="0"/>
    <n v="0.63400000000000001"/>
    <n v="1"/>
    <n v="36"/>
    <n v="1"/>
    <n v="183"/>
    <n v="0"/>
    <n v="0"/>
    <n v="9"/>
    <n v="0"/>
    <n v="0"/>
    <n v="0"/>
    <n v="183"/>
    <n v="183"/>
    <n v="183"/>
    <n v="183"/>
    <n v="183"/>
    <n v="1"/>
    <n v="0"/>
    <n v="1"/>
    <n v="1"/>
    <n v="1"/>
    <n v="0"/>
    <n v="0"/>
    <n v="0"/>
    <n v="0"/>
    <x v="1"/>
    <n v="0"/>
    <n v="0"/>
    <x v="0"/>
    <x v="4"/>
    <x v="0"/>
    <n v="23.353999999999999"/>
    <n v="98.221000000000004"/>
    <s v="MMR015CMP226"/>
    <x v="0"/>
    <m/>
  </r>
  <r>
    <x v="1"/>
    <x v="37"/>
    <x v="38"/>
    <s v="GFFO, (UNICEF, WHH(AA))"/>
    <x v="3"/>
    <x v="24"/>
    <x v="1"/>
    <x v="530"/>
    <n v="205"/>
    <n v="1077"/>
    <s v="12/1/2017,(2/1/2019,8/1/18)"/>
    <s v="11/30/2019,(1/31/2020,9/30/2020)"/>
    <n v="328"/>
    <m/>
    <m/>
    <m/>
    <s v="Yes"/>
    <n v="5"/>
    <n v="4"/>
    <m/>
    <m/>
    <m/>
    <n v="1"/>
    <m/>
    <m/>
    <m/>
    <n v="99"/>
    <m/>
    <m/>
    <m/>
    <m/>
    <m/>
    <n v="1"/>
    <m/>
    <n v="1"/>
    <m/>
    <n v="30"/>
    <m/>
    <m/>
    <m/>
    <m/>
    <n v="179"/>
    <n v="26"/>
    <m/>
    <m/>
    <n v="26"/>
    <m/>
    <m/>
    <m/>
    <x v="2"/>
    <x v="4"/>
    <m/>
    <m/>
    <m/>
    <s v="most of the lartines are needed to repair"/>
    <n v="2"/>
    <m/>
    <m/>
    <n v="2"/>
    <m/>
    <m/>
    <n v="2"/>
    <n v="362"/>
    <n v="198"/>
    <m/>
    <m/>
    <n v="0.5"/>
    <m/>
    <n v="0"/>
    <n v="0"/>
    <x v="0"/>
    <n v="0"/>
    <n v="1"/>
    <n v="99"/>
    <n v="0"/>
    <n v="0"/>
    <n v="1"/>
    <n v="1"/>
    <n v="1"/>
    <n v="1077"/>
    <n v="0"/>
    <n v="0"/>
    <n v="1"/>
    <n v="1077"/>
    <n v="2.1539999999999999"/>
    <n v="0"/>
    <n v="0"/>
    <n v="0"/>
    <n v="2"/>
    <n v="205"/>
    <n v="1"/>
    <n v="1077"/>
    <n v="0"/>
    <n v="0"/>
    <n v="180"/>
    <n v="0"/>
    <n v="0"/>
    <n v="0"/>
    <n v="1000"/>
    <n v="1077"/>
    <n v="990"/>
    <n v="1077"/>
    <n v="1077"/>
    <n v="1"/>
    <n v="0"/>
    <n v="0.92850510677808729"/>
    <n v="1"/>
    <n v="0.96585365853658534"/>
    <n v="2"/>
    <n v="40"/>
    <n v="0"/>
    <n v="200"/>
    <x v="1"/>
    <s v="Yes"/>
    <s v="KBC-NSS"/>
    <x v="1"/>
    <x v="0"/>
    <x v="0"/>
    <n v="23.38503"/>
    <n v="97.837040000000002"/>
    <s v="MMR015CMP02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3205A5-E92E-460D-8B6D-42700C55E7F7}" name="PivotTable13"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AE17:AI18" firstHeaderRow="0" firstDataRow="1" firstDataCol="1" rowPageCount="3" colPageCount="1"/>
  <pivotFields count="131">
    <pivotField axis="axisRow" compact="0" outline="0" subtotalTop="0" showAll="0">
      <items count="13">
        <item m="1" x="10"/>
        <item m="1" x="5"/>
        <item m="1" x="2"/>
        <item m="1" x="4"/>
        <item m="1" x="11"/>
        <item m="1" x="3"/>
        <item m="1" x="9"/>
        <item m="1" x="6"/>
        <item m="1" x="7"/>
        <item m="1" x="8"/>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h="1" x="1"/>
        <item h="1" x="0"/>
        <item m="1" x="9"/>
        <item h="1" x="2"/>
        <item h="1" x="4"/>
        <item m="1" x="6"/>
        <item m="1" x="8"/>
        <item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6">
    <format dxfId="666">
      <pivotArea field="4" type="button" dataOnly="0" labelOnly="1" outline="0" axis="axisPage" fieldPosition="1"/>
    </format>
    <format dxfId="665">
      <pivotArea type="all" dataOnly="0" outline="0" fieldPosition="0"/>
    </format>
    <format dxfId="664">
      <pivotArea field="4" type="button" dataOnly="0" labelOnly="1" outline="0" axis="axisPage" fieldPosition="1"/>
    </format>
    <format dxfId="663">
      <pivotArea outline="0" fieldPosition="0">
        <references count="1">
          <reference field="4294967294" count="1">
            <x v="0"/>
          </reference>
        </references>
      </pivotArea>
    </format>
    <format dxfId="662">
      <pivotArea dataOnly="0" labelOnly="1" outline="0" fieldPosition="0">
        <references count="1">
          <reference field="4294967294" count="1">
            <x v="0"/>
          </reference>
        </references>
      </pivotArea>
    </format>
    <format dxfId="661">
      <pivotArea type="all" dataOnly="0" outline="0" fieldPosition="0"/>
    </format>
    <format dxfId="660">
      <pivotArea outline="0" collapsedLevelsAreSubtotals="1" fieldPosition="0"/>
    </format>
    <format dxfId="659">
      <pivotArea dataOnly="0" labelOnly="1" fieldPosition="0">
        <references count="1">
          <reference field="4" count="0"/>
        </references>
      </pivotArea>
    </format>
    <format dxfId="658">
      <pivotArea dataOnly="0" labelOnly="1" grandRow="1" outline="0" fieldPosition="0"/>
    </format>
    <format dxfId="657">
      <pivotArea dataOnly="0" labelOnly="1" outline="0" fieldPosition="0">
        <references count="1">
          <reference field="4294967294" count="1">
            <x v="0"/>
          </reference>
        </references>
      </pivotArea>
    </format>
    <format dxfId="656">
      <pivotArea type="all" dataOnly="0" outline="0" fieldPosition="0"/>
    </format>
    <format dxfId="655">
      <pivotArea outline="0" collapsedLevelsAreSubtotals="1" fieldPosition="0"/>
    </format>
    <format dxfId="654">
      <pivotArea dataOnly="0" labelOnly="1" fieldPosition="0">
        <references count="1">
          <reference field="4" count="0"/>
        </references>
      </pivotArea>
    </format>
    <format dxfId="653">
      <pivotArea dataOnly="0" labelOnly="1" grandRow="1" outline="0" fieldPosition="0"/>
    </format>
    <format dxfId="652">
      <pivotArea dataOnly="0" labelOnly="1" outline="0" fieldPosition="0">
        <references count="1">
          <reference field="4294967294" count="1">
            <x v="0"/>
          </reference>
        </references>
      </pivotArea>
    </format>
    <format dxfId="651">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HRP_2"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17:J19" firstHeaderRow="0" firstDataRow="1" firstDataCol="1" rowPageCount="3" colPageCount="1"/>
  <pivotFields count="131">
    <pivotField axis="axisPage" subtotalTop="0" showAll="0">
      <items count="13">
        <item m="1" x="10"/>
        <item m="1" x="5"/>
        <item m="1" x="2"/>
        <item m="1" x="4"/>
        <item m="1" x="11"/>
        <item m="1" x="3"/>
        <item m="1" x="9"/>
        <item m="1" x="6"/>
        <item m="1" x="7"/>
        <item m="1" x="8"/>
        <item x="0"/>
        <item x="1"/>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h="1" x="1"/>
        <item h="1" x="0"/>
        <item h="1" m="1" x="9"/>
        <item x="2"/>
        <item h="1" x="4"/>
        <item h="1" m="1" x="6"/>
        <item m="1" x="8"/>
        <item m="1" x="5"/>
        <item h="1" m="1" x="7"/>
        <item h="1" x="3"/>
      </items>
    </pivotField>
    <pivotField subtotalTop="0" showAll="0"/>
    <pivotField subtotalTop="0" showAll="0"/>
    <pivotField dataField="1" subtotalTop="0" showAll="0"/>
    <pivotField showAll="0" defaultSubtotal="0"/>
    <pivotField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dataField="1"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8">
    <i>
      <x/>
    </i>
    <i i="1">
      <x v="1"/>
    </i>
    <i i="2">
      <x v="2"/>
    </i>
    <i i="3">
      <x v="3"/>
    </i>
    <i i="4">
      <x v="4"/>
    </i>
    <i i="5">
      <x v="5"/>
    </i>
    <i i="6">
      <x v="6"/>
    </i>
    <i i="7">
      <x v="7"/>
    </i>
  </colItems>
  <pageFields count="3">
    <pageField fld="0" item="11" hier="-1"/>
    <pageField fld="121" item="0" hier="-1"/>
    <pageField fld="6" hier="-1"/>
  </pageFields>
  <dataFields count="8">
    <dataField name="Total Population reached" fld="9" baseField="2" baseItem="0" numFmtId="164"/>
    <dataField name=" HRP1" fld="83" baseField="4" baseItem="0" numFmtId="164"/>
    <dataField name=" HRP2" fld="91" baseField="4" baseItem="0" numFmtId="164"/>
    <dataField name=" HRP3" fld="102" baseField="4" baseItem="0" numFmtId="164"/>
    <dataField name=" # People received regular supply of hygiene items" fld="101" baseField="4" baseItem="2" numFmtId="164"/>
    <dataField name=" # people reached by regular dedicated hygiene promotion" fld="98" baseField="0" baseItem="0" numFmtId="164"/>
    <dataField name=" # People access to Handwashing Station" fld="111" baseField="0" baseItem="0" numFmtId="164"/>
    <dataField name=" #_students at TLS_CFS" fld="12" baseField="0" baseItem="0" numFmtId="164"/>
  </dataFields>
  <formats count="42">
    <format dxfId="886">
      <pivotArea field="4" type="button" dataOnly="0" labelOnly="1" outline="0" axis="axisRow" fieldPosition="0"/>
    </format>
    <format dxfId="885">
      <pivotArea type="all" dataOnly="0" outline="0" fieldPosition="0"/>
    </format>
    <format dxfId="884">
      <pivotArea outline="0" fieldPosition="0">
        <references count="1">
          <reference field="4294967294" count="1">
            <x v="0"/>
          </reference>
        </references>
      </pivotArea>
    </format>
    <format dxfId="883">
      <pivotArea dataOnly="0" labelOnly="1" outline="0" fieldPosition="0">
        <references count="1">
          <reference field="4294967294" count="1">
            <x v="0"/>
          </reference>
        </references>
      </pivotArea>
    </format>
    <format dxfId="882">
      <pivotArea type="all" dataOnly="0" outline="0" fieldPosition="0"/>
    </format>
    <format dxfId="881">
      <pivotArea outline="0" collapsedLevelsAreSubtotals="1" fieldPosition="0"/>
    </format>
    <format dxfId="880">
      <pivotArea field="4" type="button" dataOnly="0" labelOnly="1" outline="0" axis="axisRow" fieldPosition="0"/>
    </format>
    <format dxfId="879">
      <pivotArea dataOnly="0" labelOnly="1" fieldPosition="0">
        <references count="1">
          <reference field="4" count="1">
            <x v="1"/>
          </reference>
        </references>
      </pivotArea>
    </format>
    <format dxfId="878">
      <pivotArea dataOnly="0" labelOnly="1" grandRow="1" outline="0" fieldPosition="0"/>
    </format>
    <format dxfId="877">
      <pivotArea dataOnly="0" labelOnly="1" outline="0" fieldPosition="0">
        <references count="1">
          <reference field="4294967294" count="1">
            <x v="0"/>
          </reference>
        </references>
      </pivotArea>
    </format>
    <format dxfId="876">
      <pivotArea type="all" dataOnly="0" outline="0" fieldPosition="0"/>
    </format>
    <format dxfId="875">
      <pivotArea outline="0" collapsedLevelsAreSubtotals="1" fieldPosition="0"/>
    </format>
    <format dxfId="874">
      <pivotArea field="4" type="button" dataOnly="0" labelOnly="1" outline="0" axis="axisRow" fieldPosition="0"/>
    </format>
    <format dxfId="873">
      <pivotArea dataOnly="0" labelOnly="1" fieldPosition="0">
        <references count="1">
          <reference field="4" count="1">
            <x v="1"/>
          </reference>
        </references>
      </pivotArea>
    </format>
    <format dxfId="872">
      <pivotArea dataOnly="0" labelOnly="1" grandRow="1" outline="0" fieldPosition="0"/>
    </format>
    <format dxfId="871">
      <pivotArea dataOnly="0" labelOnly="1" outline="0" fieldPosition="0">
        <references count="1">
          <reference field="4294967294" count="1">
            <x v="0"/>
          </reference>
        </references>
      </pivotArea>
    </format>
    <format dxfId="870">
      <pivotArea field="0" type="button" dataOnly="0" labelOnly="1" outline="0" axis="axisPage" fieldPosition="0"/>
    </format>
    <format dxfId="869">
      <pivotArea field="0" type="button" dataOnly="0" labelOnly="1" outline="0" axis="axisPage" fieldPosition="0"/>
    </format>
    <format dxfId="868">
      <pivotArea outline="0" collapsedLevelsAreSubtotals="1" fieldPosition="0">
        <references count="1">
          <reference field="4294967294" count="3" selected="0">
            <x v="1"/>
            <x v="2"/>
            <x v="3"/>
          </reference>
        </references>
      </pivotArea>
    </format>
    <format dxfId="867">
      <pivotArea dataOnly="0" labelOnly="1" outline="0" fieldPosition="0">
        <references count="1">
          <reference field="4294967294" count="1">
            <x v="0"/>
          </reference>
        </references>
      </pivotArea>
    </format>
    <format dxfId="866">
      <pivotArea outline="0" collapsedLevelsAreSubtotals="1" fieldPosition="0">
        <references count="1">
          <reference field="4294967294" count="3" selected="0">
            <x v="1"/>
            <x v="2"/>
            <x v="3"/>
          </reference>
        </references>
      </pivotArea>
    </format>
    <format dxfId="865">
      <pivotArea dataOnly="0" labelOnly="1" outline="0" fieldPosition="0">
        <references count="1">
          <reference field="4294967294" count="3">
            <x v="1"/>
            <x v="2"/>
            <x v="3"/>
          </reference>
        </references>
      </pivotArea>
    </format>
    <format dxfId="864">
      <pivotArea outline="0" collapsedLevelsAreSubtotals="1" fieldPosition="0">
        <references count="1">
          <reference field="4294967294" count="1" selected="0">
            <x v="0"/>
          </reference>
        </references>
      </pivotArea>
    </format>
    <format dxfId="863">
      <pivotArea outline="0" collapsedLevelsAreSubtotals="1" fieldPosition="0">
        <references count="1">
          <reference field="4294967294" count="3" selected="0">
            <x v="1"/>
            <x v="2"/>
            <x v="3"/>
          </reference>
        </references>
      </pivotArea>
    </format>
    <format dxfId="862">
      <pivotArea dataOnly="0" labelOnly="1" outline="0" fieldPosition="0">
        <references count="1">
          <reference field="4294967294" count="5">
            <x v="0"/>
            <x v="1"/>
            <x v="2"/>
            <x v="3"/>
            <x v="7"/>
          </reference>
        </references>
      </pivotArea>
    </format>
    <format dxfId="861">
      <pivotArea dataOnly="0" labelOnly="1" outline="0" fieldPosition="0">
        <references count="1">
          <reference field="4294967294" count="1">
            <x v="7"/>
          </reference>
        </references>
      </pivotArea>
    </format>
    <format dxfId="860">
      <pivotArea dataOnly="0" labelOnly="1" outline="0" fieldPosition="0">
        <references count="1">
          <reference field="4294967294" count="1">
            <x v="7"/>
          </reference>
        </references>
      </pivotArea>
    </format>
    <format dxfId="859">
      <pivotArea collapsedLevelsAreSubtotals="1" fieldPosition="0">
        <references count="2">
          <reference field="4294967294" count="1" selected="0">
            <x v="7"/>
          </reference>
          <reference field="4" count="1">
            <x v="2"/>
          </reference>
        </references>
      </pivotArea>
    </format>
    <format dxfId="858">
      <pivotArea field="4" grandRow="1" outline="0" collapsedLevelsAreSubtotals="1" axis="axisRow" fieldPosition="0">
        <references count="1">
          <reference field="4294967294" count="1" selected="0">
            <x v="7"/>
          </reference>
        </references>
      </pivotArea>
    </format>
    <format dxfId="857">
      <pivotArea dataOnly="0" labelOnly="1" outline="0" fieldPosition="0">
        <references count="1">
          <reference field="4294967294" count="1">
            <x v="3"/>
          </reference>
        </references>
      </pivotArea>
    </format>
    <format dxfId="856">
      <pivotArea dataOnly="0" labelOnly="1" outline="0" fieldPosition="0">
        <references count="1">
          <reference field="4294967294" count="1">
            <x v="2"/>
          </reference>
        </references>
      </pivotArea>
    </format>
    <format dxfId="855">
      <pivotArea dataOnly="0" labelOnly="1" outline="0" fieldPosition="0">
        <references count="1">
          <reference field="4294967294" count="1">
            <x v="4"/>
          </reference>
        </references>
      </pivotArea>
    </format>
    <format dxfId="854">
      <pivotArea outline="0" collapsedLevelsAreSubtotals="1" fieldPosition="0">
        <references count="1">
          <reference field="4294967294" count="4" selected="0">
            <x v="4"/>
            <x v="5"/>
            <x v="6"/>
            <x v="7"/>
          </reference>
        </references>
      </pivotArea>
    </format>
    <format dxfId="853">
      <pivotArea dataOnly="0" labelOnly="1" outline="0" fieldPosition="0">
        <references count="1">
          <reference field="4294967294" count="4">
            <x v="4"/>
            <x v="5"/>
            <x v="6"/>
            <x v="7"/>
          </reference>
        </references>
      </pivotArea>
    </format>
    <format dxfId="852">
      <pivotArea outline="0" collapsedLevelsAreSubtotals="1" fieldPosition="0">
        <references count="1">
          <reference field="4294967294" count="4" selected="0">
            <x v="4"/>
            <x v="5"/>
            <x v="6"/>
            <x v="7"/>
          </reference>
        </references>
      </pivotArea>
    </format>
    <format dxfId="851">
      <pivotArea dataOnly="0" labelOnly="1" outline="0" fieldPosition="0">
        <references count="1">
          <reference field="4294967294" count="4">
            <x v="4"/>
            <x v="5"/>
            <x v="6"/>
            <x v="7"/>
          </reference>
        </references>
      </pivotArea>
    </format>
    <format dxfId="850">
      <pivotArea dataOnly="0" labelOnly="1" outline="0" fieldPosition="0">
        <references count="1">
          <reference field="4294967294" count="2">
            <x v="5"/>
            <x v="6"/>
          </reference>
        </references>
      </pivotArea>
    </format>
    <format dxfId="849">
      <pivotArea outline="0" collapsedLevelsAreSubtotals="1" fieldPosition="0">
        <references count="1">
          <reference field="4294967294" count="4" selected="0">
            <x v="4"/>
            <x v="5"/>
            <x v="6"/>
            <x v="7"/>
          </reference>
        </references>
      </pivotArea>
    </format>
    <format dxfId="848">
      <pivotArea outline="0" collapsedLevelsAreSubtotals="1" fieldPosition="0">
        <references count="1">
          <reference field="4294967294" count="1" selected="0">
            <x v="2"/>
          </reference>
        </references>
      </pivotArea>
    </format>
    <format dxfId="847">
      <pivotArea dataOnly="0" labelOnly="1" outline="0" fieldPosition="0">
        <references count="1">
          <reference field="4294967294" count="1">
            <x v="2"/>
          </reference>
        </references>
      </pivotArea>
    </format>
    <format dxfId="846">
      <pivotArea outline="0" collapsedLevelsAreSubtotals="1" fieldPosition="0">
        <references count="1">
          <reference field="4294967294" count="1" selected="0">
            <x v="3"/>
          </reference>
        </references>
      </pivotArea>
    </format>
    <format dxfId="845">
      <pivotArea dataOnly="0" labelOnly="1" outline="0" fieldPosition="0">
        <references count="1">
          <reference field="4294967294" count="1">
            <x v="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F315799-61F1-4D5F-97DF-F99E196AC441}" name="PivotTable19" cacheId="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rowHeaderCaption="Township">
  <location ref="A7:B8" firstHeaderRow="1" firstDataRow="1" firstDataCol="2" rowPageCount="4" colPageCount="1"/>
  <pivotFields count="131">
    <pivotField axis="axisPage" compact="0" outline="0" subtotalTop="0" multipleItemSelectionAllowed="1" showAll="0" defaultSubtotal="0">
      <items count="12">
        <item m="1" x="10"/>
        <item m="1" x="4"/>
        <item h="1" m="1" x="5"/>
        <item m="1" x="2"/>
        <item m="1" x="11"/>
        <item m="1" x="3"/>
        <item m="1" x="9"/>
        <item h="1" m="1" x="6"/>
        <item h="1" m="1" x="7"/>
        <item m="1" x="8"/>
        <item h="1"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6">
        <item x="17"/>
        <item x="14"/>
        <item x="22"/>
        <item x="20"/>
        <item x="16"/>
        <item x="4"/>
        <item x="8"/>
        <item x="3"/>
        <item x="12"/>
        <item x="23"/>
        <item x="1"/>
        <item x="6"/>
        <item x="10"/>
        <item x="28"/>
        <item x="2"/>
        <item x="18"/>
        <item x="15"/>
        <item x="19"/>
        <item x="21"/>
        <item x="9"/>
        <item x="38"/>
        <item x="5"/>
        <item x="0"/>
        <item x="11"/>
        <item x="13"/>
        <item x="7"/>
        <item x="33"/>
        <item x="29"/>
        <item m="1" x="45"/>
        <item m="1" x="43"/>
        <item x="24"/>
        <item x="34"/>
        <item x="27"/>
        <item x="32"/>
        <item x="25"/>
        <item m="1" x="42"/>
        <item x="26"/>
        <item x="30"/>
        <item x="31"/>
        <item x="35"/>
        <item x="36"/>
        <item x="37"/>
        <item m="1" x="44"/>
        <item x="40"/>
        <item x="41"/>
        <item x="39"/>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x="0"/>
        <item h="1" m="1" x="5"/>
        <item x="3"/>
        <item h="1" m="1" x="4"/>
        <item h="1" x="1"/>
        <item h="1" x="2"/>
      </items>
      <extLst>
        <ext xmlns:x14="http://schemas.microsoft.com/office/spreadsheetml/2009/9/main" uri="{2946ED86-A175-432a-8AC1-64E0C546D7DE}">
          <x14:pivotField fillDownLabels="1"/>
        </ext>
      </extLst>
    </pivotField>
    <pivotField axis="axisRow" compact="0" outline="0" subtotalTop="0" showAll="0" sortType="ascending" defaultSubtotal="0">
      <items count="42">
        <item m="1" x="37"/>
        <item x="0"/>
        <item x="14"/>
        <item m="1" x="39"/>
        <item x="5"/>
        <item x="6"/>
        <item x="30"/>
        <item x="27"/>
        <item x="24"/>
        <item x="17"/>
        <item x="16"/>
        <item x="32"/>
        <item x="31"/>
        <item m="1" x="40"/>
        <item x="9"/>
        <item x="28"/>
        <item x="15"/>
        <item x="19"/>
        <item x="7"/>
        <item x="8"/>
        <item m="1" x="35"/>
        <item x="1"/>
        <item x="22"/>
        <item x="25"/>
        <item x="20"/>
        <item x="3"/>
        <item m="1" x="38"/>
        <item x="29"/>
        <item x="26"/>
        <item x="33"/>
        <item m="1" x="36"/>
        <item x="13"/>
        <item x="23"/>
        <item x="10"/>
        <item m="1" x="41"/>
        <item x="21"/>
        <item x="4"/>
        <item x="18"/>
        <item x="11"/>
        <item x="12"/>
        <item x="2"/>
        <item m="1" x="34"/>
      </items>
      <extLst>
        <ext xmlns:x14="http://schemas.microsoft.com/office/spreadsheetml/2009/9/main" uri="{2946ED86-A175-432a-8AC1-64E0C546D7DE}">
          <x14:pivotField fillDownLabels="1"/>
        </ext>
      </extLst>
    </pivotField>
    <pivotField axis="axisPage" compact="0" outline="0" multipleItemSelectionAllowed="1" showAll="0" defaultSubtotal="0">
      <items count="10">
        <item h="1" x="1"/>
        <item h="1" x="0"/>
        <item m="1" x="9"/>
        <item m="1" x="6"/>
        <item h="1" m="1" x="5"/>
        <item x="2"/>
        <item h="1" m="1" x="8"/>
        <item h="1" x="4"/>
        <item m="1" x="7"/>
        <item h="1"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4">
        <item x="0"/>
        <item x="1"/>
        <item m="1" x="3"/>
        <item m="1"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2">
    <field x="5"/>
    <field x="2"/>
  </rowFields>
  <rowItems count="1">
    <i>
      <x v="12"/>
      <x v="45"/>
    </i>
  </rowItems>
  <colItems count="1">
    <i/>
  </colItems>
  <pageFields count="4">
    <pageField fld="0" hier="-1"/>
    <pageField fld="121" item="0" hier="-1"/>
    <pageField fld="6" hier="-1"/>
    <pageField fld="4" hier="-1"/>
  </pageFields>
  <formats count="28">
    <format dxfId="650">
      <pivotArea type="all" dataOnly="0" outline="0" fieldPosition="0"/>
    </format>
    <format dxfId="649">
      <pivotArea outline="0" collapsedLevelsAreSubtotals="1" fieldPosition="0"/>
    </format>
    <format dxfId="648">
      <pivotArea field="5" type="button" dataOnly="0" labelOnly="1" outline="0" axis="axisRow" fieldPosition="0"/>
    </format>
    <format dxfId="647">
      <pivotArea dataOnly="0" labelOnly="1" outline="0" axis="axisValues" fieldPosition="0"/>
    </format>
    <format dxfId="646">
      <pivotArea dataOnly="0" labelOnly="1" fieldPosition="0">
        <references count="1">
          <reference field="5" count="0"/>
        </references>
      </pivotArea>
    </format>
    <format dxfId="645">
      <pivotArea dataOnly="0" labelOnly="1" grandRow="1" outline="0" fieldPosition="0"/>
    </format>
    <format dxfId="644">
      <pivotArea dataOnly="0" labelOnly="1" outline="0" axis="axisValues" fieldPosition="0"/>
    </format>
    <format dxfId="643">
      <pivotArea type="all" dataOnly="0" outline="0" fieldPosition="0"/>
    </format>
    <format dxfId="642">
      <pivotArea field="5" type="button" dataOnly="0" labelOnly="1" outline="0" axis="axisRow" fieldPosition="0"/>
    </format>
    <format dxfId="641">
      <pivotArea dataOnly="0" labelOnly="1" outline="0" axis="axisValues" fieldPosition="0"/>
    </format>
    <format dxfId="640">
      <pivotArea dataOnly="0" labelOnly="1" fieldPosition="0">
        <references count="1">
          <reference field="5" count="0"/>
        </references>
      </pivotArea>
    </format>
    <format dxfId="639">
      <pivotArea dataOnly="0" labelOnly="1" outline="0" axis="axisValues" fieldPosition="0"/>
    </format>
    <format dxfId="638">
      <pivotArea field="5" type="button" dataOnly="0" labelOnly="1" outline="0" axis="axisRow" fieldPosition="0"/>
    </format>
    <format dxfId="637">
      <pivotArea type="all" dataOnly="0" outline="0" fieldPosition="0"/>
    </format>
    <format dxfId="636">
      <pivotArea field="5" type="button" dataOnly="0" labelOnly="1" outline="0" axis="axisRow" fieldPosition="0"/>
    </format>
    <format dxfId="635">
      <pivotArea dataOnly="0" labelOnly="1" fieldPosition="0">
        <references count="1">
          <reference field="5" count="0"/>
        </references>
      </pivotArea>
    </format>
    <format dxfId="634">
      <pivotArea type="all" dataOnly="0" outline="0" fieldPosition="0"/>
    </format>
    <format dxfId="633">
      <pivotArea outline="0" collapsedLevelsAreSubtotals="1" fieldPosition="0"/>
    </format>
    <format dxfId="632">
      <pivotArea field="5" type="button" dataOnly="0" labelOnly="1" outline="0" axis="axisRow" fieldPosition="0"/>
    </format>
    <format dxfId="631">
      <pivotArea dataOnly="0" labelOnly="1" fieldPosition="0">
        <references count="1">
          <reference field="5" count="0"/>
        </references>
      </pivotArea>
    </format>
    <format dxfId="630">
      <pivotArea field="5" type="button" dataOnly="0" labelOnly="1" outline="0" axis="axisRow" fieldPosition="0"/>
    </format>
    <format dxfId="629">
      <pivotArea type="all" dataOnly="0" outline="0" fieldPosition="0"/>
    </format>
    <format dxfId="628">
      <pivotArea outline="0" collapsedLevelsAreSubtotals="1" fieldPosition="0"/>
    </format>
    <format dxfId="627">
      <pivotArea field="5" type="button" dataOnly="0" labelOnly="1" outline="0" axis="axisRow" fieldPosition="0"/>
    </format>
    <format dxfId="626">
      <pivotArea dataOnly="0" labelOnly="1" fieldPosition="0">
        <references count="1">
          <reference field="5" count="13">
            <x v="1"/>
            <x v="4"/>
            <x v="5"/>
            <x v="14"/>
            <x v="18"/>
            <x v="19"/>
            <x v="21"/>
            <x v="25"/>
            <x v="33"/>
            <x v="36"/>
            <x v="38"/>
            <x v="39"/>
            <x v="40"/>
          </reference>
        </references>
      </pivotArea>
    </format>
    <format dxfId="625">
      <pivotArea dataOnly="0" labelOnly="1" grandRow="1" outline="0" fieldPosition="0"/>
    </format>
    <format dxfId="624">
      <pivotArea field="4" type="button" dataOnly="0" labelOnly="1" outline="0" axis="axisPage" fieldPosition="3"/>
    </format>
    <format dxfId="623">
      <pivotArea dataOnly="0" labelOnly="1" outline="0" fieldPosition="0">
        <references count="2">
          <reference field="4" count="1">
            <x v="0"/>
          </reference>
          <reference field="121"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 rowHeaderCaption="State">
  <location ref="B159:F162" firstHeaderRow="1" firstDataRow="2" firstDataCol="1" rowPageCount="3" colPageCount="1"/>
  <pivotFields count="131">
    <pivotField axis="axisPage" subtotalTop="0" multipleItemSelectionAllowed="1" showAll="0">
      <items count="13">
        <item m="1" x="10"/>
        <item m="1" x="4"/>
        <item m="1" x="11"/>
        <item h="1" m="1" x="5"/>
        <item m="1" x="3"/>
        <item h="1" m="1" x="2"/>
        <item h="1" m="1" x="9"/>
        <item h="1" m="1" x="6"/>
        <item h="1" m="1" x="7"/>
        <item m="1" x="8"/>
        <item h="1" x="0"/>
        <item x="1"/>
        <item t="default"/>
      </items>
    </pivotField>
    <pivotField showAll="0" defaultSubtotal="0"/>
    <pivotField showAll="0" defaultSubtotal="0"/>
    <pivotField subtotalTop="0" showAll="0"/>
    <pivotField axis="axisRow" subtotalTop="0" showAll="0">
      <items count="7">
        <item x="0"/>
        <item m="1" x="5"/>
        <item x="3"/>
        <item h="1" m="1" x="4"/>
        <item x="1"/>
        <item x="2"/>
        <item t="default"/>
      </items>
    </pivotField>
    <pivotField subtotalTop="0" showAll="0"/>
    <pivotField axis="axisPage" multipleItemSelectionAllowed="1" showAll="0" defaultSubtotal="0">
      <items count="10">
        <item x="1"/>
        <item x="0"/>
        <item m="1" x="9"/>
        <item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0"/>
        <item x="2"/>
        <item x="4"/>
        <item x="3"/>
        <item x="1"/>
        <item x="5"/>
      </items>
    </pivotField>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4">
    <i>
      <x/>
    </i>
    <i>
      <x v="1"/>
    </i>
    <i>
      <x v="2"/>
    </i>
    <i>
      <x v="3"/>
    </i>
  </colItems>
  <pageFields count="3">
    <pageField fld="0" hier="-1"/>
    <pageField fld="121" hier="-1"/>
    <pageField fld="6" hier="-1"/>
  </pageFields>
  <dataFields count="1">
    <dataField name="Count of Is there constructed surface water drainage system?_x000a_" fld="50" subtotal="count" baseField="0" baseItem="0"/>
  </dataFields>
  <formats count="9">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4" type="button" dataOnly="0" labelOnly="1" outline="0" axis="axisRow" fieldPosition="0"/>
    </format>
    <format dxfId="99">
      <pivotArea dataOnly="0" labelOnly="1" fieldPosition="0">
        <references count="1">
          <reference field="4" count="0"/>
        </references>
      </pivotArea>
    </format>
    <format dxfId="98">
      <pivotArea type="all" dataOnly="0" outline="0" fieldPosition="0"/>
    </format>
    <format dxfId="97">
      <pivotArea outline="0" collapsedLevelsAreSubtotals="1" fieldPosition="0"/>
    </format>
    <format dxfId="96">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2"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305:L332" firstHeaderRow="0" firstDataRow="1" firstDataCol="4" rowPageCount="2" colPageCount="1"/>
  <pivotFields count="131">
    <pivotField axis="axisPage" compact="0" outline="0" subtotalTop="0" showAll="0" defaultSubtotal="0">
      <items count="12">
        <item m="1" x="10"/>
        <item m="1" x="4"/>
        <item m="1" x="11"/>
        <item m="1" x="5"/>
        <item m="1" x="3"/>
        <item m="1" x="2"/>
        <item m="1" x="9"/>
        <item m="1" x="6"/>
        <item m="1" x="7"/>
        <item m="1" x="8"/>
        <item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0"/>
        <item m="1" x="5"/>
        <item x="3"/>
        <item m="1" x="4"/>
        <item x="1"/>
        <item x="2"/>
        <item t="default"/>
      </items>
    </pivotField>
    <pivotField axis="axisRow" compact="0" outline="0" subtotalTop="0" showAll="0" defaultSubtotal="0">
      <items count="42">
        <item m="1" x="37"/>
        <item x="0"/>
        <item x="14"/>
        <item x="5"/>
        <item x="6"/>
        <item x="30"/>
        <item x="27"/>
        <item x="24"/>
        <item x="17"/>
        <item x="16"/>
        <item x="32"/>
        <item m="1" x="40"/>
        <item x="9"/>
        <item x="28"/>
        <item x="15"/>
        <item x="19"/>
        <item x="7"/>
        <item x="8"/>
        <item x="1"/>
        <item x="22"/>
        <item x="25"/>
        <item x="20"/>
        <item x="3"/>
        <item x="29"/>
        <item x="26"/>
        <item m="1" x="36"/>
        <item x="13"/>
        <item x="23"/>
        <item x="10"/>
        <item m="1" x="41"/>
        <item x="21"/>
        <item x="4"/>
        <item x="18"/>
        <item x="11"/>
        <item x="12"/>
        <item x="2"/>
        <item m="1" x="38"/>
        <item m="1" x="35"/>
        <item x="33"/>
        <item m="1" x="34"/>
        <item m="1" x="39"/>
        <item x="31"/>
      </items>
    </pivotField>
    <pivotField compact="0" outline="0" showAll="0" defaultSubtotal="0"/>
    <pivotField axis="axisRow" dataField="1" compact="0" outline="0" subtotalTop="0" showAll="0" defaultSubtotal="0">
      <items count="981">
        <item x="16"/>
        <item x="0"/>
        <item x="1"/>
        <item x="19"/>
        <item x="20"/>
        <item x="2"/>
        <item m="1" x="622"/>
        <item m="1" x="744"/>
        <item x="350"/>
        <item m="1" x="598"/>
        <item m="1" x="730"/>
        <item m="1" x="789"/>
        <item m="1" x="796"/>
        <item m="1" x="687"/>
        <item m="1" x="599"/>
        <item m="1" x="930"/>
        <item m="1" x="883"/>
        <item m="1" x="605"/>
        <item m="1" x="817"/>
        <item x="377"/>
        <item x="331"/>
        <item x="162"/>
        <item x="367"/>
        <item m="1" x="925"/>
        <item m="1" x="638"/>
        <item m="1" x="858"/>
        <item m="1" x="657"/>
        <item m="1" x="667"/>
        <item m="1" x="665"/>
        <item m="1" x="620"/>
        <item x="4"/>
        <item x="185"/>
        <item m="1" x="970"/>
        <item m="1" x="823"/>
        <item m="1" x="694"/>
        <item m="1" x="632"/>
        <item x="21"/>
        <item m="1" x="658"/>
        <item x="221"/>
        <item m="1" x="877"/>
        <item m="1" x="907"/>
        <item x="222"/>
        <item x="303"/>
        <item x="248"/>
        <item m="1" x="854"/>
        <item m="1" x="855"/>
        <item m="1" x="736"/>
        <item x="3"/>
        <item m="1" x="655"/>
        <item x="5"/>
        <item m="1" x="965"/>
        <item m="1" x="943"/>
        <item m="1" x="822"/>
        <item x="43"/>
        <item x="295"/>
        <item m="1" x="815"/>
        <item m="1" x="833"/>
        <item m="1" x="552"/>
        <item m="1" x="562"/>
        <item x="22"/>
        <item m="1" x="913"/>
        <item m="1" x="675"/>
        <item m="1" x="631"/>
        <item m="1" x="673"/>
        <item x="13"/>
        <item m="1" x="768"/>
        <item m="1" x="849"/>
        <item m="1" x="548"/>
        <item m="1" x="820"/>
        <item x="304"/>
        <item x="305"/>
        <item m="1" x="564"/>
        <item m="1" x="640"/>
        <item m="1" x="909"/>
        <item x="23"/>
        <item m="1" x="876"/>
        <item m="1" x="739"/>
        <item x="358"/>
        <item m="1" x="928"/>
        <item x="473"/>
        <item m="1" x="649"/>
        <item x="14"/>
        <item m="1" x="860"/>
        <item x="9"/>
        <item m="1" x="935"/>
        <item m="1" x="621"/>
        <item m="1" x="947"/>
        <item x="351"/>
        <item m="1" x="742"/>
        <item m="1" x="758"/>
        <item m="1" x="890"/>
        <item m="1" x="566"/>
        <item x="368"/>
        <item m="1" x="799"/>
        <item x="168"/>
        <item m="1" x="905"/>
        <item m="1" x="831"/>
        <item x="386"/>
        <item m="1" x="775"/>
        <item m="1" x="551"/>
        <item x="136"/>
        <item x="137"/>
        <item x="24"/>
        <item x="268"/>
        <item x="349"/>
        <item m="1" x="756"/>
        <item x="27"/>
        <item m="1" x="715"/>
        <item x="25"/>
        <item m="1" x="688"/>
        <item x="64"/>
        <item x="495"/>
        <item x="496"/>
        <item x="26"/>
        <item m="1" x="689"/>
        <item m="1" x="813"/>
        <item x="38"/>
        <item m="1" x="556"/>
        <item x="17"/>
        <item x="7"/>
        <item x="8"/>
        <item x="357"/>
        <item m="1" x="670"/>
        <item m="1" x="582"/>
        <item x="477"/>
        <item x="120"/>
        <item x="45"/>
        <item x="18"/>
        <item x="56"/>
        <item m="1" x="785"/>
        <item x="478"/>
        <item m="1" x="978"/>
        <item x="192"/>
        <item x="12"/>
        <item m="1" x="771"/>
        <item m="1" x="767"/>
        <item m="1" x="878"/>
        <item m="1" x="648"/>
        <item m="1" x="623"/>
        <item m="1" x="644"/>
        <item m="1" x="761"/>
        <item m="1" x="837"/>
        <item x="329"/>
        <item m="1" x="812"/>
        <item m="1" x="578"/>
        <item m="1" x="893"/>
        <item m="1" x="701"/>
        <item m="1" x="750"/>
        <item m="1" x="660"/>
        <item m="1" x="725"/>
        <item x="52"/>
        <item m="1" x="704"/>
        <item m="1" x="972"/>
        <item x="369"/>
        <item x="75"/>
        <item x="172"/>
        <item m="1" x="818"/>
        <item m="1" x="706"/>
        <item m="1" x="589"/>
        <item m="1" x="633"/>
        <item x="498"/>
        <item m="1" x="821"/>
        <item m="1" x="946"/>
        <item x="499"/>
        <item x="500"/>
        <item x="501"/>
        <item m="1" x="747"/>
        <item m="1" x="594"/>
        <item x="342"/>
        <item x="474"/>
        <item m="1" x="857"/>
        <item m="1" x="613"/>
        <item m="1" x="635"/>
        <item m="1" x="762"/>
        <item m="1" x="961"/>
        <item m="1" x="974"/>
        <item x="348"/>
        <item x="215"/>
        <item m="1" x="628"/>
        <item m="1" x="835"/>
        <item m="1" x="647"/>
        <item m="1" x="684"/>
        <item m="1" x="873"/>
        <item m="1" x="606"/>
        <item m="1" x="912"/>
        <item m="1" x="932"/>
        <item x="330"/>
        <item m="1" x="740"/>
        <item m="1" x="915"/>
        <item x="257"/>
        <item m="1" x="570"/>
        <item x="502"/>
        <item m="1" x="798"/>
        <item x="57"/>
        <item x="60"/>
        <item m="1" x="904"/>
        <item m="1" x="763"/>
        <item m="1" x="671"/>
        <item m="1" x="643"/>
        <item x="61"/>
        <item m="1" x="908"/>
        <item x="44"/>
        <item m="1" x="580"/>
        <item m="1" x="787"/>
        <item m="1" x="899"/>
        <item x="98"/>
        <item x="29"/>
        <item x="63"/>
        <item x="65"/>
        <item x="370"/>
        <item m="1" x="565"/>
        <item m="1" x="545"/>
        <item m="1" x="887"/>
        <item m="1" x="717"/>
        <item m="1" x="563"/>
        <item m="1" x="806"/>
        <item m="1" x="692"/>
        <item x="15"/>
        <item m="1" x="709"/>
        <item x="503"/>
        <item x="30"/>
        <item x="31"/>
        <item x="69"/>
        <item x="504"/>
        <item x="11"/>
        <item x="72"/>
        <item x="76"/>
        <item m="1" x="608"/>
        <item m="1" x="573"/>
        <item m="1" x="601"/>
        <item x="67"/>
        <item x="77"/>
        <item m="1" x="891"/>
        <item m="1" x="888"/>
        <item x="92"/>
        <item x="93"/>
        <item m="1" x="651"/>
        <item x="142"/>
        <item x="58"/>
        <item x="95"/>
        <item x="97"/>
        <item x="99"/>
        <item x="59"/>
        <item m="1" x="901"/>
        <item x="100"/>
        <item x="71"/>
        <item x="78"/>
        <item x="101"/>
        <item x="506"/>
        <item x="507"/>
        <item m="1" x="723"/>
        <item x="47"/>
        <item x="48"/>
        <item x="49"/>
        <item x="50"/>
        <item m="1" x="794"/>
        <item x="51"/>
        <item x="73"/>
        <item x="508"/>
        <item x="509"/>
        <item m="1" x="549"/>
        <item x="74"/>
        <item x="53"/>
        <item m="1" x="571"/>
        <item m="1" x="914"/>
        <item m="1" x="604"/>
        <item x="104"/>
        <item x="105"/>
        <item m="1" x="558"/>
        <item m="1" x="596"/>
        <item x="309"/>
        <item x="33"/>
        <item m="1" x="654"/>
        <item m="1" x="703"/>
        <item m="1" x="603"/>
        <item m="1" x="607"/>
        <item m="1" x="683"/>
        <item m="1" x="614"/>
        <item m="1" x="954"/>
        <item x="356"/>
        <item m="1" x="814"/>
        <item m="1" x="567"/>
        <item x="66"/>
        <item x="81"/>
        <item x="85"/>
        <item x="511"/>
        <item x="512"/>
        <item x="513"/>
        <item x="514"/>
        <item x="515"/>
        <item x="516"/>
        <item m="1" x="577"/>
        <item m="1" x="875"/>
        <item x="83"/>
        <item x="34"/>
        <item m="1" x="682"/>
        <item m="1" x="774"/>
        <item m="1" x="939"/>
        <item m="1" x="695"/>
        <item x="86"/>
        <item m="1" x="700"/>
        <item x="517"/>
        <item x="518"/>
        <item x="519"/>
        <item x="520"/>
        <item m="1" x="783"/>
        <item x="521"/>
        <item m="1" x="641"/>
        <item x="35"/>
        <item x="523"/>
        <item x="524"/>
        <item x="525"/>
        <item m="1" x="871"/>
        <item x="70"/>
        <item x="479"/>
        <item x="84"/>
        <item x="94"/>
        <item m="1" x="585"/>
        <item m="1" x="718"/>
        <item m="1" x="879"/>
        <item x="110"/>
        <item m="1" x="636"/>
        <item m="1" x="919"/>
        <item m="1" x="590"/>
        <item x="146"/>
        <item x="112"/>
        <item x="355"/>
        <item x="113"/>
        <item x="526"/>
        <item m="1" x="726"/>
        <item m="1" x="864"/>
        <item m="1" x="782"/>
        <item m="1" x="616"/>
        <item x="354"/>
        <item m="1" x="911"/>
        <item m="1" x="629"/>
        <item m="1" x="697"/>
        <item m="1" x="627"/>
        <item x="347"/>
        <item x="332"/>
        <item x="333"/>
        <item x="490"/>
        <item x="87"/>
        <item m="1" x="617"/>
        <item x="205"/>
        <item x="116"/>
        <item m="1" x="625"/>
        <item x="483"/>
        <item x="193"/>
        <item m="1" x="881"/>
        <item x="79"/>
        <item x="378"/>
        <item m="1" x="583"/>
        <item m="1" x="661"/>
        <item m="1" x="757"/>
        <item m="1" x="705"/>
        <item m="1" x="579"/>
        <item x="310"/>
        <item x="261"/>
        <item x="311"/>
        <item x="312"/>
        <item m="1" x="676"/>
        <item x="456"/>
        <item m="1" x="929"/>
        <item x="353"/>
        <item x="96"/>
        <item x="89"/>
        <item m="1" x="851"/>
        <item x="117"/>
        <item x="346"/>
        <item m="1" x="637"/>
        <item x="302"/>
        <item x="527"/>
        <item x="528"/>
        <item x="106"/>
        <item m="1" x="952"/>
        <item m="1" x="846"/>
        <item x="194"/>
        <item x="464"/>
        <item m="1" x="964"/>
        <item x="80"/>
        <item m="1" x="713"/>
        <item m="1" x="780"/>
        <item m="1" x="733"/>
        <item m="1" x="721"/>
        <item m="1" x="642"/>
        <item x="341"/>
        <item m="1" x="793"/>
        <item x="108"/>
        <item x="340"/>
        <item m="1" x="681"/>
        <item m="1" x="861"/>
        <item m="1" x="741"/>
        <item x="352"/>
        <item m="1" x="743"/>
        <item m="1" x="693"/>
        <item m="1" x="760"/>
        <item m="1" x="945"/>
        <item m="1" x="550"/>
        <item x="149"/>
        <item x="119"/>
        <item x="151"/>
        <item m="1" x="587"/>
        <item m="1" x="795"/>
        <item m="1" x="941"/>
        <item m="1" x="618"/>
        <item m="1" x="668"/>
        <item m="1" x="542"/>
        <item m="1" x="611"/>
        <item x="37"/>
        <item m="1" x="836"/>
        <item x="82"/>
        <item x="88"/>
        <item m="1" x="737"/>
        <item m="1" x="547"/>
        <item m="1" x="734"/>
        <item x="121"/>
        <item x="482"/>
        <item x="266"/>
        <item m="1" x="936"/>
        <item m="1" x="678"/>
        <item x="123"/>
        <item x="315"/>
        <item x="316"/>
        <item m="1" x="778"/>
        <item x="132"/>
        <item x="211"/>
        <item m="1" x="719"/>
        <item x="317"/>
        <item x="247"/>
        <item x="318"/>
        <item m="1" x="884"/>
        <item x="90"/>
        <item x="319"/>
        <item m="1" x="586"/>
        <item x="320"/>
        <item x="124"/>
        <item m="1" x="976"/>
        <item x="127"/>
        <item m="1" x="779"/>
        <item x="128"/>
        <item x="178"/>
        <item x="129"/>
        <item x="111"/>
        <item x="345"/>
        <item x="133"/>
        <item x="125"/>
        <item x="126"/>
        <item x="371"/>
        <item m="1" x="708"/>
        <item m="1" x="845"/>
        <item m="1" x="766"/>
        <item x="138"/>
        <item x="297"/>
        <item m="1" x="902"/>
        <item x="197"/>
        <item x="135"/>
        <item m="1" x="903"/>
        <item m="1" x="859"/>
        <item m="1" x="686"/>
        <item x="198"/>
        <item x="199"/>
        <item x="200"/>
        <item m="1" x="866"/>
        <item m="1" x="776"/>
        <item x="139"/>
        <item x="131"/>
        <item m="1" x="895"/>
        <item m="1" x="850"/>
        <item m="1" x="574"/>
        <item m="1" x="934"/>
        <item m="1" x="897"/>
        <item m="1" x="826"/>
        <item m="1" x="870"/>
        <item x="143"/>
        <item m="1" x="543"/>
        <item m="1" x="690"/>
        <item x="144"/>
        <item x="114"/>
        <item x="115"/>
        <item x="145"/>
        <item x="147"/>
        <item m="1" x="609"/>
        <item m="1" x="811"/>
        <item m="1" x="781"/>
        <item m="1" x="810"/>
        <item m="1" x="819"/>
        <item x="339"/>
        <item x="338"/>
        <item m="1" x="958"/>
        <item m="1" x="838"/>
        <item x="328"/>
        <item m="1" x="847"/>
        <item m="1" x="910"/>
        <item x="376"/>
        <item m="1" x="975"/>
        <item m="1" x="950"/>
        <item m="1" x="797"/>
        <item x="343"/>
        <item x="344"/>
        <item m="1" x="554"/>
        <item x="321"/>
        <item x="322"/>
        <item m="1" x="724"/>
        <item m="1" x="824"/>
        <item m="1" x="979"/>
        <item m="1" x="751"/>
        <item m="1" x="898"/>
        <item m="1" x="572"/>
        <item x="155"/>
        <item m="1" x="786"/>
        <item m="1" x="944"/>
        <item x="323"/>
        <item x="313"/>
        <item x="245"/>
        <item m="1" x="659"/>
        <item x="485"/>
        <item m="1" x="553"/>
        <item m="1" x="634"/>
        <item x="325"/>
        <item x="326"/>
        <item m="1" x="865"/>
        <item x="327"/>
        <item m="1" x="615"/>
        <item m="1" x="827"/>
        <item m="1" x="926"/>
        <item m="1" x="610"/>
        <item m="1" x="971"/>
        <item x="335"/>
        <item x="122"/>
        <item x="529"/>
        <item m="1" x="592"/>
        <item m="1" x="862"/>
        <item m="1" x="612"/>
        <item m="1" x="856"/>
        <item m="1" x="749"/>
        <item m="1" x="869"/>
        <item m="1" x="662"/>
        <item x="157"/>
        <item m="1" x="839"/>
        <item x="41"/>
        <item m="1" x="951"/>
        <item m="1" x="922"/>
        <item m="1" x="889"/>
        <item x="141"/>
        <item x="158"/>
        <item x="159"/>
        <item m="1" x="830"/>
        <item m="1" x="691"/>
        <item m="1" x="731"/>
        <item m="1" x="892"/>
        <item x="458"/>
        <item m="1" x="729"/>
        <item x="160"/>
        <item m="1" x="966"/>
        <item x="42"/>
        <item x="362"/>
        <item m="1" x="555"/>
        <item m="1" x="874"/>
        <item m="1" x="885"/>
        <item m="1" x="886"/>
        <item m="1" x="924"/>
        <item m="1" x="597"/>
        <item m="1" x="748"/>
        <item m="1" x="652"/>
        <item m="1" x="653"/>
        <item x="260"/>
        <item m="1" x="927"/>
        <item m="1" x="920"/>
        <item m="1" x="745"/>
        <item x="214"/>
        <item x="249"/>
        <item m="1" x="803"/>
        <item m="1" x="894"/>
        <item x="459"/>
        <item m="1" x="674"/>
        <item m="1" x="569"/>
        <item m="1" x="801"/>
        <item m="1" x="773"/>
        <item m="1" x="788"/>
        <item x="530"/>
        <item m="1" x="816"/>
        <item x="68"/>
        <item x="40"/>
        <item m="1" x="735"/>
        <item x="32"/>
        <item m="1" x="591"/>
        <item m="1" x="960"/>
        <item m="1" x="769"/>
        <item x="150"/>
        <item m="1" x="809"/>
        <item x="152"/>
        <item x="46"/>
        <item x="36"/>
        <item x="28"/>
        <item m="1" x="764"/>
        <item m="1" x="685"/>
        <item m="1" x="559"/>
        <item m="1" x="962"/>
        <item m="1" x="841"/>
        <item m="1" x="626"/>
        <item x="337"/>
        <item x="336"/>
        <item x="373"/>
        <item x="372"/>
        <item x="375"/>
        <item m="1" x="663"/>
        <item m="1" x="716"/>
        <item m="1" x="584"/>
        <item x="255"/>
        <item m="1" x="807"/>
        <item x="246"/>
        <item m="1" x="546"/>
        <item m="1" x="832"/>
        <item x="118"/>
        <item x="54"/>
        <item x="156"/>
        <item x="62"/>
        <item x="6"/>
        <item x="140"/>
        <item x="10"/>
        <item x="39"/>
        <item x="103"/>
        <item x="102"/>
        <item m="1" x="805"/>
        <item m="1" x="728"/>
        <item m="1" x="867"/>
        <item m="1" x="852"/>
        <item m="1" x="680"/>
        <item m="1" x="918"/>
        <item m="1" x="732"/>
        <item m="1" x="791"/>
        <item m="1" x="842"/>
        <item m="1" x="650"/>
        <item m="1" x="593"/>
        <item m="1" x="977"/>
        <item m="1" x="576"/>
        <item m="1" x="848"/>
        <item m="1" x="969"/>
        <item m="1" x="933"/>
        <item m="1" x="967"/>
        <item m="1" x="949"/>
        <item m="1" x="669"/>
        <item m="1" x="639"/>
        <item m="1" x="752"/>
        <item m="1" x="696"/>
        <item m="1" x="973"/>
        <item m="1" x="863"/>
        <item m="1" x="931"/>
        <item m="1" x="561"/>
        <item m="1" x="711"/>
        <item x="489"/>
        <item x="488"/>
        <item m="1" x="800"/>
        <item m="1" x="765"/>
        <item m="1" x="906"/>
        <item m="1" x="646"/>
        <item m="1" x="698"/>
        <item x="189"/>
        <item m="1" x="746"/>
        <item m="1" x="917"/>
        <item m="1" x="759"/>
        <item m="1" x="672"/>
        <item m="1" x="957"/>
        <item m="1" x="872"/>
        <item m="1" x="956"/>
        <item m="1" x="955"/>
        <item m="1" x="602"/>
        <item m="1" x="784"/>
        <item m="1" x="624"/>
        <item m="1" x="880"/>
        <item m="1" x="923"/>
        <item m="1" x="699"/>
        <item m="1" x="588"/>
        <item m="1" x="544"/>
        <item m="1" x="656"/>
        <item m="1" x="937"/>
        <item m="1" x="645"/>
        <item m="1" x="714"/>
        <item m="1" x="948"/>
        <item m="1" x="790"/>
        <item m="1" x="834"/>
        <item x="486"/>
        <item x="487"/>
        <item m="1" x="581"/>
        <item m="1" x="755"/>
        <item m="1" x="679"/>
        <item m="1" x="829"/>
        <item m="1" x="707"/>
        <item m="1" x="722"/>
        <item m="1" x="664"/>
        <item m="1" x="630"/>
        <item m="1" x="825"/>
        <item m="1" x="900"/>
        <item x="91"/>
        <item x="148"/>
        <item x="522"/>
        <item x="505"/>
        <item x="510"/>
        <item x="107"/>
        <item x="153"/>
        <item x="55"/>
        <item x="154"/>
        <item x="109"/>
        <item x="360"/>
        <item x="361"/>
        <item x="359"/>
        <item x="363"/>
        <item x="365"/>
        <item x="364"/>
        <item x="324"/>
        <item x="366"/>
        <item x="539"/>
        <item x="134"/>
        <item m="1" x="557"/>
        <item m="1" x="940"/>
        <item m="1" x="666"/>
        <item m="1" x="777"/>
        <item x="186"/>
        <item m="1" x="560"/>
        <item x="216"/>
        <item x="494"/>
        <item x="497"/>
        <item m="1" x="753"/>
        <item x="308"/>
        <item x="307"/>
        <item x="314"/>
        <item m="1" x="896"/>
        <item x="171"/>
        <item x="165"/>
        <item x="176"/>
        <item x="184"/>
        <item x="177"/>
        <item x="180"/>
        <item x="179"/>
        <item x="167"/>
        <item x="166"/>
        <item x="169"/>
        <item x="170"/>
        <item x="182"/>
        <item x="183"/>
        <item x="175"/>
        <item x="448"/>
        <item x="181"/>
        <item x="174"/>
        <item m="1" x="953"/>
        <item x="187"/>
        <item x="188"/>
        <item x="190"/>
        <item x="191"/>
        <item m="1" x="710"/>
        <item x="161"/>
        <item x="202"/>
        <item x="203"/>
        <item m="1" x="843"/>
        <item x="196"/>
        <item x="334"/>
        <item x="164"/>
        <item x="204"/>
        <item m="1" x="754"/>
        <item x="163"/>
        <item x="420"/>
        <item m="1" x="968"/>
        <item x="433"/>
        <item m="1" x="600"/>
        <item x="173"/>
        <item m="1" x="727"/>
        <item x="450"/>
        <item x="454"/>
        <item x="217"/>
        <item x="218"/>
        <item x="219"/>
        <item x="220"/>
        <item x="223"/>
        <item x="224"/>
        <item x="225"/>
        <item x="226"/>
        <item x="227"/>
        <item x="228"/>
        <item x="229"/>
        <item x="230"/>
        <item x="231"/>
        <item x="232"/>
        <item x="233"/>
        <item x="234"/>
        <item x="235"/>
        <item x="236"/>
        <item x="237"/>
        <item x="398"/>
        <item x="397"/>
        <item m="1" x="738"/>
        <item x="390"/>
        <item x="389"/>
        <item x="394"/>
        <item m="1" x="772"/>
        <item x="407"/>
        <item m="1" x="844"/>
        <item m="1" x="828"/>
        <item x="399"/>
        <item x="393"/>
        <item m="1" x="916"/>
        <item x="385"/>
        <item x="400"/>
        <item x="401"/>
        <item x="238"/>
        <item x="239"/>
        <item x="240"/>
        <item x="241"/>
        <item x="242"/>
        <item x="243"/>
        <item x="244"/>
        <item m="1" x="804"/>
        <item m="1" x="792"/>
        <item m="1" x="677"/>
        <item x="250"/>
        <item x="251"/>
        <item x="252"/>
        <item x="253"/>
        <item m="1" x="802"/>
        <item m="1" x="921"/>
        <item x="256"/>
        <item m="1" x="575"/>
        <item m="1" x="959"/>
        <item x="259"/>
        <item x="262"/>
        <item x="263"/>
        <item x="264"/>
        <item x="265"/>
        <item x="267"/>
        <item m="1" x="702"/>
        <item x="269"/>
        <item x="270"/>
        <item x="271"/>
        <item x="272"/>
        <item x="273"/>
        <item x="274"/>
        <item x="275"/>
        <item x="276"/>
        <item x="277"/>
        <item x="278"/>
        <item x="279"/>
        <item x="280"/>
        <item x="281"/>
        <item x="282"/>
        <item x="283"/>
        <item x="284"/>
        <item x="285"/>
        <item x="286"/>
        <item x="287"/>
        <item x="288"/>
        <item x="289"/>
        <item x="290"/>
        <item x="291"/>
        <item x="292"/>
        <item x="293"/>
        <item x="294"/>
        <item x="296"/>
        <item x="298"/>
        <item x="299"/>
        <item x="300"/>
        <item x="301"/>
        <item x="531"/>
        <item x="532"/>
        <item x="533"/>
        <item x="306"/>
        <item m="1" x="541"/>
        <item x="130"/>
        <item x="484"/>
        <item x="207"/>
        <item x="208"/>
        <item x="209"/>
        <item x="210"/>
        <item x="212"/>
        <item x="213"/>
        <item x="254"/>
        <item x="258"/>
        <item x="374"/>
        <item x="447"/>
        <item x="451"/>
        <item x="453"/>
        <item x="455"/>
        <item x="411"/>
        <item x="415"/>
        <item x="416"/>
        <item x="408"/>
        <item m="1" x="720"/>
        <item x="405"/>
        <item x="410"/>
        <item x="406"/>
        <item m="1" x="619"/>
        <item x="404"/>
        <item x="409"/>
        <item x="402"/>
        <item x="395"/>
        <item x="380"/>
        <item x="381"/>
        <item x="382"/>
        <item x="383"/>
        <item x="384"/>
        <item x="391"/>
        <item x="403"/>
        <item x="388"/>
        <item x="392"/>
        <item x="413"/>
        <item x="414"/>
        <item x="423"/>
        <item x="424"/>
        <item x="430"/>
        <item x="429"/>
        <item x="421"/>
        <item m="1" x="840"/>
        <item x="427"/>
        <item x="426"/>
        <item x="422"/>
        <item x="432"/>
        <item x="437"/>
        <item x="438"/>
        <item x="439"/>
        <item x="440"/>
        <item x="441"/>
        <item x="442"/>
        <item x="443"/>
        <item x="444"/>
        <item x="445"/>
        <item m="1" x="942"/>
        <item x="449"/>
        <item m="1" x="963"/>
        <item m="1" x="568"/>
        <item m="1" x="808"/>
        <item x="460"/>
        <item m="1" x="938"/>
        <item m="1" x="882"/>
        <item m="1" x="853"/>
        <item x="465"/>
        <item x="466"/>
        <item x="467"/>
        <item x="468"/>
        <item x="469"/>
        <item x="418"/>
        <item m="1" x="980"/>
        <item m="1" x="868"/>
        <item x="435"/>
        <item x="436"/>
        <item x="412"/>
        <item m="1" x="770"/>
        <item m="1" x="712"/>
        <item x="201"/>
        <item x="195"/>
        <item x="379"/>
        <item x="387"/>
        <item x="396"/>
        <item x="417"/>
        <item x="419"/>
        <item x="425"/>
        <item x="428"/>
        <item x="434"/>
        <item x="452"/>
        <item x="446"/>
        <item x="457"/>
        <item x="461"/>
        <item x="462"/>
        <item x="463"/>
        <item x="470"/>
        <item x="471"/>
        <item x="431"/>
        <item x="206"/>
        <item x="472"/>
        <item x="475"/>
        <item x="476"/>
        <item x="480"/>
        <item x="481"/>
        <item x="491"/>
        <item x="492"/>
        <item x="493"/>
        <item x="534"/>
        <item x="536"/>
        <item m="1" x="595"/>
        <item x="537"/>
        <item x="538"/>
        <item x="535"/>
        <item x="540"/>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outline="0" subtotalTop="0" showAll="0" defaultSubtotal="0"/>
    <pivotField compact="0" outline="0" subtotalTop="0" showAll="0" defaultSubtotal="0"/>
    <pivotField compact="0" outline="0" subtotalTop="0" showAll="0" defaultSubtotal="0">
      <items count="7">
        <item x="0"/>
        <item x="3"/>
        <item m="1" x="5"/>
        <item x="2"/>
        <item x="1"/>
        <item m="1" x="6"/>
        <item m="1" x="4"/>
      </items>
    </pivotField>
    <pivotField axis="axisRow" compact="0" outline="0" subtotalTop="0" showAll="0" defaultSubtotal="0">
      <items count="16">
        <item x="15"/>
        <item x="0"/>
        <item x="3"/>
        <item x="2"/>
        <item x="1"/>
        <item x="4"/>
        <item x="5"/>
        <item x="13"/>
        <item x="6"/>
        <item x="7"/>
        <item x="9"/>
        <item x="11"/>
        <item x="10"/>
        <item x="12"/>
        <item x="8"/>
        <item x="1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4">
        <item x="0"/>
        <item n="Gap" x="1"/>
        <item h="1" m="1" x="3"/>
        <item h="1" m="1" x="2"/>
      </items>
    </pivotField>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16"/>
  </rowFields>
  <rowItems count="27">
    <i>
      <x/>
      <x v="1"/>
      <x v="47"/>
      <x v="4"/>
    </i>
    <i r="1">
      <x v="4"/>
      <x/>
      <x v="1"/>
    </i>
    <i r="2">
      <x v="271"/>
      <x v="3"/>
    </i>
    <i r="2">
      <x v="294"/>
      <x v="1"/>
    </i>
    <i r="1">
      <x v="12"/>
      <x v="262"/>
      <x v="4"/>
    </i>
    <i r="1">
      <x v="16"/>
      <x v="585"/>
      <x v="3"/>
    </i>
    <i r="1">
      <x v="17"/>
      <x v="110"/>
      <x v="4"/>
    </i>
    <i r="2">
      <x v="282"/>
      <x v="4"/>
    </i>
    <i r="1">
      <x v="18"/>
      <x v="154"/>
      <x v="4"/>
    </i>
    <i r="2">
      <x v="284"/>
      <x v="4"/>
    </i>
    <i r="2">
      <x v="299"/>
      <x v="4"/>
    </i>
    <i r="1">
      <x v="22"/>
      <x v="205"/>
      <x v="5"/>
    </i>
    <i r="2">
      <x v="703"/>
      <x v="1"/>
    </i>
    <i r="1">
      <x v="28"/>
      <x v="125"/>
      <x v="4"/>
    </i>
    <i r="2">
      <x v="529"/>
      <x v="4"/>
    </i>
    <i r="1">
      <x v="33"/>
      <x v="466"/>
      <x v="3"/>
    </i>
    <i r="2">
      <x v="866"/>
      <x v="3"/>
    </i>
    <i r="1">
      <x v="34"/>
      <x v="474"/>
      <x v="1"/>
    </i>
    <i r="2">
      <x v="695"/>
      <x v="1"/>
    </i>
    <i r="2">
      <x v="713"/>
      <x v="1"/>
    </i>
    <i r="1">
      <x v="35"/>
      <x v="100"/>
      <x v="3"/>
    </i>
    <i r="2">
      <x v="591"/>
      <x v="3"/>
    </i>
    <i t="default">
      <x/>
    </i>
    <i>
      <x v="2"/>
      <x v="6"/>
      <x v="248"/>
      <x v="3"/>
    </i>
    <i r="1">
      <x v="20"/>
      <x v="289"/>
      <x v="3"/>
    </i>
    <i r="2">
      <x v="290"/>
      <x v="1"/>
    </i>
    <i t="default">
      <x v="2"/>
    </i>
  </rowItems>
  <colFields count="1">
    <field x="-2"/>
  </colFields>
  <colItems count="6">
    <i>
      <x/>
    </i>
    <i i="1">
      <x v="1"/>
    </i>
    <i i="2">
      <x v="2"/>
    </i>
    <i i="3">
      <x v="3"/>
    </i>
    <i i="4">
      <x v="4"/>
    </i>
    <i i="5">
      <x v="5"/>
    </i>
  </colItems>
  <pageFields count="2">
    <pageField fld="0" item="11" hier="-1"/>
    <pageField fld="121" item="1" hier="-1"/>
  </pageFields>
  <dataFields count="6">
    <dataField name="Count of Site Name" fld="7" subtotal="count" baseField="0" baseItem="0"/>
    <dataField name="HHs" fld="8" baseField="0" baseItem="0" numFmtId="164"/>
    <dataField name="Pops" fld="9" baseField="0" baseItem="0" numFmtId="164"/>
    <dataField name="% WATER GAP" fld="85" subtotal="average" baseField="85" baseItem="1" numFmtId="9"/>
    <dataField name="% LATRINE GAP" fld="96" subtotal="average" baseField="85" baseItem="1" numFmtId="9"/>
    <dataField name="% HYGIENE GAP" fld="104" subtotal="average" baseField="85" baseItem="1" numFmtId="9"/>
  </dataFields>
  <formats count="121">
    <format dxfId="225">
      <pivotArea type="all" dataOnly="0" outline="0" fieldPosition="0"/>
    </format>
    <format dxfId="224">
      <pivotArea outline="0" collapsedLevelsAreSubtotals="1" fieldPosition="0"/>
    </format>
    <format dxfId="223">
      <pivotArea field="4" type="button" dataOnly="0" labelOnly="1" outline="0" axis="axisRow" fieldPosition="0"/>
    </format>
    <format dxfId="222">
      <pivotArea dataOnly="0" labelOnly="1" grandRow="1" outline="0" fieldPosition="0"/>
    </format>
    <format dxfId="221">
      <pivotArea type="all" dataOnly="0" outline="0" fieldPosition="0"/>
    </format>
    <format dxfId="220">
      <pivotArea dataOnly="0" labelOnly="1" grandRow="1" outline="0" fieldPosition="0"/>
    </format>
    <format dxfId="219">
      <pivotArea type="all" dataOnly="0" outline="0" fieldPosition="0"/>
    </format>
    <format dxfId="218">
      <pivotArea type="origin" dataOnly="0" labelOnly="1" outline="0" fieldPosition="0"/>
    </format>
    <format dxfId="217">
      <pivotArea field="121" type="button" dataOnly="0" labelOnly="1" outline="0" axis="axisPage" fieldPosition="1"/>
    </format>
    <format dxfId="216">
      <pivotArea type="topRight" dataOnly="0" labelOnly="1" outline="0" fieldPosition="0"/>
    </format>
    <format dxfId="215">
      <pivotArea type="all" dataOnly="0" outline="0" fieldPosition="0"/>
    </format>
    <format dxfId="214">
      <pivotArea outline="0" collapsedLevelsAreSubtotals="1" fieldPosition="0"/>
    </format>
    <format dxfId="213">
      <pivotArea type="origin" dataOnly="0" labelOnly="1" outline="0" fieldPosition="0"/>
    </format>
    <format dxfId="212">
      <pivotArea field="121" type="button" dataOnly="0" labelOnly="1" outline="0" axis="axisPage" fieldPosition="1"/>
    </format>
    <format dxfId="211">
      <pivotArea type="topRight" dataOnly="0" labelOnly="1" outline="0" fieldPosition="0"/>
    </format>
    <format dxfId="210">
      <pivotArea outline="0" fieldPosition="0">
        <references count="1">
          <reference field="4294967294" count="3" selected="0">
            <x v="3"/>
            <x v="4"/>
            <x v="5"/>
          </reference>
        </references>
      </pivotArea>
    </format>
    <format dxfId="209">
      <pivotArea outline="0" fieldPosition="0">
        <references count="1">
          <reference field="4294967294" count="2" selected="0">
            <x v="1"/>
            <x v="2"/>
          </reference>
        </references>
      </pivotArea>
    </format>
    <format dxfId="208">
      <pivotArea type="all" dataOnly="0" outline="0" fieldPosition="0"/>
    </format>
    <format dxfId="207">
      <pivotArea outline="0" collapsedLevelsAreSubtotals="1" fieldPosition="0"/>
    </format>
    <format dxfId="206">
      <pivotArea field="4" type="button" dataOnly="0" labelOnly="1" outline="0" axis="axisRow" fieldPosition="0"/>
    </format>
    <format dxfId="205">
      <pivotArea field="5" type="button" dataOnly="0" labelOnly="1" outline="0" axis="axisRow" fieldPosition="1"/>
    </format>
    <format dxfId="204">
      <pivotArea field="7" type="button" dataOnly="0" labelOnly="1" outline="0" axis="axisRow" fieldPosition="2"/>
    </format>
    <format dxfId="203">
      <pivotArea field="116" type="button" dataOnly="0" labelOnly="1" outline="0" axis="axisRow" fieldPosition="3"/>
    </format>
    <format dxfId="202">
      <pivotArea dataOnly="0" labelOnly="1" outline="0" fieldPosition="0">
        <references count="1">
          <reference field="4" count="0"/>
        </references>
      </pivotArea>
    </format>
    <format dxfId="201">
      <pivotArea dataOnly="0" labelOnly="1" outline="0" fieldPosition="0">
        <references count="1">
          <reference field="4" count="0" defaultSubtotal="1"/>
        </references>
      </pivotArea>
    </format>
    <format dxfId="200">
      <pivotArea dataOnly="0" labelOnly="1" outline="0" fieldPosition="0">
        <references count="2">
          <reference field="4" count="1" selected="0">
            <x v="0"/>
          </reference>
          <reference field="5" count="8">
            <x v="1"/>
            <x v="12"/>
            <x v="17"/>
            <x v="18"/>
            <x v="28"/>
            <x v="31"/>
            <x v="33"/>
            <x v="35"/>
          </reference>
        </references>
      </pivotArea>
    </format>
    <format dxfId="199">
      <pivotArea dataOnly="0" labelOnly="1" outline="0" fieldPosition="0">
        <references count="2">
          <reference field="4" count="1" selected="0">
            <x v="1"/>
          </reference>
          <reference field="5" count="7">
            <x v="8"/>
            <x v="9"/>
            <x v="15"/>
            <x v="19"/>
            <x v="27"/>
            <x v="30"/>
            <x v="32"/>
          </reference>
        </references>
      </pivotArea>
    </format>
    <format dxfId="198">
      <pivotArea dataOnly="0" labelOnly="1" outline="0" fieldPosition="0">
        <references count="2">
          <reference field="4" count="1" selected="0">
            <x v="2"/>
          </reference>
          <reference field="5" count="4">
            <x v="6"/>
            <x v="7"/>
            <x v="13"/>
            <x v="20"/>
          </reference>
        </references>
      </pivotArea>
    </format>
    <format dxfId="197">
      <pivotArea dataOnly="0" labelOnly="1" outline="0" fieldPosition="0">
        <references count="3">
          <reference field="4" count="1" selected="0">
            <x v="0"/>
          </reference>
          <reference field="5" count="1" selected="0">
            <x v="1"/>
          </reference>
          <reference field="7" count="1">
            <x v="47"/>
          </reference>
        </references>
      </pivotArea>
    </format>
    <format dxfId="196">
      <pivotArea dataOnly="0" labelOnly="1" outline="0" fieldPosition="0">
        <references count="3">
          <reference field="4" count="1" selected="0">
            <x v="0"/>
          </reference>
          <reference field="5" count="1" selected="0">
            <x v="12"/>
          </reference>
          <reference field="7" count="2">
            <x v="256"/>
            <x v="262"/>
          </reference>
        </references>
      </pivotArea>
    </format>
    <format dxfId="195">
      <pivotArea dataOnly="0" labelOnly="1" outline="0" fieldPosition="0">
        <references count="3">
          <reference field="4" count="1" selected="0">
            <x v="0"/>
          </reference>
          <reference field="5" count="1" selected="0">
            <x v="17"/>
          </reference>
          <reference field="7" count="2">
            <x v="110"/>
            <x v="282"/>
          </reference>
        </references>
      </pivotArea>
    </format>
    <format dxfId="194">
      <pivotArea dataOnly="0" labelOnly="1" outline="0" fieldPosition="0">
        <references count="3">
          <reference field="4" count="1" selected="0">
            <x v="0"/>
          </reference>
          <reference field="5" count="1" selected="0">
            <x v="18"/>
          </reference>
          <reference field="7" count="3">
            <x v="154"/>
            <x v="284"/>
            <x v="299"/>
          </reference>
        </references>
      </pivotArea>
    </format>
    <format dxfId="193">
      <pivotArea dataOnly="0" labelOnly="1" outline="0" fieldPosition="0">
        <references count="3">
          <reference field="4" count="1" selected="0">
            <x v="0"/>
          </reference>
          <reference field="5" count="1" selected="0">
            <x v="28"/>
          </reference>
          <reference field="7" count="2">
            <x v="125"/>
            <x v="529"/>
          </reference>
        </references>
      </pivotArea>
    </format>
    <format dxfId="192">
      <pivotArea dataOnly="0" labelOnly="1" outline="0" fieldPosition="0">
        <references count="3">
          <reference field="4" count="1" selected="0">
            <x v="0"/>
          </reference>
          <reference field="5" count="1" selected="0">
            <x v="31"/>
          </reference>
          <reference field="7" count="1">
            <x v="205"/>
          </reference>
        </references>
      </pivotArea>
    </format>
    <format dxfId="191">
      <pivotArea dataOnly="0" labelOnly="1" outline="0" fieldPosition="0">
        <references count="3">
          <reference field="4" count="1" selected="0">
            <x v="0"/>
          </reference>
          <reference field="5" count="1" selected="0">
            <x v="33"/>
          </reference>
          <reference field="7" count="1">
            <x v="466"/>
          </reference>
        </references>
      </pivotArea>
    </format>
    <format dxfId="190">
      <pivotArea dataOnly="0" labelOnly="1" outline="0" fieldPosition="0">
        <references count="3">
          <reference field="4" count="1" selected="0">
            <x v="0"/>
          </reference>
          <reference field="5" count="1" selected="0">
            <x v="35"/>
          </reference>
          <reference field="7" count="1">
            <x v="100"/>
          </reference>
        </references>
      </pivotArea>
    </format>
    <format dxfId="189">
      <pivotArea dataOnly="0" labelOnly="1" outline="0" fieldPosition="0">
        <references count="3">
          <reference field="4" count="1" selected="0">
            <x v="1"/>
          </reference>
          <reference field="5" count="1" selected="0">
            <x v="8"/>
          </reference>
          <reference field="7" count="1">
            <x v="132"/>
          </reference>
        </references>
      </pivotArea>
    </format>
    <format dxfId="188">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187">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186">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185">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184">
      <pivotArea dataOnly="0" labelOnly="1" outline="0" fieldPosition="0">
        <references count="3">
          <reference field="4" count="1" selected="0">
            <x v="1"/>
          </reference>
          <reference field="5" count="1" selected="0">
            <x v="30"/>
          </reference>
          <reference field="7" count="3">
            <x v="19"/>
            <x v="351"/>
            <x v="352"/>
          </reference>
        </references>
      </pivotArea>
    </format>
    <format dxfId="183">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182">
      <pivotArea dataOnly="0" labelOnly="1" outline="0" fieldPosition="0">
        <references count="3">
          <reference field="4" count="1" selected="0">
            <x v="2"/>
          </reference>
          <reference field="5" count="1" selected="0">
            <x v="6"/>
          </reference>
          <reference field="7" count="1">
            <x v="248"/>
          </reference>
        </references>
      </pivotArea>
    </format>
    <format dxfId="181">
      <pivotArea dataOnly="0" labelOnly="1" outline="0" fieldPosition="0">
        <references count="3">
          <reference field="4" count="1" selected="0">
            <x v="2"/>
          </reference>
          <reference field="5" count="1" selected="0">
            <x v="7"/>
          </reference>
          <reference field="7" count="1">
            <x v="372"/>
          </reference>
        </references>
      </pivotArea>
    </format>
    <format dxfId="180">
      <pivotArea dataOnly="0" labelOnly="1" outline="0" fieldPosition="0">
        <references count="3">
          <reference field="4" count="1" selected="0">
            <x v="2"/>
          </reference>
          <reference field="5" count="1" selected="0">
            <x v="13"/>
          </reference>
          <reference field="7" count="1">
            <x v="250"/>
          </reference>
        </references>
      </pivotArea>
    </format>
    <format dxfId="179">
      <pivotArea dataOnly="0" labelOnly="1" outline="0" fieldPosition="0">
        <references count="3">
          <reference field="4" count="1" selected="0">
            <x v="2"/>
          </reference>
          <reference field="5" count="1" selected="0">
            <x v="20"/>
          </reference>
          <reference field="7" count="1">
            <x v="111"/>
          </reference>
        </references>
      </pivotArea>
    </format>
    <format dxfId="178">
      <pivotArea dataOnly="0" labelOnly="1" outline="0" fieldPosition="0">
        <references count="4">
          <reference field="4" count="1" selected="0">
            <x v="0"/>
          </reference>
          <reference field="5" count="1" selected="0">
            <x v="1"/>
          </reference>
          <reference field="7" count="1" selected="0">
            <x v="47"/>
          </reference>
          <reference field="116" count="1">
            <x v="4"/>
          </reference>
        </references>
      </pivotArea>
    </format>
    <format dxfId="177">
      <pivotArea dataOnly="0" labelOnly="1" outline="0" fieldPosition="0">
        <references count="4">
          <reference field="4" count="1" selected="0">
            <x v="0"/>
          </reference>
          <reference field="5" count="1" selected="0">
            <x v="12"/>
          </reference>
          <reference field="7" count="1" selected="0">
            <x v="256"/>
          </reference>
          <reference field="116" count="1">
            <x v="4"/>
          </reference>
        </references>
      </pivotArea>
    </format>
    <format dxfId="176">
      <pivotArea dataOnly="0" labelOnly="1" outline="0" fieldPosition="0">
        <references count="4">
          <reference field="4" count="1" selected="0">
            <x v="0"/>
          </reference>
          <reference field="5" count="1" selected="0">
            <x v="12"/>
          </reference>
          <reference field="7" count="1" selected="0">
            <x v="262"/>
          </reference>
          <reference field="116" count="1">
            <x v="4"/>
          </reference>
        </references>
      </pivotArea>
    </format>
    <format dxfId="175">
      <pivotArea dataOnly="0" labelOnly="1" outline="0" fieldPosition="0">
        <references count="4">
          <reference field="4" count="1" selected="0">
            <x v="0"/>
          </reference>
          <reference field="5" count="1" selected="0">
            <x v="17"/>
          </reference>
          <reference field="7" count="1" selected="0">
            <x v="110"/>
          </reference>
          <reference field="116" count="1">
            <x v="4"/>
          </reference>
        </references>
      </pivotArea>
    </format>
    <format dxfId="174">
      <pivotArea dataOnly="0" labelOnly="1" outline="0" fieldPosition="0">
        <references count="4">
          <reference field="4" count="1" selected="0">
            <x v="0"/>
          </reference>
          <reference field="5" count="1" selected="0">
            <x v="17"/>
          </reference>
          <reference field="7" count="1" selected="0">
            <x v="282"/>
          </reference>
          <reference field="116" count="1">
            <x v="4"/>
          </reference>
        </references>
      </pivotArea>
    </format>
    <format dxfId="173">
      <pivotArea dataOnly="0" labelOnly="1" outline="0" fieldPosition="0">
        <references count="4">
          <reference field="4" count="1" selected="0">
            <x v="0"/>
          </reference>
          <reference field="5" count="1" selected="0">
            <x v="18"/>
          </reference>
          <reference field="7" count="1" selected="0">
            <x v="154"/>
          </reference>
          <reference field="116" count="1">
            <x v="4"/>
          </reference>
        </references>
      </pivotArea>
    </format>
    <format dxfId="172">
      <pivotArea dataOnly="0" labelOnly="1" outline="0" fieldPosition="0">
        <references count="4">
          <reference field="4" count="1" selected="0">
            <x v="0"/>
          </reference>
          <reference field="5" count="1" selected="0">
            <x v="18"/>
          </reference>
          <reference field="7" count="1" selected="0">
            <x v="284"/>
          </reference>
          <reference field="116" count="1">
            <x v="4"/>
          </reference>
        </references>
      </pivotArea>
    </format>
    <format dxfId="171">
      <pivotArea dataOnly="0" labelOnly="1" outline="0" fieldPosition="0">
        <references count="4">
          <reference field="4" count="1" selected="0">
            <x v="0"/>
          </reference>
          <reference field="5" count="1" selected="0">
            <x v="18"/>
          </reference>
          <reference field="7" count="1" selected="0">
            <x v="299"/>
          </reference>
          <reference field="116" count="1">
            <x v="4"/>
          </reference>
        </references>
      </pivotArea>
    </format>
    <format dxfId="170">
      <pivotArea dataOnly="0" labelOnly="1" outline="0" fieldPosition="0">
        <references count="4">
          <reference field="4" count="1" selected="0">
            <x v="0"/>
          </reference>
          <reference field="5" count="1" selected="0">
            <x v="28"/>
          </reference>
          <reference field="7" count="1" selected="0">
            <x v="125"/>
          </reference>
          <reference field="116" count="1">
            <x v="4"/>
          </reference>
        </references>
      </pivotArea>
    </format>
    <format dxfId="169">
      <pivotArea dataOnly="0" labelOnly="1" outline="0" fieldPosition="0">
        <references count="4">
          <reference field="4" count="1" selected="0">
            <x v="0"/>
          </reference>
          <reference field="5" count="1" selected="0">
            <x v="28"/>
          </reference>
          <reference field="7" count="1" selected="0">
            <x v="529"/>
          </reference>
          <reference field="116" count="1">
            <x v="4"/>
          </reference>
        </references>
      </pivotArea>
    </format>
    <format dxfId="168">
      <pivotArea dataOnly="0" labelOnly="1" outline="0" fieldPosition="0">
        <references count="4">
          <reference field="4" count="1" selected="0">
            <x v="0"/>
          </reference>
          <reference field="5" count="1" selected="0">
            <x v="31"/>
          </reference>
          <reference field="7" count="1" selected="0">
            <x v="205"/>
          </reference>
          <reference field="116" count="1">
            <x v="4"/>
          </reference>
        </references>
      </pivotArea>
    </format>
    <format dxfId="167">
      <pivotArea dataOnly="0" labelOnly="1" outline="0" fieldPosition="0">
        <references count="4">
          <reference field="4" count="1" selected="0">
            <x v="0"/>
          </reference>
          <reference field="5" count="1" selected="0">
            <x v="33"/>
          </reference>
          <reference field="7" count="1" selected="0">
            <x v="466"/>
          </reference>
          <reference field="116" count="1">
            <x v="3"/>
          </reference>
        </references>
      </pivotArea>
    </format>
    <format dxfId="166">
      <pivotArea dataOnly="0" labelOnly="1" outline="0" fieldPosition="0">
        <references count="4">
          <reference field="4" count="1" selected="0">
            <x v="0"/>
          </reference>
          <reference field="5" count="1" selected="0">
            <x v="35"/>
          </reference>
          <reference field="7" count="1" selected="0">
            <x v="100"/>
          </reference>
          <reference field="116" count="1">
            <x v="3"/>
          </reference>
        </references>
      </pivotArea>
    </format>
    <format dxfId="165">
      <pivotArea dataOnly="0" labelOnly="1" outline="0" fieldPosition="0">
        <references count="4">
          <reference field="4" count="1" selected="0">
            <x v="1"/>
          </reference>
          <reference field="5" count="1" selected="0">
            <x v="8"/>
          </reference>
          <reference field="7" count="1" selected="0">
            <x v="132"/>
          </reference>
          <reference field="116" count="1">
            <x v="10"/>
          </reference>
        </references>
      </pivotArea>
    </format>
    <format dxfId="164">
      <pivotArea dataOnly="0" labelOnly="1" outline="0" fieldPosition="0">
        <references count="4">
          <reference field="4" count="1" selected="0">
            <x v="1"/>
          </reference>
          <reference field="5" count="1" selected="0">
            <x v="9"/>
          </reference>
          <reference field="7" count="1" selected="0">
            <x v="14"/>
          </reference>
          <reference field="116" count="1">
            <x v="8"/>
          </reference>
        </references>
      </pivotArea>
    </format>
    <format dxfId="163">
      <pivotArea dataOnly="0" labelOnly="1" outline="0" fieldPosition="0">
        <references count="4">
          <reference field="4" count="1" selected="0">
            <x v="1"/>
          </reference>
          <reference field="5" count="1" selected="0">
            <x v="9"/>
          </reference>
          <reference field="7" count="1" selected="0">
            <x v="22"/>
          </reference>
          <reference field="116" count="1">
            <x v="11"/>
          </reference>
        </references>
      </pivotArea>
    </format>
    <format dxfId="162">
      <pivotArea dataOnly="0" labelOnly="1" outline="0" fieldPosition="0">
        <references count="4">
          <reference field="4" count="1" selected="0">
            <x v="1"/>
          </reference>
          <reference field="5" count="1" selected="0">
            <x v="9"/>
          </reference>
          <reference field="7" count="1" selected="0">
            <x v="23"/>
          </reference>
          <reference field="116" count="1">
            <x v="8"/>
          </reference>
        </references>
      </pivotArea>
    </format>
    <format dxfId="161">
      <pivotArea dataOnly="0" labelOnly="1" outline="0" fieldPosition="0">
        <references count="4">
          <reference field="4" count="1" selected="0">
            <x v="1"/>
          </reference>
          <reference field="5" count="1" selected="0">
            <x v="9"/>
          </reference>
          <reference field="7" count="1" selected="0">
            <x v="89"/>
          </reference>
          <reference field="116" count="1">
            <x v="8"/>
          </reference>
        </references>
      </pivotArea>
    </format>
    <format dxfId="160">
      <pivotArea dataOnly="0" labelOnly="1" outline="0" fieldPosition="0">
        <references count="4">
          <reference field="4" count="1" selected="0">
            <x v="1"/>
          </reference>
          <reference field="5" count="1" selected="0">
            <x v="9"/>
          </reference>
          <reference field="7" count="1" selected="0">
            <x v="92"/>
          </reference>
          <reference field="116" count="1">
            <x v="11"/>
          </reference>
        </references>
      </pivotArea>
    </format>
    <format dxfId="159">
      <pivotArea dataOnly="0" labelOnly="1" outline="0" fieldPosition="0">
        <references count="4">
          <reference field="4" count="1" selected="0">
            <x v="1"/>
          </reference>
          <reference field="5" count="1" selected="0">
            <x v="9"/>
          </reference>
          <reference field="7" count="1" selected="0">
            <x v="93"/>
          </reference>
          <reference field="116" count="1">
            <x v="8"/>
          </reference>
        </references>
      </pivotArea>
    </format>
    <format dxfId="158">
      <pivotArea dataOnly="0" labelOnly="1" outline="0" fieldPosition="0">
        <references count="4">
          <reference field="4" count="1" selected="0">
            <x v="1"/>
          </reference>
          <reference field="5" count="1" selected="0">
            <x v="9"/>
          </reference>
          <reference field="7" count="1" selected="0">
            <x v="153"/>
          </reference>
          <reference field="116" count="1">
            <x v="10"/>
          </reference>
        </references>
      </pivotArea>
    </format>
    <format dxfId="157">
      <pivotArea dataOnly="0" labelOnly="1" outline="0" fieldPosition="0">
        <references count="4">
          <reference field="4" count="1" selected="0">
            <x v="1"/>
          </reference>
          <reference field="5" count="1" selected="0">
            <x v="9"/>
          </reference>
          <reference field="7" count="1" selected="0">
            <x v="182"/>
          </reference>
          <reference field="116" count="1">
            <x v="8"/>
          </reference>
        </references>
      </pivotArea>
    </format>
    <format dxfId="156">
      <pivotArea dataOnly="0" labelOnly="1" outline="0" fieldPosition="0">
        <references count="4">
          <reference field="4" count="1" selected="0">
            <x v="1"/>
          </reference>
          <reference field="5" count="1" selected="0">
            <x v="9"/>
          </reference>
          <reference field="7" count="1" selected="0">
            <x v="198"/>
          </reference>
          <reference field="116" count="1">
            <x v="8"/>
          </reference>
        </references>
      </pivotArea>
    </format>
    <format dxfId="155">
      <pivotArea dataOnly="0" labelOnly="1" outline="0" fieldPosition="0">
        <references count="4">
          <reference field="4" count="1" selected="0">
            <x v="1"/>
          </reference>
          <reference field="5" count="1" selected="0">
            <x v="9"/>
          </reference>
          <reference field="7" count="1" selected="0">
            <x v="209"/>
          </reference>
          <reference field="116" count="1">
            <x v="11"/>
          </reference>
        </references>
      </pivotArea>
    </format>
    <format dxfId="154">
      <pivotArea dataOnly="0" labelOnly="1" outline="0" fieldPosition="0">
        <references count="4">
          <reference field="4" count="1" selected="0">
            <x v="1"/>
          </reference>
          <reference field="5" count="1" selected="0">
            <x v="9"/>
          </reference>
          <reference field="7" count="1" selected="0">
            <x v="367"/>
          </reference>
          <reference field="116" count="1">
            <x v="8"/>
          </reference>
        </references>
      </pivotArea>
    </format>
    <format dxfId="153">
      <pivotArea dataOnly="0" labelOnly="1" outline="0" fieldPosition="0">
        <references count="4">
          <reference field="4" count="1" selected="0">
            <x v="1"/>
          </reference>
          <reference field="5" count="1" selected="0">
            <x v="9"/>
          </reference>
          <reference field="7" count="1" selected="0">
            <x v="394"/>
          </reference>
          <reference field="116" count="1">
            <x v="8"/>
          </reference>
        </references>
      </pivotArea>
    </format>
    <format dxfId="152">
      <pivotArea dataOnly="0" labelOnly="1" outline="0" fieldPosition="0">
        <references count="4">
          <reference field="4" count="1" selected="0">
            <x v="1"/>
          </reference>
          <reference field="5" count="1" selected="0">
            <x v="9"/>
          </reference>
          <reference field="7" count="1" selected="0">
            <x v="420"/>
          </reference>
          <reference field="116" count="1">
            <x v="8"/>
          </reference>
        </references>
      </pivotArea>
    </format>
    <format dxfId="151">
      <pivotArea dataOnly="0" labelOnly="1" outline="0" fieldPosition="0">
        <references count="4">
          <reference field="4" count="1" selected="0">
            <x v="1"/>
          </reference>
          <reference field="5" count="1" selected="0">
            <x v="9"/>
          </reference>
          <reference field="7" count="1" selected="0">
            <x v="448"/>
          </reference>
          <reference field="116" count="1">
            <x v="11"/>
          </reference>
        </references>
      </pivotArea>
    </format>
    <format dxfId="150">
      <pivotArea dataOnly="0" labelOnly="1" outline="0" fieldPosition="0">
        <references count="4">
          <reference field="4" count="1" selected="0">
            <x v="1"/>
          </reference>
          <reference field="5" count="1" selected="0">
            <x v="9"/>
          </reference>
          <reference field="7" count="1" selected="0">
            <x v="449"/>
          </reference>
          <reference field="116" count="1">
            <x v="8"/>
          </reference>
        </references>
      </pivotArea>
    </format>
    <format dxfId="149">
      <pivotArea dataOnly="0" labelOnly="1" outline="0" fieldPosition="0">
        <references count="4">
          <reference field="4" count="1" selected="0">
            <x v="1"/>
          </reference>
          <reference field="5" count="1" selected="0">
            <x v="9"/>
          </reference>
          <reference field="7" count="1" selected="0">
            <x v="490"/>
          </reference>
          <reference field="116" count="1">
            <x v="8"/>
          </reference>
        </references>
      </pivotArea>
    </format>
    <format dxfId="148">
      <pivotArea dataOnly="0" labelOnly="1" outline="0" fieldPosition="0">
        <references count="4">
          <reference field="4" count="1" selected="0">
            <x v="1"/>
          </reference>
          <reference field="5" count="1" selected="0">
            <x v="9"/>
          </reference>
          <reference field="7" count="1" selected="0">
            <x v="556"/>
          </reference>
          <reference field="116" count="1">
            <x v="11"/>
          </reference>
        </references>
      </pivotArea>
    </format>
    <format dxfId="147">
      <pivotArea dataOnly="0" labelOnly="1" outline="0" fieldPosition="0">
        <references count="4">
          <reference field="4" count="1" selected="0">
            <x v="1"/>
          </reference>
          <reference field="5" count="1" selected="0">
            <x v="9"/>
          </reference>
          <reference field="7" count="1" selected="0">
            <x v="567"/>
          </reference>
          <reference field="116" count="1">
            <x v="8"/>
          </reference>
        </references>
      </pivotArea>
    </format>
    <format dxfId="146">
      <pivotArea dataOnly="0" labelOnly="1" outline="0" fieldPosition="0">
        <references count="4">
          <reference field="4" count="1" selected="0">
            <x v="1"/>
          </reference>
          <reference field="5" count="1" selected="0">
            <x v="15"/>
          </reference>
          <reference field="7" count="1" selected="0">
            <x v="54"/>
          </reference>
          <reference field="116" count="1">
            <x v="8"/>
          </reference>
        </references>
      </pivotArea>
    </format>
    <format dxfId="145">
      <pivotArea dataOnly="0" labelOnly="1" outline="0" fieldPosition="0">
        <references count="4">
          <reference field="4" count="1" selected="0">
            <x v="1"/>
          </reference>
          <reference field="5" count="1" selected="0">
            <x v="15"/>
          </reference>
          <reference field="7" count="1" selected="0">
            <x v="57"/>
          </reference>
          <reference field="116" count="1">
            <x v="8"/>
          </reference>
        </references>
      </pivotArea>
    </format>
    <format dxfId="144">
      <pivotArea dataOnly="0" labelOnly="1" outline="0" fieldPosition="0">
        <references count="4">
          <reference field="4" count="1" selected="0">
            <x v="1"/>
          </reference>
          <reference field="5" count="1" selected="0">
            <x v="15"/>
          </reference>
          <reference field="7" count="1" selected="0">
            <x v="134"/>
          </reference>
          <reference field="116" count="1">
            <x v="8"/>
          </reference>
        </references>
      </pivotArea>
    </format>
    <format dxfId="143">
      <pivotArea dataOnly="0" labelOnly="1" outline="0" fieldPosition="0">
        <references count="4">
          <reference field="4" count="1" selected="0">
            <x v="1"/>
          </reference>
          <reference field="5" count="1" selected="0">
            <x v="15"/>
          </reference>
          <reference field="7" count="1" selected="0">
            <x v="137"/>
          </reference>
          <reference field="116" count="1">
            <x v="8"/>
          </reference>
        </references>
      </pivotArea>
    </format>
    <format dxfId="142">
      <pivotArea dataOnly="0" labelOnly="1" outline="0" fieldPosition="0">
        <references count="4">
          <reference field="4" count="1" selected="0">
            <x v="1"/>
          </reference>
          <reference field="5" count="1" selected="0">
            <x v="15"/>
          </reference>
          <reference field="7" count="1" selected="0">
            <x v="418"/>
          </reference>
          <reference field="116" count="1">
            <x v="11"/>
          </reference>
        </references>
      </pivotArea>
    </format>
    <format dxfId="141">
      <pivotArea dataOnly="0" labelOnly="1" outline="0" fieldPosition="0">
        <references count="4">
          <reference field="4" count="1" selected="0">
            <x v="1"/>
          </reference>
          <reference field="5" count="1" selected="0">
            <x v="15"/>
          </reference>
          <reference field="7" count="1" selected="0">
            <x v="450"/>
          </reference>
          <reference field="116" count="1">
            <x v="8"/>
          </reference>
        </references>
      </pivotArea>
    </format>
    <format dxfId="140">
      <pivotArea dataOnly="0" labelOnly="1" outline="0" fieldPosition="0">
        <references count="4">
          <reference field="4" count="1" selected="0">
            <x v="1"/>
          </reference>
          <reference field="5" count="1" selected="0">
            <x v="15"/>
          </reference>
          <reference field="7" count="1" selected="0">
            <x v="453"/>
          </reference>
          <reference field="116" count="1">
            <x v="8"/>
          </reference>
        </references>
      </pivotArea>
    </format>
    <format dxfId="139">
      <pivotArea dataOnly="0" labelOnly="1" outline="0" fieldPosition="0">
        <references count="4">
          <reference field="4" count="1" selected="0">
            <x v="1"/>
          </reference>
          <reference field="5" count="1" selected="0">
            <x v="15"/>
          </reference>
          <reference field="7" count="1" selected="0">
            <x v="494"/>
          </reference>
          <reference field="116" count="1">
            <x v="11"/>
          </reference>
        </references>
      </pivotArea>
    </format>
    <format dxfId="138">
      <pivotArea dataOnly="0" labelOnly="1" outline="0" fieldPosition="0">
        <references count="4">
          <reference field="4" count="1" selected="0">
            <x v="1"/>
          </reference>
          <reference field="5" count="1" selected="0">
            <x v="19"/>
          </reference>
          <reference field="7" count="1" selected="0">
            <x v="12"/>
          </reference>
          <reference field="116" count="1">
            <x v="8"/>
          </reference>
        </references>
      </pivotArea>
    </format>
    <format dxfId="137">
      <pivotArea dataOnly="0" labelOnly="1" outline="0" fieldPosition="0">
        <references count="4">
          <reference field="4" count="1" selected="0">
            <x v="1"/>
          </reference>
          <reference field="5" count="1" selected="0">
            <x v="19"/>
          </reference>
          <reference field="7" count="1" selected="0">
            <x v="51"/>
          </reference>
          <reference field="116" count="1">
            <x v="8"/>
          </reference>
        </references>
      </pivotArea>
    </format>
    <format dxfId="136">
      <pivotArea dataOnly="0" labelOnly="1" outline="0" fieldPosition="0">
        <references count="4">
          <reference field="4" count="1" selected="0">
            <x v="1"/>
          </reference>
          <reference field="5" count="1" selected="0">
            <x v="19"/>
          </reference>
          <reference field="7" count="1" selected="0">
            <x v="210"/>
          </reference>
          <reference field="116" count="1">
            <x v="8"/>
          </reference>
        </references>
      </pivotArea>
    </format>
    <format dxfId="135">
      <pivotArea dataOnly="0" labelOnly="1" outline="0" fieldPosition="0">
        <references count="4">
          <reference field="4" count="1" selected="0">
            <x v="1"/>
          </reference>
          <reference field="5" count="1" selected="0">
            <x v="19"/>
          </reference>
          <reference field="7" count="1" selected="0">
            <x v="211"/>
          </reference>
          <reference field="116" count="1">
            <x v="8"/>
          </reference>
        </references>
      </pivotArea>
    </format>
    <format dxfId="134">
      <pivotArea dataOnly="0" labelOnly="1" outline="0" fieldPosition="0">
        <references count="4">
          <reference field="4" count="1" selected="0">
            <x v="1"/>
          </reference>
          <reference field="5" count="1" selected="0">
            <x v="19"/>
          </reference>
          <reference field="7" count="1" selected="0">
            <x v="363"/>
          </reference>
          <reference field="116" count="1">
            <x v="8"/>
          </reference>
        </references>
      </pivotArea>
    </format>
    <format dxfId="133">
      <pivotArea dataOnly="0" labelOnly="1" outline="0" fieldPosition="0">
        <references count="4">
          <reference field="4" count="1" selected="0">
            <x v="1"/>
          </reference>
          <reference field="5" count="1" selected="0">
            <x v="27"/>
          </reference>
          <reference field="7" count="1" selected="0">
            <x v="72"/>
          </reference>
          <reference field="116" count="1">
            <x v="8"/>
          </reference>
        </references>
      </pivotArea>
    </format>
    <format dxfId="132">
      <pivotArea dataOnly="0" labelOnly="1" outline="0" fieldPosition="0">
        <references count="4">
          <reference field="4" count="1" selected="0">
            <x v="1"/>
          </reference>
          <reference field="5" count="1" selected="0">
            <x v="27"/>
          </reference>
          <reference field="7" count="1" selected="0">
            <x v="144"/>
          </reference>
          <reference field="116" count="1">
            <x v="8"/>
          </reference>
        </references>
      </pivotArea>
    </format>
    <format dxfId="131">
      <pivotArea dataOnly="0" labelOnly="1" outline="0" fieldPosition="0">
        <references count="4">
          <reference field="4" count="1" selected="0">
            <x v="1"/>
          </reference>
          <reference field="5" count="1" selected="0">
            <x v="27"/>
          </reference>
          <reference field="7" count="1" selected="0">
            <x v="195"/>
          </reference>
          <reference field="116" count="1">
            <x v="8"/>
          </reference>
        </references>
      </pivotArea>
    </format>
    <format dxfId="130">
      <pivotArea dataOnly="0" labelOnly="1" outline="0" fieldPosition="0">
        <references count="4">
          <reference field="4" count="1" selected="0">
            <x v="1"/>
          </reference>
          <reference field="5" count="1" selected="0">
            <x v="27"/>
          </reference>
          <reference field="7" count="1" selected="0">
            <x v="265"/>
          </reference>
          <reference field="116" count="1">
            <x v="8"/>
          </reference>
        </references>
      </pivotArea>
    </format>
    <format dxfId="129">
      <pivotArea dataOnly="0" labelOnly="1" outline="0" fieldPosition="0">
        <references count="4">
          <reference field="4" count="1" selected="0">
            <x v="1"/>
          </reference>
          <reference field="5" count="1" selected="0">
            <x v="27"/>
          </reference>
          <reference field="7" count="1" selected="0">
            <x v="298"/>
          </reference>
          <reference field="116" count="1">
            <x v="8"/>
          </reference>
        </references>
      </pivotArea>
    </format>
    <format dxfId="128">
      <pivotArea dataOnly="0" labelOnly="1" outline="0" fieldPosition="0">
        <references count="4">
          <reference field="4" count="1" selected="0">
            <x v="1"/>
          </reference>
          <reference field="5" count="1" selected="0">
            <x v="27"/>
          </reference>
          <reference field="7" count="1" selected="0">
            <x v="379"/>
          </reference>
          <reference field="116" count="1">
            <x v="8"/>
          </reference>
        </references>
      </pivotArea>
    </format>
    <format dxfId="127">
      <pivotArea dataOnly="0" labelOnly="1" outline="0" fieldPosition="0">
        <references count="4">
          <reference field="4" count="1" selected="0">
            <x v="1"/>
          </reference>
          <reference field="5" count="1" selected="0">
            <x v="27"/>
          </reference>
          <reference field="7" count="1" selected="0">
            <x v="397"/>
          </reference>
          <reference field="116" count="1">
            <x v="8"/>
          </reference>
        </references>
      </pivotArea>
    </format>
    <format dxfId="126">
      <pivotArea dataOnly="0" labelOnly="1" outline="0" fieldPosition="0">
        <references count="4">
          <reference field="4" count="1" selected="0">
            <x v="1"/>
          </reference>
          <reference field="5" count="1" selected="0">
            <x v="27"/>
          </reference>
          <reference field="7" count="1" selected="0">
            <x v="471"/>
          </reference>
          <reference field="116" count="1">
            <x v="8"/>
          </reference>
        </references>
      </pivotArea>
    </format>
    <format dxfId="125">
      <pivotArea dataOnly="0" labelOnly="1" outline="0" fieldPosition="0">
        <references count="4">
          <reference field="4" count="1" selected="0">
            <x v="1"/>
          </reference>
          <reference field="5" count="1" selected="0">
            <x v="27"/>
          </reference>
          <reference field="7" count="1" selected="0">
            <x v="472"/>
          </reference>
          <reference field="116" count="1">
            <x v="8"/>
          </reference>
        </references>
      </pivotArea>
    </format>
    <format dxfId="124">
      <pivotArea dataOnly="0" labelOnly="1" outline="0" fieldPosition="0">
        <references count="4">
          <reference field="4" count="1" selected="0">
            <x v="1"/>
          </reference>
          <reference field="5" count="1" selected="0">
            <x v="27"/>
          </reference>
          <reference field="7" count="1" selected="0">
            <x v="483"/>
          </reference>
          <reference field="116" count="1">
            <x v="8"/>
          </reference>
        </references>
      </pivotArea>
    </format>
    <format dxfId="123">
      <pivotArea dataOnly="0" labelOnly="1" outline="0" fieldPosition="0">
        <references count="4">
          <reference field="4" count="1" selected="0">
            <x v="1"/>
          </reference>
          <reference field="5" count="1" selected="0">
            <x v="27"/>
          </reference>
          <reference field="7" count="1" selected="0">
            <x v="506"/>
          </reference>
          <reference field="116" count="1">
            <x v="8"/>
          </reference>
        </references>
      </pivotArea>
    </format>
    <format dxfId="122">
      <pivotArea dataOnly="0" labelOnly="1" outline="0" fieldPosition="0">
        <references count="4">
          <reference field="4" count="1" selected="0">
            <x v="1"/>
          </reference>
          <reference field="5" count="1" selected="0">
            <x v="27"/>
          </reference>
          <reference field="7" count="1" selected="0">
            <x v="531"/>
          </reference>
          <reference field="116" count="1">
            <x v="8"/>
          </reference>
        </references>
      </pivotArea>
    </format>
    <format dxfId="121">
      <pivotArea dataOnly="0" labelOnly="1" outline="0" fieldPosition="0">
        <references count="4">
          <reference field="4" count="1" selected="0">
            <x v="1"/>
          </reference>
          <reference field="5" count="1" selected="0">
            <x v="27"/>
          </reference>
          <reference field="7" count="1" selected="0">
            <x v="552"/>
          </reference>
          <reference field="116" count="1">
            <x v="8"/>
          </reference>
        </references>
      </pivotArea>
    </format>
    <format dxfId="120">
      <pivotArea dataOnly="0" labelOnly="1" outline="0" fieldPosition="0">
        <references count="4">
          <reference field="4" count="1" selected="0">
            <x v="1"/>
          </reference>
          <reference field="5" count="1" selected="0">
            <x v="27"/>
          </reference>
          <reference field="7" count="1" selected="0">
            <x v="554"/>
          </reference>
          <reference field="116" count="1">
            <x v="8"/>
          </reference>
        </references>
      </pivotArea>
    </format>
    <format dxfId="119">
      <pivotArea dataOnly="0" labelOnly="1" outline="0" fieldPosition="0">
        <references count="4">
          <reference field="4" count="1" selected="0">
            <x v="1"/>
          </reference>
          <reference field="5" count="1" selected="0">
            <x v="30"/>
          </reference>
          <reference field="7" count="1" selected="0">
            <x v="19"/>
          </reference>
          <reference field="116" count="1">
            <x v="11"/>
          </reference>
        </references>
      </pivotArea>
    </format>
    <format dxfId="118">
      <pivotArea dataOnly="0" labelOnly="1" outline="0" fieldPosition="0">
        <references count="4">
          <reference field="4" count="1" selected="0">
            <x v="1"/>
          </reference>
          <reference field="5" count="1" selected="0">
            <x v="30"/>
          </reference>
          <reference field="7" count="1" selected="0">
            <x v="351"/>
          </reference>
          <reference field="116" count="1">
            <x v="11"/>
          </reference>
        </references>
      </pivotArea>
    </format>
    <format dxfId="117">
      <pivotArea dataOnly="0" labelOnly="1" outline="0" fieldPosition="0">
        <references count="4">
          <reference field="4" count="1" selected="0">
            <x v="1"/>
          </reference>
          <reference field="5" count="1" selected="0">
            <x v="30"/>
          </reference>
          <reference field="7" count="1" selected="0">
            <x v="352"/>
          </reference>
          <reference field="116" count="1">
            <x v="8"/>
          </reference>
        </references>
      </pivotArea>
    </format>
    <format dxfId="116">
      <pivotArea dataOnly="0" labelOnly="1" outline="0" fieldPosition="0">
        <references count="4">
          <reference field="4" count="1" selected="0">
            <x v="1"/>
          </reference>
          <reference field="5" count="1" selected="0">
            <x v="32"/>
          </reference>
          <reference field="7" count="1" selected="0">
            <x v="13"/>
          </reference>
          <reference field="116" count="1">
            <x v="8"/>
          </reference>
        </references>
      </pivotArea>
    </format>
    <format dxfId="115">
      <pivotArea dataOnly="0" labelOnly="1" outline="0" fieldPosition="0">
        <references count="4">
          <reference field="4" count="1" selected="0">
            <x v="1"/>
          </reference>
          <reference field="5" count="1" selected="0">
            <x v="32"/>
          </reference>
          <reference field="7" count="1" selected="0">
            <x v="40"/>
          </reference>
          <reference field="116" count="1">
            <x v="4"/>
          </reference>
        </references>
      </pivotArea>
    </format>
    <format dxfId="114">
      <pivotArea dataOnly="0" labelOnly="1" outline="0" fieldPosition="0">
        <references count="4">
          <reference field="4" count="1" selected="0">
            <x v="1"/>
          </reference>
          <reference field="5" count="1" selected="0">
            <x v="32"/>
          </reference>
          <reference field="7" count="1" selected="0">
            <x v="43"/>
          </reference>
          <reference field="116" count="1">
            <x v="8"/>
          </reference>
        </references>
      </pivotArea>
    </format>
    <format dxfId="113">
      <pivotArea dataOnly="0" labelOnly="1" outline="0" fieldPosition="0">
        <references count="4">
          <reference field="4" count="1" selected="0">
            <x v="1"/>
          </reference>
          <reference field="5" count="1" selected="0">
            <x v="32"/>
          </reference>
          <reference field="7" count="1" selected="0">
            <x v="71"/>
          </reference>
          <reference field="116" count="1">
            <x v="8"/>
          </reference>
        </references>
      </pivotArea>
    </format>
    <format dxfId="112">
      <pivotArea dataOnly="0" labelOnly="1" outline="0" fieldPosition="0">
        <references count="4">
          <reference field="4" count="1" selected="0">
            <x v="1"/>
          </reference>
          <reference field="5" count="1" selected="0">
            <x v="32"/>
          </reference>
          <reference field="7" count="1" selected="0">
            <x v="189"/>
          </reference>
          <reference field="116" count="1">
            <x v="8"/>
          </reference>
        </references>
      </pivotArea>
    </format>
    <format dxfId="111">
      <pivotArea dataOnly="0" labelOnly="1" outline="0" fieldPosition="0">
        <references count="4">
          <reference field="4" count="1" selected="0">
            <x v="1"/>
          </reference>
          <reference field="5" count="1" selected="0">
            <x v="32"/>
          </reference>
          <reference field="7" count="1" selected="0">
            <x v="383"/>
          </reference>
          <reference field="116" count="1">
            <x v="8"/>
          </reference>
        </references>
      </pivotArea>
    </format>
    <format dxfId="110">
      <pivotArea dataOnly="0" labelOnly="1" outline="0" fieldPosition="0">
        <references count="4">
          <reference field="4" count="1" selected="0">
            <x v="1"/>
          </reference>
          <reference field="5" count="1" selected="0">
            <x v="32"/>
          </reference>
          <reference field="7" count="1" selected="0">
            <x v="512"/>
          </reference>
          <reference field="116" count="1">
            <x v="8"/>
          </reference>
        </references>
      </pivotArea>
    </format>
    <format dxfId="109">
      <pivotArea dataOnly="0" labelOnly="1" outline="0" fieldPosition="0">
        <references count="4">
          <reference field="4" count="1" selected="0">
            <x v="2"/>
          </reference>
          <reference field="5" count="1" selected="0">
            <x v="6"/>
          </reference>
          <reference field="7" count="1" selected="0">
            <x v="248"/>
          </reference>
          <reference field="116" count="1">
            <x v="3"/>
          </reference>
        </references>
      </pivotArea>
    </format>
    <format dxfId="108">
      <pivotArea dataOnly="0" labelOnly="1" outline="0" fieldPosition="0">
        <references count="4">
          <reference field="4" count="1" selected="0">
            <x v="2"/>
          </reference>
          <reference field="5" count="1" selected="0">
            <x v="7"/>
          </reference>
          <reference field="7" count="1" selected="0">
            <x v="372"/>
          </reference>
          <reference field="116" count="1">
            <x v="3"/>
          </reference>
        </references>
      </pivotArea>
    </format>
    <format dxfId="107">
      <pivotArea dataOnly="0" labelOnly="1" outline="0" fieldPosition="0">
        <references count="4">
          <reference field="4" count="1" selected="0">
            <x v="2"/>
          </reference>
          <reference field="5" count="1" selected="0">
            <x v="13"/>
          </reference>
          <reference field="7" count="1" selected="0">
            <x v="250"/>
          </reference>
          <reference field="116" count="1">
            <x v="3"/>
          </reference>
        </references>
      </pivotArea>
    </format>
    <format dxfId="106">
      <pivotArea dataOnly="0" labelOnly="1" outline="0" fieldPosition="0">
        <references count="4">
          <reference field="4" count="1" selected="0">
            <x v="2"/>
          </reference>
          <reference field="5" count="1" selected="0">
            <x v="20"/>
          </reference>
          <reference field="7" count="1" selected="0">
            <x v="111"/>
          </reference>
          <reference field="116" count="1">
            <x v="3"/>
          </reference>
        </references>
      </pivotArea>
    </format>
    <format dxfId="105">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58:F61" firstHeaderRow="0" firstDataRow="1" firstDataCol="1" rowPageCount="3"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m="1" x="6"/>
        <item m="1" x="5"/>
        <item h="1" x="2"/>
        <item m="1" x="8"/>
        <item h="1" x="4"/>
        <item m="1" x="7"/>
        <item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4">
    <i>
      <x/>
    </i>
    <i i="1">
      <x v="1"/>
    </i>
    <i i="2">
      <x v="2"/>
    </i>
    <i i="3">
      <x v="3"/>
    </i>
  </colItems>
  <pageFields count="3">
    <pageField fld="0" hier="-1"/>
    <pageField fld="121" hier="-1"/>
    <pageField fld="6" hier="-1"/>
  </pageFields>
  <dataFields count="4">
    <dataField name="Count of Site Name" fld="7" subtotal="count" baseField="0" baseItem="0"/>
    <dataField name="Count of #_Water sources tested for contamination" fld="34" subtotal="count" baseField="4" baseItem="4"/>
    <dataField name="Sum of #_Water sources tested for contamination2" fld="34" baseField="0" baseItem="0"/>
    <dataField name="Sum of #_Water sources treated" fld="35" baseField="0" baseItem="0"/>
  </dataFields>
  <formats count="14">
    <format dxfId="239">
      <pivotArea field="4" type="button" dataOnly="0" labelOnly="1" outline="0" axis="axisRow" fieldPosition="0"/>
    </format>
    <format dxfId="238">
      <pivotArea dataOnly="0" labelOnly="1" outline="0" fieldPosition="0">
        <references count="1">
          <reference field="4294967294" count="1">
            <x v="0"/>
          </reference>
        </references>
      </pivotArea>
    </format>
    <format dxfId="237">
      <pivotArea type="all" dataOnly="0" outline="0" fieldPosition="0"/>
    </format>
    <format dxfId="236">
      <pivotArea outline="0" collapsedLevelsAreSubtotals="1" fieldPosition="0"/>
    </format>
    <format dxfId="235">
      <pivotArea field="4" type="button" dataOnly="0" labelOnly="1" outline="0" axis="axisRow" fieldPosition="0"/>
    </format>
    <format dxfId="234">
      <pivotArea dataOnly="0" labelOnly="1" fieldPosition="0">
        <references count="1">
          <reference field="4" count="0"/>
        </references>
      </pivotArea>
    </format>
    <format dxfId="233">
      <pivotArea dataOnly="0" labelOnly="1" outline="0" fieldPosition="0">
        <references count="1">
          <reference field="4294967294" count="1">
            <x v="0"/>
          </reference>
        </references>
      </pivotArea>
    </format>
    <format dxfId="232">
      <pivotArea type="all" dataOnly="0" outline="0" fieldPosition="0"/>
    </format>
    <format dxfId="231">
      <pivotArea type="all" dataOnly="0" outline="0" fieldPosition="0"/>
    </format>
    <format dxfId="230">
      <pivotArea outline="0" collapsedLevelsAreSubtotals="1" fieldPosition="0"/>
    </format>
    <format dxfId="229">
      <pivotArea field="4" type="button" dataOnly="0" labelOnly="1" outline="0" axis="axisRow" fieldPosition="0"/>
    </format>
    <format dxfId="228">
      <pivotArea dataOnly="0" labelOnly="1" fieldPosition="0">
        <references count="1">
          <reference field="4" count="0"/>
        </references>
      </pivotArea>
    </format>
    <format dxfId="227">
      <pivotArea dataOnly="0" labelOnly="1" outline="0" fieldPosition="0">
        <references count="1">
          <reference field="4294967294" count="1">
            <x v="0"/>
          </reference>
        </references>
      </pivotArea>
    </format>
    <format dxfId="226">
      <pivotArea dataOnly="0" labelOnly="1" outline="0" fieldPosition="0">
        <references count="1">
          <reference field="4294967294" count="1">
            <x v="0"/>
          </reference>
        </references>
      </pivotArea>
    </format>
  </formats>
  <chartFormats count="2">
    <chartFormat chart="11" format="2"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F000000}" name="PivotTable2"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2" rowHeaderCaption="State">
  <location ref="C389:E392" firstHeaderRow="1" firstDataRow="2" firstDataCol="1" rowPageCount="3" colPageCount="1"/>
  <pivotFields count="131">
    <pivotField axis="axisPage" subtotalTop="0" showAll="0">
      <items count="13">
        <item m="1" x="10"/>
        <item m="1" x="4"/>
        <item m="1" x="11"/>
        <item m="1" x="5"/>
        <item m="1" x="3"/>
        <item m="1" x="2"/>
        <item m="1" x="9"/>
        <item m="1" x="6"/>
        <item m="1" x="7"/>
        <item m="1" x="8"/>
        <item x="0"/>
        <item x="1"/>
        <item t="default"/>
      </items>
    </pivotField>
    <pivotField showAll="0" defaultSubtotal="0"/>
    <pivotField showAll="0" defaultSubtotal="0"/>
    <pivotField subtotalTop="0" showAll="0"/>
    <pivotField axis="axisRow" subtotalTop="0" multipleItemSelectionAllowed="1" showAll="0">
      <items count="7">
        <item x="0"/>
        <item m="1" x="5"/>
        <item x="3"/>
        <item m="1" x="4"/>
        <item x="1"/>
        <item x="2"/>
        <item t="default"/>
      </items>
    </pivotField>
    <pivotField subtotalTop="0" showAll="0"/>
    <pivotField axis="axisPage" multipleItemSelectionAllowed="1" showAll="0" defaultSubtotal="0">
      <items count="10">
        <item x="1"/>
        <item x="0"/>
        <item m="1" x="9"/>
        <item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axis="axisCol" dataField="1" showAll="0">
      <items count="3">
        <item x="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112"/>
  </colFields>
  <colItems count="2">
    <i>
      <x/>
    </i>
    <i>
      <x v="1"/>
    </i>
  </colItems>
  <pageFields count="3">
    <pageField fld="0" item="11" hier="-1"/>
    <pageField fld="121" hier="-1"/>
    <pageField fld="6" hier="-1"/>
  </pageFields>
  <dataFields count="1">
    <dataField name="Count of Sites with TLS" fld="112" subtotal="count" showDataAs="percentOfRow" baseField="4" baseItem="2" numFmtId="9"/>
  </dataFields>
  <formats count="16">
    <format dxfId="255">
      <pivotArea type="all" dataOnly="0" outline="0" fieldPosition="0"/>
    </format>
    <format dxfId="254">
      <pivotArea outline="0" collapsedLevelsAreSubtotals="1" fieldPosition="0"/>
    </format>
    <format dxfId="253">
      <pivotArea field="4" type="button" dataOnly="0" labelOnly="1" outline="0" axis="axisRow" fieldPosition="0"/>
    </format>
    <format dxfId="252">
      <pivotArea dataOnly="0" labelOnly="1" grandRow="1" outline="0" fieldPosition="0"/>
    </format>
    <format dxfId="251">
      <pivotArea type="all" dataOnly="0" outline="0" fieldPosition="0"/>
    </format>
    <format dxfId="250">
      <pivotArea outline="0" collapsedLevelsAreSubtotals="1" fieldPosition="0"/>
    </format>
    <format dxfId="249">
      <pivotArea type="origin" dataOnly="0" labelOnly="1" outline="0" fieldPosition="0"/>
    </format>
    <format dxfId="248">
      <pivotArea field="121" type="button" dataOnly="0" labelOnly="1" outline="0" axis="axisPage" fieldPosition="1"/>
    </format>
    <format dxfId="247">
      <pivotArea type="topRight" dataOnly="0" labelOnly="1" outline="0" fieldPosition="0"/>
    </format>
    <format dxfId="246">
      <pivotArea dataOnly="0" labelOnly="1" fieldPosition="0">
        <references count="1">
          <reference field="121" count="0"/>
        </references>
      </pivotArea>
    </format>
    <format dxfId="245">
      <pivotArea type="all" dataOnly="0" outline="0" fieldPosition="0"/>
    </format>
    <format dxfId="244">
      <pivotArea outline="0" collapsedLevelsAreSubtotals="1" fieldPosition="0"/>
    </format>
    <format dxfId="243">
      <pivotArea field="4" type="button" dataOnly="0" labelOnly="1" outline="0" axis="axisRow" fieldPosition="0"/>
    </format>
    <format dxfId="242">
      <pivotArea dataOnly="0" labelOnly="1" fieldPosition="0">
        <references count="1">
          <reference field="4" count="0"/>
        </references>
      </pivotArea>
    </format>
    <format dxfId="241">
      <pivotArea outline="0" fieldPosition="0">
        <references count="1">
          <reference field="4294967294" count="1">
            <x v="0"/>
          </reference>
        </references>
      </pivotArea>
    </format>
    <format dxfId="240">
      <pivotArea outline="0" collapsedLevelsAreSubtotals="1" fieldPosition="0"/>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rowHeaderCaption="State" colHeaderCaption=" ">
  <location ref="B107:D115"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multipleItemSelectionAllowed="1" showAll="0">
      <items count="7">
        <item h="1" x="0"/>
        <item m="1" x="5"/>
        <item x="3"/>
        <item m="1" x="4"/>
        <item h="1" x="1"/>
        <item h="1"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21" item="0" hier="-1"/>
    <pageField fld="4" hier="-1"/>
    <pageField fld="6" hier="-1"/>
  </pageFields>
  <dataFields count="2">
    <dataField name=" % Water Coverage" fld="127" baseField="0" baseItem="0"/>
    <dataField name=" % Water GAP" fld="128" baseField="0" baseItem="0"/>
  </dataFields>
  <formats count="13">
    <format dxfId="268">
      <pivotArea field="4" type="button" dataOnly="0" labelOnly="1" outline="0" axis="axisPage" fieldPosition="2"/>
    </format>
    <format dxfId="267">
      <pivotArea type="all" dataOnly="0" outline="0" fieldPosition="0"/>
    </format>
    <format dxfId="266">
      <pivotArea outline="0" collapsedLevelsAreSubtotals="1" fieldPosition="0"/>
    </format>
    <format dxfId="265">
      <pivotArea field="4" type="button" dataOnly="0" labelOnly="1" outline="0" axis="axisPage" fieldPosition="2"/>
    </format>
    <format dxfId="264">
      <pivotArea type="all" dataOnly="0" outline="0" fieldPosition="0"/>
    </format>
    <format dxfId="263">
      <pivotArea outline="0" collapsedLevelsAreSubtotals="1" fieldPosition="0"/>
    </format>
    <format dxfId="262">
      <pivotArea outline="0" collapsedLevelsAreSubtotals="1" fieldPosition="0"/>
    </format>
    <format dxfId="261">
      <pivotArea field="5" type="button" dataOnly="0" labelOnly="1" outline="0" axis="axisRow" fieldPosition="0"/>
    </format>
    <format dxfId="260">
      <pivotArea field="5" type="button" dataOnly="0" labelOnly="1" outline="0" axis="axisRow" fieldPosition="0"/>
    </format>
    <format dxfId="259">
      <pivotArea field="5" type="button" dataOnly="0" labelOnly="1" outline="0" axis="axisRow" fieldPosition="0"/>
    </format>
    <format dxfId="258">
      <pivotArea field="4" type="button" dataOnly="0" labelOnly="1" outline="0" axis="axisPage" fieldPosition="2"/>
    </format>
    <format dxfId="257">
      <pivotArea dataOnly="0" labelOnly="1" outline="0" fieldPosition="0">
        <references count="2">
          <reference field="4" count="1">
            <x v="2"/>
          </reference>
          <reference field="121" count="1" selected="0">
            <x v="0"/>
          </reference>
        </references>
      </pivotArea>
    </format>
    <format dxfId="256">
      <pivotArea dataOnly="0" labelOnly="1" outline="0" fieldPosition="0">
        <references count="2">
          <reference field="4" count="0"/>
          <reference field="121" count="1" selected="0">
            <x v="0"/>
          </reference>
        </references>
      </pivotArea>
    </format>
  </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6">
  <location ref="C281:E284" firstHeaderRow="1" firstDataRow="2" firstDataCol="1" rowPageCount="2" colPageCount="1"/>
  <pivotFields count="131">
    <pivotField axis="axisPage" subtotalTop="0" showAll="0">
      <items count="13">
        <item m="1" x="10"/>
        <item m="1" x="4"/>
        <item m="1" x="11"/>
        <item m="1" x="5"/>
        <item m="1" x="3"/>
        <item m="1" x="2"/>
        <item m="1" x="9"/>
        <item m="1" x="6"/>
        <item m="1" x="7"/>
        <item m="1" x="8"/>
        <item x="0"/>
        <item x="1"/>
        <item t="default"/>
      </items>
    </pivotField>
    <pivotField showAll="0" defaultSubtotal="0"/>
    <pivotField showAll="0" defaultSubtotal="0"/>
    <pivotField subtotalTop="0" showAll="0"/>
    <pivotField axis="axisPage" subtotalTop="0" multipleItemSelectionAllowed="1" showAll="0">
      <items count="7">
        <item x="0"/>
        <item h="1" m="1" x="5"/>
        <item h="1" x="3"/>
        <item m="1" x="4"/>
        <item h="1" x="1"/>
        <item h="1" x="2"/>
        <item t="default"/>
      </items>
    </pivotField>
    <pivotField subtotalTop="0" showAll="0"/>
    <pivotField axis="axisRow" showAll="0" defaultSubtotal="0">
      <items count="10">
        <item x="1"/>
        <item x="0"/>
        <item m="1" x="9"/>
        <item m="1" x="6"/>
        <item m="1" x="5"/>
        <item x="2"/>
        <item m="1" x="8"/>
        <item x="4"/>
        <item m="1" x="7"/>
        <item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1"/>
    </i>
  </rowItems>
  <colFields count="1">
    <field x="121"/>
  </colFields>
  <colItems count="2">
    <i>
      <x/>
    </i>
    <i>
      <x v="1"/>
    </i>
  </colItems>
  <pageFields count="2">
    <pageField fld="0" item="11" hier="-1"/>
    <pageField fld="4" hier="-1"/>
  </pageFields>
  <dataFields count="1">
    <dataField name="Count of Site Name" fld="7" subtotal="count" baseField="0" baseItem="0"/>
  </dataFields>
  <formats count="19">
    <format dxfId="287">
      <pivotArea type="all" dataOnly="0" outline="0" fieldPosition="0"/>
    </format>
    <format dxfId="286">
      <pivotArea outline="0" collapsedLevelsAreSubtotals="1" fieldPosition="0"/>
    </format>
    <format dxfId="285">
      <pivotArea field="4" type="button" dataOnly="0" labelOnly="1" outline="0" axis="axisPage" fieldPosition="1"/>
    </format>
    <format dxfId="284">
      <pivotArea dataOnly="0" labelOnly="1" fieldPosition="0">
        <references count="1">
          <reference field="4" count="0"/>
        </references>
      </pivotArea>
    </format>
    <format dxfId="283">
      <pivotArea dataOnly="0" labelOnly="1" grandRow="1" outline="0" fieldPosition="0"/>
    </format>
    <format dxfId="282">
      <pivotArea dataOnly="0" labelOnly="1" outline="0" fieldPosition="0">
        <references count="1">
          <reference field="4294967294" count="1">
            <x v="0"/>
          </reference>
        </references>
      </pivotArea>
    </format>
    <format dxfId="281">
      <pivotArea type="all" dataOnly="0" outline="0" fieldPosition="0"/>
    </format>
    <format dxfId="280">
      <pivotArea outline="0" collapsedLevelsAreSubtotals="1" fieldPosition="0"/>
    </format>
    <format dxfId="279">
      <pivotArea type="origin" dataOnly="0" labelOnly="1" outline="0" fieldPosition="0"/>
    </format>
    <format dxfId="278">
      <pivotArea field="121" type="button" dataOnly="0" labelOnly="1" outline="0" axis="axisCol" fieldPosition="0"/>
    </format>
    <format dxfId="277">
      <pivotArea type="topRight" dataOnly="0" labelOnly="1" outline="0" fieldPosition="0"/>
    </format>
    <format dxfId="276">
      <pivotArea dataOnly="0" labelOnly="1" fieldPosition="0">
        <references count="1">
          <reference field="121" count="0"/>
        </references>
      </pivotArea>
    </format>
    <format dxfId="275">
      <pivotArea type="all" dataOnly="0" outline="0" fieldPosition="0"/>
    </format>
    <format dxfId="274">
      <pivotArea outline="0" collapsedLevelsAreSubtotals="1" fieldPosition="0"/>
    </format>
    <format dxfId="273">
      <pivotArea dataOnly="0" labelOnly="1" fieldPosition="0">
        <references count="1">
          <reference field="121" count="0"/>
        </references>
      </pivotArea>
    </format>
    <format dxfId="272">
      <pivotArea field="4" type="button" dataOnly="0" labelOnly="1" outline="0" axis="axisPage" fieldPosition="1"/>
    </format>
    <format dxfId="271">
      <pivotArea dataOnly="0" labelOnly="1" outline="0" fieldPosition="0">
        <references count="2">
          <reference field="0" count="1" selected="0">
            <x v="8"/>
          </reference>
          <reference field="4" count="0"/>
        </references>
      </pivotArea>
    </format>
    <format dxfId="270">
      <pivotArea dataOnly="0" labelOnly="1" outline="0" fieldPosition="0">
        <references count="2">
          <reference field="0" count="1" selected="0">
            <x v="9"/>
          </reference>
          <reference field="4" count="0"/>
        </references>
      </pivotArea>
    </format>
    <format dxfId="269">
      <pivotArea dataOnly="0" labelOnly="1" outline="0" fieldPosition="0">
        <references count="2">
          <reference field="0" count="1" selected="0">
            <x v="9"/>
          </reference>
          <reference field="4" count="0"/>
        </references>
      </pivotArea>
    </format>
  </formats>
  <chartFormats count="8">
    <chartFormat chart="7" format="8" series="1">
      <pivotArea type="data" outline="0" fieldPosition="0">
        <references count="2">
          <reference field="4294967294" count="1" selected="0">
            <x v="0"/>
          </reference>
          <reference field="121" count="1" selected="0">
            <x v="0"/>
          </reference>
        </references>
      </pivotArea>
    </chartFormat>
    <chartFormat chart="7" format="9" series="1">
      <pivotArea type="data" outline="0" fieldPosition="0">
        <references count="2">
          <reference field="4294967294" count="1" selected="0">
            <x v="0"/>
          </reference>
          <reference field="121" count="1" selected="0">
            <x v="1"/>
          </reference>
        </references>
      </pivotArea>
    </chartFormat>
    <chartFormat chart="10" format="8" series="1">
      <pivotArea type="data" outline="0" fieldPosition="0">
        <references count="2">
          <reference field="4294967294" count="1" selected="0">
            <x v="0"/>
          </reference>
          <reference field="121" count="1" selected="0">
            <x v="0"/>
          </reference>
        </references>
      </pivotArea>
    </chartFormat>
    <chartFormat chart="10" format="9" series="1">
      <pivotArea type="data" outline="0" fieldPosition="0">
        <references count="2">
          <reference field="4294967294" count="1" selected="0">
            <x v="0"/>
          </reference>
          <reference field="121" count="1" selected="0">
            <x v="1"/>
          </reference>
        </references>
      </pivotArea>
    </chartFormat>
    <chartFormat chart="40" format="8" series="1">
      <pivotArea type="data" outline="0" fieldPosition="0">
        <references count="2">
          <reference field="4294967294" count="1" selected="0">
            <x v="0"/>
          </reference>
          <reference field="121" count="1" selected="0">
            <x v="0"/>
          </reference>
        </references>
      </pivotArea>
    </chartFormat>
    <chartFormat chart="40" format="9" series="1">
      <pivotArea type="data" outline="0" fieldPosition="0">
        <references count="2">
          <reference field="4294967294" count="1" selected="0">
            <x v="0"/>
          </reference>
          <reference field="121" count="1" selected="0">
            <x v="1"/>
          </reference>
        </references>
      </pivotArea>
    </chartFormat>
    <chartFormat chart="42" format="12" series="1">
      <pivotArea type="data" outline="0" fieldPosition="0">
        <references count="2">
          <reference field="4294967294" count="1" selected="0">
            <x v="0"/>
          </reference>
          <reference field="121" count="1" selected="0">
            <x v="0"/>
          </reference>
        </references>
      </pivotArea>
    </chartFormat>
    <chartFormat chart="42" format="13" series="1">
      <pivotArea type="data" outline="0" fieldPosition="0">
        <references count="2">
          <reference field="4294967294" count="1" selected="0">
            <x v="0"/>
          </reference>
          <reference field="121"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rowHeaderCaption="State" colHeaderCaption=" ">
  <location ref="B68:D71" firstHeaderRow="1" firstDataRow="2" firstDataCol="1" rowPageCount="3"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3">
        <item x="1"/>
        <item x="0"/>
        <item m="1" x="2"/>
      </items>
    </pivotField>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70"/>
  </colFields>
  <colItems count="2">
    <i>
      <x/>
    </i>
    <i>
      <x v="1"/>
    </i>
  </colItems>
  <pageFields count="3">
    <pageField fld="0" hier="-1"/>
    <pageField fld="121" item="0" hier="-1"/>
    <pageField fld="6" hier="-1"/>
  </pageFields>
  <dataFields count="1">
    <dataField name="Count of Warter quality test done" fld="70" subtotal="count" baseField="0" baseItem="0"/>
  </dataFields>
  <formats count="8">
    <format dxfId="295">
      <pivotArea field="4" type="button" dataOnly="0" labelOnly="1" outline="0" axis="axisRow" fieldPosition="0"/>
    </format>
    <format dxfId="294">
      <pivotArea type="all" dataOnly="0" outline="0" fieldPosition="0"/>
    </format>
    <format dxfId="293">
      <pivotArea outline="0" collapsedLevelsAreSubtotals="1" fieldPosition="0"/>
    </format>
    <format dxfId="292">
      <pivotArea field="4" type="button" dataOnly="0" labelOnly="1" outline="0" axis="axisRow" fieldPosition="0"/>
    </format>
    <format dxfId="291">
      <pivotArea dataOnly="0" labelOnly="1" fieldPosition="0">
        <references count="1">
          <reference field="4" count="0"/>
        </references>
      </pivotArea>
    </format>
    <format dxfId="290">
      <pivotArea type="all" dataOnly="0" outline="0" fieldPosition="0"/>
    </format>
    <format dxfId="289">
      <pivotArea outline="0" collapsedLevelsAreSubtotals="1" fieldPosition="0"/>
    </format>
    <format dxfId="288">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F936533-FE27-4265-818F-3C64224CA706}" name="PivotTable11"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H27:L29" firstHeaderRow="0" firstDataRow="1" firstDataCol="1" rowPageCount="4" colPageCount="1"/>
  <pivotFields count="131">
    <pivotField axis="axisPage" subtotalTop="0" showAll="0">
      <items count="13">
        <item m="1" x="10"/>
        <item m="1" x="4"/>
        <item m="1" x="5"/>
        <item m="1" x="2"/>
        <item m="1" x="11"/>
        <item m="1" x="3"/>
        <item m="1" x="9"/>
        <item m="1" x="6"/>
        <item m="1" x="7"/>
        <item m="1" x="8"/>
        <item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x="0"/>
        <item x="5"/>
        <item x="6"/>
        <item x="30"/>
        <item x="24"/>
        <item m="1" x="40"/>
        <item x="9"/>
        <item x="28"/>
        <item x="7"/>
        <item x="8"/>
        <item x="1"/>
        <item x="25"/>
        <item x="3"/>
        <item x="29"/>
        <item x="26"/>
        <item x="13"/>
        <item x="10"/>
        <item x="18"/>
        <item x="11"/>
        <item x="12"/>
        <item x="2"/>
        <item x="32"/>
        <item x="4"/>
        <item x="21"/>
        <item x="16"/>
        <item x="22"/>
        <item x="14"/>
        <item x="15"/>
        <item x="19"/>
        <item x="17"/>
        <item m="1" x="37"/>
        <item x="23"/>
        <item x="20"/>
        <item m="1" x="41"/>
        <item x="27"/>
        <item m="1" x="36"/>
        <item m="1" x="38"/>
        <item m="1" x="35"/>
        <item x="33"/>
        <item m="1" x="34"/>
        <item m="1" x="39"/>
        <item x="31"/>
        <item t="default"/>
      </items>
    </pivotField>
    <pivotField axis="axisPage" multipleItemSelectionAllowed="1" showAll="0" defaultSubtotal="0">
      <items count="10">
        <item h="1" x="1"/>
        <item h="1" x="0"/>
        <item m="1" x="9"/>
        <item m="1" x="6"/>
        <item m="1" x="5"/>
        <item x="2"/>
        <item m="1" x="8"/>
        <item h="1" x="4"/>
        <item m="1" x="7"/>
        <item h="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2">
    <i>
      <x v="41"/>
    </i>
    <i t="grand">
      <x/>
    </i>
  </rowItems>
  <colFields count="1">
    <field x="-2"/>
  </colFields>
  <colItems count="4">
    <i>
      <x/>
    </i>
    <i i="1">
      <x v="1"/>
    </i>
    <i i="2">
      <x v="2"/>
    </i>
    <i i="3">
      <x v="3"/>
    </i>
  </colItems>
  <pageFields count="4">
    <pageField fld="0" item="11" hier="-1"/>
    <pageField fld="121" item="0" hier="-1"/>
    <pageField fld="4" item="2"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8">
    <format dxfId="333">
      <pivotArea type="all" dataOnly="0" outline="0" fieldPosition="0"/>
    </format>
    <format dxfId="332">
      <pivotArea outline="0" collapsedLevelsAreSubtotals="1" fieldPosition="0"/>
    </format>
    <format dxfId="331">
      <pivotArea field="5" type="button" dataOnly="0" labelOnly="1" outline="0" axis="axisRow" fieldPosition="0"/>
    </format>
    <format dxfId="330">
      <pivotArea dataOnly="0" labelOnly="1" outline="0" axis="axisValues" fieldPosition="0"/>
    </format>
    <format dxfId="329">
      <pivotArea dataOnly="0" labelOnly="1" fieldPosition="0">
        <references count="1">
          <reference field="5" count="0"/>
        </references>
      </pivotArea>
    </format>
    <format dxfId="328">
      <pivotArea dataOnly="0" labelOnly="1" grandRow="1" outline="0" fieldPosition="0"/>
    </format>
    <format dxfId="327">
      <pivotArea dataOnly="0" labelOnly="1" outline="0" axis="axisValues" fieldPosition="0"/>
    </format>
    <format dxfId="326">
      <pivotArea type="all" dataOnly="0" outline="0" fieldPosition="0"/>
    </format>
    <format dxfId="325">
      <pivotArea field="5" type="button" dataOnly="0" labelOnly="1" outline="0" axis="axisRow" fieldPosition="0"/>
    </format>
    <format dxfId="324">
      <pivotArea dataOnly="0" labelOnly="1" outline="0" axis="axisValues" fieldPosition="0"/>
    </format>
    <format dxfId="323">
      <pivotArea dataOnly="0" labelOnly="1" fieldPosition="0">
        <references count="1">
          <reference field="5" count="0"/>
        </references>
      </pivotArea>
    </format>
    <format dxfId="322">
      <pivotArea dataOnly="0" labelOnly="1" outline="0" axis="axisValues" fieldPosition="0"/>
    </format>
    <format dxfId="321">
      <pivotArea field="5" type="button" dataOnly="0" labelOnly="1" outline="0" axis="axisRow" fieldPosition="0"/>
    </format>
    <format dxfId="320">
      <pivotArea type="all" dataOnly="0" outline="0" fieldPosition="0"/>
    </format>
    <format dxfId="319">
      <pivotArea field="5" type="button" dataOnly="0" labelOnly="1" outline="0" axis="axisRow" fieldPosition="0"/>
    </format>
    <format dxfId="318">
      <pivotArea dataOnly="0" labelOnly="1" fieldPosition="0">
        <references count="1">
          <reference field="5" count="7">
            <x v="3"/>
            <x v="4"/>
            <x v="7"/>
            <x v="11"/>
            <x v="13"/>
            <x v="14"/>
            <x v="21"/>
          </reference>
        </references>
      </pivotArea>
    </format>
    <format dxfId="317">
      <pivotArea dataOnly="0" labelOnly="1" outline="0" fieldPosition="0">
        <references count="1">
          <reference field="4294967294" count="1">
            <x v="0"/>
          </reference>
        </references>
      </pivotArea>
    </format>
    <format dxfId="316">
      <pivotArea type="all" dataOnly="0" outline="0" fieldPosition="0"/>
    </format>
    <format dxfId="315">
      <pivotArea outline="0" collapsedLevelsAreSubtotals="1" fieldPosition="0"/>
    </format>
    <format dxfId="314">
      <pivotArea field="5" type="button" dataOnly="0" labelOnly="1" outline="0" axis="axisRow" fieldPosition="0"/>
    </format>
    <format dxfId="313">
      <pivotArea dataOnly="0" labelOnly="1" fieldPosition="0">
        <references count="1">
          <reference field="5" count="7">
            <x v="3"/>
            <x v="4"/>
            <x v="7"/>
            <x v="11"/>
            <x v="13"/>
            <x v="14"/>
            <x v="21"/>
          </reference>
        </references>
      </pivotArea>
    </format>
    <format dxfId="312">
      <pivotArea dataOnly="0" labelOnly="1" outline="0" fieldPosition="0">
        <references count="1">
          <reference field="4294967294" count="1">
            <x v="0"/>
          </reference>
        </references>
      </pivotArea>
    </format>
    <format dxfId="311">
      <pivotArea field="5" type="button" dataOnly="0" labelOnly="1" outline="0" axis="axisRow" fieldPosition="0"/>
    </format>
    <format dxfId="310">
      <pivotArea dataOnly="0" labelOnly="1" outline="0" fieldPosition="0">
        <references count="1">
          <reference field="4294967294" count="1">
            <x v="0"/>
          </reference>
        </references>
      </pivotArea>
    </format>
    <format dxfId="309">
      <pivotArea type="all" dataOnly="0" outline="0" fieldPosition="0"/>
    </format>
    <format dxfId="308">
      <pivotArea outline="0" collapsedLevelsAreSubtotals="1" fieldPosition="0"/>
    </format>
    <format dxfId="307">
      <pivotArea field="5" type="button" dataOnly="0" labelOnly="1" outline="0" axis="axisRow" fieldPosition="0"/>
    </format>
    <format dxfId="306">
      <pivotArea dataOnly="0" labelOnly="1" fieldPosition="0">
        <references count="1">
          <reference field="5" count="6">
            <x v="3"/>
            <x v="4"/>
            <x v="7"/>
            <x v="11"/>
            <x v="13"/>
            <x v="14"/>
          </reference>
        </references>
      </pivotArea>
    </format>
    <format dxfId="305">
      <pivotArea dataOnly="0" labelOnly="1" grandRow="1" outline="0" fieldPosition="0"/>
    </format>
    <format dxfId="304">
      <pivotArea dataOnly="0" labelOnly="1" outline="0" fieldPosition="0">
        <references count="1">
          <reference field="4294967294" count="1">
            <x v="0"/>
          </reference>
        </references>
      </pivotArea>
    </format>
    <format dxfId="303">
      <pivotArea field="4" type="button" dataOnly="0" labelOnly="1" outline="0" axis="axisPage" fieldPosition="2"/>
    </format>
    <format dxfId="302">
      <pivotArea dataOnly="0" labelOnly="1" outline="0" fieldPosition="0">
        <references count="3">
          <reference field="0" count="1" selected="0">
            <x v="7"/>
          </reference>
          <reference field="4" count="1">
            <x v="2"/>
          </reference>
          <reference field="121" count="1" selected="0">
            <x v="0"/>
          </reference>
        </references>
      </pivotArea>
    </format>
    <format dxfId="301">
      <pivotArea dataOnly="0" labelOnly="1" outline="0" fieldPosition="0">
        <references count="3">
          <reference field="0" count="1" selected="0">
            <x v="8"/>
          </reference>
          <reference field="4" count="1">
            <x v="2"/>
          </reference>
          <reference field="121" count="1" selected="0">
            <x v="0"/>
          </reference>
        </references>
      </pivotArea>
    </format>
    <format dxfId="300">
      <pivotArea outline="0" collapsedLevelsAreSubtotals="1" fieldPosition="0">
        <references count="1">
          <reference field="4294967294" count="1" selected="0">
            <x v="0"/>
          </reference>
        </references>
      </pivotArea>
    </format>
    <format dxfId="299">
      <pivotArea dataOnly="0" labelOnly="1" outline="0" fieldPosition="0">
        <references count="3">
          <reference field="0" count="1" selected="0">
            <x v="10"/>
          </reference>
          <reference field="4" count="1">
            <x v="0"/>
          </reference>
          <reference field="121" count="1" selected="0">
            <x v="0"/>
          </reference>
        </references>
      </pivotArea>
    </format>
    <format dxfId="298">
      <pivotArea dataOnly="0" labelOnly="1" outline="0" fieldPosition="0">
        <references count="3">
          <reference field="0" count="1" selected="0">
            <x v="10"/>
          </reference>
          <reference field="4" count="1">
            <x v="2"/>
          </reference>
          <reference field="121" count="1" selected="0">
            <x v="0"/>
          </reference>
        </references>
      </pivotArea>
    </format>
    <format dxfId="297">
      <pivotArea outline="0" collapsedLevelsAreSubtotals="1" fieldPosition="0">
        <references count="1">
          <reference field="4294967294" count="3" selected="0">
            <x v="1"/>
            <x v="2"/>
            <x v="3"/>
          </reference>
        </references>
      </pivotArea>
    </format>
    <format dxfId="296">
      <pivotArea dataOnly="0" labelOnly="1" outline="0" fieldPosition="0">
        <references count="3">
          <reference field="0" count="1" selected="0">
            <x v="11"/>
          </reference>
          <reference field="4" count="1">
            <x v="2"/>
          </reference>
          <reference field="121" count="1" selected="0">
            <x v="0"/>
          </reference>
        </references>
      </pivotArea>
    </format>
  </formats>
  <conditionalFormats count="1">
    <conditionalFormat priority="1">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D000000}" name="PivotTable9"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M17:Q19" firstHeaderRow="0" firstDataRow="1" firstDataCol="1" rowPageCount="3" colPageCount="1"/>
  <pivotFields count="131">
    <pivotField axis="axisRow" compact="0" outline="0" subtotalTop="0" showAll="0">
      <items count="13">
        <item m="1" x="10"/>
        <item m="1" x="5"/>
        <item m="1" x="2"/>
        <item m="1" x="4"/>
        <item m="1" x="11"/>
        <item m="1" x="3"/>
        <item m="1" x="9"/>
        <item m="1" x="6"/>
        <item m="1" x="7"/>
        <item m="1" x="8"/>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x="1"/>
        <item x="0"/>
        <item m="1" x="9"/>
        <item x="2"/>
        <item h="1" x="4"/>
        <item h="1" m="1" x="6"/>
        <item m="1" x="8"/>
        <item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7">
    <format dxfId="683">
      <pivotArea field="4" type="button" dataOnly="0" labelOnly="1" outline="0" axis="axisPage" fieldPosition="1"/>
    </format>
    <format dxfId="682">
      <pivotArea type="all" dataOnly="0" outline="0" fieldPosition="0"/>
    </format>
    <format dxfId="681">
      <pivotArea field="4" type="button" dataOnly="0" labelOnly="1" outline="0" axis="axisPage" fieldPosition="1"/>
    </format>
    <format dxfId="680">
      <pivotArea outline="0" fieldPosition="0">
        <references count="1">
          <reference field="4294967294" count="1">
            <x v="0"/>
          </reference>
        </references>
      </pivotArea>
    </format>
    <format dxfId="679">
      <pivotArea dataOnly="0" labelOnly="1" outline="0" fieldPosition="0">
        <references count="1">
          <reference field="4294967294" count="1">
            <x v="0"/>
          </reference>
        </references>
      </pivotArea>
    </format>
    <format dxfId="678">
      <pivotArea type="all" dataOnly="0" outline="0" fieldPosition="0"/>
    </format>
    <format dxfId="677">
      <pivotArea outline="0" collapsedLevelsAreSubtotals="1" fieldPosition="0"/>
    </format>
    <format dxfId="676">
      <pivotArea dataOnly="0" labelOnly="1" fieldPosition="0">
        <references count="1">
          <reference field="4" count="0"/>
        </references>
      </pivotArea>
    </format>
    <format dxfId="675">
      <pivotArea dataOnly="0" labelOnly="1" grandRow="1" outline="0" fieldPosition="0"/>
    </format>
    <format dxfId="674">
      <pivotArea dataOnly="0" labelOnly="1" outline="0" fieldPosition="0">
        <references count="1">
          <reference field="4294967294" count="1">
            <x v="0"/>
          </reference>
        </references>
      </pivotArea>
    </format>
    <format dxfId="673">
      <pivotArea type="all" dataOnly="0" outline="0" fieldPosition="0"/>
    </format>
    <format dxfId="672">
      <pivotArea outline="0" collapsedLevelsAreSubtotals="1" fieldPosition="0"/>
    </format>
    <format dxfId="671">
      <pivotArea dataOnly="0" labelOnly="1" fieldPosition="0">
        <references count="1">
          <reference field="4" count="0"/>
        </references>
      </pivotArea>
    </format>
    <format dxfId="670">
      <pivotArea dataOnly="0" labelOnly="1" grandRow="1" outline="0" fieldPosition="0"/>
    </format>
    <format dxfId="669">
      <pivotArea dataOnly="0" labelOnly="1" outline="0" fieldPosition="0">
        <references count="1">
          <reference field="4294967294" count="1">
            <x v="0"/>
          </reference>
        </references>
      </pivotArea>
    </format>
    <format dxfId="668">
      <pivotArea dataOnly="0" labelOnly="1" outline="0" fieldPosition="0">
        <references count="1">
          <reference field="4294967294" count="1">
            <x v="1"/>
          </reference>
        </references>
      </pivotArea>
    </format>
    <format dxfId="667">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4000000}" name="K_H_CG_N"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7" rowHeaderCaption="State" colHeaderCaption=" ">
  <location ref="U254:W255"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showAll="0" defaultSubtotal="0">
      <items count="10">
        <item x="1"/>
        <item x="0"/>
        <item m="1" x="9"/>
        <item x="3"/>
        <item m="1" x="6"/>
        <item m="1" x="5"/>
        <item x="2"/>
        <item m="1" x="8"/>
        <item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
    <i>
      <x v="6"/>
    </i>
  </rowItems>
  <colFields count="1">
    <field x="-2"/>
  </colFields>
  <colItems count="2">
    <i>
      <x/>
    </i>
    <i i="1">
      <x v="1"/>
    </i>
  </colItems>
  <pageFields count="4">
    <pageField fld="0" hier="-1"/>
    <pageField fld="121" item="0" hier="-1"/>
    <pageField fld="4" item="2" hier="-1"/>
    <pageField fld="6" item="3" hier="-1"/>
  </pageFields>
  <dataFields count="2">
    <dataField name="  % Hygiene Coverage" fld="126" baseField="0" baseItem="0" numFmtId="1"/>
    <dataField name="  % Hygiene Gap" fld="125" baseField="0" baseItem="0" numFmtId="1"/>
  </dataFields>
  <formats count="11">
    <format dxfId="344">
      <pivotArea type="all" dataOnly="0" outline="0" fieldPosition="0"/>
    </format>
    <format dxfId="343">
      <pivotArea outline="0" collapsedLevelsAreSubtotals="1" fieldPosition="0"/>
    </format>
    <format dxfId="342">
      <pivotArea field="4" type="button" dataOnly="0" labelOnly="1" outline="0" axis="axisPage" fieldPosition="2"/>
    </format>
    <format dxfId="341">
      <pivotArea type="all" dataOnly="0" outline="0" fieldPosition="0"/>
    </format>
    <format dxfId="340">
      <pivotArea outline="0" collapsedLevelsAreSubtotals="1" fieldPosition="0"/>
    </format>
    <format dxfId="339">
      <pivotArea outline="0" collapsedLevelsAreSubtotals="1" fieldPosition="0"/>
    </format>
    <format dxfId="338">
      <pivotArea field="5" type="button" dataOnly="0" labelOnly="1" outline="0" axis="axisRow" fieldPosition="0"/>
    </format>
    <format dxfId="337">
      <pivotArea field="5" type="button" dataOnly="0" labelOnly="1" outline="0" axis="axisRow" fieldPosition="0"/>
    </format>
    <format dxfId="336">
      <pivotArea field="5" type="button" dataOnly="0" labelOnly="1" outline="0" axis="axisRow" fieldPosition="0"/>
    </format>
    <format dxfId="335">
      <pivotArea field="4" type="button" dataOnly="0" labelOnly="1" outline="0" axis="axisPage" fieldPosition="2"/>
    </format>
    <format dxfId="334">
      <pivotArea dataOnly="0" labelOnly="1" outline="0" fieldPosition="0">
        <references count="2">
          <reference field="4" count="1">
            <x v="0"/>
          </reference>
          <reference field="121" count="1" selected="0">
            <x v="0"/>
          </reference>
        </references>
      </pivotArea>
    </format>
  </formats>
  <chartFormats count="2">
    <chartFormat chart="44" format="2" series="1">
      <pivotArea type="data" outline="0" fieldPosition="0">
        <references count="1">
          <reference field="4294967294" count="1" selected="0">
            <x v="0"/>
          </reference>
        </references>
      </pivotArea>
    </chartFormat>
    <chartFormat chart="4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2"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58:T61" firstHeaderRow="0" firstDataRow="1" firstDataCol="1" rowPageCount="3"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m="1" x="6"/>
        <item m="1" x="5"/>
        <item h="1" x="2"/>
        <item m="1" x="8"/>
        <item h="1" x="4"/>
        <item m="1" x="7"/>
        <item h="1" x="3"/>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4">
    <i>
      <x/>
    </i>
    <i i="1">
      <x v="1"/>
    </i>
    <i i="2">
      <x v="2"/>
    </i>
    <i i="3">
      <x v="3"/>
    </i>
  </colItems>
  <pageFields count="3">
    <pageField fld="0" hier="-1"/>
    <pageField fld="121" hier="-1"/>
    <pageField fld="6" hier="-1"/>
  </pageFields>
  <dataFields count="4">
    <dataField name="Count of Site Name" fld="7" subtotal="count" baseField="0" baseItem="0"/>
    <dataField name="Count of #_Household water samples tested for contamination" fld="36" subtotal="count" baseField="4" baseItem="0"/>
    <dataField name="Sum of #_Household water samples tested for contamination2" fld="36" baseField="0" baseItem="0"/>
    <dataField name="Sum of #_Household received remediation action due to contamination" fld="37" baseField="0" baseItem="0"/>
  </dataFields>
  <formats count="14">
    <format dxfId="358">
      <pivotArea field="4" type="button" dataOnly="0" labelOnly="1" outline="0" axis="axisRow" fieldPosition="0"/>
    </format>
    <format dxfId="357">
      <pivotArea dataOnly="0" labelOnly="1" outline="0" fieldPosition="0">
        <references count="1">
          <reference field="4294967294" count="1">
            <x v="0"/>
          </reference>
        </references>
      </pivotArea>
    </format>
    <format dxfId="356">
      <pivotArea type="all" dataOnly="0" outline="0" fieldPosition="0"/>
    </format>
    <format dxfId="355">
      <pivotArea outline="0" collapsedLevelsAreSubtotals="1" fieldPosition="0"/>
    </format>
    <format dxfId="354">
      <pivotArea field="4" type="button" dataOnly="0" labelOnly="1" outline="0" axis="axisRow" fieldPosition="0"/>
    </format>
    <format dxfId="353">
      <pivotArea dataOnly="0" labelOnly="1" fieldPosition="0">
        <references count="1">
          <reference field="4" count="0"/>
        </references>
      </pivotArea>
    </format>
    <format dxfId="352">
      <pivotArea dataOnly="0" labelOnly="1" outline="0" fieldPosition="0">
        <references count="1">
          <reference field="4294967294" count="1">
            <x v="0"/>
          </reference>
        </references>
      </pivotArea>
    </format>
    <format dxfId="351">
      <pivotArea type="all" dataOnly="0" outline="0" fieldPosition="0"/>
    </format>
    <format dxfId="350">
      <pivotArea type="all" dataOnly="0" outline="0" fieldPosition="0"/>
    </format>
    <format dxfId="349">
      <pivotArea outline="0" collapsedLevelsAreSubtotals="1" fieldPosition="0"/>
    </format>
    <format dxfId="348">
      <pivotArea field="4" type="button" dataOnly="0" labelOnly="1" outline="0" axis="axisRow" fieldPosition="0"/>
    </format>
    <format dxfId="347">
      <pivotArea dataOnly="0" labelOnly="1" fieldPosition="0">
        <references count="1">
          <reference field="4" count="0"/>
        </references>
      </pivotArea>
    </format>
    <format dxfId="346">
      <pivotArea dataOnly="0" labelOnly="1" outline="0" fieldPosition="0">
        <references count="1">
          <reference field="4294967294" count="1">
            <x v="0"/>
          </reference>
        </references>
      </pivotArea>
    </format>
    <format dxfId="345">
      <pivotArea dataOnly="0" labelOnly="1" outline="0" fieldPosition="0">
        <references count="1">
          <reference field="4294967294" count="1">
            <x v="0"/>
          </reference>
        </references>
      </pivotArea>
    </format>
  </formats>
  <chartFormats count="2">
    <chartFormat chart="11" format="2"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9">
  <location ref="I44:K45"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multipleItemSelectionAllowed="1" showAll="0">
      <items count="7">
        <item h="1" x="0"/>
        <item m="1" x="5"/>
        <item x="3"/>
        <item m="1" x="4"/>
        <item h="1" x="1"/>
        <item h="1" x="2"/>
        <item t="default"/>
      </items>
    </pivotField>
    <pivotField subtotalTop="0" showAll="0"/>
    <pivotField axis="axisPage" multipleItemSelectionAllowed="1" showAll="0" defaultSubtotal="0">
      <items count="10">
        <item x="1"/>
        <item x="0"/>
        <item m="1" x="9"/>
        <item m="1" x="6"/>
        <item h="1" m="1" x="5"/>
        <item h="1" x="2"/>
        <item h="1" m="1" x="8"/>
        <item h="1" x="4"/>
        <item m="1" x="7"/>
        <item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Row" subtotalTop="0" showAll="0">
      <items count="351">
        <item x="2"/>
        <item m="1" x="195"/>
        <item m="1" x="218"/>
        <item m="1" x="349"/>
        <item m="1" x="299"/>
        <item m="1" x="189"/>
        <item m="1" x="177"/>
        <item m="1" x="136"/>
        <item m="1" x="298"/>
        <item m="1" x="135"/>
        <item m="1" x="22"/>
        <item m="1" x="283"/>
        <item m="1" x="33"/>
        <item m="1" x="128"/>
        <item m="1" x="312"/>
        <item m="1" x="106"/>
        <item m="1" x="284"/>
        <item m="1" x="305"/>
        <item m="1" x="113"/>
        <item m="1" x="227"/>
        <item m="1" x="89"/>
        <item m="1" x="127"/>
        <item m="1" x="29"/>
        <item m="1" x="213"/>
        <item m="1" x="123"/>
        <item m="1" x="147"/>
        <item m="1" x="34"/>
        <item m="1" x="174"/>
        <item m="1" x="221"/>
        <item m="1" x="155"/>
        <item m="1" x="233"/>
        <item m="1" x="180"/>
        <item m="1" x="116"/>
        <item m="1" x="35"/>
        <item m="1" x="154"/>
        <item m="1" x="59"/>
        <item m="1" x="272"/>
        <item m="1" x="253"/>
        <item m="1" x="222"/>
        <item m="1" x="68"/>
        <item m="1" x="117"/>
        <item m="1" x="137"/>
        <item m="1" x="281"/>
        <item m="1" x="333"/>
        <item m="1" x="124"/>
        <item m="1" x="67"/>
        <item m="1" x="81"/>
        <item m="1" x="179"/>
        <item m="1" x="316"/>
        <item m="1" x="346"/>
        <item m="1" x="282"/>
        <item m="1" x="57"/>
        <item m="1" x="303"/>
        <item m="1" x="52"/>
        <item m="1" x="69"/>
        <item m="1" x="226"/>
        <item m="1" x="219"/>
        <item m="1" x="58"/>
        <item m="1" x="95"/>
        <item m="1" x="138"/>
        <item m="1" x="246"/>
        <item m="1" x="262"/>
        <item m="1" x="125"/>
        <item m="1" x="93"/>
        <item m="1" x="220"/>
        <item m="1" x="45"/>
        <item m="1" x="55"/>
        <item m="1" x="260"/>
        <item m="1" x="327"/>
        <item m="1" x="80"/>
        <item m="1" x="332"/>
        <item m="1" x="142"/>
        <item m="1" x="82"/>
        <item m="1" x="17"/>
        <item m="1" x="102"/>
        <item m="1" x="236"/>
        <item m="1" x="164"/>
        <item m="1" x="120"/>
        <item m="1" x="304"/>
        <item m="1" x="204"/>
        <item m="1" x="188"/>
        <item m="1" x="119"/>
        <item m="1" x="336"/>
        <item m="1" x="255"/>
        <item m="1" x="211"/>
        <item m="1" x="18"/>
        <item m="1" x="112"/>
        <item m="1" x="286"/>
        <item m="1" x="48"/>
        <item m="1" x="263"/>
        <item m="1" x="315"/>
        <item m="1" x="258"/>
        <item m="1" x="38"/>
        <item m="1" x="94"/>
        <item m="1" x="296"/>
        <item m="1" x="190"/>
        <item m="1" x="328"/>
        <item m="1" x="28"/>
        <item m="1" x="269"/>
        <item m="1" x="134"/>
        <item m="1" x="320"/>
        <item m="1" x="83"/>
        <item m="1" x="245"/>
        <item m="1" x="329"/>
        <item m="1" x="196"/>
        <item m="1" x="205"/>
        <item m="1" x="107"/>
        <item m="1" x="129"/>
        <item m="1" x="105"/>
        <item m="1" x="21"/>
        <item m="1" x="88"/>
        <item m="1" x="285"/>
        <item m="1" x="192"/>
        <item m="1" x="171"/>
        <item m="1" x="300"/>
        <item m="1" x="23"/>
        <item m="1" x="118"/>
        <item m="1" x="178"/>
        <item m="1" x="170"/>
        <item m="1" x="252"/>
        <item m="1" x="295"/>
        <item m="1" x="212"/>
        <item m="1" x="148"/>
        <item m="1" x="84"/>
        <item m="1" x="215"/>
        <item m="1" x="19"/>
        <item m="1" x="291"/>
        <item m="1" x="334"/>
        <item m="1" x="149"/>
        <item m="1" x="150"/>
        <item m="1" x="175"/>
        <item m="1" x="337"/>
        <item m="1" x="62"/>
        <item m="1" x="90"/>
        <item m="1" x="96"/>
        <item m="1" x="271"/>
        <item m="1" x="301"/>
        <item m="1" x="347"/>
        <item m="1" x="114"/>
        <item m="1" x="292"/>
        <item m="1" x="230"/>
        <item m="1" x="108"/>
        <item m="1" x="242"/>
        <item m="1" x="317"/>
        <item m="1" x="247"/>
        <item m="1" x="206"/>
        <item m="1" x="144"/>
        <item m="1" x="342"/>
        <item m="1" x="156"/>
        <item m="1" x="325"/>
        <item m="1" x="288"/>
        <item m="1" x="202"/>
        <item m="1" x="275"/>
        <item m="1" x="146"/>
        <item m="1" x="160"/>
        <item m="1" x="326"/>
        <item m="1" x="36"/>
        <item m="1" x="46"/>
        <item m="1" x="278"/>
        <item m="1" x="250"/>
        <item m="1" x="307"/>
        <item m="1" x="32"/>
        <item m="1" x="50"/>
        <item m="1" x="71"/>
        <item m="1" x="152"/>
        <item m="1" x="201"/>
        <item m="1" x="279"/>
        <item m="1" x="168"/>
        <item m="1" x="87"/>
        <item m="1" x="13"/>
        <item m="1" x="240"/>
        <item m="1" x="280"/>
        <item m="1" x="162"/>
        <item m="1" x="169"/>
        <item m="1" x="91"/>
        <item m="1" x="132"/>
        <item m="1" x="70"/>
        <item m="1" x="161"/>
        <item m="1" x="324"/>
        <item m="1" x="193"/>
        <item m="1" x="25"/>
        <item m="1" x="309"/>
        <item m="1" x="159"/>
        <item m="1" x="115"/>
        <item m="1" x="77"/>
        <item m="1" x="235"/>
        <item m="1" x="310"/>
        <item m="1" x="92"/>
        <item m="1" x="153"/>
        <item m="1" x="43"/>
        <item m="1" x="158"/>
        <item m="1" x="239"/>
        <item m="1" x="274"/>
        <item m="1" x="345"/>
        <item m="1" x="122"/>
        <item m="1" x="232"/>
        <item m="1" x="47"/>
        <item m="1" x="314"/>
        <item m="1" x="290"/>
        <item m="1" x="167"/>
        <item m="1" x="60"/>
        <item m="1" x="100"/>
        <item m="1" x="289"/>
        <item m="1" x="209"/>
        <item m="1" x="141"/>
        <item m="1" x="293"/>
        <item m="1" x="85"/>
        <item m="1" x="42"/>
        <item m="1" x="208"/>
        <item m="1" x="53"/>
        <item m="1" x="319"/>
        <item m="1" x="297"/>
        <item m="1" x="165"/>
        <item m="1" x="344"/>
        <item m="1" x="313"/>
        <item m="1" x="308"/>
        <item m="1" x="251"/>
        <item m="1" x="126"/>
        <item m="1" x="130"/>
        <item m="1" x="343"/>
        <item m="1" x="224"/>
        <item m="1" x="348"/>
        <item m="1" x="331"/>
        <item m="1" x="216"/>
        <item m="1" x="323"/>
        <item m="1" x="20"/>
        <item m="1" x="49"/>
        <item m="1" x="302"/>
        <item m="1" x="31"/>
        <item m="1" x="103"/>
        <item m="1" x="140"/>
        <item m="1" x="243"/>
        <item m="1" x="217"/>
        <item m="1" x="173"/>
        <item m="1" x="15"/>
        <item m="1" x="270"/>
        <item m="1" x="199"/>
        <item m="1" x="121"/>
        <item m="1" x="294"/>
        <item m="1" x="109"/>
        <item m="1" x="99"/>
        <item m="1" x="234"/>
        <item m="1" x="238"/>
        <item m="1" x="266"/>
        <item m="1" x="340"/>
        <item m="1" x="54"/>
        <item m="1" x="249"/>
        <item m="1" x="241"/>
        <item m="1" x="86"/>
        <item m="1" x="186"/>
        <item m="1" x="131"/>
        <item m="1" x="133"/>
        <item m="1" x="257"/>
        <item m="1" x="41"/>
        <item m="1" x="265"/>
        <item m="1" x="259"/>
        <item m="1" x="237"/>
        <item m="1" x="74"/>
        <item m="1" x="287"/>
        <item m="1" x="338"/>
        <item m="1" x="181"/>
        <item m="1" x="30"/>
        <item m="1" x="231"/>
        <item m="1" x="76"/>
        <item m="1" x="264"/>
        <item m="1" x="273"/>
        <item m="1" x="98"/>
        <item m="1" x="64"/>
        <item m="1" x="248"/>
        <item m="1" x="256"/>
        <item m="1" x="151"/>
        <item m="1" x="157"/>
        <item m="1" x="197"/>
        <item m="1" x="225"/>
        <item m="1" x="97"/>
        <item m="1" x="185"/>
        <item m="1" x="14"/>
        <item m="1" x="37"/>
        <item m="1" x="73"/>
        <item m="1" x="172"/>
        <item m="1" x="63"/>
        <item m="1" x="207"/>
        <item m="1" x="335"/>
        <item m="1" x="198"/>
        <item m="1" x="306"/>
        <item m="1" x="139"/>
        <item m="1" x="322"/>
        <item m="1" x="184"/>
        <item m="1" x="318"/>
        <item m="1" x="321"/>
        <item m="1" x="183"/>
        <item m="1" x="12"/>
        <item m="1" x="75"/>
        <item m="1" x="40"/>
        <item m="1" x="145"/>
        <item m="1" x="182"/>
        <item m="1" x="229"/>
        <item m="1" x="277"/>
        <item m="1" x="223"/>
        <item m="1" x="330"/>
        <item m="1" x="24"/>
        <item m="1" x="72"/>
        <item m="1" x="176"/>
        <item m="1" x="276"/>
        <item m="1" x="56"/>
        <item m="1" x="61"/>
        <item m="1" x="163"/>
        <item m="1" x="27"/>
        <item m="1" x="101"/>
        <item m="1" x="44"/>
        <item m="1" x="78"/>
        <item m="1" x="51"/>
        <item m="1" x="65"/>
        <item m="1" x="200"/>
        <item m="1" x="191"/>
        <item m="1" x="166"/>
        <item m="1" x="268"/>
        <item m="1" x="26"/>
        <item m="1" x="194"/>
        <item m="1" x="210"/>
        <item m="1" x="311"/>
        <item m="1" x="110"/>
        <item m="1" x="111"/>
        <item m="1" x="203"/>
        <item m="1" x="66"/>
        <item m="1" x="104"/>
        <item m="1" x="16"/>
        <item m="1" x="244"/>
        <item m="1" x="267"/>
        <item m="1" x="261"/>
        <item m="1" x="341"/>
        <item m="1" x="339"/>
        <item m="1" x="79"/>
        <item m="1" x="187"/>
        <item m="1" x="214"/>
        <item m="1" x="254"/>
        <item m="1" x="228"/>
        <item m="1" x="143"/>
        <item m="1" x="39"/>
        <item n="GCA (500:1)" x="0"/>
        <item n="NGCA (500:1)" x="1"/>
        <item x="4"/>
        <item x="3"/>
        <item x="7"/>
        <item x="9"/>
        <item x="8"/>
        <item x="10"/>
        <item x="11"/>
        <item x="5"/>
        <item x="6"/>
        <item t="default"/>
      </items>
    </pivotField>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17"/>
  </rowFields>
  <rowItems count="1">
    <i>
      <x v="339"/>
    </i>
  </rowItems>
  <colFields count="1">
    <field x="-2"/>
  </colFields>
  <colItems count="2">
    <i>
      <x/>
    </i>
    <i i="1">
      <x v="1"/>
    </i>
  </colItems>
  <pageFields count="4">
    <pageField fld="0" hier="-1"/>
    <pageField fld="4" hier="-1"/>
    <pageField fld="121" hier="-1"/>
    <pageField fld="6" hier="-1"/>
  </pageFields>
  <dataFields count="2">
    <dataField name="Coverage" fld="84" baseField="80" baseItem="1" numFmtId="1"/>
    <dataField name="Gap" fld="87" baseField="80" baseItem="1" numFmtId="1"/>
  </dataFields>
  <formats count="16">
    <format dxfId="374">
      <pivotArea type="all" dataOnly="0" outline="0" fieldPosition="0"/>
    </format>
    <format dxfId="373">
      <pivotArea outline="0" collapsedLevelsAreSubtotals="1" fieldPosition="0"/>
    </format>
    <format dxfId="372">
      <pivotArea field="117" type="button" dataOnly="0" labelOnly="1" outline="0" axis="axisRow" fieldPosition="0"/>
    </format>
    <format dxfId="371">
      <pivotArea type="all" dataOnly="0" outline="0" fieldPosition="0"/>
    </format>
    <format dxfId="370">
      <pivotArea field="117" type="button" dataOnly="0" labelOnly="1" outline="0" axis="axisRow" fieldPosition="0"/>
    </format>
    <format dxfId="369">
      <pivotArea field="117" type="button" dataOnly="0" labelOnly="1" outline="0" axis="axisRow" fieldPosition="0"/>
    </format>
    <format dxfId="368">
      <pivotArea dataOnly="0" labelOnly="1" outline="0" fieldPosition="0">
        <references count="1">
          <reference field="4294967294" count="2">
            <x v="0"/>
            <x v="1"/>
          </reference>
        </references>
      </pivotArea>
    </format>
    <format dxfId="367">
      <pivotArea outline="0" fieldPosition="0">
        <references count="1">
          <reference field="4294967294" count="1">
            <x v="0"/>
          </reference>
        </references>
      </pivotArea>
    </format>
    <format dxfId="366">
      <pivotArea outline="0" fieldPosition="0">
        <references count="1">
          <reference field="4294967294" count="1">
            <x v="1"/>
          </reference>
        </references>
      </pivotArea>
    </format>
    <format dxfId="365">
      <pivotArea type="all" dataOnly="0" outline="0" fieldPosition="0"/>
    </format>
    <format dxfId="364">
      <pivotArea outline="0" collapsedLevelsAreSubtotals="1" fieldPosition="0"/>
    </format>
    <format dxfId="363">
      <pivotArea field="117" type="button" dataOnly="0" labelOnly="1" outline="0" axis="axisRow" fieldPosition="0"/>
    </format>
    <format dxfId="362">
      <pivotArea dataOnly="0" labelOnly="1" fieldPosition="0">
        <references count="1">
          <reference field="117" count="2">
            <x v="339"/>
            <x v="340"/>
          </reference>
        </references>
      </pivotArea>
    </format>
    <format dxfId="361">
      <pivotArea dataOnly="0" labelOnly="1" outline="0" fieldPosition="0">
        <references count="1">
          <reference field="4294967294" count="2">
            <x v="0"/>
            <x v="1"/>
          </reference>
        </references>
      </pivotArea>
    </format>
    <format dxfId="360">
      <pivotArea field="4" type="button" dataOnly="0" labelOnly="1" outline="0" axis="axisPage" fieldPosition="1"/>
    </format>
    <format dxfId="359">
      <pivotArea dataOnly="0" labelOnly="1" outline="0" fieldPosition="0">
        <references count="1">
          <reference field="4" count="1">
            <x v="2"/>
          </reference>
        </references>
      </pivotArea>
    </format>
  </formats>
  <chartFormats count="4">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14" format="14" series="1">
      <pivotArea type="data" outline="0" fieldPosition="0">
        <references count="1">
          <reference field="4294967294" count="1" selected="0">
            <x v="0"/>
          </reference>
        </references>
      </pivotArea>
    </chartFormat>
    <chartFormat chart="14" format="15"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54:D266"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2">
    <i>
      <x v="1"/>
    </i>
    <i>
      <x v="3"/>
    </i>
    <i>
      <x v="4"/>
    </i>
    <i>
      <x v="12"/>
    </i>
    <i>
      <x v="16"/>
    </i>
    <i>
      <x v="17"/>
    </i>
    <i>
      <x v="18"/>
    </i>
    <i>
      <x v="22"/>
    </i>
    <i>
      <x v="29"/>
    </i>
    <i>
      <x v="32"/>
    </i>
    <i>
      <x v="34"/>
    </i>
    <i>
      <x v="36"/>
    </i>
  </rowItems>
  <colFields count="1">
    <field x="-2"/>
  </colFields>
  <colItems count="2">
    <i>
      <x/>
    </i>
    <i i="1">
      <x v="1"/>
    </i>
  </colItems>
  <pageFields count="4">
    <pageField fld="0" hier="-1"/>
    <pageField fld="121" item="0" hier="-1"/>
    <pageField fld="4" item="0" hier="-1"/>
    <pageField fld="6" hier="-1"/>
  </pageFields>
  <dataFields count="2">
    <dataField name="  % Hygiene Coverage" fld="126" baseField="0" baseItem="0" numFmtId="1"/>
    <dataField name="  % Hygiene Gap" fld="125" baseField="0" baseItem="0" numFmtId="1"/>
  </dataFields>
  <formats count="11">
    <format dxfId="385">
      <pivotArea type="all" dataOnly="0" outline="0" fieldPosition="0"/>
    </format>
    <format dxfId="384">
      <pivotArea outline="0" collapsedLevelsAreSubtotals="1" fieldPosition="0"/>
    </format>
    <format dxfId="383">
      <pivotArea field="4" type="button" dataOnly="0" labelOnly="1" outline="0" axis="axisPage" fieldPosition="2"/>
    </format>
    <format dxfId="382">
      <pivotArea type="all" dataOnly="0" outline="0" fieldPosition="0"/>
    </format>
    <format dxfId="381">
      <pivotArea outline="0" collapsedLevelsAreSubtotals="1" fieldPosition="0"/>
    </format>
    <format dxfId="380">
      <pivotArea outline="0" collapsedLevelsAreSubtotals="1" fieldPosition="0"/>
    </format>
    <format dxfId="379">
      <pivotArea field="5" type="button" dataOnly="0" labelOnly="1" outline="0" axis="axisRow" fieldPosition="0"/>
    </format>
    <format dxfId="378">
      <pivotArea field="5" type="button" dataOnly="0" labelOnly="1" outline="0" axis="axisRow" fieldPosition="0"/>
    </format>
    <format dxfId="377">
      <pivotArea field="5" type="button" dataOnly="0" labelOnly="1" outline="0" axis="axisRow" fieldPosition="0"/>
    </format>
    <format dxfId="376">
      <pivotArea field="4" type="button" dataOnly="0" labelOnly="1" outline="0" axis="axisPage" fieldPosition="2"/>
    </format>
    <format dxfId="375">
      <pivotArea dataOnly="0" labelOnly="1" outline="0" fieldPosition="0">
        <references count="2">
          <reference field="4" count="1">
            <x v="0"/>
          </reference>
          <reference field="121" count="1" selected="0">
            <x v="0"/>
          </reference>
        </references>
      </pivotArea>
    </format>
  </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75:E178" firstHeaderRow="1" firstDataRow="2" firstDataCol="1" rowPageCount="3" colPageCount="1"/>
  <pivotFields count="131">
    <pivotField axis="axisPage" subtotalTop="0" multipleItemSelectionAllowed="1" showAll="0">
      <items count="13">
        <item m="1" x="10"/>
        <item m="1" x="4"/>
        <item m="1" x="11"/>
        <item h="1" m="1" x="5"/>
        <item m="1" x="3"/>
        <item h="1" m="1" x="2"/>
        <item h="1" m="1" x="9"/>
        <item h="1" m="1" x="6"/>
        <item h="1" m="1" x="7"/>
        <item m="1" x="8"/>
        <item h="1" x="0"/>
        <item x="1"/>
        <item t="default"/>
      </items>
    </pivotField>
    <pivotField showAll="0" defaultSubtotal="0"/>
    <pivotField showAll="0" defaultSubtotal="0"/>
    <pivotField subtotalTop="0" showAll="0"/>
    <pivotField axis="axisRow" subtotalTop="0" showAll="0">
      <items count="7">
        <item x="0"/>
        <item m="1" x="5"/>
        <item x="3"/>
        <item h="1" m="1" x="4"/>
        <item x="1"/>
        <item x="2"/>
        <item t="default"/>
      </items>
    </pivotField>
    <pivotField subtotalTop="0" showAll="0"/>
    <pivotField axis="axisPage" multipleItemSelectionAllowed="1" showAll="0" defaultSubtotal="0">
      <items count="10">
        <item x="1"/>
        <item x="0"/>
        <item m="1" x="9"/>
        <item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3"/>
        <item x="2"/>
        <item x="0"/>
        <item x="1"/>
      </items>
    </pivotField>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49"/>
  </colFields>
  <colItems count="3">
    <i>
      <x/>
    </i>
    <i>
      <x v="1"/>
    </i>
    <i>
      <x v="2"/>
    </i>
  </colItems>
  <pageFields count="3">
    <pageField fld="0" hier="-1"/>
    <pageField fld="121" item="0" hier="-1"/>
    <pageField fld="6" hier="-1"/>
  </pageFields>
  <dataFields count="1">
    <dataField name="Count of Is there provision of solid waste management equipment?" fld="49" subtotal="count" baseField="0" baseItem="0"/>
  </dataFields>
  <formats count="11">
    <format dxfId="396">
      <pivotArea type="all" dataOnly="0" outline="0" fieldPosition="0"/>
    </format>
    <format dxfId="395">
      <pivotArea outline="0" collapsedLevelsAreSubtotals="1" fieldPosition="0"/>
    </format>
    <format dxfId="394">
      <pivotArea type="origin" dataOnly="0" labelOnly="1" outline="0" fieldPosition="0"/>
    </format>
    <format dxfId="393">
      <pivotArea type="topRight" dataOnly="0" labelOnly="1" outline="0" fieldPosition="0"/>
    </format>
    <format dxfId="392">
      <pivotArea field="4" type="button" dataOnly="0" labelOnly="1" outline="0" axis="axisRow" fieldPosition="0"/>
    </format>
    <format dxfId="391">
      <pivotArea dataOnly="0" labelOnly="1" fieldPosition="0">
        <references count="1">
          <reference field="4" count="0"/>
        </references>
      </pivotArea>
    </format>
    <format dxfId="390">
      <pivotArea dataOnly="0" labelOnly="1" grandRow="1" outline="0" fieldPosition="0"/>
    </format>
    <format dxfId="389">
      <pivotArea dataOnly="0" labelOnly="1" grandCol="1" outline="0" fieldPosition="0"/>
    </format>
    <format dxfId="388">
      <pivotArea type="all" dataOnly="0" outline="0" fieldPosition="0"/>
    </format>
    <format dxfId="387">
      <pivotArea outline="0" collapsedLevelsAreSubtotals="1" fieldPosition="0"/>
    </format>
    <format dxfId="386">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rowHeaderCaption="State" colHeaderCaption=" ">
  <location ref="B86:D98"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12">
    <i>
      <x v="1"/>
    </i>
    <i>
      <x v="3"/>
    </i>
    <i>
      <x v="4"/>
    </i>
    <i>
      <x v="12"/>
    </i>
    <i>
      <x v="16"/>
    </i>
    <i>
      <x v="17"/>
    </i>
    <i>
      <x v="18"/>
    </i>
    <i>
      <x v="22"/>
    </i>
    <i>
      <x v="29"/>
    </i>
    <i>
      <x v="32"/>
    </i>
    <i>
      <x v="34"/>
    </i>
    <i>
      <x v="36"/>
    </i>
  </rowItems>
  <colFields count="1">
    <field x="-2"/>
  </colFields>
  <colItems count="2">
    <i>
      <x/>
    </i>
    <i i="1">
      <x v="1"/>
    </i>
  </colItems>
  <pageFields count="4">
    <pageField fld="0" hier="-1"/>
    <pageField fld="121" item="0" hier="-1"/>
    <pageField fld="4" item="0" hier="-1"/>
    <pageField fld="6" hier="-1"/>
  </pageFields>
  <dataFields count="2">
    <dataField name=" % Water Coverage" fld="127" baseField="0" baseItem="0"/>
    <dataField name=" % Water GAP" fld="128" baseField="0" baseItem="0"/>
  </dataFields>
  <formats count="10">
    <format dxfId="406">
      <pivotArea field="4" type="button" dataOnly="0" labelOnly="1" outline="0" axis="axisPage" fieldPosition="2"/>
    </format>
    <format dxfId="405">
      <pivotArea type="all" dataOnly="0" outline="0" fieldPosition="0"/>
    </format>
    <format dxfId="404">
      <pivotArea outline="0" collapsedLevelsAreSubtotals="1" fieldPosition="0"/>
    </format>
    <format dxfId="403">
      <pivotArea field="4" type="button" dataOnly="0" labelOnly="1" outline="0" axis="axisPage" fieldPosition="2"/>
    </format>
    <format dxfId="402">
      <pivotArea type="all" dataOnly="0" outline="0" fieldPosition="0"/>
    </format>
    <format dxfId="401">
      <pivotArea outline="0" collapsedLevelsAreSubtotals="1" fieldPosition="0"/>
    </format>
    <format dxfId="400">
      <pivotArea outline="0" collapsedLevelsAreSubtotals="1" fieldPosition="0"/>
    </format>
    <format dxfId="399">
      <pivotArea field="5" type="button" dataOnly="0" labelOnly="1" outline="0" axis="axisRow" fieldPosition="0"/>
    </format>
    <format dxfId="398">
      <pivotArea field="5" type="button" dataOnly="0" labelOnly="1" outline="0" axis="axisRow" fieldPosition="0"/>
    </format>
    <format dxfId="397">
      <pivotArea field="5" type="button" dataOnly="0" labelOnly="1" outline="0" axis="axisRow" fieldPosition="0"/>
    </format>
  </formats>
  <chartFormats count="2">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location ref="B44:D46" firstHeaderRow="0" firstDataRow="1" firstDataCol="1" rowPageCount="4" colPageCount="1"/>
  <pivotFields count="131">
    <pivotField axis="axisPage" subtotalTop="0" multipleItemSelectionAllowed="1" showAll="0">
      <items count="13">
        <item h="1"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multipleItemSelectionAllowed="1" showAll="0">
      <items count="7">
        <item x="0"/>
        <item h="1" m="1" x="5"/>
        <item h="1" x="3"/>
        <item h="1" m="1" x="4"/>
        <item h="1" x="1"/>
        <item h="1" x="2"/>
        <item t="default"/>
      </items>
    </pivotField>
    <pivotField subtotalTop="0" showAll="0"/>
    <pivotField axis="axisPage" multipleItemSelectionAllowed="1" showAll="0" defaultSubtotal="0">
      <items count="10">
        <item x="1"/>
        <item x="0"/>
        <item m="1" x="9"/>
        <item m="1" x="6"/>
        <item m="1" x="5"/>
        <item h="1" x="2"/>
        <item m="1" x="8"/>
        <item h="1" x="4"/>
        <item m="1" x="7"/>
        <item h="1"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Row" subtotalTop="0" showAll="0">
      <items count="351">
        <item x="2"/>
        <item m="1" x="195"/>
        <item m="1" x="218"/>
        <item m="1" x="349"/>
        <item m="1" x="299"/>
        <item m="1" x="189"/>
        <item m="1" x="177"/>
        <item m="1" x="136"/>
        <item m="1" x="298"/>
        <item m="1" x="135"/>
        <item m="1" x="22"/>
        <item m="1" x="283"/>
        <item m="1" x="33"/>
        <item m="1" x="128"/>
        <item m="1" x="312"/>
        <item m="1" x="106"/>
        <item m="1" x="284"/>
        <item m="1" x="305"/>
        <item m="1" x="113"/>
        <item m="1" x="227"/>
        <item m="1" x="89"/>
        <item m="1" x="127"/>
        <item m="1" x="29"/>
        <item m="1" x="213"/>
        <item m="1" x="123"/>
        <item m="1" x="147"/>
        <item m="1" x="34"/>
        <item m="1" x="174"/>
        <item m="1" x="221"/>
        <item m="1" x="155"/>
        <item m="1" x="233"/>
        <item m="1" x="180"/>
        <item m="1" x="116"/>
        <item m="1" x="35"/>
        <item m="1" x="154"/>
        <item m="1" x="59"/>
        <item m="1" x="272"/>
        <item m="1" x="253"/>
        <item m="1" x="222"/>
        <item m="1" x="68"/>
        <item m="1" x="117"/>
        <item m="1" x="137"/>
        <item m="1" x="281"/>
        <item m="1" x="333"/>
        <item m="1" x="124"/>
        <item m="1" x="67"/>
        <item m="1" x="81"/>
        <item m="1" x="179"/>
        <item m="1" x="316"/>
        <item m="1" x="346"/>
        <item m="1" x="282"/>
        <item m="1" x="57"/>
        <item m="1" x="303"/>
        <item m="1" x="52"/>
        <item m="1" x="69"/>
        <item m="1" x="226"/>
        <item m="1" x="219"/>
        <item m="1" x="58"/>
        <item m="1" x="95"/>
        <item m="1" x="138"/>
        <item m="1" x="246"/>
        <item m="1" x="262"/>
        <item m="1" x="125"/>
        <item m="1" x="93"/>
        <item m="1" x="220"/>
        <item m="1" x="45"/>
        <item m="1" x="55"/>
        <item m="1" x="260"/>
        <item m="1" x="327"/>
        <item m="1" x="80"/>
        <item m="1" x="332"/>
        <item m="1" x="142"/>
        <item m="1" x="82"/>
        <item m="1" x="17"/>
        <item m="1" x="102"/>
        <item m="1" x="236"/>
        <item m="1" x="164"/>
        <item m="1" x="120"/>
        <item m="1" x="304"/>
        <item m="1" x="204"/>
        <item m="1" x="188"/>
        <item m="1" x="119"/>
        <item m="1" x="336"/>
        <item m="1" x="255"/>
        <item m="1" x="211"/>
        <item m="1" x="18"/>
        <item m="1" x="112"/>
        <item m="1" x="286"/>
        <item m="1" x="48"/>
        <item m="1" x="263"/>
        <item m="1" x="315"/>
        <item m="1" x="258"/>
        <item m="1" x="38"/>
        <item m="1" x="94"/>
        <item m="1" x="296"/>
        <item m="1" x="190"/>
        <item m="1" x="328"/>
        <item m="1" x="28"/>
        <item m="1" x="269"/>
        <item m="1" x="134"/>
        <item m="1" x="320"/>
        <item m="1" x="83"/>
        <item m="1" x="245"/>
        <item m="1" x="329"/>
        <item m="1" x="196"/>
        <item m="1" x="205"/>
        <item m="1" x="107"/>
        <item m="1" x="129"/>
        <item m="1" x="105"/>
        <item m="1" x="21"/>
        <item m="1" x="88"/>
        <item m="1" x="285"/>
        <item m="1" x="192"/>
        <item m="1" x="171"/>
        <item m="1" x="300"/>
        <item m="1" x="23"/>
        <item m="1" x="118"/>
        <item m="1" x="178"/>
        <item m="1" x="170"/>
        <item m="1" x="252"/>
        <item m="1" x="295"/>
        <item m="1" x="212"/>
        <item m="1" x="148"/>
        <item m="1" x="84"/>
        <item m="1" x="215"/>
        <item m="1" x="19"/>
        <item m="1" x="291"/>
        <item m="1" x="334"/>
        <item m="1" x="149"/>
        <item m="1" x="150"/>
        <item m="1" x="175"/>
        <item m="1" x="337"/>
        <item m="1" x="62"/>
        <item m="1" x="90"/>
        <item m="1" x="96"/>
        <item m="1" x="271"/>
        <item m="1" x="301"/>
        <item m="1" x="347"/>
        <item m="1" x="114"/>
        <item m="1" x="292"/>
        <item m="1" x="230"/>
        <item m="1" x="108"/>
        <item m="1" x="242"/>
        <item m="1" x="317"/>
        <item m="1" x="247"/>
        <item m="1" x="206"/>
        <item m="1" x="144"/>
        <item m="1" x="342"/>
        <item m="1" x="156"/>
        <item m="1" x="325"/>
        <item m="1" x="288"/>
        <item m="1" x="202"/>
        <item m="1" x="275"/>
        <item m="1" x="146"/>
        <item m="1" x="160"/>
        <item m="1" x="326"/>
        <item m="1" x="36"/>
        <item m="1" x="46"/>
        <item m="1" x="278"/>
        <item m="1" x="250"/>
        <item m="1" x="307"/>
        <item m="1" x="32"/>
        <item m="1" x="50"/>
        <item m="1" x="71"/>
        <item m="1" x="152"/>
        <item m="1" x="201"/>
        <item m="1" x="279"/>
        <item m="1" x="168"/>
        <item m="1" x="87"/>
        <item m="1" x="13"/>
        <item m="1" x="240"/>
        <item m="1" x="280"/>
        <item m="1" x="162"/>
        <item m="1" x="169"/>
        <item m="1" x="91"/>
        <item m="1" x="132"/>
        <item m="1" x="70"/>
        <item m="1" x="161"/>
        <item m="1" x="324"/>
        <item m="1" x="193"/>
        <item m="1" x="25"/>
        <item m="1" x="309"/>
        <item m="1" x="159"/>
        <item m="1" x="115"/>
        <item m="1" x="77"/>
        <item m="1" x="235"/>
        <item m="1" x="310"/>
        <item m="1" x="92"/>
        <item m="1" x="153"/>
        <item m="1" x="43"/>
        <item m="1" x="158"/>
        <item m="1" x="239"/>
        <item m="1" x="274"/>
        <item m="1" x="345"/>
        <item m="1" x="122"/>
        <item m="1" x="232"/>
        <item m="1" x="47"/>
        <item m="1" x="314"/>
        <item m="1" x="290"/>
        <item m="1" x="167"/>
        <item m="1" x="60"/>
        <item m="1" x="100"/>
        <item m="1" x="289"/>
        <item m="1" x="209"/>
        <item m="1" x="141"/>
        <item m="1" x="293"/>
        <item m="1" x="85"/>
        <item m="1" x="42"/>
        <item m="1" x="208"/>
        <item m="1" x="53"/>
        <item m="1" x="319"/>
        <item m="1" x="297"/>
        <item m="1" x="165"/>
        <item m="1" x="344"/>
        <item m="1" x="313"/>
        <item m="1" x="308"/>
        <item m="1" x="251"/>
        <item m="1" x="126"/>
        <item m="1" x="130"/>
        <item m="1" x="343"/>
        <item m="1" x="224"/>
        <item m="1" x="348"/>
        <item m="1" x="331"/>
        <item m="1" x="216"/>
        <item m="1" x="323"/>
        <item m="1" x="20"/>
        <item m="1" x="49"/>
        <item m="1" x="302"/>
        <item m="1" x="31"/>
        <item m="1" x="103"/>
        <item m="1" x="140"/>
        <item m="1" x="243"/>
        <item m="1" x="217"/>
        <item m="1" x="173"/>
        <item m="1" x="15"/>
        <item m="1" x="270"/>
        <item m="1" x="199"/>
        <item m="1" x="121"/>
        <item m="1" x="294"/>
        <item m="1" x="109"/>
        <item m="1" x="99"/>
        <item m="1" x="234"/>
        <item m="1" x="238"/>
        <item m="1" x="266"/>
        <item m="1" x="340"/>
        <item m="1" x="54"/>
        <item m="1" x="249"/>
        <item m="1" x="241"/>
        <item m="1" x="86"/>
        <item m="1" x="186"/>
        <item m="1" x="131"/>
        <item m="1" x="133"/>
        <item m="1" x="257"/>
        <item m="1" x="41"/>
        <item m="1" x="265"/>
        <item m="1" x="259"/>
        <item m="1" x="237"/>
        <item m="1" x="74"/>
        <item m="1" x="287"/>
        <item m="1" x="338"/>
        <item m="1" x="181"/>
        <item m="1" x="30"/>
        <item m="1" x="231"/>
        <item m="1" x="76"/>
        <item m="1" x="264"/>
        <item m="1" x="273"/>
        <item m="1" x="98"/>
        <item m="1" x="64"/>
        <item m="1" x="248"/>
        <item m="1" x="256"/>
        <item m="1" x="151"/>
        <item m="1" x="157"/>
        <item m="1" x="197"/>
        <item m="1" x="225"/>
        <item m="1" x="97"/>
        <item m="1" x="185"/>
        <item m="1" x="14"/>
        <item m="1" x="37"/>
        <item m="1" x="73"/>
        <item m="1" x="172"/>
        <item m="1" x="63"/>
        <item m="1" x="207"/>
        <item m="1" x="335"/>
        <item m="1" x="198"/>
        <item m="1" x="306"/>
        <item m="1" x="139"/>
        <item m="1" x="322"/>
        <item m="1" x="184"/>
        <item m="1" x="318"/>
        <item m="1" x="321"/>
        <item m="1" x="183"/>
        <item m="1" x="12"/>
        <item m="1" x="75"/>
        <item m="1" x="40"/>
        <item m="1" x="145"/>
        <item m="1" x="182"/>
        <item m="1" x="229"/>
        <item m="1" x="277"/>
        <item m="1" x="223"/>
        <item m="1" x="330"/>
        <item m="1" x="24"/>
        <item m="1" x="72"/>
        <item m="1" x="176"/>
        <item m="1" x="276"/>
        <item m="1" x="56"/>
        <item m="1" x="61"/>
        <item m="1" x="163"/>
        <item m="1" x="27"/>
        <item m="1" x="101"/>
        <item m="1" x="44"/>
        <item m="1" x="78"/>
        <item m="1" x="51"/>
        <item m="1" x="65"/>
        <item m="1" x="200"/>
        <item m="1" x="191"/>
        <item m="1" x="166"/>
        <item m="1" x="268"/>
        <item m="1" x="26"/>
        <item m="1" x="194"/>
        <item m="1" x="210"/>
        <item m="1" x="311"/>
        <item m="1" x="110"/>
        <item m="1" x="111"/>
        <item m="1" x="203"/>
        <item m="1" x="66"/>
        <item m="1" x="104"/>
        <item m="1" x="16"/>
        <item m="1" x="244"/>
        <item m="1" x="267"/>
        <item m="1" x="261"/>
        <item m="1" x="341"/>
        <item m="1" x="339"/>
        <item m="1" x="79"/>
        <item m="1" x="187"/>
        <item m="1" x="214"/>
        <item m="1" x="254"/>
        <item m="1" x="228"/>
        <item m="1" x="143"/>
        <item m="1" x="39"/>
        <item n="GCA (500:1)" x="0"/>
        <item n="NGCA (500:1)" x="1"/>
        <item x="4"/>
        <item x="3"/>
        <item x="7"/>
        <item x="9"/>
        <item x="8"/>
        <item x="10"/>
        <item x="11"/>
        <item x="5"/>
        <item x="6"/>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17"/>
  </rowFields>
  <rowItems count="2">
    <i>
      <x v="339"/>
    </i>
    <i>
      <x v="340"/>
    </i>
  </rowItems>
  <colFields count="1">
    <field x="-2"/>
  </colFields>
  <colItems count="2">
    <i>
      <x/>
    </i>
    <i i="1">
      <x v="1"/>
    </i>
  </colItems>
  <pageFields count="4">
    <pageField fld="0" hier="-1"/>
    <pageField fld="4" hier="-1"/>
    <pageField fld="121" item="0" hier="-1"/>
    <pageField fld="6" hier="-1"/>
  </pageFields>
  <dataFields count="2">
    <dataField name="Coverage" fld="84" baseField="80" baseItem="1" numFmtId="1"/>
    <dataField name="Gap" fld="87" baseField="80" baseItem="1" numFmtId="1"/>
  </dataFields>
  <formats count="18">
    <format dxfId="424">
      <pivotArea type="all" dataOnly="0" outline="0" fieldPosition="0"/>
    </format>
    <format dxfId="423">
      <pivotArea outline="0" collapsedLevelsAreSubtotals="1" fieldPosition="0"/>
    </format>
    <format dxfId="422">
      <pivotArea field="117" type="button" dataOnly="0" labelOnly="1" outline="0" axis="axisRow" fieldPosition="0"/>
    </format>
    <format dxfId="421">
      <pivotArea dataOnly="0" labelOnly="1" fieldPosition="0">
        <references count="1">
          <reference field="117" count="0"/>
        </references>
      </pivotArea>
    </format>
    <format dxfId="420">
      <pivotArea type="all" dataOnly="0" outline="0" fieldPosition="0"/>
    </format>
    <format dxfId="419">
      <pivotArea field="117" type="button" dataOnly="0" labelOnly="1" outline="0" axis="axisRow" fieldPosition="0"/>
    </format>
    <format dxfId="418">
      <pivotArea dataOnly="0" labelOnly="1" fieldPosition="0">
        <references count="1">
          <reference field="117" count="0"/>
        </references>
      </pivotArea>
    </format>
    <format dxfId="417">
      <pivotArea field="117" type="button" dataOnly="0" labelOnly="1" outline="0" axis="axisRow" fieldPosition="0"/>
    </format>
    <format dxfId="416">
      <pivotArea dataOnly="0" labelOnly="1" outline="0" fieldPosition="0">
        <references count="1">
          <reference field="4294967294" count="2">
            <x v="0"/>
            <x v="1"/>
          </reference>
        </references>
      </pivotArea>
    </format>
    <format dxfId="415">
      <pivotArea outline="0" fieldPosition="0">
        <references count="1">
          <reference field="4294967294" count="1">
            <x v="0"/>
          </reference>
        </references>
      </pivotArea>
    </format>
    <format dxfId="414">
      <pivotArea outline="0" fieldPosition="0">
        <references count="1">
          <reference field="4294967294" count="1">
            <x v="1"/>
          </reference>
        </references>
      </pivotArea>
    </format>
    <format dxfId="413">
      <pivotArea type="all" dataOnly="0" outline="0" fieldPosition="0"/>
    </format>
    <format dxfId="412">
      <pivotArea outline="0" collapsedLevelsAreSubtotals="1" fieldPosition="0"/>
    </format>
    <format dxfId="411">
      <pivotArea field="117" type="button" dataOnly="0" labelOnly="1" outline="0" axis="axisRow" fieldPosition="0"/>
    </format>
    <format dxfId="410">
      <pivotArea dataOnly="0" labelOnly="1" fieldPosition="0">
        <references count="1">
          <reference field="117" count="2">
            <x v="339"/>
            <x v="340"/>
          </reference>
        </references>
      </pivotArea>
    </format>
    <format dxfId="409">
      <pivotArea dataOnly="0" labelOnly="1" outline="0" fieldPosition="0">
        <references count="1">
          <reference field="4294967294" count="2">
            <x v="0"/>
            <x v="1"/>
          </reference>
        </references>
      </pivotArea>
    </format>
    <format dxfId="408">
      <pivotArea field="4" type="button" dataOnly="0" labelOnly="1" outline="0" axis="axisPage" fieldPosition="1"/>
    </format>
    <format dxfId="407">
      <pivotArea dataOnly="0" labelOnly="1" outline="0" fieldPosition="0">
        <references count="2">
          <reference field="4" count="0"/>
          <reference field="121" count="1" selected="0">
            <x v="0"/>
          </reference>
        </references>
      </pivotArea>
    </format>
  </formats>
  <chartFormats count="6">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16" format="5"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1"/>
          </reference>
        </references>
      </pivotArea>
    </chartFormat>
    <chartFormat chart="18" format="9" series="1">
      <pivotArea type="data" outline="0" fieldPosition="0">
        <references count="1">
          <reference field="4294967294" count="1" selected="0">
            <x v="0"/>
          </reference>
        </references>
      </pivotArea>
    </chartFormat>
    <chartFormat chart="18" format="10"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3177BC30-AEB0-49D4-B10C-A2B3CEE63139}" name="PivotTable1"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4" rowHeaderCaption="State" colHeaderCaption=" ">
  <location ref="V194:X195"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multipleItemSelectionAllowed="1" showAll="0" defaultSubtotal="0">
      <items count="10">
        <item h="1" x="1"/>
        <item h="1" x="0"/>
        <item m="1" x="9"/>
        <item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1">
    <i>
      <x v="6"/>
    </i>
  </rowItems>
  <colFields count="1">
    <field x="-2"/>
  </colFields>
  <colItems count="2">
    <i>
      <x/>
    </i>
    <i i="1">
      <x v="1"/>
    </i>
  </colItems>
  <pageFields count="4">
    <pageField fld="0" hier="-1"/>
    <pageField fld="121" item="0" hier="-1"/>
    <pageField fld="4" item="2" hier="-1"/>
    <pageField fld="6" hier="-1"/>
  </pageFields>
  <dataFields count="2">
    <dataField name="  % Latrine Coverage" fld="129" baseField="0" baseItem="0" numFmtId="1"/>
    <dataField name="  % Latrine GAP" fld="130" baseField="0" baseItem="0" numFmtId="1"/>
  </dataFields>
  <formats count="12">
    <format dxfId="436">
      <pivotArea type="all" dataOnly="0" outline="0" fieldPosition="0"/>
    </format>
    <format dxfId="435">
      <pivotArea outline="0" collapsedLevelsAreSubtotals="1" fieldPosition="0"/>
    </format>
    <format dxfId="434">
      <pivotArea field="4" type="button" dataOnly="0" labelOnly="1" outline="0" axis="axisPage" fieldPosition="2"/>
    </format>
    <format dxfId="433">
      <pivotArea type="all" dataOnly="0" outline="0" fieldPosition="0"/>
    </format>
    <format dxfId="432">
      <pivotArea outline="0" collapsedLevelsAreSubtotals="1" fieldPosition="0"/>
    </format>
    <format dxfId="431">
      <pivotArea outline="0" collapsedLevelsAreSubtotals="1" fieldPosition="0"/>
    </format>
    <format dxfId="430">
      <pivotArea field="5" type="button" dataOnly="0" labelOnly="1" outline="0" axis="axisRow" fieldPosition="0"/>
    </format>
    <format dxfId="429">
      <pivotArea field="5" type="button" dataOnly="0" labelOnly="1" outline="0" axis="axisRow" fieldPosition="0"/>
    </format>
    <format dxfId="428">
      <pivotArea field="5" type="button" dataOnly="0" labelOnly="1" outline="0" axis="axisRow" fieldPosition="0"/>
    </format>
    <format dxfId="427">
      <pivotArea field="4" type="button" dataOnly="0" labelOnly="1" outline="0" axis="axisPage" fieldPosition="2"/>
    </format>
    <format dxfId="426">
      <pivotArea dataOnly="0" labelOnly="1" outline="0" fieldPosition="0">
        <references count="2">
          <reference field="4" count="1">
            <x v="0"/>
          </reference>
          <reference field="121" count="1" selected="0">
            <x v="0"/>
          </reference>
        </references>
      </pivotArea>
    </format>
    <format dxfId="425">
      <pivotArea dataOnly="0" labelOnly="1" outline="0" fieldPosition="0">
        <references count="2">
          <reference field="4" count="1">
            <x v="2"/>
          </reference>
          <reference field="121" count="1" selected="0">
            <x v="0"/>
          </reference>
        </references>
      </pivotArea>
    </format>
  </formats>
  <chartFormats count="2">
    <chartFormat chart="43" format="2" series="1">
      <pivotArea type="data" outline="0" fieldPosition="0">
        <references count="1">
          <reference field="4294967294" count="1" selected="0">
            <x v="0"/>
          </reference>
        </references>
      </pivotArea>
    </chartFormat>
    <chartFormat chart="43" format="3"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7" rowHeaderCaption="State" colHeaderCaption=" ">
  <location ref="B193:D205"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12">
    <i>
      <x v="1"/>
    </i>
    <i>
      <x v="3"/>
    </i>
    <i>
      <x v="4"/>
    </i>
    <i>
      <x v="12"/>
    </i>
    <i>
      <x v="16"/>
    </i>
    <i>
      <x v="17"/>
    </i>
    <i>
      <x v="18"/>
    </i>
    <i>
      <x v="22"/>
    </i>
    <i>
      <x v="29"/>
    </i>
    <i>
      <x v="32"/>
    </i>
    <i>
      <x v="34"/>
    </i>
    <i>
      <x v="36"/>
    </i>
  </rowItems>
  <colFields count="1">
    <field x="-2"/>
  </colFields>
  <colItems count="2">
    <i>
      <x/>
    </i>
    <i i="1">
      <x v="1"/>
    </i>
  </colItems>
  <pageFields count="4">
    <pageField fld="0" hier="-1"/>
    <pageField fld="121" item="0" hier="-1"/>
    <pageField fld="4" item="0" hier="-1"/>
    <pageField fld="6" hier="-1"/>
  </pageFields>
  <dataFields count="2">
    <dataField name=" % Latrine Coverage" fld="129" baseField="0" baseItem="0" numFmtId="1"/>
    <dataField name="  % Latrine GAP" fld="130" baseField="0" baseItem="0" numFmtId="1"/>
  </dataFields>
  <formats count="11">
    <format dxfId="447">
      <pivotArea type="all" dataOnly="0" outline="0" fieldPosition="0"/>
    </format>
    <format dxfId="446">
      <pivotArea outline="0" collapsedLevelsAreSubtotals="1" fieldPosition="0"/>
    </format>
    <format dxfId="445">
      <pivotArea field="4" type="button" dataOnly="0" labelOnly="1" outline="0" axis="axisPage" fieldPosition="2"/>
    </format>
    <format dxfId="444">
      <pivotArea type="all" dataOnly="0" outline="0" fieldPosition="0"/>
    </format>
    <format dxfId="443">
      <pivotArea outline="0" collapsedLevelsAreSubtotals="1" fieldPosition="0"/>
    </format>
    <format dxfId="442">
      <pivotArea outline="0" collapsedLevelsAreSubtotals="1" fieldPosition="0"/>
    </format>
    <format dxfId="441">
      <pivotArea field="5" type="button" dataOnly="0" labelOnly="1" outline="0" axis="axisRow" fieldPosition="0"/>
    </format>
    <format dxfId="440">
      <pivotArea field="5" type="button" dataOnly="0" labelOnly="1" outline="0" axis="axisRow" fieldPosition="0"/>
    </format>
    <format dxfId="439">
      <pivotArea field="5" type="button" dataOnly="0" labelOnly="1" outline="0" axis="axisRow" fieldPosition="0"/>
    </format>
    <format dxfId="438">
      <pivotArea field="4" type="button" dataOnly="0" labelOnly="1" outline="0" axis="axisPage" fieldPosition="2"/>
    </format>
    <format dxfId="437">
      <pivotArea dataOnly="0" labelOnly="1" outline="0" fieldPosition="0">
        <references count="2">
          <reference field="4" count="1">
            <x v="0"/>
          </reference>
          <reference field="121" count="1" selected="0">
            <x v="0"/>
          </reference>
        </references>
      </pivotArea>
    </format>
  </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F23" firstHeaderRow="0" firstDataRow="1" firstDataCol="1" rowPageCount="4" colPageCount="1"/>
  <pivotFields count="131">
    <pivotField axis="axisPage" subtotalTop="0" multipleItemSelectionAllowed="1" showAll="0">
      <items count="13">
        <item m="1" x="10"/>
        <item m="1" x="4"/>
        <item h="1" m="1" x="5"/>
        <item m="1" x="2"/>
        <item m="1" x="11"/>
        <item m="1" x="3"/>
        <item m="1" x="9"/>
        <item h="1" m="1" x="6"/>
        <item h="1" m="1" x="7"/>
        <item m="1" x="8"/>
        <item h="1"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sortType="ascending">
      <items count="43">
        <item m="1" x="37"/>
        <item x="0"/>
        <item x="14"/>
        <item m="1" x="39"/>
        <item x="5"/>
        <item x="6"/>
        <item x="30"/>
        <item x="27"/>
        <item x="24"/>
        <item x="17"/>
        <item x="16"/>
        <item x="32"/>
        <item x="31"/>
        <item m="1" x="40"/>
        <item x="9"/>
        <item x="28"/>
        <item x="15"/>
        <item x="19"/>
        <item x="7"/>
        <item x="8"/>
        <item m="1" x="35"/>
        <item x="1"/>
        <item x="22"/>
        <item x="25"/>
        <item x="20"/>
        <item x="3"/>
        <item m="1" x="38"/>
        <item x="29"/>
        <item x="26"/>
        <item x="33"/>
        <item m="1" x="36"/>
        <item x="13"/>
        <item x="23"/>
        <item x="10"/>
        <item m="1" x="41"/>
        <item x="21"/>
        <item x="4"/>
        <item x="18"/>
        <item x="11"/>
        <item x="12"/>
        <item x="2"/>
        <item m="1" x="34"/>
        <item t="default"/>
      </items>
    </pivotField>
    <pivotField axis="axisPage" multipleItemSelectionAllowed="1" showAll="0" defaultSubtotal="0">
      <items count="10">
        <item x="1"/>
        <item x="0"/>
        <item m="1" x="9"/>
        <item m="1" x="6"/>
        <item h="1" m="1" x="5"/>
        <item h="1" x="2"/>
        <item h="1" m="1" x="8"/>
        <item h="1" x="4"/>
        <item m="1" x="7"/>
        <item h="1"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13">
    <i>
      <x v="1"/>
    </i>
    <i>
      <x v="4"/>
    </i>
    <i>
      <x v="5"/>
    </i>
    <i>
      <x v="14"/>
    </i>
    <i>
      <x v="18"/>
    </i>
    <i>
      <x v="19"/>
    </i>
    <i>
      <x v="21"/>
    </i>
    <i>
      <x v="25"/>
    </i>
    <i>
      <x v="33"/>
    </i>
    <i>
      <x v="36"/>
    </i>
    <i>
      <x v="38"/>
    </i>
    <i>
      <x v="40"/>
    </i>
    <i t="grand">
      <x/>
    </i>
  </rowItems>
  <colFields count="1">
    <field x="-2"/>
  </colFields>
  <colItems count="4">
    <i>
      <x/>
    </i>
    <i i="1">
      <x v="1"/>
    </i>
    <i i="2">
      <x v="2"/>
    </i>
    <i i="3">
      <x v="3"/>
    </i>
  </colItems>
  <pageFields count="4">
    <pageField fld="0" hier="-1"/>
    <pageField fld="121" item="0" hier="-1"/>
    <pageField fld="4" item="0"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5">
    <format dxfId="482">
      <pivotArea type="all" dataOnly="0" outline="0" fieldPosition="0"/>
    </format>
    <format dxfId="481">
      <pivotArea outline="0" collapsedLevelsAreSubtotals="1" fieldPosition="0"/>
    </format>
    <format dxfId="480">
      <pivotArea field="5" type="button" dataOnly="0" labelOnly="1" outline="0" axis="axisRow" fieldPosition="0"/>
    </format>
    <format dxfId="479">
      <pivotArea dataOnly="0" labelOnly="1" outline="0" axis="axisValues" fieldPosition="0"/>
    </format>
    <format dxfId="478">
      <pivotArea dataOnly="0" labelOnly="1" fieldPosition="0">
        <references count="1">
          <reference field="5" count="0"/>
        </references>
      </pivotArea>
    </format>
    <format dxfId="477">
      <pivotArea dataOnly="0" labelOnly="1" grandRow="1" outline="0" fieldPosition="0"/>
    </format>
    <format dxfId="476">
      <pivotArea dataOnly="0" labelOnly="1" outline="0" axis="axisValues" fieldPosition="0"/>
    </format>
    <format dxfId="475">
      <pivotArea type="all" dataOnly="0" outline="0" fieldPosition="0"/>
    </format>
    <format dxfId="474">
      <pivotArea field="5" type="button" dataOnly="0" labelOnly="1" outline="0" axis="axisRow" fieldPosition="0"/>
    </format>
    <format dxfId="473">
      <pivotArea dataOnly="0" labelOnly="1" outline="0" axis="axisValues" fieldPosition="0"/>
    </format>
    <format dxfId="472">
      <pivotArea dataOnly="0" labelOnly="1" fieldPosition="0">
        <references count="1">
          <reference field="5" count="0"/>
        </references>
      </pivotArea>
    </format>
    <format dxfId="471">
      <pivotArea dataOnly="0" labelOnly="1" outline="0" axis="axisValues" fieldPosition="0"/>
    </format>
    <format dxfId="470">
      <pivotArea field="5" type="button" dataOnly="0" labelOnly="1" outline="0" axis="axisRow" fieldPosition="0"/>
    </format>
    <format dxfId="469">
      <pivotArea type="all" dataOnly="0" outline="0" fieldPosition="0"/>
    </format>
    <format dxfId="468">
      <pivotArea field="5" type="button" dataOnly="0" labelOnly="1" outline="0" axis="axisRow" fieldPosition="0"/>
    </format>
    <format dxfId="467">
      <pivotArea dataOnly="0" labelOnly="1" fieldPosition="0">
        <references count="1">
          <reference field="5" count="0"/>
        </references>
      </pivotArea>
    </format>
    <format dxfId="466">
      <pivotArea dataOnly="0" labelOnly="1" outline="0" fieldPosition="0">
        <references count="1">
          <reference field="4294967294" count="1">
            <x v="0"/>
          </reference>
        </references>
      </pivotArea>
    </format>
    <format dxfId="465">
      <pivotArea type="all" dataOnly="0" outline="0" fieldPosition="0"/>
    </format>
    <format dxfId="464">
      <pivotArea outline="0" collapsedLevelsAreSubtotals="1" fieldPosition="0"/>
    </format>
    <format dxfId="463">
      <pivotArea field="5" type="button" dataOnly="0" labelOnly="1" outline="0" axis="axisRow" fieldPosition="0"/>
    </format>
    <format dxfId="462">
      <pivotArea dataOnly="0" labelOnly="1" fieldPosition="0">
        <references count="1">
          <reference field="5" count="0"/>
        </references>
      </pivotArea>
    </format>
    <format dxfId="461">
      <pivotArea dataOnly="0" labelOnly="1" outline="0" fieldPosition="0">
        <references count="1">
          <reference field="4294967294" count="1">
            <x v="0"/>
          </reference>
        </references>
      </pivotArea>
    </format>
    <format dxfId="460">
      <pivotArea field="5" type="button" dataOnly="0" labelOnly="1" outline="0" axis="axisRow" fieldPosition="0"/>
    </format>
    <format dxfId="459">
      <pivotArea dataOnly="0" labelOnly="1" outline="0" fieldPosition="0">
        <references count="1">
          <reference field="4294967294" count="1">
            <x v="0"/>
          </reference>
        </references>
      </pivotArea>
    </format>
    <format dxfId="458">
      <pivotArea outline="0" collapsedLevelsAreSubtotals="1" fieldPosition="0">
        <references count="1">
          <reference field="4294967294" count="1" selected="0">
            <x v="0"/>
          </reference>
        </references>
      </pivotArea>
    </format>
    <format dxfId="457">
      <pivotArea type="all" dataOnly="0" outline="0" fieldPosition="0"/>
    </format>
    <format dxfId="456">
      <pivotArea outline="0" collapsedLevelsAreSubtotals="1" fieldPosition="0"/>
    </format>
    <format dxfId="455">
      <pivotArea field="5" type="button" dataOnly="0" labelOnly="1" outline="0" axis="axisRow" fieldPosition="0"/>
    </format>
    <format dxfId="454">
      <pivotArea dataOnly="0" labelOnly="1" fieldPosition="0">
        <references count="1">
          <reference field="5" count="13">
            <x v="1"/>
            <x v="4"/>
            <x v="5"/>
            <x v="14"/>
            <x v="18"/>
            <x v="19"/>
            <x v="21"/>
            <x v="25"/>
            <x v="33"/>
            <x v="36"/>
            <x v="38"/>
            <x v="39"/>
            <x v="40"/>
          </reference>
        </references>
      </pivotArea>
    </format>
    <format dxfId="453">
      <pivotArea dataOnly="0" labelOnly="1" grandRow="1" outline="0" fieldPosition="0"/>
    </format>
    <format dxfId="452">
      <pivotArea dataOnly="0" labelOnly="1" outline="0" fieldPosition="0">
        <references count="1">
          <reference field="4294967294" count="1">
            <x v="0"/>
          </reference>
        </references>
      </pivotArea>
    </format>
    <format dxfId="451">
      <pivotArea field="4" type="button" dataOnly="0" labelOnly="1" outline="0" axis="axisPage" fieldPosition="2"/>
    </format>
    <format dxfId="450">
      <pivotArea dataOnly="0" labelOnly="1" outline="0" fieldPosition="0">
        <references count="2">
          <reference field="4" count="1">
            <x v="0"/>
          </reference>
          <reference field="121" count="1" selected="0">
            <x v="0"/>
          </reference>
        </references>
      </pivotArea>
    </format>
    <format dxfId="449">
      <pivotArea outline="0" collapsedLevelsAreSubtotals="1" fieldPosition="0">
        <references count="1">
          <reference field="4294967294" count="1" selected="0">
            <x v="2"/>
          </reference>
        </references>
      </pivotArea>
    </format>
    <format dxfId="448">
      <pivotArea outline="0" collapsedLevelsAreSubtotals="1" fieldPosition="0">
        <references count="1">
          <reference field="4294967294" count="1" selected="0">
            <x v="3"/>
          </reference>
        </references>
      </pivotArea>
    </format>
  </formats>
  <conditionalFormats count="1">
    <conditionalFormat priority="6">
      <pivotAreas count="1">
        <pivotArea type="data" outline="0" collapsedLevelsAreSubtotals="1" fieldPosition="0">
          <references count="1">
            <reference field="4294967294" count="3" selected="0">
              <x v="1"/>
              <x v="2"/>
              <x v="3"/>
            </reference>
          </references>
        </pivotArea>
      </pivotAreas>
    </conditionalFormat>
  </conditionalFormats>
  <chartFormats count="1">
    <chartFormat chart="1" format="7" series="1">
      <pivotArea type="data" outline="0" fieldPosition="0">
        <references count="1">
          <reference field="4294967294" count="1" selected="0">
            <x v="0"/>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1"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S17:W19" firstHeaderRow="0" firstDataRow="1" firstDataCol="1" rowPageCount="3" colPageCount="1"/>
  <pivotFields count="131">
    <pivotField axis="axisRow" compact="0" outline="0" subtotalTop="0" showAll="0">
      <items count="13">
        <item m="1" x="10"/>
        <item m="1" x="5"/>
        <item m="1" x="2"/>
        <item m="1" x="4"/>
        <item m="1" x="11"/>
        <item m="1" x="3"/>
        <item m="1" x="9"/>
        <item m="1" x="6"/>
        <item m="1" x="7"/>
        <item m="1" x="8"/>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x="1"/>
        <item x="0"/>
        <item m="1" x="9"/>
        <item h="1" x="2"/>
        <item h="1" x="4"/>
        <item h="1" m="1" x="6"/>
        <item h="1" m="1" x="8"/>
        <item h="1"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6">
    <format dxfId="699">
      <pivotArea field="4" type="button" dataOnly="0" labelOnly="1" outline="0" axis="axisPage" fieldPosition="1"/>
    </format>
    <format dxfId="698">
      <pivotArea type="all" dataOnly="0" outline="0" fieldPosition="0"/>
    </format>
    <format dxfId="697">
      <pivotArea field="4" type="button" dataOnly="0" labelOnly="1" outline="0" axis="axisPage" fieldPosition="1"/>
    </format>
    <format dxfId="696">
      <pivotArea outline="0" fieldPosition="0">
        <references count="1">
          <reference field="4294967294" count="1">
            <x v="0"/>
          </reference>
        </references>
      </pivotArea>
    </format>
    <format dxfId="695">
      <pivotArea dataOnly="0" labelOnly="1" outline="0" fieldPosition="0">
        <references count="1">
          <reference field="4294967294" count="1">
            <x v="0"/>
          </reference>
        </references>
      </pivotArea>
    </format>
    <format dxfId="694">
      <pivotArea type="all" dataOnly="0" outline="0" fieldPosition="0"/>
    </format>
    <format dxfId="693">
      <pivotArea outline="0" collapsedLevelsAreSubtotals="1" fieldPosition="0"/>
    </format>
    <format dxfId="692">
      <pivotArea dataOnly="0" labelOnly="1" fieldPosition="0">
        <references count="1">
          <reference field="4" count="0"/>
        </references>
      </pivotArea>
    </format>
    <format dxfId="691">
      <pivotArea dataOnly="0" labelOnly="1" grandRow="1" outline="0" fieldPosition="0"/>
    </format>
    <format dxfId="690">
      <pivotArea dataOnly="0" labelOnly="1" outline="0" fieldPosition="0">
        <references count="1">
          <reference field="4294967294" count="1">
            <x v="0"/>
          </reference>
        </references>
      </pivotArea>
    </format>
    <format dxfId="689">
      <pivotArea type="all" dataOnly="0" outline="0" fieldPosition="0"/>
    </format>
    <format dxfId="688">
      <pivotArea outline="0" collapsedLevelsAreSubtotals="1" fieldPosition="0"/>
    </format>
    <format dxfId="687">
      <pivotArea dataOnly="0" labelOnly="1" fieldPosition="0">
        <references count="1">
          <reference field="4" count="0"/>
        </references>
      </pivotArea>
    </format>
    <format dxfId="686">
      <pivotArea dataOnly="0" labelOnly="1" grandRow="1" outline="0" fieldPosition="0"/>
    </format>
    <format dxfId="685">
      <pivotArea dataOnly="0" labelOnly="1" outline="0" fieldPosition="0">
        <references count="1">
          <reference field="4294967294" count="1">
            <x v="0"/>
          </reference>
        </references>
      </pivotArea>
    </format>
    <format dxfId="684">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18:G221" firstHeaderRow="0" firstDataRow="1" firstDataCol="1" rowPageCount="3" colPageCount="1"/>
  <pivotFields count="131">
    <pivotField axis="axisPage" subtotalTop="0" multipleItemSelectionAllowed="1" showAll="0">
      <items count="13">
        <item h="1" m="1" x="10"/>
        <item m="1" x="4"/>
        <item m="1" x="11"/>
        <item h="1" m="1" x="5"/>
        <item m="1" x="3"/>
        <item h="1" m="1" x="2"/>
        <item h="1" m="1" x="9"/>
        <item h="1" m="1" x="6"/>
        <item h="1" m="1" x="7"/>
        <item m="1" x="8"/>
        <item h="1" x="0"/>
        <item x="1"/>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x="3"/>
        <item m="1" x="6"/>
        <item m="1" x="5"/>
        <item h="1" x="2"/>
        <item m="1" x="8"/>
        <item h="1" x="4"/>
        <item m="1" x="7"/>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5">
    <i>
      <x/>
    </i>
    <i i="1">
      <x v="1"/>
    </i>
    <i i="2">
      <x v="2"/>
    </i>
    <i i="3">
      <x v="3"/>
    </i>
    <i i="4">
      <x v="4"/>
    </i>
  </colItems>
  <pageFields count="3">
    <pageField fld="0" hier="-1"/>
    <pageField fld="121" item="0" hier="-1"/>
    <pageField fld="6" hier="-1"/>
  </pageFields>
  <dataFields count="5">
    <dataField name="Sum of Total HH" fld="8" baseField="2" baseItem="0" numFmtId="3"/>
    <dataField name="Sum of # people reached by regular dedicated hygiene promotion_5" fld="98" baseField="0" baseItem="0"/>
    <dataField name="Sum of #HH with access to Hand Washing Station" fld="109" baseField="2" baseItem="0" numFmtId="3"/>
    <dataField name="Sum of #_households that received standard amount of soap for this quarter" fld="62" baseField="0" baseItem="0"/>
    <dataField name="Sum of #_households that received standard amount of sanitary pads for this quarter" fld="63" baseField="0" baseItem="0"/>
  </dataFields>
  <formats count="15">
    <format dxfId="497">
      <pivotArea type="all" dataOnly="0" outline="0" fieldPosition="0"/>
    </format>
    <format dxfId="496">
      <pivotArea type="all" dataOnly="0" outline="0" fieldPosition="0"/>
    </format>
    <format dxfId="495">
      <pivotArea outline="0" collapsedLevelsAreSubtotals="1" fieldPosition="0"/>
    </format>
    <format dxfId="494">
      <pivotArea field="4" type="button" dataOnly="0" labelOnly="1" outline="0" axis="axisRow" fieldPosition="0"/>
    </format>
    <format dxfId="493">
      <pivotArea dataOnly="0" labelOnly="1" fieldPosition="0">
        <references count="1">
          <reference field="4" count="0"/>
        </references>
      </pivotArea>
    </format>
    <format dxfId="492">
      <pivotArea dataOnly="0" labelOnly="1" grandRow="1" outline="0" fieldPosition="0"/>
    </format>
    <format dxfId="491">
      <pivotArea dataOnly="0" labelOnly="1" outline="0" fieldPosition="0">
        <references count="1">
          <reference field="4294967294" count="2">
            <x v="0"/>
            <x v="2"/>
          </reference>
        </references>
      </pivotArea>
    </format>
    <format dxfId="490">
      <pivotArea outline="0" fieldPosition="0">
        <references count="1">
          <reference field="4294967294" count="1">
            <x v="0"/>
          </reference>
        </references>
      </pivotArea>
    </format>
    <format dxfId="489">
      <pivotArea outline="0" fieldPosition="0">
        <references count="1">
          <reference field="4294967294" count="1">
            <x v="2"/>
          </reference>
        </references>
      </pivotArea>
    </format>
    <format dxfId="488">
      <pivotArea type="all" dataOnly="0" outline="0" fieldPosition="0"/>
    </format>
    <format dxfId="487">
      <pivotArea outline="0" collapsedLevelsAreSubtotals="1" fieldPosition="0"/>
    </format>
    <format dxfId="486">
      <pivotArea field="4" type="button" dataOnly="0" labelOnly="1" outline="0" axis="axisRow" fieldPosition="0"/>
    </format>
    <format dxfId="485">
      <pivotArea dataOnly="0" labelOnly="1" fieldPosition="0">
        <references count="1">
          <reference field="4" count="0"/>
        </references>
      </pivotArea>
    </format>
    <format dxfId="484">
      <pivotArea dataOnly="0" labelOnly="1" grandRow="1" outline="0" fieldPosition="0"/>
    </format>
    <format dxfId="483">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L194:N202"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multipleItemSelectionAllowed="1" showAll="0" defaultSubtotal="0">
      <items count="10">
        <item x="1"/>
        <item x="0"/>
        <item m="1" x="9"/>
        <item h="1"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8">
    <i>
      <x v="5"/>
    </i>
    <i>
      <x v="7"/>
    </i>
    <i>
      <x v="10"/>
    </i>
    <i>
      <x v="13"/>
    </i>
    <i>
      <x v="20"/>
    </i>
    <i>
      <x v="24"/>
    </i>
    <i>
      <x v="25"/>
    </i>
    <i>
      <x v="38"/>
    </i>
  </rowItems>
  <colFields count="1">
    <field x="-2"/>
  </colFields>
  <colItems count="2">
    <i>
      <x/>
    </i>
    <i i="1">
      <x v="1"/>
    </i>
  </colItems>
  <pageFields count="4">
    <pageField fld="0" hier="-1"/>
    <pageField fld="121" item="0" hier="-1"/>
    <pageField fld="4" item="2" hier="-1"/>
    <pageField fld="6" hier="-1"/>
  </pageFields>
  <dataFields count="2">
    <dataField name="  % Latrine Coverage" fld="129" baseField="0" baseItem="0" numFmtId="1"/>
    <dataField name="  % Latrine GAP" fld="130" baseField="0" baseItem="0" numFmtId="1"/>
  </dataFields>
  <formats count="12">
    <format dxfId="509">
      <pivotArea type="all" dataOnly="0" outline="0" fieldPosition="0"/>
    </format>
    <format dxfId="508">
      <pivotArea outline="0" collapsedLevelsAreSubtotals="1" fieldPosition="0"/>
    </format>
    <format dxfId="507">
      <pivotArea field="4" type="button" dataOnly="0" labelOnly="1" outline="0" axis="axisPage" fieldPosition="2"/>
    </format>
    <format dxfId="506">
      <pivotArea type="all" dataOnly="0" outline="0" fieldPosition="0"/>
    </format>
    <format dxfId="505">
      <pivotArea outline="0" collapsedLevelsAreSubtotals="1" fieldPosition="0"/>
    </format>
    <format dxfId="504">
      <pivotArea outline="0" collapsedLevelsAreSubtotals="1" fieldPosition="0"/>
    </format>
    <format dxfId="503">
      <pivotArea field="5" type="button" dataOnly="0" labelOnly="1" outline="0" axis="axisRow" fieldPosition="0"/>
    </format>
    <format dxfId="502">
      <pivotArea field="5" type="button" dataOnly="0" labelOnly="1" outline="0" axis="axisRow" fieldPosition="0"/>
    </format>
    <format dxfId="501">
      <pivotArea field="5" type="button" dataOnly="0" labelOnly="1" outline="0" axis="axisRow" fieldPosition="0"/>
    </format>
    <format dxfId="500">
      <pivotArea field="4" type="button" dataOnly="0" labelOnly="1" outline="0" axis="axisPage" fieldPosition="2"/>
    </format>
    <format dxfId="499">
      <pivotArea dataOnly="0" labelOnly="1" outline="0" fieldPosition="0">
        <references count="2">
          <reference field="4" count="1">
            <x v="0"/>
          </reference>
          <reference field="121" count="1" selected="0">
            <x v="0"/>
          </reference>
        </references>
      </pivotArea>
    </format>
    <format dxfId="498">
      <pivotArea dataOnly="0" labelOnly="1" outline="0" fieldPosition="0">
        <references count="2">
          <reference field="4" count="1">
            <x v="2"/>
          </reference>
          <reference field="121" count="1" selected="0">
            <x v="0"/>
          </reference>
        </references>
      </pivotArea>
    </format>
  </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2"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H10:L20" firstHeaderRow="0" firstDataRow="1" firstDataCol="1" rowPageCount="4" colPageCount="1"/>
  <pivotFields count="131">
    <pivotField axis="axisPage" subtotalTop="0" showAll="0">
      <items count="13">
        <item m="1" x="10"/>
        <item m="1" x="4"/>
        <item m="1" x="5"/>
        <item m="1" x="2"/>
        <item m="1" x="11"/>
        <item m="1" x="3"/>
        <item m="1" x="9"/>
        <item m="1" x="6"/>
        <item m="1" x="7"/>
        <item m="1" x="8"/>
        <item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axis="axisRow" subtotalTop="0" showAll="0">
      <items count="43">
        <item x="0"/>
        <item x="5"/>
        <item x="6"/>
        <item x="30"/>
        <item x="24"/>
        <item m="1" x="40"/>
        <item x="9"/>
        <item x="28"/>
        <item x="7"/>
        <item x="8"/>
        <item x="1"/>
        <item x="25"/>
        <item x="3"/>
        <item x="29"/>
        <item x="26"/>
        <item x="13"/>
        <item x="10"/>
        <item x="18"/>
        <item x="11"/>
        <item x="12"/>
        <item x="2"/>
        <item x="32"/>
        <item x="4"/>
        <item x="21"/>
        <item x="16"/>
        <item x="22"/>
        <item x="14"/>
        <item x="15"/>
        <item x="19"/>
        <item x="17"/>
        <item m="1" x="37"/>
        <item x="23"/>
        <item x="20"/>
        <item m="1" x="41"/>
        <item x="27"/>
        <item m="1" x="36"/>
        <item m="1" x="38"/>
        <item m="1" x="35"/>
        <item x="33"/>
        <item m="1" x="34"/>
        <item m="1" x="39"/>
        <item x="31"/>
        <item t="default"/>
      </items>
    </pivotField>
    <pivotField axis="axisPage" multipleItemSelectionAllowed="1" showAll="0" defaultSubtotal="0">
      <items count="10">
        <item x="1"/>
        <item x="0"/>
        <item m="1" x="9"/>
        <item m="1" x="6"/>
        <item h="1" m="1" x="5"/>
        <item h="1" x="2"/>
        <item h="1" m="1" x="8"/>
        <item h="1" x="4"/>
        <item m="1" x="7"/>
        <item x="3"/>
      </items>
    </pivotField>
    <pivotField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10">
    <i>
      <x v="3"/>
    </i>
    <i>
      <x v="4"/>
    </i>
    <i>
      <x v="7"/>
    </i>
    <i>
      <x v="11"/>
    </i>
    <i>
      <x v="13"/>
    </i>
    <i>
      <x v="14"/>
    </i>
    <i>
      <x v="21"/>
    </i>
    <i>
      <x v="34"/>
    </i>
    <i>
      <x v="38"/>
    </i>
    <i t="grand">
      <x/>
    </i>
  </rowItems>
  <colFields count="1">
    <field x="-2"/>
  </colFields>
  <colItems count="4">
    <i>
      <x/>
    </i>
    <i i="1">
      <x v="1"/>
    </i>
    <i i="2">
      <x v="2"/>
    </i>
    <i i="3">
      <x v="3"/>
    </i>
  </colItems>
  <pageFields count="4">
    <pageField fld="0" item="11" hier="-1"/>
    <pageField fld="121" item="0" hier="-1"/>
    <pageField fld="4" item="2" hier="-1"/>
    <pageField fld="6" hier="-1"/>
  </pageFields>
  <dataFields count="4">
    <dataField name="PoP " fld="9" baseField="0" baseItem="0" numFmtId="164"/>
    <dataField name=" % Water GAP" fld="128" baseField="0" baseItem="0" numFmtId="9"/>
    <dataField name=" % Sanitation GAP" fld="130" baseField="0" baseItem="0" numFmtId="9"/>
    <dataField name="  % Hygiene Gap" fld="125" baseField="0" baseItem="0" numFmtId="9"/>
  </dataFields>
  <formats count="38">
    <format dxfId="547">
      <pivotArea type="all" dataOnly="0" outline="0" fieldPosition="0"/>
    </format>
    <format dxfId="546">
      <pivotArea outline="0" collapsedLevelsAreSubtotals="1" fieldPosition="0"/>
    </format>
    <format dxfId="545">
      <pivotArea field="5" type="button" dataOnly="0" labelOnly="1" outline="0" axis="axisRow" fieldPosition="0"/>
    </format>
    <format dxfId="544">
      <pivotArea dataOnly="0" labelOnly="1" outline="0" axis="axisValues" fieldPosition="0"/>
    </format>
    <format dxfId="543">
      <pivotArea dataOnly="0" labelOnly="1" fieldPosition="0">
        <references count="1">
          <reference field="5" count="0"/>
        </references>
      </pivotArea>
    </format>
    <format dxfId="542">
      <pivotArea dataOnly="0" labelOnly="1" grandRow="1" outline="0" fieldPosition="0"/>
    </format>
    <format dxfId="541">
      <pivotArea dataOnly="0" labelOnly="1" outline="0" axis="axisValues" fieldPosition="0"/>
    </format>
    <format dxfId="540">
      <pivotArea type="all" dataOnly="0" outline="0" fieldPosition="0"/>
    </format>
    <format dxfId="539">
      <pivotArea field="5" type="button" dataOnly="0" labelOnly="1" outline="0" axis="axisRow" fieldPosition="0"/>
    </format>
    <format dxfId="538">
      <pivotArea dataOnly="0" labelOnly="1" outline="0" axis="axisValues" fieldPosition="0"/>
    </format>
    <format dxfId="537">
      <pivotArea dataOnly="0" labelOnly="1" fieldPosition="0">
        <references count="1">
          <reference field="5" count="0"/>
        </references>
      </pivotArea>
    </format>
    <format dxfId="536">
      <pivotArea dataOnly="0" labelOnly="1" outline="0" axis="axisValues" fieldPosition="0"/>
    </format>
    <format dxfId="535">
      <pivotArea field="5" type="button" dataOnly="0" labelOnly="1" outline="0" axis="axisRow" fieldPosition="0"/>
    </format>
    <format dxfId="534">
      <pivotArea type="all" dataOnly="0" outline="0" fieldPosition="0"/>
    </format>
    <format dxfId="533">
      <pivotArea field="5" type="button" dataOnly="0" labelOnly="1" outline="0" axis="axisRow" fieldPosition="0"/>
    </format>
    <format dxfId="532">
      <pivotArea dataOnly="0" labelOnly="1" fieldPosition="0">
        <references count="1">
          <reference field="5" count="7">
            <x v="3"/>
            <x v="4"/>
            <x v="7"/>
            <x v="11"/>
            <x v="13"/>
            <x v="14"/>
            <x v="21"/>
          </reference>
        </references>
      </pivotArea>
    </format>
    <format dxfId="531">
      <pivotArea dataOnly="0" labelOnly="1" outline="0" fieldPosition="0">
        <references count="1">
          <reference field="4294967294" count="1">
            <x v="0"/>
          </reference>
        </references>
      </pivotArea>
    </format>
    <format dxfId="530">
      <pivotArea type="all" dataOnly="0" outline="0" fieldPosition="0"/>
    </format>
    <format dxfId="529">
      <pivotArea outline="0" collapsedLevelsAreSubtotals="1" fieldPosition="0"/>
    </format>
    <format dxfId="528">
      <pivotArea field="5" type="button" dataOnly="0" labelOnly="1" outline="0" axis="axisRow" fieldPosition="0"/>
    </format>
    <format dxfId="527">
      <pivotArea dataOnly="0" labelOnly="1" fieldPosition="0">
        <references count="1">
          <reference field="5" count="7">
            <x v="3"/>
            <x v="4"/>
            <x v="7"/>
            <x v="11"/>
            <x v="13"/>
            <x v="14"/>
            <x v="21"/>
          </reference>
        </references>
      </pivotArea>
    </format>
    <format dxfId="526">
      <pivotArea dataOnly="0" labelOnly="1" outline="0" fieldPosition="0">
        <references count="1">
          <reference field="4294967294" count="1">
            <x v="0"/>
          </reference>
        </references>
      </pivotArea>
    </format>
    <format dxfId="525">
      <pivotArea field="5" type="button" dataOnly="0" labelOnly="1" outline="0" axis="axisRow" fieldPosition="0"/>
    </format>
    <format dxfId="524">
      <pivotArea dataOnly="0" labelOnly="1" outline="0" fieldPosition="0">
        <references count="1">
          <reference field="4294967294" count="1">
            <x v="0"/>
          </reference>
        </references>
      </pivotArea>
    </format>
    <format dxfId="523">
      <pivotArea type="all" dataOnly="0" outline="0" fieldPosition="0"/>
    </format>
    <format dxfId="522">
      <pivotArea outline="0" collapsedLevelsAreSubtotals="1" fieldPosition="0"/>
    </format>
    <format dxfId="521">
      <pivotArea field="5" type="button" dataOnly="0" labelOnly="1" outline="0" axis="axisRow" fieldPosition="0"/>
    </format>
    <format dxfId="520">
      <pivotArea dataOnly="0" labelOnly="1" fieldPosition="0">
        <references count="1">
          <reference field="5" count="6">
            <x v="3"/>
            <x v="4"/>
            <x v="7"/>
            <x v="11"/>
            <x v="13"/>
            <x v="14"/>
          </reference>
        </references>
      </pivotArea>
    </format>
    <format dxfId="519">
      <pivotArea dataOnly="0" labelOnly="1" grandRow="1" outline="0" fieldPosition="0"/>
    </format>
    <format dxfId="518">
      <pivotArea dataOnly="0" labelOnly="1" outline="0" fieldPosition="0">
        <references count="1">
          <reference field="4294967294" count="1">
            <x v="0"/>
          </reference>
        </references>
      </pivotArea>
    </format>
    <format dxfId="517">
      <pivotArea field="4" type="button" dataOnly="0" labelOnly="1" outline="0" axis="axisPage" fieldPosition="2"/>
    </format>
    <format dxfId="516">
      <pivotArea dataOnly="0" labelOnly="1" outline="0" fieldPosition="0">
        <references count="3">
          <reference field="0" count="1" selected="0">
            <x v="7"/>
          </reference>
          <reference field="4" count="1">
            <x v="2"/>
          </reference>
          <reference field="121" count="1" selected="0">
            <x v="0"/>
          </reference>
        </references>
      </pivotArea>
    </format>
    <format dxfId="515">
      <pivotArea dataOnly="0" labelOnly="1" outline="0" fieldPosition="0">
        <references count="3">
          <reference field="0" count="1" selected="0">
            <x v="8"/>
          </reference>
          <reference field="4" count="1">
            <x v="2"/>
          </reference>
          <reference field="121" count="1" selected="0">
            <x v="0"/>
          </reference>
        </references>
      </pivotArea>
    </format>
    <format dxfId="514">
      <pivotArea outline="0" collapsedLevelsAreSubtotals="1" fieldPosition="0">
        <references count="1">
          <reference field="4294967294" count="1" selected="0">
            <x v="0"/>
          </reference>
        </references>
      </pivotArea>
    </format>
    <format dxfId="513">
      <pivotArea dataOnly="0" labelOnly="1" outline="0" fieldPosition="0">
        <references count="3">
          <reference field="0" count="1" selected="0">
            <x v="10"/>
          </reference>
          <reference field="4" count="1">
            <x v="0"/>
          </reference>
          <reference field="121" count="1" selected="0">
            <x v="0"/>
          </reference>
        </references>
      </pivotArea>
    </format>
    <format dxfId="512">
      <pivotArea dataOnly="0" labelOnly="1" outline="0" fieldPosition="0">
        <references count="3">
          <reference field="0" count="1" selected="0">
            <x v="10"/>
          </reference>
          <reference field="4" count="1">
            <x v="2"/>
          </reference>
          <reference field="121" count="1" selected="0">
            <x v="0"/>
          </reference>
        </references>
      </pivotArea>
    </format>
    <format dxfId="511">
      <pivotArea outline="0" collapsedLevelsAreSubtotals="1" fieldPosition="0">
        <references count="1">
          <reference field="4294967294" count="3" selected="0">
            <x v="1"/>
            <x v="2"/>
            <x v="3"/>
          </reference>
        </references>
      </pivotArea>
    </format>
    <format dxfId="510">
      <pivotArea dataOnly="0" labelOnly="1" outline="0" fieldPosition="0">
        <references count="3">
          <reference field="0" count="1" selected="0">
            <x v="11"/>
          </reference>
          <reference field="4" count="1">
            <x v="2"/>
          </reference>
          <reference field="121" count="1" selected="0">
            <x v="0"/>
          </reference>
        </references>
      </pivotArea>
    </format>
  </formats>
  <conditionalFormats count="1">
    <conditionalFormat priority="2">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H282:J287" firstHeaderRow="1" firstDataRow="2" firstDataCol="1" rowPageCount="2" colPageCount="1"/>
  <pivotFields count="131">
    <pivotField axis="axisPage" subtotalTop="0" multipleItemSelectionAllowed="1" showAll="0">
      <items count="13">
        <item m="1" x="10"/>
        <item m="1" x="4"/>
        <item m="1" x="11"/>
        <item h="1" m="1" x="5"/>
        <item m="1" x="3"/>
        <item m="1" x="2"/>
        <item m="1" x="9"/>
        <item h="1" m="1" x="6"/>
        <item h="1" m="1" x="7"/>
        <item m="1" x="8"/>
        <item h="1" x="0"/>
        <item x="1"/>
        <item t="default"/>
      </items>
    </pivotField>
    <pivotField showAll="0" defaultSubtotal="0"/>
    <pivotField showAll="0" defaultSubtotal="0"/>
    <pivotField subtotalTop="0" showAll="0"/>
    <pivotField axis="axisPage" subtotalTop="0" multipleItemSelectionAllowed="1" showAll="0">
      <items count="7">
        <item h="1" x="0"/>
        <item h="1" m="1" x="5"/>
        <item x="3"/>
        <item m="1" x="4"/>
        <item h="1" x="1"/>
        <item h="1" x="2"/>
        <item t="default"/>
      </items>
    </pivotField>
    <pivotField subtotalTop="0" showAll="0"/>
    <pivotField axis="axisRow" showAll="0" defaultSubtotal="0">
      <items count="10">
        <item x="1"/>
        <item x="0"/>
        <item m="1" x="9"/>
        <item x="3"/>
        <item m="1" x="6"/>
        <item m="1" x="5"/>
        <item x="2"/>
        <item m="1" x="8"/>
        <item x="4"/>
        <item m="1" x="7"/>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3"/>
    </i>
    <i>
      <x v="6"/>
    </i>
  </rowItems>
  <colFields count="1">
    <field x="121"/>
  </colFields>
  <colItems count="2">
    <i>
      <x/>
    </i>
    <i>
      <x v="1"/>
    </i>
  </colItems>
  <pageFields count="2">
    <pageField fld="0" hier="-1"/>
    <pageField fld="4" hier="-1"/>
  </pageFields>
  <dataFields count="1">
    <dataField name="Count of Site Name" fld="7" subtotal="count" baseField="0" baseItem="0"/>
  </dataFields>
  <formats count="17">
    <format dxfId="564">
      <pivotArea type="all" dataOnly="0" outline="0" fieldPosition="0"/>
    </format>
    <format dxfId="563">
      <pivotArea outline="0" collapsedLevelsAreSubtotals="1" fieldPosition="0"/>
    </format>
    <format dxfId="562">
      <pivotArea field="4" type="button" dataOnly="0" labelOnly="1" outline="0" axis="axisPage" fieldPosition="1"/>
    </format>
    <format dxfId="561">
      <pivotArea dataOnly="0" labelOnly="1" fieldPosition="0">
        <references count="1">
          <reference field="4" count="0"/>
        </references>
      </pivotArea>
    </format>
    <format dxfId="560">
      <pivotArea dataOnly="0" labelOnly="1" grandRow="1" outline="0" fieldPosition="0"/>
    </format>
    <format dxfId="559">
      <pivotArea dataOnly="0" labelOnly="1" outline="0" fieldPosition="0">
        <references count="1">
          <reference field="4294967294" count="1">
            <x v="0"/>
          </reference>
        </references>
      </pivotArea>
    </format>
    <format dxfId="558">
      <pivotArea type="all" dataOnly="0" outline="0" fieldPosition="0"/>
    </format>
    <format dxfId="557">
      <pivotArea outline="0" collapsedLevelsAreSubtotals="1" fieldPosition="0"/>
    </format>
    <format dxfId="556">
      <pivotArea type="origin" dataOnly="0" labelOnly="1" outline="0" fieldPosition="0"/>
    </format>
    <format dxfId="555">
      <pivotArea field="121" type="button" dataOnly="0" labelOnly="1" outline="0" axis="axisCol" fieldPosition="0"/>
    </format>
    <format dxfId="554">
      <pivotArea type="topRight" dataOnly="0" labelOnly="1" outline="0" fieldPosition="0"/>
    </format>
    <format dxfId="553">
      <pivotArea dataOnly="0" labelOnly="1" fieldPosition="0">
        <references count="1">
          <reference field="121" count="0"/>
        </references>
      </pivotArea>
    </format>
    <format dxfId="552">
      <pivotArea type="all" dataOnly="0" outline="0" fieldPosition="0"/>
    </format>
    <format dxfId="551">
      <pivotArea outline="0" collapsedLevelsAreSubtotals="1" fieldPosition="0"/>
    </format>
    <format dxfId="550">
      <pivotArea dataOnly="0" labelOnly="1" fieldPosition="0">
        <references count="1">
          <reference field="121" count="0"/>
        </references>
      </pivotArea>
    </format>
    <format dxfId="549">
      <pivotArea field="4" type="button" dataOnly="0" labelOnly="1" outline="0" axis="axisPage" fieldPosition="1"/>
    </format>
    <format dxfId="548">
      <pivotArea dataOnly="0" labelOnly="1" outline="0" fieldPosition="0">
        <references count="1">
          <reference field="4" count="0"/>
        </references>
      </pivotArea>
    </format>
  </formats>
  <chartFormats count="10">
    <chartFormat chart="1" format="0" series="1">
      <pivotArea type="data" outline="0" fieldPosition="0">
        <references count="2">
          <reference field="4294967294" count="1" selected="0">
            <x v="0"/>
          </reference>
          <reference field="121" count="1" selected="0">
            <x v="0"/>
          </reference>
        </references>
      </pivotArea>
    </chartFormat>
    <chartFormat chart="1" format="1" series="1">
      <pivotArea type="data" outline="0" fieldPosition="0">
        <references count="2">
          <reference field="4294967294" count="1" selected="0">
            <x v="0"/>
          </reference>
          <reference field="121" count="1" selected="0">
            <x v="1"/>
          </reference>
        </references>
      </pivotArea>
    </chartFormat>
    <chartFormat chart="6" format="4" series="1">
      <pivotArea type="data" outline="0" fieldPosition="0">
        <references count="2">
          <reference field="4294967294" count="1" selected="0">
            <x v="0"/>
          </reference>
          <reference field="121" count="1" selected="0">
            <x v="0"/>
          </reference>
        </references>
      </pivotArea>
    </chartFormat>
    <chartFormat chart="6" format="5" series="1">
      <pivotArea type="data" outline="0" fieldPosition="0">
        <references count="2">
          <reference field="4294967294" count="1" selected="0">
            <x v="0"/>
          </reference>
          <reference field="121" count="1" selected="0">
            <x v="1"/>
          </reference>
        </references>
      </pivotArea>
    </chartFormat>
    <chartFormat chart="16" format="8" series="1">
      <pivotArea type="data" outline="0" fieldPosition="0">
        <references count="2">
          <reference field="4294967294" count="1" selected="0">
            <x v="0"/>
          </reference>
          <reference field="121" count="1" selected="0">
            <x v="0"/>
          </reference>
        </references>
      </pivotArea>
    </chartFormat>
    <chartFormat chart="16" format="9" series="1">
      <pivotArea type="data" outline="0" fieldPosition="0">
        <references count="2">
          <reference field="4294967294" count="1" selected="0">
            <x v="0"/>
          </reference>
          <reference field="121" count="1" selected="0">
            <x v="1"/>
          </reference>
        </references>
      </pivotArea>
    </chartFormat>
    <chartFormat chart="19" format="8" series="1">
      <pivotArea type="data" outline="0" fieldPosition="0">
        <references count="2">
          <reference field="4294967294" count="1" selected="0">
            <x v="0"/>
          </reference>
          <reference field="121" count="1" selected="0">
            <x v="0"/>
          </reference>
        </references>
      </pivotArea>
    </chartFormat>
    <chartFormat chart="19" format="9" series="1">
      <pivotArea type="data" outline="0" fieldPosition="0">
        <references count="2">
          <reference field="4294967294" count="1" selected="0">
            <x v="0"/>
          </reference>
          <reference field="121" count="1" selected="0">
            <x v="1"/>
          </reference>
        </references>
      </pivotArea>
    </chartFormat>
    <chartFormat chart="16" format="10" series="1">
      <pivotArea type="data" outline="0" fieldPosition="0">
        <references count="2">
          <reference field="4294967294" count="1" selected="0">
            <x v="0"/>
          </reference>
          <reference field="121" count="1" selected="0">
            <x v="3"/>
          </reference>
        </references>
      </pivotArea>
    </chartFormat>
    <chartFormat chart="19" format="10" series="1">
      <pivotArea type="data" outline="0" fieldPosition="0">
        <references count="2">
          <reference field="4294967294" count="1" selected="0">
            <x v="0"/>
          </reference>
          <reference field="121" count="1" selected="0">
            <x v="3"/>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357:I359" firstHeaderRow="0" firstDataRow="1" firstDataCol="1" rowPageCount="2" colPageCount="1"/>
  <pivotFields count="131">
    <pivotField axis="axisPage" subtotalTop="0" showAll="0">
      <items count="13">
        <item m="1" x="10"/>
        <item m="1" x="4"/>
        <item m="1" x="11"/>
        <item m="1" x="5"/>
        <item m="1" x="3"/>
        <item m="1" x="2"/>
        <item m="1" x="9"/>
        <item m="1" x="6"/>
        <item m="1" x="7"/>
        <item m="1" x="8"/>
        <item x="0"/>
        <item x="1"/>
        <item t="default"/>
      </items>
    </pivotField>
    <pivotField showAll="0" defaultSubtotal="0"/>
    <pivotField showAll="0" defaultSubtotal="0"/>
    <pivotField subtotalTop="0" showAll="0"/>
    <pivotField axis="axisRow" subtotalTop="0" multipleItemSelectionAllowed="1" showAll="0">
      <items count="7">
        <item x="0"/>
        <item m="1" x="5"/>
        <item x="3"/>
        <item h="1" m="1" x="4"/>
        <item x="1"/>
        <item x="2"/>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2">
    <pageField fld="0" item="11" hier="-1"/>
    <pageField fld="121" hier="-1"/>
  </pageFields>
  <dataFields count="6">
    <dataField name=" #_students at TLS_CFS" fld="12" baseField="4" baseItem="0"/>
    <dataField name=" #_of water points in TLS and CFS " fld="39" baseField="4" baseItem="0"/>
    <dataField name=" #_Constructed/Existing latrines in TLS" fld="53" baseField="4" baseItem="0"/>
    <dataField name=" #_Constructed/Existing hand washing stations at TLS" fld="38" baseField="4" baseItem="0"/>
    <dataField name=" #_Hygiene Promotion activities (sessions) in TLS?" fld="65" baseField="4" baseItem="0"/>
    <dataField name=" # of hand washing stations with soap in TLS" fld="110" baseField="4" baseItem="0"/>
  </dataFields>
  <formats count="22">
    <format dxfId="586">
      <pivotArea type="all" dataOnly="0" outline="0" fieldPosition="0"/>
    </format>
    <format dxfId="585">
      <pivotArea outline="0" collapsedLevelsAreSubtotals="1" fieldPosition="0"/>
    </format>
    <format dxfId="584">
      <pivotArea field="4" type="button" dataOnly="0" labelOnly="1" outline="0" axis="axisRow" fieldPosition="0"/>
    </format>
    <format dxfId="583">
      <pivotArea dataOnly="0" labelOnly="1" grandRow="1" outline="0" fieldPosition="0"/>
    </format>
    <format dxfId="582">
      <pivotArea type="all" dataOnly="0" outline="0" fieldPosition="0"/>
    </format>
    <format dxfId="581">
      <pivotArea outline="0" collapsedLevelsAreSubtotals="1" fieldPosition="0"/>
    </format>
    <format dxfId="580">
      <pivotArea type="origin" dataOnly="0" labelOnly="1" outline="0" fieldPosition="0"/>
    </format>
    <format dxfId="579">
      <pivotArea field="121" type="button" dataOnly="0" labelOnly="1" outline="0" axis="axisPage" fieldPosition="1"/>
    </format>
    <format dxfId="578">
      <pivotArea type="topRight" dataOnly="0" labelOnly="1" outline="0" fieldPosition="0"/>
    </format>
    <format dxfId="577">
      <pivotArea dataOnly="0" labelOnly="1" fieldPosition="0">
        <references count="1">
          <reference field="121" count="0"/>
        </references>
      </pivotArea>
    </format>
    <format dxfId="576">
      <pivotArea type="all" dataOnly="0" outline="0" fieldPosition="0"/>
    </format>
    <format dxfId="575">
      <pivotArea outline="0" collapsedLevelsAreSubtotals="1" fieldPosition="0"/>
    </format>
    <format dxfId="574">
      <pivotArea field="4" type="button" dataOnly="0" labelOnly="1" outline="0" axis="axisRow" fieldPosition="0"/>
    </format>
    <format dxfId="573">
      <pivotArea dataOnly="0" labelOnly="1" fieldPosition="0">
        <references count="1">
          <reference field="4" count="0"/>
        </references>
      </pivotArea>
    </format>
    <format dxfId="572">
      <pivotArea outline="0" collapsedLevelsAreSubtotals="1" fieldPosition="0"/>
    </format>
    <format dxfId="571">
      <pivotArea field="4" type="button" dataOnly="0" labelOnly="1" outline="0" axis="axisRow" fieldPosition="0"/>
    </format>
    <format dxfId="570">
      <pivotArea dataOnly="0" labelOnly="1" outline="0" fieldPosition="0">
        <references count="1">
          <reference field="4294967294" count="6">
            <x v="0"/>
            <x v="1"/>
            <x v="2"/>
            <x v="3"/>
            <x v="4"/>
            <x v="5"/>
          </reference>
        </references>
      </pivotArea>
    </format>
    <format dxfId="569">
      <pivotArea field="4" type="button" dataOnly="0" labelOnly="1" outline="0" axis="axisRow" fieldPosition="0"/>
    </format>
    <format dxfId="568">
      <pivotArea dataOnly="0" labelOnly="1" outline="0" fieldPosition="0">
        <references count="1">
          <reference field="4294967294" count="6">
            <x v="0"/>
            <x v="1"/>
            <x v="2"/>
            <x v="3"/>
            <x v="4"/>
            <x v="5"/>
          </reference>
        </references>
      </pivotArea>
    </format>
    <format dxfId="567">
      <pivotArea field="4" type="button" dataOnly="0" labelOnly="1" outline="0" axis="axisRow" fieldPosition="0"/>
    </format>
    <format dxfId="566">
      <pivotArea dataOnly="0" labelOnly="1" outline="0" fieldPosition="0">
        <references count="1">
          <reference field="4294967294" count="6">
            <x v="0"/>
            <x v="1"/>
            <x v="2"/>
            <x v="3"/>
            <x v="4"/>
            <x v="5"/>
          </reference>
        </references>
      </pivotArea>
    </format>
    <format dxfId="565">
      <pivotArea dataOnly="0" labelOnly="1" outline="0" fieldPosition="0">
        <references count="1">
          <reference field="4294967294" count="1">
            <x v="3"/>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2"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rowHeaderCaption="State" colHeaderCaption=" ">
  <location ref="K253:M262" firstHeaderRow="0" firstDataRow="1" firstDataCol="1" rowPageCount="4" colPageCount="1"/>
  <pivotFields count="131">
    <pivotField axis="axisPage" subtotalTop="0" multipleItemSelectionAllowed="1" showAll="0">
      <items count="13">
        <item m="1" x="10"/>
        <item m="1" x="4"/>
        <item h="1" m="1" x="5"/>
        <item h="1" m="1" x="2"/>
        <item m="1" x="11"/>
        <item m="1" x="3"/>
        <item h="1" m="1" x="9"/>
        <item h="1" m="1" x="6"/>
        <item h="1" m="1" x="7"/>
        <item m="1" x="8"/>
        <item h="1" x="0"/>
        <item x="1"/>
        <item t="default"/>
      </items>
    </pivotField>
    <pivotField showAll="0" defaultSubtotal="0"/>
    <pivotField showAll="0" defaultSubtotal="0"/>
    <pivotField subtotalTop="0" showAll="0"/>
    <pivotField axis="axisPage" subtotalTop="0" multipleItemSelectionAllowed="1" showAll="0">
      <items count="7">
        <item h="1" x="0"/>
        <item m="1" x="5"/>
        <item x="3"/>
        <item m="1" x="4"/>
        <item h="1" x="1"/>
        <item h="1" x="2"/>
        <item t="default"/>
      </items>
    </pivotField>
    <pivotField axis="axisRow" subtotalTop="0" showAll="0">
      <items count="43">
        <item m="1" x="37"/>
        <item x="0"/>
        <item x="14"/>
        <item x="5"/>
        <item x="6"/>
        <item x="30"/>
        <item x="27"/>
        <item x="24"/>
        <item x="17"/>
        <item x="16"/>
        <item x="32"/>
        <item m="1" x="40"/>
        <item x="9"/>
        <item x="28"/>
        <item x="15"/>
        <item x="19"/>
        <item x="7"/>
        <item x="8"/>
        <item x="1"/>
        <item x="22"/>
        <item x="25"/>
        <item x="20"/>
        <item x="3"/>
        <item m="1" x="38"/>
        <item x="29"/>
        <item x="26"/>
        <item m="1" x="36"/>
        <item x="13"/>
        <item x="23"/>
        <item x="10"/>
        <item m="1" x="41"/>
        <item x="21"/>
        <item x="4"/>
        <item x="18"/>
        <item x="11"/>
        <item x="12"/>
        <item x="2"/>
        <item m="1" x="35"/>
        <item x="33"/>
        <item m="1" x="34"/>
        <item m="1" x="39"/>
        <item x="31"/>
        <item t="default"/>
      </items>
    </pivotField>
    <pivotField axis="axisPage" multipleItemSelectionAllowed="1" showAll="0" defaultSubtotal="0">
      <items count="10">
        <item x="1"/>
        <item x="0"/>
        <item m="1" x="9"/>
        <item x="3"/>
        <item m="1" x="6"/>
        <item m="1" x="5"/>
        <item h="1" x="2"/>
        <item m="1" x="8"/>
        <item h="1" x="4"/>
        <item m="1" x="7"/>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defaultSubtota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9">
    <i>
      <x v="5"/>
    </i>
    <i>
      <x v="6"/>
    </i>
    <i>
      <x v="7"/>
    </i>
    <i>
      <x v="10"/>
    </i>
    <i>
      <x v="13"/>
    </i>
    <i>
      <x v="20"/>
    </i>
    <i>
      <x v="24"/>
    </i>
    <i>
      <x v="25"/>
    </i>
    <i>
      <x v="38"/>
    </i>
  </rowItems>
  <colFields count="1">
    <field x="-2"/>
  </colFields>
  <colItems count="2">
    <i>
      <x/>
    </i>
    <i i="1">
      <x v="1"/>
    </i>
  </colItems>
  <pageFields count="4">
    <pageField fld="0" hier="-1"/>
    <pageField fld="121" item="0" hier="-1"/>
    <pageField fld="4" hier="-1"/>
    <pageField fld="6" hier="-1"/>
  </pageFields>
  <dataFields count="2">
    <dataField name="  % Hygiene Coverage" fld="126" baseField="0" baseItem="0" numFmtId="1"/>
    <dataField name="  % Hygiene Gap" fld="125" baseField="0" baseItem="0" numFmtId="1"/>
  </dataFields>
  <formats count="11">
    <format dxfId="597">
      <pivotArea type="all" dataOnly="0" outline="0" fieldPosition="0"/>
    </format>
    <format dxfId="596">
      <pivotArea outline="0" collapsedLevelsAreSubtotals="1" fieldPosition="0"/>
    </format>
    <format dxfId="595">
      <pivotArea field="4" type="button" dataOnly="0" labelOnly="1" outline="0" axis="axisPage" fieldPosition="2"/>
    </format>
    <format dxfId="594">
      <pivotArea type="all" dataOnly="0" outline="0" fieldPosition="0"/>
    </format>
    <format dxfId="593">
      <pivotArea outline="0" collapsedLevelsAreSubtotals="1" fieldPosition="0"/>
    </format>
    <format dxfId="592">
      <pivotArea outline="0" collapsedLevelsAreSubtotals="1" fieldPosition="0"/>
    </format>
    <format dxfId="591">
      <pivotArea field="5" type="button" dataOnly="0" labelOnly="1" outline="0" axis="axisRow" fieldPosition="0"/>
    </format>
    <format dxfId="590">
      <pivotArea field="5" type="button" dataOnly="0" labelOnly="1" outline="0" axis="axisRow" fieldPosition="0"/>
    </format>
    <format dxfId="589">
      <pivotArea field="5" type="button" dataOnly="0" labelOnly="1" outline="0" axis="axisRow" fieldPosition="0"/>
    </format>
    <format dxfId="588">
      <pivotArea field="4" type="button" dataOnly="0" labelOnly="1" outline="0" axis="axisPage" fieldPosition="2"/>
    </format>
    <format dxfId="587">
      <pivotArea dataOnly="0" labelOnly="1" outline="0" fieldPosition="0">
        <references count="2">
          <reference field="4" count="0"/>
          <reference field="121" count="1" selected="0">
            <x v="0"/>
          </reference>
        </references>
      </pivotArea>
    </format>
  </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C126:E133" firstHeaderRow="1" firstDataRow="2" firstDataCol="1" rowPageCount="3" colPageCount="1"/>
  <pivotFields count="131">
    <pivotField axis="axisPage" subtotalTop="0" showAll="0">
      <items count="13">
        <item m="1" x="10"/>
        <item m="1" x="4"/>
        <item m="1" x="11"/>
        <item m="1" x="5"/>
        <item m="1" x="3"/>
        <item m="1" x="2"/>
        <item m="1" x="9"/>
        <item m="1" x="6"/>
        <item m="1" x="7"/>
        <item m="1" x="8"/>
        <item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defaultSubtota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Col" subtotalTop="0" showAll="0">
      <items count="351">
        <item x="2"/>
        <item m="1" x="195"/>
        <item m="1" x="218"/>
        <item m="1" x="349"/>
        <item m="1" x="299"/>
        <item m="1" x="189"/>
        <item m="1" x="177"/>
        <item m="1" x="136"/>
        <item m="1" x="298"/>
        <item m="1" x="135"/>
        <item m="1" x="22"/>
        <item m="1" x="283"/>
        <item m="1" x="33"/>
        <item m="1" x="128"/>
        <item m="1" x="312"/>
        <item m="1" x="106"/>
        <item m="1" x="284"/>
        <item m="1" x="305"/>
        <item m="1" x="113"/>
        <item m="1" x="227"/>
        <item m="1" x="89"/>
        <item m="1" x="127"/>
        <item m="1" x="29"/>
        <item m="1" x="213"/>
        <item m="1" x="123"/>
        <item m="1" x="147"/>
        <item m="1" x="34"/>
        <item m="1" x="174"/>
        <item m="1" x="221"/>
        <item m="1" x="155"/>
        <item m="1" x="233"/>
        <item m="1" x="180"/>
        <item m="1" x="116"/>
        <item m="1" x="35"/>
        <item m="1" x="154"/>
        <item m="1" x="59"/>
        <item m="1" x="272"/>
        <item m="1" x="253"/>
        <item m="1" x="222"/>
        <item m="1" x="68"/>
        <item m="1" x="117"/>
        <item m="1" x="137"/>
        <item m="1" x="281"/>
        <item m="1" x="333"/>
        <item m="1" x="124"/>
        <item m="1" x="67"/>
        <item m="1" x="81"/>
        <item m="1" x="179"/>
        <item m="1" x="316"/>
        <item m="1" x="346"/>
        <item m="1" x="282"/>
        <item m="1" x="57"/>
        <item m="1" x="303"/>
        <item m="1" x="52"/>
        <item m="1" x="69"/>
        <item m="1" x="226"/>
        <item m="1" x="219"/>
        <item m="1" x="58"/>
        <item m="1" x="95"/>
        <item m="1" x="138"/>
        <item m="1" x="246"/>
        <item m="1" x="262"/>
        <item m="1" x="125"/>
        <item m="1" x="93"/>
        <item m="1" x="220"/>
        <item m="1" x="45"/>
        <item m="1" x="55"/>
        <item m="1" x="260"/>
        <item m="1" x="327"/>
        <item m="1" x="80"/>
        <item m="1" x="332"/>
        <item m="1" x="142"/>
        <item m="1" x="82"/>
        <item m="1" x="17"/>
        <item m="1" x="102"/>
        <item m="1" x="236"/>
        <item m="1" x="164"/>
        <item m="1" x="120"/>
        <item m="1" x="304"/>
        <item m="1" x="204"/>
        <item m="1" x="188"/>
        <item m="1" x="119"/>
        <item m="1" x="336"/>
        <item m="1" x="255"/>
        <item m="1" x="211"/>
        <item m="1" x="18"/>
        <item m="1" x="112"/>
        <item m="1" x="286"/>
        <item m="1" x="48"/>
        <item m="1" x="263"/>
        <item m="1" x="315"/>
        <item m="1" x="258"/>
        <item m="1" x="38"/>
        <item m="1" x="94"/>
        <item m="1" x="296"/>
        <item m="1" x="190"/>
        <item m="1" x="328"/>
        <item m="1" x="28"/>
        <item m="1" x="269"/>
        <item m="1" x="134"/>
        <item m="1" x="320"/>
        <item m="1" x="83"/>
        <item m="1" x="245"/>
        <item m="1" x="329"/>
        <item m="1" x="196"/>
        <item m="1" x="205"/>
        <item m="1" x="107"/>
        <item m="1" x="129"/>
        <item m="1" x="105"/>
        <item m="1" x="21"/>
        <item m="1" x="88"/>
        <item m="1" x="285"/>
        <item m="1" x="192"/>
        <item m="1" x="171"/>
        <item m="1" x="300"/>
        <item m="1" x="23"/>
        <item m="1" x="118"/>
        <item m="1" x="178"/>
        <item m="1" x="170"/>
        <item m="1" x="252"/>
        <item m="1" x="295"/>
        <item m="1" x="212"/>
        <item m="1" x="148"/>
        <item m="1" x="84"/>
        <item m="1" x="215"/>
        <item m="1" x="19"/>
        <item m="1" x="291"/>
        <item m="1" x="334"/>
        <item m="1" x="149"/>
        <item m="1" x="150"/>
        <item m="1" x="175"/>
        <item m="1" x="337"/>
        <item m="1" x="62"/>
        <item m="1" x="90"/>
        <item m="1" x="96"/>
        <item m="1" x="271"/>
        <item m="1" x="301"/>
        <item m="1" x="347"/>
        <item m="1" x="114"/>
        <item m="1" x="292"/>
        <item m="1" x="230"/>
        <item m="1" x="108"/>
        <item m="1" x="242"/>
        <item m="1" x="317"/>
        <item m="1" x="247"/>
        <item m="1" x="206"/>
        <item m="1" x="144"/>
        <item m="1" x="342"/>
        <item m="1" x="156"/>
        <item m="1" x="325"/>
        <item m="1" x="288"/>
        <item m="1" x="202"/>
        <item m="1" x="275"/>
        <item m="1" x="146"/>
        <item m="1" x="160"/>
        <item m="1" x="326"/>
        <item m="1" x="36"/>
        <item m="1" x="46"/>
        <item m="1" x="278"/>
        <item m="1" x="250"/>
        <item m="1" x="307"/>
        <item m="1" x="32"/>
        <item m="1" x="50"/>
        <item m="1" x="71"/>
        <item m="1" x="152"/>
        <item m="1" x="201"/>
        <item m="1" x="279"/>
        <item m="1" x="168"/>
        <item m="1" x="87"/>
        <item m="1" x="13"/>
        <item m="1" x="240"/>
        <item m="1" x="280"/>
        <item m="1" x="162"/>
        <item m="1" x="169"/>
        <item m="1" x="91"/>
        <item m="1" x="132"/>
        <item m="1" x="70"/>
        <item m="1" x="161"/>
        <item m="1" x="324"/>
        <item m="1" x="193"/>
        <item m="1" x="25"/>
        <item m="1" x="309"/>
        <item m="1" x="159"/>
        <item m="1" x="115"/>
        <item m="1" x="77"/>
        <item m="1" x="235"/>
        <item m="1" x="310"/>
        <item m="1" x="92"/>
        <item m="1" x="153"/>
        <item m="1" x="43"/>
        <item m="1" x="158"/>
        <item m="1" x="239"/>
        <item m="1" x="274"/>
        <item m="1" x="345"/>
        <item m="1" x="122"/>
        <item m="1" x="232"/>
        <item m="1" x="47"/>
        <item m="1" x="314"/>
        <item m="1" x="290"/>
        <item m="1" x="167"/>
        <item m="1" x="60"/>
        <item m="1" x="100"/>
        <item m="1" x="289"/>
        <item m="1" x="209"/>
        <item m="1" x="141"/>
        <item m="1" x="293"/>
        <item m="1" x="85"/>
        <item m="1" x="42"/>
        <item m="1" x="208"/>
        <item m="1" x="53"/>
        <item m="1" x="319"/>
        <item m="1" x="297"/>
        <item m="1" x="165"/>
        <item m="1" x="344"/>
        <item m="1" x="313"/>
        <item m="1" x="308"/>
        <item m="1" x="251"/>
        <item m="1" x="126"/>
        <item m="1" x="130"/>
        <item m="1" x="343"/>
        <item m="1" x="224"/>
        <item m="1" x="348"/>
        <item m="1" x="331"/>
        <item m="1" x="216"/>
        <item m="1" x="323"/>
        <item m="1" x="20"/>
        <item m="1" x="49"/>
        <item m="1" x="302"/>
        <item m="1" x="31"/>
        <item m="1" x="103"/>
        <item m="1" x="140"/>
        <item m="1" x="243"/>
        <item m="1" x="217"/>
        <item m="1" x="173"/>
        <item m="1" x="15"/>
        <item m="1" x="270"/>
        <item m="1" x="199"/>
        <item m="1" x="121"/>
        <item m="1" x="294"/>
        <item m="1" x="109"/>
        <item m="1" x="99"/>
        <item m="1" x="234"/>
        <item m="1" x="238"/>
        <item m="1" x="266"/>
        <item m="1" x="340"/>
        <item m="1" x="54"/>
        <item m="1" x="249"/>
        <item m="1" x="241"/>
        <item m="1" x="86"/>
        <item m="1" x="186"/>
        <item m="1" x="131"/>
        <item m="1" x="133"/>
        <item m="1" x="257"/>
        <item m="1" x="41"/>
        <item m="1" x="265"/>
        <item m="1" x="259"/>
        <item m="1" x="237"/>
        <item m="1" x="74"/>
        <item m="1" x="287"/>
        <item m="1" x="338"/>
        <item m="1" x="181"/>
        <item m="1" x="30"/>
        <item m="1" x="231"/>
        <item m="1" x="76"/>
        <item m="1" x="264"/>
        <item m="1" x="273"/>
        <item m="1" x="98"/>
        <item m="1" x="64"/>
        <item m="1" x="248"/>
        <item m="1" x="256"/>
        <item m="1" x="151"/>
        <item m="1" x="157"/>
        <item m="1" x="197"/>
        <item m="1" x="225"/>
        <item m="1" x="97"/>
        <item m="1" x="185"/>
        <item m="1" x="14"/>
        <item m="1" x="37"/>
        <item m="1" x="73"/>
        <item m="1" x="172"/>
        <item m="1" x="63"/>
        <item m="1" x="207"/>
        <item m="1" x="335"/>
        <item m="1" x="198"/>
        <item m="1" x="306"/>
        <item m="1" x="139"/>
        <item m="1" x="322"/>
        <item m="1" x="184"/>
        <item m="1" x="318"/>
        <item m="1" x="321"/>
        <item m="1" x="183"/>
        <item m="1" x="12"/>
        <item m="1" x="75"/>
        <item m="1" x="40"/>
        <item m="1" x="145"/>
        <item m="1" x="182"/>
        <item m="1" x="229"/>
        <item m="1" x="277"/>
        <item m="1" x="223"/>
        <item m="1" x="330"/>
        <item m="1" x="24"/>
        <item m="1" x="72"/>
        <item m="1" x="176"/>
        <item m="1" x="276"/>
        <item m="1" x="56"/>
        <item m="1" x="61"/>
        <item m="1" x="163"/>
        <item m="1" x="27"/>
        <item m="1" x="101"/>
        <item m="1" x="44"/>
        <item m="1" x="78"/>
        <item m="1" x="51"/>
        <item m="1" x="65"/>
        <item m="1" x="200"/>
        <item m="1" x="191"/>
        <item m="1" x="166"/>
        <item m="1" x="268"/>
        <item m="1" x="26"/>
        <item m="1" x="194"/>
        <item m="1" x="210"/>
        <item m="1" x="311"/>
        <item m="1" x="110"/>
        <item m="1" x="111"/>
        <item m="1" x="203"/>
        <item m="1" x="66"/>
        <item m="1" x="104"/>
        <item m="1" x="16"/>
        <item m="1" x="244"/>
        <item m="1" x="267"/>
        <item m="1" x="261"/>
        <item m="1" x="341"/>
        <item m="1" x="339"/>
        <item m="1" x="79"/>
        <item m="1" x="187"/>
        <item m="1" x="214"/>
        <item m="1" x="254"/>
        <item m="1" x="228"/>
        <item m="1" x="143"/>
        <item m="1" x="39"/>
        <item n="# in GCA (20:1)" x="0"/>
        <item n="# in NGCA (20:1)" x="1"/>
        <item x="4"/>
        <item x="3"/>
        <item x="7"/>
        <item x="9"/>
        <item x="8"/>
        <item x="10"/>
        <item x="11"/>
        <item x="5"/>
        <item x="6"/>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117"/>
  </colFields>
  <colItems count="2">
    <i>
      <x v="339"/>
    </i>
    <i>
      <x v="340"/>
    </i>
  </colItems>
  <pageFields count="3">
    <pageField fld="0" item="11" hier="-1"/>
    <pageField fld="4" item="0" hier="-1"/>
    <pageField fld="121" item="0" hier="-1"/>
  </pageFields>
  <dataFields count="6">
    <dataField name="# latrines (target)" fld="94" baseField="0" baseItem="0"/>
    <dataField name="# Operation &amp; maintenance of latrines" fld="45" baseField="0" baseItem="0"/>
    <dataField name="# Latrines desludged" fld="46" baseField="0" baseItem="0"/>
    <dataField name="# handed over" fld="48" baseField="0" baseItem="0"/>
    <dataField name="Sum of # Existing functional latrines" fld="89" baseField="0" baseItem="0"/>
    <dataField name="  Total # of latrine" fld="123" baseField="0" baseItem="0"/>
  </dataFields>
  <formats count="15">
    <format dxfId="612">
      <pivotArea field="4" type="button" dataOnly="0" labelOnly="1" outline="0" axis="axisPage" fieldPosition="1"/>
    </format>
    <format dxfId="611">
      <pivotArea type="all" dataOnly="0" outline="0" fieldPosition="0"/>
    </format>
    <format dxfId="610">
      <pivotArea type="origin" dataOnly="0" labelOnly="1" outline="0" fieldPosition="0"/>
    </format>
    <format dxfId="609">
      <pivotArea type="topRight" dataOnly="0" labelOnly="1" outline="0" fieldPosition="0"/>
    </format>
    <format dxfId="608">
      <pivotArea field="-2" type="button" dataOnly="0" labelOnly="1" outline="0" axis="axisRow" fieldPosition="0"/>
    </format>
    <format dxfId="607">
      <pivotArea type="all" dataOnly="0" outline="0" fieldPosition="0"/>
    </format>
    <format dxfId="606">
      <pivotArea outline="0" collapsedLevelsAreSubtotals="1" fieldPosition="0"/>
    </format>
    <format dxfId="605">
      <pivotArea type="origin" dataOnly="0" labelOnly="1" outline="0" fieldPosition="0"/>
    </format>
    <format dxfId="604">
      <pivotArea type="topRight" dataOnly="0" labelOnly="1" outline="0" fieldPosition="0"/>
    </format>
    <format dxfId="603">
      <pivotArea field="-2" type="button" dataOnly="0" labelOnly="1" outline="0" axis="axisRow" fieldPosition="0"/>
    </format>
    <format dxfId="602">
      <pivotArea dataOnly="0" labelOnly="1" outline="0" fieldPosition="0">
        <references count="3">
          <reference field="0" count="1" selected="0">
            <x v="7"/>
          </reference>
          <reference field="4" count="1">
            <x v="0"/>
          </reference>
          <reference field="121" count="1" selected="0">
            <x v="0"/>
          </reference>
        </references>
      </pivotArea>
    </format>
    <format dxfId="601">
      <pivotArea type="all" dataOnly="0" outline="0" fieldPosition="0"/>
    </format>
    <format dxfId="600">
      <pivotArea outline="0" collapsedLevelsAreSubtotals="1" fieldPosition="0"/>
    </format>
    <format dxfId="599">
      <pivotArea dataOnly="0" labelOnly="1" outline="0" fieldPosition="0">
        <references count="1">
          <reference field="4294967294" count="1">
            <x v="0"/>
          </reference>
        </references>
      </pivotArea>
    </format>
    <format dxfId="598">
      <pivotArea dataOnly="0" labelOnly="1" fieldPosition="0">
        <references count="1">
          <reference field="117" count="2">
            <x v="339"/>
            <x v="34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2"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9">
  <location ref="J126:K133" firstHeaderRow="1" firstDataRow="2" firstDataCol="1" rowPageCount="3" colPageCount="1"/>
  <pivotFields count="131">
    <pivotField axis="axisPage" subtotalTop="0" multipleItemSelectionAllowed="1" showAll="0">
      <items count="13">
        <item m="1" x="10"/>
        <item m="1" x="4"/>
        <item m="1" x="11"/>
        <item h="1" m="1" x="5"/>
        <item m="1" x="3"/>
        <item h="1" m="1" x="2"/>
        <item h="1" m="1" x="9"/>
        <item h="1" m="1" x="6"/>
        <item h="1" m="1" x="7"/>
        <item m="1" x="8"/>
        <item h="1" x="0"/>
        <item x="1"/>
        <item t="default"/>
      </items>
    </pivotField>
    <pivotField showAll="0" defaultSubtotal="0"/>
    <pivotField showAll="0" defaultSubtotal="0"/>
    <pivotField subtotalTop="0" showAll="0"/>
    <pivotField axis="axisPage" subtotalTop="0" multipleItemSelectionAllowed="1" showAll="0">
      <items count="7">
        <item h="1" x="0"/>
        <item h="1" m="1" x="5"/>
        <item x="3"/>
        <item m="1" x="4"/>
        <item h="1" x="1"/>
        <item h="1" x="2"/>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defaultSubtota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subtotalTop="0" showAll="0"/>
    <pivotField subtotalTop="0" showAll="0"/>
    <pivotField subtotalTop="0" showAll="0"/>
    <pivotField subtotalTop="0" showAll="0"/>
    <pivotField axis="axisCol" subtotalTop="0" showAll="0">
      <items count="351">
        <item h="1" x="2"/>
        <item h="1" m="1" x="195"/>
        <item h="1" m="1" x="218"/>
        <item h="1" m="1" x="349"/>
        <item h="1" m="1" x="299"/>
        <item h="1" m="1" x="189"/>
        <item h="1" m="1" x="177"/>
        <item h="1" m="1" x="136"/>
        <item h="1" m="1" x="298"/>
        <item h="1" m="1" x="135"/>
        <item h="1" m="1" x="22"/>
        <item h="1" m="1" x="283"/>
        <item h="1" m="1" x="33"/>
        <item h="1" m="1" x="128"/>
        <item h="1" m="1" x="312"/>
        <item h="1" m="1" x="106"/>
        <item h="1" m="1" x="284"/>
        <item h="1" m="1" x="305"/>
        <item h="1" m="1" x="113"/>
        <item h="1" m="1" x="227"/>
        <item h="1" m="1" x="89"/>
        <item h="1" m="1" x="127"/>
        <item h="1" m="1" x="29"/>
        <item h="1" m="1" x="213"/>
        <item h="1" m="1" x="123"/>
        <item h="1" m="1" x="147"/>
        <item h="1" m="1" x="34"/>
        <item h="1" m="1" x="174"/>
        <item h="1" m="1" x="221"/>
        <item h="1" m="1" x="155"/>
        <item h="1" m="1" x="233"/>
        <item h="1" m="1" x="180"/>
        <item h="1" m="1" x="116"/>
        <item h="1" m="1" x="35"/>
        <item h="1" m="1" x="154"/>
        <item h="1" m="1" x="59"/>
        <item h="1" m="1" x="272"/>
        <item h="1" m="1" x="253"/>
        <item h="1" m="1" x="222"/>
        <item h="1" m="1" x="68"/>
        <item h="1" m="1" x="117"/>
        <item h="1" m="1" x="137"/>
        <item h="1" m="1" x="281"/>
        <item h="1" m="1" x="333"/>
        <item h="1" m="1" x="124"/>
        <item h="1" m="1" x="67"/>
        <item h="1" m="1" x="81"/>
        <item h="1" m="1" x="179"/>
        <item h="1" m="1" x="316"/>
        <item h="1" m="1" x="346"/>
        <item h="1" m="1" x="282"/>
        <item h="1" m="1" x="57"/>
        <item h="1" m="1" x="303"/>
        <item h="1" m="1" x="52"/>
        <item h="1" m="1" x="69"/>
        <item h="1" m="1" x="226"/>
        <item h="1" m="1" x="219"/>
        <item h="1" m="1" x="58"/>
        <item h="1" m="1" x="95"/>
        <item h="1" m="1" x="138"/>
        <item h="1" m="1" x="246"/>
        <item h="1" m="1" x="262"/>
        <item h="1" m="1" x="125"/>
        <item h="1" m="1" x="93"/>
        <item h="1" m="1" x="220"/>
        <item h="1" m="1" x="45"/>
        <item h="1" m="1" x="55"/>
        <item h="1" m="1" x="260"/>
        <item h="1" m="1" x="327"/>
        <item h="1" m="1" x="80"/>
        <item h="1" m="1" x="332"/>
        <item h="1" m="1" x="142"/>
        <item h="1" m="1" x="82"/>
        <item h="1" m="1" x="17"/>
        <item h="1" m="1" x="102"/>
        <item h="1" m="1" x="236"/>
        <item h="1" m="1" x="164"/>
        <item h="1" m="1" x="120"/>
        <item h="1" m="1" x="304"/>
        <item h="1" m="1" x="204"/>
        <item h="1" m="1" x="188"/>
        <item h="1" m="1" x="119"/>
        <item h="1" m="1" x="336"/>
        <item h="1" m="1" x="255"/>
        <item h="1" m="1" x="211"/>
        <item h="1" m="1" x="18"/>
        <item h="1" m="1" x="112"/>
        <item h="1" m="1" x="286"/>
        <item h="1" m="1" x="48"/>
        <item h="1" m="1" x="263"/>
        <item h="1" m="1" x="315"/>
        <item h="1" m="1" x="258"/>
        <item h="1" m="1" x="38"/>
        <item h="1" m="1" x="94"/>
        <item h="1" m="1" x="296"/>
        <item h="1" m="1" x="190"/>
        <item h="1" m="1" x="328"/>
        <item h="1" m="1" x="28"/>
        <item h="1" m="1" x="269"/>
        <item h="1" m="1" x="134"/>
        <item h="1" m="1" x="320"/>
        <item h="1" m="1" x="83"/>
        <item h="1" m="1" x="245"/>
        <item h="1" m="1" x="329"/>
        <item h="1" m="1" x="196"/>
        <item h="1" m="1" x="205"/>
        <item h="1" m="1" x="107"/>
        <item h="1" m="1" x="129"/>
        <item h="1" m="1" x="105"/>
        <item h="1" m="1" x="21"/>
        <item h="1" m="1" x="88"/>
        <item h="1" m="1" x="285"/>
        <item h="1" m="1" x="192"/>
        <item h="1" m="1" x="171"/>
        <item h="1" m="1" x="300"/>
        <item h="1" m="1" x="23"/>
        <item h="1" m="1" x="118"/>
        <item h="1" m="1" x="178"/>
        <item h="1" m="1" x="170"/>
        <item h="1" m="1" x="252"/>
        <item h="1" m="1" x="295"/>
        <item h="1" m="1" x="212"/>
        <item h="1" m="1" x="148"/>
        <item h="1" m="1" x="84"/>
        <item h="1" m="1" x="215"/>
        <item h="1" m="1" x="19"/>
        <item h="1" m="1" x="291"/>
        <item h="1" m="1" x="334"/>
        <item h="1" m="1" x="149"/>
        <item h="1" m="1" x="150"/>
        <item h="1" m="1" x="175"/>
        <item h="1" m="1" x="337"/>
        <item h="1" m="1" x="62"/>
        <item h="1" m="1" x="90"/>
        <item h="1" m="1" x="96"/>
        <item h="1" m="1" x="271"/>
        <item h="1" m="1" x="301"/>
        <item h="1" m="1" x="347"/>
        <item h="1" m="1" x="114"/>
        <item h="1" m="1" x="292"/>
        <item h="1" m="1" x="230"/>
        <item h="1" m="1" x="108"/>
        <item h="1" m="1" x="242"/>
        <item h="1" m="1" x="317"/>
        <item h="1" m="1" x="247"/>
        <item h="1" m="1" x="206"/>
        <item h="1" m="1" x="144"/>
        <item h="1" m="1" x="342"/>
        <item h="1" m="1" x="156"/>
        <item h="1" m="1" x="325"/>
        <item h="1" m="1" x="288"/>
        <item h="1" m="1" x="202"/>
        <item h="1" m="1" x="275"/>
        <item h="1" m="1" x="146"/>
        <item h="1" m="1" x="160"/>
        <item h="1" m="1" x="326"/>
        <item h="1" m="1" x="36"/>
        <item h="1" m="1" x="46"/>
        <item h="1" m="1" x="278"/>
        <item h="1" m="1" x="250"/>
        <item h="1" m="1" x="307"/>
        <item h="1" m="1" x="32"/>
        <item h="1" m="1" x="50"/>
        <item h="1" m="1" x="71"/>
        <item h="1" m="1" x="152"/>
        <item h="1" m="1" x="201"/>
        <item h="1" m="1" x="279"/>
        <item h="1" m="1" x="168"/>
        <item h="1" m="1" x="87"/>
        <item h="1" m="1" x="13"/>
        <item h="1" m="1" x="240"/>
        <item h="1" m="1" x="280"/>
        <item h="1" m="1" x="162"/>
        <item h="1" m="1" x="169"/>
        <item h="1" m="1" x="91"/>
        <item h="1" m="1" x="132"/>
        <item h="1" m="1" x="70"/>
        <item h="1" m="1" x="161"/>
        <item h="1" m="1" x="324"/>
        <item h="1" m="1" x="193"/>
        <item h="1" m="1" x="25"/>
        <item h="1" m="1" x="309"/>
        <item h="1" m="1" x="159"/>
        <item h="1" m="1" x="115"/>
        <item h="1" m="1" x="77"/>
        <item h="1" m="1" x="235"/>
        <item h="1" m="1" x="310"/>
        <item h="1" m="1" x="92"/>
        <item h="1" m="1" x="153"/>
        <item h="1" m="1" x="43"/>
        <item h="1" m="1" x="158"/>
        <item h="1" m="1" x="239"/>
        <item h="1" m="1" x="274"/>
        <item h="1" m="1" x="345"/>
        <item h="1" m="1" x="122"/>
        <item h="1" m="1" x="232"/>
        <item h="1" m="1" x="47"/>
        <item h="1" m="1" x="314"/>
        <item h="1" m="1" x="290"/>
        <item h="1" m="1" x="167"/>
        <item h="1" m="1" x="60"/>
        <item h="1" m="1" x="100"/>
        <item h="1" m="1" x="289"/>
        <item h="1" m="1" x="209"/>
        <item h="1" m="1" x="141"/>
        <item h="1" m="1" x="293"/>
        <item h="1" m="1" x="85"/>
        <item h="1" m="1" x="42"/>
        <item h="1" m="1" x="208"/>
        <item h="1" m="1" x="53"/>
        <item h="1" m="1" x="319"/>
        <item h="1" m="1" x="297"/>
        <item h="1" m="1" x="165"/>
        <item h="1" m="1" x="344"/>
        <item h="1" m="1" x="313"/>
        <item h="1" m="1" x="308"/>
        <item h="1" m="1" x="251"/>
        <item h="1" m="1" x="126"/>
        <item h="1" m="1" x="130"/>
        <item h="1" m="1" x="343"/>
        <item h="1" m="1" x="224"/>
        <item h="1" m="1" x="348"/>
        <item h="1" m="1" x="331"/>
        <item h="1" m="1" x="216"/>
        <item h="1" m="1" x="323"/>
        <item h="1" m="1" x="20"/>
        <item h="1" m="1" x="49"/>
        <item h="1" m="1" x="302"/>
        <item h="1" m="1" x="31"/>
        <item h="1" m="1" x="103"/>
        <item h="1" m="1" x="140"/>
        <item h="1" m="1" x="243"/>
        <item h="1" m="1" x="217"/>
        <item h="1" m="1" x="173"/>
        <item h="1" m="1" x="15"/>
        <item h="1" m="1" x="270"/>
        <item h="1" m="1" x="199"/>
        <item h="1" m="1" x="121"/>
        <item h="1" m="1" x="294"/>
        <item h="1" m="1" x="109"/>
        <item h="1" m="1" x="99"/>
        <item h="1" m="1" x="234"/>
        <item h="1" m="1" x="238"/>
        <item h="1" m="1" x="266"/>
        <item h="1" m="1" x="340"/>
        <item h="1" m="1" x="54"/>
        <item h="1" m="1" x="249"/>
        <item h="1" m="1" x="241"/>
        <item h="1" m="1" x="86"/>
        <item h="1" m="1" x="186"/>
        <item h="1" m="1" x="131"/>
        <item h="1" m="1" x="133"/>
        <item h="1" m="1" x="257"/>
        <item h="1" m="1" x="41"/>
        <item h="1" m="1" x="265"/>
        <item h="1" m="1" x="259"/>
        <item h="1" m="1" x="237"/>
        <item h="1" m="1" x="74"/>
        <item h="1" m="1" x="287"/>
        <item h="1" m="1" x="338"/>
        <item h="1" m="1" x="181"/>
        <item h="1" m="1" x="30"/>
        <item h="1" m="1" x="231"/>
        <item h="1" m="1" x="76"/>
        <item h="1" m="1" x="264"/>
        <item h="1" m="1" x="273"/>
        <item h="1" m="1" x="98"/>
        <item h="1" m="1" x="64"/>
        <item h="1" m="1" x="248"/>
        <item h="1" m="1" x="256"/>
        <item h="1" m="1" x="151"/>
        <item h="1" m="1" x="157"/>
        <item h="1" m="1" x="197"/>
        <item h="1" m="1" x="225"/>
        <item h="1" m="1" x="97"/>
        <item h="1" m="1" x="185"/>
        <item h="1" m="1" x="14"/>
        <item h="1" m="1" x="37"/>
        <item h="1" m="1" x="73"/>
        <item h="1" m="1" x="172"/>
        <item h="1" m="1" x="63"/>
        <item h="1" m="1" x="207"/>
        <item h="1" m="1" x="335"/>
        <item h="1" m="1" x="198"/>
        <item h="1" m="1" x="306"/>
        <item h="1" m="1" x="139"/>
        <item h="1" m="1" x="322"/>
        <item h="1" m="1" x="184"/>
        <item h="1" m="1" x="318"/>
        <item h="1" m="1" x="321"/>
        <item h="1" m="1" x="183"/>
        <item h="1" m="1" x="12"/>
        <item h="1" m="1" x="75"/>
        <item h="1" m="1" x="40"/>
        <item h="1" m="1" x="145"/>
        <item h="1" m="1" x="182"/>
        <item h="1" m="1" x="229"/>
        <item h="1" m="1" x="277"/>
        <item h="1" m="1" x="223"/>
        <item h="1" m="1" x="330"/>
        <item h="1" m="1" x="24"/>
        <item h="1" m="1" x="72"/>
        <item h="1" m="1" x="176"/>
        <item h="1" m="1" x="276"/>
        <item h="1" m="1" x="56"/>
        <item h="1" m="1" x="61"/>
        <item h="1" m="1" x="163"/>
        <item h="1" m="1" x="27"/>
        <item h="1" m="1" x="101"/>
        <item h="1" m="1" x="44"/>
        <item h="1" m="1" x="78"/>
        <item h="1" m="1" x="51"/>
        <item h="1" m="1" x="65"/>
        <item h="1" m="1" x="200"/>
        <item h="1" m="1" x="191"/>
        <item h="1" m="1" x="166"/>
        <item h="1" m="1" x="268"/>
        <item h="1" m="1" x="26"/>
        <item h="1" m="1" x="194"/>
        <item h="1" m="1" x="210"/>
        <item h="1" m="1" x="311"/>
        <item h="1" m="1" x="110"/>
        <item h="1" m="1" x="111"/>
        <item h="1" m="1" x="203"/>
        <item h="1" m="1" x="66"/>
        <item h="1" m="1" x="104"/>
        <item h="1" m="1" x="16"/>
        <item h="1" m="1" x="244"/>
        <item h="1" m="1" x="267"/>
        <item h="1" m="1" x="261"/>
        <item h="1" m="1" x="341"/>
        <item h="1" m="1" x="339"/>
        <item h="1" m="1" x="79"/>
        <item h="1" m="1" x="187"/>
        <item h="1" m="1" x="214"/>
        <item h="1" m="1" x="254"/>
        <item h="1" m="1" x="228"/>
        <item h="1" m="1" x="143"/>
        <item h="1" m="1" x="39"/>
        <item n="# in GCA (20:1)" x="0"/>
        <item n="# in NGCA (20:1)" x="1"/>
        <item h="1" x="4"/>
        <item h="1" x="3"/>
        <item h="1" x="7"/>
        <item h="1" x="9"/>
        <item h="1" x="8"/>
        <item h="1" x="10"/>
        <item h="1" x="11"/>
        <item h="1" x="5"/>
        <item h="1" x="6"/>
        <item t="default"/>
      </items>
    </pivotField>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117"/>
  </colFields>
  <colItems count="1">
    <i>
      <x v="339"/>
    </i>
  </colItems>
  <pageFields count="3">
    <pageField fld="0" hier="-1"/>
    <pageField fld="4" hier="-1"/>
    <pageField fld="121" hier="-1"/>
  </pageFields>
  <dataFields count="6">
    <dataField name="# latrines (target)" fld="94" baseField="0" baseItem="0"/>
    <dataField name="# Operation &amp; maintenance of latrines" fld="45" baseField="0" baseItem="0"/>
    <dataField name="# Latrines desludged" fld="46" baseField="0" baseItem="0"/>
    <dataField name="# handed over" fld="48" baseField="0" baseItem="0"/>
    <dataField name="Sum of # Existing functional latrines" fld="89" baseField="0" baseItem="0"/>
    <dataField name="  Total # of latrine" fld="123" baseField="0" baseItem="0"/>
  </dataFields>
  <formats count="10">
    <format dxfId="622">
      <pivotArea field="4" type="button" dataOnly="0" labelOnly="1" outline="0" axis="axisPage" fieldPosition="1"/>
    </format>
    <format dxfId="621">
      <pivotArea type="all" dataOnly="0" outline="0" fieldPosition="0"/>
    </format>
    <format dxfId="620">
      <pivotArea outline="0" collapsedLevelsAreSubtotals="1" fieldPosition="0"/>
    </format>
    <format dxfId="619">
      <pivotArea type="origin" dataOnly="0" labelOnly="1" outline="0" fieldPosition="0"/>
    </format>
    <format dxfId="618">
      <pivotArea type="topRight" dataOnly="0" labelOnly="1" outline="0" fieldPosition="0"/>
    </format>
    <format dxfId="617">
      <pivotArea field="-2" type="button" dataOnly="0" labelOnly="1" outline="0" axis="axisRow" fieldPosition="0"/>
    </format>
    <format dxfId="616">
      <pivotArea type="all" dataOnly="0" outline="0" fieldPosition="0"/>
    </format>
    <format dxfId="615">
      <pivotArea dataOnly="0" labelOnly="1" outline="0" fieldPosition="0">
        <references count="1">
          <reference field="4294967294" count="1">
            <x v="0"/>
          </reference>
        </references>
      </pivotArea>
    </format>
    <format dxfId="614">
      <pivotArea field="4" type="button" dataOnly="0" labelOnly="1" outline="0" axis="axisPage" fieldPosition="1"/>
    </format>
    <format dxfId="613">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41" firstHeaderRow="0" firstDataRow="1" firstDataCol="2" rowPageCount="1" colPageCount="1"/>
  <pivotFields count="131">
    <pivotField axis="axisPage" compact="0" outline="0" multipleItemSelectionAllowed="1" showAll="0">
      <items count="13">
        <item m="1" x="9"/>
        <item m="1" x="10"/>
        <item m="1" x="4"/>
        <item m="1" x="11"/>
        <item m="1" x="5"/>
        <item m="1" x="3"/>
        <item m="1" x="2"/>
        <item m="1" x="6"/>
        <item m="1" x="7"/>
        <item m="1" x="8"/>
        <item x="0"/>
        <item x="1"/>
        <item t="default"/>
      </items>
    </pivotField>
    <pivotField compact="0" outline="0" showAll="0" defaultSubtotal="0">
      <items count="47">
        <item x="16"/>
        <item x="32"/>
        <item x="33"/>
        <item x="13"/>
        <item x="21"/>
        <item x="19"/>
        <item x="15"/>
        <item x="38"/>
        <item x="4"/>
        <item x="8"/>
        <item x="3"/>
        <item x="39"/>
        <item x="40"/>
        <item x="12"/>
        <item x="22"/>
        <item x="1"/>
        <item x="6"/>
        <item x="27"/>
        <item x="31"/>
        <item x="26"/>
        <item x="25"/>
        <item x="24"/>
        <item m="1" x="44"/>
        <item x="28"/>
        <item m="1" x="42"/>
        <item x="29"/>
        <item x="2"/>
        <item x="23"/>
        <item x="35"/>
        <item x="34"/>
        <item x="17"/>
        <item m="1" x="43"/>
        <item x="14"/>
        <item m="1" x="46"/>
        <item x="18"/>
        <item x="10"/>
        <item x="20"/>
        <item x="9"/>
        <item x="37"/>
        <item m="1" x="45"/>
        <item x="5"/>
        <item x="0"/>
        <item x="11"/>
        <item x="30"/>
        <item x="7"/>
        <item x="36"/>
        <item m="1" x="41"/>
      </items>
    </pivotField>
    <pivotField compact="0" outline="0" showAll="0" defaultSubtotal="0"/>
    <pivotField compact="0" outline="0" showAll="0"/>
    <pivotField axis="axisRow" compact="0" outline="0" showAll="0">
      <items count="7">
        <item h="1" x="0"/>
        <item h="1" m="1" x="5"/>
        <item x="3"/>
        <item h="1" m="1" x="4"/>
        <item h="1" x="1"/>
        <item h="1" x="2"/>
        <item t="default"/>
      </items>
    </pivotField>
    <pivotField axis="axisRow" compact="0" outline="0" showAll="0">
      <items count="43">
        <item m="1" x="37"/>
        <item x="0"/>
        <item x="14"/>
        <item x="5"/>
        <item x="6"/>
        <item x="30"/>
        <item x="27"/>
        <item x="24"/>
        <item x="17"/>
        <item x="16"/>
        <item x="32"/>
        <item m="1" x="40"/>
        <item x="9"/>
        <item x="28"/>
        <item x="15"/>
        <item x="19"/>
        <item x="7"/>
        <item x="8"/>
        <item x="1"/>
        <item x="22"/>
        <item x="25"/>
        <item x="20"/>
        <item x="3"/>
        <item x="29"/>
        <item x="26"/>
        <item m="1" x="36"/>
        <item x="13"/>
        <item x="23"/>
        <item x="10"/>
        <item m="1" x="41"/>
        <item x="21"/>
        <item x="4"/>
        <item x="18"/>
        <item x="11"/>
        <item x="12"/>
        <item x="2"/>
        <item m="1" x="38"/>
        <item m="1" x="35"/>
        <item x="33"/>
        <item m="1" x="34"/>
        <item m="1" x="39"/>
        <item x="31"/>
        <item t="default"/>
      </items>
    </pivotField>
    <pivotField compact="0" outline="0" showAll="0" defaultSubtotal="0">
      <items count="10">
        <item x="1"/>
        <item x="0"/>
        <item m="1" x="9"/>
        <item x="3"/>
        <item m="1" x="6"/>
        <item m="1" x="5"/>
        <item x="2"/>
        <item m="1" x="8"/>
        <item x="4"/>
        <item m="1" x="7"/>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12">
    <i>
      <x v="2"/>
      <x v="5"/>
    </i>
    <i r="1">
      <x v="6"/>
    </i>
    <i r="1">
      <x v="7"/>
    </i>
    <i r="1">
      <x v="10"/>
    </i>
    <i r="1">
      <x v="13"/>
    </i>
    <i r="1">
      <x v="20"/>
    </i>
    <i r="1">
      <x v="23"/>
    </i>
    <i r="1">
      <x v="24"/>
    </i>
    <i r="1">
      <x v="38"/>
    </i>
    <i r="1">
      <x v="41"/>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02" baseField="0" baseItem="0"/>
    <dataField name="Number of people with equitable and continuous access to safe sanitation facilities" fld="91" baseField="0" baseItem="0"/>
    <dataField name="Number of people with equitable and continuous access to sufficient quantity of domestic water" fld="83" baseField="0" baseItem="0"/>
  </dataFields>
  <formats count="25">
    <format dxfId="95">
      <pivotArea field="4" type="button" dataOnly="0" labelOnly="1" outline="0" axis="axisRow" fieldPosition="0"/>
    </format>
    <format dxfId="94">
      <pivotArea field="5" type="button" dataOnly="0" labelOnly="1" outline="0" axis="axisRow" fieldPosition="1"/>
    </format>
    <format dxfId="93">
      <pivotArea dataOnly="0" labelOnly="1" outline="0" fieldPosition="0">
        <references count="1">
          <reference field="4294967294" count="1">
            <x v="0"/>
          </reference>
        </references>
      </pivotArea>
    </format>
    <format dxfId="92">
      <pivotArea field="4" type="button" dataOnly="0" labelOnly="1" outline="0" axis="axisRow" fieldPosition="0"/>
    </format>
    <format dxfId="91">
      <pivotArea field="5" type="button" dataOnly="0" labelOnly="1" outline="0" axis="axisRow" fieldPosition="1"/>
    </format>
    <format dxfId="90">
      <pivotArea dataOnly="0" labelOnly="1" outline="0" fieldPosition="0">
        <references count="1">
          <reference field="4294967294" count="1">
            <x v="0"/>
          </reference>
        </references>
      </pivotArea>
    </format>
    <format dxfId="89">
      <pivotArea field="4" type="button" dataOnly="0" labelOnly="1" outline="0" axis="axisRow" fieldPosition="0"/>
    </format>
    <format dxfId="88">
      <pivotArea field="5" type="button" dataOnly="0" labelOnly="1" outline="0" axis="axisRow" fieldPosition="1"/>
    </format>
    <format dxfId="87">
      <pivotArea dataOnly="0" labelOnly="1" outline="0" fieldPosition="0">
        <references count="1">
          <reference field="4294967294" count="1">
            <x v="0"/>
          </reference>
        </references>
      </pivotArea>
    </format>
    <format dxfId="86">
      <pivotArea dataOnly="0" labelOnly="1" outline="0" fieldPosition="0">
        <references count="1">
          <reference field="4294967294" count="1">
            <x v="0"/>
          </reference>
        </references>
      </pivotArea>
    </format>
    <format dxfId="85">
      <pivotArea dataOnly="0" labelOnly="1" outline="0" fieldPosition="0">
        <references count="1">
          <reference field="4294967294" count="1">
            <x v="0"/>
          </reference>
        </references>
      </pivotArea>
    </format>
    <format dxfId="84">
      <pivotArea type="all" dataOnly="0" outline="0" fieldPosition="0"/>
    </format>
    <format dxfId="83">
      <pivotArea outline="0" collapsedLevelsAreSubtotals="1" fieldPosition="0"/>
    </format>
    <format dxfId="82">
      <pivotArea field="4" type="button" dataOnly="0" labelOnly="1" outline="0" axis="axisRow" fieldPosition="0"/>
    </format>
    <format dxfId="81">
      <pivotArea field="5" type="button" dataOnly="0" labelOnly="1" outline="0" axis="axisRow" fieldPosition="1"/>
    </format>
    <format dxfId="80">
      <pivotArea dataOnly="0" labelOnly="1" outline="0" fieldPosition="0">
        <references count="1">
          <reference field="4" count="0"/>
        </references>
      </pivotArea>
    </format>
    <format dxfId="79">
      <pivotArea dataOnly="0" labelOnly="1" outline="0" fieldPosition="0">
        <references count="1">
          <reference field="4" count="0" defaultSubtotal="1"/>
        </references>
      </pivotArea>
    </format>
    <format dxfId="78">
      <pivotArea dataOnly="0" labelOnly="1" grandRow="1" outline="0" fieldPosition="0"/>
    </format>
    <format dxfId="77">
      <pivotArea dataOnly="0" labelOnly="1" outline="0" fieldPosition="0">
        <references count="2">
          <reference field="4" count="1" selected="0">
            <x v="0"/>
          </reference>
          <reference field="5" count="13">
            <x v="1"/>
            <x v="3"/>
            <x v="4"/>
            <x v="12"/>
            <x v="16"/>
            <x v="17"/>
            <x v="18"/>
            <x v="22"/>
            <x v="28"/>
            <x v="31"/>
            <x v="33"/>
            <x v="34"/>
            <x v="35"/>
          </reference>
        </references>
      </pivotArea>
    </format>
    <format dxfId="7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75">
      <pivotArea dataOnly="0" labelOnly="1" outline="0" fieldPosition="0">
        <references count="2">
          <reference field="4" count="1" selected="0">
            <x v="1"/>
          </reference>
          <reference field="5" count="12">
            <x v="0"/>
            <x v="2"/>
            <x v="8"/>
            <x v="9"/>
            <x v="14"/>
            <x v="15"/>
            <x v="19"/>
            <x v="21"/>
            <x v="26"/>
            <x v="27"/>
            <x v="30"/>
            <x v="32"/>
          </reference>
        </references>
      </pivotArea>
    </format>
    <format dxfId="7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73">
      <pivotArea dataOnly="0" labelOnly="1" outline="0" fieldPosition="0">
        <references count="2">
          <reference field="4" count="1" selected="0">
            <x v="2"/>
          </reference>
          <reference field="5" count="7">
            <x v="5"/>
            <x v="6"/>
            <x v="7"/>
            <x v="13"/>
            <x v="20"/>
            <x v="23"/>
            <x v="24"/>
          </reference>
        </references>
      </pivotArea>
    </format>
    <format dxfId="72">
      <pivotArea dataOnly="0" labelOnly="1" outline="0" fieldPosition="0">
        <references count="2">
          <reference field="4" count="1" selected="0">
            <x v="2"/>
          </reference>
          <reference field="5" count="7" defaultSubtotal="1">
            <x v="5"/>
            <x v="6"/>
            <x v="7"/>
            <x v="13"/>
            <x v="20"/>
            <x v="23"/>
            <x v="24"/>
          </reference>
        </references>
      </pivotArea>
    </format>
    <format dxfId="7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242" firstHeaderRow="0" firstDataRow="1" firstDataCol="1" rowPageCount="3" colPageCount="1"/>
  <pivotFields count="131">
    <pivotField axis="axisPage" compact="0" outline="0" showAll="0">
      <items count="13">
        <item m="1" x="9"/>
        <item m="1" x="10"/>
        <item m="1" x="4"/>
        <item m="1" x="11"/>
        <item m="1" x="5"/>
        <item m="1" x="3"/>
        <item m="1" x="2"/>
        <item m="1" x="6"/>
        <item m="1" x="7"/>
        <item m="1" x="8"/>
        <item x="0"/>
        <item x="1"/>
        <item t="default"/>
      </items>
    </pivotField>
    <pivotField compact="0" outline="0" showAll="0" defaultSubtotal="0"/>
    <pivotField compact="0" outline="0" showAll="0" defaultSubtotal="0">
      <items count="46">
        <item x="17"/>
        <item x="34"/>
        <item x="35"/>
        <item x="14"/>
        <item x="22"/>
        <item x="20"/>
        <item x="16"/>
        <item x="39"/>
        <item x="4"/>
        <item x="8"/>
        <item x="3"/>
        <item x="40"/>
        <item x="41"/>
        <item x="12"/>
        <item x="23"/>
        <item x="1"/>
        <item x="6"/>
        <item x="10"/>
        <item x="28"/>
        <item x="30"/>
        <item x="32"/>
        <item x="27"/>
        <item x="26"/>
        <item m="1" x="45"/>
        <item x="25"/>
        <item x="29"/>
        <item m="1" x="43"/>
        <item x="2"/>
        <item x="24"/>
        <item x="37"/>
        <item x="36"/>
        <item x="18"/>
        <item x="15"/>
        <item x="19"/>
        <item x="21"/>
        <item x="9"/>
        <item x="38"/>
        <item m="1" x="44"/>
        <item x="5"/>
        <item x="0"/>
        <item x="11"/>
        <item x="31"/>
        <item x="33"/>
        <item x="13"/>
        <item x="7"/>
        <item m="1" x="42"/>
      </items>
    </pivotField>
    <pivotField compact="0" outline="0" showAll="0"/>
    <pivotField axis="axisPage" compact="0" outline="0" showAll="0">
      <items count="7">
        <item x="0"/>
        <item m="1" x="5"/>
        <item x="3"/>
        <item m="1" x="4"/>
        <item x="1"/>
        <item x="2"/>
        <item t="default"/>
      </items>
    </pivotField>
    <pivotField axis="axisPage" compact="0" outline="0" showAll="0">
      <items count="43">
        <item m="1" x="37"/>
        <item x="0"/>
        <item x="14"/>
        <item x="5"/>
        <item x="6"/>
        <item x="30"/>
        <item x="27"/>
        <item x="24"/>
        <item x="17"/>
        <item x="16"/>
        <item x="32"/>
        <item m="1" x="40"/>
        <item x="9"/>
        <item x="28"/>
        <item x="15"/>
        <item x="19"/>
        <item x="7"/>
        <item x="8"/>
        <item x="1"/>
        <item x="22"/>
        <item x="25"/>
        <item x="20"/>
        <item x="3"/>
        <item x="29"/>
        <item x="26"/>
        <item m="1" x="36"/>
        <item x="13"/>
        <item x="23"/>
        <item x="10"/>
        <item m="1" x="41"/>
        <item x="21"/>
        <item x="4"/>
        <item x="18"/>
        <item x="11"/>
        <item x="12"/>
        <item x="2"/>
        <item m="1" x="38"/>
        <item m="1" x="35"/>
        <item x="33"/>
        <item m="1" x="34"/>
        <item m="1" x="39"/>
        <item x="31"/>
        <item t="default"/>
      </items>
    </pivotField>
    <pivotField compact="0" outline="0" showAll="0" defaultSubtotal="0">
      <items count="10">
        <item x="1"/>
        <item x="0"/>
        <item m="1" x="9"/>
        <item x="3"/>
        <item m="1" x="6"/>
        <item m="1" x="5"/>
        <item x="2"/>
        <item m="1" x="8"/>
        <item x="4"/>
        <item m="1" x="7"/>
      </items>
    </pivotField>
    <pivotField axis="axisRow" compact="0" outline="0" showAll="0">
      <items count="982">
        <item x="16"/>
        <item x="0"/>
        <item x="1"/>
        <item x="19"/>
        <item x="20"/>
        <item x="2"/>
        <item m="1" x="622"/>
        <item m="1" x="744"/>
        <item x="350"/>
        <item m="1" x="598"/>
        <item m="1" x="730"/>
        <item m="1" x="789"/>
        <item m="1" x="796"/>
        <item m="1" x="687"/>
        <item m="1" x="599"/>
        <item m="1" x="930"/>
        <item m="1" x="883"/>
        <item m="1" x="605"/>
        <item m="1" x="817"/>
        <item x="377"/>
        <item x="331"/>
        <item x="162"/>
        <item x="367"/>
        <item m="1" x="925"/>
        <item m="1" x="638"/>
        <item m="1" x="858"/>
        <item m="1" x="657"/>
        <item m="1" x="667"/>
        <item m="1" x="665"/>
        <item m="1" x="620"/>
        <item x="4"/>
        <item x="185"/>
        <item m="1" x="970"/>
        <item m="1" x="823"/>
        <item m="1" x="694"/>
        <item m="1" x="632"/>
        <item x="21"/>
        <item m="1" x="658"/>
        <item x="221"/>
        <item m="1" x="877"/>
        <item m="1" x="907"/>
        <item x="222"/>
        <item x="303"/>
        <item x="248"/>
        <item m="1" x="854"/>
        <item m="1" x="855"/>
        <item m="1" x="736"/>
        <item x="3"/>
        <item m="1" x="655"/>
        <item x="5"/>
        <item m="1" x="965"/>
        <item m="1" x="943"/>
        <item m="1" x="822"/>
        <item x="43"/>
        <item x="295"/>
        <item m="1" x="815"/>
        <item m="1" x="833"/>
        <item m="1" x="552"/>
        <item m="1" x="562"/>
        <item x="22"/>
        <item m="1" x="913"/>
        <item m="1" x="675"/>
        <item m="1" x="631"/>
        <item m="1" x="673"/>
        <item x="13"/>
        <item m="1" x="768"/>
        <item m="1" x="849"/>
        <item m="1" x="548"/>
        <item m="1" x="820"/>
        <item x="304"/>
        <item x="305"/>
        <item m="1" x="564"/>
        <item m="1" x="640"/>
        <item m="1" x="909"/>
        <item x="23"/>
        <item m="1" x="876"/>
        <item m="1" x="739"/>
        <item x="358"/>
        <item m="1" x="928"/>
        <item x="473"/>
        <item m="1" x="649"/>
        <item x="14"/>
        <item m="1" x="860"/>
        <item x="9"/>
        <item m="1" x="935"/>
        <item m="1" x="621"/>
        <item m="1" x="947"/>
        <item x="351"/>
        <item m="1" x="742"/>
        <item m="1" x="758"/>
        <item m="1" x="890"/>
        <item m="1" x="566"/>
        <item x="368"/>
        <item m="1" x="799"/>
        <item x="168"/>
        <item m="1" x="905"/>
        <item m="1" x="831"/>
        <item x="386"/>
        <item m="1" x="775"/>
        <item m="1" x="551"/>
        <item x="136"/>
        <item x="137"/>
        <item x="24"/>
        <item x="268"/>
        <item x="349"/>
        <item m="1" x="756"/>
        <item x="27"/>
        <item m="1" x="715"/>
        <item x="25"/>
        <item m="1" x="688"/>
        <item x="64"/>
        <item x="495"/>
        <item x="496"/>
        <item x="26"/>
        <item m="1" x="689"/>
        <item m="1" x="813"/>
        <item x="38"/>
        <item m="1" x="556"/>
        <item x="17"/>
        <item x="7"/>
        <item x="8"/>
        <item x="357"/>
        <item m="1" x="670"/>
        <item m="1" x="582"/>
        <item x="477"/>
        <item x="120"/>
        <item x="45"/>
        <item x="18"/>
        <item x="56"/>
        <item m="1" x="785"/>
        <item x="478"/>
        <item m="1" x="978"/>
        <item x="192"/>
        <item x="12"/>
        <item m="1" x="771"/>
        <item m="1" x="767"/>
        <item m="1" x="878"/>
        <item m="1" x="648"/>
        <item m="1" x="623"/>
        <item m="1" x="644"/>
        <item m="1" x="761"/>
        <item m="1" x="837"/>
        <item x="329"/>
        <item m="1" x="812"/>
        <item m="1" x="578"/>
        <item m="1" x="893"/>
        <item m="1" x="701"/>
        <item m="1" x="750"/>
        <item m="1" x="660"/>
        <item m="1" x="725"/>
        <item x="52"/>
        <item m="1" x="704"/>
        <item m="1" x="972"/>
        <item x="369"/>
        <item x="75"/>
        <item x="172"/>
        <item m="1" x="818"/>
        <item m="1" x="706"/>
        <item m="1" x="589"/>
        <item m="1" x="633"/>
        <item x="498"/>
        <item m="1" x="821"/>
        <item m="1" x="946"/>
        <item x="499"/>
        <item x="500"/>
        <item x="501"/>
        <item m="1" x="747"/>
        <item m="1" x="594"/>
        <item x="342"/>
        <item x="474"/>
        <item m="1" x="857"/>
        <item m="1" x="613"/>
        <item m="1" x="635"/>
        <item m="1" x="762"/>
        <item m="1" x="961"/>
        <item m="1" x="974"/>
        <item x="348"/>
        <item x="215"/>
        <item m="1" x="628"/>
        <item m="1" x="835"/>
        <item m="1" x="647"/>
        <item m="1" x="684"/>
        <item m="1" x="873"/>
        <item m="1" x="606"/>
        <item m="1" x="912"/>
        <item m="1" x="932"/>
        <item x="330"/>
        <item m="1" x="740"/>
        <item m="1" x="915"/>
        <item x="257"/>
        <item m="1" x="570"/>
        <item x="502"/>
        <item m="1" x="798"/>
        <item x="57"/>
        <item x="60"/>
        <item m="1" x="904"/>
        <item m="1" x="763"/>
        <item m="1" x="671"/>
        <item m="1" x="643"/>
        <item x="61"/>
        <item m="1" x="908"/>
        <item x="44"/>
        <item m="1" x="580"/>
        <item m="1" x="787"/>
        <item m="1" x="899"/>
        <item x="98"/>
        <item x="29"/>
        <item x="63"/>
        <item x="65"/>
        <item x="370"/>
        <item m="1" x="565"/>
        <item m="1" x="545"/>
        <item m="1" x="887"/>
        <item m="1" x="717"/>
        <item m="1" x="563"/>
        <item m="1" x="806"/>
        <item m="1" x="692"/>
        <item x="15"/>
        <item m="1" x="709"/>
        <item x="503"/>
        <item x="30"/>
        <item x="31"/>
        <item x="69"/>
        <item x="504"/>
        <item x="11"/>
        <item x="72"/>
        <item x="76"/>
        <item m="1" x="608"/>
        <item m="1" x="573"/>
        <item m="1" x="601"/>
        <item x="67"/>
        <item x="77"/>
        <item m="1" x="891"/>
        <item m="1" x="888"/>
        <item x="92"/>
        <item x="93"/>
        <item m="1" x="651"/>
        <item x="142"/>
        <item x="58"/>
        <item x="95"/>
        <item x="97"/>
        <item x="99"/>
        <item x="59"/>
        <item m="1" x="901"/>
        <item x="100"/>
        <item x="71"/>
        <item x="78"/>
        <item x="101"/>
        <item x="506"/>
        <item x="507"/>
        <item m="1" x="723"/>
        <item x="47"/>
        <item x="48"/>
        <item x="49"/>
        <item x="50"/>
        <item m="1" x="794"/>
        <item x="51"/>
        <item x="73"/>
        <item x="508"/>
        <item x="509"/>
        <item m="1" x="549"/>
        <item x="74"/>
        <item x="53"/>
        <item m="1" x="571"/>
        <item m="1" x="914"/>
        <item m="1" x="604"/>
        <item x="104"/>
        <item x="105"/>
        <item m="1" x="558"/>
        <item m="1" x="596"/>
        <item x="309"/>
        <item x="33"/>
        <item m="1" x="654"/>
        <item m="1" x="703"/>
        <item m="1" x="603"/>
        <item m="1" x="607"/>
        <item m="1" x="683"/>
        <item m="1" x="614"/>
        <item m="1" x="954"/>
        <item x="356"/>
        <item m="1" x="814"/>
        <item m="1" x="567"/>
        <item x="66"/>
        <item x="81"/>
        <item x="85"/>
        <item x="511"/>
        <item x="512"/>
        <item x="513"/>
        <item x="514"/>
        <item x="515"/>
        <item x="516"/>
        <item m="1" x="577"/>
        <item m="1" x="875"/>
        <item x="83"/>
        <item x="34"/>
        <item m="1" x="682"/>
        <item m="1" x="774"/>
        <item m="1" x="939"/>
        <item m="1" x="695"/>
        <item x="86"/>
        <item m="1" x="700"/>
        <item x="517"/>
        <item x="518"/>
        <item x="519"/>
        <item x="520"/>
        <item m="1" x="783"/>
        <item x="521"/>
        <item m="1" x="641"/>
        <item x="35"/>
        <item x="523"/>
        <item x="524"/>
        <item x="525"/>
        <item m="1" x="871"/>
        <item x="70"/>
        <item x="479"/>
        <item x="84"/>
        <item x="94"/>
        <item m="1" x="585"/>
        <item m="1" x="718"/>
        <item m="1" x="879"/>
        <item x="110"/>
        <item m="1" x="636"/>
        <item m="1" x="919"/>
        <item m="1" x="590"/>
        <item x="146"/>
        <item x="112"/>
        <item x="355"/>
        <item x="113"/>
        <item x="526"/>
        <item m="1" x="726"/>
        <item m="1" x="864"/>
        <item m="1" x="782"/>
        <item m="1" x="616"/>
        <item x="354"/>
        <item m="1" x="911"/>
        <item m="1" x="629"/>
        <item m="1" x="697"/>
        <item m="1" x="627"/>
        <item x="347"/>
        <item x="332"/>
        <item x="333"/>
        <item x="490"/>
        <item x="87"/>
        <item m="1" x="617"/>
        <item x="205"/>
        <item x="116"/>
        <item m="1" x="625"/>
        <item x="483"/>
        <item x="193"/>
        <item m="1" x="881"/>
        <item x="79"/>
        <item x="378"/>
        <item m="1" x="583"/>
        <item m="1" x="661"/>
        <item m="1" x="757"/>
        <item m="1" x="705"/>
        <item m="1" x="579"/>
        <item x="310"/>
        <item x="261"/>
        <item x="311"/>
        <item x="312"/>
        <item m="1" x="676"/>
        <item x="456"/>
        <item m="1" x="929"/>
        <item x="353"/>
        <item x="96"/>
        <item x="89"/>
        <item m="1" x="851"/>
        <item x="117"/>
        <item x="346"/>
        <item m="1" x="637"/>
        <item x="302"/>
        <item x="527"/>
        <item x="528"/>
        <item x="106"/>
        <item m="1" x="952"/>
        <item m="1" x="846"/>
        <item x="194"/>
        <item x="464"/>
        <item m="1" x="964"/>
        <item x="80"/>
        <item m="1" x="713"/>
        <item m="1" x="780"/>
        <item m="1" x="733"/>
        <item m="1" x="721"/>
        <item m="1" x="642"/>
        <item x="341"/>
        <item m="1" x="793"/>
        <item x="108"/>
        <item x="340"/>
        <item m="1" x="681"/>
        <item m="1" x="861"/>
        <item m="1" x="741"/>
        <item x="352"/>
        <item m="1" x="743"/>
        <item m="1" x="693"/>
        <item m="1" x="760"/>
        <item m="1" x="945"/>
        <item m="1" x="550"/>
        <item x="149"/>
        <item x="119"/>
        <item x="151"/>
        <item m="1" x="587"/>
        <item m="1" x="795"/>
        <item m="1" x="941"/>
        <item m="1" x="618"/>
        <item m="1" x="668"/>
        <item m="1" x="542"/>
        <item m="1" x="611"/>
        <item x="37"/>
        <item m="1" x="836"/>
        <item x="82"/>
        <item x="88"/>
        <item m="1" x="737"/>
        <item m="1" x="547"/>
        <item m="1" x="734"/>
        <item x="121"/>
        <item x="482"/>
        <item x="266"/>
        <item m="1" x="936"/>
        <item m="1" x="678"/>
        <item x="123"/>
        <item x="315"/>
        <item x="316"/>
        <item m="1" x="778"/>
        <item x="132"/>
        <item x="211"/>
        <item m="1" x="719"/>
        <item x="317"/>
        <item x="247"/>
        <item x="318"/>
        <item m="1" x="884"/>
        <item x="90"/>
        <item x="319"/>
        <item m="1" x="586"/>
        <item x="320"/>
        <item x="124"/>
        <item m="1" x="976"/>
        <item x="127"/>
        <item m="1" x="779"/>
        <item x="128"/>
        <item x="178"/>
        <item x="129"/>
        <item x="111"/>
        <item x="345"/>
        <item x="133"/>
        <item x="125"/>
        <item x="126"/>
        <item x="371"/>
        <item m="1" x="708"/>
        <item m="1" x="845"/>
        <item m="1" x="766"/>
        <item x="138"/>
        <item x="297"/>
        <item m="1" x="902"/>
        <item x="197"/>
        <item x="135"/>
        <item m="1" x="903"/>
        <item m="1" x="859"/>
        <item m="1" x="686"/>
        <item x="198"/>
        <item x="199"/>
        <item x="200"/>
        <item m="1" x="866"/>
        <item m="1" x="776"/>
        <item x="139"/>
        <item x="131"/>
        <item m="1" x="895"/>
        <item m="1" x="850"/>
        <item m="1" x="574"/>
        <item m="1" x="934"/>
        <item m="1" x="897"/>
        <item m="1" x="826"/>
        <item m="1" x="870"/>
        <item x="143"/>
        <item m="1" x="543"/>
        <item m="1" x="690"/>
        <item x="144"/>
        <item x="114"/>
        <item x="115"/>
        <item x="145"/>
        <item x="147"/>
        <item m="1" x="609"/>
        <item m="1" x="811"/>
        <item m="1" x="781"/>
        <item m="1" x="810"/>
        <item m="1" x="819"/>
        <item x="339"/>
        <item x="338"/>
        <item m="1" x="958"/>
        <item m="1" x="838"/>
        <item x="328"/>
        <item m="1" x="847"/>
        <item m="1" x="910"/>
        <item x="376"/>
        <item m="1" x="975"/>
        <item m="1" x="950"/>
        <item m="1" x="797"/>
        <item x="343"/>
        <item x="344"/>
        <item m="1" x="554"/>
        <item x="321"/>
        <item x="322"/>
        <item m="1" x="724"/>
        <item m="1" x="824"/>
        <item m="1" x="979"/>
        <item m="1" x="751"/>
        <item m="1" x="898"/>
        <item m="1" x="572"/>
        <item x="155"/>
        <item m="1" x="786"/>
        <item m="1" x="944"/>
        <item x="323"/>
        <item x="313"/>
        <item x="245"/>
        <item m="1" x="659"/>
        <item x="485"/>
        <item m="1" x="553"/>
        <item m="1" x="634"/>
        <item x="325"/>
        <item x="326"/>
        <item m="1" x="865"/>
        <item x="327"/>
        <item m="1" x="615"/>
        <item m="1" x="827"/>
        <item m="1" x="926"/>
        <item m="1" x="610"/>
        <item m="1" x="971"/>
        <item x="335"/>
        <item x="122"/>
        <item x="529"/>
        <item m="1" x="592"/>
        <item m="1" x="862"/>
        <item m="1" x="612"/>
        <item m="1" x="856"/>
        <item m="1" x="749"/>
        <item m="1" x="869"/>
        <item m="1" x="662"/>
        <item x="157"/>
        <item m="1" x="839"/>
        <item x="41"/>
        <item m="1" x="951"/>
        <item m="1" x="922"/>
        <item m="1" x="889"/>
        <item x="141"/>
        <item x="158"/>
        <item x="159"/>
        <item m="1" x="830"/>
        <item m="1" x="691"/>
        <item m="1" x="731"/>
        <item m="1" x="892"/>
        <item x="458"/>
        <item m="1" x="729"/>
        <item x="160"/>
        <item m="1" x="966"/>
        <item x="42"/>
        <item x="362"/>
        <item m="1" x="555"/>
        <item m="1" x="874"/>
        <item m="1" x="885"/>
        <item m="1" x="886"/>
        <item m="1" x="924"/>
        <item m="1" x="597"/>
        <item m="1" x="748"/>
        <item m="1" x="652"/>
        <item m="1" x="653"/>
        <item x="260"/>
        <item m="1" x="927"/>
        <item m="1" x="920"/>
        <item m="1" x="745"/>
        <item x="214"/>
        <item x="249"/>
        <item m="1" x="803"/>
        <item m="1" x="894"/>
        <item x="459"/>
        <item m="1" x="674"/>
        <item m="1" x="569"/>
        <item m="1" x="801"/>
        <item m="1" x="773"/>
        <item m="1" x="788"/>
        <item x="530"/>
        <item m="1" x="816"/>
        <item x="68"/>
        <item x="40"/>
        <item m="1" x="735"/>
        <item x="32"/>
        <item m="1" x="591"/>
        <item m="1" x="960"/>
        <item m="1" x="769"/>
        <item x="150"/>
        <item m="1" x="809"/>
        <item x="152"/>
        <item x="46"/>
        <item x="36"/>
        <item x="28"/>
        <item m="1" x="764"/>
        <item m="1" x="685"/>
        <item m="1" x="559"/>
        <item m="1" x="962"/>
        <item m="1" x="841"/>
        <item m="1" x="626"/>
        <item x="337"/>
        <item x="336"/>
        <item x="373"/>
        <item x="372"/>
        <item x="375"/>
        <item m="1" x="663"/>
        <item m="1" x="716"/>
        <item m="1" x="584"/>
        <item x="255"/>
        <item m="1" x="807"/>
        <item x="246"/>
        <item m="1" x="546"/>
        <item m="1" x="832"/>
        <item x="118"/>
        <item x="54"/>
        <item x="156"/>
        <item x="62"/>
        <item x="6"/>
        <item x="140"/>
        <item x="10"/>
        <item x="39"/>
        <item x="103"/>
        <item x="102"/>
        <item m="1" x="805"/>
        <item m="1" x="728"/>
        <item m="1" x="867"/>
        <item m="1" x="852"/>
        <item m="1" x="680"/>
        <item m="1" x="918"/>
        <item m="1" x="732"/>
        <item m="1" x="791"/>
        <item m="1" x="842"/>
        <item m="1" x="650"/>
        <item m="1" x="593"/>
        <item m="1" x="977"/>
        <item m="1" x="576"/>
        <item m="1" x="848"/>
        <item m="1" x="969"/>
        <item m="1" x="933"/>
        <item m="1" x="967"/>
        <item m="1" x="949"/>
        <item m="1" x="669"/>
        <item m="1" x="639"/>
        <item m="1" x="752"/>
        <item m="1" x="696"/>
        <item m="1" x="973"/>
        <item m="1" x="863"/>
        <item m="1" x="931"/>
        <item m="1" x="561"/>
        <item m="1" x="711"/>
        <item x="489"/>
        <item x="488"/>
        <item m="1" x="800"/>
        <item m="1" x="765"/>
        <item m="1" x="906"/>
        <item m="1" x="646"/>
        <item m="1" x="698"/>
        <item x="189"/>
        <item m="1" x="746"/>
        <item m="1" x="917"/>
        <item m="1" x="759"/>
        <item m="1" x="672"/>
        <item m="1" x="957"/>
        <item m="1" x="872"/>
        <item m="1" x="956"/>
        <item m="1" x="955"/>
        <item m="1" x="602"/>
        <item m="1" x="784"/>
        <item m="1" x="624"/>
        <item m="1" x="880"/>
        <item m="1" x="923"/>
        <item m="1" x="699"/>
        <item m="1" x="588"/>
        <item m="1" x="544"/>
        <item m="1" x="656"/>
        <item m="1" x="937"/>
        <item m="1" x="645"/>
        <item m="1" x="714"/>
        <item m="1" x="948"/>
        <item m="1" x="790"/>
        <item m="1" x="834"/>
        <item x="486"/>
        <item x="487"/>
        <item m="1" x="581"/>
        <item m="1" x="755"/>
        <item m="1" x="679"/>
        <item m="1" x="829"/>
        <item m="1" x="707"/>
        <item m="1" x="722"/>
        <item m="1" x="664"/>
        <item m="1" x="630"/>
        <item m="1" x="825"/>
        <item m="1" x="900"/>
        <item x="91"/>
        <item x="148"/>
        <item x="522"/>
        <item x="505"/>
        <item x="510"/>
        <item x="107"/>
        <item x="153"/>
        <item x="55"/>
        <item x="154"/>
        <item x="109"/>
        <item x="360"/>
        <item x="361"/>
        <item x="359"/>
        <item x="363"/>
        <item x="365"/>
        <item x="364"/>
        <item x="324"/>
        <item x="366"/>
        <item x="539"/>
        <item x="134"/>
        <item m="1" x="557"/>
        <item m="1" x="940"/>
        <item m="1" x="666"/>
        <item m="1" x="777"/>
        <item x="186"/>
        <item m="1" x="560"/>
        <item x="216"/>
        <item x="494"/>
        <item x="497"/>
        <item m="1" x="753"/>
        <item x="308"/>
        <item x="307"/>
        <item x="314"/>
        <item m="1" x="896"/>
        <item x="171"/>
        <item x="165"/>
        <item x="176"/>
        <item x="184"/>
        <item x="177"/>
        <item x="180"/>
        <item x="179"/>
        <item x="167"/>
        <item x="166"/>
        <item x="169"/>
        <item x="170"/>
        <item x="182"/>
        <item x="183"/>
        <item x="175"/>
        <item x="448"/>
        <item x="181"/>
        <item x="174"/>
        <item m="1" x="953"/>
        <item x="187"/>
        <item x="188"/>
        <item x="190"/>
        <item x="191"/>
        <item m="1" x="710"/>
        <item x="161"/>
        <item x="202"/>
        <item x="203"/>
        <item m="1" x="843"/>
        <item x="196"/>
        <item x="334"/>
        <item x="164"/>
        <item x="204"/>
        <item m="1" x="754"/>
        <item x="163"/>
        <item x="420"/>
        <item m="1" x="968"/>
        <item x="433"/>
        <item m="1" x="600"/>
        <item x="173"/>
        <item m="1" x="727"/>
        <item x="450"/>
        <item x="454"/>
        <item x="217"/>
        <item x="218"/>
        <item x="219"/>
        <item x="220"/>
        <item x="223"/>
        <item x="224"/>
        <item x="225"/>
        <item x="226"/>
        <item x="227"/>
        <item x="228"/>
        <item x="229"/>
        <item x="230"/>
        <item x="231"/>
        <item x="232"/>
        <item x="233"/>
        <item x="234"/>
        <item x="235"/>
        <item x="236"/>
        <item x="237"/>
        <item x="398"/>
        <item x="397"/>
        <item m="1" x="738"/>
        <item x="390"/>
        <item x="389"/>
        <item x="394"/>
        <item m="1" x="772"/>
        <item x="407"/>
        <item m="1" x="844"/>
        <item m="1" x="828"/>
        <item x="399"/>
        <item x="393"/>
        <item m="1" x="916"/>
        <item x="385"/>
        <item x="400"/>
        <item x="401"/>
        <item x="238"/>
        <item x="239"/>
        <item x="240"/>
        <item x="241"/>
        <item x="242"/>
        <item x="243"/>
        <item x="244"/>
        <item m="1" x="804"/>
        <item m="1" x="792"/>
        <item m="1" x="677"/>
        <item x="250"/>
        <item x="251"/>
        <item x="252"/>
        <item x="253"/>
        <item m="1" x="802"/>
        <item m="1" x="921"/>
        <item x="256"/>
        <item m="1" x="575"/>
        <item m="1" x="959"/>
        <item x="259"/>
        <item x="262"/>
        <item x="263"/>
        <item x="264"/>
        <item x="265"/>
        <item x="267"/>
        <item m="1" x="702"/>
        <item x="269"/>
        <item x="270"/>
        <item x="271"/>
        <item x="272"/>
        <item x="273"/>
        <item x="274"/>
        <item x="275"/>
        <item x="276"/>
        <item x="277"/>
        <item x="278"/>
        <item x="279"/>
        <item x="280"/>
        <item x="281"/>
        <item x="282"/>
        <item x="283"/>
        <item x="284"/>
        <item x="285"/>
        <item x="286"/>
        <item x="287"/>
        <item x="288"/>
        <item x="289"/>
        <item x="290"/>
        <item x="291"/>
        <item x="292"/>
        <item x="293"/>
        <item x="294"/>
        <item x="296"/>
        <item x="298"/>
        <item x="299"/>
        <item x="300"/>
        <item x="301"/>
        <item x="531"/>
        <item x="532"/>
        <item x="533"/>
        <item x="306"/>
        <item m="1" x="541"/>
        <item x="130"/>
        <item x="484"/>
        <item x="207"/>
        <item x="208"/>
        <item x="209"/>
        <item x="210"/>
        <item x="212"/>
        <item x="213"/>
        <item x="254"/>
        <item x="258"/>
        <item x="374"/>
        <item x="447"/>
        <item x="451"/>
        <item x="453"/>
        <item x="455"/>
        <item x="411"/>
        <item x="415"/>
        <item x="416"/>
        <item x="408"/>
        <item m="1" x="720"/>
        <item x="405"/>
        <item x="410"/>
        <item x="406"/>
        <item m="1" x="619"/>
        <item x="404"/>
        <item x="409"/>
        <item x="402"/>
        <item x="395"/>
        <item x="380"/>
        <item x="381"/>
        <item x="382"/>
        <item x="383"/>
        <item x="384"/>
        <item x="391"/>
        <item x="403"/>
        <item x="388"/>
        <item x="392"/>
        <item x="413"/>
        <item x="414"/>
        <item x="423"/>
        <item x="424"/>
        <item x="430"/>
        <item x="429"/>
        <item x="421"/>
        <item m="1" x="840"/>
        <item x="427"/>
        <item x="426"/>
        <item x="422"/>
        <item x="432"/>
        <item x="437"/>
        <item x="438"/>
        <item x="439"/>
        <item x="440"/>
        <item x="441"/>
        <item x="442"/>
        <item x="443"/>
        <item x="444"/>
        <item x="445"/>
        <item m="1" x="942"/>
        <item x="449"/>
        <item m="1" x="963"/>
        <item m="1" x="568"/>
        <item m="1" x="808"/>
        <item x="460"/>
        <item m="1" x="938"/>
        <item m="1" x="882"/>
        <item m="1" x="853"/>
        <item x="465"/>
        <item x="466"/>
        <item x="467"/>
        <item x="468"/>
        <item x="469"/>
        <item x="418"/>
        <item m="1" x="980"/>
        <item m="1" x="868"/>
        <item x="435"/>
        <item x="436"/>
        <item x="412"/>
        <item m="1" x="770"/>
        <item m="1" x="712"/>
        <item x="201"/>
        <item x="195"/>
        <item x="379"/>
        <item x="387"/>
        <item x="396"/>
        <item x="417"/>
        <item x="419"/>
        <item x="425"/>
        <item x="428"/>
        <item x="434"/>
        <item x="452"/>
        <item x="446"/>
        <item x="457"/>
        <item x="461"/>
        <item x="462"/>
        <item x="463"/>
        <item x="470"/>
        <item x="471"/>
        <item x="431"/>
        <item x="206"/>
        <item x="472"/>
        <item x="475"/>
        <item x="476"/>
        <item x="480"/>
        <item x="481"/>
        <item x="491"/>
        <item x="492"/>
        <item x="493"/>
        <item x="534"/>
        <item x="536"/>
        <item m="1" x="595"/>
        <item x="537"/>
        <item x="538"/>
        <item x="535"/>
        <item x="540"/>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04">
    <i>
      <x/>
    </i>
    <i>
      <x v="1"/>
    </i>
    <i>
      <x v="2"/>
    </i>
    <i>
      <x v="3"/>
    </i>
    <i>
      <x v="4"/>
    </i>
    <i>
      <x v="5"/>
    </i>
    <i>
      <x v="30"/>
    </i>
    <i>
      <x v="36"/>
    </i>
    <i>
      <x v="47"/>
    </i>
    <i>
      <x v="49"/>
    </i>
    <i>
      <x v="53"/>
    </i>
    <i>
      <x v="59"/>
    </i>
    <i>
      <x v="64"/>
    </i>
    <i>
      <x v="74"/>
    </i>
    <i>
      <x v="81"/>
    </i>
    <i>
      <x v="83"/>
    </i>
    <i>
      <x v="100"/>
    </i>
    <i>
      <x v="101"/>
    </i>
    <i>
      <x v="102"/>
    </i>
    <i>
      <x v="106"/>
    </i>
    <i>
      <x v="108"/>
    </i>
    <i>
      <x v="110"/>
    </i>
    <i>
      <x v="111"/>
    </i>
    <i>
      <x v="112"/>
    </i>
    <i>
      <x v="113"/>
    </i>
    <i>
      <x v="116"/>
    </i>
    <i>
      <x v="118"/>
    </i>
    <i>
      <x v="119"/>
    </i>
    <i>
      <x v="120"/>
    </i>
    <i>
      <x v="125"/>
    </i>
    <i>
      <x v="126"/>
    </i>
    <i>
      <x v="127"/>
    </i>
    <i>
      <x v="128"/>
    </i>
    <i>
      <x v="133"/>
    </i>
    <i>
      <x v="150"/>
    </i>
    <i>
      <x v="154"/>
    </i>
    <i>
      <x v="160"/>
    </i>
    <i>
      <x v="163"/>
    </i>
    <i>
      <x v="164"/>
    </i>
    <i>
      <x v="165"/>
    </i>
    <i>
      <x v="191"/>
    </i>
    <i>
      <x v="193"/>
    </i>
    <i>
      <x v="194"/>
    </i>
    <i>
      <x v="199"/>
    </i>
    <i>
      <x v="201"/>
    </i>
    <i>
      <x v="205"/>
    </i>
    <i>
      <x v="206"/>
    </i>
    <i>
      <x v="207"/>
    </i>
    <i>
      <x v="208"/>
    </i>
    <i>
      <x v="217"/>
    </i>
    <i>
      <x v="219"/>
    </i>
    <i>
      <x v="220"/>
    </i>
    <i>
      <x v="221"/>
    </i>
    <i>
      <x v="222"/>
    </i>
    <i>
      <x v="223"/>
    </i>
    <i>
      <x v="224"/>
    </i>
    <i>
      <x v="225"/>
    </i>
    <i>
      <x v="226"/>
    </i>
    <i>
      <x v="230"/>
    </i>
    <i>
      <x v="231"/>
    </i>
    <i>
      <x v="234"/>
    </i>
    <i>
      <x v="235"/>
    </i>
    <i>
      <x v="237"/>
    </i>
    <i>
      <x v="238"/>
    </i>
    <i>
      <x v="239"/>
    </i>
    <i>
      <x v="240"/>
    </i>
    <i>
      <x v="241"/>
    </i>
    <i>
      <x v="242"/>
    </i>
    <i>
      <x v="244"/>
    </i>
    <i>
      <x v="245"/>
    </i>
    <i>
      <x v="246"/>
    </i>
    <i>
      <x v="247"/>
    </i>
    <i>
      <x v="248"/>
    </i>
    <i>
      <x v="249"/>
    </i>
    <i>
      <x v="251"/>
    </i>
    <i>
      <x v="252"/>
    </i>
    <i>
      <x v="253"/>
    </i>
    <i>
      <x v="254"/>
    </i>
    <i>
      <x v="256"/>
    </i>
    <i>
      <x v="257"/>
    </i>
    <i>
      <x v="258"/>
    </i>
    <i>
      <x v="259"/>
    </i>
    <i>
      <x v="261"/>
    </i>
    <i>
      <x v="262"/>
    </i>
    <i>
      <x v="266"/>
    </i>
    <i>
      <x v="267"/>
    </i>
    <i>
      <x v="271"/>
    </i>
    <i>
      <x v="282"/>
    </i>
    <i>
      <x v="283"/>
    </i>
    <i>
      <x v="284"/>
    </i>
    <i>
      <x v="285"/>
    </i>
    <i>
      <x v="286"/>
    </i>
    <i>
      <x v="287"/>
    </i>
    <i>
      <x v="288"/>
    </i>
    <i>
      <x v="289"/>
    </i>
    <i>
      <x v="290"/>
    </i>
    <i>
      <x v="293"/>
    </i>
    <i>
      <x v="294"/>
    </i>
    <i>
      <x v="299"/>
    </i>
    <i>
      <x v="301"/>
    </i>
    <i>
      <x v="302"/>
    </i>
    <i>
      <x v="303"/>
    </i>
    <i>
      <x v="304"/>
    </i>
    <i>
      <x v="306"/>
    </i>
    <i>
      <x v="308"/>
    </i>
    <i>
      <x v="309"/>
    </i>
    <i>
      <x v="310"/>
    </i>
    <i>
      <x v="311"/>
    </i>
    <i>
      <x v="313"/>
    </i>
    <i>
      <x v="315"/>
    </i>
    <i>
      <x v="316"/>
    </i>
    <i>
      <x v="320"/>
    </i>
    <i>
      <x v="324"/>
    </i>
    <i>
      <x v="325"/>
    </i>
    <i>
      <x v="327"/>
    </i>
    <i>
      <x v="328"/>
    </i>
    <i>
      <x v="342"/>
    </i>
    <i>
      <x v="345"/>
    </i>
    <i>
      <x v="350"/>
    </i>
    <i>
      <x v="365"/>
    </i>
    <i>
      <x v="366"/>
    </i>
    <i>
      <x v="368"/>
    </i>
    <i>
      <x v="372"/>
    </i>
    <i>
      <x v="373"/>
    </i>
    <i>
      <x v="374"/>
    </i>
    <i>
      <x v="380"/>
    </i>
    <i>
      <x v="388"/>
    </i>
    <i>
      <x v="399"/>
    </i>
    <i>
      <x v="400"/>
    </i>
    <i>
      <x v="401"/>
    </i>
    <i>
      <x v="409"/>
    </i>
    <i>
      <x v="411"/>
    </i>
    <i>
      <x v="412"/>
    </i>
    <i>
      <x v="416"/>
    </i>
    <i>
      <x v="421"/>
    </i>
    <i>
      <x v="425"/>
    </i>
    <i>
      <x v="432"/>
    </i>
    <i>
      <x v="436"/>
    </i>
    <i>
      <x v="438"/>
    </i>
    <i>
      <x v="440"/>
    </i>
    <i>
      <x v="442"/>
    </i>
    <i>
      <x v="443"/>
    </i>
    <i>
      <x v="445"/>
    </i>
    <i>
      <x v="446"/>
    </i>
    <i>
      <x v="447"/>
    </i>
    <i>
      <x v="452"/>
    </i>
    <i>
      <x v="456"/>
    </i>
    <i>
      <x v="465"/>
    </i>
    <i>
      <x v="466"/>
    </i>
    <i>
      <x v="474"/>
    </i>
    <i>
      <x v="477"/>
    </i>
    <i>
      <x v="478"/>
    </i>
    <i>
      <x v="479"/>
    </i>
    <i>
      <x v="480"/>
    </i>
    <i>
      <x v="481"/>
    </i>
    <i>
      <x v="509"/>
    </i>
    <i>
      <x v="529"/>
    </i>
    <i>
      <x v="530"/>
    </i>
    <i>
      <x v="538"/>
    </i>
    <i>
      <x v="540"/>
    </i>
    <i>
      <x v="544"/>
    </i>
    <i>
      <x v="545"/>
    </i>
    <i>
      <x v="546"/>
    </i>
    <i>
      <x v="553"/>
    </i>
    <i>
      <x v="555"/>
    </i>
    <i>
      <x v="580"/>
    </i>
    <i>
      <x v="582"/>
    </i>
    <i>
      <x v="583"/>
    </i>
    <i>
      <x v="585"/>
    </i>
    <i>
      <x v="589"/>
    </i>
    <i>
      <x v="591"/>
    </i>
    <i>
      <x v="592"/>
    </i>
    <i>
      <x v="593"/>
    </i>
    <i>
      <x v="594"/>
    </i>
    <i>
      <x v="614"/>
    </i>
    <i>
      <x v="615"/>
    </i>
    <i>
      <x v="617"/>
    </i>
    <i>
      <x v="622"/>
    </i>
    <i>
      <x v="623"/>
    </i>
    <i>
      <x v="694"/>
    </i>
    <i>
      <x v="695"/>
    </i>
    <i>
      <x v="696"/>
    </i>
    <i>
      <x v="697"/>
    </i>
    <i>
      <x v="698"/>
    </i>
    <i>
      <x v="699"/>
    </i>
    <i>
      <x v="700"/>
    </i>
    <i>
      <x v="701"/>
    </i>
    <i>
      <x v="702"/>
    </i>
    <i>
      <x v="703"/>
    </i>
    <i>
      <x v="712"/>
    </i>
    <i>
      <x v="713"/>
    </i>
    <i>
      <x v="721"/>
    </i>
    <i>
      <x v="722"/>
    </i>
    <i>
      <x v="861"/>
    </i>
    <i>
      <x v="862"/>
    </i>
    <i>
      <x v="863"/>
    </i>
    <i>
      <x v="866"/>
    </i>
    <i>
      <x v="974"/>
    </i>
    <i>
      <x v="975"/>
    </i>
    <i>
      <x v="977"/>
    </i>
    <i>
      <x v="978"/>
    </i>
    <i>
      <x v="979"/>
    </i>
    <i>
      <x v="980"/>
    </i>
    <i t="grand">
      <x/>
    </i>
  </rowItems>
  <colFields count="1">
    <field x="-2"/>
  </colFields>
  <colItems count="4">
    <i>
      <x/>
    </i>
    <i i="1">
      <x v="1"/>
    </i>
    <i i="2">
      <x v="2"/>
    </i>
    <i i="3">
      <x v="3"/>
    </i>
  </colItems>
  <pageFields count="3">
    <pageField fld="0" item="11" hier="-1"/>
    <pageField fld="5" hier="-1"/>
    <pageField fld="4" hier="-1"/>
  </pageFields>
  <dataFields count="4">
    <dataField name="Total Population" fld="9" baseField="0" baseItem="0"/>
    <dataField name="# of People adopt basic personal and community hygiene practices" fld="102" baseField="0" baseItem="0"/>
    <dataField name="# of people access to functioning  sanitation facilities" fld="91" baseField="0" baseItem="0"/>
    <dataField name="# of people Equitable and continuous access to sufficient quantity of domestic water" fld="83"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B000000}" name="PivotTable7"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M6:S9" firstHeaderRow="0" firstDataRow="1" firstDataCol="1" rowPageCount="3" colPageCount="1"/>
  <pivotFields count="131">
    <pivotField axis="axisRow" compact="0" outline="0" subtotalTop="0" showAll="0">
      <items count="13">
        <item m="1" x="10"/>
        <item m="1" x="5"/>
        <item m="1" x="2"/>
        <item m="1" x="4"/>
        <item m="1" x="11"/>
        <item m="1" x="3"/>
        <item m="1" x="9"/>
        <item m="1" x="6"/>
        <item m="1" x="7"/>
        <item m="1" x="8"/>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x="0"/>
        <item h="1" m="1" x="5"/>
        <item h="1" x="3"/>
        <item h="1" m="1" x="4"/>
        <item h="1" x="1"/>
        <item h="1" x="2"/>
        <item t="default"/>
      </items>
    </pivotField>
    <pivotField compact="0" outline="0" subtotalTop="0" showAll="0"/>
    <pivotField axis="axisPage" compact="0" outline="0" multipleItemSelectionAllowed="1" showAll="0" defaultSubtotal="0">
      <items count="10">
        <item x="1"/>
        <item x="0"/>
        <item m="1" x="9"/>
        <item x="2"/>
        <item h="1" x="4"/>
        <item h="1" m="1" x="6"/>
        <item h="1" m="1" x="8"/>
        <item h="1"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0"/>
    </i>
    <i>
      <x v="11"/>
    </i>
    <i t="grand">
      <x/>
    </i>
  </rowItems>
  <colFields count="1">
    <field x="-2"/>
  </colFields>
  <colItems count="6">
    <i>
      <x/>
    </i>
    <i i="1">
      <x v="1"/>
    </i>
    <i i="2">
      <x v="2"/>
    </i>
    <i i="3">
      <x v="3"/>
    </i>
    <i i="4">
      <x v="4"/>
    </i>
    <i i="5">
      <x v="5"/>
    </i>
  </colItems>
  <pageFields count="3">
    <pageField fld="121" item="0" hier="-1"/>
    <pageField fld="4" hier="-1"/>
    <pageField fld="6" hier="-1"/>
  </pageFields>
  <dataFields count="6">
    <dataField name="Total Population reached" fld="9" baseField="2" baseItem="0" numFmtId="3"/>
    <dataField name=" HRP1" fld="83" baseField="0" baseItem="10"/>
    <dataField name=" HRP2" fld="91" baseField="0" baseItem="0"/>
    <dataField name=" HRP3" fld="102" baseField="0" baseItem="0"/>
    <dataField name="  # People received regular supply of hygiene items_6" fld="101" baseField="0" baseItem="0"/>
    <dataField name="  #_students at TLS_CFS" fld="12" baseField="0" baseItem="0"/>
  </dataFields>
  <formats count="22">
    <format dxfId="721">
      <pivotArea field="4" type="button" dataOnly="0" labelOnly="1" outline="0" axis="axisPage" fieldPosition="1"/>
    </format>
    <format dxfId="720">
      <pivotArea type="all" dataOnly="0" outline="0" fieldPosition="0"/>
    </format>
    <format dxfId="719">
      <pivotArea field="4" type="button" dataOnly="0" labelOnly="1" outline="0" axis="axisPage" fieldPosition="1"/>
    </format>
    <format dxfId="718">
      <pivotArea outline="0" fieldPosition="0">
        <references count="1">
          <reference field="4294967294" count="1">
            <x v="0"/>
          </reference>
        </references>
      </pivotArea>
    </format>
    <format dxfId="717">
      <pivotArea dataOnly="0" labelOnly="1" outline="0" fieldPosition="0">
        <references count="1">
          <reference field="4294967294" count="1">
            <x v="0"/>
          </reference>
        </references>
      </pivotArea>
    </format>
    <format dxfId="716">
      <pivotArea type="all" dataOnly="0" outline="0" fieldPosition="0"/>
    </format>
    <format dxfId="715">
      <pivotArea outline="0" collapsedLevelsAreSubtotals="1" fieldPosition="0"/>
    </format>
    <format dxfId="714">
      <pivotArea dataOnly="0" labelOnly="1" fieldPosition="0">
        <references count="1">
          <reference field="4" count="0"/>
        </references>
      </pivotArea>
    </format>
    <format dxfId="713">
      <pivotArea dataOnly="0" labelOnly="1" grandRow="1" outline="0" fieldPosition="0"/>
    </format>
    <format dxfId="712">
      <pivotArea dataOnly="0" labelOnly="1" outline="0" fieldPosition="0">
        <references count="1">
          <reference field="4294967294" count="1">
            <x v="0"/>
          </reference>
        </references>
      </pivotArea>
    </format>
    <format dxfId="711">
      <pivotArea type="all" dataOnly="0" outline="0" fieldPosition="0"/>
    </format>
    <format dxfId="710">
      <pivotArea outline="0" collapsedLevelsAreSubtotals="1" fieldPosition="0"/>
    </format>
    <format dxfId="709">
      <pivotArea dataOnly="0" labelOnly="1" fieldPosition="0">
        <references count="1">
          <reference field="4" count="0"/>
        </references>
      </pivotArea>
    </format>
    <format dxfId="708">
      <pivotArea dataOnly="0" labelOnly="1" grandRow="1" outline="0" fieldPosition="0"/>
    </format>
    <format dxfId="707">
      <pivotArea dataOnly="0" labelOnly="1" outline="0" fieldPosition="0">
        <references count="1">
          <reference field="4294967294" count="1">
            <x v="0"/>
          </reference>
        </references>
      </pivotArea>
    </format>
    <format dxfId="706">
      <pivotArea dataOnly="0" labelOnly="1" outline="0" fieldPosition="0">
        <references count="1">
          <reference field="4294967294" count="1">
            <x v="1"/>
          </reference>
        </references>
      </pivotArea>
    </format>
    <format dxfId="705">
      <pivotArea field="0" grandRow="1" outline="0" axis="axisRow" fieldPosition="0">
        <references count="1">
          <reference field="4294967294" count="1" selected="0">
            <x v="1"/>
          </reference>
        </references>
      </pivotArea>
    </format>
    <format dxfId="704">
      <pivotArea outline="0" fieldPosition="0">
        <references count="2">
          <reference field="4294967294" count="3" selected="0">
            <x v="1"/>
            <x v="2"/>
            <x v="3"/>
          </reference>
          <reference field="0" count="0" selected="0"/>
        </references>
      </pivotArea>
    </format>
    <format dxfId="703">
      <pivotArea dataOnly="0" labelOnly="1" outline="0" fieldPosition="0">
        <references count="1">
          <reference field="4294967294" count="1">
            <x v="4"/>
          </reference>
        </references>
      </pivotArea>
    </format>
    <format dxfId="702">
      <pivotArea dataOnly="0" labelOnly="1" outline="0" fieldPosition="0">
        <references count="1">
          <reference field="4294967294" count="1">
            <x v="4"/>
          </reference>
        </references>
      </pivotArea>
    </format>
    <format dxfId="701">
      <pivotArea dataOnly="0" labelOnly="1" outline="0" fieldPosition="0">
        <references count="1">
          <reference field="4294967294" count="1">
            <x v="5"/>
          </reference>
        </references>
      </pivotArea>
    </format>
    <format dxfId="700">
      <pivotArea dataOnly="0" labelOnly="1" outline="0" fieldPosition="0">
        <references count="1">
          <reference field="4294967294" count="1">
            <x v="5"/>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2"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115" firstHeaderRow="0" firstDataRow="1" firstDataCol="2" rowPageCount="1" colPageCount="1"/>
  <pivotFields count="131">
    <pivotField axis="axisRow" compact="0" outline="0" showAll="0">
      <items count="13">
        <item m="1" x="9"/>
        <item m="1" x="10"/>
        <item m="1" x="4"/>
        <item m="1" x="11"/>
        <item m="1" x="5"/>
        <item m="1" x="6"/>
        <item m="1" x="7"/>
        <item m="1" x="8"/>
        <item m="1" x="3"/>
        <item m="1" x="2"/>
        <item x="0"/>
        <item x="1"/>
        <item t="default"/>
      </items>
    </pivotField>
    <pivotField compact="0" outline="0" showAll="0" defaultSubtotal="0"/>
    <pivotField compact="0" outline="0" showAll="0" defaultSubtotal="0">
      <items count="46">
        <item h="1" x="17"/>
        <item h="1" x="34"/>
        <item h="1" x="35"/>
        <item h="1" x="14"/>
        <item h="1" x="22"/>
        <item h="1" x="20"/>
        <item h="1" x="16"/>
        <item h="1" x="39"/>
        <item h="1" x="4"/>
        <item h="1" x="8"/>
        <item h="1" x="3"/>
        <item h="1" x="40"/>
        <item h="1" x="41"/>
        <item h="1" x="12"/>
        <item h="1" x="23"/>
        <item x="1"/>
        <item h="1" x="6"/>
        <item h="1" x="10"/>
        <item h="1" x="28"/>
        <item h="1" x="30"/>
        <item h="1" x="32"/>
        <item h="1" x="27"/>
        <item h="1" x="26"/>
        <item h="1" m="1" x="45"/>
        <item h="1" x="25"/>
        <item h="1" x="29"/>
        <item h="1" m="1" x="43"/>
        <item h="1" x="2"/>
        <item h="1" x="24"/>
        <item h="1" x="37"/>
        <item h="1" x="36"/>
        <item h="1" x="18"/>
        <item h="1" x="15"/>
        <item h="1" x="19"/>
        <item h="1" x="21"/>
        <item h="1" x="9"/>
        <item h="1" x="38"/>
        <item h="1" m="1" x="44"/>
        <item h="1" x="5"/>
        <item h="1" x="0"/>
        <item h="1" x="11"/>
        <item h="1" x="31"/>
        <item h="1" x="33"/>
        <item h="1" x="13"/>
        <item h="1" x="7"/>
        <item h="1" m="1" x="42"/>
      </items>
    </pivotField>
    <pivotField compact="0" outline="0" showAll="0"/>
    <pivotField compact="0" outline="0" showAll="0">
      <items count="7">
        <item x="1"/>
        <item x="0"/>
        <item x="2"/>
        <item m="1" x="5"/>
        <item x="3"/>
        <item m="1" x="4"/>
        <item t="default"/>
      </items>
    </pivotField>
    <pivotField compact="0" outline="0" showAll="0">
      <items count="43">
        <item m="1" x="37"/>
        <item x="0"/>
        <item x="14"/>
        <item m="1" x="39"/>
        <item x="5"/>
        <item x="6"/>
        <item x="30"/>
        <item x="27"/>
        <item x="24"/>
        <item x="17"/>
        <item x="16"/>
        <item x="32"/>
        <item x="31"/>
        <item m="1" x="40"/>
        <item x="9"/>
        <item x="28"/>
        <item x="15"/>
        <item x="19"/>
        <item x="7"/>
        <item x="8"/>
        <item m="1" x="35"/>
        <item x="1"/>
        <item x="22"/>
        <item x="25"/>
        <item x="20"/>
        <item x="3"/>
        <item m="1" x="38"/>
        <item x="29"/>
        <item x="26"/>
        <item x="33"/>
        <item m="1" x="36"/>
        <item x="13"/>
        <item x="23"/>
        <item x="10"/>
        <item m="1" x="41"/>
        <item x="21"/>
        <item x="4"/>
        <item x="18"/>
        <item x="11"/>
        <item x="12"/>
        <item x="2"/>
        <item m="1" x="34"/>
        <item t="default"/>
      </items>
    </pivotField>
    <pivotField compact="0" outline="0" showAll="0" defaultSubtotal="0">
      <items count="10">
        <item x="1"/>
        <item x="0"/>
        <item m="1" x="9"/>
        <item x="3"/>
        <item m="1" x="6"/>
        <item m="1" x="5"/>
        <item x="2"/>
        <item m="1" x="8"/>
        <item x="4"/>
        <item m="1" x="7"/>
      </items>
    </pivotField>
    <pivotField axis="axisRow" compact="0" outline="0" showAll="0">
      <items count="982">
        <item x="16"/>
        <item m="1" x="696"/>
        <item m="1" x="752"/>
        <item x="0"/>
        <item x="1"/>
        <item x="19"/>
        <item x="20"/>
        <item x="2"/>
        <item m="1" x="679"/>
        <item m="1" x="622"/>
        <item m="1" x="744"/>
        <item x="350"/>
        <item m="1" x="598"/>
        <item m="1" x="730"/>
        <item m="1" x="789"/>
        <item m="1" x="796"/>
        <item m="1" x="863"/>
        <item m="1" x="687"/>
        <item m="1" x="599"/>
        <item m="1" x="930"/>
        <item m="1" x="883"/>
        <item m="1" x="605"/>
        <item m="1" x="817"/>
        <item x="377"/>
        <item x="331"/>
        <item x="162"/>
        <item x="367"/>
        <item m="1" x="925"/>
        <item m="1" x="638"/>
        <item m="1" x="858"/>
        <item m="1" x="657"/>
        <item m="1" x="667"/>
        <item m="1" x="805"/>
        <item m="1" x="665"/>
        <item m="1" x="969"/>
        <item m="1" x="620"/>
        <item m="1" x="967"/>
        <item x="4"/>
        <item x="185"/>
        <item m="1" x="970"/>
        <item m="1" x="823"/>
        <item m="1" x="694"/>
        <item x="186"/>
        <item m="1" x="977"/>
        <item m="1" x="632"/>
        <item m="1" x="557"/>
        <item x="6"/>
        <item x="21"/>
        <item m="1" x="658"/>
        <item x="221"/>
        <item m="1" x="877"/>
        <item m="1" x="907"/>
        <item x="222"/>
        <item x="303"/>
        <item x="248"/>
        <item m="1" x="854"/>
        <item m="1" x="855"/>
        <item m="1" x="736"/>
        <item m="1" x="809"/>
        <item x="3"/>
        <item m="1" x="655"/>
        <item x="5"/>
        <item m="1" x="965"/>
        <item m="1" x="943"/>
        <item m="1" x="822"/>
        <item x="43"/>
        <item x="295"/>
        <item x="486"/>
        <item m="1" x="815"/>
        <item m="1" x="833"/>
        <item m="1" x="552"/>
        <item m="1" x="562"/>
        <item x="22"/>
        <item m="1" x="913"/>
        <item m="1" x="675"/>
        <item m="1" x="631"/>
        <item m="1" x="673"/>
        <item x="13"/>
        <item m="1" x="768"/>
        <item x="10"/>
        <item m="1" x="829"/>
        <item m="1" x="849"/>
        <item m="1" x="548"/>
        <item m="1" x="820"/>
        <item x="304"/>
        <item x="305"/>
        <item m="1" x="564"/>
        <item m="1" x="640"/>
        <item m="1" x="561"/>
        <item m="1" x="909"/>
        <item x="23"/>
        <item m="1" x="876"/>
        <item m="1" x="739"/>
        <item x="358"/>
        <item m="1" x="928"/>
        <item x="473"/>
        <item m="1" x="649"/>
        <item x="14"/>
        <item m="1" x="860"/>
        <item x="9"/>
        <item x="32"/>
        <item m="1" x="935"/>
        <item m="1" x="621"/>
        <item x="494"/>
        <item m="1" x="947"/>
        <item x="351"/>
        <item m="1" x="742"/>
        <item m="1" x="918"/>
        <item m="1" x="758"/>
        <item m="1" x="890"/>
        <item m="1" x="566"/>
        <item x="368"/>
        <item m="1" x="799"/>
        <item x="168"/>
        <item m="1" x="905"/>
        <item m="1" x="831"/>
        <item x="386"/>
        <item m="1" x="544"/>
        <item m="1" x="775"/>
        <item m="1" x="551"/>
        <item x="136"/>
        <item x="137"/>
        <item x="24"/>
        <item x="268"/>
        <item x="349"/>
        <item m="1" x="756"/>
        <item x="27"/>
        <item m="1" x="715"/>
        <item x="25"/>
        <item m="1" x="688"/>
        <item x="64"/>
        <item x="495"/>
        <item x="496"/>
        <item x="26"/>
        <item m="1" x="689"/>
        <item m="1" x="813"/>
        <item m="1" x="933"/>
        <item x="38"/>
        <item m="1" x="556"/>
        <item x="17"/>
        <item x="39"/>
        <item x="7"/>
        <item x="497"/>
        <item x="8"/>
        <item x="357"/>
        <item m="1" x="841"/>
        <item m="1" x="670"/>
        <item m="1" x="582"/>
        <item m="1" x="630"/>
        <item m="1" x="825"/>
        <item x="477"/>
        <item x="120"/>
        <item x="45"/>
        <item x="18"/>
        <item x="55"/>
        <item x="56"/>
        <item m="1" x="785"/>
        <item x="28"/>
        <item x="478"/>
        <item m="1" x="978"/>
        <item m="1" x="728"/>
        <item m="1" x="906"/>
        <item x="192"/>
        <item x="12"/>
        <item m="1" x="791"/>
        <item m="1" x="771"/>
        <item m="1" x="767"/>
        <item m="1" x="878"/>
        <item m="1" x="648"/>
        <item m="1" x="842"/>
        <item m="1" x="623"/>
        <item m="1" x="644"/>
        <item m="1" x="761"/>
        <item m="1" x="837"/>
        <item x="329"/>
        <item m="1" x="812"/>
        <item m="1" x="578"/>
        <item m="1" x="893"/>
        <item x="360"/>
        <item x="359"/>
        <item x="36"/>
        <item m="1" x="581"/>
        <item m="1" x="666"/>
        <item m="1" x="701"/>
        <item m="1" x="750"/>
        <item m="1" x="660"/>
        <item m="1" x="725"/>
        <item x="52"/>
        <item m="1" x="704"/>
        <item m="1" x="972"/>
        <item x="369"/>
        <item x="75"/>
        <item x="172"/>
        <item m="1" x="818"/>
        <item m="1" x="706"/>
        <item m="1" x="589"/>
        <item m="1" x="633"/>
        <item x="498"/>
        <item m="1" x="821"/>
        <item m="1" x="946"/>
        <item m="1" x="602"/>
        <item x="499"/>
        <item x="500"/>
        <item x="501"/>
        <item m="1" x="747"/>
        <item m="1" x="594"/>
        <item x="246"/>
        <item x="342"/>
        <item x="474"/>
        <item m="1" x="857"/>
        <item x="488"/>
        <item m="1" x="613"/>
        <item m="1" x="900"/>
        <item m="1" x="635"/>
        <item m="1" x="762"/>
        <item m="1" x="961"/>
        <item m="1" x="974"/>
        <item x="348"/>
        <item x="215"/>
        <item m="1" x="628"/>
        <item m="1" x="835"/>
        <item m="1" x="647"/>
        <item m="1" x="684"/>
        <item m="1" x="873"/>
        <item m="1" x="606"/>
        <item m="1" x="848"/>
        <item m="1" x="576"/>
        <item m="1" x="912"/>
        <item m="1" x="932"/>
        <item x="330"/>
        <item m="1" x="740"/>
        <item m="1" x="915"/>
        <item x="257"/>
        <item x="372"/>
        <item m="1" x="570"/>
        <item x="502"/>
        <item m="1" x="798"/>
        <item x="57"/>
        <item x="60"/>
        <item m="1" x="904"/>
        <item m="1" x="763"/>
        <item m="1" x="671"/>
        <item m="1" x="931"/>
        <item m="1" x="643"/>
        <item x="61"/>
        <item m="1" x="908"/>
        <item m="1" x="559"/>
        <item m="1" x="685"/>
        <item m="1" x="735"/>
        <item x="40"/>
        <item x="44"/>
        <item m="1" x="580"/>
        <item m="1" x="787"/>
        <item m="1" x="588"/>
        <item m="1" x="899"/>
        <item x="46"/>
        <item x="98"/>
        <item x="29"/>
        <item x="62"/>
        <item x="63"/>
        <item x="65"/>
        <item x="370"/>
        <item m="1" x="565"/>
        <item m="1" x="545"/>
        <item m="1" x="887"/>
        <item m="1" x="717"/>
        <item m="1" x="563"/>
        <item m="1" x="806"/>
        <item m="1" x="692"/>
        <item x="15"/>
        <item m="1" x="709"/>
        <item x="503"/>
        <item x="30"/>
        <item x="31"/>
        <item x="69"/>
        <item x="504"/>
        <item x="11"/>
        <item x="72"/>
        <item x="76"/>
        <item x="54"/>
        <item m="1" x="608"/>
        <item m="1" x="573"/>
        <item m="1" x="601"/>
        <item x="67"/>
        <item x="77"/>
        <item m="1" x="891"/>
        <item x="91"/>
        <item m="1" x="888"/>
        <item m="1" x="626"/>
        <item x="92"/>
        <item x="93"/>
        <item x="505"/>
        <item m="1" x="651"/>
        <item x="142"/>
        <item x="58"/>
        <item x="95"/>
        <item x="97"/>
        <item x="99"/>
        <item x="59"/>
        <item m="1" x="901"/>
        <item x="100"/>
        <item x="71"/>
        <item x="78"/>
        <item x="101"/>
        <item x="506"/>
        <item x="507"/>
        <item m="1" x="723"/>
        <item x="47"/>
        <item x="48"/>
        <item x="49"/>
        <item x="50"/>
        <item m="1" x="794"/>
        <item x="51"/>
        <item x="73"/>
        <item x="508"/>
        <item x="509"/>
        <item m="1" x="549"/>
        <item x="74"/>
        <item x="53"/>
        <item m="1" x="571"/>
        <item m="1" x="914"/>
        <item m="1" x="646"/>
        <item m="1" x="604"/>
        <item x="104"/>
        <item x="105"/>
        <item m="1" x="558"/>
        <item m="1" x="596"/>
        <item x="309"/>
        <item x="33"/>
        <item m="1" x="654"/>
        <item m="1" x="703"/>
        <item x="539"/>
        <item m="1" x="672"/>
        <item m="1" x="603"/>
        <item m="1" x="607"/>
        <item m="1" x="683"/>
        <item m="1" x="614"/>
        <item m="1" x="707"/>
        <item m="1" x="954"/>
        <item m="1" x="639"/>
        <item m="1" x="923"/>
        <item x="356"/>
        <item m="1" x="814"/>
        <item x="510"/>
        <item m="1" x="880"/>
        <item m="1" x="567"/>
        <item x="66"/>
        <item x="81"/>
        <item x="102"/>
        <item x="85"/>
        <item x="511"/>
        <item x="512"/>
        <item x="513"/>
        <item x="514"/>
        <item x="515"/>
        <item x="516"/>
        <item m="1" x="577"/>
        <item m="1" x="875"/>
        <item x="83"/>
        <item x="34"/>
        <item m="1" x="682"/>
        <item m="1" x="973"/>
        <item m="1" x="774"/>
        <item m="1" x="939"/>
        <item m="1" x="695"/>
        <item x="68"/>
        <item x="86"/>
        <item m="1" x="714"/>
        <item m="1" x="700"/>
        <item x="517"/>
        <item x="518"/>
        <item x="519"/>
        <item x="520"/>
        <item m="1" x="783"/>
        <item x="521"/>
        <item m="1" x="641"/>
        <item x="522"/>
        <item x="35"/>
        <item x="523"/>
        <item x="524"/>
        <item x="103"/>
        <item x="525"/>
        <item x="107"/>
        <item m="1" x="871"/>
        <item x="70"/>
        <item x="479"/>
        <item x="84"/>
        <item x="94"/>
        <item m="1" x="585"/>
        <item m="1" x="718"/>
        <item m="1" x="879"/>
        <item x="110"/>
        <item m="1" x="636"/>
        <item m="1" x="919"/>
        <item m="1" x="590"/>
        <item x="146"/>
        <item x="112"/>
        <item m="1" x="769"/>
        <item x="355"/>
        <item x="113"/>
        <item x="526"/>
        <item m="1" x="790"/>
        <item m="1" x="726"/>
        <item m="1" x="834"/>
        <item m="1" x="864"/>
        <item m="1" x="782"/>
        <item m="1" x="716"/>
        <item m="1" x="616"/>
        <item x="354"/>
        <item m="1" x="911"/>
        <item m="1" x="629"/>
        <item m="1" x="764"/>
        <item m="1" x="697"/>
        <item m="1" x="937"/>
        <item m="1" x="627"/>
        <item m="1" x="656"/>
        <item x="363"/>
        <item x="347"/>
        <item x="332"/>
        <item x="333"/>
        <item x="490"/>
        <item x="87"/>
        <item m="1" x="617"/>
        <item x="205"/>
        <item x="116"/>
        <item m="1" x="625"/>
        <item x="483"/>
        <item x="193"/>
        <item m="1" x="881"/>
        <item x="79"/>
        <item x="378"/>
        <item m="1" x="583"/>
        <item m="1" x="661"/>
        <item m="1" x="757"/>
        <item m="1" x="705"/>
        <item m="1" x="579"/>
        <item x="310"/>
        <item x="261"/>
        <item x="311"/>
        <item x="312"/>
        <item m="1" x="676"/>
        <item x="456"/>
        <item m="1" x="929"/>
        <item x="353"/>
        <item m="1" x="669"/>
        <item m="1" x="962"/>
        <item x="96"/>
        <item x="109"/>
        <item x="89"/>
        <item m="1" x="851"/>
        <item x="117"/>
        <item x="346"/>
        <item m="1" x="637"/>
        <item x="302"/>
        <item x="527"/>
        <item x="528"/>
        <item m="1" x="698"/>
        <item x="106"/>
        <item x="118"/>
        <item m="1" x="952"/>
        <item m="1" x="846"/>
        <item x="194"/>
        <item x="464"/>
        <item m="1" x="964"/>
        <item x="80"/>
        <item m="1" x="713"/>
        <item m="1" x="780"/>
        <item m="1" x="733"/>
        <item m="1" x="721"/>
        <item m="1" x="642"/>
        <item x="337"/>
        <item x="341"/>
        <item m="1" x="793"/>
        <item x="366"/>
        <item m="1" x="777"/>
        <item x="108"/>
        <item x="340"/>
        <item m="1" x="681"/>
        <item m="1" x="861"/>
        <item x="361"/>
        <item m="1" x="741"/>
        <item x="352"/>
        <item m="1" x="743"/>
        <item m="1" x="560"/>
        <item m="1" x="693"/>
        <item m="1" x="760"/>
        <item m="1" x="945"/>
        <item m="1" x="711"/>
        <item x="216"/>
        <item m="1" x="807"/>
        <item m="1" x="550"/>
        <item x="149"/>
        <item x="119"/>
        <item x="151"/>
        <item m="1" x="587"/>
        <item m="1" x="795"/>
        <item m="1" x="941"/>
        <item m="1" x="618"/>
        <item m="1" x="668"/>
        <item m="1" x="542"/>
        <item m="1" x="611"/>
        <item x="37"/>
        <item m="1" x="836"/>
        <item x="82"/>
        <item x="88"/>
        <item x="487"/>
        <item m="1" x="737"/>
        <item m="1" x="547"/>
        <item x="365"/>
        <item x="152"/>
        <item m="1" x="734"/>
        <item x="121"/>
        <item x="482"/>
        <item x="266"/>
        <item m="1" x="936"/>
        <item x="364"/>
        <item m="1" x="678"/>
        <item x="123"/>
        <item m="1" x="948"/>
        <item x="315"/>
        <item x="316"/>
        <item m="1" x="778"/>
        <item x="132"/>
        <item x="211"/>
        <item m="1" x="719"/>
        <item x="317"/>
        <item x="247"/>
        <item x="318"/>
        <item m="1" x="884"/>
        <item x="90"/>
        <item x="319"/>
        <item m="1" x="586"/>
        <item x="320"/>
        <item x="124"/>
        <item m="1" x="976"/>
        <item x="127"/>
        <item m="1" x="779"/>
        <item x="128"/>
        <item x="178"/>
        <item x="129"/>
        <item x="111"/>
        <item x="345"/>
        <item x="133"/>
        <item x="125"/>
        <item x="126"/>
        <item x="371"/>
        <item m="1" x="708"/>
        <item m="1" x="845"/>
        <item m="1" x="766"/>
        <item x="189"/>
        <item m="1" x="593"/>
        <item m="1" x="650"/>
        <item m="1" x="680"/>
        <item m="1" x="732"/>
        <item m="1" x="867"/>
        <item x="138"/>
        <item x="297"/>
        <item m="1" x="902"/>
        <item x="197"/>
        <item x="135"/>
        <item m="1" x="903"/>
        <item m="1" x="859"/>
        <item m="1" x="686"/>
        <item x="198"/>
        <item x="199"/>
        <item x="200"/>
        <item m="1" x="866"/>
        <item m="1" x="776"/>
        <item x="134"/>
        <item x="139"/>
        <item x="131"/>
        <item x="140"/>
        <item m="1" x="895"/>
        <item m="1" x="850"/>
        <item x="373"/>
        <item m="1" x="624"/>
        <item m="1" x="574"/>
        <item m="1" x="934"/>
        <item m="1" x="897"/>
        <item m="1" x="826"/>
        <item m="1" x="816"/>
        <item m="1" x="870"/>
        <item x="143"/>
        <item x="148"/>
        <item m="1" x="543"/>
        <item m="1" x="690"/>
        <item m="1" x="960"/>
        <item x="144"/>
        <item x="114"/>
        <item x="115"/>
        <item x="145"/>
        <item x="147"/>
        <item m="1" x="609"/>
        <item m="1" x="811"/>
        <item m="1" x="781"/>
        <item m="1" x="810"/>
        <item m="1" x="819"/>
        <item x="339"/>
        <item x="338"/>
        <item x="336"/>
        <item m="1" x="958"/>
        <item m="1" x="838"/>
        <item x="328"/>
        <item m="1" x="955"/>
        <item m="1" x="956"/>
        <item m="1" x="872"/>
        <item m="1" x="957"/>
        <item m="1" x="847"/>
        <item m="1" x="910"/>
        <item m="1" x="546"/>
        <item x="376"/>
        <item m="1" x="975"/>
        <item m="1" x="950"/>
        <item m="1" x="797"/>
        <item m="1" x="722"/>
        <item x="343"/>
        <item x="344"/>
        <item m="1" x="554"/>
        <item x="321"/>
        <item x="322"/>
        <item m="1" x="724"/>
        <item m="1" x="824"/>
        <item m="1" x="979"/>
        <item m="1" x="940"/>
        <item m="1" x="751"/>
        <item m="1" x="898"/>
        <item m="1" x="572"/>
        <item x="489"/>
        <item x="155"/>
        <item m="1" x="786"/>
        <item m="1" x="944"/>
        <item x="323"/>
        <item x="313"/>
        <item m="1" x="800"/>
        <item m="1" x="765"/>
        <item x="245"/>
        <item m="1" x="659"/>
        <item x="485"/>
        <item m="1" x="553"/>
        <item m="1" x="634"/>
        <item x="325"/>
        <item x="326"/>
        <item m="1" x="865"/>
        <item x="327"/>
        <item m="1" x="753"/>
        <item m="1" x="645"/>
        <item x="375"/>
        <item x="324"/>
        <item m="1" x="615"/>
        <item m="1" x="827"/>
        <item m="1" x="926"/>
        <item m="1" x="610"/>
        <item m="1" x="699"/>
        <item m="1" x="971"/>
        <item x="335"/>
        <item m="1" x="664"/>
        <item x="150"/>
        <item x="122"/>
        <item x="153"/>
        <item m="1" x="591"/>
        <item x="529"/>
        <item m="1" x="759"/>
        <item m="1" x="592"/>
        <item m="1" x="862"/>
        <item m="1" x="612"/>
        <item m="1" x="856"/>
        <item m="1" x="749"/>
        <item m="1" x="869"/>
        <item m="1" x="662"/>
        <item x="154"/>
        <item x="157"/>
        <item m="1" x="584"/>
        <item m="1" x="839"/>
        <item x="41"/>
        <item m="1" x="951"/>
        <item m="1" x="949"/>
        <item m="1" x="922"/>
        <item m="1" x="889"/>
        <item m="1" x="663"/>
        <item x="141"/>
        <item x="158"/>
        <item x="159"/>
        <item x="255"/>
        <item m="1" x="830"/>
        <item m="1" x="784"/>
        <item m="1" x="691"/>
        <item m="1" x="731"/>
        <item m="1" x="892"/>
        <item m="1" x="832"/>
        <item x="458"/>
        <item m="1" x="729"/>
        <item x="160"/>
        <item m="1" x="966"/>
        <item x="42"/>
        <item x="362"/>
        <item m="1" x="555"/>
        <item m="1" x="874"/>
        <item m="1" x="885"/>
        <item m="1" x="886"/>
        <item m="1" x="924"/>
        <item m="1" x="597"/>
        <item m="1" x="748"/>
        <item m="1" x="652"/>
        <item m="1" x="653"/>
        <item x="260"/>
        <item m="1" x="927"/>
        <item m="1" x="755"/>
        <item m="1" x="920"/>
        <item m="1" x="745"/>
        <item x="214"/>
        <item m="1" x="746"/>
        <item m="1" x="917"/>
        <item x="249"/>
        <item m="1" x="852"/>
        <item m="1" x="803"/>
        <item m="1" x="894"/>
        <item x="459"/>
        <item m="1" x="674"/>
        <item m="1" x="569"/>
        <item m="1" x="801"/>
        <item m="1" x="773"/>
        <item m="1" x="788"/>
        <item x="530"/>
        <item x="156"/>
        <item x="308"/>
        <item x="307"/>
        <item x="314"/>
        <item m="1" x="896"/>
        <item x="171"/>
        <item x="165"/>
        <item x="176"/>
        <item x="184"/>
        <item x="177"/>
        <item x="180"/>
        <item x="179"/>
        <item x="167"/>
        <item x="166"/>
        <item x="169"/>
        <item x="170"/>
        <item x="182"/>
        <item x="183"/>
        <item x="175"/>
        <item x="448"/>
        <item x="181"/>
        <item x="174"/>
        <item m="1" x="953"/>
        <item x="187"/>
        <item x="188"/>
        <item x="190"/>
        <item x="191"/>
        <item m="1" x="710"/>
        <item x="161"/>
        <item x="202"/>
        <item x="203"/>
        <item m="1" x="843"/>
        <item x="196"/>
        <item x="334"/>
        <item x="164"/>
        <item x="204"/>
        <item m="1" x="754"/>
        <item x="163"/>
        <item x="420"/>
        <item m="1" x="968"/>
        <item x="433"/>
        <item m="1" x="600"/>
        <item x="173"/>
        <item m="1" x="727"/>
        <item x="450"/>
        <item x="454"/>
        <item x="217"/>
        <item x="218"/>
        <item x="219"/>
        <item x="220"/>
        <item x="223"/>
        <item x="224"/>
        <item x="225"/>
        <item x="226"/>
        <item x="227"/>
        <item x="228"/>
        <item x="229"/>
        <item x="230"/>
        <item x="231"/>
        <item x="232"/>
        <item x="233"/>
        <item x="234"/>
        <item x="235"/>
        <item x="236"/>
        <item x="237"/>
        <item x="398"/>
        <item x="397"/>
        <item m="1" x="738"/>
        <item x="390"/>
        <item x="389"/>
        <item x="394"/>
        <item m="1" x="772"/>
        <item x="407"/>
        <item m="1" x="844"/>
        <item m="1" x="828"/>
        <item x="399"/>
        <item x="393"/>
        <item m="1" x="916"/>
        <item x="385"/>
        <item x="400"/>
        <item x="401"/>
        <item x="238"/>
        <item x="239"/>
        <item x="240"/>
        <item x="241"/>
        <item x="242"/>
        <item x="243"/>
        <item x="244"/>
        <item m="1" x="804"/>
        <item m="1" x="792"/>
        <item m="1" x="677"/>
        <item x="250"/>
        <item x="251"/>
        <item x="252"/>
        <item x="253"/>
        <item m="1" x="802"/>
        <item m="1" x="921"/>
        <item x="256"/>
        <item m="1" x="575"/>
        <item m="1" x="959"/>
        <item x="259"/>
        <item x="262"/>
        <item x="263"/>
        <item x="264"/>
        <item x="265"/>
        <item x="267"/>
        <item m="1" x="702"/>
        <item x="269"/>
        <item x="270"/>
        <item x="271"/>
        <item x="272"/>
        <item x="273"/>
        <item x="274"/>
        <item x="275"/>
        <item x="276"/>
        <item x="277"/>
        <item x="278"/>
        <item x="279"/>
        <item x="280"/>
        <item x="281"/>
        <item x="282"/>
        <item x="283"/>
        <item x="284"/>
        <item x="285"/>
        <item x="286"/>
        <item x="287"/>
        <item x="288"/>
        <item x="289"/>
        <item x="290"/>
        <item x="291"/>
        <item x="292"/>
        <item x="293"/>
        <item x="294"/>
        <item x="296"/>
        <item x="298"/>
        <item x="299"/>
        <item x="300"/>
        <item x="301"/>
        <item x="531"/>
        <item x="532"/>
        <item x="533"/>
        <item x="306"/>
        <item m="1" x="541"/>
        <item x="130"/>
        <item x="484"/>
        <item x="207"/>
        <item x="208"/>
        <item x="209"/>
        <item x="210"/>
        <item x="212"/>
        <item x="213"/>
        <item x="254"/>
        <item x="258"/>
        <item x="374"/>
        <item x="447"/>
        <item x="451"/>
        <item x="453"/>
        <item x="455"/>
        <item x="411"/>
        <item x="415"/>
        <item x="416"/>
        <item x="408"/>
        <item m="1" x="720"/>
        <item x="405"/>
        <item x="410"/>
        <item x="406"/>
        <item m="1" x="619"/>
        <item x="404"/>
        <item x="409"/>
        <item x="402"/>
        <item x="395"/>
        <item x="380"/>
        <item x="381"/>
        <item x="382"/>
        <item x="383"/>
        <item x="384"/>
        <item x="391"/>
        <item x="403"/>
        <item x="388"/>
        <item x="392"/>
        <item x="413"/>
        <item x="414"/>
        <item x="423"/>
        <item x="424"/>
        <item x="430"/>
        <item x="429"/>
        <item x="421"/>
        <item m="1" x="840"/>
        <item x="427"/>
        <item x="426"/>
        <item x="422"/>
        <item x="432"/>
        <item x="437"/>
        <item x="438"/>
        <item x="439"/>
        <item x="440"/>
        <item x="441"/>
        <item x="442"/>
        <item x="443"/>
        <item x="444"/>
        <item x="445"/>
        <item m="1" x="942"/>
        <item x="449"/>
        <item m="1" x="963"/>
        <item m="1" x="568"/>
        <item m="1" x="808"/>
        <item x="460"/>
        <item m="1" x="938"/>
        <item m="1" x="882"/>
        <item m="1" x="853"/>
        <item x="465"/>
        <item x="466"/>
        <item x="467"/>
        <item x="468"/>
        <item x="469"/>
        <item x="418"/>
        <item m="1" x="980"/>
        <item m="1" x="868"/>
        <item x="435"/>
        <item x="436"/>
        <item x="412"/>
        <item m="1" x="770"/>
        <item m="1" x="712"/>
        <item x="201"/>
        <item x="195"/>
        <item x="379"/>
        <item x="387"/>
        <item x="396"/>
        <item x="417"/>
        <item x="419"/>
        <item x="425"/>
        <item x="428"/>
        <item x="434"/>
        <item x="452"/>
        <item x="446"/>
        <item x="457"/>
        <item x="461"/>
        <item x="462"/>
        <item x="463"/>
        <item x="470"/>
        <item x="471"/>
        <item x="431"/>
        <item x="206"/>
        <item x="472"/>
        <item x="475"/>
        <item x="476"/>
        <item x="480"/>
        <item x="481"/>
        <item x="491"/>
        <item x="492"/>
        <item x="493"/>
        <item x="534"/>
        <item x="536"/>
        <item m="1" x="595"/>
        <item x="537"/>
        <item x="538"/>
        <item x="535"/>
        <item x="540"/>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1"/>
        <item m="1" x="3"/>
        <item m="1"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111">
    <i>
      <x v="7"/>
      <x v="10"/>
    </i>
    <i r="1">
      <x v="11"/>
    </i>
    <i t="default">
      <x v="7"/>
    </i>
    <i>
      <x v="37"/>
      <x v="10"/>
    </i>
    <i r="1">
      <x v="11"/>
    </i>
    <i t="default">
      <x v="37"/>
    </i>
    <i>
      <x v="103"/>
      <x v="11"/>
    </i>
    <i t="default">
      <x v="103"/>
    </i>
    <i>
      <x v="132"/>
      <x v="10"/>
    </i>
    <i r="1">
      <x v="11"/>
    </i>
    <i t="default">
      <x v="132"/>
    </i>
    <i>
      <x v="139"/>
      <x v="11"/>
    </i>
    <i t="default">
      <x v="139"/>
    </i>
    <i>
      <x v="141"/>
      <x v="10"/>
    </i>
    <i r="1">
      <x v="11"/>
    </i>
    <i t="default">
      <x v="141"/>
    </i>
    <i>
      <x v="143"/>
      <x v="10"/>
    </i>
    <i r="1">
      <x v="11"/>
    </i>
    <i t="default">
      <x v="143"/>
    </i>
    <i>
      <x v="163"/>
      <x v="10"/>
    </i>
    <i r="1">
      <x v="11"/>
    </i>
    <i t="default">
      <x v="163"/>
    </i>
    <i>
      <x v="187"/>
      <x v="10"/>
    </i>
    <i r="1">
      <x v="11"/>
    </i>
    <i t="default">
      <x v="187"/>
    </i>
    <i>
      <x v="201"/>
      <x v="10"/>
    </i>
    <i t="default">
      <x v="201"/>
    </i>
    <i>
      <x v="203"/>
      <x v="10"/>
    </i>
    <i t="default">
      <x v="203"/>
    </i>
    <i>
      <x v="271"/>
      <x v="11"/>
    </i>
    <i t="default">
      <x v="271"/>
    </i>
    <i>
      <x v="274"/>
      <x v="10"/>
    </i>
    <i r="1">
      <x v="11"/>
    </i>
    <i t="default">
      <x v="274"/>
    </i>
    <i>
      <x v="275"/>
      <x v="10"/>
    </i>
    <i t="default">
      <x v="275"/>
    </i>
    <i>
      <x v="301"/>
      <x v="10"/>
    </i>
    <i r="1">
      <x v="11"/>
    </i>
    <i t="default">
      <x v="301"/>
    </i>
    <i>
      <x v="305"/>
      <x v="11"/>
    </i>
    <i t="default">
      <x v="305"/>
    </i>
    <i>
      <x v="307"/>
      <x v="11"/>
    </i>
    <i t="default">
      <x v="307"/>
    </i>
    <i>
      <x v="308"/>
      <x v="11"/>
    </i>
    <i t="default">
      <x v="308"/>
    </i>
    <i>
      <x v="309"/>
      <x v="11"/>
    </i>
    <i t="default">
      <x v="309"/>
    </i>
    <i>
      <x v="310"/>
      <x v="11"/>
    </i>
    <i t="default">
      <x v="310"/>
    </i>
    <i>
      <x v="312"/>
      <x v="11"/>
    </i>
    <i t="default">
      <x v="312"/>
    </i>
    <i>
      <x v="313"/>
      <x v="10"/>
    </i>
    <i r="1">
      <x v="11"/>
    </i>
    <i t="default">
      <x v="313"/>
    </i>
    <i>
      <x v="314"/>
      <x v="10"/>
    </i>
    <i r="1">
      <x v="11"/>
    </i>
    <i t="default">
      <x v="314"/>
    </i>
    <i>
      <x v="317"/>
      <x v="10"/>
    </i>
    <i r="1">
      <x v="11"/>
    </i>
    <i t="default">
      <x v="317"/>
    </i>
    <i>
      <x v="331"/>
      <x v="11"/>
    </i>
    <i t="default">
      <x v="331"/>
    </i>
    <i>
      <x v="347"/>
      <x v="10"/>
    </i>
    <i r="1">
      <x v="11"/>
    </i>
    <i t="default">
      <x v="347"/>
    </i>
    <i>
      <x v="352"/>
      <x v="11"/>
    </i>
    <i t="default">
      <x v="352"/>
    </i>
    <i>
      <x v="353"/>
      <x v="11"/>
    </i>
    <i t="default">
      <x v="353"/>
    </i>
    <i>
      <x v="354"/>
      <x v="10"/>
    </i>
    <i t="default">
      <x v="354"/>
    </i>
    <i>
      <x v="358"/>
      <x v="10"/>
    </i>
    <i r="1">
      <x v="11"/>
    </i>
    <i t="default">
      <x v="358"/>
    </i>
    <i>
      <x v="370"/>
      <x v="11"/>
    </i>
    <i t="default">
      <x v="370"/>
    </i>
    <i>
      <x v="371"/>
      <x v="11"/>
    </i>
    <i t="default">
      <x v="371"/>
    </i>
    <i>
      <x v="378"/>
      <x v="10"/>
    </i>
    <i r="1">
      <x v="11"/>
    </i>
    <i t="default">
      <x v="378"/>
    </i>
    <i>
      <x v="379"/>
      <x v="10"/>
    </i>
    <i t="default">
      <x v="379"/>
    </i>
    <i>
      <x v="381"/>
      <x v="11"/>
    </i>
    <i t="default">
      <x v="381"/>
    </i>
    <i>
      <x v="386"/>
      <x v="10"/>
    </i>
    <i r="1">
      <x v="11"/>
    </i>
    <i t="default">
      <x v="386"/>
    </i>
    <i>
      <x v="455"/>
      <x v="10"/>
    </i>
    <i r="1">
      <x v="11"/>
    </i>
    <i t="default">
      <x v="455"/>
    </i>
    <i>
      <x v="543"/>
      <x v="10"/>
    </i>
    <i r="1">
      <x v="11"/>
    </i>
    <i t="default">
      <x v="543"/>
    </i>
    <i>
      <x v="544"/>
      <x v="10"/>
    </i>
    <i r="1">
      <x v="11"/>
    </i>
    <i t="default">
      <x v="544"/>
    </i>
    <i>
      <x v="679"/>
      <x v="11"/>
    </i>
    <i t="default">
      <x v="679"/>
    </i>
    <i>
      <x v="680"/>
      <x v="10"/>
    </i>
    <i r="1">
      <x v="11"/>
    </i>
    <i t="default">
      <x v="680"/>
    </i>
    <i>
      <x v="681"/>
      <x v="10"/>
    </i>
    <i r="1">
      <x v="11"/>
    </i>
    <i t="default">
      <x v="681"/>
    </i>
    <i>
      <x v="691"/>
      <x v="10"/>
    </i>
    <i r="1">
      <x v="11"/>
    </i>
    <i t="default">
      <x v="691"/>
    </i>
    <i>
      <x v="975"/>
      <x v="11"/>
    </i>
    <i t="default">
      <x v="975"/>
    </i>
    <i t="grand">
      <x/>
    </i>
  </rowItems>
  <colFields count="1">
    <field x="-2"/>
  </colFields>
  <colItems count="3">
    <i>
      <x/>
    </i>
    <i i="1">
      <x v="1"/>
    </i>
    <i i="2">
      <x v="2"/>
    </i>
  </colItems>
  <pageFields count="1">
    <pageField fld="121" hier="-1"/>
  </pageFields>
  <dataFields count="3">
    <dataField name="# of People adopt basic personal and community hygiene practices" fld="102" baseField="0" baseItem="0"/>
    <dataField name="# of people access to functioning  sanitation facilities" fld="91" baseField="0" baseItem="0"/>
    <dataField name="# of people Equitable and continuous access to sufficient quantity of domestic water" fld="83"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9000000}" name="PivotTable5" cacheId="2"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29:D131" firstHeaderRow="0" firstDataRow="0" firstDataCol="1" rowPageCount="4" colPageCount="1"/>
  <pivotFields count="131">
    <pivotField axis="axisPage" subtotalTop="0" showAll="0">
      <items count="13">
        <item m="1" x="10"/>
        <item m="1" x="5"/>
        <item m="1" x="2"/>
        <item m="1" x="4"/>
        <item m="1" x="11"/>
        <item m="1" x="3"/>
        <item m="1" x="9"/>
        <item m="1" x="6"/>
        <item m="1" x="7"/>
        <item m="1" x="8"/>
        <item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m="1" x="6"/>
        <item h="1" m="1" x="5"/>
        <item x="2"/>
        <item h="1" m="1" x="8"/>
        <item h="1" x="4"/>
        <item h="1" m="1" x="7"/>
        <item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1" hier="-1"/>
    <pageField fld="121" item="0" hier="-1"/>
    <pageField fld="4" item="2" hier="-1"/>
    <pageField fld="6" hier="-1"/>
  </pageFields>
  <dataFields count="3">
    <dataField name=" HRP1" fld="83" baseField="0" baseItem="80"/>
    <dataField name=" HRP2" fld="91" baseField="0" baseItem="0"/>
    <dataField name=" HRP3" fld="102" baseField="0" baseItem="0"/>
  </dataFields>
  <formats count="16">
    <format dxfId="737">
      <pivotArea field="4" type="button" dataOnly="0" labelOnly="1" outline="0" axis="axisPage" fieldPosition="2"/>
    </format>
    <format dxfId="736">
      <pivotArea type="all" dataOnly="0" outline="0" fieldPosition="0"/>
    </format>
    <format dxfId="735">
      <pivotArea field="4" type="button" dataOnly="0" labelOnly="1" outline="0" axis="axisPage" fieldPosition="2"/>
    </format>
    <format dxfId="734">
      <pivotArea type="all" dataOnly="0" outline="0" fieldPosition="0"/>
    </format>
    <format dxfId="733">
      <pivotArea outline="0" collapsedLevelsAreSubtotals="1" fieldPosition="0"/>
    </format>
    <format dxfId="732">
      <pivotArea dataOnly="0" labelOnly="1" grandRow="1" outline="0" fieldPosition="0"/>
    </format>
    <format dxfId="731">
      <pivotArea type="all" dataOnly="0" outline="0" fieldPosition="0"/>
    </format>
    <format dxfId="730">
      <pivotArea outline="0" collapsedLevelsAreSubtotals="1" fieldPosition="0"/>
    </format>
    <format dxfId="729">
      <pivotArea dataOnly="0" labelOnly="1" grandRow="1" outline="0" fieldPosition="0"/>
    </format>
    <format dxfId="728">
      <pivotArea field="4" type="button" dataOnly="0" labelOnly="1" outline="0" axis="axisPage" fieldPosition="2"/>
    </format>
    <format dxfId="727">
      <pivotArea dataOnly="0" labelOnly="1" outline="0" fieldPosition="0">
        <references count="1">
          <reference field="4294967294" count="1">
            <x v="0"/>
          </reference>
        </references>
      </pivotArea>
    </format>
    <format dxfId="726">
      <pivotArea collapsedLevelsAreSubtotals="1" fieldPosition="0">
        <references count="1">
          <reference field="4294967294" count="1">
            <x v="1"/>
          </reference>
        </references>
      </pivotArea>
    </format>
    <format dxfId="725">
      <pivotArea dataOnly="0" labelOnly="1" outline="0" fieldPosition="0">
        <references count="1">
          <reference field="4294967294" count="1">
            <x v="1"/>
          </reference>
        </references>
      </pivotArea>
    </format>
    <format dxfId="724">
      <pivotArea collapsedLevelsAreSubtotals="1" fieldPosition="0">
        <references count="1">
          <reference field="4294967294" count="1">
            <x v="2"/>
          </reference>
        </references>
      </pivotArea>
    </format>
    <format dxfId="723">
      <pivotArea dataOnly="0" labelOnly="1" outline="0" fieldPosition="0">
        <references count="1">
          <reference field="4294967294" count="1">
            <x v="2"/>
          </reference>
        </references>
      </pivotArea>
    </format>
    <format dxfId="722">
      <pivotArea fieldPosition="0">
        <references count="1">
          <reference field="4294967294" count="1">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7000000}" name="PivotTable3" cacheId="2"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15:D117" firstHeaderRow="0" firstDataRow="0" firstDataCol="1" rowPageCount="4" colPageCount="1"/>
  <pivotFields count="131">
    <pivotField axis="axisPage" subtotalTop="0" showAll="0">
      <items count="13">
        <item m="1" x="10"/>
        <item m="1" x="5"/>
        <item m="1" x="2"/>
        <item m="1" x="4"/>
        <item m="1" x="11"/>
        <item m="1" x="3"/>
        <item m="1" x="9"/>
        <item m="1" x="6"/>
        <item m="1" x="7"/>
        <item m="1" x="8"/>
        <item x="0"/>
        <item x="1"/>
        <item t="default"/>
      </items>
    </pivotField>
    <pivotField showAll="0" defaultSubtotal="0"/>
    <pivotField showAll="0" defaultSubtotal="0"/>
    <pivotField subtotalTop="0" showAll="0"/>
    <pivotField axis="axisPage"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x="2"/>
        <item h="1" x="4"/>
        <item h="1" m="1" x="6"/>
        <item h="1" m="1" x="8"/>
        <item h="1" m="1" x="5"/>
        <item h="1" m="1" x="7"/>
        <item x="3"/>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4">
    <pageField fld="0" item="11" hier="-1"/>
    <pageField fld="121" item="0" hier="-1"/>
    <pageField fld="4" item="0" hier="-1"/>
    <pageField fld="6" hier="-1"/>
  </pageFields>
  <dataFields count="3">
    <dataField name=" HRP1" fld="83" baseField="0" baseItem="16"/>
    <dataField name=" HRP2" fld="91" baseField="0" baseItem="0"/>
    <dataField name=" HRP3" fld="102" baseField="0" baseItem="0"/>
  </dataFields>
  <formats count="23">
    <format dxfId="760">
      <pivotArea field="4" type="button" dataOnly="0" labelOnly="1" outline="0" axis="axisPage" fieldPosition="2"/>
    </format>
    <format dxfId="759">
      <pivotArea type="all" dataOnly="0" outline="0" fieldPosition="0"/>
    </format>
    <format dxfId="758">
      <pivotArea field="4" type="button" dataOnly="0" labelOnly="1" outline="0" axis="axisPage" fieldPosition="2"/>
    </format>
    <format dxfId="757">
      <pivotArea type="all" dataOnly="0" outline="0" fieldPosition="0"/>
    </format>
    <format dxfId="756">
      <pivotArea outline="0" collapsedLevelsAreSubtotals="1" fieldPosition="0"/>
    </format>
    <format dxfId="755">
      <pivotArea dataOnly="0" labelOnly="1" grandRow="1" outline="0" fieldPosition="0"/>
    </format>
    <format dxfId="754">
      <pivotArea type="all" dataOnly="0" outline="0" fieldPosition="0"/>
    </format>
    <format dxfId="753">
      <pivotArea outline="0" collapsedLevelsAreSubtotals="1" fieldPosition="0"/>
    </format>
    <format dxfId="752">
      <pivotArea dataOnly="0" labelOnly="1" grandRow="1" outline="0" fieldPosition="0"/>
    </format>
    <format dxfId="751">
      <pivotArea dataOnly="0" labelOnly="1" outline="0" fieldPosition="0">
        <references count="1">
          <reference field="4294967294" count="1">
            <x v="0"/>
          </reference>
        </references>
      </pivotArea>
    </format>
    <format dxfId="750">
      <pivotArea dataOnly="0" labelOnly="1" outline="0" fieldPosition="0">
        <references count="1">
          <reference field="4294967294" count="1">
            <x v="1"/>
          </reference>
        </references>
      </pivotArea>
    </format>
    <format dxfId="749">
      <pivotArea dataOnly="0" labelOnly="1" outline="0" fieldPosition="0">
        <references count="1">
          <reference field="4294967294" count="1">
            <x v="2"/>
          </reference>
        </references>
      </pivotArea>
    </format>
    <format dxfId="748">
      <pivotArea fieldPosition="0">
        <references count="1">
          <reference field="4294967294" count="1">
            <x v="0"/>
          </reference>
        </references>
      </pivotArea>
    </format>
    <format dxfId="747">
      <pivotArea outline="0" collapsedLevelsAreSubtotals="1" fieldPosition="0"/>
    </format>
    <format dxfId="746">
      <pivotArea fieldPosition="0">
        <references count="1">
          <reference field="4294967294" count="1">
            <x v="0"/>
          </reference>
        </references>
      </pivotArea>
    </format>
    <format dxfId="745">
      <pivotArea collapsedLevelsAreSubtotals="1" fieldPosition="0">
        <references count="1">
          <reference field="4294967294" count="1">
            <x v="1"/>
          </reference>
        </references>
      </pivotArea>
    </format>
    <format dxfId="744">
      <pivotArea dataOnly="0" labelOnly="1" outline="0" fieldPosition="0">
        <references count="1">
          <reference field="4294967294" count="1">
            <x v="1"/>
          </reference>
        </references>
      </pivotArea>
    </format>
    <format dxfId="743">
      <pivotArea collapsedLevelsAreSubtotals="1" fieldPosition="0">
        <references count="1">
          <reference field="4294967294" count="1">
            <x v="1"/>
          </reference>
        </references>
      </pivotArea>
    </format>
    <format dxfId="742">
      <pivotArea dataOnly="0" labelOnly="1" outline="0" fieldPosition="0">
        <references count="1">
          <reference field="4294967294" count="1">
            <x v="1"/>
          </reference>
        </references>
      </pivotArea>
    </format>
    <format dxfId="741">
      <pivotArea collapsedLevelsAreSubtotals="1" fieldPosition="0">
        <references count="1">
          <reference field="4294967294" count="1">
            <x v="1"/>
          </reference>
        </references>
      </pivotArea>
    </format>
    <format dxfId="740">
      <pivotArea dataOnly="0" labelOnly="1" outline="0" fieldPosition="0">
        <references count="1">
          <reference field="4294967294" count="1">
            <x v="1"/>
          </reference>
        </references>
      </pivotArea>
    </format>
    <format dxfId="739">
      <pivotArea collapsedLevelsAreSubtotals="1" fieldPosition="0">
        <references count="1">
          <reference field="4294967294" count="1">
            <x v="2"/>
          </reference>
        </references>
      </pivotArea>
    </format>
    <format dxfId="738">
      <pivotArea collapsedLevelsAreSubtotals="1" fieldPosition="0">
        <references count="1">
          <reference field="4294967294" count="1">
            <x v="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5000000}" name="PivotTable12"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Y17:AC19" firstHeaderRow="0" firstDataRow="1" firstDataCol="1" rowPageCount="3" colPageCount="1"/>
  <pivotFields count="131">
    <pivotField axis="axisRow" compact="0" outline="0" subtotalTop="0" showAll="0">
      <items count="13">
        <item m="1" x="10"/>
        <item m="1" x="5"/>
        <item m="1" x="2"/>
        <item m="1" x="4"/>
        <item m="1" x="11"/>
        <item m="1" x="3"/>
        <item m="1" x="9"/>
        <item m="1" x="6"/>
        <item m="1" x="7"/>
        <item m="1" x="8"/>
        <item x="0"/>
        <item x="1"/>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x="0"/>
        <item m="1" x="5"/>
        <item h="1" x="3"/>
        <item h="1" m="1" x="4"/>
        <item x="1"/>
        <item x="2"/>
        <item t="default"/>
      </items>
    </pivotField>
    <pivotField compact="0" outline="0" subtotalTop="0" showAll="0"/>
    <pivotField axis="axisPage" compact="0" outline="0" multipleItemSelectionAllowed="1" showAll="0" defaultSubtotal="0">
      <items count="10">
        <item h="1" x="1"/>
        <item h="1" x="0"/>
        <item m="1" x="9"/>
        <item x="2"/>
        <item h="1" x="4"/>
        <item m="1" x="6"/>
        <item m="1" x="8"/>
        <item m="1" x="5"/>
        <item h="1" m="1" x="7"/>
        <item h="1"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
    <i>
      <x v="10"/>
    </i>
    <i t="grand">
      <x/>
    </i>
  </rowItems>
  <colFields count="1">
    <field x="-2"/>
  </colFields>
  <colItems count="4">
    <i>
      <x/>
    </i>
    <i i="1">
      <x v="1"/>
    </i>
    <i i="2">
      <x v="2"/>
    </i>
    <i i="3">
      <x v="3"/>
    </i>
  </colItems>
  <pageFields count="3">
    <pageField fld="121" item="0" hier="-1"/>
    <pageField fld="4" hier="-1"/>
    <pageField fld="6" hier="-1"/>
  </pageFields>
  <dataFields count="4">
    <dataField name="Total Population reached" fld="9" baseField="2" baseItem="0" numFmtId="3"/>
    <dataField name=" HRP1" fld="83" baseField="0" baseItem="9"/>
    <dataField name=" HRP2" fld="91" baseField="0" baseItem="9"/>
    <dataField name=" HRP3" fld="102" baseField="0" baseItem="9"/>
  </dataFields>
  <formats count="16">
    <format dxfId="776">
      <pivotArea field="4" type="button" dataOnly="0" labelOnly="1" outline="0" axis="axisPage" fieldPosition="1"/>
    </format>
    <format dxfId="775">
      <pivotArea type="all" dataOnly="0" outline="0" fieldPosition="0"/>
    </format>
    <format dxfId="774">
      <pivotArea field="4" type="button" dataOnly="0" labelOnly="1" outline="0" axis="axisPage" fieldPosition="1"/>
    </format>
    <format dxfId="773">
      <pivotArea outline="0" fieldPosition="0">
        <references count="1">
          <reference field="4294967294" count="1">
            <x v="0"/>
          </reference>
        </references>
      </pivotArea>
    </format>
    <format dxfId="772">
      <pivotArea dataOnly="0" labelOnly="1" outline="0" fieldPosition="0">
        <references count="1">
          <reference field="4294967294" count="1">
            <x v="0"/>
          </reference>
        </references>
      </pivotArea>
    </format>
    <format dxfId="771">
      <pivotArea type="all" dataOnly="0" outline="0" fieldPosition="0"/>
    </format>
    <format dxfId="770">
      <pivotArea outline="0" collapsedLevelsAreSubtotals="1" fieldPosition="0"/>
    </format>
    <format dxfId="769">
      <pivotArea dataOnly="0" labelOnly="1" fieldPosition="0">
        <references count="1">
          <reference field="4" count="0"/>
        </references>
      </pivotArea>
    </format>
    <format dxfId="768">
      <pivotArea dataOnly="0" labelOnly="1" grandRow="1" outline="0" fieldPosition="0"/>
    </format>
    <format dxfId="767">
      <pivotArea dataOnly="0" labelOnly="1" outline="0" fieldPosition="0">
        <references count="1">
          <reference field="4294967294" count="1">
            <x v="0"/>
          </reference>
        </references>
      </pivotArea>
    </format>
    <format dxfId="766">
      <pivotArea type="all" dataOnly="0" outline="0" fieldPosition="0"/>
    </format>
    <format dxfId="765">
      <pivotArea outline="0" collapsedLevelsAreSubtotals="1" fieldPosition="0"/>
    </format>
    <format dxfId="764">
      <pivotArea dataOnly="0" labelOnly="1" fieldPosition="0">
        <references count="1">
          <reference field="4" count="0"/>
        </references>
      </pivotArea>
    </format>
    <format dxfId="763">
      <pivotArea dataOnly="0" labelOnly="1" grandRow="1" outline="0" fieldPosition="0"/>
    </format>
    <format dxfId="762">
      <pivotArea dataOnly="0" labelOnly="1" outline="0" fieldPosition="0">
        <references count="1">
          <reference field="4294967294" count="1">
            <x v="0"/>
          </reference>
        </references>
      </pivotArea>
    </format>
    <format dxfId="761">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2"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J9" firstHeaderRow="0" firstDataRow="1" firstDataCol="1" rowPageCount="3" colPageCount="1"/>
  <pivotFields count="131">
    <pivotField axis="axisPage" subtotalTop="0" showAll="0">
      <items count="13">
        <item m="1" x="10"/>
        <item m="1" x="5"/>
        <item m="1" x="2"/>
        <item m="1" x="4"/>
        <item m="1" x="11"/>
        <item m="1" x="3"/>
        <item m="1" x="9"/>
        <item m="1" x="6"/>
        <item m="1" x="7"/>
        <item m="1" x="8"/>
        <item x="0"/>
        <item x="1"/>
        <item t="default"/>
      </items>
    </pivotField>
    <pivotField showAll="0" defaultSubtotal="0"/>
    <pivotField showAll="0" defaultSubtotal="0"/>
    <pivotField subtotalTop="0" showAll="0"/>
    <pivotField axis="axisRow" subtotalTop="0" showAll="0">
      <items count="7">
        <item x="0"/>
        <item m="1" x="5"/>
        <item x="3"/>
        <item m="1" x="4"/>
        <item x="1"/>
        <item x="2"/>
        <item t="default"/>
      </items>
    </pivotField>
    <pivotField subtotalTop="0" showAll="0"/>
    <pivotField axis="axisPage" multipleItemSelectionAllowed="1" showAll="0" defaultSubtotal="0">
      <items count="10">
        <item x="1"/>
        <item x="0"/>
        <item m="1" x="9"/>
        <item h="1" x="2"/>
        <item h="1" x="4"/>
        <item h="1" m="1" x="6"/>
        <item h="1" m="1" x="8"/>
        <item h="1" m="1" x="5"/>
        <item h="1" m="1" x="7"/>
        <item x="3"/>
      </items>
    </pivotField>
    <pivotField subtotalTop="0" showAll="0"/>
    <pivotField subtotalTop="0" showAll="0"/>
    <pivotField dataField="1" subtotalTop="0" showAll="0"/>
    <pivotField showAll="0" defaultSubtotal="0"/>
    <pivotField showAll="0" defaultSubtotal="0"/>
    <pivotField dataField="1"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1" showAll="0" defaultSubtotal="0"/>
    <pivotField numFmtId="9" showAll="0"/>
    <pivotField dataField="1" numFmtId="1" showAll="0" defaultSubtotal="0"/>
    <pivotField showAll="0" defaultSubtotal="0"/>
    <pivotField showAll="0" defaultSubtota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pivotField subtotalTop="0" showAll="0"/>
    <pivotField subtotalTop="0" showAll="0"/>
    <pivotField subtotalTop="0" showAll="0"/>
    <pivotField subtotalTop="0" showAll="0"/>
    <pivotField numFmtId="1" showAll="0" defaultSubtotal="0"/>
    <pivotField numFmtId="1" subtotalTop="0" showAll="0"/>
    <pivotField numFmtId="1" showAll="0" defaultSubtotal="0"/>
    <pivotField dataField="1" numFmtId="1"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3">
    <i>
      <x/>
    </i>
    <i>
      <x v="2"/>
    </i>
    <i t="grand">
      <x/>
    </i>
  </rowItems>
  <colFields count="1">
    <field x="-2"/>
  </colFields>
  <colItems count="8">
    <i>
      <x/>
    </i>
    <i i="1">
      <x v="1"/>
    </i>
    <i i="2">
      <x v="2"/>
    </i>
    <i i="3">
      <x v="3"/>
    </i>
    <i i="4">
      <x v="4"/>
    </i>
    <i i="5">
      <x v="5"/>
    </i>
    <i i="6">
      <x v="6"/>
    </i>
    <i i="7">
      <x v="7"/>
    </i>
  </colItems>
  <pageFields count="3">
    <pageField fld="0" item="11" hier="-1"/>
    <pageField fld="121" item="0" hier="-1"/>
    <pageField fld="6" hier="-1"/>
  </pageFields>
  <dataFields count="8">
    <dataField name="Total Population reached" fld="9" baseField="2" baseItem="0" numFmtId="3"/>
    <dataField name=" HRP1" fld="83" baseField="4" baseItem="0"/>
    <dataField name=" HRP2" fld="91" baseField="0" baseItem="0"/>
    <dataField name=" HRP3" fld="102" baseField="0" baseItem="0"/>
    <dataField name=" # People received regular supply of hygiene items" fld="101" baseField="0" baseItem="0"/>
    <dataField name=" # people reached by regular dedicated hygiene promotion" fld="98" baseField="0" baseItem="0"/>
    <dataField name=" # People access to Handwashing Station" fld="111" baseField="0" baseItem="0"/>
    <dataField name=" #_students at TLS_CFS" fld="12" baseField="0" baseItem="0"/>
  </dataFields>
  <formats count="47">
    <format dxfId="823">
      <pivotArea field="4" type="button" dataOnly="0" labelOnly="1" outline="0" axis="axisRow" fieldPosition="0"/>
    </format>
    <format dxfId="822">
      <pivotArea type="all" dataOnly="0" outline="0" fieldPosition="0"/>
    </format>
    <format dxfId="821">
      <pivotArea field="4" type="button" dataOnly="0" labelOnly="1" outline="0" axis="axisRow" fieldPosition="0"/>
    </format>
    <format dxfId="820">
      <pivotArea outline="0" fieldPosition="0">
        <references count="1">
          <reference field="4294967294" count="1">
            <x v="0"/>
          </reference>
        </references>
      </pivotArea>
    </format>
    <format dxfId="819">
      <pivotArea dataOnly="0" labelOnly="1" outline="0" fieldPosition="0">
        <references count="1">
          <reference field="4294967294" count="1">
            <x v="0"/>
          </reference>
        </references>
      </pivotArea>
    </format>
    <format dxfId="818">
      <pivotArea type="all" dataOnly="0" outline="0" fieldPosition="0"/>
    </format>
    <format dxfId="817">
      <pivotArea outline="0" collapsedLevelsAreSubtotals="1" fieldPosition="0"/>
    </format>
    <format dxfId="816">
      <pivotArea dataOnly="0" labelOnly="1" fieldPosition="0">
        <references count="1">
          <reference field="4" count="0"/>
        </references>
      </pivotArea>
    </format>
    <format dxfId="815">
      <pivotArea dataOnly="0" labelOnly="1" grandRow="1" outline="0" fieldPosition="0"/>
    </format>
    <format dxfId="814">
      <pivotArea dataOnly="0" labelOnly="1" outline="0" fieldPosition="0">
        <references count="1">
          <reference field="4294967294" count="1">
            <x v="0"/>
          </reference>
        </references>
      </pivotArea>
    </format>
    <format dxfId="813">
      <pivotArea type="all" dataOnly="0" outline="0" fieldPosition="0"/>
    </format>
    <format dxfId="812">
      <pivotArea outline="0" collapsedLevelsAreSubtotals="1" fieldPosition="0"/>
    </format>
    <format dxfId="811">
      <pivotArea dataOnly="0" labelOnly="1" fieldPosition="0">
        <references count="1">
          <reference field="4" count="0"/>
        </references>
      </pivotArea>
    </format>
    <format dxfId="810">
      <pivotArea dataOnly="0" labelOnly="1" grandRow="1" outline="0" fieldPosition="0"/>
    </format>
    <format dxfId="809">
      <pivotArea dataOnly="0" labelOnly="1" outline="0" fieldPosition="0">
        <references count="1">
          <reference field="4294967294" count="1">
            <x v="0"/>
          </reference>
        </references>
      </pivotArea>
    </format>
    <format dxfId="808">
      <pivotArea outline="0" collapsedLevelsAreSubtotals="1" fieldPosition="0"/>
    </format>
    <format dxfId="807">
      <pivotArea outline="0" collapsedLevelsAreSubtotals="1" fieldPosition="0">
        <references count="1">
          <reference field="4294967294" count="1" selected="0">
            <x v="1"/>
          </reference>
        </references>
      </pivotArea>
    </format>
    <format dxfId="806">
      <pivotArea dataOnly="0" labelOnly="1" outline="0" fieldPosition="0">
        <references count="1">
          <reference field="4294967294" count="1">
            <x v="1"/>
          </reference>
        </references>
      </pivotArea>
    </format>
    <format dxfId="805">
      <pivotArea outline="0" collapsedLevelsAreSubtotals="1" fieldPosition="0">
        <references count="1">
          <reference field="4294967294" count="1" selected="0">
            <x v="1"/>
          </reference>
        </references>
      </pivotArea>
    </format>
    <format dxfId="804">
      <pivotArea dataOnly="0" labelOnly="1" outline="0" fieldPosition="0">
        <references count="1">
          <reference field="4294967294" count="1">
            <x v="1"/>
          </reference>
        </references>
      </pivotArea>
    </format>
    <format dxfId="803">
      <pivotArea outline="0" collapsedLevelsAreSubtotals="1" fieldPosition="0">
        <references count="1">
          <reference field="4294967294" count="1" selected="0">
            <x v="2"/>
          </reference>
        </references>
      </pivotArea>
    </format>
    <format dxfId="802">
      <pivotArea dataOnly="0" labelOnly="1" outline="0" fieldPosition="0">
        <references count="1">
          <reference field="4294967294" count="1">
            <x v="2"/>
          </reference>
        </references>
      </pivotArea>
    </format>
    <format dxfId="801">
      <pivotArea outline="0" collapsedLevelsAreSubtotals="1" fieldPosition="0">
        <references count="1">
          <reference field="4294967294" count="1" selected="0">
            <x v="2"/>
          </reference>
        </references>
      </pivotArea>
    </format>
    <format dxfId="800">
      <pivotArea dataOnly="0" labelOnly="1" outline="0" fieldPosition="0">
        <references count="1">
          <reference field="4294967294" count="1">
            <x v="2"/>
          </reference>
        </references>
      </pivotArea>
    </format>
    <format dxfId="799">
      <pivotArea outline="0" collapsedLevelsAreSubtotals="1" fieldPosition="0">
        <references count="1">
          <reference field="4294967294" count="1" selected="0">
            <x v="3"/>
          </reference>
        </references>
      </pivotArea>
    </format>
    <format dxfId="798">
      <pivotArea dataOnly="0" labelOnly="1" outline="0" fieldPosition="0">
        <references count="1">
          <reference field="4294967294" count="1">
            <x v="3"/>
          </reference>
        </references>
      </pivotArea>
    </format>
    <format dxfId="797">
      <pivotArea outline="0" collapsedLevelsAreSubtotals="1" fieldPosition="0">
        <references count="1">
          <reference field="4294967294" count="1" selected="0">
            <x v="3"/>
          </reference>
        </references>
      </pivotArea>
    </format>
    <format dxfId="796">
      <pivotArea dataOnly="0" labelOnly="1" outline="0" fieldPosition="0">
        <references count="1">
          <reference field="4294967294" count="1">
            <x v="3"/>
          </reference>
        </references>
      </pivotArea>
    </format>
    <format dxfId="795">
      <pivotArea outline="0" collapsedLevelsAreSubtotals="1" fieldPosition="0">
        <references count="1">
          <reference field="4294967294" count="1" selected="0">
            <x v="0"/>
          </reference>
        </references>
      </pivotArea>
    </format>
    <format dxfId="794">
      <pivotArea dataOnly="0" labelOnly="1" outline="0" fieldPosition="0">
        <references count="1">
          <reference field="4294967294" count="1">
            <x v="0"/>
          </reference>
        </references>
      </pivotArea>
    </format>
    <format dxfId="793">
      <pivotArea outline="0" collapsedLevelsAreSubtotals="1" fieldPosition="0">
        <references count="1">
          <reference field="4294967294" count="1" selected="0">
            <x v="0"/>
          </reference>
        </references>
      </pivotArea>
    </format>
    <format dxfId="792">
      <pivotArea dataOnly="0" labelOnly="1" outline="0" fieldPosition="0">
        <references count="1">
          <reference field="4294967294" count="1">
            <x v="0"/>
          </reference>
        </references>
      </pivotArea>
    </format>
    <format dxfId="791">
      <pivotArea dataOnly="0" labelOnly="1" outline="0" fieldPosition="0">
        <references count="1">
          <reference field="4294967294" count="4">
            <x v="0"/>
            <x v="1"/>
            <x v="2"/>
            <x v="3"/>
          </reference>
        </references>
      </pivotArea>
    </format>
    <format dxfId="790">
      <pivotArea dataOnly="0" labelOnly="1" outline="0" fieldPosition="0">
        <references count="1">
          <reference field="4294967294" count="5">
            <x v="0"/>
            <x v="1"/>
            <x v="2"/>
            <x v="3"/>
            <x v="7"/>
          </reference>
        </references>
      </pivotArea>
    </format>
    <format dxfId="789">
      <pivotArea dataOnly="0" outline="0" fieldPosition="0">
        <references count="3">
          <reference field="4294967294" count="1">
            <x v="7"/>
          </reference>
          <reference field="0" count="0" selected="0"/>
          <reference field="121" count="1" selected="0">
            <x v="0"/>
          </reference>
        </references>
      </pivotArea>
    </format>
    <format dxfId="788">
      <pivotArea dataOnly="0" outline="0" fieldPosition="0">
        <references count="3">
          <reference field="4294967294" count="1">
            <x v="7"/>
          </reference>
          <reference field="0" count="0" selected="0"/>
          <reference field="121" count="1" selected="0">
            <x v="0"/>
          </reference>
        </references>
      </pivotArea>
    </format>
    <format dxfId="787">
      <pivotArea dataOnly="0" labelOnly="1" outline="0" fieldPosition="0">
        <references count="1">
          <reference field="4294967294" count="1">
            <x v="7"/>
          </reference>
        </references>
      </pivotArea>
    </format>
    <format dxfId="786">
      <pivotArea dataOnly="0" labelOnly="1" outline="0" fieldPosition="0">
        <references count="1">
          <reference field="4294967294" count="1">
            <x v="4"/>
          </reference>
        </references>
      </pivotArea>
    </format>
    <format dxfId="785">
      <pivotArea dataOnly="0" labelOnly="1" outline="0" fieldPosition="0">
        <references count="1">
          <reference field="4294967294" count="1">
            <x v="4"/>
          </reference>
        </references>
      </pivotArea>
    </format>
    <format dxfId="784">
      <pivotArea dataOnly="0" labelOnly="1" outline="0" fieldPosition="0">
        <references count="1">
          <reference field="4294967294" count="1">
            <x v="6"/>
          </reference>
        </references>
      </pivotArea>
    </format>
    <format dxfId="783">
      <pivotArea outline="0" collapsedLevelsAreSubtotals="1" fieldPosition="0">
        <references count="1">
          <reference field="4294967294" count="2" selected="0">
            <x v="4"/>
            <x v="6"/>
          </reference>
        </references>
      </pivotArea>
    </format>
    <format dxfId="782">
      <pivotArea dataOnly="0" labelOnly="1" outline="0" fieldPosition="0">
        <references count="1">
          <reference field="4294967294" count="1">
            <x v="5"/>
          </reference>
        </references>
      </pivotArea>
    </format>
    <format dxfId="781">
      <pivotArea collapsedLevelsAreSubtotals="1" fieldPosition="0">
        <references count="2">
          <reference field="4294967294" count="1" selected="0">
            <x v="5"/>
          </reference>
          <reference field="4" count="1">
            <x v="0"/>
          </reference>
        </references>
      </pivotArea>
    </format>
    <format dxfId="780">
      <pivotArea outline="0" collapsedLevelsAreSubtotals="1" fieldPosition="0">
        <references count="1">
          <reference field="4294967294" count="4" selected="0">
            <x v="4"/>
            <x v="5"/>
            <x v="6"/>
            <x v="7"/>
          </reference>
        </references>
      </pivotArea>
    </format>
    <format dxfId="779">
      <pivotArea dataOnly="0" labelOnly="1" outline="0" fieldPosition="0">
        <references count="1">
          <reference field="4294967294" count="4">
            <x v="4"/>
            <x v="5"/>
            <x v="6"/>
            <x v="7"/>
          </reference>
        </references>
      </pivotArea>
    </format>
    <format dxfId="778">
      <pivotArea outline="0" collapsedLevelsAreSubtotals="1" fieldPosition="0">
        <references count="1">
          <reference field="4294967294" count="4" selected="0">
            <x v="4"/>
            <x v="5"/>
            <x v="6"/>
            <x v="7"/>
          </reference>
        </references>
      </pivotArea>
    </format>
    <format dxfId="777">
      <pivotArea dataOnly="0" labelOnly="1" outline="0" fieldPosition="0">
        <references count="1">
          <reference field="4294967294" count="4">
            <x v="4"/>
            <x v="5"/>
            <x v="6"/>
            <x v="7"/>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700-00000C000000}" name="PivotTable8" cacheId="2"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V6:AB9" firstHeaderRow="0" firstDataRow="1" firstDataCol="1" rowPageCount="3" colPageCount="1"/>
  <pivotFields count="131">
    <pivotField axis="axisRow" compact="0" outline="0" subtotalTop="0" showAll="0">
      <items count="13">
        <item m="1" x="10"/>
        <item m="1" x="5"/>
        <item m="1" x="2"/>
        <item m="1" x="4"/>
        <item m="1" x="11"/>
        <item m="1" x="3"/>
        <item m="1" x="9"/>
        <item m="1" x="6"/>
        <item m="1" x="7"/>
        <item m="1" x="8"/>
        <item x="0"/>
        <item x="1"/>
        <item t="default"/>
      </items>
    </pivotField>
    <pivotField compact="0" outline="0" showAll="0" defaultSubtotal="0"/>
    <pivotField compact="0" outline="0" showAll="0" defaultSubtotal="0"/>
    <pivotField compact="0" outline="0" subtotalTop="0" showAll="0"/>
    <pivotField axis="axisPage" compact="0" outline="0" subtotalTop="0" showAll="0">
      <items count="7">
        <item x="0"/>
        <item m="1" x="5"/>
        <item x="3"/>
        <item m="1" x="4"/>
        <item x="1"/>
        <item x="2"/>
        <item t="default"/>
      </items>
    </pivotField>
    <pivotField compact="0" outline="0" subtotalTop="0" showAll="0"/>
    <pivotField axis="axisPage" compact="0" outline="0" multipleItemSelectionAllowed="1" showAll="0" defaultSubtotal="0">
      <items count="10">
        <item x="1"/>
        <item x="0"/>
        <item m="1" x="9"/>
        <item h="1" x="2"/>
        <item h="1" x="4"/>
        <item h="1" m="1" x="6"/>
        <item h="1" m="1" x="8"/>
        <item h="1" m="1" x="5"/>
        <item h="1" m="1" x="7"/>
        <item x="3"/>
      </items>
    </pivotField>
    <pivotField compact="0" outline="0" subtotalTop="0" showAll="0"/>
    <pivotField compact="0" outline="0" subtotalTop="0" showAll="0"/>
    <pivotField dataField="1" compact="0" outline="0" subtotalTop="0" showAl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pivotField compact="0" numFmtId="9" outline="0" subtotalTop="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defaultSubtota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pivotField compact="0" outline="0" subtotalTop="0" showAll="0"/>
    <pivotField compact="0" outline="0" subtotalTop="0" showAll="0"/>
    <pivotField compact="0" outline="0" subtotalTop="0" showAll="0"/>
    <pivotField compact="0"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3">
    <i>
      <x v="10"/>
    </i>
    <i>
      <x v="11"/>
    </i>
    <i t="grand">
      <x/>
    </i>
  </rowItems>
  <colFields count="1">
    <field x="-2"/>
  </colFields>
  <colItems count="6">
    <i>
      <x/>
    </i>
    <i i="1">
      <x v="1"/>
    </i>
    <i i="2">
      <x v="2"/>
    </i>
    <i i="3">
      <x v="3"/>
    </i>
    <i i="4">
      <x v="4"/>
    </i>
    <i i="5">
      <x v="5"/>
    </i>
  </colItems>
  <pageFields count="3">
    <pageField fld="121" item="0" hier="-1"/>
    <pageField fld="4" item="2" hier="-1"/>
    <pageField fld="6" hier="-1"/>
  </pageFields>
  <dataFields count="6">
    <dataField name="Total Population reached" fld="9" baseField="2" baseItem="0" numFmtId="3"/>
    <dataField name=" HRP1" fld="83" baseField="0" baseItem="9"/>
    <dataField name=" HRP2" fld="91" baseField="0" baseItem="9"/>
    <dataField name=" HRP3" fld="102" baseField="0" baseItem="9"/>
    <dataField name="  # People received regular supply of hygiene items_6" fld="101" baseField="0" baseItem="10"/>
    <dataField name="  #_students at TLS_CFS" fld="12" baseField="0" baseItem="0"/>
  </dataFields>
  <formats count="21">
    <format dxfId="844">
      <pivotArea field="4" type="button" dataOnly="0" labelOnly="1" outline="0" axis="axisPage" fieldPosition="1"/>
    </format>
    <format dxfId="843">
      <pivotArea type="all" dataOnly="0" outline="0" fieldPosition="0"/>
    </format>
    <format dxfId="842">
      <pivotArea field="4" type="button" dataOnly="0" labelOnly="1" outline="0" axis="axisPage" fieldPosition="1"/>
    </format>
    <format dxfId="841">
      <pivotArea outline="0" fieldPosition="0">
        <references count="1">
          <reference field="4294967294" count="1">
            <x v="0"/>
          </reference>
        </references>
      </pivotArea>
    </format>
    <format dxfId="840">
      <pivotArea dataOnly="0" labelOnly="1" outline="0" fieldPosition="0">
        <references count="1">
          <reference field="4294967294" count="1">
            <x v="0"/>
          </reference>
        </references>
      </pivotArea>
    </format>
    <format dxfId="839">
      <pivotArea type="all" dataOnly="0" outline="0" fieldPosition="0"/>
    </format>
    <format dxfId="838">
      <pivotArea outline="0" collapsedLevelsAreSubtotals="1" fieldPosition="0"/>
    </format>
    <format dxfId="837">
      <pivotArea dataOnly="0" labelOnly="1" fieldPosition="0">
        <references count="1">
          <reference field="4" count="0"/>
        </references>
      </pivotArea>
    </format>
    <format dxfId="836">
      <pivotArea dataOnly="0" labelOnly="1" grandRow="1" outline="0" fieldPosition="0"/>
    </format>
    <format dxfId="835">
      <pivotArea dataOnly="0" labelOnly="1" outline="0" fieldPosition="0">
        <references count="1">
          <reference field="4294967294" count="1">
            <x v="0"/>
          </reference>
        </references>
      </pivotArea>
    </format>
    <format dxfId="834">
      <pivotArea type="all" dataOnly="0" outline="0" fieldPosition="0"/>
    </format>
    <format dxfId="833">
      <pivotArea outline="0" collapsedLevelsAreSubtotals="1" fieldPosition="0"/>
    </format>
    <format dxfId="832">
      <pivotArea dataOnly="0" labelOnly="1" fieldPosition="0">
        <references count="1">
          <reference field="4" count="0"/>
        </references>
      </pivotArea>
    </format>
    <format dxfId="831">
      <pivotArea dataOnly="0" labelOnly="1" grandRow="1" outline="0" fieldPosition="0"/>
    </format>
    <format dxfId="830">
      <pivotArea dataOnly="0" labelOnly="1" outline="0" fieldPosition="0">
        <references count="1">
          <reference field="4294967294" count="1">
            <x v="0"/>
          </reference>
        </references>
      </pivotArea>
    </format>
    <format dxfId="829">
      <pivotArea dataOnly="0" labelOnly="1" outline="0" fieldPosition="0">
        <references count="1">
          <reference field="4294967294" count="1">
            <x v="1"/>
          </reference>
        </references>
      </pivotArea>
    </format>
    <format dxfId="828">
      <pivotArea field="0" grandRow="1" outline="0" axis="axisRow" fieldPosition="0">
        <references count="1">
          <reference field="4294967294" count="1" selected="0">
            <x v="1"/>
          </reference>
        </references>
      </pivotArea>
    </format>
    <format dxfId="827">
      <pivotArea dataOnly="0" labelOnly="1" outline="0" fieldPosition="0">
        <references count="1">
          <reference field="4294967294" count="4">
            <x v="1"/>
            <x v="2"/>
            <x v="3"/>
            <x v="4"/>
          </reference>
        </references>
      </pivotArea>
    </format>
    <format dxfId="826">
      <pivotArea dataOnly="0" labelOnly="1" outline="0" fieldPosition="0">
        <references count="1">
          <reference field="4294967294" count="1">
            <x v="4"/>
          </reference>
        </references>
      </pivotArea>
    </format>
    <format dxfId="825">
      <pivotArea dataOnly="0" labelOnly="1" outline="0" fieldPosition="0">
        <references count="1">
          <reference field="4294967294" count="1">
            <x v="5"/>
          </reference>
        </references>
      </pivotArea>
    </format>
    <format dxfId="824">
      <pivotArea dataOnly="0" labelOnly="1" outline="0" fieldPosition="0">
        <references count="1">
          <reference field="4294967294" count="1">
            <x v="5"/>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0" s="1"/>
        <i x="3" s="1"/>
        <i x="1" s="1" nd="1"/>
        <i x="2" s="1" nd="1"/>
        <i x="5"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2">
        <i x="0" s="1"/>
        <i x="30" s="1"/>
        <i x="24" s="1"/>
        <i x="32" s="1"/>
        <i x="9" s="1"/>
        <i x="28" s="1"/>
        <i x="1" s="1"/>
        <i x="25" s="1"/>
        <i x="29" s="1"/>
        <i x="26" s="1"/>
        <i x="33" s="1"/>
        <i x="4" s="1"/>
        <i x="2" s="1"/>
        <i x="37" s="1" nd="1"/>
        <i x="14" s="1" nd="1"/>
        <i x="39" s="1" nd="1"/>
        <i x="5" s="1" nd="1"/>
        <i x="6" s="1" nd="1"/>
        <i x="27" s="1" nd="1"/>
        <i x="17" s="1" nd="1"/>
        <i x="16" s="1" nd="1"/>
        <i x="31" s="1" nd="1"/>
        <i x="40" s="1" nd="1"/>
        <i x="15" s="1" nd="1"/>
        <i x="19" s="1" nd="1"/>
        <i x="7" s="1" nd="1"/>
        <i x="8" s="1" nd="1"/>
        <i x="35" s="1" nd="1"/>
        <i x="22" s="1" nd="1"/>
        <i x="20" s="1" nd="1"/>
        <i x="3" s="1" nd="1"/>
        <i x="38" s="1" nd="1"/>
        <i x="36" s="1" nd="1"/>
        <i x="13" s="1" nd="1"/>
        <i x="23" s="1" nd="1"/>
        <i x="10" s="1" nd="1"/>
        <i x="41" s="1" nd="1"/>
        <i x="21" s="1" nd="1"/>
        <i x="18" s="1" nd="1"/>
        <i x="11" s="1" nd="1"/>
        <i x="12" s="1" nd="1"/>
        <i x="34"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38" s="1"/>
        <i x="3" s="1"/>
        <i x="39" s="1"/>
        <i x="40" s="1"/>
        <i x="1" s="1"/>
        <i x="2" s="1"/>
        <i x="9" s="1"/>
        <i x="37" s="1"/>
        <i x="16" s="1" nd="1"/>
        <i x="32" s="1" nd="1"/>
        <i x="33" s="1" nd="1"/>
        <i x="13" s="1" nd="1"/>
        <i x="21" s="1" nd="1"/>
        <i x="19" s="1" nd="1"/>
        <i x="15" s="1" nd="1"/>
        <i x="4" s="1" nd="1"/>
        <i x="8" s="1" nd="1"/>
        <i x="12" s="1" nd="1"/>
        <i x="22" s="1" nd="1"/>
        <i x="6" s="1" nd="1"/>
        <i x="27" s="1" nd="1"/>
        <i x="31" s="1" nd="1"/>
        <i x="26" s="1" nd="1"/>
        <i x="25" s="1" nd="1"/>
        <i x="24" s="1" nd="1"/>
        <i x="44" s="1" nd="1"/>
        <i x="28" s="1" nd="1"/>
        <i x="42" s="1" nd="1"/>
        <i x="29" s="1" nd="1"/>
        <i x="23" s="1" nd="1"/>
        <i x="35" s="1" nd="1"/>
        <i x="34" s="1" nd="1"/>
        <i x="17" s="1" nd="1"/>
        <i x="43" s="1" nd="1"/>
        <i x="14" s="1" nd="1"/>
        <i x="46" s="1" nd="1"/>
        <i x="18" s="1" nd="1"/>
        <i x="10" s="1" nd="1"/>
        <i x="20" s="1" nd="1"/>
        <i x="45" s="1" nd="1"/>
        <i x="5" s="1" nd="1"/>
        <i x="0" s="1" nd="1"/>
        <i x="11" s="1" nd="1"/>
        <i x="30" s="1" nd="1"/>
        <i x="7" s="1" nd="1"/>
        <i x="36" s="1" nd="1"/>
        <i x="41"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0">
        <i x="1" s="1"/>
        <i x="0" s="1"/>
        <i x="3" s="1"/>
        <i x="2" s="1"/>
        <i x="9" s="1" nd="1"/>
        <i x="6" s="1" nd="1"/>
        <i x="5" s="1" nd="1"/>
        <i x="8" s="1" nd="1"/>
        <i x="4" s="1" nd="1"/>
        <i x="7"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0">
        <i x="1" s="1"/>
        <i x="0" s="1"/>
        <i x="9" s="1" nd="1"/>
        <i x="3" s="1" nd="1"/>
        <i x="6" s="1" nd="1"/>
        <i x="5" s="1" nd="1"/>
        <i x="2" s="1" nd="1"/>
        <i x="8" s="1" nd="1"/>
        <i x="4" s="1" nd="1"/>
        <i x="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6">
        <i x="17"/>
        <i x="34"/>
        <i x="35"/>
        <i x="14"/>
        <i x="22"/>
        <i x="20"/>
        <i x="16"/>
        <i x="39"/>
        <i x="4"/>
        <i x="8"/>
        <i x="3"/>
        <i x="40"/>
        <i x="41"/>
        <i x="12"/>
        <i x="23"/>
        <i x="1" s="1"/>
        <i x="6"/>
        <i x="10"/>
        <i x="28"/>
        <i x="30"/>
        <i x="32"/>
        <i x="27"/>
        <i x="26"/>
        <i x="25"/>
        <i x="29"/>
        <i x="2"/>
        <i x="24"/>
        <i x="37"/>
        <i x="36"/>
        <i x="18"/>
        <i x="15"/>
        <i x="19"/>
        <i x="21"/>
        <i x="9"/>
        <i x="38"/>
        <i x="5"/>
        <i x="0"/>
        <i x="11"/>
        <i x="31"/>
        <i x="33"/>
        <i x="13"/>
        <i x="7"/>
        <i x="45" nd="1"/>
        <i x="43" nd="1"/>
        <i x="44" nd="1"/>
        <i x="42"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6">
        <i x="39" s="1"/>
        <i x="4" s="1"/>
        <i x="3" s="1"/>
        <i x="40" s="1"/>
        <i x="41" s="1"/>
        <i x="1" s="1"/>
        <i x="2" s="1"/>
        <i x="9" s="1"/>
        <i x="38" s="1"/>
        <i x="5" s="1"/>
        <i x="0" s="1"/>
        <i x="7" s="1"/>
        <i x="17" s="1" nd="1"/>
        <i x="34" s="1" nd="1"/>
        <i x="35" s="1" nd="1"/>
        <i x="14" s="1" nd="1"/>
        <i x="22" s="1" nd="1"/>
        <i x="20" s="1" nd="1"/>
        <i x="16" s="1" nd="1"/>
        <i x="8" s="1" nd="1"/>
        <i x="12" s="1" nd="1"/>
        <i x="23" s="1" nd="1"/>
        <i x="6" s="1" nd="1"/>
        <i x="10" s="1" nd="1"/>
        <i x="28" s="1" nd="1"/>
        <i x="30" s="1" nd="1"/>
        <i x="32" s="1" nd="1"/>
        <i x="27" s="1" nd="1"/>
        <i x="26" s="1" nd="1"/>
        <i x="45" s="1" nd="1"/>
        <i x="25" s="1" nd="1"/>
        <i x="29" s="1" nd="1"/>
        <i x="43" s="1" nd="1"/>
        <i x="24" s="1" nd="1"/>
        <i x="37" s="1" nd="1"/>
        <i x="36" s="1" nd="1"/>
        <i x="18" s="1" nd="1"/>
        <i x="15" s="1" nd="1"/>
        <i x="19" s="1" nd="1"/>
        <i x="21" s="1" nd="1"/>
        <i x="44" s="1" nd="1"/>
        <i x="11" s="1" nd="1"/>
        <i x="31" s="1" nd="1"/>
        <i x="33" s="1" nd="1"/>
        <i x="13" s="1" nd="1"/>
        <i x="42"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0">
        <i x="1" s="1"/>
        <i x="0" s="1"/>
        <i x="3" s="1"/>
        <i x="2" s="1"/>
        <i x="9" s="1" nd="1"/>
        <i x="6" s="1" nd="1"/>
        <i x="5" s="1" nd="1"/>
        <i x="8" s="1" nd="1"/>
        <i x="4" s="1" nd="1"/>
        <i x="7"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1"/>
        <i x="0"/>
        <i x="2"/>
        <i x="3" s="1"/>
        <i x="5" nd="1"/>
        <i x="4"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2">
        <i x="30" s="1"/>
        <i x="27" s="1"/>
        <i x="24" s="1"/>
        <i x="32" s="1"/>
        <i x="31" s="1"/>
        <i x="28" s="1"/>
        <i x="25" s="1"/>
        <i x="29" s="1"/>
        <i x="26" s="1"/>
        <i x="33" s="1"/>
        <i x="37" s="1" nd="1"/>
        <i x="0" s="1" nd="1"/>
        <i x="14" s="1" nd="1"/>
        <i x="39" s="1" nd="1"/>
        <i x="5" s="1" nd="1"/>
        <i x="6" s="1" nd="1"/>
        <i x="17" s="1" nd="1"/>
        <i x="16" s="1" nd="1"/>
        <i x="40" s="1" nd="1"/>
        <i x="9" s="1" nd="1"/>
        <i x="15" s="1" nd="1"/>
        <i x="19" s="1" nd="1"/>
        <i x="7" s="1" nd="1"/>
        <i x="8" s="1" nd="1"/>
        <i x="35" s="1" nd="1"/>
        <i x="1" s="1" nd="1"/>
        <i x="22" s="1" nd="1"/>
        <i x="20" s="1" nd="1"/>
        <i x="3" s="1" nd="1"/>
        <i x="38" s="1" nd="1"/>
        <i x="36" s="1" nd="1"/>
        <i x="13" s="1" nd="1"/>
        <i x="23" s="1" nd="1"/>
        <i x="10" s="1" nd="1"/>
        <i x="41" s="1" nd="1"/>
        <i x="21" s="1" nd="1"/>
        <i x="4" s="1" nd="1"/>
        <i x="18" s="1" nd="1"/>
        <i x="11" s="1" nd="1"/>
        <i x="12" s="1" nd="1"/>
        <i x="2" s="1" nd="1"/>
        <i x="3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0" s="1"/>
        <i x="3" s="1"/>
        <i x="1" s="1" nd="1"/>
        <i x="2" s="1" nd="1"/>
        <i x="5" s="1" nd="1"/>
        <i x="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2">
        <i x="0" s="1"/>
        <i x="5" s="1"/>
        <i x="6" s="1"/>
        <i x="30" s="1"/>
        <i x="27" s="1"/>
        <i x="24" s="1"/>
        <i x="32" s="1"/>
        <i x="31" s="1"/>
        <i x="9" s="1"/>
        <i x="28" s="1"/>
        <i x="7" s="1"/>
        <i x="8" s="1"/>
        <i x="1" s="1"/>
        <i x="25" s="1"/>
        <i x="3" s="1"/>
        <i x="29" s="1"/>
        <i x="26" s="1"/>
        <i x="33" s="1"/>
        <i x="10" s="1"/>
        <i x="4" s="1"/>
        <i x="11" s="1"/>
        <i x="12" s="1"/>
        <i x="2" s="1"/>
        <i x="37" s="1" nd="1"/>
        <i x="14" s="1" nd="1"/>
        <i x="39" s="1" nd="1"/>
        <i x="17" s="1" nd="1"/>
        <i x="16" s="1" nd="1"/>
        <i x="40" s="1" nd="1"/>
        <i x="15" s="1" nd="1"/>
        <i x="19" s="1" nd="1"/>
        <i x="35" s="1" nd="1"/>
        <i x="22" s="1" nd="1"/>
        <i x="20" s="1" nd="1"/>
        <i x="38" s="1" nd="1"/>
        <i x="36" s="1" nd="1"/>
        <i x="13" s="1" nd="1"/>
        <i x="23" s="1" nd="1"/>
        <i x="41" s="1" nd="1"/>
        <i x="21" s="1" nd="1"/>
        <i x="18" s="1" nd="1"/>
        <i x="3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16">
        <i x="0" s="1"/>
        <i x="2" s="1"/>
        <i x="4" s="1"/>
        <i x="1" s="1"/>
        <i x="15" s="1" nd="1"/>
        <i x="3" s="1" nd="1"/>
        <i x="12" s="1" nd="1"/>
        <i x="7" s="1" nd="1"/>
        <i x="9" s="1" nd="1"/>
        <i x="11" s="1" nd="1"/>
        <i x="5" s="1" nd="1"/>
        <i x="10" s="1" nd="1"/>
        <i x="8" s="1" nd="1"/>
        <i x="14" s="1" nd="1"/>
        <i x="6" s="1" nd="1"/>
        <i x="1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2">
        <i x="0" s="1"/>
        <i x="1" s="1"/>
        <i x="9" s="1" nd="1"/>
        <i x="10" s="1" nd="1"/>
        <i x="4" s="1" nd="1"/>
        <i x="11" s="1" nd="1"/>
        <i x="5" s="1" nd="1"/>
        <i x="6" s="1" nd="1"/>
        <i x="7" s="1" nd="1"/>
        <i x="8" s="1" nd="1"/>
        <i x="3" s="1" nd="1"/>
        <i x="2"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7">
        <i x="0" s="1"/>
        <i x="3" s="1" nd="1"/>
        <i x="5" s="1" nd="1"/>
        <i x="2" s="1" nd="1"/>
        <i x="1" s="1" nd="1"/>
        <i x="6" s="1" nd="1"/>
        <i x="4"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0" s="1"/>
        <i x="3" s="1"/>
        <i x="1" s="1" nd="1"/>
        <i x="2" s="1" nd="1"/>
        <i x="5" s="1" nd="1"/>
        <i x="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7:DS747" totalsRowShown="0" headerRowDxfId="1166" dataDxfId="1164" headerRowBorderDxfId="1165" tableBorderDxfId="1163">
  <sortState ref="A702:DS747">
    <sortCondition ref="H709"/>
  </sortState>
  <tableColumns count="123">
    <tableColumn id="1" xr3:uid="{00000000-0010-0000-0000-000001000000}" name="Reporting Period" dataDxfId="1162" totalsRowDxfId="1161"/>
    <tableColumn id="75" xr3:uid="{00000000-0010-0000-0000-00004B000000}" name="WASH project agency" dataDxfId="1160" totalsRowDxfId="1159"/>
    <tableColumn id="2" xr3:uid="{00000000-0010-0000-0000-000002000000}" name="WASH implementing agency" dataDxfId="1158" totalsRowDxfId="1157"/>
    <tableColumn id="8" xr3:uid="{00000000-0010-0000-0000-000008000000}" name="Primary Donor covering WASH activities at site " dataDxfId="1156" totalsRowDxfId="1155"/>
    <tableColumn id="3" xr3:uid="{00000000-0010-0000-0000-000003000000}" name="State" dataDxfId="1154" totalsRowDxfId="1153"/>
    <tableColumn id="4" xr3:uid="{00000000-0010-0000-0000-000004000000}" name="Township" dataDxfId="1152" totalsRowDxfId="1151"/>
    <tableColumn id="82" xr3:uid="{00000000-0010-0000-0000-000052000000}" name="Location Type" dataDxfId="1150" totalsRowDxfId="1149" dataCellStyle="Percent">
      <calculatedColumnFormula>VLOOKUP(WWWW[[#This Row],[Site Name]],SiteDB6[[Site Name]:[Location Type]],8,FALSE)</calculatedColumnFormula>
    </tableColumn>
    <tableColumn id="5" xr3:uid="{00000000-0010-0000-0000-000005000000}" name="Site Name" dataDxfId="1148" totalsRowDxfId="1147"/>
    <tableColumn id="6" xr3:uid="{00000000-0010-0000-0000-000006000000}" name="Total HH" dataDxfId="1146" totalsRowDxfId="1145" dataCellStyle="Comma"/>
    <tableColumn id="7" xr3:uid="{00000000-0010-0000-0000-000007000000}" name="Total PoP " dataDxfId="1144" totalsRowDxfId="1143" dataCellStyle="Comma"/>
    <tableColumn id="77" xr3:uid="{00000000-0010-0000-0000-00004D000000}" name="Project start date" dataDxfId="1142" totalsRowDxfId="1141"/>
    <tableColumn id="9" xr3:uid="{00000000-0010-0000-0000-000009000000}" name="Project end date" dataDxfId="1140" totalsRowDxfId="1139"/>
    <tableColumn id="104" xr3:uid="{00000000-0010-0000-0000-000068000000}" name="#_students at TLS_CFS" dataDxfId="1138" totalsRowDxfId="1137" dataCellStyle="Comma"/>
    <tableColumn id="50" xr3:uid="{00000000-0010-0000-0000-000032000000}" name="#_ paid camp based WASH skilled labor" dataDxfId="1136" totalsRowDxfId="1135" dataCellStyle="Comma"/>
    <tableColumn id="51" xr3:uid="{00000000-0010-0000-0000-000033000000}" name="#_paid camp based unskilled WASH unskilled labor" dataDxfId="1134" totalsRowDxfId="1133" dataCellStyle="Comma"/>
    <tableColumn id="10" xr3:uid="{00000000-0010-0000-0000-00000A000000}" name="# Work days (approx) lost in this site due to access restrictions" dataDxfId="1132" totalsRowDxfId="1131" dataCellStyle="Comma"/>
    <tableColumn id="74" xr3:uid="{00000000-0010-0000-0000-00004A000000}" name="WASH Focal in camp management structure?" dataDxfId="1130" totalsRowDxfId="1129"/>
    <tableColumn id="83" xr3:uid="{00000000-0010-0000-0000-000053000000}" name="#_men on camp WASH team" dataDxfId="1128" totalsRowDxfId="1127" dataCellStyle="Comma"/>
    <tableColumn id="101" xr3:uid="{00000000-0010-0000-0000-000065000000}" name="#_women on camp WASH team" dataDxfId="1126" totalsRowDxfId="1125" dataCellStyle="Comma"/>
    <tableColumn id="14" xr3:uid="{00000000-0010-0000-0000-00000E000000}" name="#_Constructed/existing protected hand dug well" dataDxfId="1124" totalsRowDxfId="1123" dataCellStyle="Comma"/>
    <tableColumn id="102" xr3:uid="{00000000-0010-0000-0000-000066000000}" name="#_Non-functional protected hand dug well" dataDxfId="1122" totalsRowDxfId="1121" dataCellStyle="Comma"/>
    <tableColumn id="103" xr3:uid="{00000000-0010-0000-0000-000067000000}" name="#_Operation &amp; Maintenance of hand dug well" dataDxfId="1120" totalsRowDxfId="1119" dataCellStyle="Comma"/>
    <tableColumn id="15" xr3:uid="{00000000-0010-0000-0000-00000F000000}" name="#_Constructed/Existing tube wells/boreholes/handpumps_WASH_agency" dataDxfId="1118" totalsRowDxfId="1117" dataCellStyle="Comma"/>
    <tableColumn id="106" xr3:uid="{00000000-0010-0000-0000-00006A000000}" name="#_Non-Cluster partner water tube-wells/boreholes/handpumps" dataDxfId="1116" totalsRowDxfId="1115" dataCellStyle="Comma"/>
    <tableColumn id="107" xr3:uid="{00000000-0010-0000-0000-00006B000000}" name="#_Non-functional tube wells/boreholes/handpumps" dataDxfId="1114" totalsRowDxfId="1113" dataCellStyle="Comma"/>
    <tableColumn id="108" xr3:uid="{00000000-0010-0000-0000-00006C000000}" name="#_Operation &amp; Maintenance of tube wells/boreholes/handpumps" dataDxfId="1112" totalsRowDxfId="1111" dataCellStyle="Comma"/>
    <tableColumn id="109" xr3:uid="{00000000-0010-0000-0000-00006D000000}" name="#_Constructed/Existingwater storage tank with gravity fed reticulation system" dataDxfId="1110" totalsRowDxfId="1109" dataCellStyle="Comma"/>
    <tableColumn id="110" xr3:uid="{00000000-0010-0000-0000-00006E000000}" name="#_Non-functional storage tank gravity fed reticulation system" dataDxfId="1108" totalsRowDxfId="1107" dataCellStyle="Comma"/>
    <tableColumn id="111" xr3:uid="{00000000-0010-0000-0000-00006F000000}" name="#_Operation &amp; maintenance of storage tank and reticulation system" dataDxfId="1106" totalsRowDxfId="1105" dataCellStyle="Comma"/>
    <tableColumn id="112" xr3:uid="{00000000-0010-0000-0000-000070000000}" name="#_Water boating or water trucking" dataDxfId="1104" totalsRowDxfId="1103" dataCellStyle="Comma"/>
    <tableColumn id="113" xr3:uid="{00000000-0010-0000-0000-000071000000}" name="#_Constructed/Existing protected/fenced ponds" dataDxfId="1102" totalsRowDxfId="1101" dataCellStyle="Comma"/>
    <tableColumn id="114" xr3:uid="{00000000-0010-0000-0000-000072000000}" name="#_Constructed/Existing water distribution system from river or natural spring" dataDxfId="1100" totalsRowDxfId="1099" dataCellStyle="Comma"/>
    <tableColumn id="115" xr3:uid="{00000000-0010-0000-0000-000073000000}" name="#_committes/technicians trained and maintaining the water points" dataDxfId="1098" totalsRowDxfId="1097" dataCellStyle="Comma"/>
    <tableColumn id="116" xr3:uid="{00000000-0010-0000-0000-000074000000}" name="#_Water points fully handed over" dataDxfId="1096" totalsRowDxfId="1095" dataCellStyle="Comma"/>
    <tableColumn id="117" xr3:uid="{00000000-0010-0000-0000-000075000000}" name="#_Water sources tested for contamination" dataDxfId="1094" totalsRowDxfId="1093" dataCellStyle="Comma"/>
    <tableColumn id="118" xr3:uid="{00000000-0010-0000-0000-000076000000}" name="#_Water sources treated" dataDxfId="1092" totalsRowDxfId="1091" dataCellStyle="Comma"/>
    <tableColumn id="119" xr3:uid="{00000000-0010-0000-0000-000077000000}" name="#_Household water samples tested for contamination" dataDxfId="1090" totalsRowDxfId="1089" dataCellStyle="Comma"/>
    <tableColumn id="120" xr3:uid="{00000000-0010-0000-0000-000078000000}" name="#_Household received remediation action due to contamination" dataDxfId="1088" totalsRowDxfId="1087" dataCellStyle="Comma"/>
    <tableColumn id="121" xr3:uid="{00000000-0010-0000-0000-000079000000}" name="#_Constructed/Existing hand washing stations at TLS" dataDxfId="1086" totalsRowDxfId="1085" dataCellStyle="Comma"/>
    <tableColumn id="17" xr3:uid="{00000000-0010-0000-0000-000011000000}" name="#_of water points in TLS and CFS " dataDxfId="1084" totalsRowDxfId="1083" dataCellStyle="Comma"/>
    <tableColumn id="59" xr3:uid="{00000000-0010-0000-0000-00003B000000}" name="WATER Comments" dataDxfId="1082" totalsRowDxfId="1081"/>
    <tableColumn id="87" xr3:uid="{00000000-0010-0000-0000-000057000000}" name="#_Constructed latrines_by_WASHAgencies" dataDxfId="1080" totalsRowDxfId="1079" dataCellStyle="Comma"/>
    <tableColumn id="65" xr3:uid="{00000000-0010-0000-0000-000041000000}" name="#_Non Cluster partner latrines" dataDxfId="1078" totalsRowDxfId="1077" dataCellStyle="Comma"/>
    <tableColumn id="39" xr3:uid="{00000000-0010-0000-0000-000027000000}" name="Name of Non-Cluster partner who constructed latrines" dataDxfId="1076" totalsRowDxfId="1075"/>
    <tableColumn id="23" xr3:uid="{00000000-0010-0000-0000-000017000000}" name="#_Non-functional latrines" dataDxfId="1074" totalsRowDxfId="1073" dataCellStyle="Comma"/>
    <tableColumn id="24" xr3:uid="{00000000-0010-0000-0000-000018000000}" name="#_Operation &amp; maintenance of latrines" dataDxfId="1072" totalsRowDxfId="1071" dataCellStyle="Comma"/>
    <tableColumn id="25" xr3:uid="{00000000-0010-0000-0000-000019000000}" name="#_Latrines desludged during the past quarter" dataDxfId="1070" totalsRowDxfId="1069" dataCellStyle="Comma"/>
    <tableColumn id="122" xr3:uid="{00000000-0010-0000-0000-00007A000000}" name="#_Cubic meters of desludging in past quarter" dataDxfId="1068" totalsRowDxfId="1067" dataCellStyle="Comma"/>
    <tableColumn id="123" xr3:uid="{00000000-0010-0000-0000-00007B000000}" name="#_Latrines fully handed over" dataDxfId="1066" totalsRowDxfId="1065" dataCellStyle="Comma"/>
    <tableColumn id="124" xr3:uid="{00000000-0010-0000-0000-00007C000000}" name="Is there provision of solid waste management equipment?" dataDxfId="1064" totalsRowDxfId="1063" dataCellStyle="Percent"/>
    <tableColumn id="105" xr3:uid="{00000000-0010-0000-0000-000069000000}" name="Is there constructed surface water drainage system?_x000a_" dataDxfId="1062" totalsRowDxfId="1061"/>
    <tableColumn id="100" xr3:uid="{00000000-0010-0000-0000-000064000000}" name="#_Constructed/Existing child friendly latrines" dataDxfId="1060" totalsRowDxfId="1059" dataCellStyle="Comma"/>
    <tableColumn id="26" xr3:uid="{00000000-0010-0000-0000-00001A000000}" name="#_Constructed/Existing disabled &amp; elderly friendly latrines " dataDxfId="1058" totalsRowDxfId="1057" dataCellStyle="Comma"/>
    <tableColumn id="125" xr3:uid="{00000000-0010-0000-0000-00007D000000}" name="#_Constructed/Existing latrines in TLS" dataDxfId="1056" totalsRowDxfId="1055" dataCellStyle="Comma"/>
    <tableColumn id="11" xr3:uid="{00000000-0010-0000-0000-00000B000000}" name="Sanitation Comments" dataDxfId="1054" totalsRowDxfId="1053"/>
    <tableColumn id="126" xr3:uid="{00000000-0010-0000-0000-00007E000000}" name="#_Constructed/Existing hand washing stations" dataDxfId="1052" totalsRowDxfId="1051" dataCellStyle="Comma"/>
    <tableColumn id="127" xr3:uid="{00000000-0010-0000-0000-00007F000000}" name="#_Non-Functional_hand_washing_stations" dataDxfId="1050" totalsRowDxfId="1049" dataCellStyle="Comma"/>
    <tableColumn id="13" xr3:uid="{00000000-0010-0000-0000-00000D000000}" name="#_Constructed/Existing_individual_bathing_spaces " dataDxfId="1048" totalsRowDxfId="1047" dataCellStyle="Comma"/>
    <tableColumn id="128" xr3:uid="{00000000-0010-0000-0000-000080000000}" name="#_Constructed/Existing communal bathing spaces " dataDxfId="1046" totalsRowDxfId="1045" dataCellStyle="Comma"/>
    <tableColumn id="129" xr3:uid="{00000000-0010-0000-0000-000081000000}" name="#_Non-Functional communal_bathing spaces " dataDxfId="1044" totalsRowDxfId="1043" dataCellStyle="Comma"/>
    <tableColumn id="130" xr3:uid="{00000000-0010-0000-0000-000082000000}" name="#_male hygiene promoters" dataDxfId="1042" totalsRowDxfId="1041" dataCellStyle="Comma"/>
    <tableColumn id="131" xr3:uid="{00000000-0010-0000-0000-000083000000}" name="#_female hygiene promoters" dataDxfId="1040" totalsRowDxfId="1039" dataCellStyle="Comma"/>
    <tableColumn id="132" xr3:uid="{00000000-0010-0000-0000-000084000000}" name="#_households that received standard amount of soap for this quarter" dataDxfId="1038" totalsRowDxfId="1037" dataCellStyle="Comma"/>
    <tableColumn id="133" xr3:uid="{00000000-0010-0000-0000-000085000000}" name="#_households that received standard amount of sanitary pads for this quarter" dataDxfId="1036" totalsRowDxfId="1035" dataCellStyle="Comma"/>
    <tableColumn id="134" xr3:uid="{00000000-0010-0000-0000-000086000000}" name="Is sufficient soap available for TLS? (Yes/No)" dataDxfId="1034" totalsRowDxfId="1033"/>
    <tableColumn id="20" xr3:uid="{00000000-0010-0000-0000-000014000000}" name="#_Hygiene Promotion activities (sessions) in TLS?" dataDxfId="1032" totalsRowDxfId="1031"/>
    <tableColumn id="27" xr3:uid="{00000000-0010-0000-0000-00001B000000}" name="% of students reached by HP activities" dataDxfId="1030" totalsRowDxfId="1029" dataCellStyle="Percent"/>
    <tableColumn id="28" xr3:uid="{00000000-0010-0000-0000-00001C000000}" name="Hygiene_x000a_Comments " dataDxfId="1028" totalsRowDxfId="1027"/>
    <tableColumn id="97" xr3:uid="{00000000-0010-0000-0000-000061000000}" name="% of water sources treated" dataDxfId="1026" totalsRowDxfId="1025">
      <calculatedColumnFormula>IFERROR(WWWW[[#This Row],['#_Water sources treated]]/WWWW[[#This Row],['#_Water sources tested for contamination]],"no test")</calculatedColumnFormula>
    </tableColumn>
    <tableColumn id="98" xr3:uid="{00000000-0010-0000-0000-000062000000}" name="% Household received corrective actions" dataDxfId="1024" totalsRowDxfId="1023" dataCellStyle="Percent">
      <calculatedColumnFormula>IFERROR(WWWW[[#This Row],['#_Household received remediation action due to contamination]]/WWWW[[#This Row],['#_Household water samples tested for contamination]],"no test")</calculatedColumnFormula>
    </tableColumn>
    <tableColumn id="19" xr3:uid="{00000000-0010-0000-0000-000013000000}" name="Warter quality test done" dataDxfId="1022" totalsRowDxfId="1021" dataCellStyle="Percent">
      <calculatedColumnFormula>IF(AND(WWWW[[#This Row],[% of water sources treated]]="no test",WWWW[[#This Row],[% Household received corrective actions]]="no test"),"No Test","Tested")</calculatedColumnFormula>
    </tableColumn>
    <tableColumn id="29" xr3:uid="{00000000-0010-0000-0000-00001D000000}" name="Functional protected hand dug well" dataDxfId="1020" totalsRowDxfId="1019"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1018" totalsRowDxfId="1017"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1016" totalsRowDxfId="1015"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Water boating or water trucking" dataDxfId="1014" totalsRowDxfId="1013" dataCellStyle="Percent">
      <calculatedColumnFormula>WWWW[[#This Row],['#_Water boating or water trucking]]</calculatedColumnFormula>
    </tableColumn>
    <tableColumn id="52" xr3:uid="{00000000-0010-0000-0000-000034000000}" name="Constructed water distribution system from river" dataDxfId="1012" totalsRowDxfId="1011" dataCellStyle="Percent">
      <calculatedColumnFormula>WWWW[[#This Row],['#_Constructed/Existing water distribution system from river or natural spring]]</calculatedColumnFormula>
    </tableColumn>
    <tableColumn id="34" xr3:uid="{00000000-0010-0000-0000-000022000000}" name="Access to safe drinking water for Camp" dataDxfId="1010" totalsRowDxfId="1009"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calculatedColumnFormula>
    </tableColumn>
    <tableColumn id="35" xr3:uid="{00000000-0010-0000-0000-000023000000}" name="Access to safe drinking water for Village" dataDxfId="1008" totalsRowDxfId="1007"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calculatedColumnFormula>
    </tableColumn>
    <tableColumn id="36" xr3:uid="{00000000-0010-0000-0000-000024000000}" name="%Equitable and continuous access to sufficient quantity of safe drinking water" dataDxfId="1006" totalsRowDxfId="1005"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1004" totalsRowDxfId="1003">
      <calculatedColumnFormula>WWWW[[#This Row],[%Equitable and continuous access to sufficient quantity of safe drinking water]]*WWWW[[#This Row],[Total PoP ]]</calculatedColumnFormula>
    </tableColumn>
    <tableColumn id="37" xr3:uid="{00000000-0010-0000-0000-000025000000}" name="% Access to unimproved water points" dataDxfId="1002" totalsRowDxfId="1001"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1000" totalsRowDxfId="999">
      <calculatedColumnFormula>WWWW[[#This Row],[% Access to unimproved water points]]*WWWW[[#This Row],[Total PoP ]]</calculatedColumnFormula>
    </tableColumn>
    <tableColumn id="41" xr3:uid="{00000000-0010-0000-0000-000029000000}" name="% Equitable and continuous access to sufficient quantity of domestic water" dataDxfId="998" totalsRowDxfId="997"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996" totalsRowDxfId="995">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994" totalsRowDxfId="993">
      <calculatedColumnFormula>WWWW[[#This Row],[HRP1]]/500</calculatedColumnFormula>
    </tableColumn>
    <tableColumn id="85" xr3:uid="{00000000-0010-0000-0000-000055000000}" name="%equitable and continuous access to sufficient quantity of safe drinking and domestic water's GAP" dataDxfId="992" totalsRowDxfId="991">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990" totalsRowDxfId="989">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988" totalsRowDxfId="987"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986" totalsRowDxfId="985" dataCellStyle="Percent">
      <calculatedColumnFormula>ROUND(IF(WWWW[[#This Row],[Total PoP ]]&lt;500,1,WWWW[[#This Row],[Total PoP ]]/500),0)</calculatedColumnFormula>
    </tableColumn>
    <tableColumn id="66" xr3:uid="{00000000-0010-0000-0000-000042000000}" name="# of Functioning latrine" dataDxfId="984" totalsRowDxfId="983"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982" totalsRowDxfId="981" dataCellStyle="Percent">
      <calculatedColumnFormula>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calculatedColumnFormula>
    </tableColumn>
    <tableColumn id="18" xr3:uid="{00000000-0010-0000-0000-000012000000}" name="HRP2" dataDxfId="980" totalsRowDxfId="979">
      <calculatedColumnFormula>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calculatedColumnFormula>
    </tableColumn>
    <tableColumn id="70" xr3:uid="{00000000-0010-0000-0000-000046000000}" name="# people access to continuous sanitation services desluding" dataDxfId="978" totalsRowDxfId="977"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 dataDxfId="976" totalsRowDxfId="975" dataCellStyle="Percent">
      <calculatedColumnFormula>IF(WWWW[[#This Row],[Location Type 1]]="Village","NA",IF(WWWW[[#This Row],['#_Constructed/Existing latrines in TLS]]*50&gt;WWWW[[#This Row],['#_students at TLS_CFS]],WWWW[[#This Row],['#_students at TLS_CFS]],(WWWW[[#This Row],['#_Constructed/Existing latrines in TLS]]*50)))</calculatedColumnFormula>
    </tableColumn>
    <tableColumn id="73" xr3:uid="{00000000-0010-0000-0000-000049000000}" name="Total required Latrines" dataDxfId="974" totalsRowDxfId="973"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972" totalsRowDxfId="971"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970" totalsRowDxfId="969">
      <calculatedColumnFormula>1-WWWW[[#This Row],[% people access to functioning Latrine]]</calculatedColumnFormula>
    </tableColumn>
    <tableColumn id="76" xr3:uid="{00000000-0010-0000-0000-00004C000000}" name="% Latrines requiring  repairs" dataDxfId="968" totalsRowDxfId="967"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966" totalsRowDxfId="965">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964" totalsRowDxfId="963" dataCellStyle="Percent">
      <calculatedColumnFormula>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962" totalsRowDxfId="961" dataCellStyle="Percent">
      <calculatedColumnFormula>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calculatedColumnFormula>
    </tableColumn>
    <tableColumn id="95" xr3:uid="{00000000-0010-0000-0000-00005F000000}" name="# People received regular supply of hygiene items_6" dataDxfId="960" totalsRowDxfId="959"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958" totalsRowDxfId="957"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956" totalsRowDxfId="955">
      <calculatedColumnFormula>IF(WWWW[[#This Row],[HRP3]]/WWWW[[#This Row],[Total PoP ]]&gt;100%,100%,WWWW[[#This Row],[HRP3]]/WWWW[[#This Row],[Total PoP ]])</calculatedColumnFormula>
    </tableColumn>
    <tableColumn id="72" xr3:uid="{00000000-0010-0000-0000-000048000000}" name="Hygiene Gap%" dataDxfId="954" totalsRowDxfId="953" dataCellStyle="Percent">
      <calculatedColumnFormula>1-WWWW[[#This Row],[Hygiene Coverage%]]</calculatedColumnFormula>
    </tableColumn>
    <tableColumn id="96" xr3:uid="{00000000-0010-0000-0000-000060000000}" name="%people reached by regular dedicated hygiene promotion" dataDxfId="952" totalsRowDxfId="951" dataCellStyle="Percent">
      <calculatedColumnFormula>WWWW[[#This Row],['# people reached by regular dedicated hygiene promotion_5]]/WWWW[[#This Row],[Total PoP ]]</calculatedColumnFormula>
    </tableColumn>
    <tableColumn id="55" xr3:uid="{00000000-0010-0000-0000-000037000000}" name="%HH with access to soap" dataDxfId="950" totalsRowDxfId="949" dataCellStyle="Percent">
      <calculatedColumnFormula>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948" totalsRowDxfId="947" dataCellStyle="Percent">
      <calculatedColumnFormula>IF(WWWW[[#This Row],['#_households that received standard amount of sanitary pads for this quarter]]/WWWW[[#This Row],[Total HH]]&gt;1,1,WWWW[[#This Row],['#_households that received standard amount of sanitary pads for this quarter]]/WWWW[[#This Row],[Total HH]])</calculatedColumnFormula>
    </tableColumn>
    <tableColumn id="67" xr3:uid="{00000000-0010-0000-0000-000043000000}" name="# Functional hand washing stations during reporting period" dataDxfId="946" totalsRowDxfId="945"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944" totalsRowDxfId="943">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942" totalsRowDxfId="941">
      <calculatedColumnFormula>IF(WWWW[[#This Row],[Is sufficient soap available for TLS? (Yes/No)]]="yes",WWWW[[#This Row],['#_Constructed/Existing hand washing stations at TLS]],0)</calculatedColumnFormula>
    </tableColumn>
    <tableColumn id="22" xr3:uid="{1493D209-8D39-48AA-8346-47078D7BAB87}" name="# People access to Handwashing Station" dataDxfId="940" totalsRowDxfId="939">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938" totalsRowDxfId="937">
      <calculatedColumnFormula>IF(OR(WWWW[[#This Row],['#_students at TLS_CFS]]="",WWWW[[#This Row],['#_students at TLS_CFS]]=0),"No","Yes")</calculatedColumnFormula>
    </tableColumn>
    <tableColumn id="58" xr3:uid="{00000000-0010-0000-0000-00003A000000}" name="CCCM Management" dataDxfId="936" totalsRowDxfId="935" dataCellStyle="Percent">
      <calculatedColumnFormula>VLOOKUP(WWWW[[#This Row],[Site Name]],SiteDB6[[Site Name]:[CCCM Management]],6,FALSE)</calculatedColumnFormula>
    </tableColumn>
    <tableColumn id="81" xr3:uid="{00000000-0010-0000-0000-000051000000}" name="CCCM Focal Agency" dataDxfId="934" totalsRowDxfId="933" dataCellStyle="Percent">
      <calculatedColumnFormula>VLOOKUP(WWWW[[#This Row],[Site Name]],SiteDB6[[Site Name]:[CCCM Focal Agency]],7,FALSE)</calculatedColumnFormula>
    </tableColumn>
    <tableColumn id="80" xr3:uid="{00000000-0010-0000-0000-000050000000}" name="Location Type 1" dataDxfId="932" totalsRowDxfId="931" dataCellStyle="Percent">
      <calculatedColumnFormula>VLOOKUP(WWWW[[#This Row],[Site Name]],SiteDB6[[Site Name]:[Location Type 1]],9,FALSE)</calculatedColumnFormula>
    </tableColumn>
    <tableColumn id="45" xr3:uid="{00000000-0010-0000-0000-00002D000000}" name="Type of accommodation" dataDxfId="930" totalsRowDxfId="929" dataCellStyle="Percent">
      <calculatedColumnFormula>VLOOKUP(WWWW[[#This Row],[Site Name]],SiteDB6[[Site Name]:[Type of Accommodation]],10,FALSE)</calculatedColumnFormula>
    </tableColumn>
    <tableColumn id="46" xr3:uid="{00000000-0010-0000-0000-00002E000000}" name="Ethnic or GCA/NGCA" dataDxfId="928" totalsRowDxfId="927" dataCellStyle="Percent">
      <calculatedColumnFormula>VLOOKUP(WWWW[[#This Row],[Site Name]],SiteDB6[[Site Name]:[Ethnic or GCA/NGCA]],11,FALSE)</calculatedColumnFormula>
    </tableColumn>
    <tableColumn id="60" xr3:uid="{00000000-0010-0000-0000-00003C000000}" name="Lat" dataDxfId="926" totalsRowDxfId="925" dataCellStyle="Percent">
      <calculatedColumnFormula>VLOOKUP(WWWW[[#This Row],[Site Name]],SiteDB6[[Site Name]:[Lat]],12,FALSE)</calculatedColumnFormula>
    </tableColumn>
    <tableColumn id="61" xr3:uid="{00000000-0010-0000-0000-00003D000000}" name="Long" dataDxfId="924" totalsRowDxfId="923" dataCellStyle="Percent">
      <calculatedColumnFormula>VLOOKUP(WWWW[[#This Row],[Site Name]],SiteDB6[[Site Name]:[Long]],13,FALSE)</calculatedColumnFormula>
    </tableColumn>
    <tableColumn id="62" xr3:uid="{00000000-0010-0000-0000-00003E000000}" name="Pcode" dataDxfId="922" totalsRowDxfId="921" dataCellStyle="Percent">
      <calculatedColumnFormula>VLOOKUP(WWWW[[#This Row],[Site Name]],SiteDB6[[Site Name]:[Pcode]],3,FALSE)</calculatedColumnFormula>
    </tableColumn>
    <tableColumn id="63" xr3:uid="{00000000-0010-0000-0000-00003F000000}" name="Covered" dataDxfId="920" totalsRowDxfId="919">
      <calculatedColumnFormula>IF(C8="none","Notcovered","Covered")</calculatedColumnFormula>
    </tableColumn>
    <tableColumn id="64" xr3:uid="{00000000-0010-0000-0000-000040000000}" name="Remark" dataDxfId="918" totalsRowDxfId="917"/>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1116" totalsRowShown="0" headerRowDxfId="910">
  <autoFilter ref="A2:W1116" xr:uid="{A4590151-2642-43E6-83D4-0383452ACD6E}"/>
  <sortState ref="A3:W1116">
    <sortCondition ref="A3:A1116"/>
    <sortCondition ref="B3:B1116"/>
    <sortCondition ref="C3:C1116"/>
  </sortState>
  <tableColumns count="23">
    <tableColumn id="13" xr3:uid="{00000000-0010-0000-0100-00000D000000}" name="State" dataDxfId="909"/>
    <tableColumn id="12" xr3:uid="{00000000-0010-0000-0100-00000C000000}" name="Township" dataDxfId="908"/>
    <tableColumn id="1" xr3:uid="{00000000-0010-0000-0100-000001000000}" name="Site Name" dataDxfId="907"/>
    <tableColumn id="26" xr3:uid="{00000000-0010-0000-0100-00001A000000}" name="open in cccm?" dataDxfId="906"/>
    <tableColumn id="2" xr3:uid="{00000000-0010-0000-0100-000002000000}" name="Pcode" dataDxfId="905"/>
    <tableColumn id="20" xr3:uid="{00000000-0010-0000-0100-000014000000}" name="Vtract" dataDxfId="904"/>
    <tableColumn id="21" xr3:uid="{00000000-0010-0000-0100-000015000000}" name="VillageWard" dataDxfId="903"/>
    <tableColumn id="3" xr3:uid="{00000000-0010-0000-0100-000003000000}" name="CCCM Management" dataDxfId="902"/>
    <tableColumn id="4" xr3:uid="{00000000-0010-0000-0100-000004000000}" name="CCCM Focal Agency" dataDxfId="901"/>
    <tableColumn id="5" xr3:uid="{00000000-0010-0000-0100-000005000000}" name="Location Type" dataDxfId="900"/>
    <tableColumn id="6" xr3:uid="{00000000-0010-0000-0100-000006000000}" name="Location Type 1" dataDxfId="899"/>
    <tableColumn id="7" xr3:uid="{00000000-0010-0000-0100-000007000000}" name="Type of Accommodation" dataDxfId="898"/>
    <tableColumn id="8" xr3:uid="{00000000-0010-0000-0100-000008000000}" name="Ethnic or GCA/NGCA" dataDxfId="897"/>
    <tableColumn id="10" xr3:uid="{00000000-0010-0000-0100-00000A000000}" name="Lat" dataDxfId="896"/>
    <tableColumn id="9" xr3:uid="{00000000-0010-0000-0100-000009000000}" name="Long" dataDxfId="895"/>
    <tableColumn id="11" xr3:uid="{00000000-0010-0000-0100-00000B000000}" name="HRP categories" dataDxfId="894"/>
    <tableColumn id="14" xr3:uid="{00000000-0010-0000-0100-00000E000000}" name="Current 4 W reported list" dataDxfId="893"/>
    <tableColumn id="15" xr3:uid="{00000000-0010-0000-0100-00000F000000}" name="HH_x000a_(Rakhine-CCCM as of 31st Jan 2019)_x000a_(Kachin/Shan-CCCM as of 31st March 2019)" dataDxfId="892"/>
    <tableColumn id="16" xr3:uid="{00000000-0010-0000-0100-000010000000}" name="Pop_x000a_(Rakhine-CCCM as of 31st Jan 2019)_x000a_(Kachin/Shan-CCCM as of 31st March 2019)" dataDxfId="891"/>
    <tableColumn id="17" xr3:uid="{00000000-0010-0000-0100-000011000000}" name="Updated Date" dataDxfId="890"/>
    <tableColumn id="18" xr3:uid="{00000000-0010-0000-0100-000012000000}" name="Remark" dataDxfId="889"/>
    <tableColumn id="19" xr3:uid="{00000000-0010-0000-0100-000013000000}" name="Site Name_(Old)" dataDxfId="888"/>
    <tableColumn id="24" xr3:uid="{00000000-0010-0000-0100-000018000000}" name="Comments form CCCM" dataDxfId="88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48:G61" totalsRowShown="0" headerRowDxfId="70" dataDxfId="69" totalsRowDxfId="68">
  <autoFilter ref="B48:G61"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Gap in active camps / township" dataDxfId="67" totalsRowDxfId="66"/>
    <tableColumn id="2" xr3:uid="{00000000-0010-0000-0200-000002000000}" name="Partners " dataDxfId="65"/>
    <tableColumn id="3" xr3:uid="{00000000-0010-0000-0200-000003000000}" name="Total population" dataDxfId="64" dataCellStyle="Comma"/>
    <tableColumn id="4" xr3:uid="{00000000-0010-0000-0200-000004000000}" name=" % _x000a_Water Gap" dataDxfId="63"/>
    <tableColumn id="5" xr3:uid="{00000000-0010-0000-0200-000005000000}" name=" %_x000a_ Sanitation Gap" dataDxfId="62"/>
    <tableColumn id="6" xr3:uid="{00000000-0010-0000-0200-000006000000}" name="%  _x000a_Hygiene Gap" dataDxfId="61"/>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47:G57" totalsRowShown="0" headerRowDxfId="60" dataDxfId="59">
  <tableColumns count="6">
    <tableColumn id="1" xr3:uid="{00000000-0010-0000-0500-000001000000}" name="Gap in active camps / township" dataDxfId="58" totalsRowDxfId="57"/>
    <tableColumn id="2" xr3:uid="{00000000-0010-0000-0500-000002000000}" name="Partners " dataDxfId="56" totalsRowDxfId="55"/>
    <tableColumn id="3" xr3:uid="{00000000-0010-0000-0500-000003000000}" name="Total population" dataDxfId="54" totalsRowDxfId="53" dataCellStyle="Comma"/>
    <tableColumn id="4" xr3:uid="{00000000-0010-0000-0500-000004000000}" name=" % _x000a_Water Gap" dataDxfId="52" totalsRowDxfId="51"/>
    <tableColumn id="5" xr3:uid="{00000000-0010-0000-0500-000005000000}" name=" %_x000a_ Sanitation Gap" dataDxfId="50" totalsRowDxfId="49"/>
    <tableColumn id="6" xr3:uid="{00000000-0010-0000-0500-000006000000}" name="%  _x000a_Hygiene Gap" dataDxfId="48" totalsRowDxfId="47"/>
  </tableColumns>
  <tableStyleInfo name="TableStyleLight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0526B3E-E1F6-4A73-BC81-881A115B574A}" name="Table3" displayName="Table3" ref="B59:G61" totalsRowShown="0" headerRowDxfId="46" headerRowBorderDxfId="45" tableBorderDxfId="44" totalsRowBorderDxfId="43">
  <autoFilter ref="B59:G61" xr:uid="{3FF49F7E-9E63-4BF2-8318-D966262DBCE8}"/>
  <tableColumns count="6">
    <tableColumn id="1" xr3:uid="{FF45F0D3-A4DE-4EA0-8B0F-3E57855233D7}" name="Gap in village / township" dataDxfId="42" totalsRowDxfId="41"/>
    <tableColumn id="2" xr3:uid="{5E29067D-167E-4A44-944C-04A8FE0ED63C}" name="Partners " dataDxfId="40" totalsRowDxfId="39"/>
    <tableColumn id="3" xr3:uid="{0382FE0D-64CA-4DC7-844A-575D37ACAEFD}" name="Total population" dataDxfId="38" totalsRowDxfId="37" dataCellStyle="Comma" totalsRowCellStyle="Comma"/>
    <tableColumn id="4" xr3:uid="{DCDE9D92-71AE-4EB0-A293-A31C40EE8948}" name=" % _x000a_Water Gap" dataDxfId="36" totalsRowDxfId="35"/>
    <tableColumn id="5" xr3:uid="{7366F76B-E6E7-4412-8F49-4D7E5A40D208}" name=" %_x000a_ Sanitation Gap" dataDxfId="34" totalsRowDxfId="33"/>
    <tableColumn id="6" xr3:uid="{986C47A6-BCB2-4CB5-8C5A-01BD874B374E}" name="%  _x000a_Hygiene Gap" dataDxfId="32" totalsRowDxfId="3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3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9.xml"/><Relationship Id="rId1" Type="http://schemas.openxmlformats.org/officeDocument/2006/relationships/pivotTable" Target="../pivotTables/pivotTable39.xml"/></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0.xml"/><Relationship Id="rId1" Type="http://schemas.openxmlformats.org/officeDocument/2006/relationships/pivotTable" Target="../pivotTables/pivotTable4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table" Target="../tables/table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vmlDrawing" Target="../drawings/vmlDrawing2.v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drawing" Target="../drawings/drawing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rinterSettings" Target="../printerSettings/printerSettings7.bin"/><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9.xml"/><Relationship Id="rId13" Type="http://schemas.openxmlformats.org/officeDocument/2006/relationships/pivotTable" Target="../pivotTables/pivotTable24.xml"/><Relationship Id="rId18" Type="http://schemas.openxmlformats.org/officeDocument/2006/relationships/pivotTable" Target="../pivotTables/pivotTable29.xml"/><Relationship Id="rId26" Type="http://schemas.openxmlformats.org/officeDocument/2006/relationships/pivotTable" Target="../pivotTables/pivotTable37.xml"/><Relationship Id="rId3" Type="http://schemas.openxmlformats.org/officeDocument/2006/relationships/pivotTable" Target="../pivotTables/pivotTable14.xml"/><Relationship Id="rId21" Type="http://schemas.openxmlformats.org/officeDocument/2006/relationships/pivotTable" Target="../pivotTables/pivotTable32.xml"/><Relationship Id="rId7" Type="http://schemas.openxmlformats.org/officeDocument/2006/relationships/pivotTable" Target="../pivotTables/pivotTable18.xml"/><Relationship Id="rId12" Type="http://schemas.openxmlformats.org/officeDocument/2006/relationships/pivotTable" Target="../pivotTables/pivotTable23.xml"/><Relationship Id="rId17" Type="http://schemas.openxmlformats.org/officeDocument/2006/relationships/pivotTable" Target="../pivotTables/pivotTable28.xml"/><Relationship Id="rId25" Type="http://schemas.openxmlformats.org/officeDocument/2006/relationships/pivotTable" Target="../pivotTables/pivotTable36.xml"/><Relationship Id="rId2" Type="http://schemas.openxmlformats.org/officeDocument/2006/relationships/pivotTable" Target="../pivotTables/pivotTable13.xml"/><Relationship Id="rId16" Type="http://schemas.openxmlformats.org/officeDocument/2006/relationships/pivotTable" Target="../pivotTables/pivotTable27.xml"/><Relationship Id="rId20" Type="http://schemas.openxmlformats.org/officeDocument/2006/relationships/pivotTable" Target="../pivotTables/pivotTable31.xml"/><Relationship Id="rId29" Type="http://schemas.microsoft.com/office/2007/relationships/slicer" Target="../slicers/slicer1.xml"/><Relationship Id="rId1" Type="http://schemas.openxmlformats.org/officeDocument/2006/relationships/pivotTable" Target="../pivotTables/pivotTable12.xml"/><Relationship Id="rId6" Type="http://schemas.openxmlformats.org/officeDocument/2006/relationships/pivotTable" Target="../pivotTables/pivotTable17.xml"/><Relationship Id="rId11" Type="http://schemas.openxmlformats.org/officeDocument/2006/relationships/pivotTable" Target="../pivotTables/pivotTable22.xml"/><Relationship Id="rId24" Type="http://schemas.openxmlformats.org/officeDocument/2006/relationships/pivotTable" Target="../pivotTables/pivotTable35.xml"/><Relationship Id="rId5" Type="http://schemas.openxmlformats.org/officeDocument/2006/relationships/pivotTable" Target="../pivotTables/pivotTable16.xml"/><Relationship Id="rId15" Type="http://schemas.openxmlformats.org/officeDocument/2006/relationships/pivotTable" Target="../pivotTables/pivotTable26.xml"/><Relationship Id="rId23" Type="http://schemas.openxmlformats.org/officeDocument/2006/relationships/pivotTable" Target="../pivotTables/pivotTable34.xml"/><Relationship Id="rId28" Type="http://schemas.openxmlformats.org/officeDocument/2006/relationships/drawing" Target="../drawings/drawing4.xml"/><Relationship Id="rId10" Type="http://schemas.openxmlformats.org/officeDocument/2006/relationships/pivotTable" Target="../pivotTables/pivotTable21.xml"/><Relationship Id="rId19" Type="http://schemas.openxmlformats.org/officeDocument/2006/relationships/pivotTable" Target="../pivotTables/pivotTable30.xml"/><Relationship Id="rId4" Type="http://schemas.openxmlformats.org/officeDocument/2006/relationships/pivotTable" Target="../pivotTables/pivotTable15.xml"/><Relationship Id="rId9" Type="http://schemas.openxmlformats.org/officeDocument/2006/relationships/pivotTable" Target="../pivotTables/pivotTable20.xml"/><Relationship Id="rId14" Type="http://schemas.openxmlformats.org/officeDocument/2006/relationships/pivotTable" Target="../pivotTables/pivotTable25.xml"/><Relationship Id="rId22" Type="http://schemas.openxmlformats.org/officeDocument/2006/relationships/pivotTable" Target="../pivotTables/pivotTable33.xml"/><Relationship Id="rId27"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75" defaultRowHeight="15"/>
  <cols>
    <col min="1" max="1" width="7.125" style="21" customWidth="1"/>
    <col min="2" max="2" width="2.25" style="21" customWidth="1"/>
    <col min="3" max="19" width="7.75" style="21"/>
    <col min="20" max="20" width="25.125" style="21" customWidth="1"/>
    <col min="21" max="16384" width="7.75" style="21"/>
  </cols>
  <sheetData>
    <row r="1" spans="2:20" ht="28.15" customHeight="1" thickBot="1"/>
    <row r="2" spans="2:20" s="22" customFormat="1" ht="35.450000000000003" customHeight="1" thickTop="1" thickBot="1">
      <c r="B2" s="938" t="s">
        <v>87</v>
      </c>
      <c r="C2" s="939"/>
      <c r="D2" s="939"/>
      <c r="E2" s="939"/>
      <c r="F2" s="939"/>
      <c r="G2" s="939"/>
      <c r="H2" s="939"/>
      <c r="I2" s="939"/>
      <c r="J2" s="939"/>
      <c r="K2" s="939"/>
      <c r="L2" s="939"/>
      <c r="M2" s="939"/>
      <c r="N2" s="939"/>
      <c r="O2" s="939"/>
      <c r="P2" s="939"/>
      <c r="Q2" s="939"/>
      <c r="R2" s="939"/>
      <c r="S2" s="939"/>
      <c r="T2" s="940"/>
    </row>
    <row r="3" spans="2:20" ht="15.75" thickTop="1">
      <c r="B3" s="23"/>
      <c r="C3" s="24"/>
      <c r="D3" s="24"/>
      <c r="E3" s="24"/>
      <c r="F3" s="24"/>
      <c r="G3" s="24"/>
      <c r="H3" s="24"/>
      <c r="I3" s="24"/>
      <c r="J3" s="24"/>
      <c r="K3" s="24"/>
      <c r="L3" s="24"/>
      <c r="M3" s="24"/>
      <c r="N3" s="24"/>
      <c r="O3" s="24"/>
      <c r="P3" s="24"/>
      <c r="Q3" s="24"/>
      <c r="R3" s="24"/>
      <c r="S3" s="24"/>
      <c r="T3" s="25"/>
    </row>
    <row r="4" spans="2:20">
      <c r="B4" s="23"/>
      <c r="C4" s="26" t="s">
        <v>88</v>
      </c>
      <c r="D4" s="24"/>
      <c r="E4" s="24"/>
      <c r="F4" s="24"/>
      <c r="G4" s="24"/>
      <c r="H4" s="24"/>
      <c r="I4" s="24"/>
      <c r="J4" s="24"/>
      <c r="K4" s="24"/>
      <c r="L4" s="24"/>
      <c r="M4" s="24"/>
      <c r="N4" s="24"/>
      <c r="O4" s="24"/>
      <c r="P4" s="24"/>
      <c r="Q4" s="24"/>
      <c r="R4" s="24"/>
      <c r="S4" s="24"/>
      <c r="T4" s="25"/>
    </row>
    <row r="5" spans="2:20">
      <c r="B5" s="23"/>
      <c r="C5" s="24"/>
      <c r="D5" s="24" t="s">
        <v>89</v>
      </c>
      <c r="E5" s="24"/>
      <c r="F5" s="24"/>
      <c r="G5" s="24"/>
      <c r="H5" s="24"/>
      <c r="I5" s="24"/>
      <c r="J5" s="24"/>
      <c r="K5" s="24"/>
      <c r="L5" s="24"/>
      <c r="M5" s="24"/>
      <c r="N5" s="24"/>
      <c r="O5" s="24"/>
      <c r="P5" s="24"/>
      <c r="Q5" s="24"/>
      <c r="R5" s="24"/>
      <c r="S5" s="24"/>
      <c r="T5" s="25"/>
    </row>
    <row r="6" spans="2:20">
      <c r="B6" s="23"/>
      <c r="C6" s="24"/>
      <c r="D6" s="24" t="s">
        <v>90</v>
      </c>
      <c r="E6" s="24"/>
      <c r="F6" s="24"/>
      <c r="G6" s="24"/>
      <c r="H6" s="24"/>
      <c r="I6" s="24"/>
      <c r="J6" s="24"/>
      <c r="K6" s="24"/>
      <c r="L6" s="24"/>
      <c r="M6" s="24"/>
      <c r="N6" s="24"/>
      <c r="O6" s="24"/>
      <c r="P6" s="24"/>
      <c r="Q6" s="24"/>
      <c r="R6" s="24"/>
      <c r="S6" s="24"/>
      <c r="T6" s="25"/>
    </row>
    <row r="7" spans="2:20">
      <c r="B7" s="23"/>
      <c r="C7" s="24"/>
      <c r="D7" s="24" t="s">
        <v>91</v>
      </c>
      <c r="E7" s="24"/>
      <c r="F7" s="24"/>
      <c r="G7" s="24"/>
      <c r="H7" s="24"/>
      <c r="I7" s="24"/>
      <c r="J7" s="24"/>
      <c r="K7" s="24"/>
      <c r="L7" s="24"/>
      <c r="M7" s="24"/>
      <c r="N7" s="24"/>
      <c r="O7" s="24"/>
      <c r="P7" s="24"/>
      <c r="Q7" s="24"/>
      <c r="R7" s="24"/>
      <c r="S7" s="24"/>
      <c r="T7" s="25"/>
    </row>
    <row r="8" spans="2:20">
      <c r="B8" s="23"/>
      <c r="C8" s="24"/>
      <c r="D8" s="24" t="s">
        <v>92</v>
      </c>
      <c r="E8" s="24"/>
      <c r="F8" s="24"/>
      <c r="G8" s="24"/>
      <c r="H8" s="24"/>
      <c r="I8" s="24"/>
      <c r="J8" s="24"/>
      <c r="K8" s="24"/>
      <c r="L8" s="24"/>
      <c r="M8" s="24"/>
      <c r="N8" s="24"/>
      <c r="O8" s="24"/>
      <c r="P8" s="24"/>
      <c r="Q8" s="24"/>
      <c r="R8" s="24"/>
      <c r="S8" s="24"/>
      <c r="T8" s="25"/>
    </row>
    <row r="9" spans="2:20">
      <c r="B9" s="23"/>
      <c r="C9" s="24"/>
      <c r="D9" s="24" t="s">
        <v>93</v>
      </c>
      <c r="E9" s="24"/>
      <c r="F9" s="24"/>
      <c r="G9" s="24"/>
      <c r="H9" s="24"/>
      <c r="I9" s="24"/>
      <c r="J9" s="24"/>
      <c r="K9" s="24"/>
      <c r="L9" s="24"/>
      <c r="M9" s="24"/>
      <c r="N9" s="24"/>
      <c r="O9" s="24"/>
      <c r="P9" s="24"/>
      <c r="Q9" s="24"/>
      <c r="R9" s="24"/>
      <c r="S9" s="24"/>
      <c r="T9" s="25"/>
    </row>
    <row r="10" spans="2:20">
      <c r="B10" s="23"/>
      <c r="C10" s="24"/>
      <c r="D10" s="24" t="s">
        <v>94</v>
      </c>
      <c r="E10" s="24"/>
      <c r="F10" s="24"/>
      <c r="G10" s="24"/>
      <c r="H10" s="24"/>
      <c r="I10" s="24"/>
      <c r="J10" s="24"/>
      <c r="K10" s="24"/>
      <c r="L10" s="24"/>
      <c r="M10" s="24"/>
      <c r="N10" s="24"/>
      <c r="O10" s="24"/>
      <c r="P10" s="24"/>
      <c r="Q10" s="24"/>
      <c r="R10" s="24"/>
      <c r="S10" s="24"/>
      <c r="T10" s="25"/>
    </row>
    <row r="11" spans="2:20">
      <c r="B11" s="23"/>
      <c r="C11" s="24"/>
      <c r="D11" s="24" t="s">
        <v>95</v>
      </c>
      <c r="E11" s="24"/>
      <c r="F11" s="24"/>
      <c r="G11" s="24"/>
      <c r="H11" s="24"/>
      <c r="I11" s="24"/>
      <c r="J11" s="24"/>
      <c r="K11" s="24"/>
      <c r="L11" s="24"/>
      <c r="M11" s="24"/>
      <c r="N11" s="24"/>
      <c r="O11" s="24"/>
      <c r="P11" s="24"/>
      <c r="Q11" s="24"/>
      <c r="R11" s="24"/>
      <c r="S11" s="24"/>
      <c r="T11" s="25"/>
    </row>
    <row r="12" spans="2:20">
      <c r="B12" s="23"/>
      <c r="C12" s="24"/>
      <c r="D12" s="24" t="s">
        <v>96</v>
      </c>
      <c r="E12" s="24"/>
      <c r="F12" s="24"/>
      <c r="G12" s="24"/>
      <c r="H12" s="24"/>
      <c r="I12" s="24"/>
      <c r="J12" s="24"/>
      <c r="K12" s="24"/>
      <c r="L12" s="24"/>
      <c r="M12" s="24"/>
      <c r="N12" s="24"/>
      <c r="O12" s="24"/>
      <c r="P12" s="24"/>
      <c r="Q12" s="24"/>
      <c r="R12" s="24"/>
      <c r="S12" s="24"/>
      <c r="T12" s="25"/>
    </row>
    <row r="13" spans="2:20">
      <c r="B13" s="23"/>
      <c r="C13" s="24"/>
      <c r="D13" s="24" t="s">
        <v>97</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98</v>
      </c>
      <c r="D15" s="24"/>
      <c r="E15" s="24"/>
      <c r="F15" s="24"/>
      <c r="G15" s="24"/>
      <c r="H15" s="24"/>
      <c r="I15" s="24"/>
      <c r="J15" s="24"/>
      <c r="K15" s="24"/>
      <c r="L15" s="24"/>
      <c r="M15" s="24"/>
      <c r="N15" s="24"/>
      <c r="O15" s="24"/>
      <c r="P15" s="24"/>
      <c r="Q15" s="24"/>
      <c r="R15" s="24"/>
      <c r="S15" s="24"/>
      <c r="T15" s="25"/>
    </row>
    <row r="16" spans="2:20">
      <c r="B16" s="23"/>
      <c r="C16" s="24"/>
      <c r="D16" s="24" t="s">
        <v>99</v>
      </c>
      <c r="E16" s="24"/>
      <c r="F16" s="24"/>
      <c r="G16" s="24"/>
      <c r="H16" s="24"/>
      <c r="I16" s="24"/>
      <c r="J16" s="24"/>
      <c r="K16" s="24"/>
      <c r="L16" s="24"/>
      <c r="M16" s="24"/>
      <c r="N16" s="24"/>
      <c r="O16" s="24"/>
      <c r="P16" s="24"/>
      <c r="Q16" s="24"/>
      <c r="R16" s="24"/>
      <c r="S16" s="24"/>
      <c r="T16" s="25"/>
    </row>
    <row r="17" spans="2:20">
      <c r="B17" s="23"/>
      <c r="C17" s="24"/>
      <c r="D17" s="24" t="s">
        <v>100</v>
      </c>
      <c r="E17" s="24"/>
      <c r="F17" s="24"/>
      <c r="G17" s="24"/>
      <c r="H17" s="24"/>
      <c r="I17" s="24"/>
      <c r="J17" s="24"/>
      <c r="K17" s="24"/>
      <c r="L17" s="24"/>
      <c r="M17" s="24"/>
      <c r="N17" s="24"/>
      <c r="O17" s="24"/>
      <c r="P17" s="24"/>
      <c r="Q17" s="24"/>
      <c r="R17" s="24"/>
      <c r="S17" s="24"/>
      <c r="T17" s="25"/>
    </row>
    <row r="18" spans="2:20">
      <c r="B18" s="23"/>
      <c r="C18" s="24"/>
      <c r="D18" s="24" t="s">
        <v>101</v>
      </c>
      <c r="E18" s="24"/>
      <c r="F18" s="24"/>
      <c r="G18" s="24"/>
      <c r="H18" s="24"/>
      <c r="I18" s="24"/>
      <c r="J18" s="24"/>
      <c r="K18" s="24"/>
      <c r="L18" s="24"/>
      <c r="M18" s="24"/>
      <c r="N18" s="24"/>
      <c r="O18" s="24"/>
      <c r="P18" s="24"/>
      <c r="Q18" s="24"/>
      <c r="R18" s="24"/>
      <c r="S18" s="24"/>
      <c r="T18" s="25"/>
    </row>
    <row r="19" spans="2:20">
      <c r="B19" s="23"/>
      <c r="C19" s="24"/>
      <c r="D19" s="24" t="s">
        <v>102</v>
      </c>
      <c r="E19" s="24"/>
      <c r="F19" s="24"/>
      <c r="G19" s="24"/>
      <c r="H19" s="24"/>
      <c r="I19" s="24"/>
      <c r="J19" s="24"/>
      <c r="K19" s="24"/>
      <c r="L19" s="24"/>
      <c r="M19" s="24"/>
      <c r="N19" s="24"/>
      <c r="O19" s="24"/>
      <c r="P19" s="24"/>
      <c r="Q19" s="24"/>
      <c r="R19" s="24"/>
      <c r="S19" s="24"/>
      <c r="T19" s="25"/>
    </row>
    <row r="20" spans="2:20">
      <c r="B20" s="23"/>
      <c r="C20" s="24"/>
      <c r="D20" s="24" t="s">
        <v>103</v>
      </c>
      <c r="E20" s="24"/>
      <c r="F20" s="24"/>
      <c r="G20" s="24"/>
      <c r="H20" s="24"/>
      <c r="I20" s="24"/>
      <c r="J20" s="24"/>
      <c r="K20" s="24"/>
      <c r="L20" s="24"/>
      <c r="M20" s="24"/>
      <c r="N20" s="24"/>
      <c r="O20" s="24"/>
      <c r="P20" s="24"/>
      <c r="Q20" s="24"/>
      <c r="R20" s="24"/>
      <c r="S20" s="24"/>
      <c r="T20" s="25"/>
    </row>
    <row r="21" spans="2:20">
      <c r="B21" s="23"/>
      <c r="C21" s="24"/>
      <c r="D21" s="24" t="s">
        <v>104</v>
      </c>
      <c r="E21" s="24"/>
      <c r="F21" s="24"/>
      <c r="G21" s="24"/>
      <c r="H21" s="24"/>
      <c r="I21" s="24"/>
      <c r="J21" s="24"/>
      <c r="K21" s="24"/>
      <c r="L21" s="24"/>
      <c r="M21" s="24"/>
      <c r="N21" s="24"/>
      <c r="O21" s="24"/>
      <c r="P21" s="24"/>
      <c r="Q21" s="24"/>
      <c r="R21" s="24"/>
      <c r="S21" s="24"/>
      <c r="T21" s="25"/>
    </row>
    <row r="22" spans="2:20">
      <c r="B22" s="23"/>
      <c r="C22" s="24"/>
      <c r="D22" s="24" t="s">
        <v>105</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106</v>
      </c>
      <c r="D24" s="24"/>
      <c r="E24" s="24"/>
      <c r="F24" s="24"/>
      <c r="G24" s="24"/>
      <c r="H24" s="24"/>
      <c r="I24" s="24"/>
      <c r="J24" s="24"/>
      <c r="K24" s="24"/>
      <c r="L24" s="24"/>
      <c r="M24" s="24"/>
      <c r="N24" s="24"/>
      <c r="O24" s="24"/>
      <c r="P24" s="24"/>
      <c r="Q24" s="24"/>
      <c r="R24" s="24"/>
      <c r="S24" s="24"/>
      <c r="T24" s="25"/>
    </row>
    <row r="25" spans="2:20">
      <c r="B25" s="23"/>
      <c r="C25" s="24"/>
      <c r="D25" s="24" t="s">
        <v>107</v>
      </c>
      <c r="E25" s="24"/>
      <c r="F25" s="24"/>
      <c r="G25" s="24"/>
      <c r="H25" s="24"/>
      <c r="I25" s="24"/>
      <c r="J25" s="24"/>
      <c r="K25" s="24"/>
      <c r="L25" s="24"/>
      <c r="M25" s="24"/>
      <c r="N25" s="24"/>
      <c r="O25" s="24"/>
      <c r="P25" s="24"/>
      <c r="Q25" s="24"/>
      <c r="R25" s="24"/>
      <c r="S25" s="24"/>
      <c r="T25" s="25"/>
    </row>
    <row r="26" spans="2:20" ht="27" customHeight="1">
      <c r="B26" s="23"/>
      <c r="C26" s="24"/>
      <c r="D26" s="941" t="s">
        <v>3122</v>
      </c>
      <c r="E26" s="942"/>
      <c r="F26" s="942"/>
      <c r="G26" s="942"/>
      <c r="H26" s="942"/>
      <c r="I26" s="942"/>
      <c r="J26" s="942"/>
      <c r="K26" s="942"/>
      <c r="L26" s="942"/>
      <c r="M26" s="942"/>
      <c r="N26" s="942"/>
      <c r="O26" s="942"/>
      <c r="P26" s="942"/>
      <c r="Q26" s="942"/>
      <c r="R26" s="942"/>
      <c r="S26" s="942"/>
      <c r="T26" s="943"/>
    </row>
    <row r="27" spans="2:20">
      <c r="B27" s="23"/>
      <c r="C27" s="24"/>
      <c r="D27" s="127" t="s">
        <v>1995</v>
      </c>
      <c r="E27" s="24"/>
      <c r="F27" s="24"/>
      <c r="G27" s="24"/>
      <c r="H27" s="24"/>
      <c r="I27" s="24"/>
      <c r="J27" s="24"/>
      <c r="K27" s="24"/>
      <c r="L27" s="24"/>
      <c r="M27" s="24"/>
      <c r="N27" s="24"/>
      <c r="O27" s="24"/>
      <c r="P27" s="24"/>
      <c r="Q27" s="24"/>
      <c r="R27" s="24"/>
      <c r="S27" s="24"/>
      <c r="T27" s="25"/>
    </row>
    <row r="28" spans="2:20">
      <c r="B28" s="23"/>
      <c r="C28" s="24"/>
      <c r="D28" s="24" t="s">
        <v>108</v>
      </c>
      <c r="E28" s="24"/>
      <c r="F28" s="24"/>
      <c r="G28" s="24"/>
      <c r="H28" s="24"/>
      <c r="I28" s="24"/>
      <c r="J28" s="24"/>
      <c r="K28" s="24"/>
      <c r="L28" s="24"/>
      <c r="M28" s="24"/>
      <c r="N28" s="24"/>
      <c r="O28" s="24"/>
      <c r="P28" s="24"/>
      <c r="Q28" s="24"/>
      <c r="R28" s="24"/>
      <c r="S28" s="24"/>
      <c r="T28" s="25"/>
    </row>
    <row r="29" spans="2:20">
      <c r="B29" s="23"/>
      <c r="C29" s="24"/>
      <c r="D29" s="695" t="s">
        <v>3123</v>
      </c>
      <c r="E29" s="24"/>
      <c r="F29" s="24"/>
      <c r="G29" s="24"/>
      <c r="H29" s="24"/>
      <c r="I29" s="24"/>
      <c r="J29" s="24"/>
      <c r="K29" s="24"/>
      <c r="L29" s="24"/>
      <c r="M29" s="24"/>
      <c r="N29" s="24"/>
      <c r="O29" s="24"/>
      <c r="P29" s="24"/>
      <c r="Q29" s="24"/>
      <c r="R29" s="24"/>
      <c r="S29" s="24"/>
      <c r="T29" s="25"/>
    </row>
    <row r="30" spans="2:20">
      <c r="B30" s="23"/>
      <c r="C30" s="24"/>
      <c r="D30" s="24" t="s">
        <v>109</v>
      </c>
      <c r="E30" s="24"/>
      <c r="F30" s="24"/>
      <c r="G30" s="24"/>
      <c r="H30" s="24"/>
      <c r="I30" s="24"/>
      <c r="J30" s="24"/>
      <c r="K30" s="24"/>
      <c r="L30" s="24"/>
      <c r="M30" s="24"/>
      <c r="N30" s="24"/>
      <c r="O30" s="24"/>
      <c r="P30" s="24"/>
      <c r="Q30" s="24"/>
      <c r="R30" s="24"/>
      <c r="S30" s="24"/>
      <c r="T30" s="25"/>
    </row>
    <row r="31" spans="2:20">
      <c r="B31" s="23"/>
      <c r="C31" s="24"/>
      <c r="D31" s="127" t="s">
        <v>1997</v>
      </c>
      <c r="E31" s="24"/>
      <c r="F31" s="24"/>
      <c r="G31" s="24"/>
      <c r="H31" s="24"/>
      <c r="I31" s="24"/>
      <c r="J31" s="24"/>
      <c r="K31" s="24"/>
      <c r="L31" s="24"/>
      <c r="M31" s="24"/>
      <c r="N31" s="24"/>
      <c r="O31" s="24"/>
      <c r="P31" s="24"/>
      <c r="Q31" s="24"/>
      <c r="R31" s="24"/>
      <c r="S31" s="24"/>
      <c r="T31" s="25"/>
    </row>
    <row r="32" spans="2:20">
      <c r="B32" s="23"/>
      <c r="C32" s="24"/>
      <c r="D32" s="24" t="s">
        <v>110</v>
      </c>
      <c r="E32" s="24"/>
      <c r="F32" s="24"/>
      <c r="G32" s="24"/>
      <c r="H32" s="24"/>
      <c r="I32" s="24"/>
      <c r="J32" s="24"/>
      <c r="K32" s="24"/>
      <c r="L32" s="24"/>
      <c r="M32" s="24"/>
      <c r="N32" s="24"/>
      <c r="O32" s="24"/>
      <c r="P32" s="24"/>
      <c r="Q32" s="24"/>
      <c r="R32" s="24"/>
      <c r="S32" s="24"/>
      <c r="T32" s="25"/>
    </row>
    <row r="33" spans="2:20">
      <c r="B33" s="23"/>
      <c r="C33" s="24"/>
      <c r="D33" s="24" t="s">
        <v>111</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112</v>
      </c>
      <c r="D35" s="24"/>
      <c r="E35" s="24"/>
      <c r="F35" s="24"/>
      <c r="G35" s="24"/>
      <c r="H35" s="24"/>
      <c r="I35" s="24"/>
      <c r="J35" s="24"/>
      <c r="K35" s="24"/>
      <c r="L35" s="24"/>
      <c r="M35" s="24"/>
      <c r="N35" s="24"/>
      <c r="O35" s="24"/>
      <c r="P35" s="24"/>
      <c r="Q35" s="24"/>
      <c r="R35" s="24"/>
      <c r="S35" s="24"/>
      <c r="T35" s="25"/>
    </row>
    <row r="36" spans="2:20">
      <c r="B36" s="23"/>
      <c r="C36" s="24"/>
      <c r="D36" s="24" t="s">
        <v>113</v>
      </c>
      <c r="E36" s="24"/>
      <c r="F36" s="24"/>
      <c r="G36" s="24"/>
      <c r="H36" s="24"/>
      <c r="I36" s="24"/>
      <c r="J36" s="24"/>
      <c r="K36" s="24"/>
      <c r="L36" s="24"/>
      <c r="M36" s="24"/>
      <c r="N36" s="24"/>
      <c r="O36" s="24"/>
      <c r="P36" s="24"/>
      <c r="Q36" s="24"/>
      <c r="R36" s="24"/>
      <c r="S36" s="24"/>
      <c r="T36" s="25"/>
    </row>
    <row r="37" spans="2:20">
      <c r="B37" s="23"/>
      <c r="C37" s="24"/>
      <c r="D37" s="24" t="s">
        <v>114</v>
      </c>
      <c r="E37" s="24"/>
      <c r="F37" s="24"/>
      <c r="G37" s="24"/>
      <c r="H37" s="24"/>
      <c r="I37" s="24"/>
      <c r="J37" s="24"/>
      <c r="K37" s="24"/>
      <c r="L37" s="24"/>
      <c r="M37" s="24"/>
      <c r="N37" s="24"/>
      <c r="O37" s="24"/>
      <c r="P37" s="24"/>
      <c r="Q37" s="24"/>
      <c r="R37" s="24"/>
      <c r="S37" s="24"/>
      <c r="T37" s="25"/>
    </row>
    <row r="38" spans="2:20">
      <c r="B38" s="23"/>
      <c r="C38" s="24"/>
      <c r="D38" s="24" t="s">
        <v>115</v>
      </c>
      <c r="E38" s="24"/>
      <c r="F38" s="24"/>
      <c r="G38" s="24"/>
      <c r="H38" s="24"/>
      <c r="I38" s="24"/>
      <c r="J38" s="24"/>
      <c r="K38" s="24"/>
      <c r="L38" s="24"/>
      <c r="M38" s="24"/>
      <c r="N38" s="24"/>
      <c r="O38" s="24"/>
      <c r="P38" s="24"/>
      <c r="Q38" s="24"/>
      <c r="R38" s="24"/>
      <c r="S38" s="24"/>
      <c r="T38" s="25"/>
    </row>
    <row r="39" spans="2:20">
      <c r="B39" s="23"/>
      <c r="C39" s="24"/>
      <c r="D39" s="24" t="s">
        <v>116</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117</v>
      </c>
      <c r="D41" s="24"/>
      <c r="E41" s="24"/>
      <c r="F41" s="24"/>
      <c r="G41" s="24"/>
      <c r="H41" s="24"/>
      <c r="I41" s="24"/>
      <c r="J41" s="24"/>
      <c r="K41" s="24"/>
      <c r="L41" s="24"/>
      <c r="M41" s="24"/>
      <c r="N41" s="24"/>
      <c r="O41" s="24"/>
      <c r="P41" s="24"/>
      <c r="Q41" s="24"/>
      <c r="R41" s="24"/>
      <c r="S41" s="24"/>
      <c r="T41" s="25"/>
    </row>
    <row r="42" spans="2:20">
      <c r="B42" s="23"/>
      <c r="C42" s="24"/>
      <c r="D42" s="24" t="s">
        <v>118</v>
      </c>
      <c r="E42" s="24"/>
      <c r="F42" s="24"/>
      <c r="G42" s="24"/>
      <c r="H42" s="24"/>
      <c r="I42" s="24"/>
      <c r="J42" s="24"/>
      <c r="K42" s="24"/>
      <c r="L42" s="24"/>
      <c r="M42" s="24"/>
      <c r="N42" s="24"/>
      <c r="O42" s="24"/>
      <c r="P42" s="24"/>
      <c r="Q42" s="24"/>
      <c r="R42" s="24"/>
      <c r="S42" s="24"/>
      <c r="T42" s="25"/>
    </row>
    <row r="43" spans="2:20">
      <c r="B43" s="23"/>
      <c r="C43" s="24"/>
      <c r="D43" s="24" t="s">
        <v>119</v>
      </c>
      <c r="E43" s="24"/>
      <c r="F43" s="24"/>
      <c r="G43" s="24"/>
      <c r="H43" s="24"/>
      <c r="I43" s="24"/>
      <c r="J43" s="24"/>
      <c r="K43" s="24"/>
      <c r="L43" s="24"/>
      <c r="M43" s="24"/>
      <c r="N43" s="24"/>
      <c r="O43" s="24"/>
      <c r="P43" s="24"/>
      <c r="Q43" s="24"/>
      <c r="R43" s="24"/>
      <c r="S43" s="24"/>
      <c r="T43" s="25"/>
    </row>
    <row r="44" spans="2:20">
      <c r="B44" s="23"/>
      <c r="C44" s="24"/>
      <c r="D44" s="24" t="s">
        <v>120</v>
      </c>
      <c r="E44" s="24"/>
      <c r="F44" s="24"/>
      <c r="G44" s="24"/>
      <c r="H44" s="24"/>
      <c r="I44" s="24"/>
      <c r="J44" s="24"/>
      <c r="K44" s="24"/>
      <c r="L44" s="24"/>
      <c r="M44" s="24"/>
      <c r="N44" s="24"/>
      <c r="O44" s="24"/>
      <c r="P44" s="24"/>
      <c r="Q44" s="24"/>
      <c r="R44" s="24"/>
      <c r="S44" s="24"/>
      <c r="T44" s="25"/>
    </row>
    <row r="45" spans="2:20">
      <c r="B45" s="23"/>
      <c r="C45" s="24"/>
      <c r="D45" s="24" t="s">
        <v>121</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75" thickBot="1">
      <c r="B47" s="27"/>
      <c r="C47" s="28"/>
      <c r="D47" s="28"/>
      <c r="E47" s="28"/>
      <c r="F47" s="28"/>
      <c r="G47" s="28"/>
      <c r="H47" s="28"/>
      <c r="I47" s="28"/>
      <c r="J47" s="28"/>
      <c r="K47" s="28"/>
      <c r="L47" s="28"/>
      <c r="M47" s="28"/>
      <c r="N47" s="28"/>
      <c r="O47" s="28"/>
      <c r="P47" s="28"/>
      <c r="Q47" s="28"/>
      <c r="R47" s="28"/>
      <c r="S47" s="28"/>
      <c r="T47" s="29"/>
    </row>
    <row r="48" spans="2:20" ht="15.7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AA22" sqref="AA22"/>
    </sheetView>
  </sheetViews>
  <sheetFormatPr defaultColWidth="9" defaultRowHeight="15.75"/>
  <cols>
    <col min="1" max="1" width="31.875" style="61" bestFit="1" customWidth="1"/>
    <col min="2" max="2" width="20.375" style="61" bestFit="1" customWidth="1"/>
    <col min="3" max="3" width="9.875" style="61" bestFit="1" customWidth="1"/>
    <col min="4" max="4" width="65.75" style="61" hidden="1" customWidth="1"/>
    <col min="5" max="5" width="73.875" style="61" hidden="1" customWidth="1"/>
    <col min="6" max="6" width="86" style="61" hidden="1" customWidth="1"/>
    <col min="7" max="7" width="11" style="61" customWidth="1"/>
    <col min="8" max="16384" width="9" style="61"/>
  </cols>
  <sheetData>
    <row r="27" spans="1:7" hidden="1">
      <c r="A27" s="600" t="s">
        <v>20</v>
      </c>
      <c r="B27" s="61" t="s">
        <v>1924</v>
      </c>
    </row>
    <row r="28" spans="1:7" hidden="1"/>
    <row r="29" spans="1:7" s="128" customFormat="1" ht="31.5" hidden="1">
      <c r="A29" s="895" t="s">
        <v>22</v>
      </c>
      <c r="B29" s="895" t="s">
        <v>23</v>
      </c>
      <c r="C29" s="877" t="s">
        <v>1996</v>
      </c>
      <c r="D29" s="61" t="s">
        <v>3055</v>
      </c>
      <c r="E29" s="61" t="s">
        <v>3054</v>
      </c>
      <c r="F29" s="61" t="s">
        <v>3053</v>
      </c>
      <c r="G29"/>
    </row>
    <row r="30" spans="1:7" hidden="1">
      <c r="A30" s="61" t="s">
        <v>716</v>
      </c>
      <c r="B30" s="61" t="s">
        <v>735</v>
      </c>
      <c r="C30" s="845">
        <v>706</v>
      </c>
      <c r="D30" s="845">
        <v>706</v>
      </c>
      <c r="E30" s="845">
        <v>684</v>
      </c>
      <c r="F30" s="845">
        <v>706</v>
      </c>
      <c r="G30"/>
    </row>
    <row r="31" spans="1:7" hidden="1">
      <c r="B31" s="61" t="s">
        <v>757</v>
      </c>
      <c r="C31" s="845">
        <v>4094</v>
      </c>
      <c r="D31" s="845">
        <v>864</v>
      </c>
      <c r="E31" s="845">
        <v>2000</v>
      </c>
      <c r="F31" s="845">
        <v>0</v>
      </c>
      <c r="G31"/>
    </row>
    <row r="32" spans="1:7" hidden="1">
      <c r="B32" s="61" t="s">
        <v>720</v>
      </c>
      <c r="C32" s="845">
        <v>11051</v>
      </c>
      <c r="D32" s="845">
        <v>9617</v>
      </c>
      <c r="E32" s="845">
        <v>8494</v>
      </c>
      <c r="F32" s="845">
        <v>9221</v>
      </c>
      <c r="G32"/>
    </row>
    <row r="33" spans="1:7" hidden="1">
      <c r="B33" s="61" t="s">
        <v>1272</v>
      </c>
      <c r="C33" s="845">
        <v>95</v>
      </c>
      <c r="D33" s="845">
        <v>95</v>
      </c>
      <c r="E33" s="845">
        <v>95</v>
      </c>
      <c r="F33" s="845">
        <v>0</v>
      </c>
      <c r="G33"/>
    </row>
    <row r="34" spans="1:7" hidden="1">
      <c r="B34" s="61" t="s">
        <v>723</v>
      </c>
      <c r="C34" s="845">
        <v>687</v>
      </c>
      <c r="D34" s="845">
        <v>687</v>
      </c>
      <c r="E34" s="845">
        <v>602</v>
      </c>
      <c r="F34" s="845">
        <v>687</v>
      </c>
      <c r="G34"/>
    </row>
    <row r="35" spans="1:7" hidden="1">
      <c r="B35" s="61" t="s">
        <v>726</v>
      </c>
      <c r="C35" s="845">
        <v>3261</v>
      </c>
      <c r="D35" s="845">
        <v>1275</v>
      </c>
      <c r="E35" s="845">
        <v>3261</v>
      </c>
      <c r="F35" s="845">
        <v>1275</v>
      </c>
      <c r="G35"/>
    </row>
    <row r="36" spans="1:7" hidden="1">
      <c r="B36" s="61" t="s">
        <v>717</v>
      </c>
      <c r="C36" s="845">
        <v>4121</v>
      </c>
      <c r="D36" s="845">
        <v>3002</v>
      </c>
      <c r="E36" s="845">
        <v>1821</v>
      </c>
      <c r="F36" s="845">
        <v>2455.666666666667</v>
      </c>
      <c r="G36"/>
    </row>
    <row r="37" spans="1:7" hidden="1">
      <c r="B37" s="61" t="s">
        <v>737</v>
      </c>
      <c r="C37" s="845">
        <v>1757</v>
      </c>
      <c r="D37" s="845">
        <v>1183</v>
      </c>
      <c r="E37" s="845">
        <v>853</v>
      </c>
      <c r="F37" s="845">
        <v>574.13333333333344</v>
      </c>
      <c r="G37"/>
    </row>
    <row r="38" spans="1:7" hidden="1">
      <c r="B38" s="61" t="s">
        <v>1290</v>
      </c>
      <c r="C38" s="845">
        <v>53</v>
      </c>
      <c r="D38" s="845">
        <v>53</v>
      </c>
      <c r="E38" s="845">
        <v>0</v>
      </c>
      <c r="F38" s="845">
        <v>0</v>
      </c>
      <c r="G38"/>
    </row>
    <row r="39" spans="1:7" hidden="1">
      <c r="B39" s="61" t="s">
        <v>1274</v>
      </c>
      <c r="C39" s="845">
        <v>4171</v>
      </c>
      <c r="D39" s="845">
        <v>4171</v>
      </c>
      <c r="E39" s="845">
        <v>3359</v>
      </c>
      <c r="F39" s="845">
        <v>959</v>
      </c>
      <c r="G39"/>
    </row>
    <row r="40" spans="1:7" hidden="1">
      <c r="A40" s="61" t="s">
        <v>2983</v>
      </c>
      <c r="C40" s="845">
        <v>29996</v>
      </c>
      <c r="D40" s="845">
        <v>21653</v>
      </c>
      <c r="E40" s="845">
        <v>21169</v>
      </c>
      <c r="F40" s="845">
        <v>15877.800000000001</v>
      </c>
      <c r="G40"/>
    </row>
    <row r="41" spans="1:7" hidden="1">
      <c r="A41" s="61" t="s">
        <v>1669</v>
      </c>
      <c r="C41" s="845">
        <v>29996</v>
      </c>
      <c r="D41" s="845">
        <v>21653</v>
      </c>
      <c r="E41" s="845">
        <v>21169</v>
      </c>
      <c r="F41" s="845">
        <v>15877.800000000001</v>
      </c>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E169"/>
  <sheetViews>
    <sheetView showGridLines="0" view="pageBreakPreview" zoomScaleNormal="60" zoomScaleSheetLayoutView="100" workbookViewId="0">
      <selection activeCell="V21" sqref="V21"/>
    </sheetView>
  </sheetViews>
  <sheetFormatPr defaultColWidth="9" defaultRowHeight="12.75"/>
  <cols>
    <col min="1" max="1" width="1.5" style="17" customWidth="1"/>
    <col min="2" max="2" width="18.125" style="17" customWidth="1"/>
    <col min="3" max="3" width="28.25" style="17" customWidth="1"/>
    <col min="4" max="10" width="9" style="17"/>
    <col min="11" max="11" width="8" style="17" customWidth="1"/>
    <col min="12" max="12" width="11.625" style="17" customWidth="1"/>
    <col min="13" max="13" width="8" style="17" customWidth="1"/>
    <col min="14" max="14" width="14.125" style="17" customWidth="1"/>
    <col min="15" max="15" width="22.75" style="17" customWidth="1"/>
    <col min="16" max="16" width="8" style="17" customWidth="1"/>
    <col min="17" max="18" width="9" style="17"/>
    <col min="19" max="19" width="5" style="17" customWidth="1"/>
    <col min="20" max="20" width="1.75" style="17" customWidth="1"/>
    <col min="21" max="25" width="8.125" style="17" customWidth="1"/>
    <col min="26" max="26" width="16.125" style="17" bestFit="1" customWidth="1"/>
    <col min="27" max="27" width="9" style="17"/>
    <col min="28" max="28" width="21.75" style="17" bestFit="1" customWidth="1"/>
    <col min="29" max="29" width="7.25" style="17" customWidth="1"/>
    <col min="30" max="16384" width="9" style="17"/>
  </cols>
  <sheetData>
    <row r="1" spans="2:31" ht="42.75" customHeight="1">
      <c r="B1" s="998" t="s">
        <v>3334</v>
      </c>
      <c r="C1" s="998"/>
      <c r="D1" s="998"/>
      <c r="E1" s="998"/>
      <c r="F1" s="998"/>
      <c r="G1" s="998"/>
      <c r="H1" s="998"/>
      <c r="I1" s="998"/>
      <c r="J1" s="998"/>
      <c r="K1" s="998"/>
      <c r="L1" s="998"/>
      <c r="M1" s="998"/>
      <c r="N1" s="998"/>
      <c r="O1" s="998"/>
      <c r="P1" s="998"/>
      <c r="Q1" s="998"/>
      <c r="R1" s="998"/>
      <c r="S1" s="998"/>
      <c r="T1" s="230"/>
      <c r="U1" s="230"/>
      <c r="V1" s="230"/>
      <c r="W1" s="230"/>
      <c r="X1" s="230"/>
      <c r="Y1" s="230"/>
      <c r="Z1" s="230"/>
      <c r="AA1" s="230"/>
      <c r="AB1" s="230"/>
      <c r="AC1" s="230"/>
      <c r="AD1" s="230"/>
      <c r="AE1" s="230"/>
    </row>
    <row r="26" ht="20.25" customHeight="1"/>
    <row r="29" ht="20.25" customHeight="1"/>
    <row r="31" ht="29.25" customHeight="1"/>
    <row r="44" spans="2:7" ht="15.75" customHeight="1"/>
    <row r="45" spans="2:7" ht="18" customHeight="1"/>
    <row r="48" spans="2:7" ht="38.25">
      <c r="B48" s="246" t="s">
        <v>1960</v>
      </c>
      <c r="C48" s="247" t="s">
        <v>1961</v>
      </c>
      <c r="D48" s="246" t="s">
        <v>1937</v>
      </c>
      <c r="E48" s="246" t="s">
        <v>1962</v>
      </c>
      <c r="F48" s="246" t="s">
        <v>1963</v>
      </c>
      <c r="G48" s="246" t="s">
        <v>1964</v>
      </c>
    </row>
    <row r="49" spans="2:26" ht="18.75" customHeight="1">
      <c r="B49" s="204" t="s">
        <v>203</v>
      </c>
      <c r="C49" s="203" t="s">
        <v>2177</v>
      </c>
      <c r="D49" s="201">
        <v>8826</v>
      </c>
      <c r="E49" s="202">
        <v>0.15964196691593024</v>
      </c>
      <c r="F49" s="202">
        <v>0.35950600498527074</v>
      </c>
      <c r="G49" s="202">
        <v>0.22025832766825293</v>
      </c>
      <c r="U49" s="572"/>
      <c r="V49"/>
    </row>
    <row r="50" spans="2:26" ht="18.75" customHeight="1">
      <c r="B50" s="257" t="s">
        <v>154</v>
      </c>
      <c r="C50" s="258" t="s">
        <v>2178</v>
      </c>
      <c r="D50" s="259">
        <v>2960</v>
      </c>
      <c r="E50" s="260">
        <v>0.93243243243243246</v>
      </c>
      <c r="F50" s="260">
        <v>6.6554054054054013E-2</v>
      </c>
      <c r="G50" s="260">
        <v>0</v>
      </c>
      <c r="U50" s="572"/>
      <c r="V50"/>
    </row>
    <row r="51" spans="2:26" ht="18.75" customHeight="1">
      <c r="B51" s="257" t="s">
        <v>156</v>
      </c>
      <c r="C51" s="258" t="s">
        <v>2178</v>
      </c>
      <c r="D51" s="259">
        <v>3920</v>
      </c>
      <c r="E51" s="260">
        <v>0.36391156462585028</v>
      </c>
      <c r="F51" s="260">
        <v>0.1188775510204082</v>
      </c>
      <c r="G51" s="260">
        <v>3.5714285714285587E-3</v>
      </c>
      <c r="U51" s="572"/>
      <c r="V51"/>
    </row>
    <row r="52" spans="2:26" ht="18.75" customHeight="1">
      <c r="B52" s="257" t="s">
        <v>40</v>
      </c>
      <c r="C52" s="867" t="s">
        <v>3092</v>
      </c>
      <c r="D52" s="259">
        <v>12974</v>
      </c>
      <c r="E52" s="260">
        <v>0.49213812239864341</v>
      </c>
      <c r="F52" s="260">
        <v>0.41344226915369198</v>
      </c>
      <c r="G52" s="260">
        <v>0.35756127639895174</v>
      </c>
      <c r="U52" s="572"/>
      <c r="V52"/>
    </row>
    <row r="53" spans="2:26" ht="18.75" customHeight="1">
      <c r="B53" s="257" t="s">
        <v>160</v>
      </c>
      <c r="C53" s="258" t="s">
        <v>2293</v>
      </c>
      <c r="D53" s="259">
        <v>1462</v>
      </c>
      <c r="E53" s="260">
        <v>5.0615595075239384E-2</v>
      </c>
      <c r="F53" s="260">
        <v>0.4261285909712722</v>
      </c>
      <c r="G53" s="260">
        <v>0</v>
      </c>
      <c r="U53" s="572"/>
      <c r="V53"/>
    </row>
    <row r="54" spans="2:26" ht="18.75" customHeight="1">
      <c r="B54" s="257" t="s">
        <v>165</v>
      </c>
      <c r="C54" s="258" t="s">
        <v>2179</v>
      </c>
      <c r="D54" s="259">
        <v>165</v>
      </c>
      <c r="E54" s="260">
        <v>0</v>
      </c>
      <c r="F54" s="260">
        <v>7.878787878787874E-2</v>
      </c>
      <c r="G54" s="260">
        <v>0</v>
      </c>
      <c r="U54" s="572"/>
      <c r="V54"/>
    </row>
    <row r="55" spans="2:26" ht="18.75" customHeight="1">
      <c r="B55" s="257" t="s">
        <v>213</v>
      </c>
      <c r="C55" s="258" t="s">
        <v>3093</v>
      </c>
      <c r="D55" s="259">
        <v>34426</v>
      </c>
      <c r="E55" s="260">
        <v>0.59301109626445137</v>
      </c>
      <c r="F55" s="260">
        <v>0.34929994771393713</v>
      </c>
      <c r="G55" s="260">
        <v>0.39406262708418061</v>
      </c>
      <c r="U55" s="572"/>
      <c r="V55"/>
    </row>
    <row r="56" spans="2:26" ht="18.75" customHeight="1">
      <c r="B56" s="257" t="s">
        <v>167</v>
      </c>
      <c r="C56" s="258" t="s">
        <v>2178</v>
      </c>
      <c r="D56" s="259">
        <v>9418</v>
      </c>
      <c r="E56" s="260">
        <v>4.7710058752743034E-2</v>
      </c>
      <c r="F56" s="260">
        <v>0.22839244000849435</v>
      </c>
      <c r="G56" s="260">
        <v>8.0165640263325511E-2</v>
      </c>
      <c r="U56" s="572"/>
      <c r="V56"/>
    </row>
    <row r="57" spans="2:26" ht="18.75" customHeight="1">
      <c r="B57" s="257" t="s">
        <v>181</v>
      </c>
      <c r="C57" s="258" t="s">
        <v>149</v>
      </c>
      <c r="D57" s="259">
        <v>289</v>
      </c>
      <c r="E57" s="260">
        <v>0</v>
      </c>
      <c r="F57" s="260">
        <v>0.86159169550173009</v>
      </c>
      <c r="G57" s="260">
        <v>0</v>
      </c>
      <c r="U57" s="572"/>
      <c r="V57"/>
    </row>
    <row r="58" spans="2:26" ht="18.75" customHeight="1">
      <c r="B58" s="257" t="s">
        <v>222</v>
      </c>
      <c r="C58" s="258" t="s">
        <v>1971</v>
      </c>
      <c r="D58" s="259">
        <v>1864</v>
      </c>
      <c r="E58" s="260">
        <v>0</v>
      </c>
      <c r="F58" s="260">
        <v>4.238197424892709E-2</v>
      </c>
      <c r="G58" s="260">
        <v>4.5064377682403456E-2</v>
      </c>
      <c r="U58" s="572"/>
      <c r="V58"/>
    </row>
    <row r="59" spans="2:26" ht="18.75" customHeight="1">
      <c r="B59" s="257" t="s">
        <v>192</v>
      </c>
      <c r="C59" s="258" t="s">
        <v>149</v>
      </c>
      <c r="D59" s="259">
        <v>872</v>
      </c>
      <c r="E59" s="260">
        <v>1</v>
      </c>
      <c r="F59" s="260">
        <v>0</v>
      </c>
      <c r="G59" s="260">
        <v>0</v>
      </c>
      <c r="U59" s="572"/>
      <c r="V59"/>
    </row>
    <row r="60" spans="2:26" ht="18.75" customHeight="1" thickBot="1">
      <c r="B60" s="257" t="s">
        <v>150</v>
      </c>
      <c r="C60" s="258" t="s">
        <v>2180</v>
      </c>
      <c r="D60" s="259">
        <v>27149</v>
      </c>
      <c r="E60" s="260">
        <v>0.35547042862229428</v>
      </c>
      <c r="F60" s="260">
        <v>0.40955467973037685</v>
      </c>
      <c r="G60" s="260">
        <v>0.50208110795977756</v>
      </c>
      <c r="U60" s="572"/>
      <c r="V60"/>
    </row>
    <row r="61" spans="2:26" ht="18.75" customHeight="1" thickTop="1">
      <c r="B61" s="251" t="s">
        <v>1938</v>
      </c>
      <c r="C61" s="255" t="s">
        <v>1970</v>
      </c>
      <c r="D61" s="261">
        <v>104325</v>
      </c>
      <c r="E61" s="252">
        <v>0.41640578320952171</v>
      </c>
      <c r="F61" s="252">
        <v>0.3398897675533189</v>
      </c>
      <c r="G61" s="252">
        <v>0.33197220225257607</v>
      </c>
      <c r="U61" s="233"/>
      <c r="V61"/>
    </row>
    <row r="62" spans="2:26" ht="18.75" customHeight="1"/>
    <row r="63" spans="2:26" ht="15.75">
      <c r="B63"/>
      <c r="C63"/>
      <c r="X63"/>
      <c r="Y63"/>
      <c r="Z63"/>
    </row>
    <row r="64" spans="2:26" ht="15.75">
      <c r="B64"/>
      <c r="C64"/>
      <c r="X64"/>
      <c r="Y64"/>
      <c r="Z64"/>
    </row>
    <row r="65" spans="2:26" ht="15.75">
      <c r="B65"/>
      <c r="C65"/>
      <c r="X65"/>
      <c r="Y65"/>
      <c r="Z65"/>
    </row>
    <row r="66" spans="2:26" ht="15.75">
      <c r="B66"/>
      <c r="C66"/>
      <c r="X66"/>
      <c r="Y66"/>
      <c r="Z66"/>
    </row>
    <row r="67" spans="2:26" ht="15.75">
      <c r="B67"/>
      <c r="C67"/>
      <c r="X67"/>
      <c r="Y67"/>
      <c r="Z67"/>
    </row>
    <row r="68" spans="2:26" ht="15.75">
      <c r="B68"/>
      <c r="C68"/>
      <c r="X68"/>
      <c r="Y68"/>
      <c r="Z68"/>
    </row>
    <row r="69" spans="2:26" ht="15.75">
      <c r="B69"/>
      <c r="C69"/>
      <c r="X69"/>
      <c r="Y69"/>
      <c r="Z69"/>
    </row>
    <row r="70" spans="2:26" ht="15.75">
      <c r="B70"/>
      <c r="C70"/>
      <c r="X70"/>
      <c r="Y70"/>
      <c r="Z70"/>
    </row>
    <row r="71" spans="2:26" ht="15.75">
      <c r="B71"/>
      <c r="C71"/>
      <c r="X71"/>
      <c r="Y71"/>
      <c r="Z71"/>
    </row>
    <row r="72" spans="2:26" ht="15.75">
      <c r="B72"/>
      <c r="C72"/>
      <c r="X72"/>
      <c r="Y72"/>
      <c r="Z72"/>
    </row>
    <row r="73" spans="2:26" ht="15.75">
      <c r="B73"/>
      <c r="C73"/>
      <c r="X73"/>
      <c r="Y73"/>
      <c r="Z73"/>
    </row>
    <row r="74" spans="2:26" ht="15.75">
      <c r="B74"/>
      <c r="C74"/>
      <c r="X74"/>
      <c r="Y74"/>
      <c r="Z74"/>
    </row>
    <row r="75" spans="2:26" ht="15.75">
      <c r="B75"/>
      <c r="C75"/>
      <c r="X75"/>
      <c r="Y75"/>
      <c r="Z75"/>
    </row>
    <row r="76" spans="2:26" ht="15.75">
      <c r="X76"/>
      <c r="Y76"/>
      <c r="Z76"/>
    </row>
    <row r="77" spans="2:26" ht="15.75">
      <c r="X77"/>
      <c r="Y77"/>
      <c r="Z77"/>
    </row>
    <row r="78" spans="2:26" ht="15.75">
      <c r="X78"/>
      <c r="Y78"/>
      <c r="Z78"/>
    </row>
    <row r="79" spans="2:26" ht="15.75">
      <c r="X79"/>
      <c r="Y79"/>
      <c r="Z79"/>
    </row>
    <row r="80" spans="2:26" ht="15.75">
      <c r="X80"/>
      <c r="Y80"/>
      <c r="Z80"/>
    </row>
    <row r="81" spans="24:26" ht="15.75">
      <c r="X81"/>
      <c r="Y81"/>
      <c r="Z81"/>
    </row>
    <row r="82" spans="24:26" ht="15.75">
      <c r="X82"/>
      <c r="Y82"/>
      <c r="Z82"/>
    </row>
    <row r="83" spans="24:26" ht="15.75">
      <c r="X83"/>
      <c r="Y83"/>
      <c r="Z83"/>
    </row>
    <row r="84" spans="24:26" ht="15.75">
      <c r="X84"/>
      <c r="Y84"/>
      <c r="Z84"/>
    </row>
    <row r="85" spans="24:26" ht="15.75">
      <c r="X85"/>
      <c r="Y85"/>
      <c r="Z85"/>
    </row>
    <row r="86" spans="24:26" ht="15.75">
      <c r="X86"/>
      <c r="Y86"/>
      <c r="Z86"/>
    </row>
    <row r="87" spans="24:26" ht="15.75">
      <c r="X87"/>
      <c r="Y87"/>
      <c r="Z87"/>
    </row>
    <row r="88" spans="24:26" ht="15.75">
      <c r="X88"/>
      <c r="Y88"/>
      <c r="Z88"/>
    </row>
    <row r="89" spans="24:26" ht="15.75">
      <c r="X89"/>
      <c r="Y89"/>
      <c r="Z89"/>
    </row>
    <row r="90" spans="24:26" ht="15.75">
      <c r="X90"/>
      <c r="Y90"/>
      <c r="Z90"/>
    </row>
    <row r="91" spans="24:26" ht="15.75">
      <c r="X91"/>
      <c r="Y91"/>
      <c r="Z91"/>
    </row>
    <row r="92" spans="24:26" ht="15.75">
      <c r="X92"/>
      <c r="Y92"/>
      <c r="Z92"/>
    </row>
    <row r="93" spans="24:26" ht="15.75">
      <c r="X93"/>
      <c r="Y93"/>
      <c r="Z93"/>
    </row>
    <row r="94" spans="24:26" ht="15.75">
      <c r="X94"/>
      <c r="Y94"/>
      <c r="Z94"/>
    </row>
    <row r="95" spans="24:26" ht="15.75">
      <c r="X95"/>
      <c r="Y95"/>
      <c r="Z95"/>
    </row>
    <row r="96" spans="24:26" ht="15.75">
      <c r="X96"/>
      <c r="Y96"/>
      <c r="Z96"/>
    </row>
    <row r="97" spans="24:26" ht="15.75">
      <c r="X97"/>
      <c r="Y97"/>
      <c r="Z97"/>
    </row>
    <row r="98" spans="24:26" ht="15.75">
      <c r="X98"/>
      <c r="Y98"/>
      <c r="Z98"/>
    </row>
    <row r="99" spans="24:26" ht="15.75">
      <c r="X99"/>
      <c r="Y99"/>
      <c r="Z99"/>
    </row>
    <row r="100" spans="24:26" ht="15.75">
      <c r="X100"/>
      <c r="Y100"/>
      <c r="Z100"/>
    </row>
    <row r="101" spans="24:26" ht="15.75">
      <c r="X101"/>
      <c r="Y101"/>
      <c r="Z101"/>
    </row>
    <row r="102" spans="24:26" ht="15.75">
      <c r="X102"/>
      <c r="Y102"/>
      <c r="Z102"/>
    </row>
    <row r="103" spans="24:26" ht="15.75">
      <c r="X103"/>
      <c r="Y103"/>
      <c r="Z103"/>
    </row>
    <row r="104" spans="24:26" ht="15.75">
      <c r="X104"/>
      <c r="Y104"/>
      <c r="Z104"/>
    </row>
    <row r="105" spans="24:26" ht="15.75">
      <c r="X105"/>
      <c r="Y105"/>
      <c r="Z105"/>
    </row>
    <row r="106" spans="24:26" ht="15.75">
      <c r="X106"/>
      <c r="Y106"/>
      <c r="Z106"/>
    </row>
    <row r="107" spans="24:26" ht="15.75">
      <c r="X107"/>
      <c r="Y107"/>
      <c r="Z107"/>
    </row>
    <row r="108" spans="24:26" ht="15.75">
      <c r="X108"/>
      <c r="Y108"/>
      <c r="Z108"/>
    </row>
    <row r="109" spans="24:26" ht="15.75">
      <c r="X109"/>
      <c r="Y109"/>
      <c r="Z109"/>
    </row>
    <row r="110" spans="24:26" ht="15.75">
      <c r="X110"/>
      <c r="Y110"/>
      <c r="Z110"/>
    </row>
    <row r="111" spans="24:26" ht="15.75">
      <c r="X111"/>
      <c r="Y111"/>
      <c r="Z111"/>
    </row>
    <row r="112" spans="24:26" ht="15.75">
      <c r="X112"/>
      <c r="Y112"/>
      <c r="Z112"/>
    </row>
    <row r="113" spans="24:26" ht="15.75">
      <c r="X113"/>
      <c r="Y113"/>
      <c r="Z113"/>
    </row>
    <row r="114" spans="24:26" ht="15.75">
      <c r="X114"/>
      <c r="Y114"/>
      <c r="Z114"/>
    </row>
    <row r="115" spans="24:26" ht="15.75">
      <c r="X115"/>
      <c r="Y115"/>
      <c r="Z115"/>
    </row>
    <row r="116" spans="24:26" ht="15.75">
      <c r="X116"/>
      <c r="Y116"/>
      <c r="Z116"/>
    </row>
    <row r="117" spans="24:26" ht="15.75">
      <c r="X117"/>
      <c r="Y117"/>
      <c r="Z117"/>
    </row>
    <row r="118" spans="24:26" ht="15.75">
      <c r="X118"/>
      <c r="Y118"/>
      <c r="Z118"/>
    </row>
    <row r="119" spans="24:26" ht="15.75">
      <c r="X119"/>
      <c r="Y119"/>
      <c r="Z119"/>
    </row>
    <row r="120" spans="24:26" ht="15.75">
      <c r="X120"/>
      <c r="Y120"/>
      <c r="Z120"/>
    </row>
    <row r="121" spans="24:26" ht="15.75">
      <c r="X121"/>
      <c r="Y121"/>
      <c r="Z121"/>
    </row>
    <row r="122" spans="24:26" ht="15.75">
      <c r="X122"/>
      <c r="Y122"/>
      <c r="Z122"/>
    </row>
    <row r="123" spans="24:26" ht="15.75">
      <c r="X123"/>
      <c r="Y123"/>
      <c r="Z123"/>
    </row>
    <row r="124" spans="24:26" ht="15.75">
      <c r="X124"/>
      <c r="Y124"/>
      <c r="Z124"/>
    </row>
    <row r="125" spans="24:26" ht="15.75">
      <c r="X125"/>
      <c r="Y125"/>
      <c r="Z125"/>
    </row>
    <row r="126" spans="24:26" ht="15.75">
      <c r="X126"/>
      <c r="Y126"/>
      <c r="Z126"/>
    </row>
    <row r="127" spans="24:26" ht="15.75">
      <c r="X127"/>
      <c r="Y127"/>
      <c r="Z127"/>
    </row>
    <row r="128" spans="24:26" ht="15.75">
      <c r="X128"/>
      <c r="Y128"/>
      <c r="Z128"/>
    </row>
    <row r="129" spans="24:26" ht="15.75">
      <c r="X129"/>
      <c r="Y129"/>
      <c r="Z129"/>
    </row>
    <row r="130" spans="24:26" ht="15.75">
      <c r="X130"/>
      <c r="Y130"/>
      <c r="Z130"/>
    </row>
    <row r="131" spans="24:26" ht="15.75">
      <c r="X131"/>
      <c r="Y131"/>
      <c r="Z131"/>
    </row>
    <row r="132" spans="24:26" ht="15.75">
      <c r="X132"/>
      <c r="Y132"/>
      <c r="Z132"/>
    </row>
    <row r="133" spans="24:26" ht="15.75">
      <c r="X133"/>
      <c r="Y133"/>
      <c r="Z133"/>
    </row>
    <row r="134" spans="24:26" ht="15.75">
      <c r="X134"/>
      <c r="Y134"/>
      <c r="Z134"/>
    </row>
    <row r="135" spans="24:26" ht="15.75">
      <c r="X135"/>
      <c r="Y135"/>
    </row>
    <row r="136" spans="24:26" ht="15.75">
      <c r="X136"/>
      <c r="Y136"/>
    </row>
    <row r="137" spans="24:26" ht="15.75">
      <c r="X137"/>
      <c r="Y137"/>
    </row>
    <row r="138" spans="24:26" ht="15.75">
      <c r="X138"/>
      <c r="Y138"/>
    </row>
    <row r="139" spans="24:26" ht="15.75">
      <c r="X139"/>
      <c r="Y139"/>
    </row>
    <row r="140" spans="24:26" ht="15.75">
      <c r="X140"/>
      <c r="Y140"/>
    </row>
    <row r="141" spans="24:26" ht="15.75">
      <c r="X141"/>
      <c r="Y141"/>
    </row>
    <row r="142" spans="24:26" ht="15.75">
      <c r="X142"/>
      <c r="Y142"/>
    </row>
    <row r="143" spans="24:26" ht="15.75">
      <c r="X143"/>
      <c r="Y143"/>
    </row>
    <row r="144" spans="24:26" ht="15.75">
      <c r="X144"/>
      <c r="Y144"/>
    </row>
    <row r="145" spans="24:25" ht="15.75">
      <c r="X145"/>
      <c r="Y145"/>
    </row>
    <row r="146" spans="24:25" ht="15.75">
      <c r="X146"/>
      <c r="Y146"/>
    </row>
    <row r="147" spans="24:25" ht="15.75">
      <c r="X147"/>
      <c r="Y147"/>
    </row>
    <row r="148" spans="24:25" ht="15.75">
      <c r="X148"/>
      <c r="Y148"/>
    </row>
    <row r="149" spans="24:25" ht="15.75">
      <c r="X149"/>
      <c r="Y149"/>
    </row>
    <row r="150" spans="24:25" ht="15.75">
      <c r="X150"/>
      <c r="Y150"/>
    </row>
    <row r="151" spans="24:25" ht="15.75">
      <c r="X151"/>
      <c r="Y151"/>
    </row>
    <row r="152" spans="24:25" ht="15.75">
      <c r="X152"/>
      <c r="Y152"/>
    </row>
    <row r="153" spans="24:25" ht="15.75">
      <c r="X153"/>
      <c r="Y153"/>
    </row>
    <row r="154" spans="24:25" ht="15.75">
      <c r="X154"/>
      <c r="Y154"/>
    </row>
    <row r="155" spans="24:25" ht="15.75">
      <c r="X155"/>
      <c r="Y155"/>
    </row>
    <row r="156" spans="24:25" ht="15.75">
      <c r="X156"/>
      <c r="Y156"/>
    </row>
    <row r="157" spans="24:25" ht="15.75">
      <c r="X157"/>
      <c r="Y157"/>
    </row>
    <row r="158" spans="24:25" ht="15.75">
      <c r="X158"/>
      <c r="Y158"/>
    </row>
    <row r="159" spans="24:25" ht="15.75">
      <c r="X159"/>
      <c r="Y159"/>
    </row>
    <row r="160" spans="24:25" ht="15.75">
      <c r="X160"/>
      <c r="Y160"/>
    </row>
    <row r="161" spans="24:25" ht="15.75">
      <c r="X161"/>
      <c r="Y161"/>
    </row>
    <row r="162" spans="24:25" ht="15.75">
      <c r="X162"/>
      <c r="Y162"/>
    </row>
    <row r="163" spans="24:25" ht="15.75">
      <c r="X163"/>
      <c r="Y163"/>
    </row>
    <row r="164" spans="24:25" ht="15.75">
      <c r="X164"/>
      <c r="Y164"/>
    </row>
    <row r="165" spans="24:25" ht="15.75">
      <c r="X165"/>
      <c r="Y165"/>
    </row>
    <row r="166" spans="24:25" ht="15.75">
      <c r="X166"/>
      <c r="Y166"/>
    </row>
    <row r="167" spans="24:25" ht="15.75">
      <c r="X167"/>
      <c r="Y167"/>
    </row>
    <row r="168" spans="24:25" ht="15.75">
      <c r="X168"/>
      <c r="Y168"/>
    </row>
    <row r="169" spans="24:25" ht="15.75">
      <c r="X169"/>
      <c r="Y169"/>
    </row>
  </sheetData>
  <mergeCells count="1">
    <mergeCell ref="B1:S1"/>
  </mergeCells>
  <printOptions horizontalCentered="1" verticalCentered="1"/>
  <pageMargins left="0.25" right="0.25" top="0.25" bottom="0.25" header="0.3" footer="0.3"/>
  <pageSetup paperSize="9" scale="45"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1938"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E49:G61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166"/>
  <sheetViews>
    <sheetView showGridLines="0" view="pageBreakPreview" zoomScale="90" zoomScaleNormal="87" zoomScaleSheetLayoutView="90" workbookViewId="0">
      <selection activeCell="W19" sqref="W19"/>
    </sheetView>
  </sheetViews>
  <sheetFormatPr defaultColWidth="9" defaultRowHeight="12.75"/>
  <cols>
    <col min="1" max="1" width="1.125" style="17" customWidth="1"/>
    <col min="2" max="2" width="17" style="17" customWidth="1"/>
    <col min="3" max="3" width="26" style="17" customWidth="1"/>
    <col min="4" max="4" width="12.5" style="17" customWidth="1"/>
    <col min="5" max="5" width="11.5" style="17" customWidth="1"/>
    <col min="6" max="6" width="12.375" style="17" customWidth="1"/>
    <col min="7" max="7" width="11" style="17" customWidth="1"/>
    <col min="8" max="8" width="2" style="17" customWidth="1"/>
    <col min="9" max="10" width="9" style="17"/>
    <col min="11" max="11" width="10.75" style="17" customWidth="1"/>
    <col min="12" max="12" width="11.875" style="17" customWidth="1"/>
    <col min="13" max="13" width="10.25" style="17" customWidth="1"/>
    <col min="14" max="14" width="25.375" style="17" customWidth="1"/>
    <col min="15" max="15" width="13" style="17" customWidth="1"/>
    <col min="16" max="16" width="10.375" style="17" customWidth="1"/>
    <col min="17" max="17" width="9.5" style="17" customWidth="1"/>
    <col min="18" max="18" width="8.125" style="17" customWidth="1"/>
    <col min="19" max="19" width="6.875" style="17" customWidth="1"/>
    <col min="20" max="22" width="8.125" style="17" customWidth="1"/>
    <col min="23" max="23" width="16.125" style="17" customWidth="1"/>
    <col min="24" max="24" width="9" style="17"/>
    <col min="25" max="25" width="21.75" style="17" customWidth="1"/>
    <col min="26" max="26" width="17.5" style="17" customWidth="1"/>
    <col min="27" max="27" width="9.625" style="17" customWidth="1"/>
    <col min="28" max="28" width="1.75" style="17" customWidth="1"/>
    <col min="29" max="16384" width="9" style="17"/>
  </cols>
  <sheetData>
    <row r="1" spans="2:31" ht="35.25" customHeight="1">
      <c r="B1" s="998" t="s">
        <v>3335</v>
      </c>
      <c r="C1" s="998"/>
      <c r="D1" s="998"/>
      <c r="E1" s="998"/>
      <c r="F1" s="998"/>
      <c r="G1" s="998"/>
      <c r="H1" s="998"/>
      <c r="I1" s="998"/>
      <c r="J1" s="998"/>
      <c r="K1" s="998"/>
      <c r="L1" s="998"/>
      <c r="M1" s="998"/>
      <c r="N1" s="998"/>
      <c r="O1" s="998"/>
      <c r="P1" s="998"/>
      <c r="Q1" s="998"/>
      <c r="R1" s="998"/>
      <c r="S1" s="230"/>
      <c r="T1" s="230"/>
      <c r="U1" s="230"/>
      <c r="V1" s="230"/>
      <c r="W1" s="230"/>
      <c r="X1" s="230"/>
      <c r="Y1" s="230"/>
      <c r="Z1" s="230"/>
      <c r="AA1" s="230"/>
      <c r="AB1" s="230"/>
      <c r="AC1" s="230"/>
      <c r="AD1" s="230"/>
      <c r="AE1" s="230"/>
    </row>
    <row r="9" spans="2:31" ht="18" customHeight="1"/>
    <row r="10" spans="2:31" ht="20.25" customHeight="1"/>
    <row r="27" ht="18" customHeight="1"/>
    <row r="28" ht="21.75" customHeight="1"/>
    <row r="29" ht="33" customHeight="1"/>
    <row r="30" ht="18" customHeight="1"/>
    <row r="31" ht="40.5" customHeight="1"/>
    <row r="32" ht="18.75" customHeight="1"/>
    <row r="33" spans="1:24" ht="18.75" customHeight="1">
      <c r="A33" s="114"/>
      <c r="D33" s="115"/>
    </row>
    <row r="34" spans="1:24" ht="18.75" customHeight="1">
      <c r="A34" s="114"/>
      <c r="D34" s="115"/>
    </row>
    <row r="35" spans="1:24" ht="18.75" customHeight="1">
      <c r="A35" s="114"/>
      <c r="D35" s="115"/>
    </row>
    <row r="36" spans="1:24" ht="36" customHeight="1">
      <c r="A36" s="114"/>
    </row>
    <row r="37" spans="1:24" ht="38.25" customHeight="1">
      <c r="A37" s="114"/>
      <c r="L37" s="114"/>
    </row>
    <row r="38" spans="1:24" ht="26.25" customHeight="1"/>
    <row r="39" spans="1:24" ht="26.25" customHeight="1"/>
    <row r="40" spans="1:24" ht="20.25" customHeight="1"/>
    <row r="41" spans="1:24" ht="15" customHeight="1"/>
    <row r="44" spans="1:24" ht="13.5" customHeight="1"/>
    <row r="45" spans="1:24" ht="31.5" customHeight="1"/>
    <row r="46" spans="1:24" ht="13.5" customHeight="1"/>
    <row r="47" spans="1:24" ht="36.75" customHeight="1">
      <c r="B47" s="246" t="s">
        <v>1960</v>
      </c>
      <c r="C47" s="247" t="s">
        <v>1961</v>
      </c>
      <c r="D47" s="246" t="s">
        <v>1937</v>
      </c>
      <c r="E47" s="246" t="s">
        <v>1962</v>
      </c>
      <c r="F47" s="246" t="s">
        <v>1963</v>
      </c>
      <c r="G47" s="246" t="s">
        <v>1964</v>
      </c>
      <c r="T47" s="248"/>
      <c r="U47"/>
      <c r="V47"/>
      <c r="W47"/>
      <c r="X47"/>
    </row>
    <row r="48" spans="1:24" ht="21.75" customHeight="1">
      <c r="B48" s="256" t="s">
        <v>735</v>
      </c>
      <c r="C48" s="236" t="s">
        <v>1957</v>
      </c>
      <c r="D48" s="237">
        <v>365</v>
      </c>
      <c r="E48" s="235">
        <v>0</v>
      </c>
      <c r="F48" s="235">
        <v>6.02739726027397E-2</v>
      </c>
      <c r="G48" s="249">
        <v>0</v>
      </c>
      <c r="T48" s="741"/>
      <c r="U48" s="741"/>
      <c r="V48" s="741"/>
      <c r="W48"/>
      <c r="X48"/>
    </row>
    <row r="49" spans="2:24" ht="13.5" customHeight="1">
      <c r="B49" s="256" t="s">
        <v>720</v>
      </c>
      <c r="C49" s="236" t="s">
        <v>1957</v>
      </c>
      <c r="D49" s="237">
        <v>5647</v>
      </c>
      <c r="E49" s="235">
        <v>0.1496369753851603</v>
      </c>
      <c r="F49" s="235">
        <v>0.23605454223481492</v>
      </c>
      <c r="G49" s="249">
        <v>5.5073490348857779E-2</v>
      </c>
      <c r="T49" s="741"/>
      <c r="U49" s="741"/>
      <c r="V49" s="741"/>
      <c r="W49"/>
      <c r="X49"/>
    </row>
    <row r="50" spans="2:24" ht="15.75">
      <c r="B50" s="256" t="s">
        <v>723</v>
      </c>
      <c r="C50" s="236" t="s">
        <v>1233</v>
      </c>
      <c r="D50" s="237">
        <v>370</v>
      </c>
      <c r="E50" s="235">
        <v>0</v>
      </c>
      <c r="F50" s="235">
        <v>0.20270270270270274</v>
      </c>
      <c r="G50" s="249">
        <v>0</v>
      </c>
      <c r="T50" s="741"/>
      <c r="U50" s="741"/>
      <c r="V50" s="741"/>
      <c r="W50"/>
      <c r="X50"/>
    </row>
    <row r="51" spans="2:24" ht="15.75">
      <c r="B51" s="256" t="s">
        <v>726</v>
      </c>
      <c r="C51" s="236" t="s">
        <v>1957</v>
      </c>
      <c r="D51" s="237">
        <v>1332</v>
      </c>
      <c r="E51" s="235">
        <v>0.58483483483483489</v>
      </c>
      <c r="F51" s="235">
        <v>0</v>
      </c>
      <c r="G51" s="249">
        <v>0.58483483483483489</v>
      </c>
      <c r="T51" s="741"/>
      <c r="U51" s="741"/>
      <c r="V51" s="741"/>
      <c r="W51"/>
      <c r="X51"/>
    </row>
    <row r="52" spans="2:24" ht="15.75">
      <c r="B52" s="896" t="s">
        <v>717</v>
      </c>
      <c r="C52" s="897" t="s">
        <v>3343</v>
      </c>
      <c r="D52" s="898">
        <v>1972</v>
      </c>
      <c r="E52" s="899">
        <v>0.25422582826233941</v>
      </c>
      <c r="F52" s="899">
        <v>0.45638945233265715</v>
      </c>
      <c r="G52" s="900">
        <v>1.2677484787018245E-2</v>
      </c>
      <c r="T52" s="741"/>
      <c r="U52" s="741"/>
      <c r="V52" s="741"/>
      <c r="W52" s="741"/>
      <c r="X52" s="741"/>
    </row>
    <row r="53" spans="2:24" ht="15.75">
      <c r="B53" s="896" t="s">
        <v>737</v>
      </c>
      <c r="C53" s="897" t="s">
        <v>200</v>
      </c>
      <c r="D53" s="898">
        <v>738</v>
      </c>
      <c r="E53" s="899">
        <v>0.22222222222222221</v>
      </c>
      <c r="F53" s="899">
        <v>0.27777777777777779</v>
      </c>
      <c r="G53" s="900">
        <v>0</v>
      </c>
      <c r="T53" s="741"/>
      <c r="U53" s="741"/>
      <c r="V53" s="741"/>
      <c r="W53" s="741"/>
      <c r="X53" s="741"/>
    </row>
    <row r="54" spans="2:24" ht="15.75">
      <c r="B54" s="896" t="s">
        <v>1272</v>
      </c>
      <c r="C54" s="897" t="s">
        <v>200</v>
      </c>
      <c r="D54" s="898">
        <v>95</v>
      </c>
      <c r="E54" s="899">
        <v>1</v>
      </c>
      <c r="F54" s="899">
        <v>0</v>
      </c>
      <c r="G54" s="900">
        <v>0</v>
      </c>
      <c r="T54" s="741"/>
      <c r="U54" s="741"/>
      <c r="V54" s="741"/>
      <c r="W54" s="741"/>
      <c r="X54" s="741"/>
    </row>
    <row r="55" spans="2:24" ht="15.75">
      <c r="B55" s="256" t="s">
        <v>757</v>
      </c>
      <c r="C55" s="236" t="s">
        <v>305</v>
      </c>
      <c r="D55" s="237">
        <v>1927</v>
      </c>
      <c r="E55" s="235">
        <v>1</v>
      </c>
      <c r="F55" s="235">
        <v>0.48105864037363777</v>
      </c>
      <c r="G55" s="249">
        <v>1</v>
      </c>
      <c r="T55" s="741"/>
      <c r="U55" s="741"/>
      <c r="V55" s="741"/>
      <c r="W55"/>
      <c r="X55"/>
    </row>
    <row r="56" spans="2:24" ht="24.75" customHeight="1" thickBot="1">
      <c r="B56" s="256" t="s">
        <v>1290</v>
      </c>
      <c r="C56" s="236" t="s">
        <v>200</v>
      </c>
      <c r="D56" s="237">
        <v>53</v>
      </c>
      <c r="E56" s="235">
        <v>1</v>
      </c>
      <c r="F56" s="235">
        <v>1</v>
      </c>
      <c r="G56" s="249">
        <v>0</v>
      </c>
      <c r="T56" s="741"/>
      <c r="U56" s="741"/>
      <c r="V56" s="741"/>
      <c r="W56"/>
      <c r="X56"/>
    </row>
    <row r="57" spans="2:24" ht="29.25" customHeight="1" thickTop="1">
      <c r="B57" s="251" t="s">
        <v>1938</v>
      </c>
      <c r="C57" s="250" t="s">
        <v>1970</v>
      </c>
      <c r="D57" s="254">
        <v>12499</v>
      </c>
      <c r="E57" s="252">
        <v>0.34917460063471739</v>
      </c>
      <c r="F57" s="252">
        <v>0.281222497799824</v>
      </c>
      <c r="G57" s="253">
        <v>0.24337947035762864</v>
      </c>
      <c r="T57" s="741"/>
      <c r="U57" s="741"/>
      <c r="V57" s="741"/>
    </row>
    <row r="58" spans="2:24" ht="15.75">
      <c r="T58" s="741"/>
      <c r="U58" s="741"/>
      <c r="V58" s="741"/>
    </row>
    <row r="59" spans="2:24" ht="26.25" thickBot="1">
      <c r="B59" s="672" t="s">
        <v>3344</v>
      </c>
      <c r="C59" s="673" t="s">
        <v>1961</v>
      </c>
      <c r="D59" s="674" t="s">
        <v>1937</v>
      </c>
      <c r="E59" s="674" t="s">
        <v>1962</v>
      </c>
      <c r="F59" s="674" t="s">
        <v>1963</v>
      </c>
      <c r="G59" s="675" t="s">
        <v>1964</v>
      </c>
    </row>
    <row r="60" spans="2:24" ht="30.75" thickBot="1">
      <c r="B60" s="901" t="s">
        <v>1274</v>
      </c>
      <c r="C60" s="676" t="s">
        <v>3278</v>
      </c>
      <c r="D60" s="677">
        <v>4171</v>
      </c>
      <c r="E60" s="678">
        <v>0.77007911771757376</v>
      </c>
      <c r="F60" s="678">
        <v>0.1946775353632223</v>
      </c>
      <c r="G60" s="679">
        <v>0</v>
      </c>
      <c r="U60"/>
      <c r="V60"/>
    </row>
    <row r="61" spans="2:24" ht="16.5" thickTop="1">
      <c r="B61" s="680" t="s">
        <v>1938</v>
      </c>
      <c r="C61" s="681" t="s">
        <v>1970</v>
      </c>
      <c r="D61" s="682">
        <v>4171</v>
      </c>
      <c r="E61" s="683">
        <v>0.77007911771757376</v>
      </c>
      <c r="F61" s="684">
        <v>0.1946775353632223</v>
      </c>
      <c r="G61" s="685">
        <v>0</v>
      </c>
      <c r="U61"/>
      <c r="V61"/>
      <c r="W61"/>
    </row>
    <row r="62" spans="2:24" ht="15.75">
      <c r="U62"/>
      <c r="V62"/>
      <c r="W62"/>
    </row>
    <row r="63" spans="2:24" ht="15.75">
      <c r="U63"/>
      <c r="V63"/>
      <c r="W63"/>
    </row>
    <row r="64" spans="2:24" ht="15.75">
      <c r="U64"/>
      <c r="V64"/>
      <c r="W64"/>
    </row>
    <row r="65" spans="21:23" ht="15.75">
      <c r="U65"/>
      <c r="V65"/>
      <c r="W65"/>
    </row>
    <row r="66" spans="21:23" ht="15.75">
      <c r="U66"/>
      <c r="V66"/>
      <c r="W66"/>
    </row>
    <row r="67" spans="21:23" ht="15.75">
      <c r="U67"/>
      <c r="V67"/>
      <c r="W67"/>
    </row>
    <row r="68" spans="21:23" ht="15.75">
      <c r="U68"/>
      <c r="V68"/>
      <c r="W68"/>
    </row>
    <row r="69" spans="21:23" ht="15.75">
      <c r="U69"/>
      <c r="V69"/>
      <c r="W69"/>
    </row>
    <row r="70" spans="21:23" ht="15.75">
      <c r="U70"/>
      <c r="V70"/>
      <c r="W70"/>
    </row>
    <row r="71" spans="21:23" ht="15.75">
      <c r="U71"/>
      <c r="V71"/>
      <c r="W71"/>
    </row>
    <row r="72" spans="21:23" ht="15.75">
      <c r="U72"/>
      <c r="V72"/>
      <c r="W72"/>
    </row>
    <row r="73" spans="21:23" ht="15.75">
      <c r="U73"/>
      <c r="V73"/>
      <c r="W73"/>
    </row>
    <row r="74" spans="21:23" ht="15.75">
      <c r="U74"/>
      <c r="V74"/>
      <c r="W74"/>
    </row>
    <row r="75" spans="21:23" ht="15.75">
      <c r="U75"/>
      <c r="V75"/>
      <c r="W75"/>
    </row>
    <row r="76" spans="21:23" ht="15.75">
      <c r="U76"/>
      <c r="V76"/>
      <c r="W76"/>
    </row>
    <row r="77" spans="21:23" ht="15.75">
      <c r="U77"/>
      <c r="V77"/>
      <c r="W77"/>
    </row>
    <row r="78" spans="21:23" ht="15.75">
      <c r="U78"/>
      <c r="V78"/>
      <c r="W78"/>
    </row>
    <row r="79" spans="21:23" ht="15.75">
      <c r="U79"/>
      <c r="V79"/>
      <c r="W79"/>
    </row>
    <row r="80" spans="21:23" ht="15.75">
      <c r="U80"/>
      <c r="V80"/>
      <c r="W80"/>
    </row>
    <row r="81" spans="21:23" ht="15.75">
      <c r="U81"/>
      <c r="V81"/>
      <c r="W81"/>
    </row>
    <row r="82" spans="21:23" ht="15.75">
      <c r="U82"/>
      <c r="V82"/>
      <c r="W82"/>
    </row>
    <row r="83" spans="21:23" ht="15.75">
      <c r="U83"/>
      <c r="V83"/>
      <c r="W83"/>
    </row>
    <row r="84" spans="21:23" ht="15.75">
      <c r="U84"/>
      <c r="V84"/>
      <c r="W84"/>
    </row>
    <row r="85" spans="21:23" ht="15.75">
      <c r="U85"/>
      <c r="V85"/>
      <c r="W85"/>
    </row>
    <row r="86" spans="21:23" ht="15.75">
      <c r="U86"/>
      <c r="V86"/>
      <c r="W86"/>
    </row>
    <row r="87" spans="21:23" ht="15.75">
      <c r="U87"/>
      <c r="V87"/>
      <c r="W87"/>
    </row>
    <row r="88" spans="21:23" ht="15.75">
      <c r="U88"/>
      <c r="V88"/>
      <c r="W88"/>
    </row>
    <row r="89" spans="21:23" ht="15.75">
      <c r="U89"/>
      <c r="V89"/>
      <c r="W89"/>
    </row>
    <row r="90" spans="21:23" ht="15.75">
      <c r="U90"/>
      <c r="V90"/>
      <c r="W90"/>
    </row>
    <row r="91" spans="21:23" ht="15.75">
      <c r="U91"/>
      <c r="V91"/>
      <c r="W91"/>
    </row>
    <row r="92" spans="21:23" ht="15.75">
      <c r="U92"/>
      <c r="V92"/>
      <c r="W92"/>
    </row>
    <row r="93" spans="21:23" ht="15.75">
      <c r="U93"/>
      <c r="V93"/>
      <c r="W93"/>
    </row>
    <row r="94" spans="21:23" ht="15.75">
      <c r="U94"/>
      <c r="V94"/>
      <c r="W94"/>
    </row>
    <row r="95" spans="21:23" ht="15.75">
      <c r="U95"/>
      <c r="V95"/>
      <c r="W95"/>
    </row>
    <row r="96" spans="21:23" ht="15.75">
      <c r="U96"/>
      <c r="V96"/>
      <c r="W96"/>
    </row>
    <row r="97" spans="21:23" ht="15.75">
      <c r="U97"/>
      <c r="V97"/>
      <c r="W97"/>
    </row>
    <row r="98" spans="21:23" ht="15.75">
      <c r="U98"/>
      <c r="V98"/>
      <c r="W98"/>
    </row>
    <row r="99" spans="21:23" ht="15.75">
      <c r="U99"/>
      <c r="V99"/>
      <c r="W99"/>
    </row>
    <row r="100" spans="21:23" ht="15.75">
      <c r="U100"/>
      <c r="V100"/>
      <c r="W100"/>
    </row>
    <row r="101" spans="21:23" ht="15.75">
      <c r="U101"/>
      <c r="V101"/>
      <c r="W101"/>
    </row>
    <row r="102" spans="21:23" ht="15.75">
      <c r="U102"/>
      <c r="V102"/>
      <c r="W102"/>
    </row>
    <row r="103" spans="21:23" ht="15.75">
      <c r="U103"/>
      <c r="V103"/>
      <c r="W103"/>
    </row>
    <row r="104" spans="21:23" ht="15.75">
      <c r="U104"/>
      <c r="V104"/>
      <c r="W104"/>
    </row>
    <row r="105" spans="21:23" ht="15.75">
      <c r="U105"/>
      <c r="V105"/>
      <c r="W105"/>
    </row>
    <row r="106" spans="21:23" ht="15.75">
      <c r="U106"/>
      <c r="V106"/>
      <c r="W106"/>
    </row>
    <row r="107" spans="21:23" ht="15.75">
      <c r="U107"/>
      <c r="V107"/>
      <c r="W107"/>
    </row>
    <row r="108" spans="21:23" ht="15.75">
      <c r="U108"/>
      <c r="V108"/>
      <c r="W108"/>
    </row>
    <row r="109" spans="21:23" ht="15.75">
      <c r="U109"/>
      <c r="V109"/>
      <c r="W109"/>
    </row>
    <row r="110" spans="21:23" ht="15.75">
      <c r="U110"/>
      <c r="V110"/>
      <c r="W110"/>
    </row>
    <row r="111" spans="21:23" ht="15.75">
      <c r="U111"/>
      <c r="V111"/>
      <c r="W111"/>
    </row>
    <row r="112" spans="21:23" ht="15.75">
      <c r="U112"/>
      <c r="V112"/>
      <c r="W112"/>
    </row>
    <row r="113" spans="21:23" ht="15.75">
      <c r="U113"/>
      <c r="V113"/>
      <c r="W113"/>
    </row>
    <row r="114" spans="21:23" ht="15.75">
      <c r="U114"/>
      <c r="V114"/>
      <c r="W114"/>
    </row>
    <row r="115" spans="21:23" ht="15.75">
      <c r="U115"/>
      <c r="V115"/>
      <c r="W115"/>
    </row>
    <row r="116" spans="21:23" ht="15.75">
      <c r="U116"/>
      <c r="V116"/>
      <c r="W116"/>
    </row>
    <row r="117" spans="21:23" ht="15.75">
      <c r="U117"/>
      <c r="V117"/>
      <c r="W117"/>
    </row>
    <row r="118" spans="21:23" ht="15.75">
      <c r="U118"/>
      <c r="V118"/>
      <c r="W118"/>
    </row>
    <row r="119" spans="21:23" ht="15.75">
      <c r="U119"/>
      <c r="V119"/>
      <c r="W119"/>
    </row>
    <row r="120" spans="21:23" ht="15.75">
      <c r="U120"/>
      <c r="V120"/>
      <c r="W120"/>
    </row>
    <row r="121" spans="21:23" ht="15.75">
      <c r="U121"/>
      <c r="V121"/>
      <c r="W121"/>
    </row>
    <row r="122" spans="21:23" ht="15.75">
      <c r="U122"/>
      <c r="V122"/>
      <c r="W122"/>
    </row>
    <row r="123" spans="21:23" ht="15.75">
      <c r="U123"/>
      <c r="V123"/>
      <c r="W123"/>
    </row>
    <row r="124" spans="21:23" ht="15.75">
      <c r="U124"/>
      <c r="V124"/>
      <c r="W124"/>
    </row>
    <row r="125" spans="21:23" ht="15.75">
      <c r="U125"/>
      <c r="V125"/>
      <c r="W125"/>
    </row>
    <row r="126" spans="21:23" ht="15.75">
      <c r="U126"/>
      <c r="V126"/>
      <c r="W126"/>
    </row>
    <row r="127" spans="21:23" ht="15.75">
      <c r="U127"/>
      <c r="V127"/>
      <c r="W127"/>
    </row>
    <row r="128" spans="21:23" ht="15.75">
      <c r="U128"/>
      <c r="V128"/>
      <c r="W128"/>
    </row>
    <row r="129" spans="21:23" ht="15.75">
      <c r="U129"/>
      <c r="V129"/>
      <c r="W129"/>
    </row>
    <row r="130" spans="21:23" ht="15.75">
      <c r="U130"/>
      <c r="V130"/>
      <c r="W130"/>
    </row>
    <row r="131" spans="21:23" ht="15.75">
      <c r="U131"/>
      <c r="V131"/>
      <c r="W131"/>
    </row>
    <row r="132" spans="21:23" ht="15.75">
      <c r="U132"/>
      <c r="V132"/>
    </row>
    <row r="133" spans="21:23" ht="15.75">
      <c r="U133"/>
      <c r="V133"/>
    </row>
    <row r="134" spans="21:23" ht="15.75">
      <c r="U134"/>
      <c r="V134"/>
    </row>
    <row r="135" spans="21:23" ht="15.75">
      <c r="U135"/>
      <c r="V135"/>
    </row>
    <row r="136" spans="21:23" ht="15.75">
      <c r="U136"/>
      <c r="V136"/>
    </row>
    <row r="137" spans="21:23" ht="15.75">
      <c r="U137"/>
      <c r="V137"/>
    </row>
    <row r="138" spans="21:23" ht="15.75">
      <c r="U138"/>
      <c r="V138"/>
    </row>
    <row r="139" spans="21:23" ht="15.75">
      <c r="U139"/>
      <c r="V139"/>
    </row>
    <row r="140" spans="21:23" ht="15.75">
      <c r="U140"/>
      <c r="V140"/>
    </row>
    <row r="141" spans="21:23" ht="15.75">
      <c r="U141"/>
      <c r="V141"/>
    </row>
    <row r="142" spans="21:23" ht="15.75">
      <c r="U142"/>
      <c r="V142"/>
    </row>
    <row r="143" spans="21:23" ht="15.75">
      <c r="U143"/>
      <c r="V143"/>
    </row>
    <row r="144" spans="21:23" ht="15.75">
      <c r="U144"/>
      <c r="V144"/>
    </row>
    <row r="145" spans="21:22" ht="15.75">
      <c r="U145"/>
      <c r="V145"/>
    </row>
    <row r="146" spans="21:22" ht="15.75">
      <c r="U146"/>
      <c r="V146"/>
    </row>
    <row r="147" spans="21:22" ht="15.75">
      <c r="U147"/>
      <c r="V147"/>
    </row>
    <row r="148" spans="21:22" ht="15.75">
      <c r="U148"/>
      <c r="V148"/>
    </row>
    <row r="149" spans="21:22" ht="15.75">
      <c r="U149"/>
      <c r="V149"/>
    </row>
    <row r="150" spans="21:22" ht="15.75">
      <c r="U150"/>
      <c r="V150"/>
    </row>
    <row r="151" spans="21:22" ht="15.75">
      <c r="U151"/>
      <c r="V151"/>
    </row>
    <row r="152" spans="21:22" ht="15.75">
      <c r="U152"/>
      <c r="V152"/>
    </row>
    <row r="153" spans="21:22" ht="15.75">
      <c r="U153"/>
      <c r="V153"/>
    </row>
    <row r="154" spans="21:22" ht="15.75">
      <c r="U154"/>
      <c r="V154"/>
    </row>
    <row r="155" spans="21:22" ht="15.75">
      <c r="U155"/>
      <c r="V155"/>
    </row>
    <row r="156" spans="21:22" ht="15.75">
      <c r="U156"/>
      <c r="V156"/>
    </row>
    <row r="157" spans="21:22" ht="15.75">
      <c r="U157"/>
      <c r="V157"/>
    </row>
    <row r="158" spans="21:22" ht="15.75">
      <c r="U158"/>
      <c r="V158"/>
    </row>
    <row r="159" spans="21:22" ht="15.75">
      <c r="U159"/>
      <c r="V159"/>
    </row>
    <row r="160" spans="21:22" ht="15.75">
      <c r="U160"/>
      <c r="V160"/>
    </row>
    <row r="161" spans="21:22" ht="15.75">
      <c r="U161"/>
      <c r="V161"/>
    </row>
    <row r="162" spans="21:22" ht="15.75">
      <c r="U162"/>
      <c r="V162"/>
    </row>
    <row r="163" spans="21:22" ht="15.75">
      <c r="U163"/>
      <c r="V163"/>
    </row>
    <row r="164" spans="21:22" ht="15.75">
      <c r="U164"/>
      <c r="V164"/>
    </row>
    <row r="165" spans="21:22" ht="15.75">
      <c r="U165"/>
      <c r="V165"/>
    </row>
    <row r="166" spans="21:22" ht="15.75">
      <c r="U166"/>
      <c r="V166"/>
    </row>
  </sheetData>
  <mergeCells count="1">
    <mergeCell ref="B1:R1"/>
  </mergeCells>
  <conditionalFormatting sqref="E60:G60">
    <cfRule type="iconSet" priority="12">
      <iconSet reverse="1">
        <cfvo type="percent" val="0"/>
        <cfvo type="percent" val="0" gte="0"/>
        <cfvo type="percent" val="30"/>
      </iconSet>
    </cfRule>
  </conditionalFormatting>
  <conditionalFormatting sqref="G60">
    <cfRule type="iconSet" priority="11">
      <iconSet reverse="1">
        <cfvo type="percent" val="0"/>
        <cfvo type="percent" val="0" gte="0"/>
        <cfvo type="percent" val="30"/>
      </iconSet>
    </cfRule>
  </conditionalFormatting>
  <conditionalFormatting sqref="G61">
    <cfRule type="iconSet" priority="5">
      <iconSet reverse="1">
        <cfvo type="percent" val="0"/>
        <cfvo type="percent" val="0" gte="0"/>
        <cfvo type="percent" val="30"/>
      </iconSet>
    </cfRule>
  </conditionalFormatting>
  <conditionalFormatting sqref="G61">
    <cfRule type="iconSet" priority="4">
      <iconSet reverse="1">
        <cfvo type="percent" val="0"/>
        <cfvo type="percent" val="0" gte="0"/>
        <cfvo type="percent" val="30"/>
      </iconSet>
    </cfRule>
  </conditionalFormatting>
  <conditionalFormatting sqref="F61">
    <cfRule type="iconSet" priority="3">
      <iconSet reverse="1">
        <cfvo type="percent" val="0"/>
        <cfvo type="percent" val="0" gte="0"/>
        <cfvo type="percent" val="30"/>
      </iconSet>
    </cfRule>
  </conditionalFormatting>
  <conditionalFormatting sqref="G60:G61">
    <cfRule type="iconSet" priority="2">
      <iconSet reverse="1">
        <cfvo type="percent" val="0"/>
        <cfvo type="percent" val="0" gte="0"/>
        <cfvo type="percent" val="30"/>
      </iconSet>
    </cfRule>
  </conditionalFormatting>
  <conditionalFormatting sqref="E60:G61">
    <cfRule type="iconSet" priority="1">
      <iconSet reverse="1">
        <cfvo type="percent" val="0"/>
        <cfvo type="percent" val="0" gte="0"/>
        <cfvo type="percent" val="30"/>
      </iconSet>
    </cfRule>
  </conditionalFormatting>
  <printOptions horizontalCentered="1" verticalCentered="1"/>
  <pageMargins left="0" right="0" top="0" bottom="0" header="0.3" footer="0.3"/>
  <pageSetup paperSize="9" scale="43"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20" id="{4EBEA425-AF8F-4445-BF55-D2955C458199}">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D33:D35</xm:sqref>
        </x14:conditionalFormatting>
        <x14:conditionalFormatting xmlns:xm="http://schemas.microsoft.com/office/excel/2006/main">
          <x14:cfRule type="iconSet" priority="11592"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E48:G57</xm:sqref>
        </x14:conditionalFormatting>
        <x14:conditionalFormatting xmlns:xm="http://schemas.microsoft.com/office/excel/2006/main">
          <x14:cfRule type="iconSet" priority="6" id="{2ACC4F04-5BB8-4C9F-B7B3-D5EB2B5E4005}">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E61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31"/>
  <sheetViews>
    <sheetView showGridLines="0" workbookViewId="0">
      <selection activeCell="A2" sqref="A2:B2"/>
    </sheetView>
  </sheetViews>
  <sheetFormatPr defaultColWidth="9" defaultRowHeight="15.75"/>
  <cols>
    <col min="1" max="1" width="17.25" style="852" customWidth="1"/>
    <col min="2" max="2" width="68.75" style="852" customWidth="1"/>
    <col min="3" max="16384" width="9" style="852"/>
  </cols>
  <sheetData>
    <row r="2" spans="1:2" ht="18.75">
      <c r="A2" s="999" t="s">
        <v>3345</v>
      </c>
      <c r="B2" s="999"/>
    </row>
    <row r="3" spans="1:2">
      <c r="A3" s="905" t="s">
        <v>22</v>
      </c>
      <c r="B3" s="906" t="s">
        <v>3346</v>
      </c>
    </row>
    <row r="4" spans="1:2">
      <c r="A4" s="907" t="s">
        <v>39</v>
      </c>
      <c r="B4" s="908" t="s">
        <v>3347</v>
      </c>
    </row>
    <row r="5" spans="1:2">
      <c r="A5" s="909"/>
      <c r="B5" s="908" t="s">
        <v>3348</v>
      </c>
    </row>
    <row r="6" spans="1:2">
      <c r="A6" s="909"/>
      <c r="B6" s="908" t="s">
        <v>3349</v>
      </c>
    </row>
    <row r="7" spans="1:2" ht="31.5">
      <c r="A7" s="909"/>
      <c r="B7" s="908" t="s">
        <v>3350</v>
      </c>
    </row>
    <row r="8" spans="1:2">
      <c r="A8" s="910"/>
      <c r="B8" s="908" t="s">
        <v>3351</v>
      </c>
    </row>
    <row r="9" spans="1:2">
      <c r="A9" s="911" t="s">
        <v>1928</v>
      </c>
      <c r="B9" s="908" t="s">
        <v>3352</v>
      </c>
    </row>
    <row r="10" spans="1:2">
      <c r="A10" s="911"/>
      <c r="B10" s="908" t="s">
        <v>3353</v>
      </c>
    </row>
    <row r="11" spans="1:2">
      <c r="A11" s="912"/>
      <c r="B11" s="913" t="s">
        <v>3354</v>
      </c>
    </row>
    <row r="12" spans="1:2">
      <c r="A12" s="914" t="s">
        <v>3355</v>
      </c>
      <c r="B12" s="914" t="s">
        <v>3356</v>
      </c>
    </row>
    <row r="13" spans="1:2">
      <c r="A13" s="915" t="s">
        <v>39</v>
      </c>
      <c r="B13" s="916" t="s">
        <v>3357</v>
      </c>
    </row>
    <row r="14" spans="1:2">
      <c r="A14" s="917"/>
      <c r="B14" s="916" t="s">
        <v>3358</v>
      </c>
    </row>
    <row r="15" spans="1:2">
      <c r="A15" s="917"/>
      <c r="B15" s="916" t="s">
        <v>3359</v>
      </c>
    </row>
    <row r="16" spans="1:2" ht="31.5">
      <c r="A16" s="917"/>
      <c r="B16" s="916" t="s">
        <v>3360</v>
      </c>
    </row>
    <row r="17" spans="1:2">
      <c r="A17" s="918"/>
      <c r="B17" s="916" t="s">
        <v>3361</v>
      </c>
    </row>
    <row r="18" spans="1:2">
      <c r="A18" s="915" t="s">
        <v>1928</v>
      </c>
      <c r="B18" s="916" t="s">
        <v>3362</v>
      </c>
    </row>
    <row r="19" spans="1:2">
      <c r="A19" s="917"/>
      <c r="B19" s="916" t="s">
        <v>3363</v>
      </c>
    </row>
    <row r="20" spans="1:2">
      <c r="A20" s="917"/>
      <c r="B20" s="916" t="s">
        <v>3364</v>
      </c>
    </row>
    <row r="21" spans="1:2">
      <c r="A21" s="917"/>
      <c r="B21" s="916" t="s">
        <v>3365</v>
      </c>
    </row>
    <row r="22" spans="1:2">
      <c r="A22" s="918"/>
      <c r="B22" s="916" t="s">
        <v>3366</v>
      </c>
    </row>
    <row r="23" spans="1:2">
      <c r="A23" s="919" t="s">
        <v>3355</v>
      </c>
      <c r="B23" s="919" t="s">
        <v>3367</v>
      </c>
    </row>
    <row r="24" spans="1:2">
      <c r="A24" s="920" t="s">
        <v>39</v>
      </c>
      <c r="B24" s="921" t="s">
        <v>3368</v>
      </c>
    </row>
    <row r="25" spans="1:2">
      <c r="A25" s="922"/>
      <c r="B25" s="921" t="s">
        <v>3369</v>
      </c>
    </row>
    <row r="26" spans="1:2">
      <c r="A26" s="922"/>
      <c r="B26" s="921" t="s">
        <v>3370</v>
      </c>
    </row>
    <row r="27" spans="1:2">
      <c r="A27" s="922"/>
      <c r="B27" s="921" t="s">
        <v>3371</v>
      </c>
    </row>
    <row r="28" spans="1:2">
      <c r="A28" s="923"/>
      <c r="B28" s="921" t="s">
        <v>3372</v>
      </c>
    </row>
    <row r="29" spans="1:2">
      <c r="A29" s="920" t="s">
        <v>1928</v>
      </c>
      <c r="B29" s="921" t="s">
        <v>3373</v>
      </c>
    </row>
    <row r="30" spans="1:2">
      <c r="A30" s="922"/>
      <c r="B30" s="921" t="s">
        <v>3374</v>
      </c>
    </row>
    <row r="31" spans="1:2">
      <c r="A31" s="923"/>
      <c r="B31" s="921" t="s">
        <v>3375</v>
      </c>
    </row>
  </sheetData>
  <mergeCells count="1">
    <mergeCell ref="A2: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2" zoomScale="86" zoomScaleNormal="86" workbookViewId="0">
      <selection activeCell="L31" sqref="L31"/>
    </sheetView>
  </sheetViews>
  <sheetFormatPr defaultColWidth="9" defaultRowHeight="15.75"/>
  <cols>
    <col min="1" max="1" width="20.625" style="61" hidden="1" customWidth="1"/>
    <col min="2" max="2" width="13.625" style="61" hidden="1" customWidth="1"/>
    <col min="3" max="3" width="59.625" style="61" hidden="1" customWidth="1"/>
    <col min="4" max="4" width="47.25" style="61" hidden="1" customWidth="1"/>
    <col min="5" max="5" width="75.375" style="61" hidden="1" customWidth="1"/>
    <col min="6" max="6" width="37.25" style="61" hidden="1" customWidth="1"/>
    <col min="7" max="7" width="59.375" style="61" hidden="1" customWidth="1"/>
    <col min="8" max="16384" width="9" style="61"/>
  </cols>
  <sheetData>
    <row r="1" spans="1:20" ht="26.25">
      <c r="A1" s="1000" t="s">
        <v>3298</v>
      </c>
      <c r="B1" s="1000"/>
      <c r="C1" s="1000"/>
      <c r="D1" s="1000"/>
      <c r="E1" s="1000"/>
      <c r="F1" s="1000"/>
      <c r="G1" s="1000"/>
      <c r="H1" s="1000"/>
      <c r="I1" s="1000"/>
      <c r="J1" s="1000"/>
      <c r="K1" s="1000"/>
      <c r="L1" s="1000"/>
      <c r="M1" s="1000"/>
      <c r="N1" s="1000"/>
      <c r="O1" s="1000"/>
      <c r="P1" s="1000"/>
      <c r="Q1" s="1000"/>
      <c r="R1" s="1000"/>
      <c r="S1" s="1000"/>
      <c r="T1" s="1000"/>
    </row>
    <row r="33" spans="1:7">
      <c r="A33"/>
      <c r="B33"/>
    </row>
    <row r="34" spans="1:7" hidden="1">
      <c r="A34" s="600" t="s">
        <v>20</v>
      </c>
      <c r="B34" s="61" t="s">
        <v>2519</v>
      </c>
    </row>
    <row r="35" spans="1:7" hidden="1">
      <c r="A35" s="895" t="s">
        <v>23</v>
      </c>
      <c r="B35" s="61" t="s">
        <v>1924</v>
      </c>
    </row>
    <row r="36" spans="1:7" hidden="1">
      <c r="A36" s="895" t="s">
        <v>22</v>
      </c>
      <c r="B36" s="61" t="s">
        <v>1924</v>
      </c>
    </row>
    <row r="37" spans="1:7">
      <c r="C37" s="245"/>
      <c r="D37" s="245"/>
      <c r="E37" s="245"/>
    </row>
    <row r="38" spans="1:7" s="128" customFormat="1" ht="31.5" hidden="1">
      <c r="A38" s="600" t="s">
        <v>24</v>
      </c>
      <c r="B38" s="877" t="s">
        <v>1996</v>
      </c>
      <c r="C38" s="61" t="s">
        <v>3102</v>
      </c>
      <c r="D38" s="61" t="s">
        <v>3103</v>
      </c>
      <c r="E38" s="61" t="s">
        <v>3104</v>
      </c>
      <c r="F38"/>
      <c r="G38"/>
    </row>
    <row r="39" spans="1:7" hidden="1">
      <c r="A39" s="61" t="s">
        <v>238</v>
      </c>
      <c r="B39" s="845">
        <v>350</v>
      </c>
      <c r="C39" s="845">
        <v>0</v>
      </c>
      <c r="D39" s="845">
        <v>0</v>
      </c>
      <c r="E39" s="845">
        <v>0</v>
      </c>
      <c r="F39"/>
      <c r="G39"/>
    </row>
    <row r="40" spans="1:7" hidden="1">
      <c r="A40" s="61" t="s">
        <v>1100</v>
      </c>
      <c r="B40" s="845">
        <v>356</v>
      </c>
      <c r="C40" s="845">
        <v>356</v>
      </c>
      <c r="D40" s="845">
        <v>260</v>
      </c>
      <c r="E40" s="845">
        <v>356</v>
      </c>
      <c r="F40"/>
      <c r="G40"/>
    </row>
    <row r="41" spans="1:7" hidden="1">
      <c r="A41" s="61" t="s">
        <v>285</v>
      </c>
      <c r="B41" s="845">
        <v>815</v>
      </c>
      <c r="C41" s="845">
        <v>815</v>
      </c>
      <c r="D41" s="845">
        <v>760</v>
      </c>
      <c r="E41" s="845">
        <v>815</v>
      </c>
      <c r="F41"/>
      <c r="G41"/>
    </row>
    <row r="42" spans="1:7" hidden="1">
      <c r="A42" s="61" t="s">
        <v>256</v>
      </c>
      <c r="B42" s="845">
        <v>371</v>
      </c>
      <c r="C42" s="845">
        <v>371</v>
      </c>
      <c r="D42" s="845">
        <v>371</v>
      </c>
      <c r="E42" s="845">
        <v>0</v>
      </c>
      <c r="F42"/>
      <c r="G42"/>
    </row>
    <row r="43" spans="1:7" hidden="1">
      <c r="A43" s="61" t="s">
        <v>257</v>
      </c>
      <c r="B43" s="845">
        <v>83</v>
      </c>
      <c r="C43" s="845">
        <v>83</v>
      </c>
      <c r="D43" s="845">
        <v>83</v>
      </c>
      <c r="E43" s="845">
        <v>83</v>
      </c>
      <c r="F43"/>
      <c r="G43"/>
    </row>
    <row r="44" spans="1:7" hidden="1">
      <c r="A44" s="61" t="s">
        <v>214</v>
      </c>
      <c r="B44" s="845">
        <v>665</v>
      </c>
      <c r="C44" s="845">
        <v>665</v>
      </c>
      <c r="D44" s="845">
        <v>560</v>
      </c>
      <c r="E44" s="845">
        <v>665</v>
      </c>
      <c r="F44"/>
      <c r="G44"/>
    </row>
    <row r="45" spans="1:7" hidden="1">
      <c r="A45" s="61" t="s">
        <v>204</v>
      </c>
      <c r="B45" s="845">
        <v>52</v>
      </c>
      <c r="C45" s="845">
        <v>52</v>
      </c>
      <c r="D45" s="845">
        <v>40</v>
      </c>
      <c r="E45" s="845">
        <v>52</v>
      </c>
      <c r="F45"/>
      <c r="G45"/>
    </row>
    <row r="46" spans="1:7" hidden="1">
      <c r="A46" s="61" t="s">
        <v>258</v>
      </c>
      <c r="B46" s="845">
        <v>228</v>
      </c>
      <c r="C46" s="845">
        <v>228</v>
      </c>
      <c r="D46" s="845">
        <v>200</v>
      </c>
      <c r="E46" s="845">
        <v>228</v>
      </c>
      <c r="F46"/>
      <c r="G46"/>
    </row>
    <row r="47" spans="1:7" hidden="1">
      <c r="A47" s="61" t="s">
        <v>1023</v>
      </c>
      <c r="B47" s="845">
        <v>928</v>
      </c>
      <c r="C47" s="845">
        <v>0</v>
      </c>
      <c r="D47" s="845">
        <v>0</v>
      </c>
      <c r="E47" s="845">
        <v>0</v>
      </c>
      <c r="F47"/>
      <c r="G47"/>
    </row>
    <row r="48" spans="1:7" hidden="1">
      <c r="A48" s="61" t="s">
        <v>244</v>
      </c>
      <c r="B48" s="845">
        <v>458</v>
      </c>
      <c r="C48" s="845">
        <v>458</v>
      </c>
      <c r="D48" s="845">
        <v>458</v>
      </c>
      <c r="E48" s="845">
        <v>66.666666666666671</v>
      </c>
      <c r="F48"/>
      <c r="G48"/>
    </row>
    <row r="49" spans="1:7" hidden="1">
      <c r="A49" s="61" t="s">
        <v>1940</v>
      </c>
      <c r="B49" s="845">
        <v>1661</v>
      </c>
      <c r="C49" s="845">
        <v>1661</v>
      </c>
      <c r="D49" s="845">
        <v>1661</v>
      </c>
      <c r="E49" s="845">
        <v>1661</v>
      </c>
      <c r="F49"/>
      <c r="G49"/>
    </row>
    <row r="50" spans="1:7" hidden="1">
      <c r="A50" s="61" t="s">
        <v>259</v>
      </c>
      <c r="B50" s="845">
        <v>31</v>
      </c>
      <c r="C50" s="845">
        <v>31</v>
      </c>
      <c r="D50" s="845">
        <v>31</v>
      </c>
      <c r="E50" s="845">
        <v>0</v>
      </c>
      <c r="F50"/>
      <c r="G50"/>
    </row>
    <row r="51" spans="1:7" hidden="1">
      <c r="A51" s="61" t="s">
        <v>253</v>
      </c>
      <c r="B51" s="845">
        <v>830</v>
      </c>
      <c r="C51" s="845">
        <v>830</v>
      </c>
      <c r="D51" s="845">
        <v>830</v>
      </c>
      <c r="E51" s="845">
        <v>66.666666666666671</v>
      </c>
      <c r="F51"/>
      <c r="G51"/>
    </row>
    <row r="52" spans="1:7" hidden="1">
      <c r="A52" s="61" t="s">
        <v>260</v>
      </c>
      <c r="B52" s="845">
        <v>377</v>
      </c>
      <c r="C52" s="845">
        <v>377</v>
      </c>
      <c r="D52" s="845">
        <v>377</v>
      </c>
      <c r="E52" s="845">
        <v>0</v>
      </c>
      <c r="F52"/>
      <c r="G52"/>
    </row>
    <row r="53" spans="1:7" hidden="1">
      <c r="A53" s="61" t="s">
        <v>168</v>
      </c>
      <c r="B53" s="845">
        <v>197</v>
      </c>
      <c r="C53" s="845">
        <v>197</v>
      </c>
      <c r="D53" s="845">
        <v>140</v>
      </c>
      <c r="E53" s="845">
        <v>197</v>
      </c>
      <c r="F53"/>
      <c r="G53"/>
    </row>
    <row r="54" spans="1:7" hidden="1">
      <c r="A54" s="61" t="s">
        <v>240</v>
      </c>
      <c r="B54" s="845">
        <v>458</v>
      </c>
      <c r="C54" s="845">
        <v>458</v>
      </c>
      <c r="D54" s="845">
        <v>458</v>
      </c>
      <c r="E54" s="845">
        <v>66.666666666666671</v>
      </c>
      <c r="F54"/>
      <c r="G54"/>
    </row>
    <row r="55" spans="1:7" hidden="1">
      <c r="A55" s="61" t="s">
        <v>1057</v>
      </c>
      <c r="B55" s="845">
        <v>410</v>
      </c>
      <c r="C55" s="845">
        <v>0</v>
      </c>
      <c r="D55" s="845">
        <v>0</v>
      </c>
      <c r="E55" s="845">
        <v>0</v>
      </c>
      <c r="F55"/>
      <c r="G55"/>
    </row>
    <row r="56" spans="1:7" hidden="1">
      <c r="A56" s="61" t="s">
        <v>276</v>
      </c>
      <c r="B56" s="845">
        <v>448</v>
      </c>
      <c r="C56" s="845">
        <v>0</v>
      </c>
      <c r="D56" s="845">
        <v>440</v>
      </c>
      <c r="E56" s="845">
        <v>448</v>
      </c>
      <c r="F56"/>
      <c r="G56"/>
    </row>
    <row r="57" spans="1:7" hidden="1">
      <c r="A57" s="61" t="s">
        <v>183</v>
      </c>
      <c r="B57" s="845">
        <v>875</v>
      </c>
      <c r="C57" s="845">
        <v>875</v>
      </c>
      <c r="D57" s="845">
        <v>875</v>
      </c>
      <c r="E57" s="845">
        <v>66.666666666666671</v>
      </c>
      <c r="F57"/>
      <c r="G57"/>
    </row>
    <row r="58" spans="1:7" hidden="1">
      <c r="A58" s="61" t="s">
        <v>157</v>
      </c>
      <c r="B58" s="845">
        <v>132</v>
      </c>
      <c r="C58" s="845">
        <v>132</v>
      </c>
      <c r="D58" s="845">
        <v>132</v>
      </c>
      <c r="E58" s="845">
        <v>132</v>
      </c>
      <c r="F58"/>
      <c r="G58"/>
    </row>
    <row r="59" spans="1:7" hidden="1">
      <c r="A59" s="61" t="s">
        <v>261</v>
      </c>
      <c r="B59" s="845">
        <v>14</v>
      </c>
      <c r="C59" s="845">
        <v>0</v>
      </c>
      <c r="D59" s="845">
        <v>0</v>
      </c>
      <c r="E59" s="845">
        <v>0</v>
      </c>
      <c r="F59"/>
      <c r="G59"/>
    </row>
    <row r="60" spans="1:7" hidden="1">
      <c r="A60" s="61" t="s">
        <v>1048</v>
      </c>
      <c r="B60" s="845">
        <v>121</v>
      </c>
      <c r="C60" s="845">
        <v>0</v>
      </c>
      <c r="D60" s="845">
        <v>0</v>
      </c>
      <c r="E60" s="845">
        <v>0</v>
      </c>
      <c r="F60"/>
      <c r="G60"/>
    </row>
    <row r="61" spans="1:7" hidden="1">
      <c r="A61" s="61" t="s">
        <v>756</v>
      </c>
      <c r="B61" s="845">
        <v>553</v>
      </c>
      <c r="C61" s="845">
        <v>553</v>
      </c>
      <c r="D61" s="845">
        <v>553</v>
      </c>
      <c r="E61" s="845">
        <v>553</v>
      </c>
      <c r="F61"/>
      <c r="G61"/>
    </row>
    <row r="62" spans="1:7" hidden="1">
      <c r="A62" s="61" t="s">
        <v>760</v>
      </c>
      <c r="B62" s="845">
        <v>779</v>
      </c>
      <c r="C62" s="845">
        <v>0</v>
      </c>
      <c r="D62" s="845">
        <v>779</v>
      </c>
      <c r="E62" s="845">
        <v>0</v>
      </c>
      <c r="F62"/>
      <c r="G62"/>
    </row>
    <row r="63" spans="1:7" hidden="1">
      <c r="A63" s="61" t="s">
        <v>262</v>
      </c>
      <c r="B63" s="845">
        <v>519</v>
      </c>
      <c r="C63" s="845">
        <v>519</v>
      </c>
      <c r="D63" s="845">
        <v>519</v>
      </c>
      <c r="E63" s="845">
        <v>519</v>
      </c>
      <c r="F63"/>
      <c r="G63"/>
    </row>
    <row r="64" spans="1:7" hidden="1">
      <c r="A64" s="61" t="s">
        <v>155</v>
      </c>
      <c r="B64" s="845">
        <v>837</v>
      </c>
      <c r="C64" s="845">
        <v>837</v>
      </c>
      <c r="D64" s="845">
        <v>640</v>
      </c>
      <c r="E64" s="845">
        <v>66.666666666666671</v>
      </c>
      <c r="F64"/>
      <c r="G64"/>
    </row>
    <row r="65" spans="1:7" hidden="1">
      <c r="A65" s="61" t="s">
        <v>225</v>
      </c>
      <c r="B65" s="845">
        <v>3662</v>
      </c>
      <c r="C65" s="845">
        <v>1500</v>
      </c>
      <c r="D65" s="845">
        <v>3662</v>
      </c>
      <c r="E65" s="845">
        <v>3662</v>
      </c>
      <c r="F65"/>
      <c r="G65"/>
    </row>
    <row r="66" spans="1:7" hidden="1">
      <c r="A66" s="61" t="s">
        <v>206</v>
      </c>
      <c r="B66" s="845">
        <v>235</v>
      </c>
      <c r="C66" s="845">
        <v>235</v>
      </c>
      <c r="D66" s="845">
        <v>140</v>
      </c>
      <c r="E66" s="845">
        <v>235</v>
      </c>
      <c r="F66"/>
      <c r="G66"/>
    </row>
    <row r="67" spans="1:7" hidden="1">
      <c r="A67" s="61" t="s">
        <v>232</v>
      </c>
      <c r="B67" s="845">
        <v>680</v>
      </c>
      <c r="C67" s="845">
        <v>0</v>
      </c>
      <c r="D67" s="845">
        <v>0</v>
      </c>
      <c r="E67" s="845">
        <v>680</v>
      </c>
      <c r="F67"/>
      <c r="G67"/>
    </row>
    <row r="68" spans="1:7" hidden="1">
      <c r="A68" s="61" t="s">
        <v>1088</v>
      </c>
      <c r="B68" s="845">
        <v>56</v>
      </c>
      <c r="C68" s="845">
        <v>0</v>
      </c>
      <c r="D68" s="845">
        <v>0</v>
      </c>
      <c r="E68" s="845">
        <v>0</v>
      </c>
      <c r="F68"/>
      <c r="G68"/>
    </row>
    <row r="69" spans="1:7" hidden="1">
      <c r="A69" s="61" t="s">
        <v>169</v>
      </c>
      <c r="B69" s="845">
        <v>1050</v>
      </c>
      <c r="C69" s="845">
        <v>1050</v>
      </c>
      <c r="D69" s="845">
        <v>860</v>
      </c>
      <c r="E69" s="845">
        <v>1050</v>
      </c>
      <c r="F69"/>
      <c r="G69"/>
    </row>
    <row r="70" spans="1:7" hidden="1">
      <c r="A70" s="61" t="s">
        <v>241</v>
      </c>
      <c r="B70" s="845">
        <v>430</v>
      </c>
      <c r="C70" s="845">
        <v>430</v>
      </c>
      <c r="D70" s="845">
        <v>430</v>
      </c>
      <c r="E70" s="845">
        <v>400</v>
      </c>
      <c r="F70"/>
      <c r="G70"/>
    </row>
    <row r="71" spans="1:7" hidden="1">
      <c r="A71" s="61" t="s">
        <v>298</v>
      </c>
      <c r="B71" s="845">
        <v>8486</v>
      </c>
      <c r="C71" s="845">
        <v>1000</v>
      </c>
      <c r="D71" s="845">
        <v>440</v>
      </c>
      <c r="E71" s="845">
        <v>400</v>
      </c>
      <c r="F71"/>
      <c r="G71"/>
    </row>
    <row r="72" spans="1:7" hidden="1">
      <c r="A72" s="61" t="s">
        <v>215</v>
      </c>
      <c r="B72" s="845">
        <v>106</v>
      </c>
      <c r="C72" s="845">
        <v>65</v>
      </c>
      <c r="D72" s="845">
        <v>60</v>
      </c>
      <c r="E72" s="845">
        <v>106</v>
      </c>
      <c r="F72"/>
      <c r="G72"/>
    </row>
    <row r="73" spans="1:7" hidden="1">
      <c r="A73" s="61" t="s">
        <v>217</v>
      </c>
      <c r="B73" s="845">
        <v>94</v>
      </c>
      <c r="C73" s="845">
        <v>94</v>
      </c>
      <c r="D73" s="845">
        <v>94</v>
      </c>
      <c r="E73" s="845">
        <v>94</v>
      </c>
      <c r="F73"/>
      <c r="G73"/>
    </row>
    <row r="74" spans="1:7" hidden="1">
      <c r="A74" s="61" t="s">
        <v>1026</v>
      </c>
      <c r="B74" s="845">
        <v>18</v>
      </c>
      <c r="C74" s="845">
        <v>0</v>
      </c>
      <c r="D74" s="845">
        <v>0</v>
      </c>
      <c r="E74" s="845">
        <v>0</v>
      </c>
      <c r="F74"/>
      <c r="G74"/>
    </row>
    <row r="75" spans="1:7" hidden="1">
      <c r="A75" s="61" t="s">
        <v>741</v>
      </c>
      <c r="B75" s="845">
        <v>496</v>
      </c>
      <c r="C75" s="845">
        <v>496</v>
      </c>
      <c r="D75" s="845">
        <v>496</v>
      </c>
      <c r="E75" s="845">
        <v>496</v>
      </c>
      <c r="F75"/>
      <c r="G75"/>
    </row>
    <row r="76" spans="1:7" hidden="1">
      <c r="A76" s="61" t="s">
        <v>742</v>
      </c>
      <c r="B76" s="845">
        <v>259</v>
      </c>
      <c r="C76" s="845">
        <v>259</v>
      </c>
      <c r="D76" s="845">
        <v>240</v>
      </c>
      <c r="E76" s="845">
        <v>259</v>
      </c>
      <c r="F76"/>
      <c r="G76"/>
    </row>
    <row r="77" spans="1:7" hidden="1">
      <c r="A77" s="61" t="s">
        <v>747</v>
      </c>
      <c r="B77" s="845">
        <v>156</v>
      </c>
      <c r="C77" s="845">
        <v>156</v>
      </c>
      <c r="D77" s="845">
        <v>156</v>
      </c>
      <c r="E77" s="845">
        <v>156</v>
      </c>
      <c r="F77"/>
      <c r="G77"/>
    </row>
    <row r="78" spans="1:7" hidden="1">
      <c r="A78" s="61" t="s">
        <v>721</v>
      </c>
      <c r="B78" s="845">
        <v>138</v>
      </c>
      <c r="C78" s="845">
        <v>138</v>
      </c>
      <c r="D78" s="845">
        <v>138</v>
      </c>
      <c r="E78" s="845">
        <v>138</v>
      </c>
      <c r="F78"/>
      <c r="G78"/>
    </row>
    <row r="79" spans="1:7" hidden="1">
      <c r="A79" s="61" t="s">
        <v>744</v>
      </c>
      <c r="B79" s="845">
        <v>267</v>
      </c>
      <c r="C79" s="845">
        <v>267</v>
      </c>
      <c r="D79" s="845">
        <v>200</v>
      </c>
      <c r="E79" s="845">
        <v>267</v>
      </c>
      <c r="F79"/>
      <c r="G79"/>
    </row>
    <row r="80" spans="1:7" hidden="1">
      <c r="A80" s="61" t="s">
        <v>170</v>
      </c>
      <c r="B80" s="845">
        <v>194</v>
      </c>
      <c r="C80" s="845">
        <v>194</v>
      </c>
      <c r="D80" s="845">
        <v>80</v>
      </c>
      <c r="E80" s="845">
        <v>194</v>
      </c>
      <c r="F80"/>
      <c r="G80"/>
    </row>
    <row r="81" spans="1:7" hidden="1">
      <c r="A81" s="61" t="s">
        <v>161</v>
      </c>
      <c r="B81" s="845">
        <v>66</v>
      </c>
      <c r="C81" s="845">
        <v>66</v>
      </c>
      <c r="D81" s="845">
        <v>66</v>
      </c>
      <c r="E81" s="845">
        <v>66</v>
      </c>
      <c r="F81"/>
      <c r="G81"/>
    </row>
    <row r="82" spans="1:7" hidden="1">
      <c r="A82" s="61" t="s">
        <v>297</v>
      </c>
      <c r="B82" s="845">
        <v>8743</v>
      </c>
      <c r="C82" s="845">
        <v>8743</v>
      </c>
      <c r="D82" s="845">
        <v>8743</v>
      </c>
      <c r="E82" s="845">
        <v>1335.3333333333333</v>
      </c>
      <c r="F82"/>
      <c r="G82"/>
    </row>
    <row r="83" spans="1:7" hidden="1">
      <c r="A83" s="61" t="s">
        <v>302</v>
      </c>
      <c r="B83" s="845">
        <v>2581</v>
      </c>
      <c r="C83" s="845">
        <v>2380</v>
      </c>
      <c r="D83" s="845">
        <v>2080</v>
      </c>
      <c r="E83" s="845">
        <v>1450</v>
      </c>
      <c r="F83"/>
      <c r="G83"/>
    </row>
    <row r="84" spans="1:7" hidden="1">
      <c r="A84" s="61" t="s">
        <v>785</v>
      </c>
      <c r="B84" s="845">
        <v>1691</v>
      </c>
      <c r="C84" s="845">
        <v>0</v>
      </c>
      <c r="D84" s="845">
        <v>0</v>
      </c>
      <c r="E84" s="845">
        <v>0</v>
      </c>
      <c r="F84"/>
      <c r="G84"/>
    </row>
    <row r="85" spans="1:7" hidden="1">
      <c r="A85" s="61" t="s">
        <v>251</v>
      </c>
      <c r="B85" s="845">
        <v>672</v>
      </c>
      <c r="C85" s="845">
        <v>672</v>
      </c>
      <c r="D85" s="845">
        <v>380</v>
      </c>
      <c r="E85" s="845">
        <v>316.73333333333335</v>
      </c>
      <c r="F85"/>
      <c r="G85"/>
    </row>
    <row r="86" spans="1:7" hidden="1">
      <c r="A86" s="61" t="s">
        <v>171</v>
      </c>
      <c r="B86" s="845">
        <v>547</v>
      </c>
      <c r="C86" s="845">
        <v>500</v>
      </c>
      <c r="D86" s="845">
        <v>160</v>
      </c>
      <c r="E86" s="845">
        <v>400</v>
      </c>
      <c r="F86"/>
      <c r="G86"/>
    </row>
    <row r="87" spans="1:7" hidden="1">
      <c r="A87" s="61" t="s">
        <v>172</v>
      </c>
      <c r="B87" s="845">
        <v>676</v>
      </c>
      <c r="C87" s="845">
        <v>500</v>
      </c>
      <c r="D87" s="845">
        <v>640</v>
      </c>
      <c r="E87" s="845">
        <v>676</v>
      </c>
      <c r="F87"/>
      <c r="G87"/>
    </row>
    <row r="88" spans="1:7" hidden="1">
      <c r="A88" s="61" t="s">
        <v>255</v>
      </c>
      <c r="B88" s="845">
        <v>856</v>
      </c>
      <c r="C88" s="845">
        <v>856</v>
      </c>
      <c r="D88" s="845">
        <v>856</v>
      </c>
      <c r="E88" s="845">
        <v>0</v>
      </c>
      <c r="F88"/>
      <c r="G88"/>
    </row>
    <row r="89" spans="1:7" hidden="1">
      <c r="A89" s="61" t="s">
        <v>1120</v>
      </c>
      <c r="B89" s="845">
        <v>137</v>
      </c>
      <c r="C89" s="845">
        <v>137</v>
      </c>
      <c r="D89" s="845">
        <v>0</v>
      </c>
      <c r="E89" s="845">
        <v>0</v>
      </c>
      <c r="F89"/>
      <c r="G89"/>
    </row>
    <row r="90" spans="1:7" hidden="1">
      <c r="A90" s="61" t="s">
        <v>263</v>
      </c>
      <c r="B90" s="845">
        <v>103</v>
      </c>
      <c r="C90" s="845">
        <v>103</v>
      </c>
      <c r="D90" s="845">
        <v>80</v>
      </c>
      <c r="E90" s="845">
        <v>103</v>
      </c>
      <c r="F90"/>
      <c r="G90"/>
    </row>
    <row r="91" spans="1:7" hidden="1">
      <c r="A91" s="61" t="s">
        <v>264</v>
      </c>
      <c r="B91" s="845">
        <v>60</v>
      </c>
      <c r="C91" s="845">
        <v>60</v>
      </c>
      <c r="D91" s="845">
        <v>40</v>
      </c>
      <c r="E91" s="845">
        <v>6.6666666666666666E-2</v>
      </c>
      <c r="F91"/>
      <c r="G91"/>
    </row>
    <row r="92" spans="1:7" hidden="1">
      <c r="A92" s="61" t="s">
        <v>208</v>
      </c>
      <c r="B92" s="845">
        <v>800</v>
      </c>
      <c r="C92" s="845">
        <v>800</v>
      </c>
      <c r="D92" s="845">
        <v>380</v>
      </c>
      <c r="E92" s="845">
        <v>800</v>
      </c>
      <c r="F92"/>
      <c r="G92"/>
    </row>
    <row r="93" spans="1:7" hidden="1">
      <c r="A93" s="61" t="s">
        <v>745</v>
      </c>
      <c r="B93" s="845">
        <v>146</v>
      </c>
      <c r="C93" s="845">
        <v>146</v>
      </c>
      <c r="D93" s="845">
        <v>146</v>
      </c>
      <c r="E93" s="845">
        <v>146</v>
      </c>
      <c r="F93"/>
      <c r="G93"/>
    </row>
    <row r="94" spans="1:7" hidden="1">
      <c r="A94" s="61" t="s">
        <v>289</v>
      </c>
      <c r="B94" s="845">
        <v>240</v>
      </c>
      <c r="C94" s="845">
        <v>240</v>
      </c>
      <c r="D94" s="845">
        <v>180</v>
      </c>
      <c r="E94" s="845">
        <v>240</v>
      </c>
      <c r="F94"/>
      <c r="G94"/>
    </row>
    <row r="95" spans="1:7" hidden="1">
      <c r="A95" s="61" t="s">
        <v>290</v>
      </c>
      <c r="B95" s="845">
        <v>405</v>
      </c>
      <c r="C95" s="845">
        <v>405</v>
      </c>
      <c r="D95" s="845">
        <v>360</v>
      </c>
      <c r="E95" s="845">
        <v>405</v>
      </c>
      <c r="F95"/>
      <c r="G95"/>
    </row>
    <row r="96" spans="1:7" hidden="1">
      <c r="A96" s="61" t="s">
        <v>291</v>
      </c>
      <c r="B96" s="845">
        <v>1138</v>
      </c>
      <c r="C96" s="845">
        <v>1138</v>
      </c>
      <c r="D96" s="845">
        <v>760</v>
      </c>
      <c r="E96" s="845">
        <v>1138</v>
      </c>
      <c r="F96"/>
      <c r="G96"/>
    </row>
    <row r="97" spans="1:7" hidden="1">
      <c r="A97" s="61" t="s">
        <v>182</v>
      </c>
      <c r="B97" s="845">
        <v>289</v>
      </c>
      <c r="C97" s="845">
        <v>289</v>
      </c>
      <c r="D97" s="845">
        <v>40</v>
      </c>
      <c r="E97" s="845">
        <v>289</v>
      </c>
      <c r="F97"/>
      <c r="G97"/>
    </row>
    <row r="98" spans="1:7" hidden="1">
      <c r="A98" s="61" t="s">
        <v>296</v>
      </c>
      <c r="B98" s="845">
        <v>2350</v>
      </c>
      <c r="C98" s="845">
        <v>0</v>
      </c>
      <c r="D98" s="845">
        <v>0</v>
      </c>
      <c r="E98" s="845">
        <v>0</v>
      </c>
      <c r="F98"/>
      <c r="G98"/>
    </row>
    <row r="99" spans="1:7" hidden="1">
      <c r="A99" s="61" t="s">
        <v>184</v>
      </c>
      <c r="B99" s="845">
        <v>159</v>
      </c>
      <c r="C99" s="845">
        <v>159</v>
      </c>
      <c r="D99" s="845">
        <v>120</v>
      </c>
      <c r="E99" s="845">
        <v>159</v>
      </c>
      <c r="F99"/>
      <c r="G99"/>
    </row>
    <row r="100" spans="1:7" hidden="1">
      <c r="A100" s="61" t="s">
        <v>185</v>
      </c>
      <c r="B100" s="845">
        <v>1801</v>
      </c>
      <c r="C100" s="845">
        <v>0</v>
      </c>
      <c r="D100" s="845">
        <v>1272</v>
      </c>
      <c r="E100" s="845">
        <v>266.66666666666669</v>
      </c>
      <c r="F100"/>
      <c r="G100"/>
    </row>
    <row r="101" spans="1:7" hidden="1">
      <c r="A101" s="61" t="s">
        <v>277</v>
      </c>
      <c r="B101" s="845">
        <v>2065</v>
      </c>
      <c r="C101" s="845">
        <v>0</v>
      </c>
      <c r="D101" s="845">
        <v>820</v>
      </c>
      <c r="E101" s="845">
        <v>2065</v>
      </c>
      <c r="F101"/>
      <c r="G101"/>
    </row>
    <row r="102" spans="1:7" hidden="1">
      <c r="A102" s="61" t="s">
        <v>245</v>
      </c>
      <c r="B102" s="845">
        <v>1481</v>
      </c>
      <c r="C102" s="845">
        <v>1481</v>
      </c>
      <c r="D102" s="845">
        <v>1481</v>
      </c>
      <c r="E102" s="845">
        <v>1481</v>
      </c>
      <c r="F102"/>
      <c r="G102"/>
    </row>
    <row r="103" spans="1:7" hidden="1">
      <c r="A103" s="61" t="s">
        <v>186</v>
      </c>
      <c r="B103" s="845">
        <v>2500</v>
      </c>
      <c r="C103" s="845">
        <v>2500</v>
      </c>
      <c r="D103" s="845">
        <v>520</v>
      </c>
      <c r="E103" s="845">
        <v>2500</v>
      </c>
      <c r="F103"/>
      <c r="G103"/>
    </row>
    <row r="104" spans="1:7" hidden="1">
      <c r="A104" s="61" t="s">
        <v>187</v>
      </c>
      <c r="B104" s="845">
        <v>191</v>
      </c>
      <c r="C104" s="845">
        <v>191</v>
      </c>
      <c r="D104" s="845">
        <v>191</v>
      </c>
      <c r="E104" s="845">
        <v>191</v>
      </c>
      <c r="F104"/>
      <c r="G104"/>
    </row>
    <row r="105" spans="1:7" hidden="1">
      <c r="A105" s="61" t="s">
        <v>191</v>
      </c>
      <c r="B105" s="845">
        <v>1855</v>
      </c>
      <c r="C105" s="845">
        <v>1500</v>
      </c>
      <c r="D105" s="845">
        <v>1855</v>
      </c>
      <c r="E105" s="845">
        <v>1855</v>
      </c>
      <c r="F105"/>
      <c r="G105"/>
    </row>
    <row r="106" spans="1:7" hidden="1">
      <c r="A106" s="61" t="s">
        <v>41</v>
      </c>
      <c r="B106" s="845">
        <v>694</v>
      </c>
      <c r="C106" s="845">
        <v>694</v>
      </c>
      <c r="D106" s="845">
        <v>694</v>
      </c>
      <c r="E106" s="845">
        <v>694</v>
      </c>
      <c r="F106"/>
      <c r="G106"/>
    </row>
    <row r="107" spans="1:7" hidden="1">
      <c r="A107" s="61" t="s">
        <v>173</v>
      </c>
      <c r="B107" s="845">
        <v>290</v>
      </c>
      <c r="C107" s="845">
        <v>290</v>
      </c>
      <c r="D107" s="845">
        <v>140</v>
      </c>
      <c r="E107" s="845">
        <v>290</v>
      </c>
      <c r="F107"/>
      <c r="G107"/>
    </row>
    <row r="108" spans="1:7" hidden="1">
      <c r="A108" s="61" t="s">
        <v>218</v>
      </c>
      <c r="B108" s="845">
        <v>1258</v>
      </c>
      <c r="C108" s="845">
        <v>1258</v>
      </c>
      <c r="D108" s="845">
        <v>760</v>
      </c>
      <c r="E108" s="845">
        <v>1258</v>
      </c>
      <c r="F108"/>
      <c r="G108"/>
    </row>
    <row r="109" spans="1:7" hidden="1">
      <c r="A109" s="61" t="s">
        <v>295</v>
      </c>
      <c r="B109" s="845">
        <v>650</v>
      </c>
      <c r="C109" s="845">
        <v>650</v>
      </c>
      <c r="D109" s="845">
        <v>560</v>
      </c>
      <c r="E109" s="845">
        <v>650</v>
      </c>
      <c r="F109"/>
      <c r="G109"/>
    </row>
    <row r="110" spans="1:7" hidden="1">
      <c r="A110" s="61" t="s">
        <v>174</v>
      </c>
      <c r="B110" s="845">
        <v>547</v>
      </c>
      <c r="C110" s="845">
        <v>547</v>
      </c>
      <c r="D110" s="845">
        <v>547</v>
      </c>
      <c r="E110" s="845">
        <v>547</v>
      </c>
      <c r="F110"/>
      <c r="G110"/>
    </row>
    <row r="111" spans="1:7" hidden="1">
      <c r="A111" s="61" t="s">
        <v>758</v>
      </c>
      <c r="B111" s="845">
        <v>120</v>
      </c>
      <c r="C111" s="845">
        <v>0</v>
      </c>
      <c r="D111" s="845">
        <v>0</v>
      </c>
      <c r="E111" s="845">
        <v>0</v>
      </c>
      <c r="F111"/>
      <c r="G111"/>
    </row>
    <row r="112" spans="1:7" hidden="1">
      <c r="A112" s="61" t="s">
        <v>755</v>
      </c>
      <c r="B112" s="845">
        <v>85</v>
      </c>
      <c r="C112" s="845">
        <v>85</v>
      </c>
      <c r="D112" s="845">
        <v>0</v>
      </c>
      <c r="E112" s="845">
        <v>0</v>
      </c>
      <c r="F112"/>
      <c r="G112"/>
    </row>
    <row r="113" spans="1:7" hidden="1">
      <c r="A113" s="61" t="s">
        <v>306</v>
      </c>
      <c r="B113" s="845">
        <v>647</v>
      </c>
      <c r="C113" s="845">
        <v>647</v>
      </c>
      <c r="D113" s="845">
        <v>160</v>
      </c>
      <c r="E113" s="845">
        <v>0</v>
      </c>
      <c r="F113"/>
      <c r="G113"/>
    </row>
    <row r="114" spans="1:7" hidden="1">
      <c r="A114" s="61" t="s">
        <v>308</v>
      </c>
      <c r="B114" s="845">
        <v>524</v>
      </c>
      <c r="C114" s="845">
        <v>524</v>
      </c>
      <c r="D114" s="845">
        <v>240</v>
      </c>
      <c r="E114" s="845">
        <v>0</v>
      </c>
      <c r="F114"/>
      <c r="G114"/>
    </row>
    <row r="115" spans="1:7" hidden="1">
      <c r="A115" s="61" t="s">
        <v>309</v>
      </c>
      <c r="B115" s="845">
        <v>2338</v>
      </c>
      <c r="C115" s="845">
        <v>0</v>
      </c>
      <c r="D115" s="845">
        <v>0</v>
      </c>
      <c r="E115" s="845">
        <v>0</v>
      </c>
      <c r="F115"/>
      <c r="G115"/>
    </row>
    <row r="116" spans="1:7" hidden="1">
      <c r="A116" s="61" t="s">
        <v>310</v>
      </c>
      <c r="B116" s="845">
        <v>637</v>
      </c>
      <c r="C116" s="845">
        <v>0</v>
      </c>
      <c r="D116" s="845">
        <v>0</v>
      </c>
      <c r="E116" s="845">
        <v>0</v>
      </c>
      <c r="F116"/>
      <c r="G116"/>
    </row>
    <row r="117" spans="1:7" hidden="1">
      <c r="A117" s="61" t="s">
        <v>991</v>
      </c>
      <c r="B117" s="845">
        <v>1108</v>
      </c>
      <c r="C117" s="845">
        <v>0</v>
      </c>
      <c r="D117" s="845">
        <v>0</v>
      </c>
      <c r="E117" s="845">
        <v>0</v>
      </c>
      <c r="F117"/>
      <c r="G117"/>
    </row>
    <row r="118" spans="1:7" hidden="1">
      <c r="A118" s="61" t="s">
        <v>219</v>
      </c>
      <c r="B118" s="845">
        <v>13</v>
      </c>
      <c r="C118" s="845">
        <v>13</v>
      </c>
      <c r="D118" s="845">
        <v>13</v>
      </c>
      <c r="E118" s="845">
        <v>13</v>
      </c>
      <c r="F118"/>
      <c r="G118"/>
    </row>
    <row r="119" spans="1:7" hidden="1">
      <c r="A119" s="61" t="s">
        <v>749</v>
      </c>
      <c r="B119" s="845">
        <v>135</v>
      </c>
      <c r="C119" s="845">
        <v>135</v>
      </c>
      <c r="D119" s="845">
        <v>135</v>
      </c>
      <c r="E119" s="845">
        <v>135</v>
      </c>
      <c r="F119"/>
      <c r="G119"/>
    </row>
    <row r="120" spans="1:7" hidden="1">
      <c r="A120" s="61" t="s">
        <v>724</v>
      </c>
      <c r="B120" s="845">
        <v>235</v>
      </c>
      <c r="C120" s="845">
        <v>235</v>
      </c>
      <c r="D120" s="845">
        <v>160</v>
      </c>
      <c r="E120" s="845">
        <v>235</v>
      </c>
      <c r="F120"/>
      <c r="G120"/>
    </row>
    <row r="121" spans="1:7" hidden="1">
      <c r="A121" s="61" t="s">
        <v>201</v>
      </c>
      <c r="B121" s="845">
        <v>807</v>
      </c>
      <c r="C121" s="845">
        <v>807</v>
      </c>
      <c r="D121" s="845">
        <v>800</v>
      </c>
      <c r="E121" s="845">
        <v>807</v>
      </c>
      <c r="F121"/>
      <c r="G121"/>
    </row>
    <row r="122" spans="1:7" hidden="1">
      <c r="A122" s="61" t="s">
        <v>1009</v>
      </c>
      <c r="B122" s="845">
        <v>290</v>
      </c>
      <c r="C122" s="845">
        <v>0</v>
      </c>
      <c r="D122" s="845">
        <v>0</v>
      </c>
      <c r="E122" s="845">
        <v>0</v>
      </c>
      <c r="F122"/>
      <c r="G122"/>
    </row>
    <row r="123" spans="1:7" hidden="1">
      <c r="A123" s="61" t="s">
        <v>271</v>
      </c>
      <c r="B123" s="845">
        <v>92</v>
      </c>
      <c r="C123" s="845">
        <v>0</v>
      </c>
      <c r="D123" s="845">
        <v>92</v>
      </c>
      <c r="E123" s="845">
        <v>92</v>
      </c>
      <c r="F123"/>
      <c r="G123"/>
    </row>
    <row r="124" spans="1:7" hidden="1">
      <c r="A124" s="61" t="s">
        <v>272</v>
      </c>
      <c r="B124" s="845">
        <v>123</v>
      </c>
      <c r="C124" s="845">
        <v>123</v>
      </c>
      <c r="D124" s="845">
        <v>120</v>
      </c>
      <c r="E124" s="845">
        <v>123</v>
      </c>
      <c r="F124"/>
      <c r="G124"/>
    </row>
    <row r="125" spans="1:7" hidden="1">
      <c r="A125" s="61" t="s">
        <v>265</v>
      </c>
      <c r="B125" s="845">
        <v>15</v>
      </c>
      <c r="C125" s="845">
        <v>0</v>
      </c>
      <c r="D125" s="845">
        <v>0</v>
      </c>
      <c r="E125" s="845">
        <v>15</v>
      </c>
      <c r="F125"/>
      <c r="G125"/>
    </row>
    <row r="126" spans="1:7" hidden="1">
      <c r="A126" s="61" t="s">
        <v>1044</v>
      </c>
      <c r="B126" s="845">
        <v>63</v>
      </c>
      <c r="C126" s="845">
        <v>0</v>
      </c>
      <c r="D126" s="845">
        <v>0</v>
      </c>
      <c r="E126" s="845">
        <v>0</v>
      </c>
      <c r="F126"/>
      <c r="G126"/>
    </row>
    <row r="127" spans="1:7" hidden="1">
      <c r="A127" s="61" t="s">
        <v>221</v>
      </c>
      <c r="B127" s="845">
        <v>453</v>
      </c>
      <c r="C127" s="845">
        <v>453</v>
      </c>
      <c r="D127" s="845">
        <v>160</v>
      </c>
      <c r="E127" s="845">
        <v>453</v>
      </c>
      <c r="F127"/>
      <c r="G127"/>
    </row>
    <row r="128" spans="1:7" hidden="1">
      <c r="A128" s="61" t="s">
        <v>1018</v>
      </c>
      <c r="B128" s="845">
        <v>1067</v>
      </c>
      <c r="C128" s="845">
        <v>0</v>
      </c>
      <c r="D128" s="845">
        <v>0</v>
      </c>
      <c r="E128" s="845">
        <v>0</v>
      </c>
      <c r="F128"/>
      <c r="G128"/>
    </row>
    <row r="129" spans="1:7" hidden="1">
      <c r="A129" s="61" t="s">
        <v>762</v>
      </c>
      <c r="B129" s="845">
        <v>276</v>
      </c>
      <c r="C129" s="845">
        <v>276</v>
      </c>
      <c r="D129" s="845">
        <v>200</v>
      </c>
      <c r="E129" s="845">
        <v>276</v>
      </c>
      <c r="F129"/>
      <c r="G129"/>
    </row>
    <row r="130" spans="1:7" hidden="1">
      <c r="A130" s="61" t="s">
        <v>746</v>
      </c>
      <c r="B130" s="845">
        <v>180</v>
      </c>
      <c r="C130" s="845">
        <v>180</v>
      </c>
      <c r="D130" s="845">
        <v>180</v>
      </c>
      <c r="E130" s="845">
        <v>180</v>
      </c>
      <c r="F130"/>
      <c r="G130"/>
    </row>
    <row r="131" spans="1:7" hidden="1">
      <c r="A131" s="61" t="s">
        <v>729</v>
      </c>
      <c r="B131" s="845">
        <v>264</v>
      </c>
      <c r="C131" s="845">
        <v>190</v>
      </c>
      <c r="D131" s="845">
        <v>0</v>
      </c>
      <c r="E131" s="845">
        <v>0</v>
      </c>
      <c r="F131"/>
      <c r="G131"/>
    </row>
    <row r="132" spans="1:7" hidden="1">
      <c r="A132" s="61" t="s">
        <v>725</v>
      </c>
      <c r="B132" s="845">
        <v>111</v>
      </c>
      <c r="C132" s="845">
        <v>95</v>
      </c>
      <c r="D132" s="845">
        <v>111</v>
      </c>
      <c r="E132" s="845">
        <v>111</v>
      </c>
      <c r="F132"/>
      <c r="G132"/>
    </row>
    <row r="133" spans="1:7" hidden="1">
      <c r="A133" s="61" t="s">
        <v>751</v>
      </c>
      <c r="B133" s="845">
        <v>221</v>
      </c>
      <c r="C133" s="845">
        <v>0</v>
      </c>
      <c r="D133" s="845">
        <v>221</v>
      </c>
      <c r="E133" s="845">
        <v>0</v>
      </c>
      <c r="F133"/>
      <c r="G133"/>
    </row>
    <row r="134" spans="1:7" hidden="1">
      <c r="A134" s="61" t="s">
        <v>727</v>
      </c>
      <c r="B134" s="845">
        <v>114</v>
      </c>
      <c r="C134" s="845">
        <v>114</v>
      </c>
      <c r="D134" s="845">
        <v>114</v>
      </c>
      <c r="E134" s="845">
        <v>114</v>
      </c>
      <c r="F134"/>
      <c r="G134"/>
    </row>
    <row r="135" spans="1:7" hidden="1">
      <c r="A135" s="61" t="s">
        <v>209</v>
      </c>
      <c r="B135" s="845">
        <v>49</v>
      </c>
      <c r="C135" s="845">
        <v>49</v>
      </c>
      <c r="D135" s="845">
        <v>40</v>
      </c>
      <c r="E135" s="845">
        <v>49</v>
      </c>
      <c r="F135"/>
      <c r="G135"/>
    </row>
    <row r="136" spans="1:7" hidden="1">
      <c r="A136" s="61" t="s">
        <v>198</v>
      </c>
      <c r="B136" s="845">
        <v>18</v>
      </c>
      <c r="C136" s="845">
        <v>0</v>
      </c>
      <c r="D136" s="845">
        <v>0</v>
      </c>
      <c r="E136" s="845">
        <v>0</v>
      </c>
      <c r="F136"/>
      <c r="G136"/>
    </row>
    <row r="137" spans="1:7" hidden="1">
      <c r="A137" s="61" t="s">
        <v>1028</v>
      </c>
      <c r="B137" s="845">
        <v>153</v>
      </c>
      <c r="C137" s="845">
        <v>0</v>
      </c>
      <c r="D137" s="845">
        <v>0</v>
      </c>
      <c r="E137" s="845">
        <v>0</v>
      </c>
      <c r="F137"/>
      <c r="G137"/>
    </row>
    <row r="138" spans="1:7" hidden="1">
      <c r="A138" s="61" t="s">
        <v>728</v>
      </c>
      <c r="B138" s="845">
        <v>390</v>
      </c>
      <c r="C138" s="845">
        <v>390</v>
      </c>
      <c r="D138" s="845">
        <v>340</v>
      </c>
      <c r="E138" s="845">
        <v>390</v>
      </c>
      <c r="F138"/>
      <c r="G138"/>
    </row>
    <row r="139" spans="1:7" hidden="1">
      <c r="A139" s="61" t="s">
        <v>764</v>
      </c>
      <c r="B139" s="845">
        <v>350</v>
      </c>
      <c r="C139" s="845">
        <v>325</v>
      </c>
      <c r="D139" s="845">
        <v>0</v>
      </c>
      <c r="E139" s="845">
        <v>350</v>
      </c>
      <c r="F139"/>
      <c r="G139"/>
    </row>
    <row r="140" spans="1:7" hidden="1">
      <c r="A140" s="61" t="s">
        <v>752</v>
      </c>
      <c r="B140" s="845">
        <v>176</v>
      </c>
      <c r="C140" s="845">
        <v>176</v>
      </c>
      <c r="D140" s="845">
        <v>0</v>
      </c>
      <c r="E140" s="845">
        <v>176</v>
      </c>
      <c r="F140"/>
      <c r="G140"/>
    </row>
    <row r="141" spans="1:7" hidden="1">
      <c r="A141" s="61" t="s">
        <v>718</v>
      </c>
      <c r="B141" s="845">
        <v>212</v>
      </c>
      <c r="C141" s="845">
        <v>212</v>
      </c>
      <c r="D141" s="845">
        <v>212</v>
      </c>
      <c r="E141" s="845">
        <v>212</v>
      </c>
      <c r="F141"/>
      <c r="G141"/>
    </row>
    <row r="142" spans="1:7" hidden="1">
      <c r="A142" s="61" t="s">
        <v>732</v>
      </c>
      <c r="B142" s="845">
        <v>263</v>
      </c>
      <c r="C142" s="845">
        <v>263</v>
      </c>
      <c r="D142" s="845">
        <v>263</v>
      </c>
      <c r="E142" s="845">
        <v>263</v>
      </c>
      <c r="F142"/>
      <c r="G142"/>
    </row>
    <row r="143" spans="1:7" hidden="1">
      <c r="A143" s="61" t="s">
        <v>266</v>
      </c>
      <c r="B143" s="845">
        <v>42</v>
      </c>
      <c r="C143" s="845">
        <v>42</v>
      </c>
      <c r="D143" s="845">
        <v>42</v>
      </c>
      <c r="E143" s="845">
        <v>42</v>
      </c>
      <c r="F143"/>
      <c r="G143"/>
    </row>
    <row r="144" spans="1:7" hidden="1">
      <c r="A144" s="61" t="s">
        <v>736</v>
      </c>
      <c r="B144" s="845">
        <v>182</v>
      </c>
      <c r="C144" s="845">
        <v>182</v>
      </c>
      <c r="D144" s="845">
        <v>160</v>
      </c>
      <c r="E144" s="845">
        <v>182</v>
      </c>
      <c r="F144"/>
      <c r="G144"/>
    </row>
    <row r="145" spans="1:7" hidden="1">
      <c r="A145" s="61" t="s">
        <v>748</v>
      </c>
      <c r="B145" s="845">
        <v>161</v>
      </c>
      <c r="C145" s="845">
        <v>161</v>
      </c>
      <c r="D145" s="845">
        <v>160</v>
      </c>
      <c r="E145" s="845">
        <v>161</v>
      </c>
      <c r="F145"/>
      <c r="G145"/>
    </row>
    <row r="146" spans="1:7" hidden="1">
      <c r="A146" s="61" t="s">
        <v>754</v>
      </c>
      <c r="B146" s="845">
        <v>568</v>
      </c>
      <c r="C146" s="845">
        <v>568</v>
      </c>
      <c r="D146" s="845">
        <v>320</v>
      </c>
      <c r="E146" s="845">
        <v>66.666666666666671</v>
      </c>
      <c r="F146"/>
      <c r="G146"/>
    </row>
    <row r="147" spans="1:7" hidden="1">
      <c r="A147" s="61" t="s">
        <v>242</v>
      </c>
      <c r="B147" s="845">
        <v>309</v>
      </c>
      <c r="C147" s="845">
        <v>309</v>
      </c>
      <c r="D147" s="845">
        <v>309</v>
      </c>
      <c r="E147" s="845">
        <v>309</v>
      </c>
      <c r="F147"/>
      <c r="G147"/>
    </row>
    <row r="148" spans="1:7" hidden="1">
      <c r="A148" s="61" t="s">
        <v>211</v>
      </c>
      <c r="B148" s="845">
        <v>76</v>
      </c>
      <c r="C148" s="845">
        <v>76</v>
      </c>
      <c r="D148" s="845">
        <v>76</v>
      </c>
      <c r="E148" s="845">
        <v>76</v>
      </c>
      <c r="F148"/>
      <c r="G148"/>
    </row>
    <row r="149" spans="1:7" hidden="1">
      <c r="A149" s="61" t="s">
        <v>239</v>
      </c>
      <c r="B149" s="845">
        <v>218</v>
      </c>
      <c r="C149" s="845">
        <v>218</v>
      </c>
      <c r="D149" s="845">
        <v>218</v>
      </c>
      <c r="E149" s="845">
        <v>218</v>
      </c>
      <c r="F149"/>
      <c r="G149"/>
    </row>
    <row r="150" spans="1:7" hidden="1">
      <c r="A150" s="61" t="s">
        <v>163</v>
      </c>
      <c r="B150" s="845">
        <v>41</v>
      </c>
      <c r="C150" s="845">
        <v>41</v>
      </c>
      <c r="D150" s="845">
        <v>41</v>
      </c>
      <c r="E150" s="845">
        <v>41</v>
      </c>
      <c r="F150"/>
      <c r="G150"/>
    </row>
    <row r="151" spans="1:7" hidden="1">
      <c r="A151" s="61" t="s">
        <v>278</v>
      </c>
      <c r="B151" s="845">
        <v>82</v>
      </c>
      <c r="C151" s="845">
        <v>0</v>
      </c>
      <c r="D151" s="845">
        <v>82</v>
      </c>
      <c r="E151" s="845">
        <v>82</v>
      </c>
      <c r="F151"/>
      <c r="G151"/>
    </row>
    <row r="152" spans="1:7" hidden="1">
      <c r="A152" s="61" t="s">
        <v>166</v>
      </c>
      <c r="B152" s="845">
        <v>113</v>
      </c>
      <c r="C152" s="845">
        <v>113</v>
      </c>
      <c r="D152" s="845">
        <v>100</v>
      </c>
      <c r="E152" s="845">
        <v>113</v>
      </c>
      <c r="F152"/>
      <c r="G152"/>
    </row>
    <row r="153" spans="1:7" hidden="1">
      <c r="A153" s="61" t="s">
        <v>193</v>
      </c>
      <c r="B153" s="845">
        <v>547</v>
      </c>
      <c r="C153" s="845">
        <v>547</v>
      </c>
      <c r="D153" s="845">
        <v>547</v>
      </c>
      <c r="E153" s="845">
        <v>0</v>
      </c>
      <c r="F153"/>
      <c r="G153"/>
    </row>
    <row r="154" spans="1:7" hidden="1">
      <c r="A154" s="61" t="s">
        <v>743</v>
      </c>
      <c r="B154" s="845">
        <v>632</v>
      </c>
      <c r="C154" s="845">
        <v>632</v>
      </c>
      <c r="D154" s="845">
        <v>618</v>
      </c>
      <c r="E154" s="845">
        <v>632</v>
      </c>
      <c r="F154"/>
      <c r="G154"/>
    </row>
    <row r="155" spans="1:7" hidden="1">
      <c r="A155" s="61" t="s">
        <v>303</v>
      </c>
      <c r="B155" s="845">
        <v>1722</v>
      </c>
      <c r="C155" s="845">
        <v>1380</v>
      </c>
      <c r="D155" s="845">
        <v>1722</v>
      </c>
      <c r="E155" s="845">
        <v>1722</v>
      </c>
      <c r="F155"/>
      <c r="G155"/>
    </row>
    <row r="156" spans="1:7" hidden="1">
      <c r="A156" s="61" t="s">
        <v>175</v>
      </c>
      <c r="B156" s="845">
        <v>281</v>
      </c>
      <c r="C156" s="845">
        <v>281</v>
      </c>
      <c r="D156" s="845">
        <v>281</v>
      </c>
      <c r="E156" s="845">
        <v>281</v>
      </c>
      <c r="F156"/>
      <c r="G156"/>
    </row>
    <row r="157" spans="1:7" hidden="1">
      <c r="A157" s="61" t="s">
        <v>292</v>
      </c>
      <c r="B157" s="845">
        <v>300</v>
      </c>
      <c r="C157" s="845">
        <v>300</v>
      </c>
      <c r="D157" s="845">
        <v>300</v>
      </c>
      <c r="E157" s="845">
        <v>300</v>
      </c>
      <c r="F157"/>
      <c r="G157"/>
    </row>
    <row r="158" spans="1:7" hidden="1">
      <c r="A158" s="61" t="s">
        <v>243</v>
      </c>
      <c r="B158" s="845">
        <v>882</v>
      </c>
      <c r="C158" s="845">
        <v>882</v>
      </c>
      <c r="D158" s="845">
        <v>882</v>
      </c>
      <c r="E158" s="845">
        <v>882</v>
      </c>
      <c r="F158"/>
      <c r="G158"/>
    </row>
    <row r="159" spans="1:7" hidden="1">
      <c r="A159" s="61" t="s">
        <v>304</v>
      </c>
      <c r="B159" s="845">
        <v>3316</v>
      </c>
      <c r="C159" s="845">
        <v>2245</v>
      </c>
      <c r="D159" s="845">
        <v>3316</v>
      </c>
      <c r="E159" s="845">
        <v>1249.9999999999998</v>
      </c>
      <c r="F159"/>
      <c r="G159"/>
    </row>
    <row r="160" spans="1:7" hidden="1">
      <c r="A160" s="61" t="s">
        <v>188</v>
      </c>
      <c r="B160" s="845">
        <v>846</v>
      </c>
      <c r="C160" s="845">
        <v>846</v>
      </c>
      <c r="D160" s="845">
        <v>846</v>
      </c>
      <c r="E160" s="845">
        <v>200</v>
      </c>
      <c r="F160"/>
      <c r="G160"/>
    </row>
    <row r="161" spans="1:7" hidden="1">
      <c r="A161" s="61" t="s">
        <v>763</v>
      </c>
      <c r="B161" s="845">
        <v>196</v>
      </c>
      <c r="C161" s="845">
        <v>196</v>
      </c>
      <c r="D161" s="845">
        <v>196</v>
      </c>
      <c r="E161" s="845">
        <v>196</v>
      </c>
      <c r="F161"/>
      <c r="G161"/>
    </row>
    <row r="162" spans="1:7" hidden="1">
      <c r="A162" s="61" t="s">
        <v>738</v>
      </c>
      <c r="B162" s="845">
        <v>27</v>
      </c>
      <c r="C162" s="845">
        <v>27</v>
      </c>
      <c r="D162" s="845">
        <v>27</v>
      </c>
      <c r="E162" s="845">
        <v>0</v>
      </c>
      <c r="F162"/>
      <c r="G162"/>
    </row>
    <row r="163" spans="1:7" hidden="1">
      <c r="A163" s="61" t="s">
        <v>233</v>
      </c>
      <c r="B163" s="845">
        <v>264</v>
      </c>
      <c r="C163" s="845">
        <v>264</v>
      </c>
      <c r="D163" s="845">
        <v>264</v>
      </c>
      <c r="E163" s="845">
        <v>66.666666666666671</v>
      </c>
      <c r="F163"/>
      <c r="G163"/>
    </row>
    <row r="164" spans="1:7" hidden="1">
      <c r="A164" s="61" t="s">
        <v>287</v>
      </c>
      <c r="B164" s="845">
        <v>778</v>
      </c>
      <c r="C164" s="845">
        <v>778</v>
      </c>
      <c r="D164" s="845">
        <v>778</v>
      </c>
      <c r="E164" s="845">
        <v>778</v>
      </c>
      <c r="F164"/>
      <c r="G164"/>
    </row>
    <row r="165" spans="1:7" hidden="1">
      <c r="A165" s="61" t="s">
        <v>246</v>
      </c>
      <c r="B165" s="845">
        <v>612</v>
      </c>
      <c r="C165" s="845">
        <v>612</v>
      </c>
      <c r="D165" s="845">
        <v>612</v>
      </c>
      <c r="E165" s="845">
        <v>66.666666666666671</v>
      </c>
      <c r="F165"/>
      <c r="G165"/>
    </row>
    <row r="166" spans="1:7" hidden="1">
      <c r="A166" s="61" t="s">
        <v>279</v>
      </c>
      <c r="B166" s="845">
        <v>493</v>
      </c>
      <c r="C166" s="845">
        <v>0</v>
      </c>
      <c r="D166" s="845">
        <v>200</v>
      </c>
      <c r="E166" s="845">
        <v>493</v>
      </c>
      <c r="F166"/>
      <c r="G166"/>
    </row>
    <row r="167" spans="1:7" hidden="1">
      <c r="A167" s="61" t="s">
        <v>189</v>
      </c>
      <c r="B167" s="845">
        <v>307</v>
      </c>
      <c r="C167" s="845">
        <v>307</v>
      </c>
      <c r="D167" s="845">
        <v>280</v>
      </c>
      <c r="E167" s="845">
        <v>307</v>
      </c>
      <c r="F167"/>
      <c r="G167"/>
    </row>
    <row r="168" spans="1:7" hidden="1">
      <c r="A168" s="61" t="s">
        <v>280</v>
      </c>
      <c r="B168" s="845">
        <v>189</v>
      </c>
      <c r="C168" s="845">
        <v>0</v>
      </c>
      <c r="D168" s="845">
        <v>160</v>
      </c>
      <c r="E168" s="845">
        <v>189</v>
      </c>
      <c r="F168"/>
      <c r="G168"/>
    </row>
    <row r="169" spans="1:7" hidden="1">
      <c r="A169" s="61" t="s">
        <v>267</v>
      </c>
      <c r="B169" s="845">
        <v>38</v>
      </c>
      <c r="C169" s="845">
        <v>38</v>
      </c>
      <c r="D169" s="845">
        <v>38</v>
      </c>
      <c r="E169" s="845">
        <v>38</v>
      </c>
      <c r="F169"/>
      <c r="G169"/>
    </row>
    <row r="170" spans="1:7" hidden="1">
      <c r="A170" s="61" t="s">
        <v>288</v>
      </c>
      <c r="B170" s="845">
        <v>4010</v>
      </c>
      <c r="C170" s="845">
        <v>3475</v>
      </c>
      <c r="D170" s="845">
        <v>3000</v>
      </c>
      <c r="E170" s="845">
        <v>4010</v>
      </c>
      <c r="F170"/>
      <c r="G170"/>
    </row>
    <row r="171" spans="1:7" hidden="1">
      <c r="A171" s="61" t="s">
        <v>1685</v>
      </c>
      <c r="B171" s="845">
        <v>1409</v>
      </c>
      <c r="C171" s="845">
        <v>0</v>
      </c>
      <c r="D171" s="845">
        <v>0</v>
      </c>
      <c r="E171" s="845">
        <v>0</v>
      </c>
      <c r="F171"/>
      <c r="G171"/>
    </row>
    <row r="172" spans="1:7" hidden="1">
      <c r="A172" s="61" t="s">
        <v>195</v>
      </c>
      <c r="B172" s="845">
        <v>325</v>
      </c>
      <c r="C172" s="845">
        <v>325</v>
      </c>
      <c r="D172" s="845">
        <v>325</v>
      </c>
      <c r="E172" s="845">
        <v>0</v>
      </c>
    </row>
    <row r="173" spans="1:7" hidden="1">
      <c r="A173" s="61" t="s">
        <v>164</v>
      </c>
      <c r="B173" s="845">
        <v>136</v>
      </c>
      <c r="C173" s="845">
        <v>136</v>
      </c>
      <c r="D173" s="845">
        <v>136</v>
      </c>
      <c r="E173" s="845">
        <v>136</v>
      </c>
    </row>
    <row r="174" spans="1:7" hidden="1">
      <c r="A174" s="61" t="s">
        <v>235</v>
      </c>
      <c r="B174" s="845">
        <v>173</v>
      </c>
      <c r="C174" s="845">
        <v>173</v>
      </c>
      <c r="D174" s="845">
        <v>173</v>
      </c>
      <c r="E174" s="845">
        <v>0</v>
      </c>
    </row>
    <row r="175" spans="1:7" hidden="1">
      <c r="A175" s="61" t="s">
        <v>294</v>
      </c>
      <c r="B175" s="845">
        <v>253</v>
      </c>
      <c r="C175" s="845">
        <v>253</v>
      </c>
      <c r="D175" s="845">
        <v>253</v>
      </c>
      <c r="E175" s="845">
        <v>253</v>
      </c>
    </row>
    <row r="176" spans="1:7" hidden="1">
      <c r="A176" s="61" t="s">
        <v>151</v>
      </c>
      <c r="B176" s="845">
        <v>1775</v>
      </c>
      <c r="C176" s="845">
        <v>1775</v>
      </c>
      <c r="D176" s="845">
        <v>1775</v>
      </c>
      <c r="E176" s="845">
        <v>266.66666666666669</v>
      </c>
    </row>
    <row r="177" spans="1:5" hidden="1">
      <c r="A177" s="61" t="s">
        <v>196</v>
      </c>
      <c r="B177" s="845">
        <v>103</v>
      </c>
      <c r="C177" s="845">
        <v>103</v>
      </c>
      <c r="D177" s="845">
        <v>103</v>
      </c>
      <c r="E177" s="845">
        <v>103</v>
      </c>
    </row>
    <row r="178" spans="1:5" hidden="1">
      <c r="A178" s="61" t="s">
        <v>199</v>
      </c>
      <c r="B178" s="845">
        <v>80</v>
      </c>
      <c r="C178" s="845">
        <v>80</v>
      </c>
      <c r="D178" s="845">
        <v>80</v>
      </c>
      <c r="E178" s="845">
        <v>80</v>
      </c>
    </row>
    <row r="179" spans="1:5" hidden="1">
      <c r="A179" s="61" t="s">
        <v>176</v>
      </c>
      <c r="B179" s="845">
        <v>534</v>
      </c>
      <c r="C179" s="845">
        <v>534</v>
      </c>
      <c r="D179" s="845">
        <v>260</v>
      </c>
      <c r="E179" s="845">
        <v>534</v>
      </c>
    </row>
    <row r="180" spans="1:5" hidden="1">
      <c r="A180" s="61" t="s">
        <v>273</v>
      </c>
      <c r="B180" s="845">
        <v>111</v>
      </c>
      <c r="C180" s="845">
        <v>0</v>
      </c>
      <c r="D180" s="845">
        <v>111</v>
      </c>
      <c r="E180" s="845">
        <v>111</v>
      </c>
    </row>
    <row r="181" spans="1:5" hidden="1">
      <c r="A181" s="61" t="s">
        <v>190</v>
      </c>
      <c r="B181" s="845">
        <v>958</v>
      </c>
      <c r="C181" s="845">
        <v>958</v>
      </c>
      <c r="D181" s="845">
        <v>958</v>
      </c>
      <c r="E181" s="845">
        <v>0</v>
      </c>
    </row>
    <row r="182" spans="1:5" hidden="1">
      <c r="A182" s="61" t="s">
        <v>223</v>
      </c>
      <c r="B182" s="845">
        <v>259</v>
      </c>
      <c r="C182" s="845">
        <v>175</v>
      </c>
      <c r="D182" s="845">
        <v>180</v>
      </c>
      <c r="E182" s="845">
        <v>259</v>
      </c>
    </row>
    <row r="183" spans="1:5" hidden="1">
      <c r="A183" s="61" t="s">
        <v>224</v>
      </c>
      <c r="B183" s="845">
        <v>169</v>
      </c>
      <c r="C183" s="845">
        <v>169</v>
      </c>
      <c r="D183" s="845">
        <v>169</v>
      </c>
      <c r="E183" s="845">
        <v>169</v>
      </c>
    </row>
    <row r="184" spans="1:5" hidden="1">
      <c r="A184" s="61" t="s">
        <v>177</v>
      </c>
      <c r="B184" s="845">
        <v>499</v>
      </c>
      <c r="C184" s="845">
        <v>499</v>
      </c>
      <c r="D184" s="845">
        <v>340</v>
      </c>
      <c r="E184" s="845">
        <v>499</v>
      </c>
    </row>
    <row r="185" spans="1:5" hidden="1">
      <c r="A185" s="61" t="s">
        <v>147</v>
      </c>
      <c r="B185" s="845">
        <v>122</v>
      </c>
      <c r="C185" s="845">
        <v>122</v>
      </c>
      <c r="D185" s="845">
        <v>120</v>
      </c>
      <c r="E185" s="845">
        <v>122</v>
      </c>
    </row>
    <row r="186" spans="1:5" hidden="1">
      <c r="A186" s="61" t="s">
        <v>247</v>
      </c>
      <c r="B186" s="845">
        <v>52</v>
      </c>
      <c r="C186" s="845">
        <v>52</v>
      </c>
      <c r="D186" s="845">
        <v>52</v>
      </c>
      <c r="E186" s="845">
        <v>52</v>
      </c>
    </row>
    <row r="187" spans="1:5" hidden="1">
      <c r="A187" s="61" t="s">
        <v>192</v>
      </c>
      <c r="B187" s="845">
        <v>32</v>
      </c>
      <c r="C187" s="845">
        <v>0</v>
      </c>
      <c r="D187" s="845">
        <v>0</v>
      </c>
      <c r="E187" s="845">
        <v>0</v>
      </c>
    </row>
    <row r="188" spans="1:5" hidden="1">
      <c r="A188" s="61" t="s">
        <v>1155</v>
      </c>
      <c r="B188" s="845">
        <v>152</v>
      </c>
      <c r="C188" s="845">
        <v>0</v>
      </c>
      <c r="D188" s="845">
        <v>0</v>
      </c>
      <c r="E188" s="845">
        <v>0</v>
      </c>
    </row>
    <row r="189" spans="1:5" hidden="1">
      <c r="A189" s="61" t="s">
        <v>178</v>
      </c>
      <c r="B189" s="845">
        <v>351</v>
      </c>
      <c r="C189" s="845">
        <v>351</v>
      </c>
      <c r="D189" s="845">
        <v>220</v>
      </c>
      <c r="E189" s="845">
        <v>351</v>
      </c>
    </row>
    <row r="190" spans="1:5" hidden="1">
      <c r="A190" s="61" t="s">
        <v>274</v>
      </c>
      <c r="B190" s="845">
        <v>253</v>
      </c>
      <c r="C190" s="845">
        <v>253</v>
      </c>
      <c r="D190" s="845">
        <v>253</v>
      </c>
      <c r="E190" s="845">
        <v>253</v>
      </c>
    </row>
    <row r="191" spans="1:5" hidden="1">
      <c r="A191" s="61" t="s">
        <v>275</v>
      </c>
      <c r="B191" s="845">
        <v>77</v>
      </c>
      <c r="C191" s="845">
        <v>0</v>
      </c>
      <c r="D191" s="845">
        <v>77</v>
      </c>
      <c r="E191" s="845">
        <v>77</v>
      </c>
    </row>
    <row r="192" spans="1:5" hidden="1">
      <c r="A192" s="61" t="s">
        <v>179</v>
      </c>
      <c r="B192" s="845">
        <v>165</v>
      </c>
      <c r="C192" s="845">
        <v>165</v>
      </c>
      <c r="D192" s="845">
        <v>100</v>
      </c>
      <c r="E192" s="845">
        <v>165</v>
      </c>
    </row>
    <row r="193" spans="1:5" hidden="1">
      <c r="A193" s="61" t="s">
        <v>180</v>
      </c>
      <c r="B193" s="845">
        <v>219</v>
      </c>
      <c r="C193" s="845">
        <v>219</v>
      </c>
      <c r="D193" s="845">
        <v>219</v>
      </c>
      <c r="E193" s="845">
        <v>219</v>
      </c>
    </row>
    <row r="194" spans="1:5" hidden="1">
      <c r="A194" s="61" t="s">
        <v>282</v>
      </c>
      <c r="B194" s="845">
        <v>186</v>
      </c>
      <c r="C194" s="845">
        <v>0</v>
      </c>
      <c r="D194" s="845">
        <v>140</v>
      </c>
      <c r="E194" s="845">
        <v>186</v>
      </c>
    </row>
    <row r="195" spans="1:5" hidden="1">
      <c r="A195" s="61" t="s">
        <v>1094</v>
      </c>
      <c r="B195" s="845">
        <v>75</v>
      </c>
      <c r="C195" s="845">
        <v>0</v>
      </c>
      <c r="D195" s="845">
        <v>0</v>
      </c>
      <c r="E195" s="845">
        <v>0</v>
      </c>
    </row>
    <row r="196" spans="1:5" hidden="1">
      <c r="A196" s="61" t="s">
        <v>765</v>
      </c>
      <c r="B196" s="845">
        <v>183</v>
      </c>
      <c r="C196" s="845">
        <v>183</v>
      </c>
      <c r="D196" s="845">
        <v>183</v>
      </c>
      <c r="E196" s="845">
        <v>183</v>
      </c>
    </row>
    <row r="197" spans="1:5" hidden="1">
      <c r="A197" s="61" t="s">
        <v>283</v>
      </c>
      <c r="B197" s="845">
        <v>263</v>
      </c>
      <c r="C197" s="845">
        <v>0</v>
      </c>
      <c r="D197" s="845">
        <v>140</v>
      </c>
      <c r="E197" s="845">
        <v>263</v>
      </c>
    </row>
    <row r="198" spans="1:5" hidden="1">
      <c r="A198" s="61" t="s">
        <v>269</v>
      </c>
      <c r="B198" s="845">
        <v>172</v>
      </c>
      <c r="C198" s="845">
        <v>172</v>
      </c>
      <c r="D198" s="845">
        <v>172</v>
      </c>
      <c r="E198" s="845">
        <v>172</v>
      </c>
    </row>
    <row r="199" spans="1:5" hidden="1">
      <c r="A199" s="61" t="s">
        <v>229</v>
      </c>
      <c r="B199" s="845">
        <v>7165</v>
      </c>
      <c r="C199" s="845">
        <v>3000</v>
      </c>
      <c r="D199" s="845">
        <v>4500</v>
      </c>
      <c r="E199" s="845">
        <v>7165</v>
      </c>
    </row>
    <row r="200" spans="1:5" hidden="1">
      <c r="A200" s="61" t="s">
        <v>231</v>
      </c>
      <c r="B200" s="845">
        <v>709</v>
      </c>
      <c r="C200" s="845">
        <v>0</v>
      </c>
      <c r="D200" s="845">
        <v>0</v>
      </c>
      <c r="E200" s="845">
        <v>0</v>
      </c>
    </row>
    <row r="201" spans="1:5" hidden="1">
      <c r="A201" s="61" t="s">
        <v>230</v>
      </c>
      <c r="B201" s="845">
        <v>2550</v>
      </c>
      <c r="C201" s="845">
        <v>0</v>
      </c>
      <c r="D201" s="845">
        <v>0</v>
      </c>
      <c r="E201" s="845">
        <v>0</v>
      </c>
    </row>
    <row r="202" spans="1:5" hidden="1">
      <c r="A202" s="61" t="s">
        <v>212</v>
      </c>
      <c r="B202" s="845">
        <v>59</v>
      </c>
      <c r="C202" s="845">
        <v>59</v>
      </c>
      <c r="D202" s="845">
        <v>59</v>
      </c>
      <c r="E202" s="845">
        <v>59</v>
      </c>
    </row>
    <row r="203" spans="1:5" hidden="1">
      <c r="A203" s="61" t="s">
        <v>270</v>
      </c>
      <c r="B203" s="845">
        <v>67</v>
      </c>
      <c r="C203" s="845">
        <v>67</v>
      </c>
      <c r="D203" s="845">
        <v>67</v>
      </c>
      <c r="E203" s="845">
        <v>0</v>
      </c>
    </row>
    <row r="204" spans="1:5" hidden="1">
      <c r="A204" s="61" t="s">
        <v>739</v>
      </c>
      <c r="B204" s="845">
        <v>1077</v>
      </c>
      <c r="C204" s="845">
        <v>1077</v>
      </c>
      <c r="D204" s="845">
        <v>1077</v>
      </c>
      <c r="E204" s="845">
        <v>1077</v>
      </c>
    </row>
    <row r="205" spans="1:5" hidden="1">
      <c r="A205" s="61" t="s">
        <v>2013</v>
      </c>
      <c r="B205" s="845">
        <v>235</v>
      </c>
      <c r="C205" s="845">
        <v>235</v>
      </c>
      <c r="D205" s="845">
        <v>160</v>
      </c>
      <c r="E205" s="845">
        <v>235</v>
      </c>
    </row>
    <row r="206" spans="1:5" hidden="1">
      <c r="A206" s="61" t="s">
        <v>2014</v>
      </c>
      <c r="B206" s="845">
        <v>396</v>
      </c>
      <c r="C206" s="845">
        <v>396</v>
      </c>
      <c r="D206" s="845">
        <v>120</v>
      </c>
      <c r="E206" s="845">
        <v>396</v>
      </c>
    </row>
    <row r="207" spans="1:5" hidden="1">
      <c r="A207" s="61" t="s">
        <v>2015</v>
      </c>
      <c r="B207" s="845">
        <v>32</v>
      </c>
      <c r="C207" s="845">
        <v>0</v>
      </c>
      <c r="D207" s="845">
        <v>0</v>
      </c>
      <c r="E207" s="845">
        <v>0</v>
      </c>
    </row>
    <row r="208" spans="1:5" hidden="1">
      <c r="A208" s="61" t="s">
        <v>2017</v>
      </c>
      <c r="B208" s="845">
        <v>87</v>
      </c>
      <c r="C208" s="845">
        <v>87</v>
      </c>
      <c r="D208" s="845">
        <v>87</v>
      </c>
      <c r="E208" s="845">
        <v>66.666666666666671</v>
      </c>
    </row>
    <row r="209" spans="1:5" hidden="1">
      <c r="A209" s="61" t="s">
        <v>1064</v>
      </c>
      <c r="B209" s="845">
        <v>449</v>
      </c>
      <c r="C209" s="845">
        <v>0</v>
      </c>
      <c r="D209" s="845">
        <v>0</v>
      </c>
      <c r="E209" s="845">
        <v>0</v>
      </c>
    </row>
    <row r="210" spans="1:5" hidden="1">
      <c r="A210" s="61" t="s">
        <v>2030</v>
      </c>
      <c r="B210" s="845">
        <v>218</v>
      </c>
      <c r="C210" s="845">
        <v>218</v>
      </c>
      <c r="D210" s="845">
        <v>218</v>
      </c>
      <c r="E210" s="845">
        <v>66.666666666666671</v>
      </c>
    </row>
    <row r="211" spans="1:5" hidden="1">
      <c r="A211" s="61" t="s">
        <v>2032</v>
      </c>
      <c r="B211" s="845">
        <v>63</v>
      </c>
      <c r="C211" s="845">
        <v>63</v>
      </c>
      <c r="D211" s="845">
        <v>63</v>
      </c>
      <c r="E211" s="845">
        <v>63</v>
      </c>
    </row>
    <row r="212" spans="1:5" hidden="1">
      <c r="A212" s="61" t="s">
        <v>1116</v>
      </c>
      <c r="B212" s="845">
        <v>39</v>
      </c>
      <c r="C212" s="845">
        <v>39</v>
      </c>
      <c r="D212" s="845">
        <v>39</v>
      </c>
      <c r="E212" s="845">
        <v>39</v>
      </c>
    </row>
    <row r="213" spans="1:5" hidden="1">
      <c r="A213" s="61" t="s">
        <v>2085</v>
      </c>
      <c r="B213" s="845">
        <v>1436</v>
      </c>
      <c r="C213" s="845">
        <v>1436</v>
      </c>
      <c r="D213" s="845">
        <v>1436</v>
      </c>
      <c r="E213" s="845">
        <v>1436</v>
      </c>
    </row>
    <row r="214" spans="1:5" hidden="1">
      <c r="A214" s="61" t="s">
        <v>2086</v>
      </c>
      <c r="B214" s="845">
        <v>329</v>
      </c>
      <c r="C214" s="845">
        <v>329</v>
      </c>
      <c r="D214" s="845">
        <v>240</v>
      </c>
      <c r="E214" s="845">
        <v>329</v>
      </c>
    </row>
    <row r="215" spans="1:5" hidden="1">
      <c r="A215" s="61" t="s">
        <v>2095</v>
      </c>
      <c r="B215" s="845">
        <v>252</v>
      </c>
      <c r="C215" s="845">
        <v>0</v>
      </c>
      <c r="D215" s="845">
        <v>0</v>
      </c>
      <c r="E215" s="845">
        <v>0</v>
      </c>
    </row>
    <row r="216" spans="1:5" hidden="1">
      <c r="A216" s="61" t="s">
        <v>2088</v>
      </c>
      <c r="B216" s="845">
        <v>36</v>
      </c>
      <c r="C216" s="845">
        <v>36</v>
      </c>
      <c r="D216" s="845">
        <v>36</v>
      </c>
      <c r="E216" s="845">
        <v>36</v>
      </c>
    </row>
    <row r="217" spans="1:5" hidden="1">
      <c r="A217" s="61" t="s">
        <v>2087</v>
      </c>
      <c r="B217" s="845">
        <v>187</v>
      </c>
      <c r="C217" s="845">
        <v>187</v>
      </c>
      <c r="D217" s="845">
        <v>120</v>
      </c>
      <c r="E217" s="845">
        <v>187</v>
      </c>
    </row>
    <row r="218" spans="1:5" hidden="1">
      <c r="A218" s="61" t="s">
        <v>2193</v>
      </c>
      <c r="B218" s="845">
        <v>78</v>
      </c>
      <c r="C218" s="845">
        <v>78</v>
      </c>
      <c r="D218" s="845">
        <v>40</v>
      </c>
      <c r="E218" s="845">
        <v>78</v>
      </c>
    </row>
    <row r="219" spans="1:5" hidden="1">
      <c r="A219" s="61" t="s">
        <v>2195</v>
      </c>
      <c r="B219" s="845">
        <v>450</v>
      </c>
      <c r="C219" s="845">
        <v>0</v>
      </c>
      <c r="D219" s="845">
        <v>0</v>
      </c>
      <c r="E219" s="845">
        <v>0</v>
      </c>
    </row>
    <row r="220" spans="1:5" hidden="1">
      <c r="A220" s="61" t="s">
        <v>2198</v>
      </c>
      <c r="B220" s="845">
        <v>114</v>
      </c>
      <c r="C220" s="845">
        <v>114</v>
      </c>
      <c r="D220" s="845">
        <v>80</v>
      </c>
      <c r="E220" s="845">
        <v>114</v>
      </c>
    </row>
    <row r="221" spans="1:5" hidden="1">
      <c r="A221" s="61" t="s">
        <v>2196</v>
      </c>
      <c r="B221" s="845">
        <v>721</v>
      </c>
      <c r="C221" s="845">
        <v>500</v>
      </c>
      <c r="D221" s="845">
        <v>300</v>
      </c>
      <c r="E221" s="845">
        <v>721</v>
      </c>
    </row>
    <row r="222" spans="1:5" hidden="1">
      <c r="A222" s="61" t="s">
        <v>2197</v>
      </c>
      <c r="B222" s="845">
        <v>305</v>
      </c>
      <c r="C222" s="845">
        <v>305</v>
      </c>
      <c r="D222" s="845">
        <v>305</v>
      </c>
      <c r="E222" s="845">
        <v>305</v>
      </c>
    </row>
    <row r="223" spans="1:5" hidden="1">
      <c r="A223" s="61" t="s">
        <v>2192</v>
      </c>
      <c r="B223" s="845">
        <v>474</v>
      </c>
      <c r="C223" s="845">
        <v>474</v>
      </c>
      <c r="D223" s="845">
        <v>240</v>
      </c>
      <c r="E223" s="845">
        <v>400</v>
      </c>
    </row>
    <row r="224" spans="1:5" hidden="1">
      <c r="A224" s="61" t="s">
        <v>2194</v>
      </c>
      <c r="B224" s="845">
        <v>724</v>
      </c>
      <c r="C224" s="845">
        <v>724</v>
      </c>
      <c r="D224" s="845">
        <v>560</v>
      </c>
      <c r="E224" s="845">
        <v>724</v>
      </c>
    </row>
    <row r="225" spans="1:5" hidden="1">
      <c r="A225" s="61" t="s">
        <v>2184</v>
      </c>
      <c r="B225" s="845">
        <v>489</v>
      </c>
      <c r="C225" s="845">
        <v>489</v>
      </c>
      <c r="D225" s="845">
        <v>320</v>
      </c>
      <c r="E225" s="845">
        <v>489</v>
      </c>
    </row>
    <row r="226" spans="1:5" hidden="1">
      <c r="A226" s="61" t="s">
        <v>2191</v>
      </c>
      <c r="B226" s="845">
        <v>356</v>
      </c>
      <c r="C226" s="845">
        <v>356</v>
      </c>
      <c r="D226" s="845">
        <v>160</v>
      </c>
      <c r="E226" s="845">
        <v>356</v>
      </c>
    </row>
    <row r="227" spans="1:5" hidden="1">
      <c r="A227" s="61" t="s">
        <v>2185</v>
      </c>
      <c r="B227" s="845">
        <v>1374</v>
      </c>
      <c r="C227" s="845">
        <v>0</v>
      </c>
      <c r="D227" s="845">
        <v>0</v>
      </c>
      <c r="E227" s="845">
        <v>0</v>
      </c>
    </row>
    <row r="228" spans="1:5" hidden="1">
      <c r="A228" s="61" t="s">
        <v>2313</v>
      </c>
      <c r="B228" s="845">
        <v>53</v>
      </c>
      <c r="C228" s="845">
        <v>53</v>
      </c>
      <c r="D228" s="845">
        <v>0</v>
      </c>
      <c r="E228" s="845">
        <v>0</v>
      </c>
    </row>
    <row r="229" spans="1:5" hidden="1">
      <c r="A229" s="61" t="s">
        <v>2315</v>
      </c>
      <c r="B229" s="845">
        <v>129</v>
      </c>
      <c r="C229" s="845">
        <v>0</v>
      </c>
      <c r="D229" s="845">
        <v>0</v>
      </c>
      <c r="E229" s="845">
        <v>0</v>
      </c>
    </row>
    <row r="230" spans="1:5" hidden="1">
      <c r="A230" s="61" t="s">
        <v>2318</v>
      </c>
      <c r="B230" s="845">
        <v>496</v>
      </c>
      <c r="C230" s="845">
        <v>496</v>
      </c>
      <c r="D230" s="845">
        <v>0</v>
      </c>
      <c r="E230" s="845">
        <v>0</v>
      </c>
    </row>
    <row r="231" spans="1:5" hidden="1">
      <c r="A231" s="61" t="s">
        <v>2324</v>
      </c>
      <c r="B231" s="845">
        <v>154</v>
      </c>
      <c r="C231" s="845">
        <v>154</v>
      </c>
      <c r="D231" s="845">
        <v>154</v>
      </c>
      <c r="E231" s="845">
        <v>154</v>
      </c>
    </row>
    <row r="232" spans="1:5" hidden="1">
      <c r="A232" s="61" t="s">
        <v>2995</v>
      </c>
      <c r="B232" s="845">
        <v>194</v>
      </c>
      <c r="C232" s="845">
        <v>0</v>
      </c>
      <c r="D232" s="845">
        <v>0</v>
      </c>
      <c r="E232" s="845">
        <v>0</v>
      </c>
    </row>
    <row r="233" spans="1:5" hidden="1">
      <c r="A233" s="61" t="s">
        <v>2993</v>
      </c>
      <c r="B233" s="845">
        <v>373</v>
      </c>
      <c r="C233" s="845">
        <v>0</v>
      </c>
      <c r="D233" s="845">
        <v>0</v>
      </c>
      <c r="E233" s="845">
        <v>0</v>
      </c>
    </row>
    <row r="234" spans="1:5" hidden="1">
      <c r="A234" s="61" t="s">
        <v>2994</v>
      </c>
      <c r="B234" s="845">
        <v>1360</v>
      </c>
      <c r="C234" s="845">
        <v>0</v>
      </c>
      <c r="D234" s="845">
        <v>1000</v>
      </c>
      <c r="E234" s="845">
        <v>0</v>
      </c>
    </row>
    <row r="235" spans="1:5" hidden="1">
      <c r="A235" s="61" t="s">
        <v>3034</v>
      </c>
      <c r="B235" s="845">
        <v>140</v>
      </c>
      <c r="C235" s="845">
        <v>0</v>
      </c>
      <c r="D235" s="845">
        <v>0</v>
      </c>
      <c r="E235" s="845">
        <v>0</v>
      </c>
    </row>
    <row r="236" spans="1:5" hidden="1">
      <c r="A236" s="61" t="s">
        <v>3269</v>
      </c>
      <c r="B236" s="845">
        <v>114</v>
      </c>
      <c r="C236" s="845">
        <v>0</v>
      </c>
      <c r="D236" s="845">
        <v>0</v>
      </c>
      <c r="E236" s="845">
        <v>0</v>
      </c>
    </row>
    <row r="237" spans="1:5" hidden="1">
      <c r="A237" s="61" t="s">
        <v>3262</v>
      </c>
      <c r="B237" s="845">
        <v>95</v>
      </c>
      <c r="C237" s="845">
        <v>95</v>
      </c>
      <c r="D237" s="845">
        <v>95</v>
      </c>
      <c r="E237" s="845">
        <v>0</v>
      </c>
    </row>
    <row r="238" spans="1:5" hidden="1">
      <c r="A238" s="61" t="s">
        <v>3279</v>
      </c>
      <c r="B238" s="845">
        <v>2624</v>
      </c>
      <c r="C238" s="845">
        <v>2624</v>
      </c>
      <c r="D238" s="845">
        <v>2040</v>
      </c>
      <c r="E238" s="845">
        <v>316.66666666666669</v>
      </c>
    </row>
    <row r="239" spans="1:5" hidden="1">
      <c r="A239" s="61" t="s">
        <v>3280</v>
      </c>
      <c r="B239" s="845">
        <v>719</v>
      </c>
      <c r="C239" s="845">
        <v>719</v>
      </c>
      <c r="D239" s="845">
        <v>719</v>
      </c>
      <c r="E239" s="845">
        <v>66.666666666666671</v>
      </c>
    </row>
    <row r="240" spans="1:5" hidden="1">
      <c r="A240" s="61" t="s">
        <v>3281</v>
      </c>
      <c r="B240" s="845">
        <v>569</v>
      </c>
      <c r="C240" s="845">
        <v>569</v>
      </c>
      <c r="D240" s="845">
        <v>420</v>
      </c>
      <c r="E240" s="845">
        <v>316.66666666666669</v>
      </c>
    </row>
    <row r="241" spans="1:5" hidden="1">
      <c r="A241" s="61" t="s">
        <v>3282</v>
      </c>
      <c r="B241" s="845">
        <v>259</v>
      </c>
      <c r="C241" s="845">
        <v>259</v>
      </c>
      <c r="D241" s="845">
        <v>180</v>
      </c>
      <c r="E241" s="845">
        <v>259</v>
      </c>
    </row>
    <row r="242" spans="1:5" hidden="1">
      <c r="A242" s="61" t="s">
        <v>1669</v>
      </c>
      <c r="B242" s="845">
        <v>129463</v>
      </c>
      <c r="C242" s="845">
        <v>83434</v>
      </c>
      <c r="D242" s="845">
        <v>81544</v>
      </c>
      <c r="E242" s="845">
        <v>70106.133333333331</v>
      </c>
    </row>
    <row r="243" spans="1:5" hidden="1">
      <c r="A243"/>
      <c r="B243"/>
      <c r="C243"/>
      <c r="D243"/>
      <c r="E243"/>
    </row>
    <row r="244" spans="1:5" hidden="1">
      <c r="A244"/>
      <c r="B244"/>
      <c r="C244"/>
      <c r="D244"/>
      <c r="E244"/>
    </row>
    <row r="245" spans="1:5" hidden="1">
      <c r="A245"/>
      <c r="B245"/>
      <c r="C245"/>
      <c r="D245"/>
      <c r="E245"/>
    </row>
    <row r="246" spans="1:5" hidden="1">
      <c r="A246"/>
      <c r="B246"/>
      <c r="C246"/>
      <c r="D246"/>
      <c r="E246"/>
    </row>
    <row r="247" spans="1:5" hidden="1">
      <c r="A247"/>
      <c r="B247"/>
      <c r="C247"/>
      <c r="D247"/>
      <c r="E247"/>
    </row>
    <row r="248" spans="1:5" hidden="1">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115"/>
  <sheetViews>
    <sheetView showGridLines="0" workbookViewId="0">
      <selection activeCell="I36" sqref="I36"/>
    </sheetView>
  </sheetViews>
  <sheetFormatPr defaultColWidth="14" defaultRowHeight="15.75"/>
  <cols>
    <col min="9" max="9" width="22.625" customWidth="1"/>
    <col min="10" max="10" width="24.75" customWidth="1"/>
    <col min="11" max="11" width="42.5" customWidth="1"/>
    <col min="12" max="12" width="14" hidden="1" customWidth="1"/>
    <col min="13" max="13" width="17.25" hidden="1" customWidth="1"/>
    <col min="14" max="14" width="57" hidden="1" customWidth="1"/>
    <col min="15" max="15" width="45.375" hidden="1" customWidth="1"/>
    <col min="16" max="16" width="71.75" hidden="1" customWidth="1"/>
  </cols>
  <sheetData>
    <row r="2" spans="12:16">
      <c r="L2" s="753" t="s">
        <v>35</v>
      </c>
      <c r="M2" s="741" t="s">
        <v>1924</v>
      </c>
    </row>
    <row r="3" spans="12:16">
      <c r="N3" s="572"/>
      <c r="O3" s="572"/>
      <c r="P3" s="572"/>
    </row>
    <row r="4" spans="12:16">
      <c r="L4" s="753" t="s">
        <v>24</v>
      </c>
      <c r="M4" s="753" t="s">
        <v>20</v>
      </c>
      <c r="N4" s="741" t="s">
        <v>3102</v>
      </c>
      <c r="O4" s="741" t="s">
        <v>3103</v>
      </c>
      <c r="P4" s="741" t="s">
        <v>3104</v>
      </c>
    </row>
    <row r="5" spans="12:16">
      <c r="L5" s="741" t="s">
        <v>214</v>
      </c>
      <c r="M5" s="741" t="s">
        <v>2518</v>
      </c>
      <c r="N5" s="734">
        <v>0</v>
      </c>
      <c r="O5" s="734">
        <v>560</v>
      </c>
      <c r="P5" s="734">
        <v>665</v>
      </c>
    </row>
    <row r="6" spans="12:16">
      <c r="M6" s="741" t="s">
        <v>2519</v>
      </c>
      <c r="N6" s="734">
        <v>665</v>
      </c>
      <c r="O6" s="734">
        <v>560</v>
      </c>
      <c r="P6" s="734">
        <v>665</v>
      </c>
    </row>
    <row r="7" spans="12:16">
      <c r="L7" s="741" t="s">
        <v>2377</v>
      </c>
      <c r="M7" s="741"/>
      <c r="N7" s="734">
        <v>665</v>
      </c>
      <c r="O7" s="734">
        <v>1120</v>
      </c>
      <c r="P7" s="734">
        <v>1330</v>
      </c>
    </row>
    <row r="8" spans="12:16">
      <c r="L8" s="741" t="s">
        <v>204</v>
      </c>
      <c r="M8" s="741" t="s">
        <v>2518</v>
      </c>
      <c r="N8" s="734">
        <v>52</v>
      </c>
      <c r="O8" s="734">
        <v>40</v>
      </c>
      <c r="P8" s="734">
        <v>52</v>
      </c>
    </row>
    <row r="9" spans="12:16">
      <c r="M9" s="741" t="s">
        <v>2519</v>
      </c>
      <c r="N9" s="734">
        <v>52</v>
      </c>
      <c r="O9" s="734">
        <v>40</v>
      </c>
      <c r="P9" s="734">
        <v>52</v>
      </c>
    </row>
    <row r="10" spans="12:16">
      <c r="L10" s="741" t="s">
        <v>2378</v>
      </c>
      <c r="M10" s="741"/>
      <c r="N10" s="734">
        <v>104</v>
      </c>
      <c r="O10" s="734">
        <v>80</v>
      </c>
      <c r="P10" s="734">
        <v>104</v>
      </c>
    </row>
    <row r="11" spans="12:16">
      <c r="L11" s="741" t="s">
        <v>2318</v>
      </c>
      <c r="M11" s="741" t="s">
        <v>2519</v>
      </c>
      <c r="N11" s="734">
        <v>496</v>
      </c>
      <c r="O11" s="734">
        <v>0</v>
      </c>
      <c r="P11" s="734">
        <v>0</v>
      </c>
    </row>
    <row r="12" spans="12:16">
      <c r="L12" s="741" t="s">
        <v>3319</v>
      </c>
      <c r="M12" s="741"/>
      <c r="N12" s="734">
        <v>496</v>
      </c>
      <c r="O12" s="734">
        <v>0</v>
      </c>
      <c r="P12" s="734">
        <v>0</v>
      </c>
    </row>
    <row r="13" spans="12:16">
      <c r="L13" s="741" t="s">
        <v>760</v>
      </c>
      <c r="M13" s="741" t="s">
        <v>2518</v>
      </c>
      <c r="N13" s="734">
        <v>0</v>
      </c>
      <c r="O13" s="734">
        <v>779</v>
      </c>
      <c r="P13" s="734">
        <v>0</v>
      </c>
    </row>
    <row r="14" spans="12:16">
      <c r="M14" s="741" t="s">
        <v>2519</v>
      </c>
      <c r="N14" s="734">
        <v>0</v>
      </c>
      <c r="O14" s="734">
        <v>779</v>
      </c>
      <c r="P14" s="734">
        <v>0</v>
      </c>
    </row>
    <row r="15" spans="12:16">
      <c r="L15" s="741" t="s">
        <v>2984</v>
      </c>
      <c r="M15" s="741"/>
      <c r="N15" s="734">
        <v>0</v>
      </c>
      <c r="O15" s="734">
        <v>1558</v>
      </c>
      <c r="P15" s="734">
        <v>0</v>
      </c>
    </row>
    <row r="16" spans="12:16">
      <c r="L16" s="741" t="s">
        <v>225</v>
      </c>
      <c r="M16" s="741" t="s">
        <v>2519</v>
      </c>
      <c r="N16" s="734">
        <v>1500</v>
      </c>
      <c r="O16" s="734">
        <v>3662</v>
      </c>
      <c r="P16" s="734">
        <v>3662</v>
      </c>
    </row>
    <row r="17" spans="12:16">
      <c r="L17" s="741" t="s">
        <v>3283</v>
      </c>
      <c r="M17" s="741"/>
      <c r="N17" s="734">
        <v>1500</v>
      </c>
      <c r="O17" s="734">
        <v>3662</v>
      </c>
      <c r="P17" s="734">
        <v>3662</v>
      </c>
    </row>
    <row r="18" spans="12:16">
      <c r="L18" s="741" t="s">
        <v>206</v>
      </c>
      <c r="M18" s="741" t="s">
        <v>2518</v>
      </c>
      <c r="N18" s="734">
        <v>235</v>
      </c>
      <c r="O18" s="734">
        <v>140</v>
      </c>
      <c r="P18" s="734">
        <v>235</v>
      </c>
    </row>
    <row r="19" spans="12:16">
      <c r="M19" s="741" t="s">
        <v>2519</v>
      </c>
      <c r="N19" s="734">
        <v>235</v>
      </c>
      <c r="O19" s="734">
        <v>140</v>
      </c>
      <c r="P19" s="734">
        <v>235</v>
      </c>
    </row>
    <row r="20" spans="12:16">
      <c r="L20" s="741" t="s">
        <v>2379</v>
      </c>
      <c r="M20" s="741"/>
      <c r="N20" s="734">
        <v>470</v>
      </c>
      <c r="O20" s="734">
        <v>280</v>
      </c>
      <c r="P20" s="734">
        <v>470</v>
      </c>
    </row>
    <row r="21" spans="12:16">
      <c r="L21" s="741" t="s">
        <v>232</v>
      </c>
      <c r="M21" s="741" t="s">
        <v>2518</v>
      </c>
      <c r="N21" s="734">
        <v>0</v>
      </c>
      <c r="O21" s="734">
        <v>0</v>
      </c>
      <c r="P21" s="734">
        <v>0</v>
      </c>
    </row>
    <row r="22" spans="12:16">
      <c r="M22" s="741" t="s">
        <v>2519</v>
      </c>
      <c r="N22" s="734">
        <v>0</v>
      </c>
      <c r="O22" s="734">
        <v>0</v>
      </c>
      <c r="P22" s="734">
        <v>680</v>
      </c>
    </row>
    <row r="23" spans="12:16">
      <c r="L23" s="741" t="s">
        <v>2380</v>
      </c>
      <c r="M23" s="741"/>
      <c r="N23" s="734">
        <v>0</v>
      </c>
      <c r="O23" s="734">
        <v>0</v>
      </c>
      <c r="P23" s="734">
        <v>680</v>
      </c>
    </row>
    <row r="24" spans="12:16">
      <c r="L24" s="741" t="s">
        <v>215</v>
      </c>
      <c r="M24" s="741" t="s">
        <v>2518</v>
      </c>
      <c r="N24" s="734">
        <v>0</v>
      </c>
      <c r="O24" s="734">
        <v>60</v>
      </c>
      <c r="P24" s="734">
        <v>106</v>
      </c>
    </row>
    <row r="25" spans="12:16">
      <c r="M25" s="741" t="s">
        <v>2519</v>
      </c>
      <c r="N25" s="734">
        <v>65</v>
      </c>
      <c r="O25" s="734">
        <v>60</v>
      </c>
      <c r="P25" s="734">
        <v>106</v>
      </c>
    </row>
    <row r="26" spans="12:16">
      <c r="L26" s="741" t="s">
        <v>2381</v>
      </c>
      <c r="M26" s="741"/>
      <c r="N26" s="734">
        <v>65</v>
      </c>
      <c r="O26" s="734">
        <v>120</v>
      </c>
      <c r="P26" s="734">
        <v>212</v>
      </c>
    </row>
    <row r="27" spans="12:16">
      <c r="L27" s="741" t="s">
        <v>217</v>
      </c>
      <c r="M27" s="741" t="s">
        <v>2518</v>
      </c>
      <c r="N27" s="734">
        <v>0</v>
      </c>
      <c r="O27" s="734">
        <v>94</v>
      </c>
      <c r="P27" s="734">
        <v>94</v>
      </c>
    </row>
    <row r="28" spans="12:16">
      <c r="M28" s="741" t="s">
        <v>2519</v>
      </c>
      <c r="N28" s="734">
        <v>94</v>
      </c>
      <c r="O28" s="734">
        <v>94</v>
      </c>
      <c r="P28" s="734">
        <v>94</v>
      </c>
    </row>
    <row r="29" spans="12:16">
      <c r="L29" s="741" t="s">
        <v>2382</v>
      </c>
      <c r="M29" s="741"/>
      <c r="N29" s="734">
        <v>94</v>
      </c>
      <c r="O29" s="734">
        <v>188</v>
      </c>
      <c r="P29" s="734">
        <v>188</v>
      </c>
    </row>
    <row r="30" spans="12:16">
      <c r="L30" s="741" t="s">
        <v>742</v>
      </c>
      <c r="M30" s="741" t="s">
        <v>2518</v>
      </c>
      <c r="N30" s="734">
        <v>292</v>
      </c>
      <c r="O30" s="734">
        <v>240</v>
      </c>
      <c r="P30" s="734">
        <v>292</v>
      </c>
    </row>
    <row r="31" spans="12:16">
      <c r="L31" s="741" t="s">
        <v>2985</v>
      </c>
      <c r="M31" s="741"/>
      <c r="N31" s="734">
        <v>292</v>
      </c>
      <c r="O31" s="734">
        <v>240</v>
      </c>
      <c r="P31" s="734">
        <v>292</v>
      </c>
    </row>
    <row r="32" spans="12:16">
      <c r="L32" s="741" t="s">
        <v>721</v>
      </c>
      <c r="M32" s="741" t="s">
        <v>2518</v>
      </c>
      <c r="N32" s="734">
        <v>0</v>
      </c>
      <c r="O32" s="734">
        <v>0</v>
      </c>
      <c r="P32" s="734">
        <v>0</v>
      </c>
    </row>
    <row r="33" spans="12:16">
      <c r="L33" s="741" t="s">
        <v>2986</v>
      </c>
      <c r="M33" s="741"/>
      <c r="N33" s="734">
        <v>0</v>
      </c>
      <c r="O33" s="734">
        <v>0</v>
      </c>
      <c r="P33" s="734">
        <v>0</v>
      </c>
    </row>
    <row r="34" spans="12:16">
      <c r="L34" s="741" t="s">
        <v>1120</v>
      </c>
      <c r="M34" s="741" t="s">
        <v>2519</v>
      </c>
      <c r="N34" s="734">
        <v>137</v>
      </c>
      <c r="O34" s="734">
        <v>0</v>
      </c>
      <c r="P34" s="734">
        <v>0</v>
      </c>
    </row>
    <row r="35" spans="12:16">
      <c r="L35" s="741" t="s">
        <v>3320</v>
      </c>
      <c r="M35" s="741"/>
      <c r="N35" s="734">
        <v>137</v>
      </c>
      <c r="O35" s="734">
        <v>0</v>
      </c>
      <c r="P35" s="734">
        <v>0</v>
      </c>
    </row>
    <row r="36" spans="12:16">
      <c r="L36" s="741" t="s">
        <v>208</v>
      </c>
      <c r="M36" s="741" t="s">
        <v>2518</v>
      </c>
      <c r="N36" s="734">
        <v>800</v>
      </c>
      <c r="O36" s="734">
        <v>380</v>
      </c>
      <c r="P36" s="734">
        <v>800</v>
      </c>
    </row>
    <row r="37" spans="12:16">
      <c r="M37" s="741" t="s">
        <v>2519</v>
      </c>
      <c r="N37" s="734">
        <v>800</v>
      </c>
      <c r="O37" s="734">
        <v>380</v>
      </c>
      <c r="P37" s="734">
        <v>800</v>
      </c>
    </row>
    <row r="38" spans="12:16">
      <c r="L38" s="741" t="s">
        <v>2383</v>
      </c>
      <c r="M38" s="741"/>
      <c r="N38" s="734">
        <v>1600</v>
      </c>
      <c r="O38" s="734">
        <v>760</v>
      </c>
      <c r="P38" s="734">
        <v>1600</v>
      </c>
    </row>
    <row r="39" spans="12:16">
      <c r="L39" s="741" t="s">
        <v>745</v>
      </c>
      <c r="M39" s="741" t="s">
        <v>2518</v>
      </c>
      <c r="N39" s="734">
        <v>182</v>
      </c>
      <c r="O39" s="734">
        <v>160</v>
      </c>
      <c r="P39" s="734">
        <v>6.6666666666666666E-2</v>
      </c>
    </row>
    <row r="40" spans="12:16">
      <c r="L40" s="741" t="s">
        <v>2987</v>
      </c>
      <c r="M40" s="741"/>
      <c r="N40" s="734">
        <v>182</v>
      </c>
      <c r="O40" s="734">
        <v>160</v>
      </c>
      <c r="P40" s="734">
        <v>6.6666666666666666E-2</v>
      </c>
    </row>
    <row r="41" spans="12:16">
      <c r="L41" s="741" t="s">
        <v>218</v>
      </c>
      <c r="M41" s="741" t="s">
        <v>2518</v>
      </c>
      <c r="N41" s="734">
        <v>1258</v>
      </c>
      <c r="O41" s="734">
        <v>760</v>
      </c>
      <c r="P41" s="734">
        <v>1258</v>
      </c>
    </row>
    <row r="42" spans="12:16">
      <c r="M42" s="741" t="s">
        <v>2519</v>
      </c>
      <c r="N42" s="734">
        <v>1258</v>
      </c>
      <c r="O42" s="734">
        <v>760</v>
      </c>
      <c r="P42" s="734">
        <v>1258</v>
      </c>
    </row>
    <row r="43" spans="12:16">
      <c r="L43" s="741" t="s">
        <v>2384</v>
      </c>
      <c r="M43" s="741"/>
      <c r="N43" s="734">
        <v>2516</v>
      </c>
      <c r="O43" s="734">
        <v>1520</v>
      </c>
      <c r="P43" s="734">
        <v>2516</v>
      </c>
    </row>
    <row r="44" spans="12:16">
      <c r="L44" s="741" t="s">
        <v>755</v>
      </c>
      <c r="M44" s="741" t="s">
        <v>2519</v>
      </c>
      <c r="N44" s="734">
        <v>85</v>
      </c>
      <c r="O44" s="734">
        <v>0</v>
      </c>
      <c r="P44" s="734">
        <v>0</v>
      </c>
    </row>
    <row r="45" spans="12:16">
      <c r="L45" s="741" t="s">
        <v>3284</v>
      </c>
      <c r="M45" s="741"/>
      <c r="N45" s="734">
        <v>85</v>
      </c>
      <c r="O45" s="734">
        <v>0</v>
      </c>
      <c r="P45" s="734">
        <v>0</v>
      </c>
    </row>
    <row r="46" spans="12:16">
      <c r="L46" s="741" t="s">
        <v>306</v>
      </c>
      <c r="M46" s="741" t="s">
        <v>2519</v>
      </c>
      <c r="N46" s="734">
        <v>647</v>
      </c>
      <c r="O46" s="734">
        <v>160</v>
      </c>
      <c r="P46" s="734">
        <v>0</v>
      </c>
    </row>
    <row r="47" spans="12:16">
      <c r="L47" s="741" t="s">
        <v>3285</v>
      </c>
      <c r="M47" s="741"/>
      <c r="N47" s="734">
        <v>647</v>
      </c>
      <c r="O47" s="734">
        <v>160</v>
      </c>
      <c r="P47" s="734">
        <v>0</v>
      </c>
    </row>
    <row r="48" spans="12:16">
      <c r="L48" s="741" t="s">
        <v>308</v>
      </c>
      <c r="M48" s="741" t="s">
        <v>2519</v>
      </c>
      <c r="N48" s="734">
        <v>524</v>
      </c>
      <c r="O48" s="734">
        <v>240</v>
      </c>
      <c r="P48" s="734">
        <v>0</v>
      </c>
    </row>
    <row r="49" spans="12:16">
      <c r="L49" s="741" t="s">
        <v>3286</v>
      </c>
      <c r="M49" s="741"/>
      <c r="N49" s="734">
        <v>524</v>
      </c>
      <c r="O49" s="734">
        <v>240</v>
      </c>
      <c r="P49" s="734">
        <v>0</v>
      </c>
    </row>
    <row r="50" spans="12:16">
      <c r="L50" s="741" t="s">
        <v>309</v>
      </c>
      <c r="M50" s="741" t="s">
        <v>2519</v>
      </c>
      <c r="N50" s="734">
        <v>0</v>
      </c>
      <c r="O50" s="734">
        <v>0</v>
      </c>
      <c r="P50" s="734">
        <v>0</v>
      </c>
    </row>
    <row r="51" spans="12:16">
      <c r="L51" s="741" t="s">
        <v>3287</v>
      </c>
      <c r="M51" s="741"/>
      <c r="N51" s="734">
        <v>0</v>
      </c>
      <c r="O51" s="734">
        <v>0</v>
      </c>
      <c r="P51" s="734">
        <v>0</v>
      </c>
    </row>
    <row r="52" spans="12:16">
      <c r="L52" s="741" t="s">
        <v>310</v>
      </c>
      <c r="M52" s="741" t="s">
        <v>2519</v>
      </c>
      <c r="N52" s="734">
        <v>0</v>
      </c>
      <c r="O52" s="734">
        <v>0</v>
      </c>
      <c r="P52" s="734">
        <v>0</v>
      </c>
    </row>
    <row r="53" spans="12:16">
      <c r="L53" s="741" t="s">
        <v>3288</v>
      </c>
      <c r="M53" s="741"/>
      <c r="N53" s="734">
        <v>0</v>
      </c>
      <c r="O53" s="734">
        <v>0</v>
      </c>
      <c r="P53" s="734">
        <v>0</v>
      </c>
    </row>
    <row r="54" spans="12:16">
      <c r="L54" s="741" t="s">
        <v>991</v>
      </c>
      <c r="M54" s="741" t="s">
        <v>2519</v>
      </c>
      <c r="N54" s="734">
        <v>0</v>
      </c>
      <c r="O54" s="734">
        <v>0</v>
      </c>
      <c r="P54" s="734">
        <v>0</v>
      </c>
    </row>
    <row r="55" spans="12:16">
      <c r="L55" s="741" t="s">
        <v>3289</v>
      </c>
      <c r="M55" s="741"/>
      <c r="N55" s="734">
        <v>0</v>
      </c>
      <c r="O55" s="734">
        <v>0</v>
      </c>
      <c r="P55" s="734">
        <v>0</v>
      </c>
    </row>
    <row r="56" spans="12:16">
      <c r="L56" s="741" t="s">
        <v>219</v>
      </c>
      <c r="M56" s="741" t="s">
        <v>2518</v>
      </c>
      <c r="N56" s="734">
        <v>0</v>
      </c>
      <c r="O56" s="734">
        <v>13</v>
      </c>
      <c r="P56" s="734">
        <v>13</v>
      </c>
    </row>
    <row r="57" spans="12:16">
      <c r="M57" s="741" t="s">
        <v>2519</v>
      </c>
      <c r="N57" s="734">
        <v>13</v>
      </c>
      <c r="O57" s="734">
        <v>13</v>
      </c>
      <c r="P57" s="734">
        <v>13</v>
      </c>
    </row>
    <row r="58" spans="12:16">
      <c r="L58" s="741" t="s">
        <v>2385</v>
      </c>
      <c r="M58" s="741"/>
      <c r="N58" s="734">
        <v>13</v>
      </c>
      <c r="O58" s="734">
        <v>26</v>
      </c>
      <c r="P58" s="734">
        <v>26</v>
      </c>
    </row>
    <row r="59" spans="12:16">
      <c r="L59" s="741" t="s">
        <v>749</v>
      </c>
      <c r="M59" s="741" t="s">
        <v>2518</v>
      </c>
      <c r="N59" s="734">
        <v>147</v>
      </c>
      <c r="O59" s="734">
        <v>147</v>
      </c>
      <c r="P59" s="734">
        <v>147</v>
      </c>
    </row>
    <row r="60" spans="12:16">
      <c r="M60" s="741" t="s">
        <v>2519</v>
      </c>
      <c r="N60" s="734">
        <v>135</v>
      </c>
      <c r="O60" s="734">
        <v>135</v>
      </c>
      <c r="P60" s="734">
        <v>135</v>
      </c>
    </row>
    <row r="61" spans="12:16">
      <c r="L61" s="741" t="s">
        <v>2988</v>
      </c>
      <c r="M61" s="741"/>
      <c r="N61" s="734">
        <v>282</v>
      </c>
      <c r="O61" s="734">
        <v>282</v>
      </c>
      <c r="P61" s="734">
        <v>282</v>
      </c>
    </row>
    <row r="62" spans="12:16">
      <c r="L62" s="741" t="s">
        <v>201</v>
      </c>
      <c r="M62" s="741" t="s">
        <v>2518</v>
      </c>
      <c r="N62" s="734">
        <v>807</v>
      </c>
      <c r="O62" s="734">
        <v>800</v>
      </c>
      <c r="P62" s="734">
        <v>807</v>
      </c>
    </row>
    <row r="63" spans="12:16">
      <c r="M63" s="741" t="s">
        <v>2519</v>
      </c>
      <c r="N63" s="734">
        <v>807</v>
      </c>
      <c r="O63" s="734">
        <v>800</v>
      </c>
      <c r="P63" s="734">
        <v>807</v>
      </c>
    </row>
    <row r="64" spans="12:16">
      <c r="L64" s="741" t="s">
        <v>2386</v>
      </c>
      <c r="M64" s="741"/>
      <c r="N64" s="734">
        <v>1614</v>
      </c>
      <c r="O64" s="734">
        <v>1600</v>
      </c>
      <c r="P64" s="734">
        <v>1614</v>
      </c>
    </row>
    <row r="65" spans="12:16">
      <c r="L65" s="741" t="s">
        <v>2313</v>
      </c>
      <c r="M65" s="741" t="s">
        <v>2519</v>
      </c>
      <c r="N65" s="734">
        <v>53</v>
      </c>
      <c r="O65" s="734">
        <v>0</v>
      </c>
      <c r="P65" s="734">
        <v>0</v>
      </c>
    </row>
    <row r="66" spans="12:16">
      <c r="L66" s="741" t="s">
        <v>3321</v>
      </c>
      <c r="M66" s="741"/>
      <c r="N66" s="734">
        <v>53</v>
      </c>
      <c r="O66" s="734">
        <v>0</v>
      </c>
      <c r="P66" s="734">
        <v>0</v>
      </c>
    </row>
    <row r="67" spans="12:16">
      <c r="L67" s="741" t="s">
        <v>221</v>
      </c>
      <c r="M67" s="741" t="s">
        <v>2518</v>
      </c>
      <c r="N67" s="734">
        <v>0</v>
      </c>
      <c r="O67" s="734">
        <v>160</v>
      </c>
      <c r="P67" s="734">
        <v>453</v>
      </c>
    </row>
    <row r="68" spans="12:16">
      <c r="M68" s="741" t="s">
        <v>2519</v>
      </c>
      <c r="N68" s="734">
        <v>453</v>
      </c>
      <c r="O68" s="734">
        <v>160</v>
      </c>
      <c r="P68" s="734">
        <v>453</v>
      </c>
    </row>
    <row r="69" spans="12:16">
      <c r="L69" s="741" t="s">
        <v>2387</v>
      </c>
      <c r="M69" s="741"/>
      <c r="N69" s="734">
        <v>453</v>
      </c>
      <c r="O69" s="734">
        <v>320</v>
      </c>
      <c r="P69" s="734">
        <v>906</v>
      </c>
    </row>
    <row r="70" spans="12:16">
      <c r="L70" s="741" t="s">
        <v>729</v>
      </c>
      <c r="M70" s="741" t="s">
        <v>2519</v>
      </c>
      <c r="N70" s="734">
        <v>190</v>
      </c>
      <c r="O70" s="734">
        <v>0</v>
      </c>
      <c r="P70" s="734">
        <v>0</v>
      </c>
    </row>
    <row r="71" spans="12:16">
      <c r="L71" s="741" t="s">
        <v>3290</v>
      </c>
      <c r="M71" s="741"/>
      <c r="N71" s="734">
        <v>190</v>
      </c>
      <c r="O71" s="734">
        <v>0</v>
      </c>
      <c r="P71" s="734">
        <v>0</v>
      </c>
    </row>
    <row r="72" spans="12:16">
      <c r="L72" s="741" t="s">
        <v>725</v>
      </c>
      <c r="M72" s="741" t="s">
        <v>2519</v>
      </c>
      <c r="N72" s="734">
        <v>95</v>
      </c>
      <c r="O72" s="734">
        <v>111</v>
      </c>
      <c r="P72" s="734">
        <v>111</v>
      </c>
    </row>
    <row r="73" spans="12:16">
      <c r="L73" s="741" t="s">
        <v>3342</v>
      </c>
      <c r="M73" s="741"/>
      <c r="N73" s="734">
        <v>95</v>
      </c>
      <c r="O73" s="734">
        <v>111</v>
      </c>
      <c r="P73" s="734">
        <v>111</v>
      </c>
    </row>
    <row r="74" spans="12:16">
      <c r="L74" s="741" t="s">
        <v>751</v>
      </c>
      <c r="M74" s="741" t="s">
        <v>2518</v>
      </c>
      <c r="N74" s="734">
        <v>0</v>
      </c>
      <c r="O74" s="734">
        <v>207</v>
      </c>
      <c r="P74" s="734">
        <v>0</v>
      </c>
    </row>
    <row r="75" spans="12:16">
      <c r="L75" s="741" t="s">
        <v>2989</v>
      </c>
      <c r="M75" s="741"/>
      <c r="N75" s="734">
        <v>0</v>
      </c>
      <c r="O75" s="734">
        <v>207</v>
      </c>
      <c r="P75" s="734">
        <v>0</v>
      </c>
    </row>
    <row r="76" spans="12:16">
      <c r="L76" s="741" t="s">
        <v>209</v>
      </c>
      <c r="M76" s="741" t="s">
        <v>2518</v>
      </c>
      <c r="N76" s="734">
        <v>49</v>
      </c>
      <c r="O76" s="734">
        <v>40</v>
      </c>
      <c r="P76" s="734">
        <v>49</v>
      </c>
    </row>
    <row r="77" spans="12:16">
      <c r="M77" s="741" t="s">
        <v>2519</v>
      </c>
      <c r="N77" s="734">
        <v>49</v>
      </c>
      <c r="O77" s="734">
        <v>40</v>
      </c>
      <c r="P77" s="734">
        <v>49</v>
      </c>
    </row>
    <row r="78" spans="12:16">
      <c r="L78" s="741" t="s">
        <v>2388</v>
      </c>
      <c r="M78" s="741"/>
      <c r="N78" s="734">
        <v>98</v>
      </c>
      <c r="O78" s="734">
        <v>80</v>
      </c>
      <c r="P78" s="734">
        <v>98</v>
      </c>
    </row>
    <row r="79" spans="12:16">
      <c r="L79" s="741" t="s">
        <v>764</v>
      </c>
      <c r="M79" s="741" t="s">
        <v>2519</v>
      </c>
      <c r="N79" s="734">
        <v>325</v>
      </c>
      <c r="O79" s="734">
        <v>0</v>
      </c>
      <c r="P79" s="734">
        <v>350</v>
      </c>
    </row>
    <row r="80" spans="12:16">
      <c r="L80" s="741" t="s">
        <v>3291</v>
      </c>
      <c r="M80" s="741"/>
      <c r="N80" s="734">
        <v>325</v>
      </c>
      <c r="O80" s="734">
        <v>0</v>
      </c>
      <c r="P80" s="734">
        <v>350</v>
      </c>
    </row>
    <row r="81" spans="12:16">
      <c r="L81" s="741" t="s">
        <v>752</v>
      </c>
      <c r="M81" s="741" t="s">
        <v>2519</v>
      </c>
      <c r="N81" s="734">
        <v>176</v>
      </c>
      <c r="O81" s="734">
        <v>0</v>
      </c>
      <c r="P81" s="734">
        <v>176</v>
      </c>
    </row>
    <row r="82" spans="12:16">
      <c r="L82" s="741" t="s">
        <v>3292</v>
      </c>
      <c r="M82" s="741"/>
      <c r="N82" s="734">
        <v>176</v>
      </c>
      <c r="O82" s="734">
        <v>0</v>
      </c>
      <c r="P82" s="734">
        <v>176</v>
      </c>
    </row>
    <row r="83" spans="12:16">
      <c r="L83" s="741" t="s">
        <v>736</v>
      </c>
      <c r="M83" s="741" t="s">
        <v>2518</v>
      </c>
      <c r="N83" s="734">
        <v>166</v>
      </c>
      <c r="O83" s="734">
        <v>166</v>
      </c>
      <c r="P83" s="734">
        <v>166</v>
      </c>
    </row>
    <row r="84" spans="12:16">
      <c r="M84" s="741" t="s">
        <v>2519</v>
      </c>
      <c r="N84" s="734">
        <v>182</v>
      </c>
      <c r="O84" s="734">
        <v>160</v>
      </c>
      <c r="P84" s="734">
        <v>182</v>
      </c>
    </row>
    <row r="85" spans="12:16">
      <c r="L85" s="741" t="s">
        <v>2990</v>
      </c>
      <c r="M85" s="741"/>
      <c r="N85" s="734">
        <v>348</v>
      </c>
      <c r="O85" s="734">
        <v>326</v>
      </c>
      <c r="P85" s="734">
        <v>348</v>
      </c>
    </row>
    <row r="86" spans="12:16">
      <c r="L86" s="741" t="s">
        <v>748</v>
      </c>
      <c r="M86" s="741" t="s">
        <v>2518</v>
      </c>
      <c r="N86" s="734">
        <v>263</v>
      </c>
      <c r="O86" s="734">
        <v>160</v>
      </c>
      <c r="P86" s="734">
        <v>6.6666666666666666E-2</v>
      </c>
    </row>
    <row r="87" spans="12:16">
      <c r="L87" s="741" t="s">
        <v>2991</v>
      </c>
      <c r="M87" s="741"/>
      <c r="N87" s="734">
        <v>263</v>
      </c>
      <c r="O87" s="734">
        <v>160</v>
      </c>
      <c r="P87" s="734">
        <v>6.6666666666666666E-2</v>
      </c>
    </row>
    <row r="88" spans="12:16">
      <c r="L88" s="741" t="s">
        <v>754</v>
      </c>
      <c r="M88" s="741" t="s">
        <v>2519</v>
      </c>
      <c r="N88" s="734">
        <v>568</v>
      </c>
      <c r="O88" s="734">
        <v>320</v>
      </c>
      <c r="P88" s="734">
        <v>66.666666666666671</v>
      </c>
    </row>
    <row r="89" spans="12:16">
      <c r="L89" s="741" t="s">
        <v>3293</v>
      </c>
      <c r="M89" s="741"/>
      <c r="N89" s="734">
        <v>568</v>
      </c>
      <c r="O89" s="734">
        <v>320</v>
      </c>
      <c r="P89" s="734">
        <v>66.666666666666671</v>
      </c>
    </row>
    <row r="90" spans="12:16">
      <c r="L90" s="741" t="s">
        <v>211</v>
      </c>
      <c r="M90" s="741" t="s">
        <v>2518</v>
      </c>
      <c r="N90" s="734">
        <v>76</v>
      </c>
      <c r="O90" s="734">
        <v>76</v>
      </c>
      <c r="P90" s="734">
        <v>76</v>
      </c>
    </row>
    <row r="91" spans="12:16">
      <c r="M91" s="741" t="s">
        <v>2519</v>
      </c>
      <c r="N91" s="734">
        <v>76</v>
      </c>
      <c r="O91" s="734">
        <v>76</v>
      </c>
      <c r="P91" s="734">
        <v>76</v>
      </c>
    </row>
    <row r="92" spans="12:16">
      <c r="L92" s="741" t="s">
        <v>2389</v>
      </c>
      <c r="M92" s="741"/>
      <c r="N92" s="734">
        <v>152</v>
      </c>
      <c r="O92" s="734">
        <v>152</v>
      </c>
      <c r="P92" s="734">
        <v>152</v>
      </c>
    </row>
    <row r="93" spans="12:16">
      <c r="L93" s="741" t="s">
        <v>738</v>
      </c>
      <c r="M93" s="741" t="s">
        <v>2518</v>
      </c>
      <c r="N93" s="734">
        <v>0</v>
      </c>
      <c r="O93" s="734">
        <v>0</v>
      </c>
      <c r="P93" s="734">
        <v>0</v>
      </c>
    </row>
    <row r="94" spans="12:16">
      <c r="M94" s="741" t="s">
        <v>2519</v>
      </c>
      <c r="N94" s="734">
        <v>27</v>
      </c>
      <c r="O94" s="734">
        <v>27</v>
      </c>
      <c r="P94" s="734">
        <v>0</v>
      </c>
    </row>
    <row r="95" spans="12:16">
      <c r="L95" s="741" t="s">
        <v>2992</v>
      </c>
      <c r="M95" s="741"/>
      <c r="N95" s="734">
        <v>27</v>
      </c>
      <c r="O95" s="734">
        <v>27</v>
      </c>
      <c r="P95" s="734">
        <v>0</v>
      </c>
    </row>
    <row r="96" spans="12:16">
      <c r="L96" s="741" t="s">
        <v>223</v>
      </c>
      <c r="M96" s="741" t="s">
        <v>2518</v>
      </c>
      <c r="N96" s="734">
        <v>0</v>
      </c>
      <c r="O96" s="734">
        <v>180</v>
      </c>
      <c r="P96" s="734">
        <v>259</v>
      </c>
    </row>
    <row r="97" spans="12:16">
      <c r="M97" s="741" t="s">
        <v>2519</v>
      </c>
      <c r="N97" s="734">
        <v>175</v>
      </c>
      <c r="O97" s="734">
        <v>180</v>
      </c>
      <c r="P97" s="734">
        <v>259</v>
      </c>
    </row>
    <row r="98" spans="12:16">
      <c r="L98" s="741" t="s">
        <v>2390</v>
      </c>
      <c r="M98" s="741"/>
      <c r="N98" s="734">
        <v>175</v>
      </c>
      <c r="O98" s="734">
        <v>360</v>
      </c>
      <c r="P98" s="734">
        <v>518</v>
      </c>
    </row>
    <row r="99" spans="12:16">
      <c r="L99" s="741" t="s">
        <v>224</v>
      </c>
      <c r="M99" s="741" t="s">
        <v>2518</v>
      </c>
      <c r="N99" s="734">
        <v>0</v>
      </c>
      <c r="O99" s="734">
        <v>169</v>
      </c>
      <c r="P99" s="734">
        <v>169</v>
      </c>
    </row>
    <row r="100" spans="12:16">
      <c r="M100" s="741" t="s">
        <v>2519</v>
      </c>
      <c r="N100" s="734">
        <v>169</v>
      </c>
      <c r="O100" s="734">
        <v>169</v>
      </c>
      <c r="P100" s="734">
        <v>169</v>
      </c>
    </row>
    <row r="101" spans="12:16">
      <c r="L101" s="741" t="s">
        <v>2391</v>
      </c>
      <c r="M101" s="741"/>
      <c r="N101" s="734">
        <v>169</v>
      </c>
      <c r="O101" s="734">
        <v>338</v>
      </c>
      <c r="P101" s="734">
        <v>338</v>
      </c>
    </row>
    <row r="102" spans="12:16">
      <c r="L102" s="741" t="s">
        <v>229</v>
      </c>
      <c r="M102" s="741" t="s">
        <v>2519</v>
      </c>
      <c r="N102" s="734">
        <v>3000</v>
      </c>
      <c r="O102" s="734">
        <v>4500</v>
      </c>
      <c r="P102" s="734">
        <v>7165</v>
      </c>
    </row>
    <row r="103" spans="12:16">
      <c r="L103" s="741" t="s">
        <v>3294</v>
      </c>
      <c r="M103" s="741"/>
      <c r="N103" s="734">
        <v>3000</v>
      </c>
      <c r="O103" s="734">
        <v>4500</v>
      </c>
      <c r="P103" s="734">
        <v>7165</v>
      </c>
    </row>
    <row r="104" spans="12:16">
      <c r="L104" s="741" t="s">
        <v>231</v>
      </c>
      <c r="M104" s="741" t="s">
        <v>2518</v>
      </c>
      <c r="N104" s="734">
        <v>0</v>
      </c>
      <c r="O104" s="734">
        <v>0</v>
      </c>
      <c r="P104" s="734">
        <v>0</v>
      </c>
    </row>
    <row r="105" spans="12:16">
      <c r="M105" s="741" t="s">
        <v>2519</v>
      </c>
      <c r="N105" s="734">
        <v>0</v>
      </c>
      <c r="O105" s="734">
        <v>0</v>
      </c>
      <c r="P105" s="734">
        <v>0</v>
      </c>
    </row>
    <row r="106" spans="12:16">
      <c r="L106" s="741" t="s">
        <v>2392</v>
      </c>
      <c r="M106" s="741"/>
      <c r="N106" s="734">
        <v>0</v>
      </c>
      <c r="O106" s="734">
        <v>0</v>
      </c>
      <c r="P106" s="734">
        <v>0</v>
      </c>
    </row>
    <row r="107" spans="12:16">
      <c r="L107" s="741" t="s">
        <v>230</v>
      </c>
      <c r="M107" s="741" t="s">
        <v>2518</v>
      </c>
      <c r="N107" s="734">
        <v>0</v>
      </c>
      <c r="O107" s="734">
        <v>0</v>
      </c>
      <c r="P107" s="734">
        <v>0</v>
      </c>
    </row>
    <row r="108" spans="12:16">
      <c r="M108" s="741" t="s">
        <v>2519</v>
      </c>
      <c r="N108" s="734">
        <v>0</v>
      </c>
      <c r="O108" s="734">
        <v>0</v>
      </c>
      <c r="P108" s="734">
        <v>0</v>
      </c>
    </row>
    <row r="109" spans="12:16">
      <c r="L109" s="741" t="s">
        <v>2393</v>
      </c>
      <c r="M109" s="741"/>
      <c r="N109" s="734">
        <v>0</v>
      </c>
      <c r="O109" s="734">
        <v>0</v>
      </c>
      <c r="P109" s="734">
        <v>0</v>
      </c>
    </row>
    <row r="110" spans="12:16">
      <c r="L110" s="741" t="s">
        <v>212</v>
      </c>
      <c r="M110" s="741" t="s">
        <v>2518</v>
      </c>
      <c r="N110" s="734">
        <v>59</v>
      </c>
      <c r="O110" s="734">
        <v>59</v>
      </c>
      <c r="P110" s="734">
        <v>59</v>
      </c>
    </row>
    <row r="111" spans="12:16">
      <c r="M111" s="741" t="s">
        <v>2519</v>
      </c>
      <c r="N111" s="734">
        <v>59</v>
      </c>
      <c r="O111" s="734">
        <v>59</v>
      </c>
      <c r="P111" s="734">
        <v>59</v>
      </c>
    </row>
    <row r="112" spans="12:16">
      <c r="L112" s="741" t="s">
        <v>2394</v>
      </c>
      <c r="M112" s="741"/>
      <c r="N112" s="734">
        <v>118</v>
      </c>
      <c r="O112" s="734">
        <v>118</v>
      </c>
      <c r="P112" s="734">
        <v>118</v>
      </c>
    </row>
    <row r="113" spans="12:16">
      <c r="L113" s="741" t="s">
        <v>3262</v>
      </c>
      <c r="M113" s="741" t="s">
        <v>2519</v>
      </c>
      <c r="N113" s="734">
        <v>95</v>
      </c>
      <c r="O113" s="734">
        <v>95</v>
      </c>
      <c r="P113" s="734">
        <v>0</v>
      </c>
    </row>
    <row r="114" spans="12:16">
      <c r="L114" s="741" t="s">
        <v>3322</v>
      </c>
      <c r="M114" s="741"/>
      <c r="N114" s="734">
        <v>95</v>
      </c>
      <c r="O114" s="734">
        <v>95</v>
      </c>
      <c r="P114" s="734">
        <v>0</v>
      </c>
    </row>
    <row r="115" spans="12:16">
      <c r="L115" s="741" t="s">
        <v>1669</v>
      </c>
      <c r="N115" s="734">
        <v>17591</v>
      </c>
      <c r="O115" s="734">
        <v>19110</v>
      </c>
      <c r="P115" s="734">
        <v>23322.800000000003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12" workbookViewId="0">
      <selection activeCell="G40" sqref="G40"/>
    </sheetView>
  </sheetViews>
  <sheetFormatPr defaultColWidth="9" defaultRowHeight="12.75"/>
  <cols>
    <col min="1" max="3" width="9" style="18"/>
    <col min="4" max="4" width="9" style="70"/>
    <col min="5" max="5" width="15.875" style="69" customWidth="1"/>
    <col min="6" max="14" width="9" style="18"/>
    <col min="15" max="15" width="15.875" style="18" customWidth="1"/>
    <col min="16" max="27" width="9" style="18"/>
    <col min="28" max="28" width="13" style="65" customWidth="1"/>
    <col min="29" max="29" width="16.75" style="65" customWidth="1"/>
    <col min="30" max="16384" width="9" style="18"/>
  </cols>
  <sheetData>
    <row r="1" spans="1:29" ht="14.25" thickTop="1" thickBot="1">
      <c r="A1" s="1" t="s">
        <v>0</v>
      </c>
      <c r="B1" s="1" t="s">
        <v>1</v>
      </c>
      <c r="C1" s="1" t="s">
        <v>2</v>
      </c>
      <c r="D1" s="51" t="s">
        <v>3</v>
      </c>
      <c r="E1" s="51" t="s">
        <v>4</v>
      </c>
      <c r="F1" s="1" t="s">
        <v>1168</v>
      </c>
      <c r="G1" s="1" t="s">
        <v>5</v>
      </c>
      <c r="H1" s="1" t="s">
        <v>6</v>
      </c>
      <c r="I1" s="1" t="s">
        <v>52</v>
      </c>
      <c r="J1" s="1" t="s">
        <v>53</v>
      </c>
      <c r="K1" s="1" t="s">
        <v>56</v>
      </c>
      <c r="L1" s="2" t="s">
        <v>58</v>
      </c>
      <c r="M1" s="2" t="s">
        <v>60</v>
      </c>
      <c r="N1" s="2" t="s">
        <v>123</v>
      </c>
      <c r="O1" s="2" t="s">
        <v>124</v>
      </c>
      <c r="P1" s="2" t="s">
        <v>65</v>
      </c>
      <c r="Q1" s="2" t="s">
        <v>63</v>
      </c>
      <c r="R1" s="3" t="s">
        <v>67</v>
      </c>
      <c r="S1" s="3" t="s">
        <v>1169</v>
      </c>
      <c r="T1" s="4" t="s">
        <v>69</v>
      </c>
      <c r="U1" s="3" t="s">
        <v>70</v>
      </c>
      <c r="V1" s="3" t="s">
        <v>71</v>
      </c>
      <c r="W1" s="5" t="s">
        <v>73</v>
      </c>
      <c r="X1" s="5"/>
      <c r="Y1" s="5" t="s">
        <v>1170</v>
      </c>
      <c r="Z1" s="5" t="s">
        <v>74</v>
      </c>
      <c r="AA1" s="49" t="s">
        <v>75</v>
      </c>
      <c r="AB1" s="65" t="s">
        <v>1171</v>
      </c>
    </row>
    <row r="2" spans="1:29" ht="13.5" thickBot="1">
      <c r="A2" s="11" t="s">
        <v>16</v>
      </c>
      <c r="B2" s="12" t="s">
        <v>16</v>
      </c>
      <c r="C2" s="11" t="s">
        <v>16</v>
      </c>
      <c r="D2" s="55" t="s">
        <v>16</v>
      </c>
      <c r="E2" s="52" t="s">
        <v>16</v>
      </c>
      <c r="F2" s="12" t="s">
        <v>17</v>
      </c>
      <c r="G2" s="11" t="s">
        <v>17</v>
      </c>
      <c r="H2" s="12" t="s">
        <v>55</v>
      </c>
      <c r="I2" s="11" t="s">
        <v>16</v>
      </c>
      <c r="J2" s="12" t="s">
        <v>19</v>
      </c>
      <c r="K2" s="11" t="s">
        <v>57</v>
      </c>
      <c r="L2" s="12" t="s">
        <v>17</v>
      </c>
      <c r="M2" s="11" t="s">
        <v>17</v>
      </c>
      <c r="N2" s="12" t="s">
        <v>17</v>
      </c>
      <c r="O2" s="11" t="s">
        <v>17</v>
      </c>
      <c r="P2" s="12" t="s">
        <v>57</v>
      </c>
      <c r="Q2" s="11" t="s">
        <v>17</v>
      </c>
      <c r="R2" s="12" t="s">
        <v>17</v>
      </c>
      <c r="S2" s="11" t="s">
        <v>17</v>
      </c>
      <c r="T2" s="12" t="s">
        <v>17</v>
      </c>
      <c r="U2" s="11" t="s">
        <v>1172</v>
      </c>
      <c r="V2" s="12" t="s">
        <v>1172</v>
      </c>
      <c r="W2" s="11" t="s">
        <v>17</v>
      </c>
      <c r="X2" s="11"/>
      <c r="Y2" s="12" t="s">
        <v>17</v>
      </c>
      <c r="Z2" s="11" t="s">
        <v>17</v>
      </c>
      <c r="AA2" s="50" t="s">
        <v>17</v>
      </c>
    </row>
    <row r="3" spans="1:29" ht="129" thickTop="1" thickBot="1">
      <c r="A3" s="14" t="s">
        <v>20</v>
      </c>
      <c r="B3" s="13" t="s">
        <v>1173</v>
      </c>
      <c r="C3" s="14" t="s">
        <v>22</v>
      </c>
      <c r="D3" s="56" t="s">
        <v>23</v>
      </c>
      <c r="E3" s="53" t="s">
        <v>24</v>
      </c>
      <c r="F3" s="13" t="s">
        <v>26</v>
      </c>
      <c r="G3" s="14" t="s">
        <v>1174</v>
      </c>
      <c r="H3" s="13" t="s">
        <v>1175</v>
      </c>
      <c r="I3" s="14" t="s">
        <v>1176</v>
      </c>
      <c r="J3" s="13" t="s">
        <v>1177</v>
      </c>
      <c r="K3" s="14" t="s">
        <v>1178</v>
      </c>
      <c r="L3" s="13" t="s">
        <v>1179</v>
      </c>
      <c r="M3" s="14" t="s">
        <v>1180</v>
      </c>
      <c r="N3" s="13" t="s">
        <v>1181</v>
      </c>
      <c r="O3" s="14" t="s">
        <v>1182</v>
      </c>
      <c r="P3" s="13" t="s">
        <v>1183</v>
      </c>
      <c r="Q3" s="14" t="s">
        <v>1184</v>
      </c>
      <c r="R3" s="13" t="s">
        <v>1185</v>
      </c>
      <c r="S3" s="14" t="s">
        <v>1186</v>
      </c>
      <c r="T3" s="13" t="s">
        <v>1187</v>
      </c>
      <c r="U3" s="14" t="s">
        <v>1188</v>
      </c>
      <c r="V3" s="13" t="s">
        <v>1189</v>
      </c>
      <c r="W3" s="16" t="s">
        <v>1190</v>
      </c>
      <c r="X3" s="16" t="s">
        <v>1191</v>
      </c>
      <c r="Y3" s="13" t="s">
        <v>1192</v>
      </c>
      <c r="Z3" s="14" t="s">
        <v>1193</v>
      </c>
      <c r="AA3" s="59" t="s">
        <v>1194</v>
      </c>
      <c r="AB3" s="66" t="s">
        <v>1195</v>
      </c>
      <c r="AC3" s="66" t="s">
        <v>1196</v>
      </c>
    </row>
    <row r="4" spans="1:29" ht="14.25" thickTop="1" thickBot="1">
      <c r="A4" s="10" t="s">
        <v>1197</v>
      </c>
      <c r="B4" s="10" t="s">
        <v>1198</v>
      </c>
      <c r="C4" s="8" t="s">
        <v>39</v>
      </c>
      <c r="D4" s="54" t="s">
        <v>343</v>
      </c>
      <c r="E4" s="54" t="s">
        <v>645</v>
      </c>
      <c r="F4" s="7"/>
      <c r="G4" s="8"/>
      <c r="H4" s="7" t="s">
        <v>43</v>
      </c>
      <c r="I4" s="43" t="s">
        <v>328</v>
      </c>
      <c r="J4" s="7"/>
      <c r="K4" s="15">
        <v>0</v>
      </c>
      <c r="L4" s="7"/>
      <c r="M4" s="8"/>
      <c r="N4" s="7"/>
      <c r="O4" s="8"/>
      <c r="P4" s="7"/>
      <c r="Q4" s="7"/>
      <c r="R4" s="8"/>
      <c r="S4" s="7"/>
      <c r="T4" s="9"/>
      <c r="U4" s="7" t="s">
        <v>145</v>
      </c>
      <c r="V4" s="7" t="s">
        <v>145</v>
      </c>
      <c r="W4" s="7"/>
      <c r="X4" s="7" t="s">
        <v>146</v>
      </c>
      <c r="Y4" s="8"/>
      <c r="Z4" s="7"/>
      <c r="AA4" s="60"/>
      <c r="AB4" s="65" t="s">
        <v>3006</v>
      </c>
      <c r="AC4" s="65" t="s">
        <v>375</v>
      </c>
    </row>
    <row r="5" spans="1:29" ht="14.25" thickTop="1" thickBot="1">
      <c r="A5" s="10" t="s">
        <v>1199</v>
      </c>
      <c r="B5" s="10" t="s">
        <v>332</v>
      </c>
      <c r="C5" s="8" t="s">
        <v>312</v>
      </c>
      <c r="D5" s="54" t="s">
        <v>203</v>
      </c>
      <c r="E5" s="54" t="s">
        <v>558</v>
      </c>
      <c r="F5" s="7"/>
      <c r="G5" s="8"/>
      <c r="H5" s="7" t="s">
        <v>144</v>
      </c>
      <c r="I5" s="43" t="s">
        <v>158</v>
      </c>
      <c r="J5" s="7"/>
      <c r="K5" s="15">
        <v>0.1</v>
      </c>
      <c r="L5" s="7"/>
      <c r="M5" s="8"/>
      <c r="N5" s="7"/>
      <c r="O5" s="8"/>
      <c r="P5" s="7"/>
      <c r="Q5" s="7"/>
      <c r="R5" s="8"/>
      <c r="S5" s="7"/>
      <c r="T5" s="9"/>
      <c r="U5" s="7" t="s">
        <v>1200</v>
      </c>
      <c r="V5" s="7" t="s">
        <v>159</v>
      </c>
      <c r="W5" s="7"/>
      <c r="X5" s="7" t="s">
        <v>237</v>
      </c>
      <c r="Y5" s="8"/>
      <c r="Z5" s="7"/>
      <c r="AA5" s="60"/>
      <c r="AB5" s="65" t="s">
        <v>3006</v>
      </c>
      <c r="AC5" s="65" t="s">
        <v>320</v>
      </c>
    </row>
    <row r="6" spans="1:29" ht="14.25" thickTop="1" thickBot="1">
      <c r="A6" s="10" t="s">
        <v>1201</v>
      </c>
      <c r="B6" s="10" t="s">
        <v>1202</v>
      </c>
      <c r="C6" s="8" t="s">
        <v>716</v>
      </c>
      <c r="D6" s="54" t="s">
        <v>337</v>
      </c>
      <c r="E6" s="54" t="s">
        <v>679</v>
      </c>
      <c r="F6" s="7"/>
      <c r="G6" s="8"/>
      <c r="H6" s="7" t="s">
        <v>301</v>
      </c>
      <c r="I6" s="6" t="s">
        <v>1203</v>
      </c>
      <c r="J6" s="7"/>
      <c r="K6" s="15">
        <v>0.2</v>
      </c>
      <c r="L6" s="7"/>
      <c r="M6" s="8"/>
      <c r="N6" s="7"/>
      <c r="O6" s="8"/>
      <c r="P6" s="7"/>
      <c r="Q6" s="7"/>
      <c r="R6" s="8"/>
      <c r="S6" s="7"/>
      <c r="T6" s="9"/>
      <c r="U6" s="7" t="s">
        <v>194</v>
      </c>
      <c r="V6" s="7" t="s">
        <v>194</v>
      </c>
      <c r="W6" s="7"/>
      <c r="X6" s="7" t="s">
        <v>153</v>
      </c>
      <c r="Y6" s="8"/>
      <c r="Z6" s="7"/>
      <c r="AA6" s="60"/>
      <c r="AB6" s="65" t="s">
        <v>3006</v>
      </c>
      <c r="AC6" s="65" t="s">
        <v>330</v>
      </c>
    </row>
    <row r="7" spans="1:29" ht="14.25" thickTop="1" thickBot="1">
      <c r="A7" s="10" t="s">
        <v>1204</v>
      </c>
      <c r="B7" s="10" t="s">
        <v>1205</v>
      </c>
      <c r="D7" s="54" t="s">
        <v>154</v>
      </c>
      <c r="E7" s="54" t="s">
        <v>597</v>
      </c>
      <c r="F7" s="7"/>
      <c r="G7" s="8"/>
      <c r="H7" s="7"/>
      <c r="I7" s="43" t="s">
        <v>345</v>
      </c>
      <c r="J7" s="7"/>
      <c r="K7" s="15">
        <v>0.3</v>
      </c>
      <c r="L7" s="7"/>
      <c r="M7" s="8"/>
      <c r="N7" s="7"/>
      <c r="O7" s="8"/>
      <c r="P7" s="7"/>
      <c r="Q7" s="7"/>
      <c r="R7" s="8"/>
      <c r="S7" s="7"/>
      <c r="T7" s="9"/>
      <c r="U7" s="7" t="s">
        <v>148</v>
      </c>
      <c r="V7" s="7" t="s">
        <v>148</v>
      </c>
      <c r="W7" s="7"/>
      <c r="X7" s="7"/>
      <c r="Y7" s="8"/>
      <c r="Z7" s="7"/>
      <c r="AA7" s="60"/>
      <c r="AB7" s="65" t="s">
        <v>3006</v>
      </c>
      <c r="AC7" s="65" t="s">
        <v>489</v>
      </c>
    </row>
    <row r="8" spans="1:29" ht="14.25" thickTop="1" thickBot="1">
      <c r="A8" s="10" t="s">
        <v>1206</v>
      </c>
      <c r="B8" s="10" t="s">
        <v>1207</v>
      </c>
      <c r="D8" s="54" t="s">
        <v>156</v>
      </c>
      <c r="E8" s="54" t="s">
        <v>619</v>
      </c>
      <c r="F8" s="7"/>
      <c r="G8" s="8"/>
      <c r="H8" s="7"/>
      <c r="I8" s="57" t="s">
        <v>1208</v>
      </c>
      <c r="J8" s="7"/>
      <c r="K8" s="15">
        <v>0.4</v>
      </c>
      <c r="L8" s="7"/>
      <c r="M8" s="8"/>
      <c r="N8" s="7"/>
      <c r="O8" s="8"/>
      <c r="P8" s="7"/>
      <c r="Q8" s="7"/>
      <c r="R8" s="8"/>
      <c r="S8" s="7"/>
      <c r="T8" s="9"/>
      <c r="U8" s="68"/>
      <c r="V8" s="68"/>
      <c r="W8" s="7"/>
      <c r="X8" s="7"/>
      <c r="Y8" s="8"/>
      <c r="Z8" s="7"/>
      <c r="AA8" s="60"/>
      <c r="AB8" s="65" t="s">
        <v>3006</v>
      </c>
      <c r="AC8" s="65" t="s">
        <v>417</v>
      </c>
    </row>
    <row r="9" spans="1:29" ht="13.5" thickBot="1">
      <c r="A9" s="10" t="s">
        <v>1209</v>
      </c>
      <c r="B9" s="10" t="s">
        <v>2355</v>
      </c>
      <c r="D9" s="54" t="s">
        <v>735</v>
      </c>
      <c r="E9" s="54" t="s">
        <v>666</v>
      </c>
      <c r="F9" s="7"/>
      <c r="G9" s="8"/>
      <c r="H9" s="7"/>
      <c r="I9" s="42" t="s">
        <v>1210</v>
      </c>
      <c r="J9" s="7"/>
      <c r="K9" s="15">
        <v>0.5</v>
      </c>
      <c r="L9" s="7"/>
      <c r="M9" s="8"/>
      <c r="N9" s="7"/>
      <c r="O9" s="8"/>
      <c r="P9" s="7"/>
      <c r="Q9" s="7"/>
      <c r="R9" s="8"/>
      <c r="S9" s="7"/>
      <c r="T9" s="9"/>
      <c r="U9" s="7"/>
      <c r="V9" s="8"/>
      <c r="W9" s="7"/>
      <c r="X9" s="7"/>
      <c r="Y9" s="8"/>
      <c r="Z9" s="7"/>
      <c r="AA9" s="60"/>
      <c r="AB9" s="65" t="s">
        <v>3006</v>
      </c>
      <c r="AC9" s="65" t="s">
        <v>420</v>
      </c>
    </row>
    <row r="10" spans="1:29" ht="13.5" thickBot="1">
      <c r="A10" s="10" t="s">
        <v>1211</v>
      </c>
      <c r="B10" s="10" t="s">
        <v>322</v>
      </c>
      <c r="D10" s="54" t="s">
        <v>757</v>
      </c>
      <c r="E10" s="54" t="s">
        <v>954</v>
      </c>
      <c r="F10" s="7"/>
      <c r="G10" s="8"/>
      <c r="H10" s="7"/>
      <c r="I10" s="42" t="s">
        <v>1213</v>
      </c>
      <c r="J10" s="7"/>
      <c r="K10" s="15">
        <v>0.6</v>
      </c>
      <c r="L10" s="7"/>
      <c r="M10" s="8"/>
      <c r="N10" s="7"/>
      <c r="O10" s="8"/>
      <c r="P10" s="7"/>
      <c r="Q10" s="7"/>
      <c r="R10" s="8"/>
      <c r="S10" s="7"/>
      <c r="T10" s="9"/>
      <c r="U10" s="7"/>
      <c r="V10" s="8"/>
      <c r="W10" s="7"/>
      <c r="X10" s="7"/>
      <c r="Y10" s="8"/>
      <c r="Z10" s="7"/>
      <c r="AA10" s="60"/>
      <c r="AB10" s="65" t="s">
        <v>3006</v>
      </c>
      <c r="AC10" s="65" t="s">
        <v>470</v>
      </c>
    </row>
    <row r="11" spans="1:29" ht="13.5" thickBot="1">
      <c r="A11" s="10" t="s">
        <v>1211</v>
      </c>
      <c r="B11" s="10" t="s">
        <v>1212</v>
      </c>
      <c r="D11" s="54" t="s">
        <v>789</v>
      </c>
      <c r="E11" s="54" t="s">
        <v>556</v>
      </c>
      <c r="F11" s="7"/>
      <c r="G11" s="8"/>
      <c r="H11" s="7"/>
      <c r="I11" s="744" t="s">
        <v>315</v>
      </c>
      <c r="J11" s="7"/>
      <c r="K11" s="15">
        <v>0.7</v>
      </c>
      <c r="L11" s="7"/>
      <c r="M11" s="8"/>
      <c r="N11" s="7"/>
      <c r="O11" s="8"/>
      <c r="P11" s="7"/>
      <c r="Q11" s="7"/>
      <c r="R11" s="8"/>
      <c r="S11" s="7"/>
      <c r="T11" s="9"/>
      <c r="U11" s="7"/>
      <c r="V11" s="8"/>
      <c r="W11" s="7"/>
      <c r="X11" s="7"/>
      <c r="Y11" s="8"/>
      <c r="Z11" s="7"/>
      <c r="AA11" s="60"/>
      <c r="AB11" s="65" t="s">
        <v>3006</v>
      </c>
      <c r="AC11" s="65" t="s">
        <v>372</v>
      </c>
    </row>
    <row r="12" spans="1:29" ht="13.5" thickBot="1">
      <c r="A12" s="10" t="s">
        <v>1214</v>
      </c>
      <c r="B12" s="10" t="s">
        <v>336</v>
      </c>
      <c r="D12" s="54" t="s">
        <v>1087</v>
      </c>
      <c r="E12" s="54" t="s">
        <v>585</v>
      </c>
      <c r="F12" s="7"/>
      <c r="G12" s="8"/>
      <c r="H12" s="7"/>
      <c r="I12" s="30" t="s">
        <v>236</v>
      </c>
      <c r="J12" s="7"/>
      <c r="K12" s="15">
        <v>0.8</v>
      </c>
      <c r="L12" s="7"/>
      <c r="M12" s="8"/>
      <c r="N12" s="7"/>
      <c r="O12" s="8"/>
      <c r="P12" s="7"/>
      <c r="Q12" s="7"/>
      <c r="R12" s="8"/>
      <c r="S12" s="7"/>
      <c r="T12" s="9"/>
      <c r="U12" s="7"/>
      <c r="V12" s="8"/>
      <c r="W12" s="7"/>
      <c r="X12" s="7"/>
      <c r="Y12" s="8"/>
      <c r="Z12" s="7"/>
      <c r="AA12" s="60"/>
      <c r="AB12" s="65" t="s">
        <v>3006</v>
      </c>
      <c r="AC12" s="65" t="s">
        <v>313</v>
      </c>
    </row>
    <row r="13" spans="1:29" ht="13.5" thickBot="1">
      <c r="A13" s="10" t="s">
        <v>1216</v>
      </c>
      <c r="B13" s="10" t="s">
        <v>1215</v>
      </c>
      <c r="C13" s="68"/>
      <c r="D13" s="54" t="s">
        <v>720</v>
      </c>
      <c r="E13" s="54" t="s">
        <v>607</v>
      </c>
      <c r="F13" s="7"/>
      <c r="G13" s="8"/>
      <c r="H13" s="7"/>
      <c r="I13" s="30" t="s">
        <v>42</v>
      </c>
      <c r="J13" s="7"/>
      <c r="K13" s="15">
        <v>0.9</v>
      </c>
      <c r="L13" s="7"/>
      <c r="M13" s="8"/>
      <c r="N13" s="7"/>
      <c r="O13" s="8"/>
      <c r="P13" s="7"/>
      <c r="Q13" s="7"/>
      <c r="R13" s="8"/>
      <c r="S13" s="7"/>
      <c r="T13" s="9"/>
      <c r="U13" s="7"/>
      <c r="V13" s="8"/>
      <c r="W13" s="7"/>
      <c r="X13" s="7"/>
      <c r="Y13" s="8"/>
      <c r="Z13" s="7"/>
      <c r="AA13" s="60"/>
      <c r="AB13" s="65" t="s">
        <v>39</v>
      </c>
      <c r="AC13" s="65" t="s">
        <v>203</v>
      </c>
    </row>
    <row r="14" spans="1:29" ht="13.5" thickBot="1">
      <c r="A14" s="10" t="s">
        <v>1218</v>
      </c>
      <c r="B14" s="10" t="s">
        <v>1217</v>
      </c>
      <c r="D14" s="54" t="s">
        <v>375</v>
      </c>
      <c r="E14" s="54" t="s">
        <v>599</v>
      </c>
      <c r="F14" s="7"/>
      <c r="G14" s="8"/>
      <c r="H14" s="7"/>
      <c r="I14" s="48" t="s">
        <v>234</v>
      </c>
      <c r="J14" s="7"/>
      <c r="K14" s="15">
        <v>1</v>
      </c>
      <c r="L14" s="7"/>
      <c r="M14" s="8"/>
      <c r="N14" s="7"/>
      <c r="O14" s="8"/>
      <c r="P14" s="7"/>
      <c r="Q14" s="7"/>
      <c r="R14" s="8"/>
      <c r="S14" s="7"/>
      <c r="T14" s="9"/>
      <c r="U14" s="7"/>
      <c r="V14" s="8"/>
      <c r="W14" s="7"/>
      <c r="X14" s="7"/>
      <c r="Y14" s="8"/>
      <c r="Z14" s="7"/>
      <c r="AA14" s="60"/>
      <c r="AB14" s="65" t="s">
        <v>39</v>
      </c>
      <c r="AC14" s="65" t="s">
        <v>154</v>
      </c>
    </row>
    <row r="15" spans="1:29" ht="13.5" thickBot="1">
      <c r="A15" s="10" t="s">
        <v>1220</v>
      </c>
      <c r="B15" s="10" t="s">
        <v>1219</v>
      </c>
      <c r="D15" s="54" t="s">
        <v>320</v>
      </c>
      <c r="E15" s="54" t="s">
        <v>568</v>
      </c>
      <c r="F15" s="7"/>
      <c r="G15" s="8"/>
      <c r="H15" s="7"/>
      <c r="I15" s="30" t="s">
        <v>300</v>
      </c>
      <c r="J15" s="7"/>
      <c r="K15" s="8"/>
      <c r="L15" s="7"/>
      <c r="M15" s="8"/>
      <c r="N15" s="7"/>
      <c r="O15" s="8"/>
      <c r="P15" s="7"/>
      <c r="Q15" s="7"/>
      <c r="R15" s="8"/>
      <c r="S15" s="7"/>
      <c r="T15" s="9"/>
      <c r="U15" s="7"/>
      <c r="V15" s="8"/>
      <c r="W15" s="7"/>
      <c r="X15" s="7"/>
      <c r="Y15" s="8"/>
      <c r="Z15" s="7"/>
      <c r="AA15" s="60"/>
      <c r="AB15" s="65" t="s">
        <v>39</v>
      </c>
      <c r="AC15" s="65" t="s">
        <v>156</v>
      </c>
    </row>
    <row r="16" spans="1:29" ht="13.5" thickBot="1">
      <c r="A16" s="10" t="s">
        <v>1223</v>
      </c>
      <c r="B16" s="10" t="s">
        <v>1221</v>
      </c>
      <c r="D16" s="54" t="s">
        <v>1092</v>
      </c>
      <c r="E16" s="54" t="s">
        <v>569</v>
      </c>
      <c r="F16" s="7"/>
      <c r="G16" s="8"/>
      <c r="H16" s="7"/>
      <c r="I16" s="30" t="s">
        <v>719</v>
      </c>
      <c r="J16" s="7"/>
      <c r="K16" s="8"/>
      <c r="L16" s="7"/>
      <c r="M16" s="8"/>
      <c r="N16" s="7"/>
      <c r="O16" s="8"/>
      <c r="P16" s="7"/>
      <c r="Q16" s="7"/>
      <c r="R16" s="8"/>
      <c r="S16" s="7"/>
      <c r="T16" s="9"/>
      <c r="U16" s="7"/>
      <c r="V16" s="8"/>
      <c r="W16" s="7"/>
      <c r="X16" s="7"/>
      <c r="Y16" s="8"/>
      <c r="Z16" s="7"/>
      <c r="AA16" s="60"/>
      <c r="AB16" s="65" t="s">
        <v>39</v>
      </c>
      <c r="AC16" s="65" t="s">
        <v>789</v>
      </c>
    </row>
    <row r="17" spans="1:29" ht="13.5" thickBot="1">
      <c r="A17" s="10" t="s">
        <v>1224</v>
      </c>
      <c r="B17" s="10" t="s">
        <v>427</v>
      </c>
      <c r="D17" s="54" t="s">
        <v>40</v>
      </c>
      <c r="E17" s="54" t="s">
        <v>547</v>
      </c>
      <c r="F17" s="7"/>
      <c r="G17" s="8"/>
      <c r="H17" s="7"/>
      <c r="I17" s="30" t="s">
        <v>293</v>
      </c>
      <c r="J17" s="7"/>
      <c r="K17" s="8"/>
      <c r="L17" s="7"/>
      <c r="M17" s="8"/>
      <c r="N17" s="7"/>
      <c r="O17" s="8"/>
      <c r="P17" s="7"/>
      <c r="Q17" s="7"/>
      <c r="R17" s="8"/>
      <c r="S17" s="7"/>
      <c r="T17" s="9"/>
      <c r="U17" s="7"/>
      <c r="V17" s="8"/>
      <c r="W17" s="7"/>
      <c r="X17" s="7"/>
      <c r="Y17" s="8"/>
      <c r="Z17" s="7"/>
      <c r="AA17" s="60"/>
      <c r="AB17" s="65" t="s">
        <v>39</v>
      </c>
      <c r="AC17" s="65" t="s">
        <v>1087</v>
      </c>
    </row>
    <row r="18" spans="1:29" ht="13.5" thickBot="1">
      <c r="A18" s="44" t="s">
        <v>1226</v>
      </c>
      <c r="B18" s="10" t="s">
        <v>1225</v>
      </c>
      <c r="D18" s="54" t="s">
        <v>723</v>
      </c>
      <c r="E18" s="54" t="s">
        <v>682</v>
      </c>
      <c r="F18" s="7"/>
      <c r="G18" s="8"/>
      <c r="H18" s="7"/>
      <c r="I18" s="30" t="s">
        <v>286</v>
      </c>
      <c r="J18" s="7"/>
      <c r="K18" s="8"/>
      <c r="L18" s="7"/>
      <c r="M18" s="8"/>
      <c r="N18" s="7"/>
      <c r="O18" s="8"/>
      <c r="P18" s="7"/>
      <c r="Q18" s="7"/>
      <c r="R18" s="8"/>
      <c r="S18" s="7"/>
      <c r="T18" s="9"/>
      <c r="U18" s="7"/>
      <c r="V18" s="8"/>
      <c r="W18" s="7"/>
      <c r="X18" s="7"/>
      <c r="Y18" s="8"/>
      <c r="Z18" s="7"/>
      <c r="AA18" s="60"/>
      <c r="AB18" s="65" t="s">
        <v>39</v>
      </c>
      <c r="AC18" s="65" t="s">
        <v>1092</v>
      </c>
    </row>
    <row r="19" spans="1:29" ht="13.5" thickBot="1">
      <c r="A19" s="44" t="s">
        <v>1228</v>
      </c>
      <c r="B19" s="742" t="s">
        <v>3278</v>
      </c>
      <c r="D19" s="54" t="s">
        <v>323</v>
      </c>
      <c r="E19" s="54" t="s">
        <v>681</v>
      </c>
      <c r="F19" s="7"/>
      <c r="G19" s="8"/>
      <c r="H19" s="7"/>
      <c r="I19" s="30" t="s">
        <v>325</v>
      </c>
      <c r="J19" s="7"/>
      <c r="K19" s="8"/>
      <c r="L19" s="7"/>
      <c r="M19" s="8"/>
      <c r="N19" s="7"/>
      <c r="O19" s="8"/>
      <c r="P19" s="7"/>
      <c r="Q19" s="7"/>
      <c r="R19" s="8"/>
      <c r="S19" s="7"/>
      <c r="T19" s="9"/>
      <c r="U19" s="7"/>
      <c r="V19" s="8"/>
      <c r="W19" s="7"/>
      <c r="X19" s="7"/>
      <c r="Y19" s="8"/>
      <c r="Z19" s="7"/>
      <c r="AA19" s="60"/>
      <c r="AB19" s="65" t="s">
        <v>39</v>
      </c>
      <c r="AC19" s="65" t="s">
        <v>1336</v>
      </c>
    </row>
    <row r="20" spans="1:29" ht="13.5" thickBot="1">
      <c r="A20" s="44" t="s">
        <v>37</v>
      </c>
      <c r="B20" s="10" t="s">
        <v>1227</v>
      </c>
      <c r="D20" s="54" t="s">
        <v>330</v>
      </c>
      <c r="E20" s="54" t="s">
        <v>658</v>
      </c>
      <c r="F20" s="7"/>
      <c r="G20" s="8"/>
      <c r="H20" s="7"/>
      <c r="I20" s="30" t="s">
        <v>334</v>
      </c>
      <c r="J20" s="7"/>
      <c r="K20" s="8"/>
      <c r="L20" s="7"/>
      <c r="M20" s="8"/>
      <c r="N20" s="7"/>
      <c r="O20" s="8"/>
      <c r="P20" s="7"/>
      <c r="Q20" s="7"/>
      <c r="R20" s="8"/>
      <c r="S20" s="7"/>
      <c r="T20" s="9"/>
      <c r="U20" s="7"/>
      <c r="V20" s="8"/>
      <c r="W20" s="7"/>
      <c r="X20" s="7"/>
      <c r="Y20" s="8"/>
      <c r="Z20" s="7"/>
      <c r="AA20" s="60"/>
      <c r="AB20" s="65" t="s">
        <v>39</v>
      </c>
      <c r="AC20" s="65" t="s">
        <v>40</v>
      </c>
    </row>
    <row r="21" spans="1:29" ht="13.5" thickBot="1">
      <c r="A21" s="44" t="s">
        <v>1230</v>
      </c>
      <c r="B21" s="10" t="s">
        <v>149</v>
      </c>
      <c r="D21" s="54" t="s">
        <v>160</v>
      </c>
      <c r="E21" s="54" t="s">
        <v>596</v>
      </c>
      <c r="F21" s="7"/>
      <c r="G21" s="8"/>
      <c r="H21" s="7"/>
      <c r="I21" s="42" t="s">
        <v>1232</v>
      </c>
      <c r="J21" s="7"/>
      <c r="K21" s="8"/>
      <c r="L21" s="7"/>
      <c r="M21" s="8"/>
      <c r="N21" s="7"/>
      <c r="O21" s="8"/>
      <c r="P21" s="7"/>
      <c r="Q21" s="7"/>
      <c r="R21" s="8"/>
      <c r="S21" s="7"/>
      <c r="T21" s="9"/>
      <c r="U21" s="7"/>
      <c r="V21" s="8"/>
      <c r="W21" s="7"/>
      <c r="X21" s="7"/>
      <c r="Y21" s="8"/>
      <c r="Z21" s="7"/>
      <c r="AA21" s="60"/>
      <c r="AB21" s="65" t="s">
        <v>39</v>
      </c>
      <c r="AC21" s="65" t="s">
        <v>160</v>
      </c>
    </row>
    <row r="22" spans="1:29" ht="13.5" thickBot="1">
      <c r="A22" s="44" t="s">
        <v>2037</v>
      </c>
      <c r="B22" s="10" t="s">
        <v>38</v>
      </c>
      <c r="D22" s="54" t="s">
        <v>165</v>
      </c>
      <c r="E22" s="54" t="s">
        <v>559</v>
      </c>
      <c r="F22" s="7"/>
      <c r="G22" s="8"/>
      <c r="H22" s="7"/>
      <c r="I22" s="42" t="s">
        <v>1234</v>
      </c>
      <c r="J22" s="7"/>
      <c r="K22" s="8"/>
      <c r="L22" s="7"/>
      <c r="M22" s="8"/>
      <c r="N22" s="7"/>
      <c r="O22" s="8"/>
      <c r="P22" s="7"/>
      <c r="Q22" s="7"/>
      <c r="R22" s="8"/>
      <c r="S22" s="7"/>
      <c r="T22" s="9"/>
      <c r="U22" s="7"/>
      <c r="V22" s="8"/>
      <c r="W22" s="7"/>
      <c r="X22" s="7"/>
      <c r="Y22" s="8"/>
      <c r="Z22" s="7"/>
      <c r="AA22" s="60"/>
      <c r="AB22" s="65" t="s">
        <v>39</v>
      </c>
      <c r="AC22" s="65" t="s">
        <v>165</v>
      </c>
    </row>
    <row r="23" spans="1:29" ht="13.5" thickBot="1">
      <c r="A23" s="44" t="s">
        <v>2295</v>
      </c>
      <c r="B23" s="10" t="s">
        <v>1231</v>
      </c>
      <c r="D23" s="54" t="s">
        <v>213</v>
      </c>
      <c r="E23" s="54" t="s">
        <v>677</v>
      </c>
      <c r="F23" s="7"/>
      <c r="G23" s="8"/>
      <c r="H23" s="7"/>
      <c r="I23" s="744" t="s">
        <v>352</v>
      </c>
      <c r="J23" s="7"/>
      <c r="K23" s="8"/>
      <c r="L23" s="7"/>
      <c r="M23" s="8"/>
      <c r="N23" s="7"/>
      <c r="O23" s="8"/>
      <c r="P23" s="7"/>
      <c r="Q23" s="7"/>
      <c r="R23" s="8"/>
      <c r="S23" s="7"/>
      <c r="T23" s="9"/>
      <c r="U23" s="7"/>
      <c r="V23" s="8"/>
      <c r="W23" s="7"/>
      <c r="X23" s="7"/>
      <c r="Y23" s="8"/>
      <c r="Z23" s="7"/>
      <c r="AA23" s="60"/>
      <c r="AB23" s="65" t="s">
        <v>39</v>
      </c>
      <c r="AC23" s="65" t="s">
        <v>213</v>
      </c>
    </row>
    <row r="24" spans="1:29" ht="13.5" thickBot="1">
      <c r="A24" s="44" t="s">
        <v>2296</v>
      </c>
      <c r="B24" s="10" t="s">
        <v>1233</v>
      </c>
      <c r="D24" s="54" t="s">
        <v>489</v>
      </c>
      <c r="E24" s="54" t="s">
        <v>638</v>
      </c>
      <c r="F24" s="7"/>
      <c r="G24" s="8"/>
      <c r="H24" s="7"/>
      <c r="I24" s="744" t="s">
        <v>722</v>
      </c>
      <c r="J24" s="7"/>
      <c r="K24" s="8"/>
      <c r="L24" s="7"/>
      <c r="M24" s="8"/>
      <c r="N24" s="7"/>
      <c r="O24" s="8"/>
      <c r="P24" s="7"/>
      <c r="Q24" s="7"/>
      <c r="R24" s="8"/>
      <c r="S24" s="7"/>
      <c r="T24" s="9"/>
      <c r="U24" s="7"/>
      <c r="V24" s="8"/>
      <c r="W24" s="7"/>
      <c r="X24" s="7"/>
      <c r="Y24" s="8"/>
      <c r="Z24" s="7"/>
      <c r="AA24" s="60"/>
      <c r="AB24" s="65" t="s">
        <v>39</v>
      </c>
      <c r="AC24" s="65" t="s">
        <v>167</v>
      </c>
    </row>
    <row r="25" spans="1:29" ht="13.5" thickBot="1">
      <c r="A25" s="44" t="s">
        <v>2518</v>
      </c>
      <c r="B25" s="10" t="s">
        <v>1235</v>
      </c>
      <c r="D25" s="54" t="s">
        <v>726</v>
      </c>
      <c r="E25" s="54" t="s">
        <v>631</v>
      </c>
      <c r="F25" s="7"/>
      <c r="G25" s="8"/>
      <c r="H25" s="7"/>
      <c r="I25" s="42" t="s">
        <v>1238</v>
      </c>
      <c r="J25" s="7"/>
      <c r="K25" s="8"/>
      <c r="L25" s="7"/>
      <c r="M25" s="8"/>
      <c r="N25" s="7"/>
      <c r="O25" s="8"/>
      <c r="P25" s="7"/>
      <c r="Q25" s="7"/>
      <c r="R25" s="8"/>
      <c r="S25" s="7"/>
      <c r="T25" s="9"/>
      <c r="U25" s="7"/>
      <c r="V25" s="8"/>
      <c r="W25" s="7"/>
      <c r="X25" s="7"/>
      <c r="Y25" s="8"/>
      <c r="Z25" s="7"/>
      <c r="AA25" s="60"/>
      <c r="AB25" s="65" t="s">
        <v>39</v>
      </c>
      <c r="AC25" s="65" t="s">
        <v>1222</v>
      </c>
    </row>
    <row r="26" spans="1:29" ht="13.5" thickBot="1">
      <c r="A26" s="44" t="s">
        <v>2519</v>
      </c>
      <c r="B26" s="10" t="s">
        <v>1236</v>
      </c>
      <c r="D26" s="54" t="s">
        <v>417</v>
      </c>
      <c r="E26" s="54" t="s">
        <v>622</v>
      </c>
      <c r="F26" s="7"/>
      <c r="G26" s="8"/>
      <c r="H26" s="7"/>
      <c r="I26" s="30" t="s">
        <v>479</v>
      </c>
      <c r="J26" s="7"/>
      <c r="K26" s="8"/>
      <c r="L26" s="7"/>
      <c r="M26" s="8"/>
      <c r="N26" s="7"/>
      <c r="O26" s="8"/>
      <c r="P26" s="7"/>
      <c r="Q26" s="7"/>
      <c r="R26" s="8"/>
      <c r="S26" s="7"/>
      <c r="T26" s="9"/>
      <c r="U26" s="7"/>
      <c r="V26" s="8"/>
      <c r="W26" s="7"/>
      <c r="X26" s="7"/>
      <c r="Y26" s="8"/>
      <c r="Z26" s="7"/>
      <c r="AA26" s="60"/>
      <c r="AB26" s="65" t="s">
        <v>39</v>
      </c>
      <c r="AC26" s="65" t="s">
        <v>181</v>
      </c>
    </row>
    <row r="27" spans="1:29" ht="13.5" thickBot="1">
      <c r="A27" s="44" t="s">
        <v>2520</v>
      </c>
      <c r="B27" s="10" t="s">
        <v>311</v>
      </c>
      <c r="D27" s="54" t="s">
        <v>167</v>
      </c>
      <c r="E27" s="54" t="s">
        <v>550</v>
      </c>
      <c r="F27" s="7"/>
      <c r="G27" s="8"/>
      <c r="H27" s="7"/>
      <c r="I27" s="30" t="s">
        <v>357</v>
      </c>
      <c r="J27" s="7"/>
      <c r="K27" s="8"/>
      <c r="L27" s="7"/>
      <c r="M27" s="8"/>
      <c r="N27" s="7"/>
      <c r="O27" s="8"/>
      <c r="P27" s="7"/>
      <c r="Q27" s="7"/>
      <c r="R27" s="8"/>
      <c r="S27" s="7"/>
      <c r="T27" s="9"/>
      <c r="U27" s="7"/>
      <c r="V27" s="8"/>
      <c r="W27" s="7"/>
      <c r="X27" s="7"/>
      <c r="Y27" s="8"/>
      <c r="Z27" s="7"/>
      <c r="AA27" s="60"/>
      <c r="AB27" s="65" t="s">
        <v>39</v>
      </c>
      <c r="AC27" s="65" t="s">
        <v>222</v>
      </c>
    </row>
    <row r="28" spans="1:29" ht="13.5" thickBot="1">
      <c r="A28" s="44" t="s">
        <v>2521</v>
      </c>
      <c r="B28" s="10" t="s">
        <v>326</v>
      </c>
      <c r="D28" s="54" t="s">
        <v>717</v>
      </c>
      <c r="E28" s="54" t="s">
        <v>598</v>
      </c>
      <c r="F28" s="7"/>
      <c r="G28" s="8"/>
      <c r="H28" s="7"/>
      <c r="I28" s="30" t="s">
        <v>314</v>
      </c>
      <c r="J28" s="7"/>
      <c r="K28" s="8"/>
      <c r="L28" s="7"/>
      <c r="M28" s="8"/>
      <c r="N28" s="7"/>
      <c r="O28" s="8"/>
      <c r="P28" s="7"/>
      <c r="Q28" s="7"/>
      <c r="R28" s="8"/>
      <c r="S28" s="7"/>
      <c r="T28" s="9"/>
      <c r="U28" s="7"/>
      <c r="V28" s="8"/>
      <c r="W28" s="7"/>
      <c r="X28" s="7"/>
      <c r="Y28" s="8"/>
      <c r="Z28" s="7"/>
      <c r="AA28" s="60"/>
      <c r="AB28" s="65" t="s">
        <v>39</v>
      </c>
      <c r="AC28" s="65" t="s">
        <v>192</v>
      </c>
    </row>
    <row r="29" spans="1:29" ht="13.5" thickBot="1">
      <c r="A29" s="68"/>
      <c r="B29" s="10" t="s">
        <v>1239</v>
      </c>
      <c r="C29" s="68"/>
      <c r="D29" s="54" t="s">
        <v>737</v>
      </c>
      <c r="E29" s="54" t="s">
        <v>605</v>
      </c>
      <c r="F29" s="7"/>
      <c r="G29" s="8"/>
      <c r="H29" s="7"/>
      <c r="I29" s="30" t="s">
        <v>307</v>
      </c>
      <c r="J29" s="7"/>
      <c r="K29" s="8"/>
      <c r="L29" s="7"/>
      <c r="M29" s="8"/>
      <c r="N29" s="7"/>
      <c r="O29" s="8"/>
      <c r="P29" s="7"/>
      <c r="Q29" s="7"/>
      <c r="R29" s="8"/>
      <c r="S29" s="7"/>
      <c r="T29" s="9"/>
      <c r="U29" s="7"/>
      <c r="V29" s="8"/>
      <c r="W29" s="7"/>
      <c r="X29" s="7"/>
      <c r="Y29" s="8"/>
      <c r="Z29" s="7"/>
      <c r="AA29" s="60"/>
      <c r="AB29" s="65" t="s">
        <v>39</v>
      </c>
      <c r="AC29" s="65" t="s">
        <v>1153</v>
      </c>
    </row>
    <row r="30" spans="1:29" ht="13.5" thickBot="1">
      <c r="A30" s="68"/>
      <c r="B30" s="10" t="s">
        <v>1240</v>
      </c>
      <c r="D30" s="54" t="s">
        <v>1141</v>
      </c>
      <c r="E30" s="54" t="s">
        <v>667</v>
      </c>
      <c r="F30" s="7"/>
      <c r="G30" s="8"/>
      <c r="H30" s="7"/>
      <c r="I30" s="42" t="s">
        <v>1242</v>
      </c>
      <c r="J30" s="7"/>
      <c r="K30" s="8"/>
      <c r="L30" s="7"/>
      <c r="M30" s="8"/>
      <c r="N30" s="7"/>
      <c r="O30" s="8"/>
      <c r="P30" s="7"/>
      <c r="Q30" s="7"/>
      <c r="R30" s="8"/>
      <c r="S30" s="7"/>
      <c r="T30" s="9"/>
      <c r="U30" s="7"/>
      <c r="V30" s="8"/>
      <c r="W30" s="7"/>
      <c r="X30" s="7"/>
      <c r="Y30" s="8"/>
      <c r="Z30" s="7"/>
      <c r="AA30" s="60"/>
      <c r="AB30" s="65" t="s">
        <v>39</v>
      </c>
      <c r="AC30" s="65" t="s">
        <v>1229</v>
      </c>
    </row>
    <row r="31" spans="1:29" ht="13.5" thickBot="1">
      <c r="B31" s="10" t="s">
        <v>200</v>
      </c>
      <c r="D31" s="54" t="s">
        <v>420</v>
      </c>
      <c r="E31" s="54" t="s">
        <v>668</v>
      </c>
      <c r="F31" s="7"/>
      <c r="G31" s="8"/>
      <c r="H31" s="7"/>
      <c r="I31" s="744" t="s">
        <v>252</v>
      </c>
      <c r="J31" s="7"/>
      <c r="K31" s="8"/>
      <c r="L31" s="7"/>
      <c r="M31" s="8"/>
      <c r="N31" s="7"/>
      <c r="O31" s="8"/>
      <c r="P31" s="7"/>
      <c r="Q31" s="7"/>
      <c r="R31" s="8"/>
      <c r="S31" s="7"/>
      <c r="T31" s="9"/>
      <c r="U31" s="7"/>
      <c r="V31" s="8"/>
      <c r="W31" s="7"/>
      <c r="X31" s="7"/>
      <c r="Y31" s="8"/>
      <c r="Z31" s="7"/>
      <c r="AA31" s="60"/>
      <c r="AB31" s="65" t="s">
        <v>39</v>
      </c>
      <c r="AC31" s="65" t="s">
        <v>150</v>
      </c>
    </row>
    <row r="32" spans="1:29" ht="13.5" thickBot="1">
      <c r="B32" s="10" t="s">
        <v>1241</v>
      </c>
      <c r="D32" s="54" t="s">
        <v>470</v>
      </c>
      <c r="E32" s="54" t="s">
        <v>960</v>
      </c>
      <c r="F32" s="7"/>
      <c r="G32" s="8"/>
      <c r="H32" s="7"/>
      <c r="I32" s="30" t="s">
        <v>740</v>
      </c>
      <c r="J32" s="7"/>
      <c r="K32" s="8"/>
      <c r="L32" s="7"/>
      <c r="M32" s="8"/>
      <c r="N32" s="7"/>
      <c r="O32" s="8"/>
      <c r="P32" s="7"/>
      <c r="Q32" s="7"/>
      <c r="R32" s="8"/>
      <c r="S32" s="7"/>
      <c r="T32" s="9"/>
      <c r="U32" s="7"/>
      <c r="V32" s="8"/>
      <c r="W32" s="7"/>
      <c r="X32" s="7"/>
      <c r="Y32" s="8"/>
      <c r="Z32" s="7"/>
      <c r="AA32" s="60"/>
      <c r="AB32" s="65" t="s">
        <v>3005</v>
      </c>
      <c r="AC32" s="65" t="s">
        <v>337</v>
      </c>
    </row>
    <row r="33" spans="1:29" ht="13.5" thickBot="1">
      <c r="A33" s="68"/>
      <c r="B33" s="10" t="s">
        <v>1244</v>
      </c>
      <c r="D33" s="54" t="s">
        <v>181</v>
      </c>
      <c r="E33" s="54" t="s">
        <v>549</v>
      </c>
      <c r="F33" s="7"/>
      <c r="G33" s="8"/>
      <c r="H33" s="7"/>
      <c r="I33" s="18" t="s">
        <v>305</v>
      </c>
      <c r="J33" s="7"/>
      <c r="K33" s="8"/>
      <c r="L33" s="7"/>
      <c r="M33" s="8"/>
      <c r="N33" s="7"/>
      <c r="O33" s="8"/>
      <c r="P33" s="7"/>
      <c r="Q33" s="7"/>
      <c r="R33" s="8"/>
      <c r="S33" s="7"/>
      <c r="T33" s="9"/>
      <c r="U33" s="7"/>
      <c r="V33" s="8"/>
      <c r="W33" s="7"/>
      <c r="X33" s="7"/>
      <c r="Y33" s="8"/>
      <c r="Z33" s="7"/>
      <c r="AA33" s="60"/>
      <c r="AB33" s="65" t="s">
        <v>3005</v>
      </c>
      <c r="AC33" s="65" t="s">
        <v>323</v>
      </c>
    </row>
    <row r="34" spans="1:29" ht="13.5" thickBot="1">
      <c r="A34" s="68"/>
      <c r="B34" s="10" t="s">
        <v>1245</v>
      </c>
      <c r="D34" s="54" t="s">
        <v>372</v>
      </c>
      <c r="E34" s="54" t="s">
        <v>678</v>
      </c>
      <c r="F34" s="7"/>
      <c r="G34" s="8"/>
      <c r="H34" s="7"/>
      <c r="I34" s="18" t="s">
        <v>1687</v>
      </c>
      <c r="J34" s="7"/>
      <c r="K34" s="8"/>
      <c r="L34" s="7"/>
      <c r="M34" s="8"/>
      <c r="N34" s="7"/>
      <c r="O34" s="8"/>
      <c r="P34" s="7"/>
      <c r="Q34" s="7"/>
      <c r="R34" s="8"/>
      <c r="S34" s="7"/>
      <c r="T34" s="9"/>
      <c r="U34" s="7"/>
      <c r="V34" s="8"/>
      <c r="W34" s="7"/>
      <c r="X34" s="7"/>
      <c r="Y34" s="8"/>
      <c r="Z34" s="7"/>
      <c r="AA34" s="60"/>
      <c r="AB34" s="65" t="s">
        <v>3005</v>
      </c>
      <c r="AC34" s="65" t="s">
        <v>355</v>
      </c>
    </row>
    <row r="35" spans="1:29" ht="13.5" thickBot="1">
      <c r="A35" s="68"/>
      <c r="B35" s="10" t="s">
        <v>1957</v>
      </c>
      <c r="D35" s="54" t="s">
        <v>355</v>
      </c>
      <c r="E35" s="54" t="s">
        <v>636</v>
      </c>
      <c r="F35" s="7"/>
      <c r="G35" s="8"/>
      <c r="H35" s="7"/>
      <c r="I35" s="30" t="s">
        <v>1922</v>
      </c>
      <c r="J35" s="7"/>
      <c r="K35" s="8"/>
      <c r="L35" s="7"/>
      <c r="M35" s="8"/>
      <c r="N35" s="7"/>
      <c r="O35" s="8"/>
      <c r="P35" s="7"/>
      <c r="Q35" s="7"/>
      <c r="R35" s="8"/>
      <c r="S35" s="7"/>
      <c r="T35" s="9"/>
      <c r="U35" s="7"/>
      <c r="V35" s="8"/>
      <c r="W35" s="7"/>
      <c r="X35" s="7"/>
      <c r="Y35" s="8"/>
      <c r="Z35" s="7"/>
      <c r="AA35" s="60"/>
      <c r="AB35" s="65" t="s">
        <v>312</v>
      </c>
      <c r="AC35" s="65" t="s">
        <v>343</v>
      </c>
    </row>
    <row r="36" spans="1:29" ht="13.5" thickBot="1">
      <c r="A36" s="68"/>
      <c r="B36" s="10" t="s">
        <v>1246</v>
      </c>
      <c r="D36" s="54" t="s">
        <v>222</v>
      </c>
      <c r="E36" s="54" t="s">
        <v>670</v>
      </c>
      <c r="F36" s="7"/>
      <c r="G36" s="8"/>
      <c r="H36" s="7"/>
      <c r="I36" s="30" t="s">
        <v>152</v>
      </c>
      <c r="J36" s="7"/>
      <c r="K36" s="8"/>
      <c r="L36" s="7"/>
      <c r="M36" s="8"/>
      <c r="N36" s="7"/>
      <c r="O36" s="8"/>
      <c r="P36" s="7"/>
      <c r="Q36" s="7"/>
      <c r="R36" s="8"/>
      <c r="S36" s="7"/>
      <c r="T36" s="9"/>
      <c r="U36" s="7"/>
      <c r="V36" s="8"/>
      <c r="W36" s="7"/>
      <c r="X36" s="7"/>
      <c r="Y36" s="8"/>
      <c r="Z36" s="7"/>
      <c r="AA36" s="60"/>
      <c r="AB36" s="65" t="s">
        <v>312</v>
      </c>
      <c r="AC36" s="65" t="s">
        <v>1237</v>
      </c>
    </row>
    <row r="37" spans="1:29" ht="13.5" thickBot="1">
      <c r="B37" s="10" t="s">
        <v>387</v>
      </c>
      <c r="D37" s="54" t="s">
        <v>313</v>
      </c>
      <c r="E37" s="54" t="s">
        <v>586</v>
      </c>
      <c r="F37" s="7"/>
      <c r="G37" s="8"/>
      <c r="H37" s="7"/>
      <c r="I37" s="30" t="s">
        <v>1922</v>
      </c>
      <c r="J37" s="7"/>
      <c r="K37" s="8"/>
      <c r="L37" s="7"/>
      <c r="M37" s="8"/>
      <c r="N37" s="7"/>
      <c r="O37" s="8"/>
      <c r="P37" s="7"/>
      <c r="Q37" s="7"/>
      <c r="R37" s="8"/>
      <c r="S37" s="7"/>
      <c r="T37" s="9"/>
      <c r="U37" s="7"/>
      <c r="V37" s="8"/>
      <c r="W37" s="7"/>
      <c r="X37" s="7"/>
      <c r="Y37" s="8"/>
      <c r="Z37" s="7"/>
      <c r="AA37" s="60"/>
      <c r="AB37" s="65" t="s">
        <v>312</v>
      </c>
      <c r="AC37" s="65" t="s">
        <v>1243</v>
      </c>
    </row>
    <row r="38" spans="1:29" ht="13.5" thickBot="1">
      <c r="B38" s="10" t="s">
        <v>1247</v>
      </c>
      <c r="D38" s="54" t="s">
        <v>192</v>
      </c>
      <c r="E38" s="54" t="s">
        <v>620</v>
      </c>
      <c r="F38" s="7"/>
      <c r="G38" s="8"/>
      <c r="H38" s="7"/>
      <c r="I38" s="42" t="s">
        <v>807</v>
      </c>
      <c r="J38" s="7"/>
      <c r="K38" s="8"/>
      <c r="L38" s="7"/>
      <c r="M38" s="8"/>
      <c r="N38" s="7"/>
      <c r="O38" s="8"/>
      <c r="P38" s="7"/>
      <c r="Q38" s="7"/>
      <c r="R38" s="8"/>
      <c r="S38" s="7"/>
      <c r="T38" s="9"/>
      <c r="U38" s="7"/>
      <c r="V38" s="8"/>
      <c r="W38" s="7"/>
      <c r="X38" s="7"/>
      <c r="Y38" s="8"/>
      <c r="Z38" s="7"/>
      <c r="AA38" s="60"/>
      <c r="AB38" s="65" t="s">
        <v>312</v>
      </c>
      <c r="AC38" s="65" t="s">
        <v>1248</v>
      </c>
    </row>
    <row r="39" spans="1:29" ht="13.5" thickBot="1">
      <c r="A39" s="68"/>
      <c r="B39" s="10" t="s">
        <v>317</v>
      </c>
      <c r="D39" s="54" t="s">
        <v>150</v>
      </c>
      <c r="E39" s="54" t="s">
        <v>1251</v>
      </c>
      <c r="F39" s="7"/>
      <c r="G39" s="8"/>
      <c r="H39" s="7"/>
      <c r="I39" s="744" t="s">
        <v>249</v>
      </c>
      <c r="J39" s="7"/>
      <c r="K39" s="8"/>
      <c r="L39" s="7"/>
      <c r="M39" s="8"/>
      <c r="N39" s="7"/>
      <c r="O39" s="8"/>
      <c r="P39" s="7"/>
      <c r="Q39" s="7"/>
      <c r="R39" s="8"/>
      <c r="S39" s="7"/>
      <c r="T39" s="9"/>
      <c r="U39" s="7"/>
      <c r="V39" s="8"/>
      <c r="W39" s="7"/>
      <c r="X39" s="7"/>
      <c r="Y39" s="8"/>
      <c r="Z39" s="7"/>
      <c r="AA39" s="60"/>
      <c r="AB39" s="65" t="s">
        <v>312</v>
      </c>
      <c r="AC39" s="65" t="s">
        <v>1250</v>
      </c>
    </row>
    <row r="40" spans="1:29" ht="13.5" thickBot="1">
      <c r="B40" s="742" t="s">
        <v>1249</v>
      </c>
      <c r="D40" s="54"/>
      <c r="E40" s="54" t="s">
        <v>649</v>
      </c>
      <c r="F40" s="7"/>
      <c r="G40" s="8"/>
      <c r="H40" s="7"/>
      <c r="I40" s="30" t="s">
        <v>254</v>
      </c>
      <c r="J40" s="7"/>
      <c r="K40" s="8"/>
      <c r="L40" s="7"/>
      <c r="M40" s="8"/>
      <c r="N40" s="7"/>
      <c r="O40" s="8"/>
      <c r="P40" s="7"/>
      <c r="Q40" s="7"/>
      <c r="R40" s="8"/>
      <c r="S40" s="7"/>
      <c r="T40" s="9"/>
      <c r="U40" s="7"/>
      <c r="V40" s="8"/>
      <c r="W40" s="7"/>
      <c r="X40" s="7"/>
      <c r="Y40" s="8"/>
      <c r="Z40" s="7"/>
      <c r="AA40" s="60"/>
      <c r="AB40" s="65" t="s">
        <v>716</v>
      </c>
      <c r="AC40" s="65" t="s">
        <v>1252</v>
      </c>
    </row>
    <row r="41" spans="1:29" ht="13.5" thickBot="1">
      <c r="B41" s="10" t="s">
        <v>384</v>
      </c>
      <c r="D41" s="54"/>
      <c r="E41" s="54" t="s">
        <v>664</v>
      </c>
      <c r="F41" s="7"/>
      <c r="G41" s="8"/>
      <c r="H41" s="7"/>
      <c r="I41" s="30" t="s">
        <v>202</v>
      </c>
      <c r="J41" s="7"/>
      <c r="K41" s="8"/>
      <c r="L41" s="7"/>
      <c r="M41" s="8"/>
      <c r="N41" s="7"/>
      <c r="O41" s="8"/>
      <c r="P41" s="7"/>
      <c r="Q41" s="7"/>
      <c r="R41" s="8"/>
      <c r="S41" s="7"/>
      <c r="T41" s="9"/>
      <c r="U41" s="7"/>
      <c r="V41" s="8"/>
      <c r="W41" s="7"/>
      <c r="X41" s="7"/>
      <c r="Y41" s="8"/>
      <c r="Z41" s="7"/>
      <c r="AA41" s="60"/>
      <c r="AB41" s="65" t="s">
        <v>716</v>
      </c>
      <c r="AC41" s="65" t="s">
        <v>1254</v>
      </c>
    </row>
    <row r="42" spans="1:29" ht="13.5" thickBot="1">
      <c r="B42" s="10" t="s">
        <v>1253</v>
      </c>
      <c r="D42" s="54"/>
      <c r="E42" s="54" t="s">
        <v>600</v>
      </c>
      <c r="F42" s="7"/>
      <c r="G42" s="8"/>
      <c r="H42" s="7"/>
      <c r="I42" s="30" t="s">
        <v>207</v>
      </c>
      <c r="J42" s="7"/>
      <c r="K42" s="8"/>
      <c r="L42" s="7"/>
      <c r="M42" s="8"/>
      <c r="N42" s="7"/>
      <c r="O42" s="8"/>
      <c r="P42" s="7"/>
      <c r="Q42" s="7"/>
      <c r="R42" s="8"/>
      <c r="S42" s="7"/>
      <c r="T42" s="9"/>
      <c r="U42" s="7"/>
      <c r="V42" s="8"/>
      <c r="W42" s="7"/>
      <c r="X42" s="7"/>
      <c r="Y42" s="8"/>
      <c r="Z42" s="7"/>
      <c r="AA42" s="60"/>
      <c r="AB42" s="65" t="s">
        <v>716</v>
      </c>
      <c r="AC42" s="65" t="s">
        <v>1256</v>
      </c>
    </row>
    <row r="43" spans="1:29" ht="13.5" thickBot="1">
      <c r="B43" s="10" t="s">
        <v>1255</v>
      </c>
      <c r="D43" s="54"/>
      <c r="E43" s="54" t="s">
        <v>562</v>
      </c>
      <c r="F43" s="7"/>
      <c r="G43" s="8"/>
      <c r="H43" s="7"/>
      <c r="I43" s="30" t="s">
        <v>216</v>
      </c>
      <c r="J43" s="7"/>
      <c r="K43" s="8"/>
      <c r="L43" s="7"/>
      <c r="M43" s="8"/>
      <c r="N43" s="7"/>
      <c r="O43" s="8"/>
      <c r="P43" s="7"/>
      <c r="Q43" s="7"/>
      <c r="R43" s="8"/>
      <c r="S43" s="7"/>
      <c r="T43" s="9"/>
      <c r="U43" s="7"/>
      <c r="V43" s="8"/>
      <c r="W43" s="7"/>
      <c r="X43" s="7"/>
      <c r="Y43" s="8"/>
      <c r="Z43" s="7"/>
      <c r="AA43" s="60"/>
      <c r="AB43" s="65" t="s">
        <v>716</v>
      </c>
      <c r="AC43" s="65" t="s">
        <v>1258</v>
      </c>
    </row>
    <row r="44" spans="1:29" ht="13.5" thickBot="1">
      <c r="B44" s="573" t="s">
        <v>2370</v>
      </c>
      <c r="D44" s="54"/>
      <c r="E44" s="54" t="s">
        <v>669</v>
      </c>
      <c r="F44" s="7"/>
      <c r="G44" s="8"/>
      <c r="H44" s="7"/>
      <c r="I44" s="30" t="s">
        <v>730</v>
      </c>
      <c r="J44" s="7"/>
      <c r="K44" s="8"/>
      <c r="L44" s="7"/>
      <c r="M44" s="8"/>
      <c r="N44" s="7"/>
      <c r="O44" s="8"/>
      <c r="P44" s="7"/>
      <c r="Q44" s="7"/>
      <c r="R44" s="8"/>
      <c r="S44" s="7"/>
      <c r="T44" s="9"/>
      <c r="U44" s="7"/>
      <c r="V44" s="8"/>
      <c r="W44" s="7"/>
      <c r="X44" s="7"/>
      <c r="Y44" s="8"/>
      <c r="Z44" s="7"/>
      <c r="AA44" s="60"/>
      <c r="AB44" s="65" t="s">
        <v>716</v>
      </c>
      <c r="AC44" s="65" t="s">
        <v>1259</v>
      </c>
    </row>
    <row r="45" spans="1:29" ht="13.5" thickBot="1">
      <c r="B45" s="573" t="s">
        <v>3000</v>
      </c>
      <c r="D45" s="54"/>
      <c r="E45" s="54" t="s">
        <v>563</v>
      </c>
      <c r="F45" s="7"/>
      <c r="G45" s="8"/>
      <c r="H45" s="7"/>
      <c r="I45" s="30" t="s">
        <v>205</v>
      </c>
      <c r="J45" s="7"/>
      <c r="K45" s="8"/>
      <c r="L45" s="7"/>
      <c r="M45" s="8"/>
      <c r="N45" s="7"/>
      <c r="O45" s="8"/>
      <c r="P45" s="7"/>
      <c r="Q45" s="7"/>
      <c r="R45" s="8"/>
      <c r="S45" s="7"/>
      <c r="T45" s="9"/>
      <c r="U45" s="7"/>
      <c r="V45" s="8"/>
      <c r="W45" s="7"/>
      <c r="X45" s="7"/>
      <c r="Y45" s="8"/>
      <c r="Z45" s="7"/>
      <c r="AA45" s="60"/>
      <c r="AB45" s="65" t="s">
        <v>716</v>
      </c>
      <c r="AC45" s="65" t="s">
        <v>735</v>
      </c>
    </row>
    <row r="46" spans="1:29" ht="13.5" thickBot="1">
      <c r="B46" s="573" t="s">
        <v>2795</v>
      </c>
      <c r="D46" s="54"/>
      <c r="E46" s="54" t="s">
        <v>959</v>
      </c>
      <c r="F46" s="7"/>
      <c r="G46" s="8"/>
      <c r="H46" s="7"/>
      <c r="I46" s="30" t="s">
        <v>220</v>
      </c>
      <c r="J46" s="7"/>
      <c r="K46" s="8"/>
      <c r="L46" s="7"/>
      <c r="M46" s="8"/>
      <c r="N46" s="7"/>
      <c r="O46" s="8"/>
      <c r="P46" s="7"/>
      <c r="Q46" s="7"/>
      <c r="R46" s="8"/>
      <c r="S46" s="7"/>
      <c r="T46" s="9"/>
      <c r="U46" s="7"/>
      <c r="V46" s="8"/>
      <c r="W46" s="7"/>
      <c r="X46" s="7"/>
      <c r="Y46" s="8"/>
      <c r="Z46" s="7"/>
      <c r="AA46" s="60"/>
      <c r="AB46" s="65" t="s">
        <v>716</v>
      </c>
      <c r="AC46" s="65" t="s">
        <v>757</v>
      </c>
    </row>
    <row r="47" spans="1:29" ht="13.5" thickBot="1">
      <c r="B47" s="10" t="s">
        <v>1257</v>
      </c>
      <c r="D47" s="54"/>
      <c r="E47" s="54" t="s">
        <v>662</v>
      </c>
      <c r="F47" s="7"/>
      <c r="G47" s="8"/>
      <c r="H47" s="7"/>
      <c r="I47" s="30" t="s">
        <v>210</v>
      </c>
      <c r="J47" s="7"/>
      <c r="K47" s="8"/>
      <c r="L47" s="7"/>
      <c r="M47" s="8"/>
      <c r="N47" s="7"/>
      <c r="O47" s="8"/>
      <c r="P47" s="7"/>
      <c r="Q47" s="7"/>
      <c r="R47" s="8"/>
      <c r="S47" s="7"/>
      <c r="T47" s="9"/>
      <c r="U47" s="7"/>
      <c r="V47" s="8"/>
      <c r="W47" s="7"/>
      <c r="X47" s="7"/>
      <c r="Y47" s="8"/>
      <c r="Z47" s="7"/>
      <c r="AA47" s="60"/>
      <c r="AB47" s="65" t="s">
        <v>716</v>
      </c>
      <c r="AC47" s="65" t="s">
        <v>1262</v>
      </c>
    </row>
    <row r="48" spans="1:29" ht="13.5" thickBot="1">
      <c r="B48" s="10" t="s">
        <v>416</v>
      </c>
      <c r="D48" s="54"/>
      <c r="E48" s="54" t="s">
        <v>936</v>
      </c>
      <c r="F48" s="7"/>
      <c r="G48" s="8"/>
      <c r="H48" s="7"/>
      <c r="I48" s="30" t="s">
        <v>734</v>
      </c>
      <c r="J48" s="7"/>
      <c r="K48" s="8"/>
      <c r="L48" s="7"/>
      <c r="M48" s="8"/>
      <c r="N48" s="7"/>
      <c r="O48" s="8"/>
      <c r="P48" s="7"/>
      <c r="Q48" s="7"/>
      <c r="R48" s="8"/>
      <c r="S48" s="7"/>
      <c r="T48" s="9"/>
      <c r="U48" s="7"/>
      <c r="V48" s="8"/>
      <c r="W48" s="7"/>
      <c r="X48" s="7"/>
      <c r="Y48" s="8"/>
      <c r="Z48" s="7"/>
      <c r="AA48" s="60"/>
      <c r="AB48" s="65" t="s">
        <v>716</v>
      </c>
      <c r="AC48" s="65" t="s">
        <v>1264</v>
      </c>
    </row>
    <row r="49" spans="2:29" ht="13.5" thickBot="1">
      <c r="B49" s="10" t="s">
        <v>305</v>
      </c>
      <c r="D49" s="54"/>
      <c r="E49" s="54" t="s">
        <v>602</v>
      </c>
      <c r="F49" s="7"/>
      <c r="G49" s="8"/>
      <c r="H49" s="7"/>
      <c r="I49" s="30" t="s">
        <v>753</v>
      </c>
      <c r="J49" s="7"/>
      <c r="K49" s="8"/>
      <c r="L49" s="7"/>
      <c r="M49" s="8"/>
      <c r="N49" s="7"/>
      <c r="O49" s="8"/>
      <c r="P49" s="7"/>
      <c r="Q49" s="7"/>
      <c r="R49" s="8"/>
      <c r="S49" s="7"/>
      <c r="T49" s="9"/>
      <c r="U49" s="7"/>
      <c r="V49" s="8"/>
      <c r="W49" s="7"/>
      <c r="X49" s="7"/>
      <c r="Y49" s="8"/>
      <c r="Z49" s="7"/>
      <c r="AA49" s="60"/>
      <c r="AB49" s="65" t="s">
        <v>716</v>
      </c>
      <c r="AC49" s="65" t="s">
        <v>1265</v>
      </c>
    </row>
    <row r="50" spans="2:29" ht="13.5" thickBot="1">
      <c r="B50" s="10" t="s">
        <v>1260</v>
      </c>
      <c r="D50" s="54"/>
      <c r="E50" s="54" t="s">
        <v>590</v>
      </c>
      <c r="F50" s="7"/>
      <c r="G50" s="8"/>
      <c r="H50" s="7"/>
      <c r="I50" s="30" t="s">
        <v>733</v>
      </c>
      <c r="J50" s="7"/>
      <c r="K50" s="8"/>
      <c r="L50" s="7"/>
      <c r="M50" s="8"/>
      <c r="N50" s="7"/>
      <c r="O50" s="8"/>
      <c r="P50" s="7"/>
      <c r="Q50" s="7"/>
      <c r="R50" s="8"/>
      <c r="S50" s="7"/>
      <c r="T50" s="9"/>
      <c r="U50" s="7"/>
      <c r="V50" s="8"/>
      <c r="W50" s="7"/>
      <c r="X50" s="7"/>
      <c r="Y50" s="8"/>
      <c r="Z50" s="7"/>
      <c r="AA50" s="60"/>
      <c r="AB50" s="65" t="s">
        <v>716</v>
      </c>
      <c r="AC50" s="65" t="s">
        <v>1266</v>
      </c>
    </row>
    <row r="51" spans="2:29" ht="13.5" thickBot="1">
      <c r="B51" s="10" t="s">
        <v>1261</v>
      </c>
      <c r="D51" s="54"/>
      <c r="E51" s="54" t="s">
        <v>551</v>
      </c>
      <c r="F51" s="7"/>
      <c r="G51" s="8"/>
      <c r="H51" s="7"/>
      <c r="I51" s="30" t="s">
        <v>226</v>
      </c>
      <c r="J51" s="7"/>
      <c r="K51" s="8"/>
      <c r="L51" s="7"/>
      <c r="M51" s="8"/>
      <c r="N51" s="7"/>
      <c r="O51" s="8"/>
      <c r="P51" s="7"/>
      <c r="Q51" s="7"/>
      <c r="R51" s="8"/>
      <c r="S51" s="7"/>
      <c r="T51" s="9"/>
      <c r="U51" s="7"/>
      <c r="V51" s="8"/>
      <c r="W51" s="7"/>
      <c r="X51" s="7"/>
      <c r="Y51" s="8"/>
      <c r="Z51" s="7"/>
      <c r="AA51" s="60"/>
      <c r="AB51" s="65" t="s">
        <v>716</v>
      </c>
      <c r="AC51" s="65" t="s">
        <v>1268</v>
      </c>
    </row>
    <row r="52" spans="2:29" ht="13.5" thickBot="1">
      <c r="B52" s="10" t="s">
        <v>1263</v>
      </c>
      <c r="C52" s="68"/>
      <c r="D52" s="54"/>
      <c r="E52" s="54" t="s">
        <v>604</v>
      </c>
      <c r="F52" s="7"/>
      <c r="G52" s="8"/>
      <c r="H52" s="7"/>
      <c r="I52" s="744" t="s">
        <v>339</v>
      </c>
      <c r="J52" s="7"/>
      <c r="K52" s="8"/>
      <c r="L52" s="7"/>
      <c r="M52" s="8"/>
      <c r="N52" s="7"/>
      <c r="O52" s="8"/>
      <c r="P52" s="7"/>
      <c r="Q52" s="7"/>
      <c r="R52" s="8"/>
      <c r="S52" s="7"/>
      <c r="T52" s="9"/>
      <c r="U52" s="7"/>
      <c r="V52" s="8"/>
      <c r="W52" s="7"/>
      <c r="X52" s="7"/>
      <c r="Y52" s="8"/>
      <c r="Z52" s="7"/>
      <c r="AA52" s="60"/>
      <c r="AB52" s="65" t="s">
        <v>716</v>
      </c>
      <c r="AC52" s="65" t="s">
        <v>720</v>
      </c>
    </row>
    <row r="53" spans="2:29" ht="14.25" thickTop="1" thickBot="1">
      <c r="B53" s="10" t="s">
        <v>250</v>
      </c>
      <c r="D53" s="54"/>
      <c r="E53" s="54" t="s">
        <v>673</v>
      </c>
      <c r="F53" s="7"/>
      <c r="G53" s="8"/>
      <c r="H53" s="7"/>
      <c r="I53" s="6"/>
      <c r="J53" s="7"/>
      <c r="K53" s="8"/>
      <c r="L53" s="7"/>
      <c r="M53" s="8"/>
      <c r="N53" s="7"/>
      <c r="O53" s="8"/>
      <c r="P53" s="7"/>
      <c r="Q53" s="7"/>
      <c r="R53" s="8"/>
      <c r="S53" s="7"/>
      <c r="T53" s="9"/>
      <c r="U53" s="7"/>
      <c r="V53" s="8"/>
      <c r="W53" s="7"/>
      <c r="X53" s="7"/>
      <c r="Y53" s="8"/>
      <c r="Z53" s="7"/>
      <c r="AA53" s="60"/>
      <c r="AB53" s="65" t="s">
        <v>716</v>
      </c>
      <c r="AC53" s="65" t="s">
        <v>1271</v>
      </c>
    </row>
    <row r="54" spans="2:29" ht="14.25" thickTop="1" thickBot="1">
      <c r="B54" s="10" t="s">
        <v>284</v>
      </c>
      <c r="D54" s="54"/>
      <c r="E54" s="54" t="s">
        <v>540</v>
      </c>
      <c r="F54" s="7"/>
      <c r="G54" s="8"/>
      <c r="H54" s="7"/>
      <c r="I54" s="6"/>
      <c r="J54" s="7"/>
      <c r="K54" s="8"/>
      <c r="L54" s="7"/>
      <c r="M54" s="8"/>
      <c r="N54" s="7"/>
      <c r="O54" s="8"/>
      <c r="P54" s="7"/>
      <c r="Q54" s="7"/>
      <c r="R54" s="8"/>
      <c r="S54" s="7"/>
      <c r="T54" s="9"/>
      <c r="U54" s="7"/>
      <c r="V54" s="8"/>
      <c r="W54" s="7"/>
      <c r="X54" s="7"/>
      <c r="Y54" s="8"/>
      <c r="Z54" s="7"/>
      <c r="AA54" s="60"/>
      <c r="AB54" s="65" t="s">
        <v>716</v>
      </c>
      <c r="AC54" s="65" t="s">
        <v>1272</v>
      </c>
    </row>
    <row r="55" spans="2:29" ht="14.25" thickTop="1" thickBot="1">
      <c r="B55" s="10" t="s">
        <v>1267</v>
      </c>
      <c r="D55" s="54"/>
      <c r="E55" s="54" t="s">
        <v>542</v>
      </c>
      <c r="F55" s="7"/>
      <c r="G55" s="8"/>
      <c r="H55" s="7"/>
      <c r="I55" s="6"/>
      <c r="J55" s="7"/>
      <c r="K55" s="8"/>
      <c r="L55" s="7"/>
      <c r="M55" s="8"/>
      <c r="N55" s="7"/>
      <c r="O55" s="8"/>
      <c r="P55" s="7"/>
      <c r="Q55" s="7"/>
      <c r="R55" s="8"/>
      <c r="S55" s="7"/>
      <c r="T55" s="9"/>
      <c r="U55" s="7"/>
      <c r="V55" s="8"/>
      <c r="W55" s="7"/>
      <c r="X55" s="7"/>
      <c r="Y55" s="8"/>
      <c r="Z55" s="7"/>
      <c r="AA55" s="60"/>
      <c r="AB55" s="65" t="s">
        <v>716</v>
      </c>
      <c r="AC55" s="65" t="s">
        <v>1273</v>
      </c>
    </row>
    <row r="56" spans="2:29" ht="14.25" thickTop="1" thickBot="1">
      <c r="B56" s="10" t="s">
        <v>1269</v>
      </c>
      <c r="D56" s="54"/>
      <c r="E56" s="54" t="s">
        <v>616</v>
      </c>
      <c r="F56" s="7"/>
      <c r="G56" s="8"/>
      <c r="H56" s="7"/>
      <c r="I56" s="6"/>
      <c r="J56" s="7"/>
      <c r="K56" s="8"/>
      <c r="L56" s="7"/>
      <c r="M56" s="8"/>
      <c r="N56" s="7"/>
      <c r="O56" s="8"/>
      <c r="P56" s="7"/>
      <c r="Q56" s="7"/>
      <c r="R56" s="8"/>
      <c r="S56" s="7"/>
      <c r="T56" s="9"/>
      <c r="U56" s="7"/>
      <c r="V56" s="8"/>
      <c r="W56" s="7"/>
      <c r="X56" s="7"/>
      <c r="Y56" s="8"/>
      <c r="Z56" s="7"/>
      <c r="AA56" s="60"/>
      <c r="AB56" s="65" t="s">
        <v>716</v>
      </c>
      <c r="AC56" s="65" t="s">
        <v>1274</v>
      </c>
    </row>
    <row r="57" spans="2:29" ht="14.25" thickTop="1" thickBot="1">
      <c r="B57" s="10" t="s">
        <v>249</v>
      </c>
      <c r="D57" s="54"/>
      <c r="E57" s="54" t="s">
        <v>618</v>
      </c>
      <c r="F57" s="7"/>
      <c r="G57" s="8"/>
      <c r="H57" s="7"/>
      <c r="I57" s="6"/>
      <c r="J57" s="7"/>
      <c r="K57" s="8"/>
      <c r="L57" s="7"/>
      <c r="M57" s="8"/>
      <c r="N57" s="7"/>
      <c r="O57" s="8"/>
      <c r="P57" s="7"/>
      <c r="Q57" s="7"/>
      <c r="R57" s="8"/>
      <c r="S57" s="7"/>
      <c r="T57" s="9"/>
      <c r="U57" s="7"/>
      <c r="V57" s="8"/>
      <c r="W57" s="7"/>
      <c r="X57" s="7"/>
      <c r="Y57" s="8"/>
      <c r="Z57" s="7"/>
      <c r="AA57" s="60"/>
      <c r="AB57" s="65" t="s">
        <v>716</v>
      </c>
      <c r="AC57" s="65" t="s">
        <v>1275</v>
      </c>
    </row>
    <row r="58" spans="2:29" ht="14.25" thickTop="1" thickBot="1">
      <c r="B58" s="742" t="s">
        <v>3241</v>
      </c>
      <c r="D58" s="54"/>
      <c r="E58" s="54" t="s">
        <v>571</v>
      </c>
      <c r="F58" s="7"/>
      <c r="G58" s="8"/>
      <c r="H58" s="7"/>
      <c r="I58" s="6"/>
      <c r="J58" s="7"/>
      <c r="K58" s="8"/>
      <c r="L58" s="7"/>
      <c r="M58" s="8"/>
      <c r="N58" s="7"/>
      <c r="O58" s="8"/>
      <c r="P58" s="7"/>
      <c r="Q58" s="7"/>
      <c r="R58" s="8"/>
      <c r="S58" s="7"/>
      <c r="T58" s="9"/>
      <c r="U58" s="7"/>
      <c r="V58" s="8"/>
      <c r="W58" s="7"/>
      <c r="X58" s="7"/>
      <c r="Y58" s="8"/>
      <c r="Z58" s="7"/>
      <c r="AA58" s="60"/>
      <c r="AB58" s="65" t="s">
        <v>716</v>
      </c>
      <c r="AC58" s="65" t="s">
        <v>1276</v>
      </c>
    </row>
    <row r="59" spans="2:29" ht="14.25" thickTop="1" thickBot="1">
      <c r="B59" s="742" t="s">
        <v>299</v>
      </c>
      <c r="D59" s="54"/>
      <c r="E59" s="54" t="s">
        <v>601</v>
      </c>
      <c r="F59" s="7"/>
      <c r="G59" s="8"/>
      <c r="H59" s="7"/>
      <c r="I59" s="6"/>
      <c r="J59" s="7"/>
      <c r="K59" s="8"/>
      <c r="L59" s="7"/>
      <c r="M59" s="8"/>
      <c r="N59" s="7"/>
      <c r="O59" s="8"/>
      <c r="P59" s="7"/>
      <c r="Q59" s="7"/>
      <c r="R59" s="8"/>
      <c r="S59" s="7"/>
      <c r="T59" s="9"/>
      <c r="U59" s="7"/>
      <c r="V59" s="8"/>
      <c r="W59" s="7"/>
      <c r="X59" s="7"/>
      <c r="Y59" s="8"/>
      <c r="Z59" s="7"/>
      <c r="AA59" s="60"/>
      <c r="AB59" s="65" t="s">
        <v>716</v>
      </c>
      <c r="AC59" s="65" t="s">
        <v>1277</v>
      </c>
    </row>
    <row r="60" spans="2:29" ht="14.25" thickTop="1" thickBot="1">
      <c r="B60" s="661" t="s">
        <v>3072</v>
      </c>
      <c r="D60" s="54"/>
      <c r="E60" s="54" t="s">
        <v>560</v>
      </c>
      <c r="F60" s="7"/>
      <c r="G60" s="8"/>
      <c r="H60" s="7"/>
      <c r="I60" s="6"/>
      <c r="J60" s="7"/>
      <c r="K60" s="8"/>
      <c r="L60" s="7"/>
      <c r="M60" s="8"/>
      <c r="N60" s="7"/>
      <c r="O60" s="8"/>
      <c r="P60" s="7"/>
      <c r="Q60" s="7"/>
      <c r="R60" s="8"/>
      <c r="S60" s="7"/>
      <c r="T60" s="9"/>
      <c r="U60" s="7"/>
      <c r="V60" s="8"/>
      <c r="W60" s="7"/>
      <c r="X60" s="7"/>
      <c r="Y60" s="8"/>
      <c r="Z60" s="7"/>
      <c r="AA60" s="60"/>
      <c r="AB60" s="65" t="s">
        <v>716</v>
      </c>
      <c r="AC60" s="65" t="s">
        <v>1278</v>
      </c>
    </row>
    <row r="61" spans="2:29" ht="14.25" thickTop="1" thickBot="1">
      <c r="B61" s="68" t="s">
        <v>1935</v>
      </c>
      <c r="D61" s="54"/>
      <c r="E61" s="54" t="s">
        <v>961</v>
      </c>
      <c r="F61" s="7"/>
      <c r="G61" s="8"/>
      <c r="H61" s="7"/>
      <c r="I61" s="6"/>
      <c r="J61" s="7"/>
      <c r="K61" s="8"/>
      <c r="L61" s="7"/>
      <c r="M61" s="8"/>
      <c r="N61" s="7"/>
      <c r="O61" s="8"/>
      <c r="P61" s="7"/>
      <c r="Q61" s="7"/>
      <c r="R61" s="8"/>
      <c r="S61" s="7"/>
      <c r="T61" s="9"/>
      <c r="U61" s="7"/>
      <c r="V61" s="8"/>
      <c r="W61" s="7"/>
      <c r="X61" s="7"/>
      <c r="Y61" s="8"/>
      <c r="Z61" s="7"/>
      <c r="AA61" s="60"/>
      <c r="AB61" s="65" t="s">
        <v>716</v>
      </c>
      <c r="AC61" s="65" t="s">
        <v>1279</v>
      </c>
    </row>
    <row r="62" spans="2:29" ht="14.25" thickTop="1" thickBot="1">
      <c r="B62" s="10"/>
      <c r="D62" s="54"/>
      <c r="E62" s="54" t="s">
        <v>595</v>
      </c>
      <c r="F62" s="7"/>
      <c r="G62" s="8"/>
      <c r="H62" s="7"/>
      <c r="I62" s="6"/>
      <c r="J62" s="7"/>
      <c r="K62" s="8"/>
      <c r="L62" s="7"/>
      <c r="M62" s="8"/>
      <c r="N62" s="7"/>
      <c r="O62" s="8"/>
      <c r="P62" s="7"/>
      <c r="Q62" s="7"/>
      <c r="R62" s="8"/>
      <c r="S62" s="7"/>
      <c r="T62" s="9"/>
      <c r="U62" s="7"/>
      <c r="V62" s="8"/>
      <c r="W62" s="7"/>
      <c r="X62" s="7"/>
      <c r="Y62" s="8"/>
      <c r="Z62" s="7"/>
      <c r="AA62" s="60"/>
      <c r="AB62" s="65" t="s">
        <v>716</v>
      </c>
      <c r="AC62" s="65" t="s">
        <v>723</v>
      </c>
    </row>
    <row r="63" spans="2:29" ht="14.25" thickTop="1" thickBot="1">
      <c r="B63" s="10"/>
      <c r="D63" s="54"/>
      <c r="E63" s="54" t="s">
        <v>594</v>
      </c>
      <c r="F63" s="7"/>
      <c r="G63" s="8"/>
      <c r="H63" s="7"/>
      <c r="I63" s="6"/>
      <c r="J63" s="7"/>
      <c r="K63" s="8"/>
      <c r="L63" s="7"/>
      <c r="M63" s="8"/>
      <c r="N63" s="7"/>
      <c r="O63" s="8"/>
      <c r="P63" s="7"/>
      <c r="Q63" s="7"/>
      <c r="R63" s="8"/>
      <c r="S63" s="7"/>
      <c r="T63" s="9"/>
      <c r="U63" s="7"/>
      <c r="V63" s="8"/>
      <c r="W63" s="7"/>
      <c r="X63" s="7"/>
      <c r="Y63" s="8"/>
      <c r="Z63" s="7"/>
      <c r="AA63" s="60"/>
      <c r="AB63" s="65" t="s">
        <v>716</v>
      </c>
      <c r="AC63" s="65" t="s">
        <v>1280</v>
      </c>
    </row>
    <row r="64" spans="2:29" ht="14.25" thickTop="1" thickBot="1">
      <c r="B64" s="10"/>
      <c r="D64" s="54"/>
      <c r="E64" s="54" t="s">
        <v>543</v>
      </c>
      <c r="F64" s="7"/>
      <c r="G64" s="8"/>
      <c r="H64" s="7"/>
      <c r="I64" s="6"/>
      <c r="J64" s="7"/>
      <c r="K64" s="8"/>
      <c r="L64" s="7"/>
      <c r="M64" s="8"/>
      <c r="N64" s="7"/>
      <c r="O64" s="8"/>
      <c r="P64" s="7"/>
      <c r="Q64" s="7"/>
      <c r="R64" s="8"/>
      <c r="S64" s="7"/>
      <c r="T64" s="9"/>
      <c r="U64" s="7"/>
      <c r="V64" s="8"/>
      <c r="W64" s="7"/>
      <c r="X64" s="7"/>
      <c r="Y64" s="8"/>
      <c r="Z64" s="7"/>
      <c r="AA64" s="60"/>
      <c r="AB64" s="65" t="s">
        <v>716</v>
      </c>
      <c r="AC64" s="65" t="s">
        <v>1281</v>
      </c>
    </row>
    <row r="65" spans="2:29" ht="14.25" thickTop="1" thickBot="1">
      <c r="B65" s="10"/>
      <c r="D65" s="54"/>
      <c r="E65" s="54" t="s">
        <v>548</v>
      </c>
      <c r="F65" s="7"/>
      <c r="G65" s="8"/>
      <c r="H65" s="7"/>
      <c r="I65" s="6"/>
      <c r="J65" s="7"/>
      <c r="K65" s="8"/>
      <c r="L65" s="7"/>
      <c r="M65" s="8"/>
      <c r="N65" s="7"/>
      <c r="O65" s="8"/>
      <c r="P65" s="7"/>
      <c r="Q65" s="7"/>
      <c r="R65" s="8"/>
      <c r="S65" s="7"/>
      <c r="T65" s="9"/>
      <c r="U65" s="7"/>
      <c r="V65" s="8"/>
      <c r="W65" s="7"/>
      <c r="X65" s="7"/>
      <c r="Y65" s="8"/>
      <c r="Z65" s="7"/>
      <c r="AA65" s="60"/>
      <c r="AB65" s="65" t="s">
        <v>716</v>
      </c>
      <c r="AC65" s="65" t="s">
        <v>1282</v>
      </c>
    </row>
    <row r="66" spans="2:29" ht="14.25" thickTop="1" thickBot="1">
      <c r="B66" s="10"/>
      <c r="D66" s="54"/>
      <c r="E66" s="54" t="s">
        <v>606</v>
      </c>
      <c r="F66" s="7"/>
      <c r="G66" s="8"/>
      <c r="H66" s="7"/>
      <c r="I66" s="6"/>
      <c r="J66" s="7"/>
      <c r="K66" s="8"/>
      <c r="L66" s="7"/>
      <c r="M66" s="8"/>
      <c r="N66" s="7"/>
      <c r="O66" s="8"/>
      <c r="P66" s="7"/>
      <c r="Q66" s="7"/>
      <c r="R66" s="8"/>
      <c r="S66" s="7"/>
      <c r="T66" s="9"/>
      <c r="U66" s="7"/>
      <c r="V66" s="8"/>
      <c r="W66" s="7"/>
      <c r="X66" s="7"/>
      <c r="Y66" s="8"/>
      <c r="Z66" s="7"/>
      <c r="AA66" s="60"/>
      <c r="AB66" s="65" t="s">
        <v>716</v>
      </c>
      <c r="AC66" s="65" t="s">
        <v>1283</v>
      </c>
    </row>
    <row r="67" spans="2:29" ht="14.25" thickTop="1" thickBot="1">
      <c r="B67" s="10"/>
      <c r="D67" s="54"/>
      <c r="E67" s="54" t="s">
        <v>368</v>
      </c>
      <c r="F67" s="7"/>
      <c r="G67" s="8"/>
      <c r="H67" s="7"/>
      <c r="I67" s="6"/>
      <c r="J67" s="7"/>
      <c r="K67" s="8"/>
      <c r="L67" s="7"/>
      <c r="M67" s="8"/>
      <c r="N67" s="7"/>
      <c r="O67" s="8"/>
      <c r="P67" s="7"/>
      <c r="Q67" s="7"/>
      <c r="R67" s="8"/>
      <c r="S67" s="7"/>
      <c r="T67" s="9"/>
      <c r="U67" s="7"/>
      <c r="V67" s="8"/>
      <c r="W67" s="7"/>
      <c r="X67" s="7"/>
      <c r="Y67" s="8"/>
      <c r="Z67" s="7"/>
      <c r="AA67" s="60"/>
      <c r="AB67" s="65" t="s">
        <v>716</v>
      </c>
      <c r="AC67" s="65" t="s">
        <v>726</v>
      </c>
    </row>
    <row r="68" spans="2:29" ht="14.25" thickTop="1" thickBot="1">
      <c r="B68" s="10"/>
      <c r="D68" s="54"/>
      <c r="E68" s="54" t="s">
        <v>588</v>
      </c>
      <c r="F68" s="7"/>
      <c r="G68" s="8"/>
      <c r="H68" s="7"/>
      <c r="I68" s="6"/>
      <c r="J68" s="7"/>
      <c r="K68" s="8"/>
      <c r="L68" s="7"/>
      <c r="M68" s="8"/>
      <c r="N68" s="7"/>
      <c r="O68" s="8"/>
      <c r="P68" s="7"/>
      <c r="Q68" s="7"/>
      <c r="R68" s="8"/>
      <c r="S68" s="7"/>
      <c r="T68" s="9"/>
      <c r="U68" s="7"/>
      <c r="V68" s="8"/>
      <c r="W68" s="7"/>
      <c r="X68" s="7"/>
      <c r="Y68" s="8"/>
      <c r="Z68" s="7"/>
      <c r="AA68" s="60"/>
      <c r="AB68" s="65" t="s">
        <v>716</v>
      </c>
      <c r="AC68" s="65" t="s">
        <v>1284</v>
      </c>
    </row>
    <row r="69" spans="2:29" ht="14.25" thickTop="1" thickBot="1">
      <c r="B69" s="10"/>
      <c r="D69" s="69"/>
      <c r="E69" s="54" t="s">
        <v>657</v>
      </c>
      <c r="F69" s="7"/>
      <c r="G69" s="8"/>
      <c r="H69" s="7"/>
      <c r="I69" s="6"/>
      <c r="J69" s="7"/>
      <c r="K69" s="8"/>
      <c r="L69" s="7"/>
      <c r="M69" s="8"/>
      <c r="N69" s="7"/>
      <c r="O69" s="8"/>
      <c r="P69" s="7"/>
      <c r="Q69" s="7"/>
      <c r="R69" s="8"/>
      <c r="S69" s="7"/>
      <c r="T69" s="9"/>
      <c r="U69" s="7"/>
      <c r="V69" s="8"/>
      <c r="W69" s="7"/>
      <c r="X69" s="7"/>
      <c r="Y69" s="8"/>
      <c r="Z69" s="7"/>
      <c r="AA69" s="60"/>
      <c r="AB69" s="65" t="s">
        <v>716</v>
      </c>
      <c r="AC69" s="65" t="s">
        <v>717</v>
      </c>
    </row>
    <row r="70" spans="2:29" ht="14.25" thickTop="1" thickBot="1">
      <c r="B70" s="10"/>
      <c r="D70" s="69"/>
      <c r="E70" s="54" t="s">
        <v>935</v>
      </c>
      <c r="F70" s="7"/>
      <c r="G70" s="8"/>
      <c r="H70" s="7"/>
      <c r="I70" s="6"/>
      <c r="J70" s="7"/>
      <c r="K70" s="8"/>
      <c r="L70" s="7"/>
      <c r="M70" s="8"/>
      <c r="N70" s="7"/>
      <c r="O70" s="8"/>
      <c r="P70" s="7"/>
      <c r="Q70" s="7"/>
      <c r="R70" s="8"/>
      <c r="S70" s="7"/>
      <c r="T70" s="9"/>
      <c r="U70" s="7"/>
      <c r="V70" s="8"/>
      <c r="W70" s="7"/>
      <c r="X70" s="7"/>
      <c r="Y70" s="8"/>
      <c r="Z70" s="7"/>
      <c r="AA70" s="60"/>
      <c r="AB70" s="65" t="s">
        <v>716</v>
      </c>
      <c r="AC70" s="65" t="s">
        <v>1285</v>
      </c>
    </row>
    <row r="71" spans="2:29" ht="14.25" thickTop="1" thickBot="1">
      <c r="B71" s="10"/>
      <c r="D71" s="69"/>
      <c r="E71" s="54" t="s">
        <v>685</v>
      </c>
      <c r="F71" s="7"/>
      <c r="G71" s="8"/>
      <c r="H71" s="7"/>
      <c r="I71" s="6"/>
      <c r="J71" s="7"/>
      <c r="K71" s="8"/>
      <c r="L71" s="7"/>
      <c r="M71" s="8"/>
      <c r="N71" s="7"/>
      <c r="O71" s="8"/>
      <c r="P71" s="7"/>
      <c r="Q71" s="7"/>
      <c r="R71" s="8"/>
      <c r="S71" s="7"/>
      <c r="T71" s="9"/>
      <c r="U71" s="7"/>
      <c r="V71" s="8"/>
      <c r="W71" s="7"/>
      <c r="X71" s="7"/>
      <c r="Y71" s="8"/>
      <c r="Z71" s="7"/>
      <c r="AA71" s="60"/>
      <c r="AB71" s="65" t="s">
        <v>716</v>
      </c>
      <c r="AC71" s="65" t="s">
        <v>737</v>
      </c>
    </row>
    <row r="72" spans="2:29" ht="14.25" thickTop="1" thickBot="1">
      <c r="B72" s="10"/>
      <c r="D72" s="69"/>
      <c r="E72" s="54" t="s">
        <v>593</v>
      </c>
      <c r="F72" s="7"/>
      <c r="G72" s="8"/>
      <c r="H72" s="7"/>
      <c r="I72" s="6"/>
      <c r="J72" s="7"/>
      <c r="K72" s="8"/>
      <c r="L72" s="7"/>
      <c r="M72" s="8"/>
      <c r="N72" s="7"/>
      <c r="O72" s="8"/>
      <c r="P72" s="7"/>
      <c r="Q72" s="7"/>
      <c r="R72" s="8"/>
      <c r="S72" s="7"/>
      <c r="T72" s="9"/>
      <c r="U72" s="7"/>
      <c r="V72" s="8"/>
      <c r="W72" s="7"/>
      <c r="X72" s="7"/>
      <c r="Y72" s="8"/>
      <c r="Z72" s="7"/>
      <c r="AA72" s="60"/>
      <c r="AB72" s="65" t="s">
        <v>716</v>
      </c>
      <c r="AC72" s="65" t="s">
        <v>1286</v>
      </c>
    </row>
    <row r="73" spans="2:29" ht="14.25" thickTop="1" thickBot="1">
      <c r="B73" s="10"/>
      <c r="D73" s="69"/>
      <c r="E73" s="54" t="s">
        <v>378</v>
      </c>
      <c r="F73" s="7"/>
      <c r="G73" s="8"/>
      <c r="H73" s="7"/>
      <c r="I73" s="6"/>
      <c r="J73" s="7"/>
      <c r="K73" s="8"/>
      <c r="L73" s="7"/>
      <c r="M73" s="8"/>
      <c r="N73" s="7"/>
      <c r="O73" s="8"/>
      <c r="P73" s="7"/>
      <c r="Q73" s="7"/>
      <c r="R73" s="8"/>
      <c r="S73" s="7"/>
      <c r="T73" s="9"/>
      <c r="U73" s="7"/>
      <c r="V73" s="8"/>
      <c r="W73" s="7"/>
      <c r="X73" s="7"/>
      <c r="Y73" s="8"/>
      <c r="Z73" s="7"/>
      <c r="AA73" s="60"/>
      <c r="AB73" s="65" t="s">
        <v>716</v>
      </c>
      <c r="AC73" s="65" t="s">
        <v>1287</v>
      </c>
    </row>
    <row r="74" spans="2:29" ht="14.25" thickTop="1" thickBot="1">
      <c r="B74" s="10"/>
      <c r="D74" s="69"/>
      <c r="E74" s="54" t="s">
        <v>380</v>
      </c>
      <c r="F74" s="7"/>
      <c r="G74" s="8"/>
      <c r="H74" s="7"/>
      <c r="I74" s="6"/>
      <c r="J74" s="7"/>
      <c r="K74" s="8"/>
      <c r="L74" s="7"/>
      <c r="M74" s="8"/>
      <c r="N74" s="7"/>
      <c r="O74" s="8"/>
      <c r="P74" s="7"/>
      <c r="Q74" s="7"/>
      <c r="R74" s="8"/>
      <c r="S74" s="7"/>
      <c r="T74" s="9"/>
      <c r="U74" s="7"/>
      <c r="V74" s="8"/>
      <c r="W74" s="7"/>
      <c r="X74" s="7"/>
      <c r="Y74" s="8"/>
      <c r="Z74" s="7"/>
      <c r="AA74" s="60"/>
      <c r="AB74" s="65" t="s">
        <v>716</v>
      </c>
      <c r="AC74" s="65" t="s">
        <v>1288</v>
      </c>
    </row>
    <row r="75" spans="2:29" ht="14.25" thickTop="1" thickBot="1">
      <c r="B75" s="10"/>
      <c r="D75" s="69"/>
      <c r="E75" s="54" t="s">
        <v>385</v>
      </c>
      <c r="F75" s="7"/>
      <c r="G75" s="8"/>
      <c r="H75" s="7"/>
      <c r="I75" s="6"/>
      <c r="J75" s="7"/>
      <c r="K75" s="8"/>
      <c r="L75" s="7"/>
      <c r="M75" s="8"/>
      <c r="N75" s="7"/>
      <c r="O75" s="8"/>
      <c r="P75" s="7"/>
      <c r="Q75" s="7"/>
      <c r="R75" s="8"/>
      <c r="S75" s="7"/>
      <c r="T75" s="9"/>
      <c r="U75" s="7"/>
      <c r="V75" s="8"/>
      <c r="W75" s="7"/>
      <c r="X75" s="7"/>
      <c r="Y75" s="8"/>
      <c r="Z75" s="7"/>
      <c r="AA75" s="60"/>
      <c r="AB75" s="65" t="s">
        <v>716</v>
      </c>
      <c r="AC75" s="65" t="s">
        <v>1289</v>
      </c>
    </row>
    <row r="76" spans="2:29" ht="14.25" thickTop="1" thickBot="1">
      <c r="B76" s="10"/>
      <c r="D76" s="69"/>
      <c r="E76" s="54" t="s">
        <v>377</v>
      </c>
      <c r="F76" s="7"/>
      <c r="G76" s="8"/>
      <c r="H76" s="7"/>
      <c r="I76" s="6"/>
      <c r="J76" s="7"/>
      <c r="K76" s="8"/>
      <c r="L76" s="7"/>
      <c r="M76" s="8"/>
      <c r="N76" s="7"/>
      <c r="O76" s="8"/>
      <c r="P76" s="7"/>
      <c r="Q76" s="7"/>
      <c r="R76" s="8"/>
      <c r="S76" s="7"/>
      <c r="T76" s="9"/>
      <c r="U76" s="7"/>
      <c r="V76" s="8"/>
      <c r="W76" s="7"/>
      <c r="X76" s="7"/>
      <c r="Y76" s="8"/>
      <c r="Z76" s="7"/>
      <c r="AA76" s="60"/>
      <c r="AB76" s="65" t="s">
        <v>716</v>
      </c>
      <c r="AC76" s="65" t="s">
        <v>1290</v>
      </c>
    </row>
    <row r="77" spans="2:29" ht="14.25" thickTop="1" thickBot="1">
      <c r="B77" s="10"/>
      <c r="D77" s="69"/>
      <c r="E77" s="54" t="s">
        <v>815</v>
      </c>
      <c r="F77" s="7"/>
      <c r="G77" s="8"/>
      <c r="H77" s="7"/>
      <c r="I77" s="6"/>
      <c r="J77" s="7"/>
      <c r="K77" s="8"/>
      <c r="L77" s="7"/>
      <c r="M77" s="8"/>
      <c r="N77" s="7"/>
      <c r="O77" s="8"/>
      <c r="P77" s="7"/>
      <c r="Q77" s="7"/>
      <c r="R77" s="8"/>
      <c r="S77" s="7"/>
      <c r="T77" s="9"/>
      <c r="U77" s="7"/>
      <c r="V77" s="8"/>
      <c r="W77" s="7"/>
      <c r="X77" s="7"/>
      <c r="Y77" s="8"/>
      <c r="Z77" s="7"/>
      <c r="AA77" s="60"/>
      <c r="AB77" s="65" t="s">
        <v>716</v>
      </c>
      <c r="AC77" s="65" t="s">
        <v>1291</v>
      </c>
    </row>
    <row r="78" spans="2:29" ht="14.25" thickTop="1" thickBot="1">
      <c r="B78" s="10"/>
      <c r="D78" s="69"/>
      <c r="E78" s="54" t="s">
        <v>814</v>
      </c>
      <c r="F78" s="7"/>
      <c r="G78" s="8"/>
      <c r="H78" s="7"/>
      <c r="I78" s="6"/>
      <c r="J78" s="7"/>
      <c r="K78" s="8"/>
      <c r="L78" s="7"/>
      <c r="M78" s="8"/>
      <c r="N78" s="7"/>
      <c r="O78" s="8"/>
      <c r="P78" s="7"/>
      <c r="Q78" s="7"/>
      <c r="R78" s="8"/>
      <c r="S78" s="7"/>
      <c r="T78" s="9"/>
      <c r="U78" s="7"/>
      <c r="V78" s="8"/>
      <c r="W78" s="7"/>
      <c r="X78" s="7"/>
      <c r="Y78" s="8"/>
      <c r="Z78" s="7"/>
      <c r="AA78" s="60"/>
      <c r="AB78" s="65" t="s">
        <v>716</v>
      </c>
      <c r="AC78" s="65" t="s">
        <v>1292</v>
      </c>
    </row>
    <row r="79" spans="2:29" ht="14.25" thickTop="1" thickBot="1">
      <c r="B79" s="10"/>
      <c r="D79" s="69"/>
      <c r="E79" s="54" t="s">
        <v>382</v>
      </c>
      <c r="F79" s="7"/>
      <c r="G79" s="8"/>
      <c r="H79" s="7"/>
      <c r="I79" s="6"/>
      <c r="J79" s="7"/>
      <c r="K79" s="8"/>
      <c r="L79" s="7"/>
      <c r="M79" s="8"/>
      <c r="N79" s="7"/>
      <c r="O79" s="8"/>
      <c r="P79" s="7"/>
      <c r="Q79" s="7"/>
      <c r="R79" s="8"/>
      <c r="S79" s="7"/>
      <c r="T79" s="9"/>
      <c r="U79" s="7"/>
      <c r="V79" s="8"/>
      <c r="W79" s="7"/>
      <c r="X79" s="7"/>
      <c r="Y79" s="8"/>
      <c r="Z79" s="7"/>
      <c r="AA79" s="60"/>
      <c r="AB79" s="65" t="s">
        <v>716</v>
      </c>
      <c r="AC79" s="65" t="s">
        <v>1293</v>
      </c>
    </row>
    <row r="80" spans="2:29" ht="14.25" thickTop="1" thickBot="1">
      <c r="B80" s="10"/>
      <c r="D80" s="69"/>
      <c r="E80" s="54" t="s">
        <v>379</v>
      </c>
      <c r="F80" s="7"/>
      <c r="G80" s="8"/>
      <c r="H80" s="7"/>
      <c r="I80" s="6"/>
      <c r="J80" s="7"/>
      <c r="K80" s="8"/>
      <c r="L80" s="7"/>
      <c r="M80" s="8"/>
      <c r="N80" s="7"/>
      <c r="O80" s="8"/>
      <c r="P80" s="7"/>
      <c r="Q80" s="7"/>
      <c r="R80" s="8"/>
      <c r="S80" s="7"/>
      <c r="T80" s="9"/>
      <c r="U80" s="7"/>
      <c r="V80" s="8"/>
      <c r="W80" s="7"/>
      <c r="X80" s="7"/>
      <c r="Y80" s="8"/>
      <c r="Z80" s="7"/>
      <c r="AA80" s="60"/>
      <c r="AB80" s="65" t="s">
        <v>716</v>
      </c>
      <c r="AC80" s="65" t="s">
        <v>1294</v>
      </c>
    </row>
    <row r="81" spans="2:29" ht="14.25" thickTop="1" thickBot="1">
      <c r="B81" s="10"/>
      <c r="D81" s="69"/>
      <c r="E81" s="54" t="s">
        <v>381</v>
      </c>
      <c r="F81" s="7"/>
      <c r="G81" s="8"/>
      <c r="H81" s="7"/>
      <c r="I81" s="6"/>
      <c r="J81" s="7"/>
      <c r="K81" s="8"/>
      <c r="L81" s="7"/>
      <c r="M81" s="8"/>
      <c r="N81" s="7"/>
      <c r="O81" s="8"/>
      <c r="P81" s="7"/>
      <c r="Q81" s="7"/>
      <c r="R81" s="8"/>
      <c r="S81" s="7"/>
      <c r="T81" s="9"/>
      <c r="U81" s="7"/>
      <c r="V81" s="8"/>
      <c r="W81" s="7"/>
      <c r="X81" s="7"/>
      <c r="Y81" s="8"/>
      <c r="Z81" s="7"/>
      <c r="AA81" s="60"/>
      <c r="AB81" s="65" t="s">
        <v>716</v>
      </c>
      <c r="AC81" s="65" t="s">
        <v>1295</v>
      </c>
    </row>
    <row r="82" spans="2:29" ht="14.25" thickTop="1" thickBot="1">
      <c r="B82" s="10"/>
      <c r="D82" s="69"/>
      <c r="E82" s="54" t="s">
        <v>383</v>
      </c>
      <c r="F82" s="7"/>
      <c r="G82" s="8"/>
      <c r="H82" s="7"/>
      <c r="I82" s="6"/>
      <c r="J82" s="7"/>
      <c r="K82" s="8"/>
      <c r="L82" s="7"/>
      <c r="M82" s="8"/>
      <c r="N82" s="7"/>
      <c r="O82" s="8"/>
      <c r="P82" s="7"/>
      <c r="Q82" s="7"/>
      <c r="R82" s="8"/>
      <c r="S82" s="7"/>
      <c r="T82" s="9"/>
      <c r="U82" s="7"/>
      <c r="V82" s="8"/>
      <c r="W82" s="7"/>
      <c r="X82" s="7"/>
      <c r="Y82" s="8"/>
      <c r="Z82" s="7"/>
      <c r="AA82" s="60"/>
      <c r="AB82" s="65" t="s">
        <v>716</v>
      </c>
      <c r="AC82" s="65" t="s">
        <v>1296</v>
      </c>
    </row>
    <row r="83" spans="2:29" ht="14.25" thickTop="1" thickBot="1">
      <c r="B83" s="10"/>
      <c r="D83" s="69"/>
      <c r="E83" s="54" t="s">
        <v>376</v>
      </c>
      <c r="F83" s="7"/>
      <c r="G83" s="8"/>
      <c r="H83" s="7"/>
      <c r="I83" s="6"/>
      <c r="J83" s="7"/>
      <c r="K83" s="8"/>
      <c r="L83" s="7"/>
      <c r="M83" s="8"/>
      <c r="N83" s="7"/>
      <c r="O83" s="8"/>
      <c r="P83" s="7"/>
      <c r="Q83" s="7"/>
      <c r="R83" s="8"/>
      <c r="S83" s="7"/>
      <c r="T83" s="9"/>
      <c r="U83" s="7"/>
      <c r="V83" s="8"/>
      <c r="W83" s="7"/>
      <c r="X83" s="7"/>
      <c r="Y83" s="8"/>
      <c r="Z83" s="7"/>
      <c r="AA83" s="60"/>
      <c r="AB83" s="67" t="s">
        <v>716</v>
      </c>
      <c r="AC83" s="67" t="s">
        <v>1297</v>
      </c>
    </row>
    <row r="84" spans="2:29" ht="14.25" thickTop="1" thickBot="1">
      <c r="B84" s="10"/>
      <c r="D84" s="69"/>
      <c r="E84" s="54" t="s">
        <v>963</v>
      </c>
      <c r="F84" s="7"/>
      <c r="G84" s="8"/>
      <c r="H84" s="7"/>
      <c r="I84" s="6"/>
      <c r="J84" s="7"/>
      <c r="K84" s="8"/>
      <c r="L84" s="7"/>
      <c r="M84" s="8"/>
      <c r="N84" s="7"/>
      <c r="O84" s="8"/>
      <c r="P84" s="7"/>
      <c r="Q84" s="7"/>
      <c r="R84" s="8"/>
      <c r="S84" s="7"/>
      <c r="T84" s="9"/>
      <c r="U84" s="7"/>
      <c r="V84" s="8"/>
      <c r="W84" s="7"/>
      <c r="X84" s="7"/>
      <c r="Y84" s="8"/>
      <c r="Z84" s="7"/>
      <c r="AA84" s="8"/>
    </row>
    <row r="85" spans="2:29" ht="14.25" thickTop="1" thickBot="1">
      <c r="B85" s="10"/>
      <c r="D85" s="69"/>
      <c r="E85" s="54" t="s">
        <v>962</v>
      </c>
      <c r="F85" s="7"/>
      <c r="G85" s="8"/>
      <c r="H85" s="7"/>
      <c r="I85" s="6"/>
      <c r="J85" s="7"/>
      <c r="K85" s="8"/>
      <c r="L85" s="7"/>
      <c r="M85" s="8"/>
      <c r="N85" s="7"/>
      <c r="O85" s="8"/>
      <c r="P85" s="7"/>
      <c r="Q85" s="7"/>
      <c r="R85" s="8"/>
      <c r="S85" s="7"/>
      <c r="T85" s="9"/>
      <c r="U85" s="7"/>
      <c r="V85" s="8"/>
      <c r="W85" s="7"/>
      <c r="X85" s="7"/>
      <c r="Y85" s="8"/>
      <c r="Z85" s="7"/>
      <c r="AA85" s="8"/>
    </row>
    <row r="86" spans="2:29" ht="14.25" thickTop="1" thickBot="1">
      <c r="B86" s="10"/>
      <c r="D86" s="69"/>
      <c r="E86" s="54" t="s">
        <v>584</v>
      </c>
      <c r="F86" s="7"/>
      <c r="G86" s="8"/>
      <c r="H86" s="7"/>
      <c r="I86" s="6"/>
      <c r="J86" s="7"/>
      <c r="K86" s="8"/>
      <c r="L86" s="7"/>
      <c r="M86" s="8"/>
      <c r="N86" s="7"/>
      <c r="O86" s="8"/>
      <c r="P86" s="7"/>
      <c r="Q86" s="7"/>
      <c r="R86" s="8"/>
      <c r="S86" s="7"/>
      <c r="T86" s="9"/>
      <c r="U86" s="7"/>
      <c r="V86" s="8"/>
      <c r="W86" s="7"/>
      <c r="X86" s="7"/>
      <c r="Y86" s="8"/>
      <c r="Z86" s="7"/>
      <c r="AA86" s="8"/>
    </row>
    <row r="87" spans="2:29" ht="14.25" thickTop="1" thickBot="1">
      <c r="B87" s="10"/>
      <c r="D87" s="69"/>
      <c r="E87" s="54" t="s">
        <v>570</v>
      </c>
      <c r="F87" s="7"/>
      <c r="G87" s="8"/>
      <c r="H87" s="7"/>
      <c r="I87" s="6"/>
      <c r="J87" s="7"/>
      <c r="K87" s="8"/>
      <c r="L87" s="7"/>
      <c r="M87" s="8"/>
      <c r="N87" s="7"/>
      <c r="O87" s="8"/>
      <c r="P87" s="7"/>
      <c r="Q87" s="7"/>
      <c r="R87" s="8"/>
      <c r="S87" s="7"/>
      <c r="T87" s="9"/>
      <c r="U87" s="7"/>
      <c r="V87" s="8"/>
      <c r="W87" s="7"/>
      <c r="X87" s="7"/>
      <c r="Y87" s="8"/>
      <c r="Z87" s="7"/>
      <c r="AA87" s="8"/>
    </row>
    <row r="88" spans="2:29" ht="14.25" thickTop="1" thickBot="1">
      <c r="B88" s="10"/>
      <c r="D88" s="69"/>
      <c r="E88" s="54" t="s">
        <v>574</v>
      </c>
      <c r="F88" s="7"/>
      <c r="G88" s="8"/>
      <c r="H88" s="7"/>
      <c r="I88" s="6"/>
      <c r="J88" s="7"/>
      <c r="K88" s="8"/>
      <c r="L88" s="7"/>
      <c r="M88" s="8"/>
      <c r="N88" s="7"/>
      <c r="O88" s="8"/>
      <c r="P88" s="7"/>
      <c r="Q88" s="7"/>
      <c r="R88" s="8"/>
      <c r="S88" s="7"/>
      <c r="T88" s="9"/>
      <c r="U88" s="7"/>
      <c r="V88" s="8"/>
      <c r="W88" s="7"/>
      <c r="X88" s="7"/>
      <c r="Y88" s="8"/>
      <c r="Z88" s="7"/>
      <c r="AA88" s="8"/>
    </row>
    <row r="89" spans="2:29" ht="14.25" thickTop="1" thickBot="1">
      <c r="B89" s="10"/>
      <c r="D89" s="69"/>
      <c r="E89" s="54" t="s">
        <v>625</v>
      </c>
      <c r="F89" s="7"/>
      <c r="G89" s="8"/>
      <c r="H89" s="7"/>
      <c r="I89" s="6"/>
      <c r="J89" s="7"/>
      <c r="K89" s="8"/>
      <c r="L89" s="7"/>
      <c r="M89" s="8"/>
      <c r="N89" s="7"/>
      <c r="O89" s="8"/>
      <c r="P89" s="7"/>
      <c r="Q89" s="7"/>
      <c r="R89" s="8"/>
      <c r="S89" s="7"/>
      <c r="T89" s="9"/>
      <c r="U89" s="7"/>
      <c r="V89" s="8"/>
      <c r="W89" s="7"/>
      <c r="X89" s="7"/>
      <c r="Y89" s="8"/>
      <c r="Z89" s="7"/>
      <c r="AA89" s="8"/>
    </row>
    <row r="90" spans="2:29" ht="14.25" thickTop="1" thickBot="1">
      <c r="B90" s="10"/>
      <c r="D90" s="69"/>
      <c r="E90" s="54" t="s">
        <v>942</v>
      </c>
      <c r="F90" s="7"/>
      <c r="G90" s="8"/>
      <c r="H90" s="7"/>
      <c r="I90" s="6"/>
      <c r="J90" s="7"/>
      <c r="K90" s="8"/>
      <c r="L90" s="7"/>
      <c r="M90" s="8"/>
      <c r="N90" s="7"/>
      <c r="O90" s="8"/>
      <c r="P90" s="7"/>
      <c r="Q90" s="7"/>
      <c r="R90" s="8"/>
      <c r="S90" s="7"/>
      <c r="T90" s="9"/>
      <c r="U90" s="7"/>
      <c r="V90" s="8"/>
      <c r="W90" s="7"/>
      <c r="X90" s="7"/>
      <c r="Y90" s="8"/>
      <c r="Z90" s="7"/>
      <c r="AA90" s="8"/>
    </row>
    <row r="91" spans="2:29" ht="14.25" thickTop="1" thickBot="1">
      <c r="B91" s="10"/>
      <c r="D91" s="69"/>
      <c r="E91" s="54" t="s">
        <v>663</v>
      </c>
      <c r="F91" s="7"/>
      <c r="G91" s="8"/>
      <c r="H91" s="7"/>
      <c r="I91" s="6"/>
      <c r="J91" s="7"/>
      <c r="K91" s="8"/>
      <c r="L91" s="7"/>
      <c r="M91" s="8"/>
      <c r="N91" s="7"/>
      <c r="O91" s="8"/>
      <c r="P91" s="7"/>
      <c r="Q91" s="7"/>
      <c r="R91" s="8"/>
      <c r="S91" s="7"/>
      <c r="T91" s="9"/>
      <c r="U91" s="7"/>
      <c r="V91" s="8"/>
      <c r="W91" s="7"/>
      <c r="X91" s="7"/>
      <c r="Y91" s="8"/>
      <c r="Z91" s="7"/>
      <c r="AA91" s="8"/>
    </row>
    <row r="92" spans="2:29" ht="14.25" thickTop="1" thickBot="1">
      <c r="B92" s="10"/>
      <c r="D92" s="69"/>
      <c r="E92" s="54" t="s">
        <v>934</v>
      </c>
      <c r="F92" s="7"/>
      <c r="G92" s="8"/>
      <c r="H92" s="7"/>
      <c r="I92" s="6"/>
      <c r="J92" s="7"/>
      <c r="K92" s="8"/>
      <c r="L92" s="7"/>
      <c r="M92" s="8"/>
      <c r="N92" s="7"/>
      <c r="O92" s="8"/>
      <c r="P92" s="7"/>
      <c r="Q92" s="7"/>
      <c r="R92" s="8"/>
      <c r="S92" s="7"/>
      <c r="T92" s="9"/>
      <c r="U92" s="7"/>
      <c r="V92" s="8"/>
      <c r="W92" s="7"/>
      <c r="X92" s="7"/>
      <c r="Y92" s="8"/>
      <c r="Z92" s="7"/>
      <c r="AA92" s="8"/>
    </row>
    <row r="93" spans="2:29" ht="14.25" thickTop="1" thickBot="1">
      <c r="B93" s="10"/>
      <c r="D93" s="69"/>
      <c r="E93" s="54" t="s">
        <v>628</v>
      </c>
      <c r="F93" s="7"/>
      <c r="G93" s="8"/>
      <c r="H93" s="7"/>
      <c r="I93" s="6"/>
      <c r="J93" s="7"/>
      <c r="K93" s="8"/>
      <c r="L93" s="7"/>
      <c r="M93" s="8"/>
      <c r="N93" s="7"/>
      <c r="O93" s="8"/>
      <c r="P93" s="7"/>
      <c r="Q93" s="7"/>
      <c r="R93" s="8"/>
      <c r="S93" s="7"/>
      <c r="T93" s="9"/>
      <c r="U93" s="7"/>
      <c r="V93" s="8"/>
      <c r="W93" s="7"/>
      <c r="X93" s="7"/>
      <c r="Y93" s="8"/>
      <c r="Z93" s="7"/>
      <c r="AA93" s="8"/>
    </row>
    <row r="94" spans="2:29" ht="14.25" thickTop="1" thickBot="1">
      <c r="B94" s="10"/>
      <c r="D94" s="69"/>
      <c r="E94" s="54" t="s">
        <v>958</v>
      </c>
      <c r="F94" s="7"/>
      <c r="G94" s="8"/>
      <c r="H94" s="7"/>
      <c r="I94" s="6"/>
      <c r="J94" s="7"/>
      <c r="K94" s="8"/>
      <c r="L94" s="7"/>
      <c r="M94" s="8"/>
      <c r="N94" s="7"/>
      <c r="O94" s="8"/>
      <c r="P94" s="7"/>
      <c r="Q94" s="7"/>
      <c r="R94" s="8"/>
      <c r="S94" s="7"/>
      <c r="T94" s="9"/>
      <c r="U94" s="7"/>
      <c r="V94" s="8"/>
      <c r="W94" s="7"/>
      <c r="X94" s="7"/>
      <c r="Y94" s="8"/>
      <c r="Z94" s="7"/>
      <c r="AA94" s="8"/>
    </row>
    <row r="95" spans="2:29" ht="14.25" thickTop="1" thickBot="1">
      <c r="B95" s="10"/>
      <c r="D95" s="69"/>
      <c r="E95" s="54" t="s">
        <v>1148</v>
      </c>
      <c r="F95" s="7"/>
      <c r="G95" s="8"/>
      <c r="H95" s="7"/>
      <c r="I95" s="6"/>
      <c r="J95" s="7"/>
      <c r="K95" s="8"/>
      <c r="L95" s="7"/>
      <c r="M95" s="8"/>
      <c r="N95" s="7"/>
      <c r="O95" s="8"/>
      <c r="P95" s="7"/>
      <c r="Q95" s="7"/>
      <c r="R95" s="8"/>
      <c r="S95" s="7"/>
      <c r="T95" s="9"/>
      <c r="U95" s="7"/>
      <c r="V95" s="8"/>
      <c r="W95" s="7"/>
      <c r="X95" s="7"/>
      <c r="Y95" s="8"/>
      <c r="Z95" s="7"/>
      <c r="AA95" s="8"/>
    </row>
    <row r="96" spans="2:29" ht="14.25" thickTop="1" thickBot="1">
      <c r="B96" s="10"/>
      <c r="D96" s="69"/>
      <c r="E96" s="54" t="s">
        <v>611</v>
      </c>
      <c r="F96" s="7"/>
      <c r="G96" s="8"/>
      <c r="H96" s="7"/>
      <c r="I96" s="6"/>
      <c r="J96" s="7"/>
      <c r="K96" s="8"/>
      <c r="L96" s="7"/>
      <c r="M96" s="8"/>
      <c r="N96" s="7"/>
      <c r="O96" s="8"/>
      <c r="P96" s="7"/>
      <c r="Q96" s="7"/>
      <c r="R96" s="8"/>
      <c r="S96" s="7"/>
      <c r="T96" s="9"/>
      <c r="U96" s="7"/>
      <c r="V96" s="8"/>
      <c r="W96" s="7"/>
      <c r="X96" s="7"/>
      <c r="Y96" s="8"/>
      <c r="Z96" s="7"/>
      <c r="AA96" s="8"/>
    </row>
    <row r="97" spans="2:27" ht="14.25" thickTop="1" thickBot="1">
      <c r="B97" s="10"/>
      <c r="D97" s="69"/>
      <c r="E97" s="54" t="s">
        <v>613</v>
      </c>
      <c r="F97" s="7"/>
      <c r="G97" s="8"/>
      <c r="H97" s="7"/>
      <c r="I97" s="6"/>
      <c r="J97" s="7"/>
      <c r="K97" s="8"/>
      <c r="L97" s="7"/>
      <c r="M97" s="8"/>
      <c r="N97" s="7"/>
      <c r="O97" s="8"/>
      <c r="P97" s="7"/>
      <c r="Q97" s="7"/>
      <c r="R97" s="8"/>
      <c r="S97" s="7"/>
      <c r="T97" s="9"/>
      <c r="U97" s="7"/>
      <c r="V97" s="8"/>
      <c r="W97" s="7"/>
      <c r="X97" s="7"/>
      <c r="Y97" s="8"/>
      <c r="Z97" s="7"/>
      <c r="AA97" s="8"/>
    </row>
    <row r="98" spans="2:27" ht="14.25" thickTop="1" thickBot="1">
      <c r="B98" s="10"/>
      <c r="D98" s="69"/>
      <c r="E98" s="54" t="s">
        <v>964</v>
      </c>
      <c r="F98" s="7"/>
      <c r="G98" s="8"/>
      <c r="H98" s="7"/>
      <c r="I98" s="6"/>
      <c r="J98" s="7"/>
      <c r="K98" s="8"/>
      <c r="L98" s="7"/>
      <c r="M98" s="8"/>
      <c r="N98" s="7"/>
      <c r="O98" s="8"/>
      <c r="P98" s="7"/>
      <c r="Q98" s="7"/>
      <c r="R98" s="8"/>
      <c r="S98" s="7"/>
      <c r="T98" s="9"/>
      <c r="U98" s="7"/>
      <c r="V98" s="8"/>
      <c r="W98" s="7"/>
      <c r="X98" s="7"/>
      <c r="Y98" s="8"/>
      <c r="Z98" s="7"/>
      <c r="AA98" s="8"/>
    </row>
    <row r="99" spans="2:27" ht="14.25" thickTop="1" thickBot="1">
      <c r="B99" s="10"/>
      <c r="D99" s="69"/>
      <c r="E99" s="54" t="s">
        <v>632</v>
      </c>
      <c r="F99" s="7"/>
      <c r="G99" s="8"/>
      <c r="H99" s="7"/>
      <c r="I99" s="6"/>
      <c r="J99" s="7"/>
      <c r="K99" s="8"/>
      <c r="L99" s="7"/>
      <c r="M99" s="8"/>
      <c r="N99" s="7"/>
      <c r="O99" s="8"/>
      <c r="P99" s="7"/>
      <c r="Q99" s="7"/>
      <c r="R99" s="8"/>
      <c r="S99" s="7"/>
      <c r="T99" s="9"/>
      <c r="U99" s="7"/>
      <c r="V99" s="8"/>
      <c r="W99" s="7"/>
      <c r="X99" s="7"/>
      <c r="Y99" s="8"/>
      <c r="Z99" s="7"/>
      <c r="AA99" s="8"/>
    </row>
    <row r="100" spans="2:27" ht="14.25" thickTop="1" thickBot="1">
      <c r="B100" s="10"/>
      <c r="D100" s="69"/>
      <c r="E100" s="54" t="s">
        <v>968</v>
      </c>
      <c r="F100" s="7"/>
      <c r="G100" s="8"/>
      <c r="H100" s="7"/>
      <c r="I100" s="6"/>
      <c r="J100" s="7"/>
      <c r="K100" s="8"/>
      <c r="L100" s="7"/>
      <c r="M100" s="8"/>
      <c r="N100" s="7"/>
      <c r="O100" s="8"/>
      <c r="P100" s="7"/>
      <c r="Q100" s="7"/>
      <c r="R100" s="8"/>
      <c r="S100" s="7"/>
      <c r="T100" s="9"/>
      <c r="U100" s="7"/>
      <c r="V100" s="8"/>
      <c r="W100" s="7"/>
      <c r="X100" s="7"/>
      <c r="Y100" s="8"/>
      <c r="Z100" s="7"/>
      <c r="AA100" s="8"/>
    </row>
    <row r="101" spans="2:27" ht="14.25" thickTop="1" thickBot="1">
      <c r="B101" s="10"/>
      <c r="D101" s="69"/>
      <c r="E101" s="54" t="s">
        <v>946</v>
      </c>
      <c r="F101" s="7"/>
      <c r="G101" s="8"/>
      <c r="H101" s="7"/>
      <c r="I101" s="6"/>
      <c r="J101" s="7"/>
      <c r="K101" s="8"/>
      <c r="L101" s="7"/>
      <c r="M101" s="8"/>
      <c r="N101" s="7"/>
      <c r="O101" s="8"/>
      <c r="P101" s="7"/>
      <c r="Q101" s="7"/>
      <c r="R101" s="8"/>
      <c r="S101" s="7"/>
      <c r="T101" s="9"/>
      <c r="U101" s="7"/>
      <c r="V101" s="8"/>
      <c r="W101" s="7"/>
      <c r="X101" s="7"/>
      <c r="Y101" s="8"/>
      <c r="Z101" s="7"/>
      <c r="AA101" s="8"/>
    </row>
    <row r="102" spans="2:27" ht="14.25" thickTop="1" thickBot="1">
      <c r="B102" s="10"/>
      <c r="D102" s="69"/>
      <c r="E102" s="54" t="s">
        <v>810</v>
      </c>
      <c r="F102" s="7"/>
      <c r="G102" s="8"/>
      <c r="H102" s="7"/>
      <c r="I102" s="6"/>
      <c r="J102" s="7"/>
      <c r="K102" s="8"/>
      <c r="L102" s="7"/>
      <c r="M102" s="8"/>
      <c r="N102" s="7"/>
      <c r="O102" s="8"/>
      <c r="P102" s="7"/>
      <c r="Q102" s="7"/>
      <c r="R102" s="8"/>
      <c r="S102" s="7"/>
      <c r="T102" s="9"/>
      <c r="U102" s="7"/>
      <c r="V102" s="8"/>
      <c r="W102" s="7"/>
      <c r="X102" s="7"/>
      <c r="Y102" s="8"/>
      <c r="Z102" s="7"/>
      <c r="AA102" s="8"/>
    </row>
    <row r="103" spans="2:27" ht="14.25" thickTop="1" thickBot="1">
      <c r="B103" s="10"/>
      <c r="D103" s="69"/>
      <c r="E103" s="54" t="s">
        <v>591</v>
      </c>
      <c r="F103" s="7"/>
      <c r="G103" s="8"/>
      <c r="H103" s="7"/>
      <c r="I103" s="6"/>
      <c r="J103" s="7"/>
      <c r="K103" s="8"/>
      <c r="L103" s="7"/>
      <c r="M103" s="8"/>
      <c r="N103" s="7"/>
      <c r="O103" s="8"/>
      <c r="P103" s="7"/>
      <c r="Q103" s="7"/>
      <c r="R103" s="8"/>
      <c r="S103" s="7"/>
      <c r="T103" s="9"/>
      <c r="U103" s="7"/>
      <c r="V103" s="8"/>
      <c r="W103" s="7"/>
      <c r="X103" s="7"/>
      <c r="Y103" s="8"/>
      <c r="Z103" s="7"/>
      <c r="AA103" s="8"/>
    </row>
    <row r="104" spans="2:27" ht="14.25" thickTop="1" thickBot="1">
      <c r="B104" s="10"/>
      <c r="D104" s="69"/>
      <c r="E104" s="54" t="s">
        <v>587</v>
      </c>
      <c r="F104" s="7"/>
      <c r="G104" s="8"/>
      <c r="H104" s="7"/>
      <c r="I104" s="6"/>
      <c r="J104" s="7"/>
      <c r="K104" s="8"/>
      <c r="L104" s="7"/>
      <c r="M104" s="8"/>
      <c r="N104" s="7"/>
      <c r="O104" s="8"/>
      <c r="P104" s="7"/>
      <c r="Q104" s="7"/>
      <c r="R104" s="8"/>
      <c r="S104" s="7"/>
      <c r="T104" s="9"/>
      <c r="U104" s="7"/>
      <c r="V104" s="8"/>
      <c r="W104" s="7"/>
      <c r="X104" s="7"/>
      <c r="Y104" s="8"/>
      <c r="Z104" s="7"/>
      <c r="AA104" s="8"/>
    </row>
    <row r="105" spans="2:27" ht="14.25" thickTop="1" thickBot="1">
      <c r="B105" s="10"/>
      <c r="D105" s="69"/>
      <c r="E105" s="54" t="s">
        <v>950</v>
      </c>
      <c r="F105" s="7"/>
      <c r="G105" s="8"/>
      <c r="H105" s="7"/>
      <c r="I105" s="6"/>
      <c r="J105" s="7"/>
      <c r="K105" s="8"/>
      <c r="L105" s="7"/>
      <c r="M105" s="8"/>
      <c r="N105" s="7"/>
      <c r="O105" s="8"/>
      <c r="P105" s="7"/>
      <c r="Q105" s="7"/>
      <c r="R105" s="8"/>
      <c r="S105" s="7"/>
      <c r="T105" s="9"/>
      <c r="U105" s="7"/>
      <c r="V105" s="8"/>
      <c r="W105" s="7"/>
      <c r="X105" s="7"/>
      <c r="Y105" s="8"/>
      <c r="Z105" s="7"/>
      <c r="AA105" s="8"/>
    </row>
    <row r="106" spans="2:27" ht="14.25" thickTop="1" thickBot="1">
      <c r="B106" s="10"/>
      <c r="D106" s="69"/>
      <c r="E106" s="54" t="s">
        <v>324</v>
      </c>
      <c r="F106" s="7"/>
      <c r="G106" s="8"/>
      <c r="H106" s="7"/>
      <c r="I106" s="6"/>
      <c r="J106" s="7"/>
      <c r="K106" s="8"/>
      <c r="L106" s="7"/>
      <c r="M106" s="8"/>
      <c r="N106" s="7"/>
      <c r="O106" s="8"/>
      <c r="P106" s="7"/>
      <c r="Q106" s="7"/>
      <c r="R106" s="8"/>
      <c r="S106" s="7"/>
      <c r="T106" s="9"/>
      <c r="U106" s="7"/>
      <c r="V106" s="8"/>
      <c r="W106" s="7"/>
      <c r="X106" s="7"/>
      <c r="Y106" s="8"/>
      <c r="Z106" s="7"/>
      <c r="AA106" s="8"/>
    </row>
    <row r="107" spans="2:27" ht="14.25" thickTop="1" thickBot="1">
      <c r="B107" s="10"/>
      <c r="D107" s="69"/>
      <c r="E107" s="54" t="s">
        <v>1298</v>
      </c>
      <c r="F107" s="7"/>
      <c r="G107" s="8"/>
      <c r="H107" s="7"/>
      <c r="I107" s="6"/>
      <c r="J107" s="7"/>
      <c r="K107" s="8"/>
      <c r="L107" s="7"/>
      <c r="M107" s="8"/>
      <c r="N107" s="7"/>
      <c r="O107" s="8"/>
      <c r="P107" s="7"/>
      <c r="Q107" s="7"/>
      <c r="R107" s="8"/>
      <c r="S107" s="7"/>
      <c r="T107" s="9"/>
      <c r="U107" s="7"/>
      <c r="V107" s="8"/>
      <c r="W107" s="7"/>
      <c r="X107" s="7"/>
      <c r="Y107" s="8"/>
      <c r="Z107" s="7"/>
      <c r="AA107" s="8"/>
    </row>
    <row r="108" spans="2:27" ht="14.25" thickTop="1" thickBot="1">
      <c r="B108" s="10"/>
      <c r="D108" s="69"/>
      <c r="E108" s="54" t="s">
        <v>949</v>
      </c>
      <c r="F108" s="7"/>
      <c r="G108" s="8"/>
      <c r="H108" s="7"/>
      <c r="I108" s="6"/>
      <c r="J108" s="7"/>
      <c r="K108" s="8"/>
      <c r="L108" s="7"/>
      <c r="M108" s="8"/>
      <c r="N108" s="7"/>
      <c r="O108" s="8"/>
      <c r="P108" s="7"/>
      <c r="Q108" s="7"/>
      <c r="R108" s="8"/>
      <c r="S108" s="7"/>
      <c r="T108" s="9"/>
      <c r="U108" s="7"/>
      <c r="V108" s="8"/>
      <c r="W108" s="7"/>
      <c r="X108" s="7"/>
      <c r="Y108" s="8"/>
      <c r="Z108" s="7"/>
      <c r="AA108" s="8"/>
    </row>
    <row r="109" spans="2:27" ht="14.25" thickTop="1" thickBot="1">
      <c r="B109" s="10"/>
      <c r="D109" s="69"/>
      <c r="E109" s="54" t="s">
        <v>327</v>
      </c>
      <c r="F109" s="7"/>
      <c r="G109" s="8"/>
      <c r="H109" s="7"/>
      <c r="I109" s="6"/>
      <c r="J109" s="7"/>
      <c r="K109" s="8"/>
      <c r="L109" s="7"/>
      <c r="M109" s="8"/>
      <c r="N109" s="7"/>
      <c r="O109" s="8"/>
      <c r="P109" s="7"/>
      <c r="Q109" s="7"/>
      <c r="R109" s="8"/>
      <c r="S109" s="7"/>
      <c r="T109" s="9"/>
      <c r="U109" s="7"/>
      <c r="V109" s="8"/>
      <c r="W109" s="7"/>
      <c r="X109" s="7"/>
      <c r="Y109" s="8"/>
      <c r="Z109" s="7"/>
      <c r="AA109" s="8"/>
    </row>
    <row r="110" spans="2:27" ht="14.25" thickTop="1" thickBot="1">
      <c r="B110" s="10"/>
      <c r="D110" s="69"/>
      <c r="E110" s="54" t="s">
        <v>1105</v>
      </c>
      <c r="F110" s="7"/>
      <c r="G110" s="8"/>
      <c r="H110" s="7"/>
      <c r="I110" s="6"/>
      <c r="J110" s="7"/>
      <c r="K110" s="8"/>
      <c r="L110" s="7"/>
      <c r="M110" s="8"/>
      <c r="N110" s="7"/>
      <c r="O110" s="8"/>
      <c r="P110" s="7"/>
      <c r="Q110" s="7"/>
      <c r="R110" s="8"/>
      <c r="S110" s="7"/>
      <c r="T110" s="9"/>
      <c r="U110" s="7"/>
      <c r="V110" s="8"/>
      <c r="W110" s="7"/>
      <c r="X110" s="7"/>
      <c r="Y110" s="8"/>
      <c r="Z110" s="7"/>
      <c r="AA110" s="8"/>
    </row>
    <row r="111" spans="2:27" ht="14.25" thickTop="1" thickBot="1">
      <c r="B111" s="10"/>
      <c r="D111" s="69"/>
      <c r="E111" s="54" t="s">
        <v>970</v>
      </c>
      <c r="F111" s="7"/>
      <c r="G111" s="8"/>
      <c r="H111" s="7"/>
      <c r="I111" s="6"/>
      <c r="J111" s="7"/>
      <c r="K111" s="8"/>
      <c r="L111" s="7"/>
      <c r="M111" s="8"/>
      <c r="N111" s="7"/>
      <c r="O111" s="8"/>
      <c r="P111" s="7"/>
      <c r="Q111" s="7"/>
      <c r="R111" s="8"/>
      <c r="S111" s="7"/>
      <c r="T111" s="9"/>
      <c r="U111" s="7"/>
      <c r="V111" s="8"/>
      <c r="W111" s="7"/>
      <c r="X111" s="7"/>
      <c r="Y111" s="8"/>
      <c r="Z111" s="7"/>
      <c r="AA111" s="8"/>
    </row>
    <row r="112" spans="2:27" ht="14.25" thickTop="1" thickBot="1">
      <c r="B112" s="10"/>
      <c r="D112" s="69"/>
      <c r="E112" s="54" t="s">
        <v>686</v>
      </c>
      <c r="F112" s="7"/>
      <c r="G112" s="8"/>
      <c r="H112" s="7"/>
      <c r="I112" s="6"/>
      <c r="J112" s="7"/>
      <c r="K112" s="8"/>
      <c r="L112" s="7"/>
      <c r="M112" s="8"/>
      <c r="N112" s="7"/>
      <c r="O112" s="8"/>
      <c r="P112" s="7"/>
      <c r="Q112" s="7"/>
      <c r="R112" s="8"/>
      <c r="S112" s="7"/>
      <c r="T112" s="9"/>
      <c r="U112" s="7"/>
      <c r="V112" s="8"/>
      <c r="W112" s="7"/>
      <c r="X112" s="7"/>
      <c r="Y112" s="8"/>
      <c r="Z112" s="7"/>
      <c r="AA112" s="8"/>
    </row>
    <row r="113" spans="2:27" ht="14.25" thickTop="1" thickBot="1">
      <c r="B113" s="10"/>
      <c r="D113" s="69"/>
      <c r="E113" s="54" t="s">
        <v>583</v>
      </c>
      <c r="F113" s="7"/>
      <c r="G113" s="8"/>
      <c r="H113" s="7"/>
      <c r="I113" s="6"/>
      <c r="J113" s="7"/>
      <c r="K113" s="8"/>
      <c r="L113" s="7"/>
      <c r="M113" s="8"/>
      <c r="N113" s="7"/>
      <c r="O113" s="8"/>
      <c r="P113" s="7"/>
      <c r="Q113" s="7"/>
      <c r="R113" s="8"/>
      <c r="S113" s="7"/>
      <c r="T113" s="9"/>
      <c r="U113" s="7"/>
      <c r="V113" s="8"/>
      <c r="W113" s="7"/>
      <c r="X113" s="7"/>
      <c r="Y113" s="8"/>
      <c r="Z113" s="7"/>
      <c r="AA113" s="8"/>
    </row>
    <row r="114" spans="2:27" ht="14.25" thickTop="1" thickBot="1">
      <c r="B114" s="10"/>
      <c r="D114" s="69"/>
      <c r="E114" s="54" t="s">
        <v>333</v>
      </c>
      <c r="F114" s="7"/>
      <c r="G114" s="8"/>
      <c r="H114" s="7"/>
      <c r="I114" s="6"/>
      <c r="J114" s="7"/>
      <c r="K114" s="8"/>
      <c r="L114" s="7"/>
      <c r="M114" s="8"/>
      <c r="N114" s="7"/>
      <c r="O114" s="8"/>
      <c r="P114" s="7"/>
      <c r="Q114" s="7"/>
      <c r="R114" s="8"/>
      <c r="S114" s="7"/>
      <c r="T114" s="9"/>
      <c r="U114" s="7"/>
      <c r="V114" s="8"/>
      <c r="W114" s="7"/>
      <c r="X114" s="7"/>
      <c r="Y114" s="8"/>
      <c r="Z114" s="7"/>
      <c r="AA114" s="8"/>
    </row>
    <row r="115" spans="2:27" ht="14.25" thickTop="1" thickBot="1">
      <c r="B115" s="10"/>
      <c r="D115" s="69"/>
      <c r="E115" s="54" t="s">
        <v>335</v>
      </c>
      <c r="F115" s="7"/>
      <c r="G115" s="8"/>
      <c r="H115" s="7"/>
      <c r="I115" s="6"/>
      <c r="J115" s="7"/>
      <c r="K115" s="8"/>
      <c r="L115" s="7"/>
      <c r="M115" s="8"/>
      <c r="N115" s="7"/>
      <c r="O115" s="8"/>
      <c r="P115" s="7"/>
      <c r="Q115" s="7"/>
      <c r="R115" s="8"/>
      <c r="S115" s="7"/>
      <c r="T115" s="9"/>
      <c r="U115" s="7"/>
      <c r="V115" s="8"/>
      <c r="W115" s="7"/>
      <c r="X115" s="7"/>
      <c r="Y115" s="8"/>
      <c r="Z115" s="7"/>
      <c r="AA115" s="8"/>
    </row>
    <row r="116" spans="2:27" ht="14.25" thickTop="1" thickBot="1">
      <c r="B116" s="10"/>
      <c r="D116" s="69"/>
      <c r="E116" s="54" t="s">
        <v>576</v>
      </c>
      <c r="F116" s="7"/>
      <c r="G116" s="8"/>
      <c r="H116" s="7"/>
      <c r="I116" s="6"/>
      <c r="J116" s="7"/>
      <c r="K116" s="8"/>
      <c r="L116" s="7"/>
      <c r="M116" s="8"/>
      <c r="N116" s="7"/>
      <c r="O116" s="8"/>
      <c r="P116" s="7"/>
      <c r="Q116" s="7"/>
      <c r="R116" s="8"/>
      <c r="S116" s="7"/>
      <c r="T116" s="9"/>
      <c r="U116" s="7"/>
      <c r="V116" s="8"/>
      <c r="W116" s="7"/>
      <c r="X116" s="7"/>
      <c r="Y116" s="8"/>
      <c r="Z116" s="7"/>
      <c r="AA116" s="8"/>
    </row>
    <row r="117" spans="2:27" ht="14.25" thickTop="1" thickBot="1">
      <c r="B117" s="10"/>
      <c r="D117" s="69"/>
      <c r="E117" s="54" t="s">
        <v>697</v>
      </c>
      <c r="F117" s="7"/>
      <c r="G117" s="8"/>
      <c r="H117" s="7"/>
      <c r="I117" s="6"/>
      <c r="J117" s="7"/>
      <c r="K117" s="8"/>
      <c r="L117" s="7"/>
      <c r="M117" s="8"/>
      <c r="N117" s="7"/>
      <c r="O117" s="8"/>
      <c r="P117" s="7"/>
      <c r="Q117" s="7"/>
      <c r="R117" s="8"/>
      <c r="S117" s="7"/>
      <c r="T117" s="9"/>
      <c r="U117" s="7"/>
      <c r="V117" s="8"/>
      <c r="W117" s="7"/>
      <c r="X117" s="7"/>
      <c r="Y117" s="8"/>
      <c r="Z117" s="7"/>
      <c r="AA117" s="8"/>
    </row>
    <row r="118" spans="2:27" ht="14.25" thickTop="1" thickBot="1">
      <c r="B118" s="10"/>
      <c r="D118" s="69"/>
      <c r="E118" s="54" t="s">
        <v>944</v>
      </c>
      <c r="F118" s="7"/>
      <c r="G118" s="8"/>
      <c r="H118" s="7"/>
      <c r="I118" s="6"/>
      <c r="J118" s="7"/>
      <c r="K118" s="8"/>
      <c r="L118" s="7"/>
      <c r="M118" s="8"/>
      <c r="N118" s="7"/>
      <c r="O118" s="8"/>
      <c r="P118" s="7"/>
      <c r="Q118" s="7"/>
      <c r="R118" s="8"/>
      <c r="S118" s="7"/>
      <c r="T118" s="9"/>
      <c r="U118" s="7"/>
      <c r="V118" s="8"/>
      <c r="W118" s="7"/>
      <c r="X118" s="7"/>
      <c r="Y118" s="8"/>
      <c r="Z118" s="7"/>
      <c r="AA118" s="8"/>
    </row>
    <row r="119" spans="2:27" ht="14.25" thickTop="1" thickBot="1">
      <c r="B119" s="10"/>
      <c r="D119" s="69"/>
      <c r="E119" s="54" t="s">
        <v>647</v>
      </c>
      <c r="F119" s="7"/>
      <c r="G119" s="8"/>
      <c r="H119" s="7"/>
      <c r="I119" s="6"/>
      <c r="J119" s="7"/>
      <c r="K119" s="8"/>
      <c r="L119" s="7"/>
      <c r="M119" s="8"/>
      <c r="N119" s="7"/>
      <c r="O119" s="8"/>
      <c r="P119" s="7"/>
      <c r="Q119" s="7"/>
      <c r="R119" s="8"/>
      <c r="S119" s="7"/>
      <c r="T119" s="9"/>
      <c r="U119" s="7"/>
      <c r="V119" s="8"/>
      <c r="W119" s="7"/>
      <c r="X119" s="7"/>
      <c r="Y119" s="8"/>
      <c r="Z119" s="7"/>
      <c r="AA119" s="8"/>
    </row>
    <row r="120" spans="2:27" ht="14.25" thickTop="1" thickBot="1">
      <c r="B120" s="10"/>
      <c r="D120" s="69"/>
      <c r="E120" s="54" t="s">
        <v>643</v>
      </c>
      <c r="F120" s="7"/>
      <c r="G120" s="8"/>
      <c r="H120" s="7"/>
      <c r="I120" s="6"/>
      <c r="J120" s="7"/>
      <c r="K120" s="8"/>
      <c r="L120" s="7"/>
      <c r="M120" s="8"/>
      <c r="N120" s="7"/>
      <c r="O120" s="8"/>
      <c r="P120" s="7"/>
      <c r="Q120" s="7"/>
      <c r="R120" s="8"/>
      <c r="S120" s="7"/>
      <c r="T120" s="9"/>
      <c r="U120" s="7"/>
      <c r="V120" s="8"/>
      <c r="W120" s="7"/>
      <c r="X120" s="7"/>
      <c r="Y120" s="8"/>
      <c r="Z120" s="7"/>
      <c r="AA120" s="8"/>
    </row>
    <row r="121" spans="2:27" ht="14.25" thickTop="1" thickBot="1">
      <c r="B121" s="10"/>
      <c r="D121" s="69"/>
      <c r="E121" s="54" t="s">
        <v>639</v>
      </c>
      <c r="F121" s="7"/>
      <c r="G121" s="8"/>
      <c r="H121" s="7"/>
      <c r="I121" s="6"/>
      <c r="J121" s="7"/>
      <c r="K121" s="8"/>
      <c r="L121" s="7"/>
      <c r="M121" s="8"/>
      <c r="N121" s="7"/>
      <c r="O121" s="8"/>
      <c r="P121" s="7"/>
      <c r="Q121" s="7"/>
      <c r="R121" s="8"/>
      <c r="S121" s="7"/>
      <c r="T121" s="9"/>
      <c r="U121" s="7"/>
      <c r="V121" s="8"/>
      <c r="W121" s="7"/>
      <c r="X121" s="7"/>
      <c r="Y121" s="8"/>
      <c r="Z121" s="7"/>
      <c r="AA121" s="8"/>
    </row>
    <row r="122" spans="2:27" ht="14.25" thickTop="1" thickBot="1">
      <c r="B122" s="10"/>
      <c r="D122" s="69"/>
      <c r="E122" s="54" t="s">
        <v>621</v>
      </c>
      <c r="F122" s="7"/>
      <c r="G122" s="8"/>
      <c r="H122" s="7"/>
      <c r="I122" s="6"/>
      <c r="J122" s="7"/>
      <c r="K122" s="8"/>
      <c r="L122" s="7"/>
      <c r="M122" s="8"/>
      <c r="N122" s="7"/>
      <c r="O122" s="8"/>
      <c r="P122" s="7"/>
      <c r="Q122" s="7"/>
      <c r="R122" s="8"/>
      <c r="S122" s="7"/>
      <c r="T122" s="9"/>
      <c r="U122" s="7"/>
      <c r="V122" s="8"/>
      <c r="W122" s="7"/>
      <c r="X122" s="7"/>
      <c r="Y122" s="8"/>
      <c r="Z122" s="7"/>
      <c r="AA122" s="8"/>
    </row>
    <row r="123" spans="2:27" ht="14.25" thickTop="1" thickBot="1">
      <c r="B123" s="10"/>
      <c r="D123" s="69"/>
      <c r="E123" s="54" t="s">
        <v>948</v>
      </c>
      <c r="F123" s="7"/>
      <c r="G123" s="8"/>
      <c r="H123" s="7"/>
      <c r="I123" s="6"/>
      <c r="J123" s="7"/>
      <c r="K123" s="8"/>
      <c r="L123" s="7"/>
      <c r="M123" s="8"/>
      <c r="N123" s="7"/>
      <c r="O123" s="8"/>
      <c r="P123" s="7"/>
      <c r="Q123" s="7"/>
      <c r="R123" s="8"/>
      <c r="S123" s="7"/>
      <c r="T123" s="9"/>
      <c r="U123" s="7"/>
      <c r="V123" s="8"/>
      <c r="W123" s="7"/>
      <c r="X123" s="7"/>
      <c r="Y123" s="8"/>
      <c r="Z123" s="7"/>
      <c r="AA123" s="8"/>
    </row>
    <row r="124" spans="2:27" ht="14.25" thickTop="1" thickBot="1">
      <c r="B124" s="10"/>
      <c r="D124" s="69"/>
      <c r="E124" s="54" t="s">
        <v>692</v>
      </c>
      <c r="F124" s="7"/>
      <c r="G124" s="8"/>
      <c r="H124" s="7"/>
      <c r="I124" s="6"/>
      <c r="J124" s="7"/>
      <c r="K124" s="8"/>
      <c r="L124" s="7"/>
      <c r="M124" s="8"/>
      <c r="N124" s="7"/>
      <c r="O124" s="8"/>
      <c r="P124" s="7"/>
      <c r="Q124" s="7"/>
      <c r="R124" s="8"/>
      <c r="S124" s="7"/>
      <c r="T124" s="9"/>
      <c r="U124" s="7"/>
      <c r="V124" s="8"/>
      <c r="W124" s="7"/>
      <c r="X124" s="7"/>
      <c r="Y124" s="8"/>
      <c r="Z124" s="7"/>
      <c r="AA124" s="8"/>
    </row>
    <row r="125" spans="2:27" ht="14.25" thickTop="1" thickBot="1">
      <c r="B125" s="10"/>
      <c r="D125" s="69"/>
      <c r="E125" s="54" t="s">
        <v>698</v>
      </c>
      <c r="F125" s="7"/>
      <c r="G125" s="8"/>
      <c r="H125" s="7"/>
      <c r="I125" s="6"/>
      <c r="J125" s="7"/>
      <c r="K125" s="8"/>
      <c r="L125" s="7"/>
      <c r="M125" s="8"/>
      <c r="N125" s="7"/>
      <c r="O125" s="8"/>
      <c r="P125" s="7"/>
      <c r="Q125" s="7"/>
      <c r="R125" s="8"/>
      <c r="S125" s="7"/>
      <c r="T125" s="9"/>
      <c r="U125" s="7"/>
      <c r="V125" s="8"/>
      <c r="W125" s="7"/>
      <c r="X125" s="7"/>
      <c r="Y125" s="8"/>
      <c r="Z125" s="7"/>
      <c r="AA125" s="8"/>
    </row>
    <row r="126" spans="2:27" ht="14.25" thickTop="1" thickBot="1">
      <c r="B126" s="10"/>
      <c r="D126" s="69"/>
      <c r="E126" s="54" t="s">
        <v>510</v>
      </c>
      <c r="F126" s="7"/>
      <c r="G126" s="8"/>
      <c r="H126" s="7"/>
      <c r="I126" s="6"/>
      <c r="J126" s="7"/>
      <c r="K126" s="8"/>
      <c r="L126" s="7"/>
      <c r="M126" s="8"/>
      <c r="N126" s="7"/>
      <c r="O126" s="8"/>
      <c r="P126" s="7"/>
      <c r="Q126" s="7"/>
      <c r="R126" s="8"/>
      <c r="S126" s="7"/>
      <c r="T126" s="9"/>
      <c r="U126" s="7"/>
      <c r="V126" s="8"/>
      <c r="W126" s="7"/>
      <c r="X126" s="7"/>
      <c r="Y126" s="8"/>
      <c r="Z126" s="7"/>
      <c r="AA126" s="8"/>
    </row>
    <row r="127" spans="2:27" ht="14.25" thickTop="1" thickBot="1">
      <c r="B127" s="10"/>
      <c r="D127" s="69"/>
      <c r="E127" s="54" t="s">
        <v>534</v>
      </c>
      <c r="F127" s="7"/>
      <c r="G127" s="8"/>
      <c r="H127" s="7"/>
      <c r="I127" s="6"/>
      <c r="J127" s="7"/>
      <c r="K127" s="8"/>
      <c r="L127" s="7"/>
      <c r="M127" s="8"/>
      <c r="N127" s="7"/>
      <c r="O127" s="8"/>
      <c r="P127" s="7"/>
      <c r="Q127" s="7"/>
      <c r="R127" s="8"/>
      <c r="S127" s="7"/>
      <c r="T127" s="9"/>
      <c r="U127" s="7"/>
      <c r="V127" s="8"/>
      <c r="W127" s="7"/>
      <c r="X127" s="7"/>
      <c r="Y127" s="8"/>
      <c r="Z127" s="7"/>
      <c r="AA127" s="8"/>
    </row>
    <row r="128" spans="2:27" ht="14.25" thickTop="1" thickBot="1">
      <c r="B128" s="10"/>
      <c r="D128" s="69"/>
      <c r="E128" s="54" t="s">
        <v>694</v>
      </c>
      <c r="F128" s="7"/>
      <c r="G128" s="8"/>
      <c r="H128" s="7"/>
      <c r="I128" s="6"/>
      <c r="J128" s="7"/>
      <c r="K128" s="8"/>
      <c r="L128" s="7"/>
      <c r="M128" s="8"/>
      <c r="N128" s="7"/>
      <c r="O128" s="8"/>
      <c r="P128" s="7"/>
      <c r="Q128" s="7"/>
      <c r="R128" s="8"/>
      <c r="S128" s="7"/>
      <c r="T128" s="9"/>
      <c r="U128" s="7"/>
      <c r="V128" s="8"/>
      <c r="W128" s="7"/>
      <c r="X128" s="7"/>
      <c r="Y128" s="8"/>
      <c r="Z128" s="7"/>
      <c r="AA128" s="8"/>
    </row>
    <row r="129" spans="2:27" ht="14.25" thickTop="1" thickBot="1">
      <c r="B129" s="10"/>
      <c r="D129" s="69"/>
      <c r="E129" s="54" t="s">
        <v>582</v>
      </c>
      <c r="F129" s="7"/>
      <c r="G129" s="8"/>
      <c r="H129" s="7"/>
      <c r="I129" s="6"/>
      <c r="J129" s="7"/>
      <c r="K129" s="8"/>
      <c r="L129" s="7"/>
      <c r="M129" s="8"/>
      <c r="N129" s="7"/>
      <c r="O129" s="8"/>
      <c r="P129" s="7"/>
      <c r="Q129" s="7"/>
      <c r="R129" s="8"/>
      <c r="S129" s="7"/>
      <c r="T129" s="9"/>
      <c r="U129" s="7"/>
      <c r="V129" s="8"/>
      <c r="W129" s="7"/>
      <c r="X129" s="7"/>
      <c r="Y129" s="8"/>
      <c r="Z129" s="7"/>
      <c r="AA129" s="8"/>
    </row>
    <row r="130" spans="2:27" ht="14.25" thickTop="1" thickBot="1">
      <c r="B130" s="10"/>
      <c r="D130" s="69"/>
      <c r="E130" s="54" t="s">
        <v>693</v>
      </c>
      <c r="F130" s="7"/>
      <c r="G130" s="8"/>
      <c r="H130" s="7"/>
      <c r="I130" s="6"/>
      <c r="J130" s="7"/>
      <c r="K130" s="8"/>
      <c r="L130" s="7"/>
      <c r="M130" s="8"/>
      <c r="N130" s="7"/>
      <c r="O130" s="8"/>
      <c r="P130" s="7"/>
      <c r="Q130" s="7"/>
      <c r="R130" s="8"/>
      <c r="S130" s="7"/>
      <c r="T130" s="9"/>
      <c r="U130" s="7"/>
      <c r="V130" s="8"/>
      <c r="W130" s="7"/>
      <c r="X130" s="7"/>
      <c r="Y130" s="8"/>
      <c r="Z130" s="7"/>
      <c r="AA130" s="8"/>
    </row>
    <row r="131" spans="2:27" ht="14.25" thickTop="1" thickBot="1">
      <c r="B131" s="10"/>
      <c r="D131" s="69"/>
      <c r="E131" s="54" t="s">
        <v>341</v>
      </c>
      <c r="F131" s="7"/>
      <c r="G131" s="8"/>
      <c r="H131" s="7"/>
      <c r="I131" s="6"/>
      <c r="J131" s="7"/>
      <c r="K131" s="8"/>
      <c r="L131" s="7"/>
      <c r="M131" s="8"/>
      <c r="N131" s="7"/>
      <c r="O131" s="8"/>
      <c r="P131" s="7"/>
      <c r="Q131" s="7"/>
      <c r="R131" s="8"/>
      <c r="S131" s="7"/>
      <c r="T131" s="9"/>
      <c r="U131" s="7"/>
      <c r="V131" s="8"/>
      <c r="W131" s="7"/>
      <c r="X131" s="7"/>
      <c r="Y131" s="8"/>
      <c r="Z131" s="7"/>
      <c r="AA131" s="8"/>
    </row>
    <row r="132" spans="2:27" ht="14.25" thickTop="1" thickBot="1">
      <c r="B132" s="10"/>
      <c r="D132" s="69"/>
      <c r="E132" s="54" t="s">
        <v>615</v>
      </c>
      <c r="F132" s="7"/>
      <c r="G132" s="8"/>
      <c r="H132" s="7"/>
      <c r="I132" s="6"/>
      <c r="J132" s="7"/>
      <c r="K132" s="8"/>
      <c r="L132" s="7"/>
      <c r="M132" s="8"/>
      <c r="N132" s="7"/>
      <c r="O132" s="8"/>
      <c r="P132" s="7"/>
      <c r="Q132" s="7"/>
      <c r="R132" s="8"/>
      <c r="S132" s="7"/>
      <c r="T132" s="9"/>
      <c r="U132" s="7"/>
      <c r="V132" s="8"/>
      <c r="W132" s="7"/>
      <c r="X132" s="7"/>
      <c r="Y132" s="8"/>
      <c r="Z132" s="7"/>
      <c r="AA132" s="8"/>
    </row>
    <row r="133" spans="2:27" ht="14.25" thickTop="1" thickBot="1">
      <c r="B133" s="10"/>
      <c r="D133" s="69"/>
      <c r="E133" s="54" t="s">
        <v>952</v>
      </c>
      <c r="F133" s="7"/>
      <c r="G133" s="8"/>
      <c r="H133" s="7"/>
      <c r="I133" s="6"/>
      <c r="J133" s="7"/>
      <c r="K133" s="8"/>
      <c r="L133" s="7"/>
      <c r="M133" s="8"/>
      <c r="N133" s="7"/>
      <c r="O133" s="8"/>
      <c r="P133" s="7"/>
      <c r="Q133" s="7"/>
      <c r="R133" s="8"/>
      <c r="S133" s="7"/>
      <c r="T133" s="9"/>
      <c r="U133" s="7"/>
      <c r="V133" s="8"/>
      <c r="W133" s="7"/>
      <c r="X133" s="7"/>
      <c r="Y133" s="8"/>
      <c r="Z133" s="7"/>
      <c r="AA133" s="8"/>
    </row>
    <row r="134" spans="2:27" ht="14.25" thickTop="1" thickBot="1">
      <c r="B134" s="10"/>
      <c r="D134" s="69"/>
      <c r="E134" s="54" t="s">
        <v>1131</v>
      </c>
      <c r="F134" s="7"/>
      <c r="G134" s="8"/>
      <c r="H134" s="7"/>
      <c r="I134" s="6"/>
      <c r="J134" s="7"/>
      <c r="K134" s="8"/>
      <c r="L134" s="7"/>
      <c r="M134" s="8"/>
      <c r="N134" s="7"/>
      <c r="O134" s="8"/>
      <c r="P134" s="7"/>
      <c r="Q134" s="7"/>
      <c r="R134" s="8"/>
      <c r="S134" s="7"/>
      <c r="T134" s="9"/>
      <c r="U134" s="7"/>
      <c r="V134" s="8"/>
      <c r="W134" s="7"/>
      <c r="X134" s="7"/>
      <c r="Y134" s="8"/>
      <c r="Z134" s="7"/>
      <c r="AA134" s="8"/>
    </row>
    <row r="135" spans="2:27" ht="14.25" thickTop="1" thickBot="1">
      <c r="B135" s="10"/>
      <c r="D135" s="69"/>
      <c r="E135" s="54" t="s">
        <v>1133</v>
      </c>
      <c r="F135" s="7"/>
      <c r="G135" s="8"/>
      <c r="H135" s="7"/>
      <c r="I135" s="6"/>
      <c r="J135" s="7"/>
      <c r="K135" s="8"/>
      <c r="L135" s="7"/>
      <c r="M135" s="8"/>
      <c r="N135" s="7"/>
      <c r="O135" s="8"/>
      <c r="P135" s="7"/>
      <c r="Q135" s="7"/>
      <c r="R135" s="8"/>
      <c r="S135" s="7"/>
      <c r="T135" s="9"/>
      <c r="U135" s="7"/>
      <c r="V135" s="8"/>
      <c r="W135" s="7"/>
      <c r="X135" s="7"/>
      <c r="Y135" s="8"/>
      <c r="Z135" s="7"/>
      <c r="AA135" s="8"/>
    </row>
    <row r="136" spans="2:27" ht="14.25" thickTop="1" thickBot="1">
      <c r="B136" s="10"/>
      <c r="D136" s="69"/>
      <c r="E136" s="54" t="s">
        <v>1132</v>
      </c>
      <c r="F136" s="7"/>
      <c r="G136" s="8"/>
      <c r="H136" s="7"/>
      <c r="I136" s="6"/>
      <c r="J136" s="7"/>
      <c r="K136" s="8"/>
      <c r="L136" s="7"/>
      <c r="M136" s="8"/>
      <c r="N136" s="7"/>
      <c r="O136" s="8"/>
      <c r="P136" s="7"/>
      <c r="Q136" s="7"/>
      <c r="R136" s="8"/>
      <c r="S136" s="7"/>
      <c r="T136" s="9"/>
      <c r="U136" s="7"/>
      <c r="V136" s="8"/>
      <c r="W136" s="7"/>
      <c r="X136" s="7"/>
      <c r="Y136" s="8"/>
      <c r="Z136" s="7"/>
      <c r="AA136" s="8"/>
    </row>
    <row r="137" spans="2:27" ht="14.25" thickTop="1" thickBot="1">
      <c r="B137" s="10"/>
      <c r="D137" s="69"/>
      <c r="E137" s="54" t="s">
        <v>1299</v>
      </c>
      <c r="F137" s="7"/>
      <c r="G137" s="8"/>
      <c r="H137" s="7"/>
      <c r="I137" s="6"/>
      <c r="J137" s="7"/>
      <c r="K137" s="8"/>
      <c r="L137" s="7"/>
      <c r="M137" s="8"/>
      <c r="N137" s="7"/>
      <c r="O137" s="8"/>
      <c r="P137" s="7"/>
      <c r="Q137" s="7"/>
      <c r="R137" s="8"/>
      <c r="S137" s="7"/>
      <c r="T137" s="9"/>
      <c r="U137" s="7"/>
      <c r="V137" s="8"/>
      <c r="W137" s="7"/>
      <c r="X137" s="7"/>
      <c r="Y137" s="8"/>
      <c r="Z137" s="7"/>
      <c r="AA137" s="8"/>
    </row>
    <row r="138" spans="2:27" ht="14.25" thickTop="1" thickBot="1">
      <c r="B138" s="10"/>
      <c r="D138" s="69"/>
      <c r="E138" s="54" t="s">
        <v>349</v>
      </c>
      <c r="F138" s="7"/>
      <c r="G138" s="8"/>
      <c r="H138" s="7"/>
      <c r="I138" s="6"/>
      <c r="J138" s="7"/>
      <c r="K138" s="8"/>
      <c r="L138" s="7"/>
      <c r="M138" s="8"/>
      <c r="N138" s="7"/>
      <c r="O138" s="8"/>
      <c r="P138" s="7"/>
      <c r="Q138" s="7"/>
      <c r="R138" s="8"/>
      <c r="S138" s="7"/>
      <c r="T138" s="9"/>
      <c r="U138" s="7"/>
      <c r="V138" s="8"/>
      <c r="W138" s="7"/>
      <c r="X138" s="7"/>
      <c r="Y138" s="8"/>
      <c r="Z138" s="7"/>
      <c r="AA138" s="8"/>
    </row>
    <row r="139" spans="2:27" ht="14.25" thickTop="1" thickBot="1">
      <c r="B139" s="10"/>
      <c r="D139" s="69"/>
      <c r="E139" s="54" t="s">
        <v>350</v>
      </c>
      <c r="F139" s="7"/>
      <c r="G139" s="8"/>
      <c r="H139" s="7"/>
      <c r="I139" s="6"/>
      <c r="J139" s="7"/>
      <c r="K139" s="8"/>
      <c r="L139" s="7"/>
      <c r="M139" s="8"/>
      <c r="N139" s="7"/>
      <c r="O139" s="8"/>
      <c r="P139" s="7"/>
      <c r="Q139" s="7"/>
      <c r="R139" s="8"/>
      <c r="S139" s="7"/>
      <c r="T139" s="9"/>
      <c r="U139" s="7"/>
      <c r="V139" s="8"/>
      <c r="W139" s="7"/>
      <c r="X139" s="7"/>
      <c r="Y139" s="8"/>
      <c r="Z139" s="7"/>
      <c r="AA139" s="8"/>
    </row>
    <row r="140" spans="2:27" ht="14.25" thickTop="1" thickBot="1">
      <c r="B140" s="10"/>
      <c r="D140" s="69"/>
      <c r="E140" s="54" t="s">
        <v>535</v>
      </c>
      <c r="F140" s="7"/>
      <c r="G140" s="8"/>
      <c r="H140" s="7"/>
      <c r="I140" s="6"/>
      <c r="J140" s="7"/>
      <c r="K140" s="8"/>
      <c r="L140" s="7"/>
      <c r="M140" s="8"/>
      <c r="N140" s="7"/>
      <c r="O140" s="8"/>
      <c r="P140" s="7"/>
      <c r="Q140" s="7"/>
      <c r="R140" s="8"/>
      <c r="S140" s="7"/>
      <c r="T140" s="9"/>
      <c r="U140" s="7"/>
      <c r="V140" s="8"/>
      <c r="W140" s="7"/>
      <c r="X140" s="7"/>
      <c r="Y140" s="8"/>
      <c r="Z140" s="7"/>
      <c r="AA140" s="8"/>
    </row>
    <row r="141" spans="2:27" ht="14.25" thickTop="1" thickBot="1">
      <c r="B141" s="10"/>
      <c r="D141" s="69"/>
      <c r="E141" s="54" t="s">
        <v>612</v>
      </c>
      <c r="F141" s="7"/>
      <c r="G141" s="8"/>
      <c r="H141" s="7"/>
      <c r="I141" s="6"/>
      <c r="J141" s="7"/>
      <c r="K141" s="8"/>
      <c r="L141" s="7"/>
      <c r="M141" s="8"/>
      <c r="N141" s="7"/>
      <c r="O141" s="8"/>
      <c r="P141" s="7"/>
      <c r="Q141" s="7"/>
      <c r="R141" s="8"/>
      <c r="S141" s="7"/>
      <c r="T141" s="9"/>
      <c r="U141" s="7"/>
      <c r="V141" s="8"/>
      <c r="W141" s="7"/>
      <c r="X141" s="7"/>
      <c r="Y141" s="8"/>
      <c r="Z141" s="7"/>
      <c r="AA141" s="8"/>
    </row>
    <row r="142" spans="2:27" ht="14.25" thickTop="1" thickBot="1">
      <c r="B142" s="10"/>
      <c r="D142" s="69"/>
      <c r="E142" s="54" t="s">
        <v>353</v>
      </c>
      <c r="F142" s="7"/>
      <c r="G142" s="8"/>
      <c r="H142" s="7"/>
      <c r="I142" s="6"/>
      <c r="J142" s="7"/>
      <c r="K142" s="8"/>
      <c r="L142" s="7"/>
      <c r="M142" s="8"/>
      <c r="N142" s="7"/>
      <c r="O142" s="8"/>
      <c r="P142" s="7"/>
      <c r="Q142" s="7"/>
      <c r="R142" s="8"/>
      <c r="S142" s="7"/>
      <c r="T142" s="9"/>
      <c r="U142" s="7"/>
      <c r="V142" s="8"/>
      <c r="W142" s="7"/>
      <c r="X142" s="7"/>
      <c r="Y142" s="8"/>
      <c r="Z142" s="7"/>
      <c r="AA142" s="8"/>
    </row>
    <row r="143" spans="2:27" ht="14.25" thickTop="1" thickBot="1">
      <c r="B143" s="10"/>
      <c r="D143" s="69"/>
      <c r="E143" s="54" t="s">
        <v>617</v>
      </c>
      <c r="F143" s="7"/>
      <c r="G143" s="8"/>
      <c r="H143" s="7"/>
      <c r="I143" s="6"/>
      <c r="J143" s="7"/>
      <c r="K143" s="8"/>
      <c r="L143" s="7"/>
      <c r="M143" s="8"/>
      <c r="N143" s="7"/>
      <c r="O143" s="8"/>
      <c r="P143" s="7"/>
      <c r="Q143" s="7"/>
      <c r="R143" s="8"/>
      <c r="S143" s="7"/>
      <c r="T143" s="9"/>
      <c r="U143" s="7"/>
      <c r="V143" s="8"/>
      <c r="W143" s="7"/>
      <c r="X143" s="7"/>
      <c r="Y143" s="8"/>
      <c r="Z143" s="7"/>
      <c r="AA143" s="8"/>
    </row>
    <row r="144" spans="2:27" ht="14.25" thickTop="1" thickBot="1">
      <c r="B144" s="10"/>
      <c r="D144" s="69"/>
      <c r="E144" s="54" t="s">
        <v>312</v>
      </c>
      <c r="F144" s="7"/>
      <c r="G144" s="8"/>
      <c r="H144" s="7"/>
      <c r="I144" s="6"/>
      <c r="J144" s="7"/>
      <c r="K144" s="8"/>
      <c r="L144" s="7"/>
      <c r="M144" s="8"/>
      <c r="N144" s="7"/>
      <c r="O144" s="8"/>
      <c r="P144" s="7"/>
      <c r="Q144" s="7"/>
      <c r="R144" s="8"/>
      <c r="S144" s="7"/>
      <c r="T144" s="9"/>
      <c r="U144" s="7"/>
      <c r="V144" s="8"/>
      <c r="W144" s="7"/>
      <c r="X144" s="7"/>
      <c r="Y144" s="8"/>
      <c r="Z144" s="7"/>
      <c r="AA144" s="8"/>
    </row>
    <row r="145" spans="2:27" ht="14.25" thickTop="1" thickBot="1">
      <c r="B145" s="10"/>
      <c r="D145" s="69"/>
      <c r="E145" s="54" t="s">
        <v>358</v>
      </c>
      <c r="F145" s="7"/>
      <c r="G145" s="8"/>
      <c r="H145" s="7"/>
      <c r="I145" s="6"/>
      <c r="J145" s="7"/>
      <c r="K145" s="8"/>
      <c r="L145" s="7"/>
      <c r="M145" s="8"/>
      <c r="N145" s="7"/>
      <c r="O145" s="8"/>
      <c r="P145" s="7"/>
      <c r="Q145" s="7"/>
      <c r="R145" s="8"/>
      <c r="S145" s="7"/>
      <c r="T145" s="9"/>
      <c r="U145" s="7"/>
      <c r="V145" s="8"/>
      <c r="W145" s="7"/>
      <c r="X145" s="7"/>
      <c r="Y145" s="8"/>
      <c r="Z145" s="7"/>
      <c r="AA145" s="8"/>
    </row>
    <row r="146" spans="2:27" ht="14.25" thickTop="1" thickBot="1">
      <c r="B146" s="10"/>
      <c r="D146" s="69"/>
      <c r="E146" s="54" t="s">
        <v>360</v>
      </c>
      <c r="F146" s="7"/>
      <c r="G146" s="8"/>
      <c r="H146" s="7"/>
      <c r="I146" s="6"/>
      <c r="J146" s="7"/>
      <c r="K146" s="8"/>
      <c r="L146" s="7"/>
      <c r="M146" s="8"/>
      <c r="N146" s="7"/>
      <c r="O146" s="8"/>
      <c r="P146" s="7"/>
      <c r="Q146" s="7"/>
      <c r="R146" s="8"/>
      <c r="S146" s="7"/>
      <c r="T146" s="9"/>
      <c r="U146" s="7"/>
      <c r="V146" s="8"/>
      <c r="W146" s="7"/>
      <c r="X146" s="7"/>
      <c r="Y146" s="8"/>
      <c r="Z146" s="7"/>
      <c r="AA146" s="8"/>
    </row>
    <row r="147" spans="2:27" ht="14.25" thickTop="1" thickBot="1">
      <c r="B147" s="10"/>
      <c r="D147" s="69"/>
      <c r="E147" s="54" t="s">
        <v>689</v>
      </c>
      <c r="F147" s="7"/>
      <c r="G147" s="8"/>
      <c r="H147" s="7"/>
      <c r="I147" s="6"/>
      <c r="J147" s="7"/>
      <c r="K147" s="8"/>
      <c r="L147" s="7"/>
      <c r="M147" s="8"/>
      <c r="N147" s="7"/>
      <c r="O147" s="8"/>
      <c r="P147" s="7"/>
      <c r="Q147" s="7"/>
      <c r="R147" s="8"/>
      <c r="S147" s="7"/>
      <c r="T147" s="9"/>
      <c r="U147" s="7"/>
      <c r="V147" s="8"/>
      <c r="W147" s="7"/>
      <c r="X147" s="7"/>
      <c r="Y147" s="8"/>
      <c r="Z147" s="7"/>
      <c r="AA147" s="8"/>
    </row>
    <row r="148" spans="2:27" ht="14.25" thickTop="1" thickBot="1">
      <c r="B148" s="10"/>
      <c r="D148" s="69"/>
      <c r="E148" s="54" t="s">
        <v>580</v>
      </c>
      <c r="F148" s="7"/>
      <c r="G148" s="8"/>
      <c r="H148" s="7"/>
      <c r="I148" s="6"/>
      <c r="J148" s="7"/>
      <c r="K148" s="8"/>
      <c r="L148" s="7"/>
      <c r="M148" s="8"/>
      <c r="N148" s="7"/>
      <c r="O148" s="8"/>
      <c r="P148" s="7"/>
      <c r="Q148" s="7"/>
      <c r="R148" s="8"/>
      <c r="S148" s="7"/>
      <c r="T148" s="9"/>
      <c r="U148" s="7"/>
      <c r="V148" s="8"/>
      <c r="W148" s="7"/>
      <c r="X148" s="7"/>
      <c r="Y148" s="8"/>
      <c r="Z148" s="7"/>
      <c r="AA148" s="8"/>
    </row>
    <row r="149" spans="2:27" ht="14.25" thickTop="1" thickBot="1">
      <c r="B149" s="10"/>
      <c r="D149" s="69"/>
      <c r="E149" s="54" t="s">
        <v>362</v>
      </c>
      <c r="F149" s="7"/>
      <c r="G149" s="8"/>
      <c r="H149" s="7"/>
      <c r="I149" s="6"/>
      <c r="J149" s="7"/>
      <c r="K149" s="8"/>
      <c r="L149" s="7"/>
      <c r="M149" s="8"/>
      <c r="N149" s="7"/>
      <c r="O149" s="8"/>
      <c r="P149" s="7"/>
      <c r="Q149" s="7"/>
      <c r="R149" s="8"/>
      <c r="S149" s="7"/>
      <c r="T149" s="9"/>
      <c r="U149" s="7"/>
      <c r="V149" s="8"/>
      <c r="W149" s="7"/>
      <c r="X149" s="7"/>
      <c r="Y149" s="8"/>
      <c r="Z149" s="7"/>
      <c r="AA149" s="8"/>
    </row>
    <row r="150" spans="2:27" ht="14.25" thickTop="1" thickBot="1">
      <c r="B150" s="10"/>
      <c r="D150" s="69"/>
      <c r="E150" s="54" t="s">
        <v>608</v>
      </c>
      <c r="F150" s="7"/>
      <c r="G150" s="8"/>
      <c r="H150" s="7"/>
      <c r="I150" s="6"/>
      <c r="J150" s="7"/>
      <c r="K150" s="8"/>
      <c r="L150" s="7"/>
      <c r="M150" s="8"/>
      <c r="N150" s="7"/>
      <c r="O150" s="8"/>
      <c r="P150" s="7"/>
      <c r="Q150" s="7"/>
      <c r="R150" s="8"/>
      <c r="S150" s="7"/>
      <c r="T150" s="9"/>
      <c r="U150" s="7"/>
      <c r="V150" s="8"/>
      <c r="W150" s="7"/>
      <c r="X150" s="7"/>
      <c r="Y150" s="8"/>
      <c r="Z150" s="7"/>
      <c r="AA150" s="8"/>
    </row>
    <row r="151" spans="2:27" ht="14.25" thickTop="1" thickBot="1">
      <c r="B151" s="10"/>
      <c r="D151" s="69"/>
      <c r="E151" s="54" t="s">
        <v>955</v>
      </c>
      <c r="F151" s="7"/>
      <c r="G151" s="8"/>
      <c r="H151" s="7"/>
      <c r="I151" s="6"/>
      <c r="J151" s="7"/>
      <c r="K151" s="8"/>
      <c r="L151" s="7"/>
      <c r="M151" s="8"/>
      <c r="N151" s="7"/>
      <c r="O151" s="8"/>
      <c r="P151" s="7"/>
      <c r="Q151" s="7"/>
      <c r="R151" s="8"/>
      <c r="S151" s="7"/>
      <c r="T151" s="9"/>
      <c r="U151" s="7"/>
      <c r="V151" s="8"/>
      <c r="W151" s="7"/>
      <c r="X151" s="7"/>
      <c r="Y151" s="8"/>
      <c r="Z151" s="7"/>
      <c r="AA151" s="8"/>
    </row>
    <row r="152" spans="2:27" ht="14.25" thickTop="1" thickBot="1">
      <c r="B152" s="10"/>
      <c r="D152" s="69"/>
      <c r="E152" s="54" t="s">
        <v>971</v>
      </c>
      <c r="F152" s="7"/>
      <c r="G152" s="8"/>
      <c r="H152" s="7"/>
      <c r="I152" s="6"/>
      <c r="J152" s="7"/>
      <c r="K152" s="8"/>
      <c r="L152" s="7"/>
      <c r="M152" s="8"/>
      <c r="N152" s="7"/>
      <c r="O152" s="8"/>
      <c r="P152" s="7"/>
      <c r="Q152" s="7"/>
      <c r="R152" s="8"/>
      <c r="S152" s="7"/>
      <c r="T152" s="9"/>
      <c r="U152" s="7"/>
      <c r="V152" s="8"/>
      <c r="W152" s="7"/>
      <c r="X152" s="7"/>
      <c r="Y152" s="8"/>
      <c r="Z152" s="7"/>
      <c r="AA152" s="8"/>
    </row>
    <row r="153" spans="2:27" ht="14.25" thickTop="1" thickBot="1">
      <c r="B153" s="10"/>
      <c r="D153" s="69"/>
      <c r="E153" s="54" t="s">
        <v>972</v>
      </c>
      <c r="F153" s="7"/>
      <c r="G153" s="8"/>
      <c r="H153" s="7"/>
      <c r="I153" s="6"/>
      <c r="J153" s="7"/>
      <c r="K153" s="8"/>
      <c r="L153" s="7"/>
      <c r="M153" s="8"/>
      <c r="N153" s="7"/>
      <c r="O153" s="8"/>
      <c r="P153" s="7"/>
      <c r="Q153" s="7"/>
      <c r="R153" s="8"/>
      <c r="S153" s="7"/>
      <c r="T153" s="9"/>
      <c r="U153" s="7"/>
      <c r="V153" s="8"/>
      <c r="W153" s="7"/>
      <c r="X153" s="7"/>
      <c r="Y153" s="8"/>
      <c r="Z153" s="7"/>
      <c r="AA153" s="8"/>
    </row>
    <row r="154" spans="2:27" ht="14.25" thickTop="1" thickBot="1">
      <c r="B154" s="10"/>
      <c r="D154" s="69"/>
      <c r="E154" s="54" t="s">
        <v>973</v>
      </c>
      <c r="F154" s="7"/>
      <c r="G154" s="8"/>
      <c r="H154" s="7"/>
      <c r="I154" s="6"/>
      <c r="J154" s="7"/>
      <c r="K154" s="8"/>
      <c r="L154" s="7"/>
      <c r="M154" s="8"/>
      <c r="N154" s="7"/>
      <c r="O154" s="8"/>
      <c r="P154" s="7"/>
      <c r="Q154" s="7"/>
      <c r="R154" s="8"/>
      <c r="S154" s="7"/>
      <c r="T154" s="9"/>
      <c r="U154" s="7"/>
      <c r="V154" s="8"/>
      <c r="W154" s="7"/>
      <c r="X154" s="7"/>
      <c r="Y154" s="8"/>
      <c r="Z154" s="7"/>
      <c r="AA154" s="8"/>
    </row>
    <row r="155" spans="2:27" ht="14.25" thickTop="1" thickBot="1">
      <c r="B155" s="10"/>
      <c r="D155" s="69"/>
      <c r="E155" s="54" t="s">
        <v>363</v>
      </c>
      <c r="F155" s="7"/>
      <c r="G155" s="8"/>
      <c r="H155" s="7"/>
      <c r="I155" s="6"/>
      <c r="J155" s="7"/>
      <c r="K155" s="8"/>
      <c r="L155" s="7"/>
      <c r="M155" s="8"/>
      <c r="N155" s="7"/>
      <c r="O155" s="8"/>
      <c r="P155" s="7"/>
      <c r="Q155" s="7"/>
      <c r="R155" s="8"/>
      <c r="S155" s="7"/>
      <c r="T155" s="9"/>
      <c r="U155" s="7"/>
      <c r="V155" s="8"/>
      <c r="W155" s="7"/>
      <c r="X155" s="7"/>
      <c r="Y155" s="8"/>
      <c r="Z155" s="7"/>
      <c r="AA155" s="8"/>
    </row>
    <row r="156" spans="2:27" ht="14.25" thickTop="1" thickBot="1">
      <c r="B156" s="10"/>
      <c r="D156" s="69"/>
      <c r="E156" s="54" t="s">
        <v>365</v>
      </c>
      <c r="F156" s="7"/>
      <c r="G156" s="8"/>
      <c r="H156" s="7"/>
      <c r="I156" s="6"/>
      <c r="J156" s="7"/>
      <c r="K156" s="8"/>
      <c r="L156" s="7"/>
      <c r="M156" s="8"/>
      <c r="N156" s="7"/>
      <c r="O156" s="8"/>
      <c r="P156" s="7"/>
      <c r="Q156" s="7"/>
      <c r="R156" s="8"/>
      <c r="S156" s="7"/>
      <c r="T156" s="9"/>
      <c r="U156" s="7"/>
      <c r="V156" s="8"/>
      <c r="W156" s="7"/>
      <c r="X156" s="7"/>
      <c r="Y156" s="8"/>
      <c r="Z156" s="7"/>
      <c r="AA156" s="8"/>
    </row>
    <row r="157" spans="2:27" ht="14.25" thickTop="1" thickBot="1">
      <c r="B157" s="10"/>
      <c r="D157" s="69"/>
      <c r="E157" s="54" t="s">
        <v>369</v>
      </c>
      <c r="F157" s="7"/>
      <c r="G157" s="8"/>
      <c r="H157" s="7"/>
      <c r="I157" s="6"/>
      <c r="J157" s="7"/>
      <c r="K157" s="8"/>
      <c r="L157" s="7"/>
      <c r="M157" s="8"/>
      <c r="N157" s="7"/>
      <c r="O157" s="8"/>
      <c r="P157" s="7"/>
      <c r="Q157" s="7"/>
      <c r="R157" s="8"/>
      <c r="S157" s="7"/>
      <c r="T157" s="9"/>
      <c r="U157" s="7"/>
      <c r="V157" s="8"/>
      <c r="W157" s="7"/>
      <c r="X157" s="7"/>
      <c r="Y157" s="8"/>
      <c r="Z157" s="7"/>
      <c r="AA157" s="8"/>
    </row>
    <row r="158" spans="2:27" ht="14.25" thickTop="1" thickBot="1">
      <c r="B158" s="10"/>
      <c r="D158" s="69"/>
      <c r="E158" s="54" t="s">
        <v>1164</v>
      </c>
      <c r="F158" s="7"/>
      <c r="G158" s="8"/>
      <c r="H158" s="7"/>
      <c r="I158" s="6"/>
      <c r="J158" s="7"/>
      <c r="K158" s="8"/>
      <c r="L158" s="7"/>
      <c r="M158" s="8"/>
      <c r="N158" s="7"/>
      <c r="O158" s="8"/>
      <c r="P158" s="7"/>
      <c r="Q158" s="7"/>
      <c r="R158" s="8"/>
      <c r="S158" s="7"/>
      <c r="T158" s="9"/>
      <c r="U158" s="7"/>
      <c r="V158" s="8"/>
      <c r="W158" s="7"/>
      <c r="X158" s="7"/>
      <c r="Y158" s="8"/>
      <c r="Z158" s="7"/>
      <c r="AA158" s="8"/>
    </row>
    <row r="159" spans="2:27" ht="14.25" thickTop="1" thickBot="1">
      <c r="B159" s="10"/>
      <c r="D159" s="69"/>
      <c r="E159" s="54" t="s">
        <v>700</v>
      </c>
      <c r="F159" s="7"/>
      <c r="G159" s="8"/>
      <c r="H159" s="7"/>
      <c r="I159" s="6"/>
      <c r="J159" s="7"/>
      <c r="K159" s="8"/>
      <c r="L159" s="7"/>
      <c r="M159" s="8"/>
      <c r="N159" s="7"/>
      <c r="O159" s="8"/>
      <c r="P159" s="7"/>
      <c r="Q159" s="7"/>
      <c r="R159" s="8"/>
      <c r="S159" s="7"/>
      <c r="T159" s="9"/>
      <c r="U159" s="7"/>
      <c r="V159" s="8"/>
      <c r="W159" s="7"/>
      <c r="X159" s="7"/>
      <c r="Y159" s="8"/>
      <c r="Z159" s="7"/>
      <c r="AA159" s="8"/>
    </row>
    <row r="160" spans="2:27" ht="14.25" thickTop="1" thickBot="1">
      <c r="B160" s="10"/>
      <c r="D160" s="69"/>
      <c r="E160" s="54" t="s">
        <v>951</v>
      </c>
      <c r="F160" s="7"/>
      <c r="G160" s="8"/>
      <c r="H160" s="7"/>
      <c r="I160" s="6"/>
      <c r="J160" s="7"/>
      <c r="K160" s="8"/>
      <c r="L160" s="7"/>
      <c r="M160" s="8"/>
      <c r="N160" s="7"/>
      <c r="O160" s="8"/>
      <c r="P160" s="7"/>
      <c r="Q160" s="7"/>
      <c r="R160" s="8"/>
      <c r="S160" s="7"/>
      <c r="T160" s="9"/>
      <c r="U160" s="7"/>
      <c r="V160" s="8"/>
      <c r="W160" s="7"/>
      <c r="X160" s="7"/>
      <c r="Y160" s="8"/>
      <c r="Z160" s="7"/>
      <c r="AA160" s="8"/>
    </row>
    <row r="161" spans="2:27" ht="14.25" thickTop="1" thickBot="1">
      <c r="B161" s="10"/>
      <c r="D161" s="69"/>
      <c r="E161" s="54" t="s">
        <v>956</v>
      </c>
      <c r="F161" s="7"/>
      <c r="G161" s="8"/>
      <c r="H161" s="7"/>
      <c r="I161" s="6"/>
      <c r="J161" s="7"/>
      <c r="K161" s="8"/>
      <c r="L161" s="7"/>
      <c r="M161" s="8"/>
      <c r="N161" s="7"/>
      <c r="O161" s="8"/>
      <c r="P161" s="7"/>
      <c r="Q161" s="7"/>
      <c r="R161" s="8"/>
      <c r="S161" s="7"/>
      <c r="T161" s="9"/>
      <c r="U161" s="7"/>
      <c r="V161" s="8"/>
      <c r="W161" s="7"/>
      <c r="X161" s="7"/>
      <c r="Y161" s="8"/>
      <c r="Z161" s="7"/>
      <c r="AA161" s="8"/>
    </row>
    <row r="162" spans="2:27" ht="14.25" thickTop="1" thickBot="1">
      <c r="B162" s="10"/>
      <c r="D162" s="69"/>
      <c r="E162" s="54" t="s">
        <v>370</v>
      </c>
      <c r="F162" s="7"/>
      <c r="G162" s="8"/>
      <c r="H162" s="7"/>
      <c r="I162" s="6"/>
      <c r="J162" s="7"/>
      <c r="K162" s="8"/>
      <c r="L162" s="7"/>
      <c r="M162" s="8"/>
      <c r="N162" s="7"/>
      <c r="O162" s="8"/>
      <c r="P162" s="7"/>
      <c r="Q162" s="7"/>
      <c r="R162" s="8"/>
      <c r="S162" s="7"/>
      <c r="T162" s="9"/>
      <c r="U162" s="7"/>
      <c r="V162" s="8"/>
      <c r="W162" s="7"/>
      <c r="X162" s="7"/>
      <c r="Y162" s="8"/>
      <c r="Z162" s="7"/>
      <c r="AA162" s="8"/>
    </row>
    <row r="163" spans="2:27" ht="14.25" thickTop="1" thickBot="1">
      <c r="D163" s="69"/>
      <c r="E163" s="54" t="s">
        <v>371</v>
      </c>
      <c r="F163" s="7"/>
      <c r="G163" s="8"/>
      <c r="H163" s="7"/>
      <c r="I163" s="6"/>
      <c r="J163" s="7"/>
      <c r="K163" s="8"/>
      <c r="L163" s="7"/>
      <c r="M163" s="8"/>
      <c r="N163" s="7"/>
      <c r="O163" s="8"/>
      <c r="P163" s="7"/>
      <c r="Q163" s="7"/>
      <c r="R163" s="8"/>
      <c r="S163" s="7"/>
      <c r="T163" s="9"/>
      <c r="U163" s="7"/>
      <c r="V163" s="8"/>
      <c r="W163" s="7"/>
      <c r="X163" s="7"/>
      <c r="Y163" s="8"/>
      <c r="Z163" s="7"/>
      <c r="AA163" s="8"/>
    </row>
    <row r="164" spans="2:27" ht="14.25" thickTop="1" thickBot="1">
      <c r="D164" s="69"/>
      <c r="E164" s="54" t="s">
        <v>581</v>
      </c>
      <c r="F164" s="7"/>
      <c r="G164" s="8"/>
      <c r="H164" s="7"/>
      <c r="I164" s="6"/>
      <c r="J164" s="7"/>
      <c r="K164" s="8"/>
      <c r="L164" s="7"/>
      <c r="M164" s="8"/>
      <c r="N164" s="7"/>
      <c r="O164" s="8"/>
      <c r="P164" s="7"/>
      <c r="Q164" s="7"/>
      <c r="R164" s="8"/>
      <c r="S164" s="7"/>
      <c r="T164" s="9"/>
      <c r="U164" s="7"/>
      <c r="V164" s="8"/>
      <c r="W164" s="7"/>
      <c r="X164" s="7"/>
      <c r="Y164" s="8"/>
      <c r="Z164" s="7"/>
      <c r="AA164" s="8"/>
    </row>
    <row r="165" spans="2:27" ht="14.25" thickTop="1" thickBot="1">
      <c r="D165" s="69"/>
      <c r="E165" s="54" t="s">
        <v>939</v>
      </c>
      <c r="F165" s="7"/>
      <c r="G165" s="8"/>
      <c r="H165" s="7"/>
      <c r="I165" s="6"/>
      <c r="J165" s="7"/>
      <c r="K165" s="8"/>
      <c r="L165" s="7"/>
      <c r="M165" s="8"/>
      <c r="N165" s="7"/>
      <c r="O165" s="8"/>
      <c r="P165" s="7"/>
      <c r="Q165" s="7"/>
      <c r="R165" s="8"/>
      <c r="S165" s="7"/>
      <c r="T165" s="9"/>
      <c r="U165" s="7"/>
      <c r="V165" s="8"/>
      <c r="W165" s="7"/>
      <c r="X165" s="7"/>
      <c r="Y165" s="8"/>
      <c r="Z165" s="7"/>
      <c r="AA165" s="8"/>
    </row>
    <row r="166" spans="2:27" ht="14.25" thickTop="1" thickBot="1">
      <c r="D166" s="69"/>
      <c r="E166" s="54" t="s">
        <v>926</v>
      </c>
      <c r="F166" s="7"/>
      <c r="G166" s="8"/>
      <c r="H166" s="7"/>
      <c r="I166" s="6"/>
      <c r="J166" s="7"/>
      <c r="K166" s="8"/>
      <c r="L166" s="7"/>
      <c r="M166" s="8"/>
      <c r="N166" s="7"/>
      <c r="O166" s="8"/>
      <c r="P166" s="7"/>
      <c r="Q166" s="7"/>
      <c r="R166" s="8"/>
      <c r="S166" s="7"/>
      <c r="T166" s="9"/>
      <c r="U166" s="7"/>
      <c r="V166" s="8"/>
      <c r="W166" s="7"/>
      <c r="X166" s="7"/>
      <c r="Y166" s="8"/>
      <c r="Z166" s="7"/>
      <c r="AA166" s="8"/>
    </row>
    <row r="167" spans="2:27" ht="14.25" thickTop="1" thickBot="1">
      <c r="D167" s="69"/>
      <c r="E167" s="54" t="s">
        <v>830</v>
      </c>
      <c r="F167" s="7"/>
      <c r="G167" s="8"/>
      <c r="H167" s="7"/>
      <c r="I167" s="6"/>
      <c r="J167" s="7"/>
      <c r="K167" s="8"/>
      <c r="L167" s="7"/>
      <c r="M167" s="8"/>
      <c r="N167" s="7"/>
      <c r="O167" s="8"/>
      <c r="P167" s="7"/>
      <c r="Q167" s="7"/>
      <c r="R167" s="8"/>
      <c r="S167" s="7"/>
      <c r="T167" s="9"/>
      <c r="U167" s="7"/>
      <c r="V167" s="8"/>
      <c r="W167" s="7"/>
      <c r="X167" s="7"/>
      <c r="Y167" s="8"/>
      <c r="Z167" s="7"/>
      <c r="AA167" s="8"/>
    </row>
    <row r="168" spans="2:27" ht="14.25" thickTop="1" thickBot="1">
      <c r="D168" s="69"/>
      <c r="E168" s="54" t="s">
        <v>831</v>
      </c>
      <c r="F168" s="7"/>
      <c r="G168" s="8"/>
      <c r="H168" s="7"/>
      <c r="I168" s="6"/>
      <c r="J168" s="7"/>
      <c r="K168" s="8"/>
      <c r="L168" s="7"/>
      <c r="M168" s="8"/>
      <c r="N168" s="7"/>
      <c r="O168" s="8"/>
      <c r="P168" s="7"/>
      <c r="Q168" s="7"/>
      <c r="R168" s="8"/>
      <c r="S168" s="7"/>
      <c r="T168" s="9"/>
      <c r="U168" s="7"/>
      <c r="V168" s="8"/>
      <c r="W168" s="7"/>
      <c r="X168" s="7"/>
      <c r="Y168" s="8"/>
      <c r="Z168" s="7"/>
      <c r="AA168" s="8"/>
    </row>
    <row r="169" spans="2:27" ht="14.25" thickTop="1" thickBot="1">
      <c r="D169" s="69"/>
      <c r="E169" s="54" t="s">
        <v>833</v>
      </c>
      <c r="F169" s="7"/>
      <c r="G169" s="8"/>
      <c r="H169" s="7"/>
      <c r="I169" s="6"/>
      <c r="J169" s="7"/>
      <c r="K169" s="8"/>
      <c r="L169" s="7"/>
      <c r="M169" s="8"/>
      <c r="N169" s="7"/>
      <c r="O169" s="8"/>
      <c r="P169" s="7"/>
      <c r="Q169" s="7"/>
      <c r="R169" s="8"/>
      <c r="S169" s="7"/>
      <c r="T169" s="9"/>
      <c r="U169" s="7"/>
      <c r="V169" s="8"/>
      <c r="W169" s="7"/>
      <c r="X169" s="7"/>
      <c r="Y169" s="8"/>
      <c r="Z169" s="7"/>
      <c r="AA169" s="8"/>
    </row>
    <row r="170" spans="2:27" ht="14.25" thickTop="1" thickBot="1">
      <c r="D170" s="69"/>
      <c r="E170" s="54" t="s">
        <v>848</v>
      </c>
      <c r="F170" s="7"/>
      <c r="G170" s="8"/>
      <c r="H170" s="7"/>
      <c r="I170" s="6"/>
      <c r="J170" s="7"/>
      <c r="K170" s="8"/>
      <c r="L170" s="7"/>
      <c r="M170" s="8"/>
      <c r="N170" s="7"/>
      <c r="O170" s="8"/>
      <c r="P170" s="7"/>
      <c r="Q170" s="7"/>
      <c r="R170" s="8"/>
      <c r="S170" s="7"/>
      <c r="T170" s="9"/>
      <c r="U170" s="7"/>
      <c r="V170" s="8"/>
      <c r="W170" s="7"/>
      <c r="X170" s="7"/>
      <c r="Y170" s="8"/>
      <c r="Z170" s="7"/>
      <c r="AA170" s="8"/>
    </row>
    <row r="171" spans="2:27" ht="14.25" thickTop="1" thickBot="1">
      <c r="D171" s="69"/>
      <c r="E171" s="54" t="s">
        <v>846</v>
      </c>
      <c r="F171" s="7"/>
      <c r="G171" s="8"/>
      <c r="H171" s="7"/>
      <c r="I171" s="6"/>
      <c r="J171" s="7"/>
      <c r="K171" s="8"/>
      <c r="L171" s="7"/>
      <c r="M171" s="8"/>
      <c r="N171" s="7"/>
      <c r="O171" s="8"/>
      <c r="P171" s="7"/>
      <c r="Q171" s="7"/>
      <c r="R171" s="8"/>
      <c r="S171" s="7"/>
      <c r="T171" s="9"/>
      <c r="U171" s="7"/>
      <c r="V171" s="8"/>
      <c r="W171" s="7"/>
      <c r="X171" s="7"/>
      <c r="Y171" s="8"/>
      <c r="Z171" s="7"/>
      <c r="AA171" s="8"/>
    </row>
    <row r="172" spans="2:27" ht="14.25" thickTop="1" thickBot="1">
      <c r="D172" s="69"/>
      <c r="E172" s="54" t="s">
        <v>419</v>
      </c>
      <c r="F172" s="7"/>
      <c r="G172" s="8"/>
      <c r="H172" s="7"/>
      <c r="I172" s="6"/>
      <c r="J172" s="7"/>
      <c r="K172" s="8"/>
      <c r="L172" s="7"/>
      <c r="M172" s="8"/>
      <c r="N172" s="7"/>
      <c r="O172" s="8"/>
      <c r="P172" s="7"/>
      <c r="Q172" s="7"/>
      <c r="R172" s="8"/>
      <c r="S172" s="7"/>
      <c r="T172" s="9"/>
      <c r="U172" s="7"/>
      <c r="V172" s="8"/>
      <c r="W172" s="7"/>
      <c r="X172" s="7"/>
      <c r="Y172" s="8"/>
      <c r="Z172" s="7"/>
      <c r="AA172" s="8"/>
    </row>
    <row r="173" spans="2:27" ht="14.25" thickTop="1" thickBot="1">
      <c r="D173" s="69"/>
      <c r="E173" s="54" t="s">
        <v>862</v>
      </c>
      <c r="F173" s="7"/>
      <c r="G173" s="8"/>
      <c r="H173" s="7"/>
      <c r="I173" s="6"/>
      <c r="J173" s="7"/>
      <c r="K173" s="8"/>
      <c r="L173" s="7"/>
      <c r="M173" s="8"/>
      <c r="N173" s="7"/>
      <c r="O173" s="8"/>
      <c r="P173" s="7"/>
      <c r="Q173" s="7"/>
      <c r="R173" s="8"/>
      <c r="S173" s="7"/>
      <c r="T173" s="9"/>
      <c r="U173" s="7"/>
      <c r="V173" s="8"/>
      <c r="W173" s="7"/>
      <c r="X173" s="7"/>
      <c r="Y173" s="8"/>
      <c r="Z173" s="7"/>
      <c r="AA173" s="8"/>
    </row>
    <row r="174" spans="2:27" ht="14.25" thickTop="1" thickBot="1">
      <c r="D174" s="69"/>
      <c r="E174" s="54" t="s">
        <v>829</v>
      </c>
      <c r="F174" s="7"/>
      <c r="G174" s="8"/>
      <c r="H174" s="7"/>
      <c r="I174" s="6"/>
      <c r="J174" s="7"/>
      <c r="K174" s="8"/>
      <c r="L174" s="7"/>
      <c r="M174" s="8"/>
      <c r="N174" s="7"/>
      <c r="O174" s="8"/>
      <c r="P174" s="7"/>
      <c r="Q174" s="7"/>
      <c r="R174" s="8"/>
      <c r="S174" s="7"/>
      <c r="T174" s="9"/>
      <c r="U174" s="7"/>
      <c r="V174" s="8"/>
      <c r="W174" s="7"/>
      <c r="X174" s="7"/>
      <c r="Y174" s="8"/>
      <c r="Z174" s="7"/>
      <c r="AA174" s="8"/>
    </row>
    <row r="175" spans="2:27" ht="14.25" thickTop="1" thickBot="1">
      <c r="D175" s="69"/>
      <c r="E175" s="54" t="s">
        <v>832</v>
      </c>
      <c r="F175" s="7"/>
      <c r="G175" s="8"/>
      <c r="H175" s="7"/>
      <c r="I175" s="6"/>
      <c r="J175" s="7"/>
      <c r="K175" s="8"/>
      <c r="L175" s="7"/>
      <c r="M175" s="8"/>
      <c r="N175" s="7"/>
      <c r="O175" s="8"/>
      <c r="P175" s="7"/>
      <c r="Q175" s="7"/>
      <c r="R175" s="8"/>
      <c r="S175" s="7"/>
      <c r="T175" s="9"/>
      <c r="U175" s="7"/>
      <c r="V175" s="8"/>
      <c r="W175" s="7"/>
      <c r="X175" s="7"/>
      <c r="Y175" s="8"/>
      <c r="Z175" s="7"/>
      <c r="AA175" s="8"/>
    </row>
    <row r="176" spans="2:27" ht="14.25" thickTop="1" thickBot="1">
      <c r="D176" s="69"/>
      <c r="E176" s="54" t="s">
        <v>834</v>
      </c>
      <c r="F176" s="7"/>
      <c r="G176" s="8"/>
      <c r="H176" s="7"/>
      <c r="I176" s="6"/>
      <c r="J176" s="7"/>
      <c r="K176" s="8"/>
      <c r="L176" s="7"/>
      <c r="M176" s="8"/>
      <c r="N176" s="7"/>
      <c r="O176" s="8"/>
      <c r="P176" s="7"/>
      <c r="Q176" s="7"/>
      <c r="R176" s="8"/>
      <c r="S176" s="7"/>
      <c r="T176" s="9"/>
      <c r="U176" s="7"/>
      <c r="V176" s="8"/>
      <c r="W176" s="7"/>
      <c r="X176" s="7"/>
      <c r="Y176" s="8"/>
      <c r="Z176" s="7"/>
      <c r="AA176" s="8"/>
    </row>
    <row r="177" spans="4:27" ht="14.25" thickTop="1" thickBot="1">
      <c r="D177" s="69"/>
      <c r="E177" s="54" t="s">
        <v>418</v>
      </c>
      <c r="F177" s="7"/>
      <c r="G177" s="8"/>
      <c r="H177" s="7"/>
      <c r="I177" s="6"/>
      <c r="J177" s="7"/>
      <c r="K177" s="8"/>
      <c r="L177" s="7"/>
      <c r="M177" s="8"/>
      <c r="N177" s="7"/>
      <c r="O177" s="8"/>
      <c r="P177" s="7"/>
      <c r="Q177" s="7"/>
      <c r="R177" s="8"/>
      <c r="S177" s="7"/>
      <c r="T177" s="9"/>
      <c r="U177" s="7"/>
      <c r="V177" s="8"/>
      <c r="W177" s="7"/>
      <c r="X177" s="7"/>
      <c r="Y177" s="8"/>
      <c r="Z177" s="7"/>
      <c r="AA177" s="8"/>
    </row>
    <row r="178" spans="4:27" ht="14.25" thickTop="1" thickBot="1">
      <c r="D178" s="69"/>
      <c r="E178" s="54" t="s">
        <v>839</v>
      </c>
      <c r="F178" s="7"/>
      <c r="G178" s="8"/>
      <c r="H178" s="7"/>
      <c r="I178" s="6"/>
      <c r="J178" s="7"/>
      <c r="K178" s="8"/>
      <c r="L178" s="7"/>
      <c r="M178" s="8"/>
      <c r="N178" s="7"/>
      <c r="O178" s="8"/>
      <c r="P178" s="7"/>
      <c r="Q178" s="7"/>
      <c r="R178" s="8"/>
      <c r="S178" s="7"/>
      <c r="T178" s="9"/>
      <c r="U178" s="7"/>
      <c r="V178" s="8"/>
      <c r="W178" s="7"/>
      <c r="X178" s="7"/>
      <c r="Y178" s="8"/>
      <c r="Z178" s="7"/>
      <c r="AA178" s="8"/>
    </row>
    <row r="179" spans="4:27" ht="14.25" thickTop="1" thickBot="1">
      <c r="D179" s="69"/>
      <c r="E179" s="54" t="s">
        <v>852</v>
      </c>
      <c r="F179" s="7"/>
      <c r="G179" s="8"/>
      <c r="H179" s="7"/>
      <c r="I179" s="6"/>
      <c r="J179" s="7"/>
      <c r="K179" s="8"/>
      <c r="L179" s="7"/>
      <c r="M179" s="8"/>
      <c r="N179" s="7"/>
      <c r="O179" s="8"/>
      <c r="P179" s="7"/>
      <c r="Q179" s="7"/>
      <c r="R179" s="8"/>
      <c r="S179" s="7"/>
      <c r="T179" s="9"/>
      <c r="U179" s="7"/>
      <c r="V179" s="8"/>
      <c r="W179" s="7"/>
      <c r="X179" s="7"/>
      <c r="Y179" s="8"/>
      <c r="Z179" s="7"/>
      <c r="AA179" s="8"/>
    </row>
    <row r="180" spans="4:27" ht="14.25" thickTop="1" thickBot="1">
      <c r="D180" s="69"/>
      <c r="E180" s="54" t="s">
        <v>847</v>
      </c>
      <c r="F180" s="7"/>
      <c r="G180" s="8"/>
      <c r="H180" s="7"/>
      <c r="I180" s="6"/>
      <c r="J180" s="7"/>
      <c r="K180" s="8"/>
      <c r="L180" s="7"/>
      <c r="M180" s="8"/>
      <c r="N180" s="7"/>
      <c r="O180" s="8"/>
      <c r="P180" s="7"/>
      <c r="Q180" s="7"/>
      <c r="R180" s="8"/>
      <c r="S180" s="7"/>
      <c r="T180" s="9"/>
      <c r="U180" s="7"/>
      <c r="V180" s="8"/>
      <c r="W180" s="7"/>
      <c r="X180" s="7"/>
      <c r="Y180" s="8"/>
      <c r="Z180" s="7"/>
      <c r="AA180" s="8"/>
    </row>
    <row r="181" spans="4:27" ht="14.25" thickTop="1" thickBot="1">
      <c r="D181" s="69"/>
      <c r="E181" s="54" t="s">
        <v>851</v>
      </c>
      <c r="F181" s="7"/>
      <c r="G181" s="8"/>
      <c r="H181" s="7"/>
      <c r="I181" s="6"/>
      <c r="J181" s="7"/>
      <c r="K181" s="8"/>
      <c r="L181" s="7"/>
      <c r="M181" s="8"/>
      <c r="N181" s="7"/>
      <c r="O181" s="8"/>
      <c r="P181" s="7"/>
      <c r="Q181" s="7"/>
      <c r="R181" s="8"/>
      <c r="S181" s="7"/>
      <c r="T181" s="9"/>
      <c r="U181" s="7"/>
      <c r="V181" s="8"/>
      <c r="W181" s="7"/>
      <c r="X181" s="7"/>
      <c r="Y181" s="8"/>
      <c r="Z181" s="7"/>
      <c r="AA181" s="8"/>
    </row>
    <row r="182" spans="4:27" ht="14.25" thickTop="1" thickBot="1">
      <c r="D182" s="69"/>
      <c r="E182" s="54" t="s">
        <v>875</v>
      </c>
      <c r="F182" s="7"/>
      <c r="G182" s="8"/>
      <c r="H182" s="7"/>
      <c r="I182" s="6"/>
      <c r="J182" s="7"/>
      <c r="K182" s="8"/>
      <c r="L182" s="7"/>
      <c r="M182" s="8"/>
      <c r="N182" s="7"/>
      <c r="O182" s="8"/>
      <c r="P182" s="7"/>
      <c r="Q182" s="7"/>
      <c r="R182" s="8"/>
      <c r="S182" s="7"/>
      <c r="T182" s="9"/>
      <c r="U182" s="7"/>
      <c r="V182" s="8"/>
      <c r="W182" s="7"/>
      <c r="X182" s="7"/>
      <c r="Y182" s="8"/>
      <c r="Z182" s="7"/>
      <c r="AA182" s="8"/>
    </row>
    <row r="183" spans="4:27" ht="14.25" thickTop="1" thickBot="1">
      <c r="D183" s="69"/>
      <c r="E183" s="54" t="s">
        <v>428</v>
      </c>
      <c r="F183" s="7"/>
      <c r="G183" s="8"/>
      <c r="H183" s="7"/>
      <c r="I183" s="6"/>
      <c r="J183" s="7"/>
      <c r="K183" s="8"/>
      <c r="L183" s="7"/>
      <c r="M183" s="8"/>
      <c r="N183" s="7"/>
      <c r="O183" s="8"/>
      <c r="P183" s="7"/>
      <c r="Q183" s="7"/>
      <c r="R183" s="8"/>
      <c r="S183" s="7"/>
      <c r="T183" s="9"/>
      <c r="U183" s="7"/>
      <c r="V183" s="8"/>
      <c r="W183" s="7"/>
      <c r="X183" s="7"/>
      <c r="Y183" s="8"/>
      <c r="Z183" s="7"/>
      <c r="AA183" s="8"/>
    </row>
    <row r="184" spans="4:27" ht="14.25" thickTop="1" thickBot="1">
      <c r="D184" s="69"/>
      <c r="E184" s="54" t="s">
        <v>424</v>
      </c>
      <c r="F184" s="7"/>
      <c r="G184" s="8"/>
      <c r="H184" s="7"/>
      <c r="I184" s="6"/>
      <c r="J184" s="7"/>
      <c r="K184" s="8"/>
      <c r="L184" s="7"/>
      <c r="M184" s="8"/>
      <c r="N184" s="7"/>
      <c r="O184" s="8"/>
      <c r="P184" s="7"/>
      <c r="Q184" s="7"/>
      <c r="R184" s="8"/>
      <c r="S184" s="7"/>
      <c r="T184" s="9"/>
      <c r="U184" s="7"/>
      <c r="V184" s="8"/>
      <c r="W184" s="7"/>
      <c r="X184" s="7"/>
      <c r="Y184" s="8"/>
      <c r="Z184" s="7"/>
      <c r="AA184" s="8"/>
    </row>
    <row r="185" spans="4:27" ht="14.25" thickTop="1" thickBot="1">
      <c r="D185" s="69"/>
      <c r="E185" s="54" t="s">
        <v>425</v>
      </c>
      <c r="F185" s="7"/>
      <c r="G185" s="8"/>
      <c r="H185" s="7"/>
      <c r="I185" s="6"/>
      <c r="J185" s="7"/>
      <c r="K185" s="8"/>
      <c r="L185" s="7"/>
      <c r="M185" s="8"/>
      <c r="N185" s="7"/>
      <c r="O185" s="8"/>
      <c r="P185" s="7"/>
      <c r="Q185" s="7"/>
      <c r="R185" s="8"/>
      <c r="S185" s="7"/>
      <c r="T185" s="9"/>
      <c r="U185" s="7"/>
      <c r="V185" s="8"/>
      <c r="W185" s="7"/>
      <c r="X185" s="7"/>
      <c r="Y185" s="8"/>
      <c r="Z185" s="7"/>
      <c r="AA185" s="8"/>
    </row>
    <row r="186" spans="4:27" ht="14.25" thickTop="1" thickBot="1">
      <c r="D186" s="69"/>
      <c r="E186" s="54" t="s">
        <v>842</v>
      </c>
      <c r="F186" s="7"/>
      <c r="G186" s="8"/>
      <c r="H186" s="7"/>
      <c r="I186" s="6"/>
      <c r="J186" s="7"/>
      <c r="K186" s="8"/>
      <c r="L186" s="7"/>
      <c r="M186" s="8"/>
      <c r="N186" s="7"/>
      <c r="O186" s="8"/>
      <c r="P186" s="7"/>
      <c r="Q186" s="7"/>
      <c r="R186" s="8"/>
      <c r="S186" s="7"/>
      <c r="T186" s="9"/>
      <c r="U186" s="7"/>
      <c r="V186" s="8"/>
      <c r="W186" s="7"/>
      <c r="X186" s="7"/>
      <c r="Y186" s="8"/>
      <c r="Z186" s="7"/>
      <c r="AA186" s="8"/>
    </row>
    <row r="187" spans="4:27" ht="14.25" thickTop="1" thickBot="1">
      <c r="D187" s="69"/>
      <c r="E187" s="54" t="s">
        <v>426</v>
      </c>
      <c r="F187" s="7"/>
      <c r="G187" s="8"/>
      <c r="H187" s="7"/>
      <c r="I187" s="6"/>
      <c r="J187" s="7"/>
      <c r="K187" s="8"/>
      <c r="L187" s="7"/>
      <c r="M187" s="8"/>
      <c r="N187" s="7"/>
      <c r="O187" s="8"/>
      <c r="P187" s="7"/>
      <c r="Q187" s="7"/>
      <c r="R187" s="8"/>
      <c r="S187" s="7"/>
      <c r="T187" s="9"/>
      <c r="U187" s="7"/>
      <c r="V187" s="8"/>
      <c r="W187" s="7"/>
      <c r="X187" s="7"/>
      <c r="Y187" s="8"/>
      <c r="Z187" s="7"/>
      <c r="AA187" s="8"/>
    </row>
    <row r="188" spans="4:27" ht="14.25" thickTop="1" thickBot="1">
      <c r="D188" s="69"/>
      <c r="E188" s="54" t="s">
        <v>423</v>
      </c>
      <c r="F188" s="7"/>
      <c r="G188" s="8"/>
      <c r="H188" s="7"/>
      <c r="I188" s="6"/>
      <c r="J188" s="7"/>
      <c r="K188" s="8"/>
      <c r="L188" s="7"/>
      <c r="M188" s="8"/>
      <c r="N188" s="7"/>
      <c r="O188" s="8"/>
      <c r="P188" s="7"/>
      <c r="Q188" s="7"/>
      <c r="R188" s="8"/>
      <c r="S188" s="7"/>
      <c r="T188" s="9"/>
      <c r="U188" s="7"/>
      <c r="V188" s="8"/>
      <c r="W188" s="7"/>
      <c r="X188" s="7"/>
      <c r="Y188" s="8"/>
      <c r="Z188" s="7"/>
      <c r="AA188" s="8"/>
    </row>
    <row r="189" spans="4:27" ht="14.25" thickTop="1" thickBot="1">
      <c r="D189" s="69"/>
      <c r="E189" s="54" t="s">
        <v>422</v>
      </c>
      <c r="F189" s="7"/>
      <c r="G189" s="8"/>
      <c r="H189" s="7"/>
      <c r="I189" s="6"/>
      <c r="J189" s="7"/>
      <c r="K189" s="8"/>
      <c r="L189" s="7"/>
      <c r="M189" s="8"/>
      <c r="N189" s="7"/>
      <c r="O189" s="8"/>
      <c r="P189" s="7"/>
      <c r="Q189" s="7"/>
      <c r="R189" s="8"/>
      <c r="S189" s="7"/>
      <c r="T189" s="9"/>
      <c r="U189" s="7"/>
      <c r="V189" s="8"/>
      <c r="W189" s="7"/>
      <c r="X189" s="7"/>
      <c r="Y189" s="8"/>
      <c r="Z189" s="7"/>
      <c r="AA189" s="8"/>
    </row>
    <row r="190" spans="4:27" ht="14.25" thickTop="1" thickBot="1">
      <c r="D190" s="69"/>
      <c r="E190" s="54" t="s">
        <v>421</v>
      </c>
      <c r="F190" s="7"/>
      <c r="G190" s="8"/>
      <c r="H190" s="7"/>
      <c r="I190" s="6"/>
      <c r="J190" s="7"/>
      <c r="K190" s="8"/>
      <c r="L190" s="7"/>
      <c r="M190" s="8"/>
      <c r="N190" s="7"/>
      <c r="O190" s="8"/>
      <c r="P190" s="7"/>
      <c r="Q190" s="7"/>
      <c r="R190" s="8"/>
      <c r="S190" s="7"/>
      <c r="T190" s="9"/>
      <c r="U190" s="7"/>
      <c r="V190" s="8"/>
      <c r="W190" s="7"/>
      <c r="X190" s="7"/>
      <c r="Y190" s="8"/>
      <c r="Z190" s="7"/>
      <c r="AA190" s="8"/>
    </row>
    <row r="191" spans="4:27" ht="14.25" thickTop="1" thickBot="1">
      <c r="D191" s="69"/>
      <c r="E191" s="54" t="s">
        <v>915</v>
      </c>
      <c r="F191" s="7"/>
      <c r="G191" s="8"/>
      <c r="H191" s="7"/>
      <c r="I191" s="6"/>
      <c r="J191" s="7"/>
      <c r="K191" s="8"/>
      <c r="L191" s="7"/>
      <c r="M191" s="8"/>
      <c r="N191" s="7"/>
      <c r="O191" s="8"/>
      <c r="P191" s="7"/>
      <c r="Q191" s="7"/>
      <c r="R191" s="8"/>
      <c r="S191" s="7"/>
      <c r="T191" s="9"/>
      <c r="U191" s="7"/>
      <c r="V191" s="8"/>
      <c r="W191" s="7"/>
      <c r="X191" s="7"/>
      <c r="Y191" s="8"/>
      <c r="Z191" s="7"/>
      <c r="AA191" s="8"/>
    </row>
    <row r="192" spans="4:27" ht="14.25" thickTop="1" thickBot="1">
      <c r="D192" s="69"/>
      <c r="E192" s="54" t="s">
        <v>930</v>
      </c>
      <c r="F192" s="7"/>
      <c r="G192" s="8"/>
      <c r="H192" s="7"/>
      <c r="I192" s="6"/>
      <c r="J192" s="7"/>
      <c r="K192" s="8"/>
      <c r="L192" s="7"/>
      <c r="M192" s="8"/>
      <c r="N192" s="7"/>
      <c r="O192" s="8"/>
      <c r="P192" s="7"/>
      <c r="Q192" s="7"/>
      <c r="R192" s="8"/>
      <c r="S192" s="7"/>
      <c r="T192" s="9"/>
      <c r="U192" s="7"/>
      <c r="V192" s="8"/>
      <c r="W192" s="7"/>
      <c r="X192" s="7"/>
      <c r="Y192" s="8"/>
      <c r="Z192" s="7"/>
      <c r="AA192" s="8"/>
    </row>
    <row r="193" spans="4:27" ht="14.25" thickTop="1" thickBot="1">
      <c r="D193" s="69"/>
      <c r="E193" s="54" t="s">
        <v>899</v>
      </c>
      <c r="F193" s="7"/>
      <c r="G193" s="8"/>
      <c r="H193" s="7"/>
      <c r="I193" s="6"/>
      <c r="J193" s="7"/>
      <c r="K193" s="8"/>
      <c r="L193" s="7"/>
      <c r="M193" s="8"/>
      <c r="N193" s="7"/>
      <c r="O193" s="8"/>
      <c r="P193" s="7"/>
      <c r="Q193" s="7"/>
      <c r="R193" s="8"/>
      <c r="S193" s="7"/>
      <c r="T193" s="9"/>
      <c r="U193" s="7"/>
      <c r="V193" s="8"/>
      <c r="W193" s="7"/>
      <c r="X193" s="7"/>
      <c r="Y193" s="8"/>
      <c r="Z193" s="7"/>
      <c r="AA193" s="8"/>
    </row>
    <row r="194" spans="4:27" ht="14.25" thickTop="1" thickBot="1">
      <c r="D194" s="69"/>
      <c r="E194" s="54" t="s">
        <v>932</v>
      </c>
      <c r="F194" s="7"/>
      <c r="G194" s="8"/>
      <c r="H194" s="7"/>
      <c r="I194" s="6"/>
      <c r="J194" s="7"/>
      <c r="K194" s="8"/>
      <c r="L194" s="7"/>
      <c r="M194" s="8"/>
      <c r="N194" s="7"/>
      <c r="O194" s="8"/>
      <c r="P194" s="7"/>
      <c r="Q194" s="7"/>
      <c r="R194" s="8"/>
      <c r="S194" s="7"/>
      <c r="T194" s="9"/>
      <c r="U194" s="7"/>
      <c r="V194" s="8"/>
      <c r="W194" s="7"/>
      <c r="X194" s="7"/>
      <c r="Y194" s="8"/>
      <c r="Z194" s="7"/>
      <c r="AA194" s="8"/>
    </row>
    <row r="195" spans="4:27" ht="14.25" thickTop="1" thickBot="1">
      <c r="D195" s="69"/>
      <c r="E195" s="54" t="s">
        <v>533</v>
      </c>
      <c r="F195" s="7"/>
      <c r="G195" s="8"/>
      <c r="H195" s="7"/>
      <c r="I195" s="6"/>
      <c r="J195" s="7"/>
      <c r="K195" s="8"/>
      <c r="L195" s="7"/>
      <c r="M195" s="8"/>
      <c r="N195" s="7"/>
      <c r="O195" s="8"/>
      <c r="P195" s="7"/>
      <c r="Q195" s="7"/>
      <c r="R195" s="8"/>
      <c r="S195" s="7"/>
      <c r="T195" s="9"/>
      <c r="U195" s="7"/>
      <c r="V195" s="8"/>
      <c r="W195" s="7"/>
      <c r="X195" s="7"/>
      <c r="Y195" s="8"/>
      <c r="Z195" s="7"/>
      <c r="AA195" s="8"/>
    </row>
    <row r="196" spans="4:27" ht="14.25" thickTop="1" thickBot="1">
      <c r="D196" s="69"/>
      <c r="E196" s="54" t="s">
        <v>896</v>
      </c>
      <c r="F196" s="7"/>
      <c r="G196" s="8"/>
      <c r="H196" s="7"/>
      <c r="I196" s="6"/>
      <c r="J196" s="7"/>
      <c r="K196" s="8"/>
      <c r="L196" s="7"/>
      <c r="M196" s="8"/>
      <c r="N196" s="7"/>
      <c r="O196" s="8"/>
      <c r="P196" s="7"/>
      <c r="Q196" s="7"/>
      <c r="R196" s="8"/>
      <c r="S196" s="7"/>
      <c r="T196" s="9"/>
      <c r="U196" s="7"/>
      <c r="V196" s="8"/>
      <c r="W196" s="7"/>
      <c r="X196" s="7"/>
      <c r="Y196" s="8"/>
      <c r="Z196" s="7"/>
      <c r="AA196" s="8"/>
    </row>
    <row r="197" spans="4:27" ht="14.25" thickTop="1" thickBot="1">
      <c r="D197" s="69"/>
      <c r="E197" s="54" t="s">
        <v>499</v>
      </c>
      <c r="F197" s="7"/>
      <c r="G197" s="8"/>
      <c r="H197" s="7"/>
      <c r="I197" s="6"/>
      <c r="J197" s="7"/>
      <c r="K197" s="8"/>
      <c r="L197" s="7"/>
      <c r="M197" s="8"/>
      <c r="N197" s="7"/>
      <c r="O197" s="8"/>
      <c r="P197" s="7"/>
      <c r="Q197" s="7"/>
      <c r="R197" s="8"/>
      <c r="S197" s="7"/>
      <c r="T197" s="9"/>
      <c r="U197" s="7"/>
      <c r="V197" s="8"/>
      <c r="W197" s="7"/>
      <c r="X197" s="7"/>
      <c r="Y197" s="8"/>
      <c r="Z197" s="7"/>
      <c r="AA197" s="8"/>
    </row>
    <row r="198" spans="4:27" ht="14.25" thickTop="1" thickBot="1">
      <c r="D198" s="69"/>
      <c r="E198" s="54" t="s">
        <v>895</v>
      </c>
      <c r="F198" s="7"/>
      <c r="G198" s="8"/>
      <c r="H198" s="7"/>
      <c r="I198" s="6"/>
      <c r="J198" s="7"/>
      <c r="K198" s="8"/>
      <c r="L198" s="7"/>
      <c r="M198" s="8"/>
      <c r="N198" s="7"/>
      <c r="O198" s="8"/>
      <c r="P198" s="7"/>
      <c r="Q198" s="7"/>
      <c r="R198" s="8"/>
      <c r="S198" s="7"/>
      <c r="T198" s="9"/>
      <c r="U198" s="7"/>
      <c r="V198" s="8"/>
      <c r="W198" s="7"/>
      <c r="X198" s="7"/>
      <c r="Y198" s="8"/>
      <c r="Z198" s="7"/>
      <c r="AA198" s="8"/>
    </row>
    <row r="199" spans="4:27" ht="14.25" thickTop="1" thickBot="1">
      <c r="D199" s="69"/>
      <c r="E199" s="54" t="s">
        <v>933</v>
      </c>
      <c r="F199" s="7"/>
      <c r="G199" s="8"/>
      <c r="H199" s="7"/>
      <c r="I199" s="6"/>
      <c r="J199" s="7"/>
      <c r="K199" s="8"/>
      <c r="L199" s="7"/>
      <c r="M199" s="8"/>
      <c r="N199" s="7"/>
      <c r="O199" s="8"/>
      <c r="P199" s="7"/>
      <c r="Q199" s="7"/>
      <c r="R199" s="8"/>
      <c r="S199" s="7"/>
      <c r="T199" s="9"/>
      <c r="U199" s="7"/>
      <c r="V199" s="8"/>
      <c r="W199" s="7"/>
      <c r="X199" s="7"/>
      <c r="Y199" s="8"/>
      <c r="Z199" s="7"/>
      <c r="AA199" s="8"/>
    </row>
    <row r="200" spans="4:27" ht="14.25" thickTop="1" thickBot="1">
      <c r="D200" s="69"/>
      <c r="E200" s="54" t="s">
        <v>525</v>
      </c>
      <c r="F200" s="7"/>
      <c r="G200" s="8"/>
      <c r="H200" s="7"/>
      <c r="I200" s="6"/>
      <c r="J200" s="7"/>
      <c r="K200" s="8"/>
      <c r="L200" s="7"/>
      <c r="M200" s="8"/>
      <c r="N200" s="7"/>
      <c r="O200" s="8"/>
      <c r="P200" s="7"/>
      <c r="Q200" s="7"/>
      <c r="R200" s="8"/>
      <c r="S200" s="7"/>
      <c r="T200" s="9"/>
      <c r="U200" s="7"/>
      <c r="V200" s="8"/>
      <c r="W200" s="7"/>
      <c r="X200" s="7"/>
      <c r="Y200" s="8"/>
      <c r="Z200" s="7"/>
      <c r="AA200" s="8"/>
    </row>
    <row r="201" spans="4:27" ht="14.25" thickTop="1" thickBot="1">
      <c r="D201" s="69"/>
      <c r="E201" s="54" t="s">
        <v>894</v>
      </c>
      <c r="F201" s="7"/>
      <c r="G201" s="8"/>
      <c r="H201" s="7"/>
      <c r="I201" s="6"/>
      <c r="J201" s="7"/>
      <c r="K201" s="8"/>
      <c r="L201" s="7"/>
      <c r="M201" s="8"/>
      <c r="N201" s="7"/>
      <c r="O201" s="8"/>
      <c r="P201" s="7"/>
      <c r="Q201" s="7"/>
      <c r="R201" s="8"/>
      <c r="S201" s="7"/>
      <c r="T201" s="9"/>
      <c r="U201" s="7"/>
      <c r="V201" s="8"/>
      <c r="W201" s="7"/>
      <c r="X201" s="7"/>
      <c r="Y201" s="8"/>
      <c r="Z201" s="7"/>
      <c r="AA201" s="8"/>
    </row>
    <row r="202" spans="4:27" ht="14.25" thickTop="1" thickBot="1">
      <c r="D202" s="69"/>
      <c r="E202" s="54" t="s">
        <v>471</v>
      </c>
      <c r="F202" s="7"/>
      <c r="G202" s="8"/>
      <c r="H202" s="7"/>
      <c r="I202" s="6"/>
      <c r="J202" s="7"/>
      <c r="K202" s="8"/>
      <c r="L202" s="7"/>
      <c r="M202" s="8"/>
      <c r="N202" s="7"/>
      <c r="O202" s="8"/>
      <c r="P202" s="7"/>
      <c r="Q202" s="7"/>
      <c r="R202" s="8"/>
      <c r="S202" s="7"/>
      <c r="T202" s="9"/>
      <c r="U202" s="7"/>
      <c r="V202" s="8"/>
      <c r="W202" s="7"/>
      <c r="X202" s="7"/>
      <c r="Y202" s="8"/>
      <c r="Z202" s="7"/>
      <c r="AA202" s="8"/>
    </row>
    <row r="203" spans="4:27" ht="14.25" thickTop="1" thickBot="1">
      <c r="D203" s="69"/>
      <c r="E203" s="54" t="s">
        <v>474</v>
      </c>
      <c r="F203" s="7"/>
      <c r="G203" s="8"/>
      <c r="H203" s="7"/>
      <c r="I203" s="6"/>
      <c r="J203" s="7"/>
      <c r="K203" s="8"/>
      <c r="L203" s="7"/>
      <c r="M203" s="8"/>
      <c r="N203" s="7"/>
      <c r="O203" s="8"/>
      <c r="P203" s="7"/>
      <c r="Q203" s="7"/>
      <c r="R203" s="8"/>
      <c r="S203" s="7"/>
      <c r="T203" s="9"/>
      <c r="U203" s="7"/>
      <c r="V203" s="8"/>
      <c r="W203" s="7"/>
      <c r="X203" s="7"/>
      <c r="Y203" s="8"/>
      <c r="Z203" s="7"/>
      <c r="AA203" s="8"/>
    </row>
    <row r="204" spans="4:27" ht="14.25" thickTop="1" thickBot="1">
      <c r="D204" s="69"/>
      <c r="E204" s="54" t="s">
        <v>505</v>
      </c>
      <c r="F204" s="7"/>
      <c r="G204" s="8"/>
      <c r="H204" s="7"/>
      <c r="I204" s="6"/>
      <c r="J204" s="7"/>
      <c r="K204" s="8"/>
      <c r="L204" s="7"/>
      <c r="M204" s="8"/>
      <c r="N204" s="7"/>
      <c r="O204" s="8"/>
      <c r="P204" s="7"/>
      <c r="Q204" s="7"/>
      <c r="R204" s="8"/>
      <c r="S204" s="7"/>
      <c r="T204" s="9"/>
      <c r="U204" s="7"/>
      <c r="V204" s="8"/>
      <c r="W204" s="7"/>
      <c r="X204" s="7"/>
      <c r="Y204" s="8"/>
      <c r="Z204" s="7"/>
      <c r="AA204" s="8"/>
    </row>
    <row r="205" spans="4:27" ht="14.25" thickTop="1" thickBot="1">
      <c r="D205" s="69"/>
      <c r="E205" s="54" t="s">
        <v>477</v>
      </c>
      <c r="F205" s="7"/>
      <c r="G205" s="8"/>
      <c r="H205" s="7"/>
      <c r="I205" s="6"/>
      <c r="J205" s="7"/>
      <c r="K205" s="8"/>
      <c r="L205" s="7"/>
      <c r="M205" s="8"/>
      <c r="N205" s="7"/>
      <c r="O205" s="8"/>
      <c r="P205" s="7"/>
      <c r="Q205" s="7"/>
      <c r="R205" s="8"/>
      <c r="S205" s="7"/>
      <c r="T205" s="9"/>
      <c r="U205" s="7"/>
      <c r="V205" s="8"/>
      <c r="W205" s="7"/>
      <c r="X205" s="7"/>
      <c r="Y205" s="8"/>
      <c r="Z205" s="7"/>
      <c r="AA205" s="8"/>
    </row>
    <row r="206" spans="4:27" ht="14.25" thickTop="1" thickBot="1">
      <c r="D206" s="69"/>
      <c r="E206" s="54" t="s">
        <v>504</v>
      </c>
      <c r="F206" s="7"/>
      <c r="G206" s="8"/>
      <c r="H206" s="7"/>
      <c r="I206" s="6"/>
      <c r="J206" s="7"/>
      <c r="K206" s="8"/>
      <c r="L206" s="7"/>
      <c r="M206" s="8"/>
      <c r="N206" s="7"/>
      <c r="O206" s="8"/>
      <c r="P206" s="7"/>
      <c r="Q206" s="7"/>
      <c r="R206" s="8"/>
      <c r="S206" s="7"/>
      <c r="T206" s="9"/>
      <c r="U206" s="7"/>
      <c r="V206" s="8"/>
      <c r="W206" s="7"/>
      <c r="X206" s="7"/>
      <c r="Y206" s="8"/>
      <c r="Z206" s="7"/>
      <c r="AA206" s="8"/>
    </row>
    <row r="207" spans="4:27" ht="14.25" thickTop="1" thickBot="1">
      <c r="D207" s="69"/>
      <c r="E207" s="54" t="s">
        <v>518</v>
      </c>
      <c r="F207" s="7"/>
      <c r="G207" s="8"/>
      <c r="H207" s="7"/>
      <c r="I207" s="6"/>
      <c r="J207" s="7"/>
      <c r="K207" s="8"/>
      <c r="L207" s="7"/>
      <c r="M207" s="8"/>
      <c r="N207" s="7"/>
      <c r="O207" s="8"/>
      <c r="P207" s="7"/>
      <c r="Q207" s="7"/>
      <c r="R207" s="8"/>
      <c r="S207" s="7"/>
      <c r="T207" s="9"/>
      <c r="U207" s="7"/>
      <c r="V207" s="8"/>
      <c r="W207" s="7"/>
      <c r="X207" s="7"/>
      <c r="Y207" s="8"/>
      <c r="Z207" s="7"/>
      <c r="AA207" s="8"/>
    </row>
    <row r="208" spans="4:27" ht="14.25" thickTop="1" thickBot="1">
      <c r="D208" s="69"/>
      <c r="E208" s="54" t="s">
        <v>486</v>
      </c>
      <c r="F208" s="7"/>
      <c r="G208" s="8"/>
      <c r="H208" s="7"/>
      <c r="I208" s="6"/>
      <c r="J208" s="7"/>
      <c r="K208" s="8"/>
      <c r="L208" s="7"/>
      <c r="M208" s="8"/>
      <c r="N208" s="7"/>
      <c r="O208" s="8"/>
      <c r="P208" s="7"/>
      <c r="Q208" s="7"/>
      <c r="R208" s="8"/>
      <c r="S208" s="7"/>
      <c r="T208" s="9"/>
      <c r="U208" s="7"/>
      <c r="V208" s="8"/>
      <c r="W208" s="7"/>
      <c r="X208" s="7"/>
      <c r="Y208" s="8"/>
      <c r="Z208" s="7"/>
      <c r="AA208" s="8"/>
    </row>
    <row r="209" spans="4:27" ht="14.25" thickTop="1" thickBot="1">
      <c r="D209" s="69"/>
      <c r="E209" s="54" t="s">
        <v>374</v>
      </c>
      <c r="F209" s="7"/>
      <c r="G209" s="8"/>
      <c r="H209" s="7"/>
      <c r="I209" s="6"/>
      <c r="J209" s="7"/>
      <c r="K209" s="8"/>
      <c r="L209" s="7"/>
      <c r="M209" s="8"/>
      <c r="N209" s="7"/>
      <c r="O209" s="8"/>
      <c r="P209" s="7"/>
      <c r="Q209" s="7"/>
      <c r="R209" s="8"/>
      <c r="S209" s="7"/>
      <c r="T209" s="9"/>
      <c r="U209" s="7"/>
      <c r="V209" s="8"/>
      <c r="W209" s="7"/>
      <c r="X209" s="7"/>
      <c r="Y209" s="8"/>
      <c r="Z209" s="7"/>
      <c r="AA209" s="8"/>
    </row>
    <row r="210" spans="4:27" ht="14.25" thickTop="1" thickBot="1">
      <c r="D210" s="69"/>
      <c r="E210" s="54" t="s">
        <v>513</v>
      </c>
      <c r="F210" s="7"/>
      <c r="G210" s="8"/>
      <c r="H210" s="7"/>
      <c r="I210" s="6"/>
      <c r="J210" s="7"/>
      <c r="K210" s="8"/>
      <c r="L210" s="7"/>
      <c r="M210" s="8"/>
      <c r="N210" s="7"/>
      <c r="O210" s="8"/>
      <c r="P210" s="7"/>
      <c r="Q210" s="7"/>
      <c r="R210" s="8"/>
      <c r="S210" s="7"/>
      <c r="T210" s="9"/>
      <c r="U210" s="7"/>
      <c r="V210" s="8"/>
      <c r="W210" s="7"/>
      <c r="X210" s="7"/>
      <c r="Y210" s="8"/>
      <c r="Z210" s="7"/>
      <c r="AA210" s="8"/>
    </row>
    <row r="211" spans="4:27" ht="14.25" thickTop="1" thickBot="1">
      <c r="D211" s="69"/>
      <c r="E211" s="54" t="s">
        <v>519</v>
      </c>
      <c r="F211" s="7"/>
      <c r="G211" s="8"/>
      <c r="H211" s="7"/>
      <c r="I211" s="6"/>
      <c r="J211" s="7"/>
      <c r="K211" s="8"/>
      <c r="L211" s="7"/>
      <c r="M211" s="8"/>
      <c r="N211" s="7"/>
      <c r="O211" s="8"/>
      <c r="P211" s="7"/>
      <c r="Q211" s="7"/>
      <c r="R211" s="8"/>
      <c r="S211" s="7"/>
      <c r="T211" s="9"/>
      <c r="U211" s="7"/>
      <c r="V211" s="8"/>
      <c r="W211" s="7"/>
      <c r="X211" s="7"/>
      <c r="Y211" s="8"/>
      <c r="Z211" s="7"/>
      <c r="AA211" s="8"/>
    </row>
    <row r="212" spans="4:27" ht="14.25" thickTop="1" thickBot="1">
      <c r="D212" s="69"/>
      <c r="E212" s="54" t="s">
        <v>484</v>
      </c>
      <c r="F212" s="7"/>
      <c r="G212" s="8"/>
      <c r="H212" s="7"/>
      <c r="I212" s="6"/>
      <c r="J212" s="7"/>
      <c r="K212" s="8"/>
      <c r="L212" s="7"/>
      <c r="M212" s="8"/>
      <c r="N212" s="7"/>
      <c r="O212" s="8"/>
      <c r="P212" s="7"/>
      <c r="Q212" s="7"/>
      <c r="R212" s="8"/>
      <c r="S212" s="7"/>
      <c r="T212" s="9"/>
      <c r="U212" s="7"/>
      <c r="V212" s="8"/>
      <c r="W212" s="7"/>
      <c r="X212" s="7"/>
      <c r="Y212" s="8"/>
      <c r="Z212" s="7"/>
      <c r="AA212" s="8"/>
    </row>
    <row r="213" spans="4:27" ht="14.25" thickTop="1" thickBot="1">
      <c r="D213" s="69"/>
      <c r="E213" s="54" t="s">
        <v>921</v>
      </c>
      <c r="F213" s="7"/>
      <c r="G213" s="8"/>
      <c r="H213" s="7"/>
      <c r="I213" s="6"/>
      <c r="J213" s="7"/>
      <c r="K213" s="8"/>
      <c r="L213" s="7"/>
      <c r="M213" s="8"/>
      <c r="N213" s="7"/>
      <c r="O213" s="8"/>
      <c r="P213" s="7"/>
      <c r="Q213" s="7"/>
      <c r="R213" s="8"/>
      <c r="S213" s="7"/>
      <c r="T213" s="9"/>
      <c r="U213" s="7"/>
      <c r="V213" s="8"/>
      <c r="W213" s="7"/>
      <c r="X213" s="7"/>
      <c r="Y213" s="8"/>
      <c r="Z213" s="7"/>
      <c r="AA213" s="8"/>
    </row>
    <row r="214" spans="4:27" ht="14.25" thickTop="1" thickBot="1">
      <c r="D214" s="69"/>
      <c r="E214" s="54" t="s">
        <v>1106</v>
      </c>
      <c r="F214" s="7"/>
      <c r="G214" s="8"/>
      <c r="H214" s="7"/>
      <c r="I214" s="6"/>
      <c r="J214" s="7"/>
      <c r="K214" s="8"/>
      <c r="L214" s="7"/>
      <c r="M214" s="8"/>
      <c r="N214" s="7"/>
      <c r="O214" s="8"/>
      <c r="P214" s="7"/>
      <c r="Q214" s="7"/>
      <c r="R214" s="8"/>
      <c r="S214" s="7"/>
      <c r="T214" s="9"/>
      <c r="U214" s="7"/>
      <c r="V214" s="8"/>
      <c r="W214" s="7"/>
      <c r="X214" s="7"/>
      <c r="Y214" s="8"/>
      <c r="Z214" s="7"/>
      <c r="AA214" s="8"/>
    </row>
    <row r="215" spans="4:27" ht="14.25" thickTop="1" thickBot="1">
      <c r="D215" s="69"/>
      <c r="E215" s="54" t="s">
        <v>512</v>
      </c>
      <c r="F215" s="7"/>
      <c r="G215" s="8"/>
      <c r="H215" s="7"/>
      <c r="I215" s="6"/>
      <c r="J215" s="7"/>
      <c r="K215" s="8"/>
      <c r="L215" s="7"/>
      <c r="M215" s="8"/>
      <c r="N215" s="7"/>
      <c r="O215" s="8"/>
      <c r="P215" s="7"/>
      <c r="Q215" s="7"/>
      <c r="R215" s="8"/>
      <c r="S215" s="7"/>
      <c r="T215" s="9"/>
      <c r="U215" s="7"/>
      <c r="V215" s="8"/>
      <c r="W215" s="7"/>
      <c r="X215" s="7"/>
      <c r="Y215" s="8"/>
      <c r="Z215" s="7"/>
      <c r="AA215" s="8"/>
    </row>
    <row r="216" spans="4:27" ht="14.25" thickTop="1" thickBot="1">
      <c r="D216" s="69"/>
      <c r="E216" s="54" t="s">
        <v>485</v>
      </c>
      <c r="F216" s="7"/>
      <c r="G216" s="8"/>
      <c r="H216" s="7"/>
      <c r="I216" s="6"/>
      <c r="J216" s="7"/>
      <c r="K216" s="8"/>
      <c r="L216" s="7"/>
      <c r="M216" s="8"/>
      <c r="N216" s="7"/>
      <c r="O216" s="8"/>
      <c r="P216" s="7"/>
      <c r="Q216" s="7"/>
      <c r="R216" s="8"/>
      <c r="S216" s="7"/>
      <c r="T216" s="9"/>
      <c r="U216" s="7"/>
      <c r="V216" s="8"/>
      <c r="W216" s="7"/>
      <c r="X216" s="7"/>
      <c r="Y216" s="8"/>
      <c r="Z216" s="7"/>
      <c r="AA216" s="8"/>
    </row>
    <row r="217" spans="4:27" ht="14.25" thickTop="1" thickBot="1">
      <c r="D217" s="69"/>
      <c r="E217" s="54" t="s">
        <v>521</v>
      </c>
      <c r="F217" s="7"/>
      <c r="G217" s="8"/>
      <c r="H217" s="7"/>
      <c r="I217" s="6"/>
      <c r="J217" s="7"/>
      <c r="K217" s="8"/>
      <c r="L217" s="7"/>
      <c r="M217" s="8"/>
      <c r="N217" s="7"/>
      <c r="O217" s="8"/>
      <c r="P217" s="7"/>
      <c r="Q217" s="7"/>
      <c r="R217" s="8"/>
      <c r="S217" s="7"/>
      <c r="T217" s="9"/>
      <c r="U217" s="7"/>
      <c r="V217" s="8"/>
      <c r="W217" s="7"/>
      <c r="X217" s="7"/>
      <c r="Y217" s="8"/>
      <c r="Z217" s="7"/>
      <c r="AA217" s="8"/>
    </row>
    <row r="218" spans="4:27" ht="14.25" thickTop="1" thickBot="1">
      <c r="D218" s="69"/>
      <c r="E218" s="54" t="s">
        <v>520</v>
      </c>
      <c r="F218" s="7"/>
      <c r="G218" s="8"/>
      <c r="H218" s="7"/>
      <c r="I218" s="6"/>
      <c r="J218" s="7"/>
      <c r="K218" s="8"/>
      <c r="L218" s="7"/>
      <c r="M218" s="8"/>
      <c r="N218" s="7"/>
      <c r="O218" s="8"/>
      <c r="P218" s="7"/>
      <c r="Q218" s="7"/>
      <c r="R218" s="8"/>
      <c r="S218" s="7"/>
      <c r="T218" s="9"/>
      <c r="U218" s="7"/>
      <c r="V218" s="8"/>
      <c r="W218" s="7"/>
      <c r="X218" s="7"/>
      <c r="Y218" s="8"/>
      <c r="Z218" s="7"/>
      <c r="AA218" s="8"/>
    </row>
    <row r="219" spans="4:27" ht="14.25" thickTop="1" thickBot="1">
      <c r="D219" s="69"/>
      <c r="E219" s="54" t="s">
        <v>927</v>
      </c>
      <c r="F219" s="7"/>
      <c r="G219" s="8"/>
      <c r="H219" s="7"/>
      <c r="I219" s="6"/>
      <c r="J219" s="7"/>
      <c r="K219" s="8"/>
      <c r="L219" s="7"/>
      <c r="M219" s="8"/>
      <c r="N219" s="7"/>
      <c r="O219" s="8"/>
      <c r="P219" s="7"/>
      <c r="Q219" s="7"/>
      <c r="R219" s="8"/>
      <c r="S219" s="7"/>
      <c r="T219" s="9"/>
      <c r="U219" s="7"/>
      <c r="V219" s="8"/>
      <c r="W219" s="7"/>
      <c r="X219" s="7"/>
      <c r="Y219" s="8"/>
      <c r="Z219" s="7"/>
      <c r="AA219" s="8"/>
    </row>
    <row r="220" spans="4:27" ht="14.25" thickTop="1" thickBot="1">
      <c r="D220" s="69"/>
      <c r="E220" s="54" t="s">
        <v>487</v>
      </c>
      <c r="F220" s="7"/>
      <c r="G220" s="8"/>
      <c r="H220" s="7"/>
      <c r="I220" s="6"/>
      <c r="J220" s="7"/>
      <c r="K220" s="8"/>
      <c r="L220" s="7"/>
      <c r="M220" s="8"/>
      <c r="N220" s="7"/>
      <c r="O220" s="8"/>
      <c r="P220" s="7"/>
      <c r="Q220" s="7"/>
      <c r="R220" s="8"/>
      <c r="S220" s="7"/>
      <c r="T220" s="9"/>
      <c r="U220" s="7"/>
      <c r="V220" s="8"/>
      <c r="W220" s="7"/>
      <c r="X220" s="7"/>
      <c r="Y220" s="8"/>
      <c r="Z220" s="7"/>
      <c r="AA220" s="8"/>
    </row>
    <row r="221" spans="4:27" ht="14.25" thickTop="1" thickBot="1">
      <c r="D221" s="69"/>
      <c r="E221" s="54" t="s">
        <v>920</v>
      </c>
      <c r="F221" s="7"/>
      <c r="G221" s="8"/>
      <c r="H221" s="7"/>
      <c r="I221" s="6"/>
      <c r="J221" s="7"/>
      <c r="K221" s="8"/>
      <c r="L221" s="7"/>
      <c r="M221" s="8"/>
      <c r="N221" s="7"/>
      <c r="O221" s="8"/>
      <c r="P221" s="7"/>
      <c r="Q221" s="7"/>
      <c r="R221" s="8"/>
      <c r="S221" s="7"/>
      <c r="T221" s="9"/>
      <c r="U221" s="7"/>
      <c r="V221" s="8"/>
      <c r="W221" s="7"/>
      <c r="X221" s="7"/>
      <c r="Y221" s="8"/>
      <c r="Z221" s="7"/>
      <c r="AA221" s="8"/>
    </row>
    <row r="222" spans="4:27" ht="14.25" thickTop="1" thickBot="1">
      <c r="D222" s="69"/>
      <c r="E222" s="54" t="s">
        <v>522</v>
      </c>
      <c r="F222" s="7"/>
      <c r="G222" s="8"/>
      <c r="H222" s="7"/>
      <c r="I222" s="6"/>
      <c r="J222" s="7"/>
      <c r="K222" s="8"/>
      <c r="L222" s="7"/>
      <c r="M222" s="8"/>
      <c r="N222" s="7"/>
      <c r="O222" s="8"/>
      <c r="P222" s="7"/>
      <c r="Q222" s="7"/>
      <c r="R222" s="8"/>
      <c r="S222" s="7"/>
      <c r="T222" s="9"/>
      <c r="U222" s="7"/>
      <c r="V222" s="8"/>
      <c r="W222" s="7"/>
      <c r="X222" s="7"/>
      <c r="Y222" s="8"/>
      <c r="Z222" s="7"/>
      <c r="AA222" s="8"/>
    </row>
    <row r="223" spans="4:27" ht="14.25" thickTop="1" thickBot="1">
      <c r="D223" s="69"/>
      <c r="E223" s="54" t="s">
        <v>506</v>
      </c>
      <c r="F223" s="7"/>
      <c r="G223" s="8"/>
      <c r="H223" s="7"/>
      <c r="I223" s="6"/>
      <c r="J223" s="7"/>
      <c r="K223" s="8"/>
      <c r="L223" s="7"/>
      <c r="M223" s="8"/>
      <c r="N223" s="7"/>
      <c r="O223" s="8"/>
      <c r="P223" s="7"/>
      <c r="Q223" s="7"/>
      <c r="R223" s="8"/>
      <c r="S223" s="7"/>
      <c r="T223" s="9"/>
      <c r="U223" s="7"/>
      <c r="V223" s="8"/>
      <c r="W223" s="7"/>
      <c r="X223" s="7"/>
      <c r="Y223" s="8"/>
      <c r="Z223" s="7"/>
      <c r="AA223" s="8"/>
    </row>
    <row r="224" spans="4:27" ht="14.25" thickTop="1" thickBot="1">
      <c r="D224" s="69"/>
      <c r="E224" s="54" t="s">
        <v>515</v>
      </c>
      <c r="F224" s="7"/>
      <c r="G224" s="8"/>
      <c r="H224" s="7"/>
      <c r="I224" s="6"/>
      <c r="J224" s="7"/>
      <c r="K224" s="8"/>
      <c r="L224" s="7"/>
      <c r="M224" s="8"/>
      <c r="N224" s="7"/>
      <c r="O224" s="8"/>
      <c r="P224" s="7"/>
      <c r="Q224" s="7"/>
      <c r="R224" s="8"/>
      <c r="S224" s="7"/>
      <c r="T224" s="9"/>
      <c r="U224" s="7"/>
      <c r="V224" s="8"/>
      <c r="W224" s="7"/>
      <c r="X224" s="7"/>
      <c r="Y224" s="8"/>
      <c r="Z224" s="7"/>
      <c r="AA224" s="8"/>
    </row>
    <row r="225" spans="4:27" ht="14.25" thickTop="1" thickBot="1">
      <c r="D225" s="69"/>
      <c r="E225" s="54" t="s">
        <v>898</v>
      </c>
      <c r="F225" s="7"/>
      <c r="G225" s="8"/>
      <c r="H225" s="7"/>
      <c r="I225" s="6"/>
      <c r="J225" s="7"/>
      <c r="K225" s="8"/>
      <c r="L225" s="7"/>
      <c r="M225" s="8"/>
      <c r="N225" s="7"/>
      <c r="O225" s="8"/>
      <c r="P225" s="7"/>
      <c r="Q225" s="7"/>
      <c r="R225" s="8"/>
      <c r="S225" s="7"/>
      <c r="T225" s="9"/>
      <c r="U225" s="7"/>
      <c r="V225" s="8"/>
      <c r="W225" s="7"/>
      <c r="X225" s="7"/>
      <c r="Y225" s="8"/>
      <c r="Z225" s="7"/>
      <c r="AA225" s="8"/>
    </row>
    <row r="226" spans="4:27" ht="14.25" thickTop="1" thickBot="1">
      <c r="D226" s="69"/>
      <c r="E226" s="54" t="s">
        <v>493</v>
      </c>
      <c r="F226" s="7"/>
      <c r="G226" s="8"/>
      <c r="H226" s="7"/>
      <c r="I226" s="6"/>
      <c r="J226" s="7"/>
      <c r="K226" s="8"/>
      <c r="L226" s="7"/>
      <c r="M226" s="8"/>
      <c r="N226" s="7"/>
      <c r="O226" s="8"/>
      <c r="P226" s="7"/>
      <c r="Q226" s="7"/>
      <c r="R226" s="8"/>
      <c r="S226" s="7"/>
      <c r="T226" s="9"/>
      <c r="U226" s="7"/>
      <c r="V226" s="8"/>
      <c r="W226" s="7"/>
      <c r="X226" s="7"/>
      <c r="Y226" s="8"/>
      <c r="Z226" s="7"/>
      <c r="AA226" s="8"/>
    </row>
    <row r="227" spans="4:27" ht="14.25" thickTop="1" thickBot="1">
      <c r="D227" s="69"/>
      <c r="E227" s="54" t="s">
        <v>925</v>
      </c>
      <c r="F227" s="7"/>
      <c r="G227" s="8"/>
      <c r="H227" s="7"/>
      <c r="I227" s="6"/>
      <c r="J227" s="7"/>
      <c r="K227" s="8"/>
      <c r="L227" s="7"/>
      <c r="M227" s="8"/>
      <c r="N227" s="7"/>
      <c r="O227" s="8"/>
      <c r="P227" s="7"/>
      <c r="Q227" s="7"/>
      <c r="R227" s="8"/>
      <c r="S227" s="7"/>
      <c r="T227" s="9"/>
      <c r="U227" s="7"/>
      <c r="V227" s="8"/>
      <c r="W227" s="7"/>
      <c r="X227" s="7"/>
      <c r="Y227" s="8"/>
      <c r="Z227" s="7"/>
      <c r="AA227" s="8"/>
    </row>
    <row r="228" spans="4:27" ht="14.25" thickTop="1" thickBot="1">
      <c r="D228" s="69"/>
      <c r="E228" s="54" t="s">
        <v>507</v>
      </c>
      <c r="F228" s="7"/>
      <c r="G228" s="8"/>
      <c r="H228" s="7"/>
      <c r="I228" s="6"/>
      <c r="J228" s="7"/>
      <c r="K228" s="8"/>
      <c r="L228" s="7"/>
      <c r="M228" s="8"/>
      <c r="N228" s="7"/>
      <c r="O228" s="8"/>
      <c r="P228" s="7"/>
      <c r="Q228" s="7"/>
      <c r="R228" s="8"/>
      <c r="S228" s="7"/>
      <c r="T228" s="9"/>
      <c r="U228" s="7"/>
      <c r="V228" s="8"/>
      <c r="W228" s="7"/>
      <c r="X228" s="7"/>
      <c r="Y228" s="8"/>
      <c r="Z228" s="7"/>
      <c r="AA228" s="8"/>
    </row>
    <row r="229" spans="4:27" ht="14.25" thickTop="1" thickBot="1">
      <c r="D229" s="69"/>
      <c r="E229" s="54" t="s">
        <v>511</v>
      </c>
      <c r="F229" s="7"/>
      <c r="G229" s="8"/>
      <c r="H229" s="7"/>
      <c r="I229" s="6"/>
      <c r="J229" s="7"/>
      <c r="K229" s="8"/>
      <c r="L229" s="7"/>
      <c r="M229" s="8"/>
      <c r="N229" s="7"/>
      <c r="O229" s="8"/>
      <c r="P229" s="7"/>
      <c r="Q229" s="7"/>
      <c r="R229" s="8"/>
      <c r="S229" s="7"/>
      <c r="T229" s="9"/>
      <c r="U229" s="7"/>
      <c r="V229" s="8"/>
      <c r="W229" s="7"/>
      <c r="X229" s="7"/>
      <c r="Y229" s="8"/>
      <c r="Z229" s="7"/>
      <c r="AA229" s="8"/>
    </row>
    <row r="230" spans="4:27" ht="14.25" thickTop="1" thickBot="1">
      <c r="D230" s="69"/>
      <c r="E230" s="54" t="s">
        <v>539</v>
      </c>
      <c r="F230" s="7"/>
      <c r="G230" s="8"/>
      <c r="H230" s="7"/>
      <c r="I230" s="6"/>
      <c r="J230" s="7"/>
      <c r="K230" s="8"/>
      <c r="L230" s="7"/>
      <c r="M230" s="8"/>
      <c r="N230" s="7"/>
      <c r="O230" s="8"/>
      <c r="P230" s="7"/>
      <c r="Q230" s="7"/>
      <c r="R230" s="8"/>
      <c r="S230" s="7"/>
      <c r="T230" s="9"/>
      <c r="U230" s="7"/>
      <c r="V230" s="8"/>
      <c r="W230" s="7"/>
      <c r="X230" s="7"/>
      <c r="Y230" s="8"/>
      <c r="Z230" s="7"/>
      <c r="AA230" s="8"/>
    </row>
    <row r="231" spans="4:27" ht="14.25" thickTop="1" thickBot="1">
      <c r="D231" s="69"/>
      <c r="E231" s="54" t="s">
        <v>524</v>
      </c>
      <c r="F231" s="7"/>
      <c r="G231" s="8"/>
      <c r="H231" s="7"/>
      <c r="I231" s="6"/>
      <c r="J231" s="7"/>
      <c r="K231" s="8"/>
      <c r="L231" s="7"/>
      <c r="M231" s="8"/>
      <c r="N231" s="7"/>
      <c r="O231" s="8"/>
      <c r="P231" s="7"/>
      <c r="Q231" s="7"/>
      <c r="R231" s="8"/>
      <c r="S231" s="7"/>
      <c r="T231" s="9"/>
      <c r="U231" s="7"/>
      <c r="V231" s="8"/>
      <c r="W231" s="7"/>
      <c r="X231" s="7"/>
      <c r="Y231" s="8"/>
      <c r="Z231" s="7"/>
      <c r="AA231" s="8"/>
    </row>
    <row r="232" spans="4:27" ht="14.25" thickTop="1" thickBot="1">
      <c r="D232" s="69"/>
      <c r="E232" s="54" t="s">
        <v>928</v>
      </c>
      <c r="F232" s="7"/>
      <c r="G232" s="8"/>
      <c r="H232" s="7"/>
      <c r="I232" s="6"/>
      <c r="J232" s="7"/>
      <c r="K232" s="8"/>
      <c r="L232" s="7"/>
      <c r="M232" s="8"/>
      <c r="N232" s="7"/>
      <c r="O232" s="8"/>
      <c r="P232" s="7"/>
      <c r="Q232" s="7"/>
      <c r="R232" s="8"/>
      <c r="S232" s="7"/>
      <c r="T232" s="9"/>
      <c r="U232" s="7"/>
      <c r="V232" s="8"/>
      <c r="W232" s="7"/>
      <c r="X232" s="7"/>
      <c r="Y232" s="8"/>
      <c r="Z232" s="7"/>
      <c r="AA232" s="8"/>
    </row>
    <row r="233" spans="4:27" ht="14.25" thickTop="1" thickBot="1">
      <c r="D233" s="69"/>
      <c r="E233" s="54" t="s">
        <v>901</v>
      </c>
      <c r="F233" s="7"/>
      <c r="G233" s="8"/>
      <c r="H233" s="7"/>
      <c r="I233" s="6"/>
      <c r="J233" s="7"/>
      <c r="K233" s="8"/>
      <c r="L233" s="7"/>
      <c r="M233" s="8"/>
      <c r="N233" s="7"/>
      <c r="O233" s="8"/>
      <c r="P233" s="7"/>
      <c r="Q233" s="7"/>
      <c r="R233" s="8"/>
      <c r="S233" s="7"/>
      <c r="T233" s="9"/>
      <c r="U233" s="7"/>
      <c r="V233" s="8"/>
      <c r="W233" s="7"/>
      <c r="X233" s="7"/>
      <c r="Y233" s="8"/>
      <c r="Z233" s="7"/>
      <c r="AA233" s="8"/>
    </row>
    <row r="234" spans="4:27" ht="14.25" thickTop="1" thickBot="1">
      <c r="D234" s="69"/>
      <c r="E234" s="54" t="s">
        <v>509</v>
      </c>
      <c r="F234" s="7"/>
      <c r="G234" s="8"/>
      <c r="H234" s="7"/>
      <c r="I234" s="6"/>
      <c r="J234" s="7"/>
      <c r="K234" s="8"/>
      <c r="L234" s="7"/>
      <c r="M234" s="8"/>
      <c r="N234" s="7"/>
      <c r="O234" s="8"/>
      <c r="P234" s="7"/>
      <c r="Q234" s="7"/>
      <c r="R234" s="8"/>
      <c r="S234" s="7"/>
      <c r="T234" s="9"/>
      <c r="U234" s="7"/>
      <c r="V234" s="8"/>
      <c r="W234" s="7"/>
      <c r="X234" s="7"/>
      <c r="Y234" s="8"/>
      <c r="Z234" s="7"/>
      <c r="AA234" s="8"/>
    </row>
    <row r="235" spans="4:27" ht="14.25" thickTop="1" thickBot="1">
      <c r="D235" s="69"/>
      <c r="E235" s="54" t="s">
        <v>514</v>
      </c>
      <c r="F235" s="7"/>
      <c r="G235" s="8"/>
      <c r="H235" s="7"/>
      <c r="I235" s="6"/>
      <c r="J235" s="7"/>
      <c r="K235" s="8"/>
      <c r="L235" s="7"/>
      <c r="M235" s="8"/>
      <c r="N235" s="7"/>
      <c r="O235" s="8"/>
      <c r="P235" s="7"/>
      <c r="Q235" s="7"/>
      <c r="R235" s="8"/>
      <c r="S235" s="7"/>
      <c r="T235" s="9"/>
      <c r="U235" s="7"/>
      <c r="V235" s="8"/>
      <c r="W235" s="7"/>
      <c r="X235" s="7"/>
      <c r="Y235" s="8"/>
      <c r="Z235" s="7"/>
      <c r="AA235" s="8"/>
    </row>
    <row r="236" spans="4:27" ht="14.25" thickTop="1" thickBot="1">
      <c r="D236" s="69"/>
      <c r="E236" s="54" t="s">
        <v>466</v>
      </c>
      <c r="F236" s="7"/>
      <c r="G236" s="8"/>
      <c r="H236" s="7"/>
      <c r="I236" s="6"/>
      <c r="J236" s="7"/>
      <c r="K236" s="8"/>
      <c r="L236" s="7"/>
      <c r="M236" s="8"/>
      <c r="N236" s="7"/>
      <c r="O236" s="8"/>
      <c r="P236" s="7"/>
      <c r="Q236" s="7"/>
      <c r="R236" s="8"/>
      <c r="S236" s="7"/>
      <c r="T236" s="9"/>
      <c r="U236" s="7"/>
      <c r="V236" s="8"/>
      <c r="W236" s="7"/>
      <c r="X236" s="7"/>
      <c r="Y236" s="8"/>
      <c r="Z236" s="7"/>
      <c r="AA236" s="8"/>
    </row>
    <row r="237" spans="4:27" ht="14.25" thickTop="1" thickBot="1">
      <c r="D237" s="69"/>
      <c r="E237" s="54" t="s">
        <v>467</v>
      </c>
      <c r="F237" s="7"/>
      <c r="G237" s="8"/>
      <c r="H237" s="7"/>
      <c r="I237" s="6"/>
      <c r="J237" s="7"/>
      <c r="K237" s="8"/>
      <c r="L237" s="7"/>
      <c r="M237" s="8"/>
      <c r="N237" s="7"/>
      <c r="O237" s="8"/>
      <c r="P237" s="7"/>
      <c r="Q237" s="7"/>
      <c r="R237" s="8"/>
      <c r="S237" s="7"/>
      <c r="T237" s="9"/>
      <c r="U237" s="7"/>
      <c r="V237" s="8"/>
      <c r="W237" s="7"/>
      <c r="X237" s="7"/>
      <c r="Y237" s="8"/>
      <c r="Z237" s="7"/>
      <c r="AA237" s="8"/>
    </row>
    <row r="238" spans="4:27" ht="14.25" thickTop="1" thickBot="1">
      <c r="D238" s="69"/>
      <c r="E238" s="54" t="s">
        <v>431</v>
      </c>
      <c r="F238" s="7"/>
      <c r="G238" s="8"/>
      <c r="H238" s="7"/>
      <c r="I238" s="6"/>
      <c r="J238" s="7"/>
      <c r="K238" s="8"/>
      <c r="L238" s="7"/>
      <c r="M238" s="8"/>
      <c r="N238" s="7"/>
      <c r="O238" s="8"/>
      <c r="P238" s="7"/>
      <c r="Q238" s="7"/>
      <c r="R238" s="8"/>
      <c r="S238" s="7"/>
      <c r="T238" s="9"/>
      <c r="U238" s="7"/>
      <c r="V238" s="8"/>
      <c r="W238" s="7"/>
      <c r="X238" s="7"/>
      <c r="Y238" s="8"/>
      <c r="Z238" s="7"/>
      <c r="AA238" s="8"/>
    </row>
    <row r="239" spans="4:27" ht="14.25" thickTop="1" thickBot="1">
      <c r="D239" s="69"/>
      <c r="E239" s="54" t="s">
        <v>854</v>
      </c>
      <c r="F239" s="7"/>
      <c r="G239" s="8"/>
      <c r="H239" s="7"/>
      <c r="I239" s="6"/>
      <c r="J239" s="7"/>
      <c r="K239" s="8"/>
      <c r="L239" s="7"/>
      <c r="M239" s="8"/>
      <c r="N239" s="7"/>
      <c r="O239" s="8"/>
      <c r="P239" s="7"/>
      <c r="Q239" s="7"/>
      <c r="R239" s="8"/>
      <c r="S239" s="7"/>
      <c r="T239" s="9"/>
      <c r="U239" s="7"/>
      <c r="V239" s="8"/>
      <c r="W239" s="7"/>
      <c r="X239" s="7"/>
      <c r="Y239" s="8"/>
      <c r="Z239" s="7"/>
      <c r="AA239" s="8"/>
    </row>
    <row r="240" spans="4:27" ht="14.25" thickTop="1" thickBot="1">
      <c r="D240" s="69"/>
      <c r="E240" s="54" t="s">
        <v>879</v>
      </c>
      <c r="F240" s="7"/>
      <c r="G240" s="8"/>
      <c r="H240" s="7"/>
      <c r="I240" s="6"/>
      <c r="J240" s="7"/>
      <c r="K240" s="8"/>
      <c r="L240" s="7"/>
      <c r="M240" s="8"/>
      <c r="N240" s="7"/>
      <c r="O240" s="8"/>
      <c r="P240" s="7"/>
      <c r="Q240" s="7"/>
      <c r="R240" s="8"/>
      <c r="S240" s="7"/>
      <c r="T240" s="9"/>
      <c r="U240" s="7"/>
      <c r="V240" s="8"/>
      <c r="W240" s="7"/>
      <c r="X240" s="7"/>
      <c r="Y240" s="8"/>
      <c r="Z240" s="7"/>
      <c r="AA240" s="8"/>
    </row>
    <row r="241" spans="4:27" ht="14.25" thickTop="1" thickBot="1">
      <c r="D241" s="69"/>
      <c r="E241" s="54" t="s">
        <v>1107</v>
      </c>
      <c r="F241" s="7"/>
      <c r="G241" s="8"/>
      <c r="H241" s="7"/>
      <c r="I241" s="6"/>
      <c r="J241" s="7"/>
      <c r="K241" s="8"/>
      <c r="L241" s="7"/>
      <c r="M241" s="8"/>
      <c r="N241" s="7"/>
      <c r="O241" s="8"/>
      <c r="P241" s="7"/>
      <c r="Q241" s="7"/>
      <c r="R241" s="8"/>
      <c r="S241" s="7"/>
      <c r="T241" s="9"/>
      <c r="U241" s="7"/>
      <c r="V241" s="8"/>
      <c r="W241" s="7"/>
      <c r="X241" s="7"/>
      <c r="Y241" s="8"/>
      <c r="Z241" s="7"/>
      <c r="AA241" s="8"/>
    </row>
    <row r="242" spans="4:27" ht="14.25" thickTop="1" thickBot="1">
      <c r="D242" s="69"/>
      <c r="E242" s="54" t="s">
        <v>442</v>
      </c>
      <c r="F242" s="7"/>
      <c r="G242" s="8"/>
      <c r="H242" s="7"/>
      <c r="I242" s="6"/>
      <c r="J242" s="7"/>
      <c r="K242" s="8"/>
      <c r="L242" s="7"/>
      <c r="M242" s="8"/>
      <c r="N242" s="7"/>
      <c r="O242" s="8"/>
      <c r="P242" s="7"/>
      <c r="Q242" s="7"/>
      <c r="R242" s="8"/>
      <c r="S242" s="7"/>
      <c r="T242" s="9"/>
      <c r="U242" s="7"/>
      <c r="V242" s="8"/>
      <c r="W242" s="7"/>
      <c r="X242" s="7"/>
      <c r="Y242" s="8"/>
      <c r="Z242" s="7"/>
      <c r="AA242" s="8"/>
    </row>
    <row r="243" spans="4:27" ht="14.25" thickTop="1" thickBot="1">
      <c r="D243" s="69"/>
      <c r="E243" s="54" t="s">
        <v>316</v>
      </c>
      <c r="F243" s="7"/>
      <c r="G243" s="8"/>
      <c r="H243" s="7"/>
      <c r="I243" s="6"/>
      <c r="J243" s="7"/>
      <c r="K243" s="8"/>
      <c r="L243" s="7"/>
      <c r="M243" s="8"/>
      <c r="N243" s="7"/>
      <c r="O243" s="8"/>
      <c r="P243" s="7"/>
      <c r="Q243" s="7"/>
      <c r="R243" s="8"/>
      <c r="S243" s="7"/>
      <c r="T243" s="9"/>
      <c r="U243" s="7"/>
      <c r="V243" s="8"/>
      <c r="W243" s="7"/>
      <c r="X243" s="7"/>
      <c r="Y243" s="8"/>
      <c r="Z243" s="7"/>
      <c r="AA243" s="8"/>
    </row>
    <row r="244" spans="4:27" ht="14.25" thickTop="1" thickBot="1">
      <c r="D244" s="69"/>
      <c r="E244" s="54" t="s">
        <v>461</v>
      </c>
      <c r="F244" s="7"/>
      <c r="G244" s="8"/>
      <c r="H244" s="7"/>
      <c r="I244" s="6"/>
      <c r="J244" s="7"/>
      <c r="K244" s="8"/>
      <c r="L244" s="7"/>
      <c r="M244" s="8"/>
      <c r="N244" s="7"/>
      <c r="O244" s="8"/>
      <c r="P244" s="7"/>
      <c r="Q244" s="7"/>
      <c r="R244" s="8"/>
      <c r="S244" s="7"/>
      <c r="T244" s="9"/>
      <c r="U244" s="7"/>
      <c r="V244" s="8"/>
      <c r="W244" s="7"/>
      <c r="X244" s="7"/>
      <c r="Y244" s="8"/>
      <c r="Z244" s="7"/>
      <c r="AA244" s="8"/>
    </row>
    <row r="245" spans="4:27" ht="14.25" thickTop="1" thickBot="1">
      <c r="D245" s="69"/>
      <c r="E245" s="54" t="s">
        <v>878</v>
      </c>
      <c r="F245" s="7"/>
      <c r="G245" s="8"/>
      <c r="H245" s="7"/>
      <c r="I245" s="6"/>
      <c r="J245" s="7"/>
      <c r="K245" s="8"/>
      <c r="L245" s="7"/>
      <c r="M245" s="8"/>
      <c r="N245" s="7"/>
      <c r="O245" s="8"/>
      <c r="P245" s="7"/>
      <c r="Q245" s="7"/>
      <c r="R245" s="8"/>
      <c r="S245" s="7"/>
      <c r="T245" s="9"/>
      <c r="U245" s="7"/>
      <c r="V245" s="8"/>
      <c r="W245" s="7"/>
      <c r="X245" s="7"/>
      <c r="Y245" s="8"/>
      <c r="Z245" s="7"/>
      <c r="AA245" s="8"/>
    </row>
    <row r="246" spans="4:27" ht="14.25" thickTop="1" thickBot="1">
      <c r="D246" s="69"/>
      <c r="E246" s="54" t="s">
        <v>880</v>
      </c>
      <c r="F246" s="7"/>
      <c r="G246" s="8"/>
      <c r="H246" s="7"/>
      <c r="I246" s="6"/>
      <c r="J246" s="7"/>
      <c r="K246" s="8"/>
      <c r="L246" s="7"/>
      <c r="M246" s="8"/>
      <c r="N246" s="7"/>
      <c r="O246" s="8"/>
      <c r="P246" s="7"/>
      <c r="Q246" s="7"/>
      <c r="R246" s="8"/>
      <c r="S246" s="7"/>
      <c r="T246" s="9"/>
      <c r="U246" s="7"/>
      <c r="V246" s="8"/>
      <c r="W246" s="7"/>
      <c r="X246" s="7"/>
      <c r="Y246" s="8"/>
      <c r="Z246" s="7"/>
      <c r="AA246" s="8"/>
    </row>
    <row r="247" spans="4:27" ht="14.25" thickTop="1" thickBot="1">
      <c r="D247" s="69"/>
      <c r="E247" s="54" t="s">
        <v>468</v>
      </c>
      <c r="F247" s="7"/>
      <c r="G247" s="8"/>
      <c r="H247" s="7"/>
      <c r="I247" s="6"/>
      <c r="J247" s="7"/>
      <c r="K247" s="8"/>
      <c r="L247" s="7"/>
      <c r="M247" s="8"/>
      <c r="N247" s="7"/>
      <c r="O247" s="8"/>
      <c r="P247" s="7"/>
      <c r="Q247" s="7"/>
      <c r="R247" s="8"/>
      <c r="S247" s="7"/>
      <c r="T247" s="9"/>
      <c r="U247" s="7"/>
      <c r="V247" s="8"/>
      <c r="W247" s="7"/>
      <c r="X247" s="7"/>
      <c r="Y247" s="8"/>
      <c r="Z247" s="7"/>
      <c r="AA247" s="8"/>
    </row>
    <row r="248" spans="4:27" ht="14.25" thickTop="1" thickBot="1">
      <c r="D248" s="69"/>
      <c r="E248" s="54" t="s">
        <v>883</v>
      </c>
      <c r="F248" s="7"/>
      <c r="G248" s="8"/>
      <c r="H248" s="7"/>
      <c r="I248" s="6"/>
      <c r="J248" s="7"/>
      <c r="K248" s="8"/>
      <c r="L248" s="7"/>
      <c r="M248" s="8"/>
      <c r="N248" s="7"/>
      <c r="O248" s="8"/>
      <c r="P248" s="7"/>
      <c r="Q248" s="7"/>
      <c r="R248" s="8"/>
      <c r="S248" s="7"/>
      <c r="T248" s="9"/>
      <c r="U248" s="7"/>
      <c r="V248" s="8"/>
      <c r="W248" s="7"/>
      <c r="X248" s="7"/>
      <c r="Y248" s="8"/>
      <c r="Z248" s="7"/>
      <c r="AA248" s="8"/>
    </row>
    <row r="249" spans="4:27" ht="14.25" thickTop="1" thickBot="1">
      <c r="D249" s="69"/>
      <c r="E249" s="54" t="s">
        <v>465</v>
      </c>
      <c r="F249" s="7"/>
      <c r="G249" s="8"/>
      <c r="H249" s="7"/>
      <c r="I249" s="6"/>
      <c r="J249" s="7"/>
      <c r="K249" s="8"/>
      <c r="L249" s="7"/>
      <c r="M249" s="8"/>
      <c r="N249" s="7"/>
      <c r="O249" s="8"/>
      <c r="P249" s="7"/>
      <c r="Q249" s="7"/>
      <c r="R249" s="8"/>
      <c r="S249" s="7"/>
      <c r="T249" s="9"/>
      <c r="U249" s="7"/>
      <c r="V249" s="8"/>
      <c r="W249" s="7"/>
      <c r="X249" s="7"/>
      <c r="Y249" s="8"/>
      <c r="Z249" s="7"/>
      <c r="AA249" s="8"/>
    </row>
    <row r="250" spans="4:27" ht="14.25" thickTop="1" thickBot="1">
      <c r="D250" s="69"/>
      <c r="E250" s="54" t="s">
        <v>463</v>
      </c>
      <c r="F250" s="7"/>
      <c r="G250" s="8"/>
      <c r="H250" s="7"/>
      <c r="I250" s="6"/>
      <c r="J250" s="7"/>
      <c r="K250" s="8"/>
      <c r="L250" s="7"/>
      <c r="M250" s="8"/>
      <c r="N250" s="7"/>
      <c r="O250" s="8"/>
      <c r="P250" s="7"/>
      <c r="Q250" s="7"/>
      <c r="R250" s="8"/>
      <c r="S250" s="7"/>
      <c r="T250" s="9"/>
      <c r="U250" s="7"/>
      <c r="V250" s="8"/>
      <c r="W250" s="7"/>
      <c r="X250" s="7"/>
      <c r="Y250" s="8"/>
      <c r="Z250" s="7"/>
      <c r="AA250" s="8"/>
    </row>
    <row r="251" spans="4:27" ht="14.25" thickTop="1" thickBot="1">
      <c r="D251" s="69"/>
      <c r="E251" s="54" t="s">
        <v>460</v>
      </c>
      <c r="F251" s="7"/>
      <c r="G251" s="8"/>
      <c r="H251" s="7"/>
      <c r="I251" s="6"/>
      <c r="J251" s="7"/>
      <c r="K251" s="8"/>
      <c r="L251" s="7"/>
      <c r="M251" s="8"/>
      <c r="N251" s="7"/>
      <c r="O251" s="8"/>
      <c r="P251" s="7"/>
      <c r="Q251" s="7"/>
      <c r="R251" s="8"/>
      <c r="S251" s="7"/>
      <c r="T251" s="9"/>
      <c r="U251" s="7"/>
      <c r="V251" s="8"/>
      <c r="W251" s="7"/>
      <c r="X251" s="7"/>
      <c r="Y251" s="8"/>
      <c r="Z251" s="7"/>
      <c r="AA251" s="8"/>
    </row>
    <row r="252" spans="4:27" ht="14.25" thickTop="1" thickBot="1">
      <c r="D252" s="69"/>
      <c r="E252" s="54" t="s">
        <v>459</v>
      </c>
      <c r="F252" s="7"/>
      <c r="G252" s="8"/>
      <c r="H252" s="7"/>
      <c r="I252" s="6"/>
      <c r="J252" s="7"/>
      <c r="K252" s="8"/>
      <c r="L252" s="7"/>
      <c r="M252" s="8"/>
      <c r="N252" s="7"/>
      <c r="O252" s="8"/>
      <c r="P252" s="7"/>
      <c r="Q252" s="7"/>
      <c r="R252" s="8"/>
      <c r="S252" s="7"/>
      <c r="T252" s="9"/>
      <c r="U252" s="7"/>
      <c r="V252" s="8"/>
      <c r="W252" s="7"/>
      <c r="X252" s="7"/>
      <c r="Y252" s="8"/>
      <c r="Z252" s="7"/>
      <c r="AA252" s="8"/>
    </row>
    <row r="253" spans="4:27" ht="14.25" thickTop="1" thickBot="1">
      <c r="D253" s="69"/>
      <c r="E253" s="54" t="s">
        <v>454</v>
      </c>
      <c r="F253" s="7"/>
      <c r="G253" s="8"/>
      <c r="H253" s="7"/>
      <c r="I253" s="6"/>
      <c r="J253" s="7"/>
      <c r="K253" s="8"/>
      <c r="L253" s="7"/>
      <c r="M253" s="8"/>
      <c r="N253" s="7"/>
      <c r="O253" s="8"/>
      <c r="P253" s="7"/>
      <c r="Q253" s="7"/>
      <c r="R253" s="8"/>
      <c r="S253" s="7"/>
      <c r="T253" s="9"/>
      <c r="U253" s="7"/>
      <c r="V253" s="8"/>
      <c r="W253" s="7"/>
      <c r="X253" s="7"/>
      <c r="Y253" s="8"/>
      <c r="Z253" s="7"/>
      <c r="AA253" s="8"/>
    </row>
    <row r="254" spans="4:27" ht="14.25" thickTop="1" thickBot="1">
      <c r="D254" s="69"/>
      <c r="E254" s="54" t="s">
        <v>884</v>
      </c>
      <c r="F254" s="7"/>
      <c r="G254" s="8"/>
      <c r="H254" s="7"/>
      <c r="I254" s="6"/>
      <c r="J254" s="7"/>
      <c r="K254" s="8"/>
      <c r="L254" s="7"/>
      <c r="M254" s="8"/>
      <c r="N254" s="7"/>
      <c r="O254" s="8"/>
      <c r="P254" s="7"/>
      <c r="Q254" s="7"/>
      <c r="R254" s="8"/>
      <c r="S254" s="7"/>
      <c r="T254" s="9"/>
      <c r="U254" s="7"/>
      <c r="V254" s="8"/>
      <c r="W254" s="7"/>
      <c r="X254" s="7"/>
      <c r="Y254" s="8"/>
      <c r="Z254" s="7"/>
      <c r="AA254" s="8"/>
    </row>
    <row r="255" spans="4:27" ht="14.25" thickTop="1" thickBot="1">
      <c r="D255" s="69"/>
      <c r="E255" s="54" t="s">
        <v>882</v>
      </c>
      <c r="F255" s="7"/>
      <c r="G255" s="8"/>
      <c r="H255" s="7"/>
      <c r="I255" s="6"/>
      <c r="J255" s="7"/>
      <c r="K255" s="8"/>
      <c r="L255" s="7"/>
      <c r="M255" s="8"/>
      <c r="N255" s="7"/>
      <c r="O255" s="8"/>
      <c r="P255" s="7"/>
      <c r="Q255" s="7"/>
      <c r="R255" s="8"/>
      <c r="S255" s="7"/>
      <c r="T255" s="9"/>
      <c r="U255" s="7"/>
      <c r="V255" s="8"/>
      <c r="W255" s="7"/>
      <c r="X255" s="7"/>
      <c r="Y255" s="8"/>
      <c r="Z255" s="7"/>
      <c r="AA255" s="8"/>
    </row>
    <row r="256" spans="4:27" ht="14.25" thickTop="1" thickBot="1">
      <c r="D256" s="69"/>
      <c r="E256" s="54" t="s">
        <v>859</v>
      </c>
      <c r="F256" s="7"/>
      <c r="G256" s="8"/>
      <c r="H256" s="7"/>
      <c r="I256" s="6"/>
      <c r="J256" s="7"/>
      <c r="K256" s="8"/>
      <c r="L256" s="7"/>
      <c r="M256" s="8"/>
      <c r="N256" s="7"/>
      <c r="O256" s="8"/>
      <c r="P256" s="7"/>
      <c r="Q256" s="7"/>
      <c r="R256" s="8"/>
      <c r="S256" s="7"/>
      <c r="T256" s="9"/>
      <c r="U256" s="7"/>
      <c r="V256" s="8"/>
      <c r="W256" s="7"/>
      <c r="X256" s="7"/>
      <c r="Y256" s="8"/>
      <c r="Z256" s="7"/>
      <c r="AA256" s="8"/>
    </row>
    <row r="257" spans="4:27" ht="14.25" thickTop="1" thickBot="1">
      <c r="D257" s="69"/>
      <c r="E257" s="54" t="s">
        <v>853</v>
      </c>
      <c r="F257" s="7"/>
      <c r="G257" s="8"/>
      <c r="H257" s="7"/>
      <c r="I257" s="6"/>
      <c r="J257" s="7"/>
      <c r="K257" s="8"/>
      <c r="L257" s="7"/>
      <c r="M257" s="8"/>
      <c r="N257" s="7"/>
      <c r="O257" s="8"/>
      <c r="P257" s="7"/>
      <c r="Q257" s="7"/>
      <c r="R257" s="8"/>
      <c r="S257" s="7"/>
      <c r="T257" s="9"/>
      <c r="U257" s="7"/>
      <c r="V257" s="8"/>
      <c r="W257" s="7"/>
      <c r="X257" s="7"/>
      <c r="Y257" s="8"/>
      <c r="Z257" s="7"/>
      <c r="AA257" s="8"/>
    </row>
    <row r="258" spans="4:27" ht="14.25" thickTop="1" thickBot="1">
      <c r="D258" s="69"/>
      <c r="E258" s="54" t="s">
        <v>855</v>
      </c>
      <c r="F258" s="7"/>
      <c r="G258" s="8"/>
      <c r="H258" s="7"/>
      <c r="I258" s="6"/>
      <c r="J258" s="7"/>
      <c r="K258" s="8"/>
      <c r="L258" s="7"/>
      <c r="M258" s="8"/>
      <c r="N258" s="7"/>
      <c r="O258" s="8"/>
      <c r="P258" s="7"/>
      <c r="Q258" s="7"/>
      <c r="R258" s="8"/>
      <c r="S258" s="7"/>
      <c r="T258" s="9"/>
      <c r="U258" s="7"/>
      <c r="V258" s="8"/>
      <c r="W258" s="7"/>
      <c r="X258" s="7"/>
      <c r="Y258" s="8"/>
      <c r="Z258" s="7"/>
      <c r="AA258" s="8"/>
    </row>
    <row r="259" spans="4:27" ht="14.25" thickTop="1" thickBot="1">
      <c r="D259" s="69"/>
      <c r="E259" s="54" t="s">
        <v>856</v>
      </c>
      <c r="F259" s="7"/>
      <c r="G259" s="8"/>
      <c r="H259" s="7"/>
      <c r="I259" s="6"/>
      <c r="J259" s="7"/>
      <c r="K259" s="8"/>
      <c r="L259" s="7"/>
      <c r="M259" s="8"/>
      <c r="N259" s="7"/>
      <c r="O259" s="8"/>
      <c r="P259" s="7"/>
      <c r="Q259" s="7"/>
      <c r="R259" s="8"/>
      <c r="S259" s="7"/>
      <c r="T259" s="9"/>
      <c r="U259" s="7"/>
      <c r="V259" s="8"/>
      <c r="W259" s="7"/>
      <c r="X259" s="7"/>
      <c r="Y259" s="8"/>
      <c r="Z259" s="7"/>
      <c r="AA259" s="8"/>
    </row>
    <row r="260" spans="4:27" ht="14.25" thickTop="1" thickBot="1">
      <c r="D260" s="69"/>
      <c r="E260" s="54" t="s">
        <v>887</v>
      </c>
      <c r="F260" s="7"/>
      <c r="G260" s="8"/>
      <c r="H260" s="7"/>
      <c r="I260" s="6"/>
      <c r="J260" s="7"/>
      <c r="K260" s="8"/>
      <c r="L260" s="7"/>
      <c r="M260" s="8"/>
      <c r="N260" s="7"/>
      <c r="O260" s="8"/>
      <c r="P260" s="7"/>
      <c r="Q260" s="7"/>
      <c r="R260" s="8"/>
      <c r="S260" s="7"/>
      <c r="T260" s="9"/>
      <c r="U260" s="7"/>
      <c r="V260" s="8"/>
      <c r="W260" s="7"/>
      <c r="X260" s="7"/>
      <c r="Y260" s="8"/>
      <c r="Z260" s="7"/>
      <c r="AA260" s="8"/>
    </row>
    <row r="261" spans="4:27" ht="14.25" thickTop="1" thickBot="1">
      <c r="D261" s="69"/>
      <c r="E261" s="54" t="s">
        <v>857</v>
      </c>
      <c r="F261" s="7"/>
      <c r="G261" s="8"/>
      <c r="H261" s="7"/>
      <c r="I261" s="6"/>
      <c r="J261" s="7"/>
      <c r="K261" s="8"/>
      <c r="L261" s="7"/>
      <c r="M261" s="8"/>
      <c r="N261" s="7"/>
      <c r="O261" s="8"/>
      <c r="P261" s="7"/>
      <c r="Q261" s="7"/>
      <c r="R261" s="8"/>
      <c r="S261" s="7"/>
      <c r="T261" s="9"/>
      <c r="U261" s="7"/>
      <c r="V261" s="8"/>
      <c r="W261" s="7"/>
      <c r="X261" s="7"/>
      <c r="Y261" s="8"/>
      <c r="Z261" s="7"/>
      <c r="AA261" s="8"/>
    </row>
    <row r="262" spans="4:27" ht="14.25" thickTop="1" thickBot="1">
      <c r="D262" s="69"/>
      <c r="E262" s="54" t="s">
        <v>858</v>
      </c>
      <c r="F262" s="7"/>
      <c r="G262" s="8"/>
      <c r="H262" s="7"/>
      <c r="I262" s="6"/>
      <c r="J262" s="7"/>
      <c r="K262" s="8"/>
      <c r="L262" s="7"/>
      <c r="M262" s="8"/>
      <c r="N262" s="7"/>
      <c r="O262" s="8"/>
      <c r="P262" s="7"/>
      <c r="Q262" s="7"/>
      <c r="R262" s="8"/>
      <c r="S262" s="7"/>
      <c r="T262" s="9"/>
      <c r="U262" s="7"/>
      <c r="V262" s="8"/>
      <c r="W262" s="7"/>
      <c r="X262" s="7"/>
      <c r="Y262" s="8"/>
      <c r="Z262" s="7"/>
      <c r="AA262" s="8"/>
    </row>
    <row r="263" spans="4:27" ht="14.25" thickTop="1" thickBot="1">
      <c r="D263" s="69"/>
      <c r="E263" s="54" t="s">
        <v>436</v>
      </c>
      <c r="F263" s="7"/>
      <c r="G263" s="8"/>
      <c r="H263" s="7"/>
      <c r="I263" s="6"/>
      <c r="J263" s="7"/>
      <c r="K263" s="8"/>
      <c r="L263" s="7"/>
      <c r="M263" s="8"/>
      <c r="N263" s="7"/>
      <c r="O263" s="8"/>
      <c r="P263" s="7"/>
      <c r="Q263" s="7"/>
      <c r="R263" s="8"/>
      <c r="S263" s="7"/>
      <c r="T263" s="9"/>
      <c r="U263" s="7"/>
      <c r="V263" s="8"/>
      <c r="W263" s="7"/>
      <c r="X263" s="7"/>
      <c r="Y263" s="8"/>
      <c r="Z263" s="7"/>
      <c r="AA263" s="8"/>
    </row>
    <row r="264" spans="4:27" ht="14.25" thickTop="1" thickBot="1">
      <c r="D264" s="69"/>
      <c r="E264" s="54" t="s">
        <v>457</v>
      </c>
      <c r="F264" s="7"/>
      <c r="G264" s="8"/>
      <c r="H264" s="7"/>
      <c r="I264" s="6"/>
      <c r="J264" s="7"/>
      <c r="K264" s="8"/>
      <c r="L264" s="7"/>
      <c r="M264" s="8"/>
      <c r="N264" s="7"/>
      <c r="O264" s="8"/>
      <c r="P264" s="7"/>
      <c r="Q264" s="7"/>
      <c r="R264" s="8"/>
      <c r="S264" s="7"/>
      <c r="T264" s="9"/>
      <c r="U264" s="7"/>
      <c r="V264" s="8"/>
      <c r="W264" s="7"/>
      <c r="X264" s="7"/>
      <c r="Y264" s="8"/>
      <c r="Z264" s="7"/>
      <c r="AA264" s="8"/>
    </row>
    <row r="265" spans="4:27" ht="14.25" thickTop="1" thickBot="1">
      <c r="D265" s="69"/>
      <c r="E265" s="54" t="s">
        <v>451</v>
      </c>
      <c r="F265" s="7"/>
      <c r="G265" s="8"/>
      <c r="H265" s="7"/>
      <c r="I265" s="6"/>
      <c r="J265" s="7"/>
      <c r="K265" s="8"/>
      <c r="L265" s="7"/>
      <c r="M265" s="8"/>
      <c r="N265" s="7"/>
      <c r="O265" s="8"/>
      <c r="P265" s="7"/>
      <c r="Q265" s="7"/>
      <c r="R265" s="8"/>
      <c r="S265" s="7"/>
      <c r="T265" s="9"/>
      <c r="U265" s="7"/>
      <c r="V265" s="8"/>
      <c r="W265" s="7"/>
      <c r="X265" s="7"/>
      <c r="Y265" s="8"/>
      <c r="Z265" s="7"/>
      <c r="AA265" s="8"/>
    </row>
    <row r="266" spans="4:27" ht="14.25" thickTop="1" thickBot="1">
      <c r="D266" s="69"/>
      <c r="E266" s="54" t="s">
        <v>434</v>
      </c>
      <c r="F266" s="7"/>
      <c r="G266" s="8"/>
      <c r="H266" s="7"/>
      <c r="I266" s="6"/>
      <c r="J266" s="7"/>
      <c r="K266" s="8"/>
      <c r="L266" s="7"/>
      <c r="M266" s="8"/>
      <c r="N266" s="7"/>
      <c r="O266" s="8"/>
      <c r="P266" s="7"/>
      <c r="Q266" s="7"/>
      <c r="R266" s="8"/>
      <c r="S266" s="7"/>
      <c r="T266" s="9"/>
      <c r="U266" s="7"/>
      <c r="V266" s="8"/>
      <c r="W266" s="7"/>
      <c r="X266" s="7"/>
      <c r="Y266" s="8"/>
      <c r="Z266" s="7"/>
      <c r="AA266" s="8"/>
    </row>
    <row r="267" spans="4:27" ht="14.25" thickTop="1" thickBot="1">
      <c r="D267" s="69"/>
      <c r="E267" s="54" t="s">
        <v>438</v>
      </c>
      <c r="F267" s="7"/>
      <c r="G267" s="8"/>
      <c r="H267" s="7"/>
      <c r="I267" s="6"/>
      <c r="J267" s="7"/>
      <c r="K267" s="8"/>
      <c r="L267" s="7"/>
      <c r="M267" s="8"/>
      <c r="N267" s="7"/>
      <c r="O267" s="8"/>
      <c r="P267" s="7"/>
      <c r="Q267" s="7"/>
      <c r="R267" s="8"/>
      <c r="S267" s="7"/>
      <c r="T267" s="9"/>
      <c r="U267" s="7"/>
      <c r="V267" s="8"/>
      <c r="W267" s="7"/>
      <c r="X267" s="7"/>
      <c r="Y267" s="8"/>
      <c r="Z267" s="7"/>
      <c r="AA267" s="8"/>
    </row>
    <row r="268" spans="4:27" ht="14.25" thickTop="1" thickBot="1">
      <c r="D268" s="69"/>
      <c r="E268" s="54" t="s">
        <v>870</v>
      </c>
      <c r="F268" s="7"/>
      <c r="G268" s="8"/>
      <c r="H268" s="7"/>
      <c r="I268" s="6"/>
      <c r="J268" s="7"/>
      <c r="K268" s="8"/>
      <c r="L268" s="7"/>
      <c r="M268" s="8"/>
      <c r="N268" s="7"/>
      <c r="O268" s="8"/>
      <c r="P268" s="7"/>
      <c r="Q268" s="7"/>
      <c r="R268" s="8"/>
      <c r="S268" s="7"/>
      <c r="T268" s="9"/>
      <c r="U268" s="7"/>
      <c r="V268" s="8"/>
      <c r="W268" s="7"/>
      <c r="X268" s="7"/>
      <c r="Y268" s="8"/>
      <c r="Z268" s="7"/>
      <c r="AA268" s="8"/>
    </row>
    <row r="269" spans="4:27" ht="14.25" thickTop="1" thickBot="1">
      <c r="D269" s="69"/>
      <c r="E269" s="54" t="s">
        <v>877</v>
      </c>
      <c r="F269" s="7"/>
      <c r="G269" s="8"/>
      <c r="H269" s="7"/>
      <c r="I269" s="6"/>
      <c r="J269" s="7"/>
      <c r="K269" s="8"/>
      <c r="L269" s="7"/>
      <c r="M269" s="8"/>
      <c r="N269" s="7"/>
      <c r="O269" s="8"/>
      <c r="P269" s="7"/>
      <c r="Q269" s="7"/>
      <c r="R269" s="8"/>
      <c r="S269" s="7"/>
      <c r="T269" s="9"/>
      <c r="U269" s="7"/>
      <c r="V269" s="8"/>
      <c r="W269" s="7"/>
      <c r="X269" s="7"/>
      <c r="Y269" s="8"/>
      <c r="Z269" s="7"/>
      <c r="AA269" s="8"/>
    </row>
    <row r="270" spans="4:27" ht="14.25" thickTop="1" thickBot="1">
      <c r="D270" s="69"/>
      <c r="E270" s="54" t="s">
        <v>1300</v>
      </c>
      <c r="F270" s="7"/>
      <c r="G270" s="8"/>
      <c r="H270" s="7"/>
      <c r="I270" s="6"/>
      <c r="J270" s="7"/>
      <c r="K270" s="8"/>
      <c r="L270" s="7"/>
      <c r="M270" s="8"/>
      <c r="N270" s="7"/>
      <c r="O270" s="8"/>
      <c r="P270" s="7"/>
      <c r="Q270" s="7"/>
      <c r="R270" s="8"/>
      <c r="S270" s="7"/>
      <c r="T270" s="9"/>
      <c r="U270" s="7"/>
      <c r="V270" s="8"/>
      <c r="W270" s="7"/>
      <c r="X270" s="7"/>
      <c r="Y270" s="8"/>
      <c r="Z270" s="7"/>
      <c r="AA270" s="8"/>
    </row>
    <row r="271" spans="4:27" ht="14.25" thickTop="1" thickBot="1">
      <c r="D271" s="69"/>
      <c r="E271" s="54" t="s">
        <v>456</v>
      </c>
      <c r="F271" s="7"/>
      <c r="G271" s="8"/>
      <c r="H271" s="7"/>
      <c r="I271" s="6"/>
      <c r="J271" s="7"/>
      <c r="K271" s="8"/>
      <c r="L271" s="7"/>
      <c r="M271" s="8"/>
      <c r="N271" s="7"/>
      <c r="O271" s="8"/>
      <c r="P271" s="7"/>
      <c r="Q271" s="7"/>
      <c r="R271" s="8"/>
      <c r="S271" s="7"/>
      <c r="T271" s="9"/>
      <c r="U271" s="7"/>
      <c r="V271" s="8"/>
      <c r="W271" s="7"/>
      <c r="X271" s="7"/>
      <c r="Y271" s="8"/>
      <c r="Z271" s="7"/>
      <c r="AA271" s="8"/>
    </row>
    <row r="272" spans="4:27" ht="14.25" thickTop="1" thickBot="1">
      <c r="D272" s="69"/>
      <c r="E272" s="54" t="s">
        <v>1100</v>
      </c>
      <c r="F272" s="7"/>
      <c r="G272" s="8"/>
      <c r="H272" s="7"/>
      <c r="I272" s="6"/>
      <c r="J272" s="7"/>
      <c r="K272" s="8"/>
      <c r="L272" s="7"/>
      <c r="M272" s="8"/>
      <c r="N272" s="7"/>
      <c r="O272" s="8"/>
      <c r="P272" s="7"/>
      <c r="Q272" s="7"/>
      <c r="R272" s="8"/>
      <c r="S272" s="7"/>
      <c r="T272" s="9"/>
      <c r="U272" s="7"/>
      <c r="V272" s="8"/>
      <c r="W272" s="7"/>
      <c r="X272" s="7"/>
      <c r="Y272" s="8"/>
      <c r="Z272" s="7"/>
      <c r="AA272" s="8"/>
    </row>
    <row r="273" spans="4:27" ht="14.25" thickTop="1" thickBot="1">
      <c r="D273" s="69"/>
      <c r="E273" s="54" t="s">
        <v>1301</v>
      </c>
      <c r="F273" s="7"/>
      <c r="G273" s="8"/>
      <c r="H273" s="7"/>
      <c r="I273" s="6"/>
      <c r="J273" s="7"/>
      <c r="K273" s="8"/>
      <c r="L273" s="7"/>
      <c r="M273" s="8"/>
      <c r="N273" s="7"/>
      <c r="O273" s="8"/>
      <c r="P273" s="7"/>
      <c r="Q273" s="7"/>
      <c r="R273" s="8"/>
      <c r="S273" s="7"/>
      <c r="T273" s="9"/>
      <c r="U273" s="7"/>
      <c r="V273" s="8"/>
      <c r="W273" s="7"/>
      <c r="X273" s="7"/>
      <c r="Y273" s="8"/>
      <c r="Z273" s="7"/>
      <c r="AA273" s="8"/>
    </row>
    <row r="274" spans="4:27" ht="14.25" thickTop="1" thickBot="1">
      <c r="D274" s="69"/>
      <c r="E274" s="54" t="s">
        <v>204</v>
      </c>
      <c r="F274" s="7"/>
      <c r="G274" s="8"/>
      <c r="H274" s="7"/>
      <c r="I274" s="6"/>
      <c r="J274" s="7"/>
      <c r="K274" s="8"/>
      <c r="L274" s="7"/>
      <c r="M274" s="8"/>
      <c r="N274" s="7"/>
      <c r="O274" s="8"/>
      <c r="P274" s="7"/>
      <c r="Q274" s="7"/>
      <c r="R274" s="8"/>
      <c r="S274" s="7"/>
      <c r="T274" s="9"/>
      <c r="U274" s="7"/>
      <c r="V274" s="8"/>
      <c r="W274" s="7"/>
      <c r="X274" s="7"/>
      <c r="Y274" s="8"/>
      <c r="Z274" s="7"/>
      <c r="AA274" s="8"/>
    </row>
    <row r="275" spans="4:27" ht="14.25" thickTop="1" thickBot="1">
      <c r="D275" s="69"/>
      <c r="E275" s="54" t="s">
        <v>1108</v>
      </c>
      <c r="F275" s="7"/>
      <c r="G275" s="8"/>
      <c r="H275" s="7"/>
      <c r="I275" s="6"/>
      <c r="J275" s="7"/>
      <c r="K275" s="8"/>
      <c r="L275" s="7"/>
      <c r="M275" s="8"/>
      <c r="N275" s="7"/>
      <c r="O275" s="8"/>
      <c r="P275" s="7"/>
      <c r="Q275" s="7"/>
      <c r="R275" s="8"/>
      <c r="S275" s="7"/>
      <c r="T275" s="9"/>
      <c r="U275" s="7"/>
      <c r="V275" s="8"/>
      <c r="W275" s="7"/>
      <c r="X275" s="7"/>
      <c r="Y275" s="8"/>
      <c r="Z275" s="7"/>
      <c r="AA275" s="8"/>
    </row>
    <row r="276" spans="4:27" ht="14.25" thickTop="1" thickBot="1">
      <c r="D276" s="69"/>
      <c r="E276" s="54" t="s">
        <v>208</v>
      </c>
      <c r="F276" s="7"/>
      <c r="G276" s="8"/>
      <c r="H276" s="7"/>
      <c r="I276" s="6"/>
      <c r="J276" s="7"/>
      <c r="K276" s="8"/>
      <c r="L276" s="7"/>
      <c r="M276" s="8"/>
      <c r="N276" s="7"/>
      <c r="O276" s="8"/>
      <c r="P276" s="7"/>
      <c r="Q276" s="7"/>
      <c r="R276" s="8"/>
      <c r="S276" s="7"/>
      <c r="T276" s="9"/>
      <c r="U276" s="7"/>
      <c r="V276" s="8"/>
      <c r="W276" s="7"/>
      <c r="X276" s="7"/>
      <c r="Y276" s="8"/>
      <c r="Z276" s="7"/>
      <c r="AA276" s="8"/>
    </row>
    <row r="277" spans="4:27" ht="14.25" thickTop="1" thickBot="1">
      <c r="D277" s="69"/>
      <c r="E277" s="54" t="s">
        <v>209</v>
      </c>
      <c r="F277" s="7"/>
      <c r="G277" s="8"/>
      <c r="H277" s="7"/>
      <c r="I277" s="6"/>
      <c r="J277" s="7"/>
      <c r="K277" s="8"/>
      <c r="L277" s="7"/>
      <c r="M277" s="8"/>
      <c r="N277" s="7"/>
      <c r="O277" s="8"/>
      <c r="P277" s="7"/>
      <c r="Q277" s="7"/>
      <c r="R277" s="8"/>
      <c r="S277" s="7"/>
      <c r="T277" s="9"/>
      <c r="U277" s="7"/>
      <c r="V277" s="8"/>
      <c r="W277" s="7"/>
      <c r="X277" s="7"/>
      <c r="Y277" s="8"/>
      <c r="Z277" s="7"/>
      <c r="AA277" s="8"/>
    </row>
    <row r="278" spans="4:27" ht="14.25" thickTop="1" thickBot="1">
      <c r="D278" s="69"/>
      <c r="E278" s="54" t="s">
        <v>211</v>
      </c>
      <c r="F278" s="7"/>
      <c r="G278" s="8"/>
      <c r="H278" s="7"/>
      <c r="I278" s="6"/>
      <c r="J278" s="7"/>
      <c r="K278" s="8"/>
      <c r="L278" s="7"/>
      <c r="M278" s="8"/>
      <c r="N278" s="7"/>
      <c r="O278" s="8"/>
      <c r="P278" s="7"/>
      <c r="Q278" s="7"/>
      <c r="R278" s="8"/>
      <c r="S278" s="7"/>
      <c r="T278" s="9"/>
      <c r="U278" s="7"/>
      <c r="V278" s="8"/>
      <c r="W278" s="7"/>
      <c r="X278" s="7"/>
      <c r="Y278" s="8"/>
      <c r="Z278" s="7"/>
      <c r="AA278" s="8"/>
    </row>
    <row r="279" spans="4:27" ht="14.25" thickTop="1" thickBot="1">
      <c r="D279" s="69"/>
      <c r="E279" s="54" t="s">
        <v>1302</v>
      </c>
      <c r="F279" s="7"/>
      <c r="G279" s="8"/>
      <c r="H279" s="7"/>
      <c r="I279" s="6"/>
      <c r="J279" s="7"/>
      <c r="K279" s="8"/>
      <c r="L279" s="7"/>
      <c r="M279" s="8"/>
      <c r="N279" s="7"/>
      <c r="O279" s="8"/>
      <c r="P279" s="7"/>
      <c r="Q279" s="7"/>
      <c r="R279" s="8"/>
      <c r="S279" s="7"/>
      <c r="T279" s="9"/>
      <c r="U279" s="7"/>
      <c r="V279" s="8"/>
      <c r="W279" s="7"/>
      <c r="X279" s="7"/>
      <c r="Y279" s="8"/>
      <c r="Z279" s="7"/>
      <c r="AA279" s="8"/>
    </row>
    <row r="280" spans="4:27" ht="14.25" thickTop="1" thickBot="1">
      <c r="D280" s="69"/>
      <c r="E280" s="54" t="s">
        <v>1303</v>
      </c>
      <c r="F280" s="7"/>
      <c r="G280" s="8"/>
      <c r="H280" s="7"/>
      <c r="I280" s="6"/>
      <c r="J280" s="7"/>
      <c r="K280" s="8"/>
      <c r="L280" s="7"/>
      <c r="M280" s="8"/>
      <c r="N280" s="7"/>
      <c r="O280" s="8"/>
      <c r="P280" s="7"/>
      <c r="Q280" s="7"/>
      <c r="R280" s="8"/>
      <c r="S280" s="7"/>
      <c r="T280" s="9"/>
      <c r="U280" s="7"/>
      <c r="V280" s="8"/>
      <c r="W280" s="7"/>
      <c r="X280" s="7"/>
      <c r="Y280" s="8"/>
      <c r="Z280" s="7"/>
      <c r="AA280" s="8"/>
    </row>
    <row r="281" spans="4:27" ht="14.25" thickTop="1" thickBot="1">
      <c r="D281" s="69"/>
      <c r="E281" s="54" t="s">
        <v>1025</v>
      </c>
      <c r="F281" s="7"/>
      <c r="G281" s="8"/>
      <c r="H281" s="7"/>
      <c r="I281" s="6"/>
      <c r="J281" s="7"/>
      <c r="K281" s="8"/>
      <c r="L281" s="7"/>
      <c r="M281" s="8"/>
      <c r="N281" s="7"/>
      <c r="O281" s="8"/>
      <c r="P281" s="7"/>
      <c r="Q281" s="7"/>
      <c r="R281" s="8"/>
      <c r="S281" s="7"/>
      <c r="T281" s="9"/>
      <c r="U281" s="7"/>
      <c r="V281" s="8"/>
      <c r="W281" s="7"/>
      <c r="X281" s="7"/>
      <c r="Y281" s="8"/>
      <c r="Z281" s="7"/>
      <c r="AA281" s="8"/>
    </row>
    <row r="282" spans="4:27" ht="14.25" thickTop="1" thickBot="1">
      <c r="D282" s="69"/>
      <c r="E282" s="54" t="s">
        <v>212</v>
      </c>
      <c r="F282" s="7"/>
      <c r="G282" s="8"/>
      <c r="H282" s="7"/>
      <c r="I282" s="6"/>
      <c r="J282" s="7"/>
      <c r="K282" s="8"/>
      <c r="L282" s="7"/>
      <c r="M282" s="8"/>
      <c r="N282" s="7"/>
      <c r="O282" s="8"/>
      <c r="P282" s="7"/>
      <c r="Q282" s="7"/>
      <c r="R282" s="8"/>
      <c r="S282" s="7"/>
      <c r="T282" s="9"/>
      <c r="U282" s="7"/>
      <c r="V282" s="8"/>
      <c r="W282" s="7"/>
      <c r="X282" s="7"/>
      <c r="Y282" s="8"/>
      <c r="Z282" s="7"/>
      <c r="AA282" s="8"/>
    </row>
    <row r="283" spans="4:27" ht="14.25" thickTop="1" thickBot="1">
      <c r="D283" s="69"/>
      <c r="E283" s="54" t="s">
        <v>1112</v>
      </c>
      <c r="F283" s="7"/>
      <c r="G283" s="8"/>
      <c r="H283" s="7"/>
      <c r="I283" s="6"/>
      <c r="J283" s="7"/>
      <c r="K283" s="8"/>
      <c r="L283" s="7"/>
      <c r="M283" s="8"/>
      <c r="N283" s="7"/>
      <c r="O283" s="8"/>
      <c r="P283" s="7"/>
      <c r="Q283" s="7"/>
      <c r="R283" s="8"/>
      <c r="S283" s="7"/>
      <c r="T283" s="9"/>
      <c r="U283" s="7"/>
      <c r="V283" s="8"/>
      <c r="W283" s="7"/>
      <c r="X283" s="7"/>
      <c r="Y283" s="8"/>
      <c r="Z283" s="7"/>
      <c r="AA283" s="8"/>
    </row>
    <row r="284" spans="4:27" ht="14.25" thickTop="1" thickBot="1">
      <c r="D284" s="69"/>
      <c r="E284" s="54" t="s">
        <v>253</v>
      </c>
      <c r="F284" s="7"/>
      <c r="G284" s="8"/>
      <c r="H284" s="7"/>
      <c r="I284" s="6"/>
      <c r="J284" s="7"/>
      <c r="K284" s="8"/>
      <c r="L284" s="7"/>
      <c r="M284" s="8"/>
      <c r="N284" s="7"/>
      <c r="O284" s="8"/>
      <c r="P284" s="7"/>
      <c r="Q284" s="7"/>
      <c r="R284" s="8"/>
      <c r="S284" s="7"/>
      <c r="T284" s="9"/>
      <c r="U284" s="7"/>
      <c r="V284" s="8"/>
      <c r="W284" s="7"/>
      <c r="X284" s="7"/>
      <c r="Y284" s="8"/>
      <c r="Z284" s="7"/>
      <c r="AA284" s="8"/>
    </row>
    <row r="285" spans="4:27" ht="14.25" thickTop="1" thickBot="1">
      <c r="D285" s="69"/>
      <c r="E285" s="54" t="s">
        <v>155</v>
      </c>
      <c r="F285" s="7"/>
      <c r="G285" s="8"/>
      <c r="H285" s="7"/>
      <c r="I285" s="6"/>
      <c r="J285" s="7"/>
      <c r="K285" s="8"/>
      <c r="L285" s="7"/>
      <c r="M285" s="8"/>
      <c r="N285" s="7"/>
      <c r="O285" s="8"/>
      <c r="P285" s="7"/>
      <c r="Q285" s="7"/>
      <c r="R285" s="8"/>
      <c r="S285" s="7"/>
      <c r="T285" s="9"/>
      <c r="U285" s="7"/>
      <c r="V285" s="8"/>
      <c r="W285" s="7"/>
      <c r="X285" s="7"/>
      <c r="Y285" s="8"/>
      <c r="Z285" s="7"/>
      <c r="AA285" s="8"/>
    </row>
    <row r="286" spans="4:27" ht="14.25" thickTop="1" thickBot="1">
      <c r="D286" s="69"/>
      <c r="E286" s="54" t="s">
        <v>255</v>
      </c>
      <c r="F286" s="7"/>
      <c r="G286" s="8"/>
      <c r="H286" s="7"/>
      <c r="I286" s="6"/>
      <c r="J286" s="7"/>
      <c r="K286" s="8"/>
      <c r="L286" s="7"/>
      <c r="M286" s="8"/>
      <c r="N286" s="7"/>
      <c r="O286" s="8"/>
      <c r="P286" s="7"/>
      <c r="Q286" s="7"/>
      <c r="R286" s="8"/>
      <c r="S286" s="7"/>
      <c r="T286" s="9"/>
      <c r="U286" s="7"/>
      <c r="V286" s="8"/>
      <c r="W286" s="7"/>
      <c r="X286" s="7"/>
      <c r="Y286" s="8"/>
      <c r="Z286" s="7"/>
      <c r="AA286" s="8"/>
    </row>
    <row r="287" spans="4:27" ht="14.25" thickTop="1" thickBot="1">
      <c r="D287" s="69"/>
      <c r="E287" s="54" t="s">
        <v>233</v>
      </c>
      <c r="F287" s="7"/>
      <c r="G287" s="8"/>
      <c r="H287" s="7"/>
      <c r="I287" s="6"/>
      <c r="J287" s="7"/>
      <c r="K287" s="8"/>
      <c r="L287" s="7"/>
      <c r="M287" s="8"/>
      <c r="N287" s="7"/>
      <c r="O287" s="8"/>
      <c r="P287" s="7"/>
      <c r="Q287" s="7"/>
      <c r="R287" s="8"/>
      <c r="S287" s="7"/>
      <c r="T287" s="9"/>
      <c r="U287" s="7"/>
      <c r="V287" s="8"/>
      <c r="W287" s="7"/>
      <c r="X287" s="7"/>
      <c r="Y287" s="8"/>
      <c r="Z287" s="7"/>
      <c r="AA287" s="8"/>
    </row>
    <row r="288" spans="4:27" ht="14.25" thickTop="1" thickBot="1">
      <c r="D288" s="69"/>
      <c r="E288" s="54" t="s">
        <v>1071</v>
      </c>
      <c r="F288" s="7"/>
      <c r="G288" s="8"/>
      <c r="H288" s="7"/>
      <c r="I288" s="6"/>
      <c r="J288" s="7"/>
      <c r="K288" s="8"/>
      <c r="L288" s="7"/>
      <c r="M288" s="8"/>
      <c r="N288" s="7"/>
      <c r="O288" s="8"/>
      <c r="P288" s="7"/>
      <c r="Q288" s="7"/>
      <c r="R288" s="8"/>
      <c r="S288" s="7"/>
      <c r="T288" s="9"/>
      <c r="U288" s="7"/>
      <c r="V288" s="8"/>
      <c r="W288" s="7"/>
      <c r="X288" s="7"/>
      <c r="Y288" s="8"/>
      <c r="Z288" s="7"/>
      <c r="AA288" s="8"/>
    </row>
    <row r="289" spans="4:27" ht="14.25" thickTop="1" thickBot="1">
      <c r="D289" s="69"/>
      <c r="E289" s="54" t="s">
        <v>1072</v>
      </c>
      <c r="F289" s="7"/>
      <c r="G289" s="8"/>
      <c r="H289" s="7"/>
      <c r="I289" s="6"/>
      <c r="J289" s="7"/>
      <c r="K289" s="8"/>
      <c r="L289" s="7"/>
      <c r="M289" s="8"/>
      <c r="N289" s="7"/>
      <c r="O289" s="8"/>
      <c r="P289" s="7"/>
      <c r="Q289" s="7"/>
      <c r="R289" s="8"/>
      <c r="S289" s="7"/>
      <c r="T289" s="9"/>
      <c r="U289" s="7"/>
      <c r="V289" s="8"/>
      <c r="W289" s="7"/>
      <c r="X289" s="7"/>
      <c r="Y289" s="8"/>
      <c r="Z289" s="7"/>
      <c r="AA289" s="8"/>
    </row>
    <row r="290" spans="4:27" ht="14.25" thickTop="1" thickBot="1">
      <c r="D290" s="69"/>
      <c r="E290" s="54" t="s">
        <v>238</v>
      </c>
      <c r="F290" s="7"/>
      <c r="G290" s="8"/>
      <c r="H290" s="7"/>
      <c r="I290" s="6"/>
      <c r="J290" s="7"/>
      <c r="K290" s="8"/>
      <c r="L290" s="7"/>
      <c r="M290" s="8"/>
      <c r="N290" s="7"/>
      <c r="O290" s="8"/>
      <c r="P290" s="7"/>
      <c r="Q290" s="7"/>
      <c r="R290" s="8"/>
      <c r="S290" s="7"/>
      <c r="T290" s="9"/>
      <c r="U290" s="7"/>
      <c r="V290" s="8"/>
      <c r="W290" s="7"/>
      <c r="X290" s="7"/>
      <c r="Y290" s="8"/>
      <c r="Z290" s="7"/>
      <c r="AA290" s="8"/>
    </row>
    <row r="291" spans="4:27" ht="14.25" thickTop="1" thickBot="1">
      <c r="D291" s="69"/>
      <c r="E291" s="54" t="s">
        <v>256</v>
      </c>
      <c r="F291" s="7"/>
      <c r="G291" s="8"/>
      <c r="H291" s="7"/>
      <c r="I291" s="6"/>
      <c r="J291" s="7"/>
      <c r="K291" s="8"/>
      <c r="L291" s="7"/>
      <c r="M291" s="8"/>
      <c r="N291" s="7"/>
      <c r="O291" s="8"/>
      <c r="P291" s="7"/>
      <c r="Q291" s="7"/>
      <c r="R291" s="8"/>
      <c r="S291" s="7"/>
      <c r="T291" s="9"/>
      <c r="U291" s="7"/>
      <c r="V291" s="8"/>
      <c r="W291" s="7"/>
      <c r="X291" s="7"/>
      <c r="Y291" s="8"/>
      <c r="Z291" s="7"/>
      <c r="AA291" s="8"/>
    </row>
    <row r="292" spans="4:27" ht="14.25" thickTop="1" thickBot="1">
      <c r="D292" s="69"/>
      <c r="E292" s="54" t="s">
        <v>257</v>
      </c>
      <c r="F292" s="7"/>
      <c r="G292" s="8"/>
      <c r="H292" s="7"/>
      <c r="I292" s="6"/>
      <c r="J292" s="7"/>
      <c r="K292" s="8"/>
      <c r="L292" s="7"/>
      <c r="M292" s="8"/>
      <c r="N292" s="7"/>
      <c r="O292" s="8"/>
      <c r="P292" s="7"/>
      <c r="Q292" s="7"/>
      <c r="R292" s="8"/>
      <c r="S292" s="7"/>
      <c r="T292" s="9"/>
      <c r="U292" s="7"/>
      <c r="V292" s="8"/>
      <c r="W292" s="7"/>
      <c r="X292" s="7"/>
      <c r="Y292" s="8"/>
      <c r="Z292" s="7"/>
      <c r="AA292" s="8"/>
    </row>
    <row r="293" spans="4:27" ht="14.25" thickTop="1" thickBot="1">
      <c r="D293" s="69"/>
      <c r="E293" s="54" t="s">
        <v>258</v>
      </c>
      <c r="F293" s="7"/>
      <c r="G293" s="8"/>
      <c r="H293" s="7"/>
      <c r="I293" s="6"/>
      <c r="J293" s="7"/>
      <c r="K293" s="8"/>
      <c r="L293" s="7"/>
      <c r="M293" s="8"/>
      <c r="N293" s="7"/>
      <c r="O293" s="8"/>
      <c r="P293" s="7"/>
      <c r="Q293" s="7"/>
      <c r="R293" s="8"/>
      <c r="S293" s="7"/>
      <c r="T293" s="9"/>
      <c r="U293" s="7"/>
      <c r="V293" s="8"/>
      <c r="W293" s="7"/>
      <c r="X293" s="7"/>
      <c r="Y293" s="8"/>
      <c r="Z293" s="7"/>
      <c r="AA293" s="8"/>
    </row>
    <row r="294" spans="4:27" ht="14.25" thickTop="1" thickBot="1">
      <c r="D294" s="69"/>
      <c r="E294" s="54" t="s">
        <v>1078</v>
      </c>
      <c r="F294" s="7"/>
      <c r="G294" s="8"/>
      <c r="H294" s="7"/>
      <c r="I294" s="6"/>
      <c r="J294" s="7"/>
      <c r="K294" s="8"/>
      <c r="L294" s="7"/>
      <c r="M294" s="8"/>
      <c r="N294" s="7"/>
      <c r="O294" s="8"/>
      <c r="P294" s="7"/>
      <c r="Q294" s="7"/>
      <c r="R294" s="8"/>
      <c r="S294" s="7"/>
      <c r="T294" s="9"/>
      <c r="U294" s="7"/>
      <c r="V294" s="8"/>
      <c r="W294" s="7"/>
      <c r="X294" s="7"/>
      <c r="Y294" s="8"/>
      <c r="Z294" s="7"/>
      <c r="AA294" s="8"/>
    </row>
    <row r="295" spans="4:27" ht="14.25" thickTop="1" thickBot="1">
      <c r="D295" s="69"/>
      <c r="E295" s="54" t="s">
        <v>259</v>
      </c>
      <c r="F295" s="7"/>
      <c r="G295" s="8"/>
      <c r="H295" s="7"/>
      <c r="I295" s="6"/>
      <c r="J295" s="7"/>
      <c r="K295" s="8"/>
      <c r="L295" s="7"/>
      <c r="M295" s="8"/>
      <c r="N295" s="7"/>
      <c r="O295" s="8"/>
      <c r="P295" s="7"/>
      <c r="Q295" s="7"/>
      <c r="R295" s="8"/>
      <c r="S295" s="7"/>
      <c r="T295" s="9"/>
      <c r="U295" s="7"/>
      <c r="V295" s="8"/>
      <c r="W295" s="7"/>
      <c r="X295" s="7"/>
      <c r="Y295" s="8"/>
      <c r="Z295" s="7"/>
      <c r="AA295" s="8"/>
    </row>
    <row r="296" spans="4:27" ht="14.25" thickTop="1" thickBot="1">
      <c r="D296" s="69"/>
      <c r="E296" s="54" t="s">
        <v>260</v>
      </c>
      <c r="F296" s="7"/>
      <c r="G296" s="8"/>
      <c r="H296" s="7"/>
      <c r="I296" s="6"/>
      <c r="J296" s="7"/>
      <c r="K296" s="8"/>
      <c r="L296" s="7"/>
      <c r="M296" s="8"/>
      <c r="N296" s="7"/>
      <c r="O296" s="8"/>
      <c r="P296" s="7"/>
      <c r="Q296" s="7"/>
      <c r="R296" s="8"/>
      <c r="S296" s="7"/>
      <c r="T296" s="9"/>
      <c r="U296" s="7"/>
      <c r="V296" s="8"/>
      <c r="W296" s="7"/>
      <c r="X296" s="7"/>
      <c r="Y296" s="8"/>
      <c r="Z296" s="7"/>
      <c r="AA296" s="8"/>
    </row>
    <row r="297" spans="4:27" ht="14.25" thickTop="1" thickBot="1">
      <c r="D297" s="69"/>
      <c r="E297" s="54" t="s">
        <v>157</v>
      </c>
      <c r="F297" s="7"/>
      <c r="G297" s="8"/>
      <c r="H297" s="7"/>
      <c r="I297" s="6"/>
      <c r="J297" s="7"/>
      <c r="K297" s="8"/>
      <c r="L297" s="7"/>
      <c r="M297" s="8"/>
      <c r="N297" s="7"/>
      <c r="O297" s="8"/>
      <c r="P297" s="7"/>
      <c r="Q297" s="7"/>
      <c r="R297" s="8"/>
      <c r="S297" s="7"/>
      <c r="T297" s="9"/>
      <c r="U297" s="7"/>
      <c r="V297" s="8"/>
      <c r="W297" s="7"/>
      <c r="X297" s="7"/>
      <c r="Y297" s="8"/>
      <c r="Z297" s="7"/>
      <c r="AA297" s="8"/>
    </row>
    <row r="298" spans="4:27" ht="14.25" thickTop="1" thickBot="1">
      <c r="D298" s="69"/>
      <c r="E298" s="54" t="s">
        <v>261</v>
      </c>
      <c r="F298" s="7"/>
      <c r="G298" s="8"/>
      <c r="H298" s="7"/>
      <c r="I298" s="6"/>
      <c r="J298" s="7"/>
      <c r="K298" s="8"/>
      <c r="L298" s="7"/>
      <c r="M298" s="8"/>
      <c r="N298" s="7"/>
      <c r="O298" s="8"/>
      <c r="P298" s="7"/>
      <c r="Q298" s="7"/>
      <c r="R298" s="8"/>
      <c r="S298" s="7"/>
      <c r="T298" s="9"/>
      <c r="U298" s="7"/>
      <c r="V298" s="8"/>
      <c r="W298" s="7"/>
      <c r="X298" s="7"/>
      <c r="Y298" s="8"/>
      <c r="Z298" s="7"/>
      <c r="AA298" s="8"/>
    </row>
    <row r="299" spans="4:27" ht="14.25" thickTop="1" thickBot="1">
      <c r="D299" s="69"/>
      <c r="E299" s="54" t="s">
        <v>262</v>
      </c>
      <c r="F299" s="7"/>
      <c r="G299" s="8"/>
      <c r="H299" s="7"/>
      <c r="I299" s="6"/>
      <c r="J299" s="7"/>
      <c r="K299" s="8"/>
      <c r="L299" s="7"/>
      <c r="M299" s="8"/>
      <c r="N299" s="7"/>
      <c r="O299" s="8"/>
      <c r="P299" s="7"/>
      <c r="Q299" s="7"/>
      <c r="R299" s="8"/>
      <c r="S299" s="7"/>
      <c r="T299" s="9"/>
      <c r="U299" s="7"/>
      <c r="V299" s="8"/>
      <c r="W299" s="7"/>
      <c r="X299" s="7"/>
      <c r="Y299" s="8"/>
      <c r="Z299" s="7"/>
      <c r="AA299" s="8"/>
    </row>
    <row r="300" spans="4:27" ht="14.25" thickTop="1" thickBot="1">
      <c r="D300" s="69"/>
      <c r="E300" s="54" t="s">
        <v>1079</v>
      </c>
      <c r="F300" s="7"/>
      <c r="G300" s="8"/>
      <c r="H300" s="7"/>
      <c r="I300" s="6"/>
      <c r="J300" s="7"/>
      <c r="K300" s="8"/>
      <c r="L300" s="7"/>
      <c r="M300" s="8"/>
      <c r="N300" s="7"/>
      <c r="O300" s="8"/>
      <c r="P300" s="7"/>
      <c r="Q300" s="7"/>
      <c r="R300" s="8"/>
      <c r="S300" s="7"/>
      <c r="T300" s="9"/>
      <c r="U300" s="7"/>
      <c r="V300" s="8"/>
      <c r="W300" s="7"/>
      <c r="X300" s="7"/>
      <c r="Y300" s="8"/>
      <c r="Z300" s="7"/>
      <c r="AA300" s="8"/>
    </row>
    <row r="301" spans="4:27" ht="14.25" thickTop="1" thickBot="1">
      <c r="D301" s="69"/>
      <c r="E301" s="54" t="s">
        <v>263</v>
      </c>
      <c r="F301" s="7"/>
      <c r="G301" s="8"/>
      <c r="H301" s="7"/>
      <c r="I301" s="6"/>
      <c r="J301" s="7"/>
      <c r="K301" s="8"/>
      <c r="L301" s="7"/>
      <c r="M301" s="8"/>
      <c r="N301" s="7"/>
      <c r="O301" s="8"/>
      <c r="P301" s="7"/>
      <c r="Q301" s="7"/>
      <c r="R301" s="8"/>
      <c r="S301" s="7"/>
      <c r="T301" s="9"/>
      <c r="U301" s="7"/>
      <c r="V301" s="8"/>
      <c r="W301" s="7"/>
      <c r="X301" s="7"/>
      <c r="Y301" s="8"/>
      <c r="Z301" s="7"/>
      <c r="AA301" s="8"/>
    </row>
    <row r="302" spans="4:27" ht="14.25" thickTop="1" thickBot="1">
      <c r="D302" s="69"/>
      <c r="E302" s="54" t="s">
        <v>264</v>
      </c>
      <c r="F302" s="7"/>
      <c r="G302" s="8"/>
      <c r="H302" s="7"/>
      <c r="I302" s="6"/>
      <c r="J302" s="7"/>
      <c r="K302" s="8"/>
      <c r="L302" s="7"/>
      <c r="M302" s="8"/>
      <c r="N302" s="7"/>
      <c r="O302" s="8"/>
      <c r="P302" s="7"/>
      <c r="Q302" s="7"/>
      <c r="R302" s="8"/>
      <c r="S302" s="7"/>
      <c r="T302" s="9"/>
      <c r="U302" s="7"/>
      <c r="V302" s="8"/>
      <c r="W302" s="7"/>
      <c r="X302" s="7"/>
      <c r="Y302" s="8"/>
      <c r="Z302" s="7"/>
      <c r="AA302" s="8"/>
    </row>
    <row r="303" spans="4:27" ht="14.25" thickTop="1" thickBot="1">
      <c r="D303" s="69"/>
      <c r="E303" s="54" t="s">
        <v>265</v>
      </c>
      <c r="F303" s="7"/>
      <c r="G303" s="8"/>
      <c r="H303" s="7"/>
      <c r="I303" s="6"/>
      <c r="J303" s="7"/>
      <c r="K303" s="8"/>
      <c r="L303" s="7"/>
      <c r="M303" s="8"/>
      <c r="N303" s="7"/>
      <c r="O303" s="8"/>
      <c r="P303" s="7"/>
      <c r="Q303" s="7"/>
      <c r="R303" s="8"/>
      <c r="S303" s="7"/>
      <c r="T303" s="9"/>
      <c r="U303" s="7"/>
      <c r="V303" s="8"/>
      <c r="W303" s="7"/>
      <c r="X303" s="7"/>
      <c r="Y303" s="8"/>
      <c r="Z303" s="7"/>
      <c r="AA303" s="8"/>
    </row>
    <row r="304" spans="4:27" ht="14.25" thickTop="1" thickBot="1">
      <c r="D304" s="69"/>
      <c r="E304" s="54" t="s">
        <v>266</v>
      </c>
      <c r="F304" s="7"/>
      <c r="G304" s="8"/>
      <c r="H304" s="7"/>
      <c r="I304" s="6"/>
      <c r="J304" s="7"/>
      <c r="K304" s="8"/>
      <c r="L304" s="7"/>
      <c r="M304" s="8"/>
      <c r="N304" s="7"/>
      <c r="O304" s="8"/>
      <c r="P304" s="7"/>
      <c r="Q304" s="7"/>
      <c r="R304" s="8"/>
      <c r="S304" s="7"/>
      <c r="T304" s="9"/>
      <c r="U304" s="7"/>
      <c r="V304" s="8"/>
      <c r="W304" s="7"/>
      <c r="X304" s="7"/>
      <c r="Y304" s="8"/>
      <c r="Z304" s="7"/>
      <c r="AA304" s="8"/>
    </row>
    <row r="305" spans="4:27" ht="14.25" thickTop="1" thickBot="1">
      <c r="D305" s="69"/>
      <c r="E305" s="54" t="s">
        <v>239</v>
      </c>
      <c r="F305" s="7"/>
      <c r="G305" s="8"/>
      <c r="H305" s="7"/>
      <c r="I305" s="6"/>
      <c r="J305" s="7"/>
      <c r="K305" s="8"/>
      <c r="L305" s="7"/>
      <c r="M305" s="8"/>
      <c r="N305" s="7"/>
      <c r="O305" s="8"/>
      <c r="P305" s="7"/>
      <c r="Q305" s="7"/>
      <c r="R305" s="8"/>
      <c r="S305" s="7"/>
      <c r="T305" s="9"/>
      <c r="U305" s="7"/>
      <c r="V305" s="8"/>
      <c r="W305" s="7"/>
      <c r="X305" s="7"/>
      <c r="Y305" s="8"/>
      <c r="Z305" s="7"/>
      <c r="AA305" s="8"/>
    </row>
    <row r="306" spans="4:27" ht="14.25" thickTop="1" thickBot="1">
      <c r="D306" s="69"/>
      <c r="E306" s="54" t="s">
        <v>267</v>
      </c>
      <c r="F306" s="7"/>
      <c r="G306" s="8"/>
      <c r="H306" s="7"/>
      <c r="I306" s="6"/>
      <c r="J306" s="7"/>
      <c r="K306" s="8"/>
      <c r="L306" s="7"/>
      <c r="M306" s="8"/>
      <c r="N306" s="7"/>
      <c r="O306" s="8"/>
      <c r="P306" s="7"/>
      <c r="Q306" s="7"/>
      <c r="R306" s="8"/>
      <c r="S306" s="7"/>
      <c r="T306" s="9"/>
      <c r="U306" s="7"/>
      <c r="V306" s="8"/>
      <c r="W306" s="7"/>
      <c r="X306" s="7"/>
      <c r="Y306" s="8"/>
      <c r="Z306" s="7"/>
      <c r="AA306" s="8"/>
    </row>
    <row r="307" spans="4:27" ht="14.25" thickTop="1" thickBot="1">
      <c r="D307" s="69"/>
      <c r="E307" s="54" t="s">
        <v>268</v>
      </c>
      <c r="F307" s="7"/>
      <c r="G307" s="8"/>
      <c r="H307" s="7"/>
      <c r="I307" s="6"/>
      <c r="J307" s="7"/>
      <c r="K307" s="8"/>
      <c r="L307" s="7"/>
      <c r="M307" s="8"/>
      <c r="N307" s="7"/>
      <c r="O307" s="8"/>
      <c r="P307" s="7"/>
      <c r="Q307" s="7"/>
      <c r="R307" s="8"/>
      <c r="S307" s="7"/>
      <c r="T307" s="9"/>
      <c r="U307" s="7"/>
      <c r="V307" s="8"/>
      <c r="W307" s="7"/>
      <c r="X307" s="7"/>
      <c r="Y307" s="8"/>
      <c r="Z307" s="7"/>
      <c r="AA307" s="8"/>
    </row>
    <row r="308" spans="4:27" ht="14.25" thickTop="1" thickBot="1">
      <c r="D308" s="69"/>
      <c r="E308" s="54" t="s">
        <v>269</v>
      </c>
      <c r="F308" s="7"/>
      <c r="G308" s="8"/>
      <c r="H308" s="7"/>
      <c r="I308" s="6"/>
      <c r="J308" s="7"/>
      <c r="K308" s="8"/>
      <c r="L308" s="7"/>
      <c r="M308" s="8"/>
      <c r="N308" s="7"/>
      <c r="O308" s="8"/>
      <c r="P308" s="7"/>
      <c r="Q308" s="7"/>
      <c r="R308" s="8"/>
      <c r="S308" s="7"/>
      <c r="T308" s="9"/>
      <c r="U308" s="7"/>
      <c r="V308" s="8"/>
      <c r="W308" s="7"/>
      <c r="X308" s="7"/>
      <c r="Y308" s="8"/>
      <c r="Z308" s="7"/>
      <c r="AA308" s="8"/>
    </row>
    <row r="309" spans="4:27" ht="14.25" thickTop="1" thickBot="1">
      <c r="D309" s="69"/>
      <c r="E309" s="54" t="s">
        <v>270</v>
      </c>
      <c r="F309" s="7"/>
      <c r="G309" s="8"/>
      <c r="H309" s="7"/>
      <c r="I309" s="6"/>
      <c r="J309" s="7"/>
      <c r="K309" s="8"/>
      <c r="L309" s="7"/>
      <c r="M309" s="8"/>
      <c r="N309" s="7"/>
      <c r="O309" s="8"/>
      <c r="P309" s="7"/>
      <c r="Q309" s="7"/>
      <c r="R309" s="8"/>
      <c r="S309" s="7"/>
      <c r="T309" s="9"/>
      <c r="U309" s="7"/>
      <c r="V309" s="8"/>
      <c r="W309" s="7"/>
      <c r="X309" s="7"/>
      <c r="Y309" s="8"/>
      <c r="Z309" s="7"/>
      <c r="AA309" s="8"/>
    </row>
    <row r="310" spans="4:27" ht="14.25" thickTop="1" thickBot="1">
      <c r="D310" s="69"/>
      <c r="E310" s="54" t="s">
        <v>736</v>
      </c>
      <c r="F310" s="7"/>
      <c r="G310" s="8"/>
      <c r="H310" s="7"/>
      <c r="I310" s="6"/>
      <c r="J310" s="7"/>
      <c r="K310" s="8"/>
      <c r="L310" s="7"/>
      <c r="M310" s="8"/>
      <c r="N310" s="7"/>
      <c r="O310" s="8"/>
      <c r="P310" s="7"/>
      <c r="Q310" s="7"/>
      <c r="R310" s="8"/>
      <c r="S310" s="7"/>
      <c r="T310" s="9"/>
      <c r="U310" s="7"/>
      <c r="V310" s="8"/>
      <c r="W310" s="7"/>
      <c r="X310" s="7"/>
      <c r="Y310" s="8"/>
      <c r="Z310" s="7"/>
      <c r="AA310" s="8"/>
    </row>
    <row r="311" spans="4:27" ht="14.25" thickTop="1" thickBot="1">
      <c r="D311" s="69"/>
      <c r="E311" s="54" t="s">
        <v>759</v>
      </c>
      <c r="F311" s="7"/>
      <c r="G311" s="8"/>
      <c r="H311" s="7"/>
      <c r="I311" s="6"/>
      <c r="J311" s="7"/>
      <c r="K311" s="8"/>
      <c r="L311" s="7"/>
      <c r="M311" s="8"/>
      <c r="N311" s="7"/>
      <c r="O311" s="8"/>
      <c r="P311" s="7"/>
      <c r="Q311" s="7"/>
      <c r="R311" s="8"/>
      <c r="S311" s="7"/>
      <c r="T311" s="9"/>
      <c r="U311" s="7"/>
      <c r="V311" s="8"/>
      <c r="W311" s="7"/>
      <c r="X311" s="7"/>
      <c r="Y311" s="8"/>
      <c r="Z311" s="7"/>
      <c r="AA311" s="8"/>
    </row>
    <row r="312" spans="4:27" ht="14.25" thickTop="1" thickBot="1">
      <c r="D312" s="69"/>
      <c r="E312" s="54" t="s">
        <v>1086</v>
      </c>
      <c r="F312" s="7"/>
      <c r="G312" s="8"/>
      <c r="H312" s="7"/>
      <c r="I312" s="6"/>
      <c r="J312" s="7"/>
      <c r="K312" s="8"/>
      <c r="L312" s="7"/>
      <c r="M312" s="8"/>
      <c r="N312" s="7"/>
      <c r="O312" s="8"/>
      <c r="P312" s="7"/>
      <c r="Q312" s="7"/>
      <c r="R312" s="8"/>
      <c r="S312" s="7"/>
      <c r="T312" s="9"/>
      <c r="U312" s="7"/>
      <c r="V312" s="8"/>
      <c r="W312" s="7"/>
      <c r="X312" s="7"/>
      <c r="Y312" s="8"/>
      <c r="Z312" s="7"/>
      <c r="AA312" s="8"/>
    </row>
    <row r="313" spans="4:27" ht="14.25" thickTop="1" thickBot="1">
      <c r="D313" s="69"/>
      <c r="E313" s="54" t="s">
        <v>741</v>
      </c>
      <c r="F313" s="7"/>
      <c r="G313" s="8"/>
      <c r="H313" s="7"/>
      <c r="I313" s="6"/>
      <c r="J313" s="7"/>
      <c r="K313" s="8"/>
      <c r="L313" s="7"/>
      <c r="M313" s="8"/>
      <c r="N313" s="7"/>
      <c r="O313" s="8"/>
      <c r="P313" s="7"/>
      <c r="Q313" s="7"/>
      <c r="R313" s="8"/>
      <c r="S313" s="7"/>
      <c r="T313" s="9"/>
      <c r="U313" s="7"/>
      <c r="V313" s="8"/>
      <c r="W313" s="7"/>
      <c r="X313" s="7"/>
      <c r="Y313" s="8"/>
      <c r="Z313" s="7"/>
      <c r="AA313" s="8"/>
    </row>
    <row r="314" spans="4:27" ht="14.25" thickTop="1" thickBot="1">
      <c r="D314" s="69"/>
      <c r="E314" s="54" t="s">
        <v>1118</v>
      </c>
      <c r="F314" s="7"/>
      <c r="G314" s="8"/>
      <c r="H314" s="7"/>
      <c r="I314" s="6"/>
      <c r="J314" s="7"/>
      <c r="K314" s="8"/>
      <c r="L314" s="7"/>
      <c r="M314" s="8"/>
      <c r="N314" s="7"/>
      <c r="O314" s="8"/>
      <c r="P314" s="7"/>
      <c r="Q314" s="7"/>
      <c r="R314" s="8"/>
      <c r="S314" s="7"/>
      <c r="T314" s="9"/>
      <c r="U314" s="7"/>
      <c r="V314" s="8"/>
      <c r="W314" s="7"/>
      <c r="X314" s="7"/>
      <c r="Y314" s="8"/>
      <c r="Z314" s="7"/>
      <c r="AA314" s="8"/>
    </row>
    <row r="315" spans="4:27" ht="14.25" thickTop="1" thickBot="1">
      <c r="D315" s="69"/>
      <c r="E315" s="54" t="s">
        <v>742</v>
      </c>
      <c r="F315" s="7"/>
      <c r="G315" s="8"/>
      <c r="H315" s="7"/>
      <c r="I315" s="6"/>
      <c r="J315" s="7"/>
      <c r="K315" s="8"/>
      <c r="L315" s="7"/>
      <c r="M315" s="8"/>
      <c r="N315" s="7"/>
      <c r="O315" s="8"/>
      <c r="P315" s="7"/>
      <c r="Q315" s="7"/>
      <c r="R315" s="8"/>
      <c r="S315" s="7"/>
      <c r="T315" s="9"/>
      <c r="U315" s="7"/>
      <c r="V315" s="8"/>
      <c r="W315" s="7"/>
      <c r="X315" s="7"/>
      <c r="Y315" s="8"/>
      <c r="Z315" s="7"/>
      <c r="AA315" s="8"/>
    </row>
    <row r="316" spans="4:27" ht="14.25" thickTop="1" thickBot="1">
      <c r="D316" s="69"/>
      <c r="E316" s="54" t="s">
        <v>721</v>
      </c>
      <c r="F316" s="7"/>
      <c r="G316" s="8"/>
      <c r="H316" s="7"/>
      <c r="I316" s="6"/>
      <c r="J316" s="7"/>
      <c r="K316" s="8"/>
      <c r="L316" s="7"/>
      <c r="M316" s="8"/>
      <c r="N316" s="7"/>
      <c r="O316" s="8"/>
      <c r="P316" s="7"/>
      <c r="Q316" s="7"/>
      <c r="R316" s="8"/>
      <c r="S316" s="7"/>
      <c r="T316" s="9"/>
      <c r="U316" s="7"/>
      <c r="V316" s="8"/>
      <c r="W316" s="7"/>
      <c r="X316" s="7"/>
      <c r="Y316" s="8"/>
      <c r="Z316" s="7"/>
      <c r="AA316" s="8"/>
    </row>
    <row r="317" spans="4:27" ht="14.25" thickTop="1" thickBot="1">
      <c r="D317" s="69"/>
      <c r="E317" s="54" t="s">
        <v>750</v>
      </c>
      <c r="F317" s="7"/>
      <c r="G317" s="8"/>
      <c r="H317" s="7"/>
      <c r="I317" s="6"/>
      <c r="J317" s="7"/>
      <c r="K317" s="8"/>
      <c r="L317" s="7"/>
      <c r="M317" s="8"/>
      <c r="N317" s="7"/>
      <c r="O317" s="8"/>
      <c r="P317" s="7"/>
      <c r="Q317" s="7"/>
      <c r="R317" s="8"/>
      <c r="S317" s="7"/>
      <c r="T317" s="9"/>
      <c r="U317" s="7"/>
      <c r="V317" s="8"/>
      <c r="W317" s="7"/>
      <c r="X317" s="7"/>
      <c r="Y317" s="8"/>
      <c r="Z317" s="7"/>
      <c r="AA317" s="8"/>
    </row>
    <row r="318" spans="4:27" ht="14.25" thickTop="1" thickBot="1">
      <c r="D318" s="69"/>
      <c r="E318" s="54" t="s">
        <v>983</v>
      </c>
      <c r="F318" s="7"/>
      <c r="G318" s="8"/>
      <c r="H318" s="7"/>
      <c r="I318" s="6"/>
      <c r="J318" s="7"/>
      <c r="K318" s="8"/>
      <c r="L318" s="7"/>
      <c r="M318" s="8"/>
      <c r="N318" s="7"/>
      <c r="O318" s="8"/>
      <c r="P318" s="7"/>
      <c r="Q318" s="7"/>
      <c r="R318" s="8"/>
      <c r="S318" s="7"/>
      <c r="T318" s="9"/>
      <c r="U318" s="7"/>
      <c r="V318" s="8"/>
      <c r="W318" s="7"/>
      <c r="X318" s="7"/>
      <c r="Y318" s="8"/>
      <c r="Z318" s="7"/>
      <c r="AA318" s="8"/>
    </row>
    <row r="319" spans="4:27" ht="14.25" thickTop="1" thickBot="1">
      <c r="D319" s="69"/>
      <c r="E319" s="54" t="s">
        <v>986</v>
      </c>
      <c r="F319" s="7"/>
      <c r="G319" s="8"/>
      <c r="H319" s="7"/>
      <c r="I319" s="6"/>
      <c r="J319" s="7"/>
      <c r="K319" s="8"/>
      <c r="L319" s="7"/>
      <c r="M319" s="8"/>
      <c r="N319" s="7"/>
      <c r="O319" s="8"/>
      <c r="P319" s="7"/>
      <c r="Q319" s="7"/>
      <c r="R319" s="8"/>
      <c r="S319" s="7"/>
      <c r="T319" s="9"/>
      <c r="U319" s="7"/>
      <c r="V319" s="8"/>
      <c r="W319" s="7"/>
      <c r="X319" s="7"/>
      <c r="Y319" s="8"/>
      <c r="Z319" s="7"/>
      <c r="AA319" s="8"/>
    </row>
    <row r="320" spans="4:27" ht="14.25" thickTop="1" thickBot="1">
      <c r="D320" s="69"/>
      <c r="E320" s="54" t="s">
        <v>732</v>
      </c>
      <c r="F320" s="7"/>
      <c r="G320" s="8"/>
      <c r="H320" s="7"/>
      <c r="I320" s="6"/>
      <c r="J320" s="7"/>
      <c r="K320" s="8"/>
      <c r="L320" s="7"/>
      <c r="M320" s="8"/>
      <c r="N320" s="7"/>
      <c r="O320" s="8"/>
      <c r="P320" s="7"/>
      <c r="Q320" s="7"/>
      <c r="R320" s="8"/>
      <c r="S320" s="7"/>
      <c r="T320" s="9"/>
      <c r="U320" s="7"/>
      <c r="V320" s="8"/>
      <c r="W320" s="7"/>
      <c r="X320" s="7"/>
      <c r="Y320" s="8"/>
      <c r="Z320" s="7"/>
      <c r="AA320" s="8"/>
    </row>
    <row r="321" spans="4:27" ht="14.25" thickTop="1" thickBot="1">
      <c r="D321" s="69"/>
      <c r="E321" s="54" t="s">
        <v>1135</v>
      </c>
      <c r="F321" s="7"/>
      <c r="G321" s="8"/>
      <c r="H321" s="7"/>
      <c r="I321" s="6"/>
      <c r="J321" s="7"/>
      <c r="K321" s="8"/>
      <c r="L321" s="7"/>
      <c r="M321" s="8"/>
      <c r="N321" s="7"/>
      <c r="O321" s="8"/>
      <c r="P321" s="7"/>
      <c r="Q321" s="7"/>
      <c r="R321" s="8"/>
      <c r="S321" s="7"/>
      <c r="T321" s="9"/>
      <c r="U321" s="7"/>
      <c r="V321" s="8"/>
      <c r="W321" s="7"/>
      <c r="X321" s="7"/>
      <c r="Y321" s="8"/>
      <c r="Z321" s="7"/>
      <c r="AA321" s="8"/>
    </row>
    <row r="322" spans="4:27" ht="14.25" thickTop="1" thickBot="1">
      <c r="D322" s="69"/>
      <c r="E322" s="54" t="s">
        <v>1304</v>
      </c>
      <c r="F322" s="7"/>
      <c r="G322" s="8"/>
      <c r="H322" s="7"/>
      <c r="I322" s="6"/>
      <c r="J322" s="7"/>
      <c r="K322" s="8"/>
      <c r="L322" s="7"/>
      <c r="M322" s="8"/>
      <c r="N322" s="7"/>
      <c r="O322" s="8"/>
      <c r="P322" s="7"/>
      <c r="Q322" s="7"/>
      <c r="R322" s="8"/>
      <c r="S322" s="7"/>
      <c r="T322" s="9"/>
      <c r="U322" s="7"/>
      <c r="V322" s="8"/>
      <c r="W322" s="7"/>
      <c r="X322" s="7"/>
      <c r="Y322" s="8"/>
      <c r="Z322" s="7"/>
      <c r="AA322" s="8"/>
    </row>
    <row r="323" spans="4:27" ht="14.25" thickTop="1" thickBot="1">
      <c r="D323" s="69"/>
      <c r="E323" s="54" t="s">
        <v>739</v>
      </c>
      <c r="F323" s="7"/>
      <c r="G323" s="8"/>
      <c r="H323" s="7"/>
      <c r="I323" s="6"/>
      <c r="J323" s="7"/>
      <c r="K323" s="8"/>
      <c r="L323" s="7"/>
      <c r="M323" s="8"/>
      <c r="N323" s="7"/>
      <c r="O323" s="8"/>
      <c r="P323" s="7"/>
      <c r="Q323" s="7"/>
      <c r="R323" s="8"/>
      <c r="S323" s="7"/>
      <c r="T323" s="9"/>
      <c r="U323" s="7"/>
      <c r="V323" s="8"/>
      <c r="W323" s="7"/>
      <c r="X323" s="7"/>
      <c r="Y323" s="8"/>
      <c r="Z323" s="7"/>
      <c r="AA323" s="8"/>
    </row>
    <row r="324" spans="4:27" ht="14.25" thickTop="1" thickBot="1">
      <c r="D324" s="69"/>
      <c r="E324" s="54" t="s">
        <v>1305</v>
      </c>
      <c r="F324" s="7"/>
      <c r="G324" s="8"/>
      <c r="H324" s="7"/>
      <c r="I324" s="6"/>
      <c r="J324" s="7"/>
      <c r="K324" s="8"/>
      <c r="L324" s="7"/>
      <c r="M324" s="8"/>
      <c r="N324" s="7"/>
      <c r="O324" s="8"/>
      <c r="P324" s="7"/>
      <c r="Q324" s="7"/>
      <c r="R324" s="8"/>
      <c r="S324" s="7"/>
      <c r="T324" s="9"/>
      <c r="U324" s="7"/>
      <c r="V324" s="8"/>
      <c r="W324" s="7"/>
      <c r="X324" s="7"/>
      <c r="Y324" s="8"/>
      <c r="Z324" s="7"/>
      <c r="AA324" s="8"/>
    </row>
    <row r="325" spans="4:27" ht="14.25" thickTop="1" thickBot="1">
      <c r="D325" s="69"/>
      <c r="E325" s="54" t="s">
        <v>1003</v>
      </c>
      <c r="F325" s="7"/>
      <c r="G325" s="8"/>
      <c r="H325" s="7"/>
      <c r="I325" s="6"/>
      <c r="J325" s="7"/>
      <c r="K325" s="8"/>
      <c r="L325" s="7"/>
      <c r="M325" s="8"/>
      <c r="N325" s="7"/>
      <c r="O325" s="8"/>
      <c r="P325" s="7"/>
      <c r="Q325" s="7"/>
      <c r="R325" s="8"/>
      <c r="S325" s="7"/>
      <c r="T325" s="9"/>
      <c r="U325" s="7"/>
      <c r="V325" s="8"/>
      <c r="W325" s="7"/>
      <c r="X325" s="7"/>
      <c r="Y325" s="8"/>
      <c r="Z325" s="7"/>
      <c r="AA325" s="8"/>
    </row>
    <row r="326" spans="4:27" ht="14.25" thickTop="1" thickBot="1">
      <c r="D326" s="69"/>
      <c r="E326" s="54" t="s">
        <v>1110</v>
      </c>
      <c r="F326" s="7"/>
      <c r="G326" s="8"/>
      <c r="H326" s="7"/>
      <c r="I326" s="6"/>
      <c r="J326" s="7"/>
      <c r="K326" s="8"/>
      <c r="L326" s="7"/>
      <c r="M326" s="8"/>
      <c r="N326" s="7"/>
      <c r="O326" s="8"/>
      <c r="P326" s="7"/>
      <c r="Q326" s="7"/>
      <c r="R326" s="8"/>
      <c r="S326" s="7"/>
      <c r="T326" s="9"/>
      <c r="U326" s="7"/>
      <c r="V326" s="8"/>
      <c r="W326" s="7"/>
      <c r="X326" s="7"/>
      <c r="Y326" s="8"/>
      <c r="Z326" s="7"/>
      <c r="AA326" s="8"/>
    </row>
    <row r="327" spans="4:27" ht="14.25" thickTop="1" thickBot="1">
      <c r="D327" s="69"/>
      <c r="E327" s="54" t="s">
        <v>992</v>
      </c>
      <c r="F327" s="7"/>
      <c r="G327" s="8"/>
      <c r="H327" s="7"/>
      <c r="I327" s="6"/>
      <c r="J327" s="7"/>
      <c r="K327" s="8"/>
      <c r="L327" s="7"/>
      <c r="M327" s="8"/>
      <c r="N327" s="7"/>
      <c r="O327" s="8"/>
      <c r="P327" s="7"/>
      <c r="Q327" s="7"/>
      <c r="R327" s="8"/>
      <c r="S327" s="7"/>
      <c r="T327" s="9"/>
      <c r="U327" s="7"/>
      <c r="V327" s="8"/>
      <c r="W327" s="7"/>
      <c r="X327" s="7"/>
      <c r="Y327" s="8"/>
      <c r="Z327" s="7"/>
      <c r="AA327" s="8"/>
    </row>
    <row r="328" spans="4:27" ht="14.25" thickTop="1" thickBot="1">
      <c r="D328" s="69"/>
      <c r="E328" s="54" t="s">
        <v>1306</v>
      </c>
      <c r="F328" s="7"/>
      <c r="G328" s="8"/>
      <c r="H328" s="7"/>
      <c r="I328" s="6"/>
      <c r="J328" s="7"/>
      <c r="K328" s="8"/>
      <c r="L328" s="7"/>
      <c r="M328" s="8"/>
      <c r="N328" s="7"/>
      <c r="O328" s="8"/>
      <c r="P328" s="7"/>
      <c r="Q328" s="7"/>
      <c r="R328" s="8"/>
      <c r="S328" s="7"/>
      <c r="T328" s="9"/>
      <c r="U328" s="7"/>
      <c r="V328" s="8"/>
      <c r="W328" s="7"/>
      <c r="X328" s="7"/>
      <c r="Y328" s="8"/>
      <c r="Z328" s="7"/>
      <c r="AA328" s="8"/>
    </row>
    <row r="329" spans="4:27" ht="14.25" thickTop="1" thickBot="1">
      <c r="D329" s="69"/>
      <c r="E329" s="54" t="s">
        <v>1307</v>
      </c>
      <c r="F329" s="7"/>
      <c r="G329" s="8"/>
      <c r="H329" s="7"/>
      <c r="I329" s="6"/>
      <c r="J329" s="7"/>
      <c r="K329" s="8"/>
      <c r="L329" s="7"/>
      <c r="M329" s="8"/>
      <c r="N329" s="7"/>
      <c r="O329" s="8"/>
      <c r="P329" s="7"/>
      <c r="Q329" s="7"/>
      <c r="R329" s="8"/>
      <c r="S329" s="7"/>
      <c r="T329" s="9"/>
      <c r="U329" s="7"/>
      <c r="V329" s="8"/>
      <c r="W329" s="7"/>
      <c r="X329" s="7"/>
      <c r="Y329" s="8"/>
      <c r="Z329" s="7"/>
      <c r="AA329" s="8"/>
    </row>
    <row r="330" spans="4:27" ht="14.25" thickTop="1" thickBot="1">
      <c r="D330" s="69"/>
      <c r="E330" s="54" t="s">
        <v>41</v>
      </c>
      <c r="F330" s="7"/>
      <c r="G330" s="8"/>
      <c r="H330" s="7"/>
      <c r="I330" s="6"/>
      <c r="J330" s="7"/>
      <c r="K330" s="8"/>
      <c r="L330" s="7"/>
      <c r="M330" s="8"/>
      <c r="N330" s="7"/>
      <c r="O330" s="8"/>
      <c r="P330" s="7"/>
      <c r="Q330" s="7"/>
      <c r="R330" s="8"/>
      <c r="S330" s="7"/>
      <c r="T330" s="9"/>
      <c r="U330" s="7"/>
      <c r="V330" s="8"/>
      <c r="W330" s="7"/>
      <c r="X330" s="7"/>
      <c r="Y330" s="8"/>
      <c r="Z330" s="7"/>
      <c r="AA330" s="8"/>
    </row>
    <row r="331" spans="4:27" ht="14.25" thickTop="1" thickBot="1">
      <c r="D331" s="69"/>
      <c r="E331" s="54" t="s">
        <v>1308</v>
      </c>
      <c r="F331" s="7"/>
      <c r="G331" s="8"/>
      <c r="H331" s="7"/>
      <c r="I331" s="6"/>
      <c r="J331" s="7"/>
      <c r="K331" s="8"/>
      <c r="L331" s="7"/>
      <c r="M331" s="8"/>
      <c r="N331" s="7"/>
      <c r="O331" s="8"/>
      <c r="P331" s="7"/>
      <c r="Q331" s="7"/>
      <c r="R331" s="8"/>
      <c r="S331" s="7"/>
      <c r="T331" s="9"/>
      <c r="U331" s="7"/>
      <c r="V331" s="8"/>
      <c r="W331" s="7"/>
      <c r="X331" s="7"/>
      <c r="Y331" s="8"/>
      <c r="Z331" s="7"/>
      <c r="AA331" s="8"/>
    </row>
    <row r="332" spans="4:27" ht="14.25" thickTop="1" thickBot="1">
      <c r="D332" s="69"/>
      <c r="E332" s="54" t="s">
        <v>1309</v>
      </c>
      <c r="F332" s="7"/>
      <c r="G332" s="8"/>
      <c r="H332" s="7"/>
      <c r="I332" s="6"/>
      <c r="J332" s="7"/>
      <c r="K332" s="8"/>
      <c r="L332" s="7"/>
      <c r="M332" s="8"/>
      <c r="N332" s="7"/>
      <c r="O332" s="8"/>
      <c r="P332" s="7"/>
      <c r="Q332" s="7"/>
      <c r="R332" s="8"/>
      <c r="S332" s="7"/>
      <c r="T332" s="9"/>
      <c r="U332" s="7"/>
      <c r="V332" s="8"/>
      <c r="W332" s="7"/>
      <c r="X332" s="7"/>
      <c r="Y332" s="8"/>
      <c r="Z332" s="7"/>
      <c r="AA332" s="8"/>
    </row>
    <row r="333" spans="4:27" ht="14.25" thickTop="1" thickBot="1">
      <c r="D333" s="69"/>
      <c r="E333" s="54" t="s">
        <v>1129</v>
      </c>
      <c r="F333" s="7"/>
      <c r="G333" s="8"/>
      <c r="H333" s="7"/>
      <c r="I333" s="6"/>
      <c r="J333" s="7"/>
      <c r="K333" s="8"/>
      <c r="L333" s="7"/>
      <c r="M333" s="8"/>
      <c r="N333" s="7"/>
      <c r="O333" s="8"/>
      <c r="P333" s="7"/>
      <c r="Q333" s="7"/>
      <c r="R333" s="8"/>
      <c r="S333" s="7"/>
      <c r="T333" s="9"/>
      <c r="U333" s="7"/>
      <c r="V333" s="8"/>
      <c r="W333" s="7"/>
      <c r="X333" s="7"/>
      <c r="Y333" s="8"/>
      <c r="Z333" s="7"/>
      <c r="AA333" s="8"/>
    </row>
    <row r="334" spans="4:27" ht="14.25" thickTop="1" thickBot="1">
      <c r="D334" s="69"/>
      <c r="E334" s="54" t="s">
        <v>991</v>
      </c>
      <c r="F334" s="7"/>
      <c r="G334" s="8"/>
      <c r="H334" s="7"/>
      <c r="I334" s="6"/>
      <c r="J334" s="7"/>
      <c r="K334" s="8"/>
      <c r="L334" s="7"/>
      <c r="M334" s="8"/>
      <c r="N334" s="7"/>
      <c r="O334" s="8"/>
      <c r="P334" s="7"/>
      <c r="Q334" s="7"/>
      <c r="R334" s="8"/>
      <c r="S334" s="7"/>
      <c r="T334" s="9"/>
      <c r="U334" s="7"/>
      <c r="V334" s="8"/>
      <c r="W334" s="7"/>
      <c r="X334" s="7"/>
      <c r="Y334" s="8"/>
      <c r="Z334" s="7"/>
      <c r="AA334" s="8"/>
    </row>
    <row r="335" spans="4:27" ht="14.25" thickTop="1" thickBot="1">
      <c r="D335" s="69"/>
      <c r="E335" s="54" t="s">
        <v>1310</v>
      </c>
      <c r="F335" s="7"/>
      <c r="G335" s="8"/>
      <c r="H335" s="7"/>
      <c r="I335" s="6"/>
      <c r="J335" s="7"/>
      <c r="K335" s="8"/>
      <c r="L335" s="7"/>
      <c r="M335" s="8"/>
      <c r="N335" s="7"/>
      <c r="O335" s="8"/>
      <c r="P335" s="7"/>
      <c r="Q335" s="7"/>
      <c r="R335" s="8"/>
      <c r="S335" s="7"/>
      <c r="T335" s="9"/>
      <c r="U335" s="7"/>
      <c r="V335" s="8"/>
      <c r="W335" s="7"/>
      <c r="X335" s="7"/>
      <c r="Y335" s="8"/>
      <c r="Z335" s="7"/>
      <c r="AA335" s="8"/>
    </row>
    <row r="336" spans="4:27" ht="14.25" thickTop="1" thickBot="1">
      <c r="D336" s="69"/>
      <c r="E336" s="54" t="s">
        <v>1011</v>
      </c>
      <c r="F336" s="7"/>
      <c r="G336" s="8"/>
      <c r="H336" s="7"/>
      <c r="I336" s="6"/>
      <c r="J336" s="7"/>
      <c r="K336" s="8"/>
      <c r="L336" s="7"/>
      <c r="M336" s="8"/>
      <c r="N336" s="7"/>
      <c r="O336" s="8"/>
      <c r="P336" s="7"/>
      <c r="Q336" s="7"/>
      <c r="R336" s="8"/>
      <c r="S336" s="7"/>
      <c r="T336" s="9"/>
      <c r="U336" s="7"/>
      <c r="V336" s="8"/>
      <c r="W336" s="7"/>
      <c r="X336" s="7"/>
      <c r="Y336" s="8"/>
      <c r="Z336" s="7"/>
      <c r="AA336" s="8"/>
    </row>
    <row r="337" spans="4:27" ht="14.25" thickTop="1" thickBot="1">
      <c r="D337" s="69"/>
      <c r="E337" s="54" t="s">
        <v>993</v>
      </c>
      <c r="F337" s="7"/>
      <c r="G337" s="8"/>
      <c r="H337" s="7"/>
      <c r="I337" s="6"/>
      <c r="J337" s="7"/>
      <c r="K337" s="8"/>
      <c r="L337" s="7"/>
      <c r="M337" s="8"/>
      <c r="N337" s="7"/>
      <c r="O337" s="8"/>
      <c r="P337" s="7"/>
      <c r="Q337" s="7"/>
      <c r="R337" s="8"/>
      <c r="S337" s="7"/>
      <c r="T337" s="9"/>
      <c r="U337" s="7"/>
      <c r="V337" s="8"/>
      <c r="W337" s="7"/>
      <c r="X337" s="7"/>
      <c r="Y337" s="8"/>
      <c r="Z337" s="7"/>
      <c r="AA337" s="8"/>
    </row>
    <row r="338" spans="4:27" ht="14.25" thickTop="1" thickBot="1">
      <c r="D338" s="69"/>
      <c r="E338" s="54" t="s">
        <v>749</v>
      </c>
      <c r="F338" s="7"/>
      <c r="G338" s="8"/>
      <c r="H338" s="7"/>
      <c r="I338" s="6"/>
      <c r="J338" s="7"/>
      <c r="K338" s="8"/>
      <c r="L338" s="7"/>
      <c r="M338" s="8"/>
      <c r="N338" s="7"/>
      <c r="O338" s="8"/>
      <c r="P338" s="7"/>
      <c r="Q338" s="7"/>
      <c r="R338" s="8"/>
      <c r="S338" s="7"/>
      <c r="T338" s="9"/>
      <c r="U338" s="7"/>
      <c r="V338" s="8"/>
      <c r="W338" s="7"/>
      <c r="X338" s="7"/>
      <c r="Y338" s="8"/>
      <c r="Z338" s="7"/>
      <c r="AA338" s="8"/>
    </row>
    <row r="339" spans="4:27" ht="14.25" thickTop="1" thickBot="1">
      <c r="D339" s="69"/>
      <c r="E339" s="54" t="s">
        <v>724</v>
      </c>
      <c r="F339" s="7"/>
      <c r="G339" s="8"/>
      <c r="H339" s="7"/>
      <c r="I339" s="6"/>
      <c r="J339" s="7"/>
      <c r="K339" s="8"/>
      <c r="L339" s="7"/>
      <c r="M339" s="8"/>
      <c r="N339" s="7"/>
      <c r="O339" s="8"/>
      <c r="P339" s="7"/>
      <c r="Q339" s="7"/>
      <c r="R339" s="8"/>
      <c r="S339" s="7"/>
      <c r="T339" s="9"/>
      <c r="U339" s="7"/>
      <c r="V339" s="8"/>
      <c r="W339" s="7"/>
      <c r="X339" s="7"/>
      <c r="Y339" s="8"/>
      <c r="Z339" s="7"/>
      <c r="AA339" s="8"/>
    </row>
    <row r="340" spans="4:27" ht="14.25" thickTop="1" thickBot="1">
      <c r="D340" s="69"/>
      <c r="E340" s="54" t="s">
        <v>161</v>
      </c>
      <c r="F340" s="7"/>
      <c r="G340" s="8"/>
      <c r="H340" s="7"/>
      <c r="I340" s="6"/>
      <c r="J340" s="7"/>
      <c r="K340" s="8"/>
      <c r="L340" s="7"/>
      <c r="M340" s="8"/>
      <c r="N340" s="7"/>
      <c r="O340" s="8"/>
      <c r="P340" s="7"/>
      <c r="Q340" s="7"/>
      <c r="R340" s="8"/>
      <c r="S340" s="7"/>
      <c r="T340" s="9"/>
      <c r="U340" s="7"/>
      <c r="V340" s="8"/>
      <c r="W340" s="7"/>
      <c r="X340" s="7"/>
      <c r="Y340" s="8"/>
      <c r="Z340" s="7"/>
      <c r="AA340" s="8"/>
    </row>
    <row r="341" spans="4:27" ht="14.25" thickTop="1" thickBot="1">
      <c r="D341" s="69"/>
      <c r="E341" s="54" t="s">
        <v>248</v>
      </c>
      <c r="F341" s="7"/>
      <c r="G341" s="8"/>
      <c r="H341" s="7"/>
      <c r="I341" s="6"/>
      <c r="J341" s="7"/>
      <c r="K341" s="8"/>
      <c r="L341" s="7"/>
      <c r="M341" s="8"/>
      <c r="N341" s="7"/>
      <c r="O341" s="8"/>
      <c r="P341" s="7"/>
      <c r="Q341" s="7"/>
      <c r="R341" s="8"/>
      <c r="S341" s="7"/>
      <c r="T341" s="9"/>
      <c r="U341" s="7"/>
      <c r="V341" s="8"/>
      <c r="W341" s="7"/>
      <c r="X341" s="7"/>
      <c r="Y341" s="8"/>
      <c r="Z341" s="7"/>
      <c r="AA341" s="8"/>
    </row>
    <row r="342" spans="4:27" ht="14.25" thickTop="1" thickBot="1">
      <c r="D342" s="69"/>
      <c r="E342" s="54" t="s">
        <v>162</v>
      </c>
      <c r="F342" s="7"/>
      <c r="G342" s="8"/>
      <c r="H342" s="7"/>
      <c r="I342" s="6"/>
      <c r="J342" s="7"/>
      <c r="K342" s="8"/>
      <c r="L342" s="7"/>
      <c r="M342" s="8"/>
      <c r="N342" s="7"/>
      <c r="O342" s="8"/>
      <c r="P342" s="7"/>
      <c r="Q342" s="7"/>
      <c r="R342" s="8"/>
      <c r="S342" s="7"/>
      <c r="T342" s="9"/>
      <c r="U342" s="7"/>
      <c r="V342" s="8"/>
      <c r="W342" s="7"/>
      <c r="X342" s="7"/>
      <c r="Y342" s="8"/>
      <c r="Z342" s="7"/>
      <c r="AA342" s="8"/>
    </row>
    <row r="343" spans="4:27" ht="14.25" thickTop="1" thickBot="1">
      <c r="D343" s="69"/>
      <c r="E343" s="54" t="s">
        <v>163</v>
      </c>
      <c r="F343" s="7"/>
      <c r="G343" s="8"/>
      <c r="H343" s="7"/>
      <c r="I343" s="6"/>
      <c r="J343" s="7"/>
      <c r="K343" s="8"/>
      <c r="L343" s="7"/>
      <c r="M343" s="8"/>
      <c r="N343" s="7"/>
      <c r="O343" s="8"/>
      <c r="P343" s="7"/>
      <c r="Q343" s="7"/>
      <c r="R343" s="8"/>
      <c r="S343" s="7"/>
      <c r="T343" s="9"/>
      <c r="U343" s="7"/>
      <c r="V343" s="8"/>
      <c r="W343" s="7"/>
      <c r="X343" s="7"/>
      <c r="Y343" s="8"/>
      <c r="Z343" s="7"/>
      <c r="AA343" s="8"/>
    </row>
    <row r="344" spans="4:27" ht="14.25" thickTop="1" thickBot="1">
      <c r="D344" s="69"/>
      <c r="E344" s="54" t="s">
        <v>164</v>
      </c>
      <c r="F344" s="7"/>
      <c r="G344" s="8"/>
      <c r="H344" s="7"/>
      <c r="I344" s="6"/>
      <c r="J344" s="7"/>
      <c r="K344" s="8"/>
      <c r="L344" s="7"/>
      <c r="M344" s="8"/>
      <c r="N344" s="7"/>
      <c r="O344" s="8"/>
      <c r="P344" s="7"/>
      <c r="Q344" s="7"/>
      <c r="R344" s="8"/>
      <c r="S344" s="7"/>
      <c r="T344" s="9"/>
      <c r="U344" s="7"/>
      <c r="V344" s="8"/>
      <c r="W344" s="7"/>
      <c r="X344" s="7"/>
      <c r="Y344" s="8"/>
      <c r="Z344" s="7"/>
      <c r="AA344" s="8"/>
    </row>
    <row r="345" spans="4:27" ht="14.25" thickTop="1" thickBot="1">
      <c r="D345" s="69"/>
      <c r="E345" s="54" t="s">
        <v>1056</v>
      </c>
      <c r="F345" s="7"/>
      <c r="G345" s="8"/>
      <c r="H345" s="7"/>
      <c r="I345" s="6"/>
      <c r="J345" s="7"/>
      <c r="K345" s="8"/>
      <c r="L345" s="7"/>
      <c r="M345" s="8"/>
      <c r="N345" s="7"/>
      <c r="O345" s="8"/>
      <c r="P345" s="7"/>
      <c r="Q345" s="7"/>
      <c r="R345" s="8"/>
      <c r="S345" s="7"/>
      <c r="T345" s="9"/>
      <c r="U345" s="7"/>
      <c r="V345" s="8"/>
      <c r="W345" s="7"/>
      <c r="X345" s="7"/>
      <c r="Y345" s="8"/>
      <c r="Z345" s="7"/>
      <c r="AA345" s="8"/>
    </row>
    <row r="346" spans="4:27" ht="14.25" thickTop="1" thickBot="1">
      <c r="D346" s="69"/>
      <c r="E346" s="54" t="s">
        <v>1048</v>
      </c>
      <c r="F346" s="7"/>
      <c r="G346" s="8"/>
      <c r="H346" s="7"/>
      <c r="I346" s="6"/>
      <c r="J346" s="7"/>
      <c r="K346" s="8"/>
      <c r="L346" s="7"/>
      <c r="M346" s="8"/>
      <c r="N346" s="7"/>
      <c r="O346" s="8"/>
      <c r="P346" s="7"/>
      <c r="Q346" s="7"/>
      <c r="R346" s="8"/>
      <c r="S346" s="7"/>
      <c r="T346" s="9"/>
      <c r="U346" s="7"/>
      <c r="V346" s="8"/>
      <c r="W346" s="7"/>
      <c r="X346" s="7"/>
      <c r="Y346" s="8"/>
      <c r="Z346" s="7"/>
      <c r="AA346" s="8"/>
    </row>
    <row r="347" spans="4:27" ht="14.25" thickTop="1" thickBot="1">
      <c r="D347" s="69"/>
      <c r="E347" s="54" t="s">
        <v>1044</v>
      </c>
      <c r="F347" s="7"/>
      <c r="G347" s="8"/>
      <c r="H347" s="7"/>
      <c r="I347" s="6"/>
      <c r="J347" s="7"/>
      <c r="K347" s="8"/>
      <c r="L347" s="7"/>
      <c r="M347" s="8"/>
      <c r="N347" s="7"/>
      <c r="O347" s="8"/>
      <c r="P347" s="7"/>
      <c r="Q347" s="7"/>
      <c r="R347" s="8"/>
      <c r="S347" s="7"/>
      <c r="T347" s="9"/>
      <c r="U347" s="7"/>
      <c r="V347" s="8"/>
      <c r="W347" s="7"/>
      <c r="X347" s="7"/>
      <c r="Y347" s="8"/>
      <c r="Z347" s="7"/>
      <c r="AA347" s="8"/>
    </row>
    <row r="348" spans="4:27" ht="14.25" thickTop="1" thickBot="1">
      <c r="D348" s="69"/>
      <c r="E348" s="54" t="s">
        <v>1311</v>
      </c>
      <c r="F348" s="7"/>
      <c r="G348" s="8"/>
      <c r="H348" s="7"/>
      <c r="I348" s="6"/>
      <c r="J348" s="7"/>
      <c r="K348" s="8"/>
      <c r="L348" s="7"/>
      <c r="M348" s="8"/>
      <c r="N348" s="7"/>
      <c r="O348" s="8"/>
      <c r="P348" s="7"/>
      <c r="Q348" s="7"/>
      <c r="R348" s="8"/>
      <c r="S348" s="7"/>
      <c r="T348" s="9"/>
      <c r="U348" s="7"/>
      <c r="V348" s="8"/>
      <c r="W348" s="7"/>
      <c r="X348" s="7"/>
      <c r="Y348" s="8"/>
      <c r="Z348" s="7"/>
      <c r="AA348" s="8"/>
    </row>
    <row r="349" spans="4:27" ht="14.25" thickTop="1" thickBot="1">
      <c r="D349" s="69"/>
      <c r="E349" s="54" t="s">
        <v>247</v>
      </c>
      <c r="F349" s="7"/>
      <c r="G349" s="8"/>
      <c r="H349" s="7"/>
      <c r="I349" s="6"/>
      <c r="J349" s="7"/>
      <c r="K349" s="8"/>
      <c r="L349" s="7"/>
      <c r="M349" s="8"/>
      <c r="N349" s="7"/>
      <c r="O349" s="8"/>
      <c r="P349" s="7"/>
      <c r="Q349" s="7"/>
      <c r="R349" s="8"/>
      <c r="S349" s="7"/>
      <c r="T349" s="9"/>
      <c r="U349" s="7"/>
      <c r="V349" s="8"/>
      <c r="W349" s="7"/>
      <c r="X349" s="7"/>
      <c r="Y349" s="8"/>
      <c r="Z349" s="7"/>
      <c r="AA349" s="8"/>
    </row>
    <row r="350" spans="4:27" ht="14.25" thickTop="1" thickBot="1">
      <c r="D350" s="69"/>
      <c r="E350" s="54" t="s">
        <v>214</v>
      </c>
      <c r="F350" s="7"/>
      <c r="G350" s="8"/>
      <c r="H350" s="7"/>
      <c r="I350" s="6"/>
      <c r="J350" s="7"/>
      <c r="K350" s="8"/>
      <c r="L350" s="7"/>
      <c r="M350" s="8"/>
      <c r="N350" s="7"/>
      <c r="O350" s="8"/>
      <c r="P350" s="7"/>
      <c r="Q350" s="7"/>
      <c r="R350" s="8"/>
      <c r="S350" s="7"/>
      <c r="T350" s="9"/>
      <c r="U350" s="7"/>
      <c r="V350" s="8"/>
      <c r="W350" s="7"/>
      <c r="X350" s="7"/>
      <c r="Y350" s="8"/>
      <c r="Z350" s="7"/>
      <c r="AA350" s="8"/>
    </row>
    <row r="351" spans="4:27" ht="14.25" thickTop="1" thickBot="1">
      <c r="D351" s="69"/>
      <c r="E351" s="54" t="s">
        <v>1035</v>
      </c>
      <c r="F351" s="7"/>
      <c r="G351" s="8"/>
      <c r="H351" s="7"/>
      <c r="I351" s="6"/>
      <c r="J351" s="7"/>
      <c r="K351" s="8"/>
      <c r="L351" s="7"/>
      <c r="M351" s="8"/>
      <c r="N351" s="7"/>
      <c r="O351" s="8"/>
      <c r="P351" s="7"/>
      <c r="Q351" s="7"/>
      <c r="R351" s="8"/>
      <c r="S351" s="7"/>
      <c r="T351" s="9"/>
      <c r="U351" s="7"/>
      <c r="V351" s="8"/>
      <c r="W351" s="7"/>
      <c r="X351" s="7"/>
      <c r="Y351" s="8"/>
      <c r="Z351" s="7"/>
      <c r="AA351" s="8"/>
    </row>
    <row r="352" spans="4:27" ht="14.25" thickTop="1" thickBot="1">
      <c r="D352" s="69"/>
      <c r="E352" s="54" t="s">
        <v>240</v>
      </c>
      <c r="F352" s="7"/>
      <c r="G352" s="8"/>
      <c r="H352" s="7"/>
      <c r="I352" s="6"/>
      <c r="J352" s="7"/>
      <c r="K352" s="8"/>
      <c r="L352" s="7"/>
      <c r="M352" s="8"/>
      <c r="N352" s="7"/>
      <c r="O352" s="8"/>
      <c r="P352" s="7"/>
      <c r="Q352" s="7"/>
      <c r="R352" s="8"/>
      <c r="S352" s="7"/>
      <c r="T352" s="9"/>
      <c r="U352" s="7"/>
      <c r="V352" s="8"/>
      <c r="W352" s="7"/>
      <c r="X352" s="7"/>
      <c r="Y352" s="8"/>
      <c r="Z352" s="7"/>
      <c r="AA352" s="8"/>
    </row>
    <row r="353" spans="4:27" ht="14.25" thickTop="1" thickBot="1">
      <c r="D353" s="69"/>
      <c r="E353" s="54" t="s">
        <v>225</v>
      </c>
      <c r="F353" s="7"/>
      <c r="G353" s="8"/>
      <c r="H353" s="7"/>
      <c r="I353" s="6"/>
      <c r="J353" s="7"/>
      <c r="K353" s="8"/>
      <c r="L353" s="7"/>
      <c r="M353" s="8"/>
      <c r="N353" s="7"/>
      <c r="O353" s="8"/>
      <c r="P353" s="7"/>
      <c r="Q353" s="7"/>
      <c r="R353" s="8"/>
      <c r="S353" s="7"/>
      <c r="T353" s="9"/>
      <c r="U353" s="7"/>
      <c r="V353" s="8"/>
      <c r="W353" s="7"/>
      <c r="X353" s="7"/>
      <c r="Y353" s="8"/>
      <c r="Z353" s="7"/>
      <c r="AA353" s="8"/>
    </row>
    <row r="354" spans="4:27" ht="14.25" thickTop="1" thickBot="1">
      <c r="D354" s="69"/>
      <c r="E354" s="54" t="s">
        <v>298</v>
      </c>
      <c r="F354" s="7"/>
      <c r="G354" s="8"/>
      <c r="H354" s="7"/>
      <c r="I354" s="6"/>
      <c r="J354" s="7"/>
      <c r="K354" s="8"/>
      <c r="L354" s="7"/>
      <c r="M354" s="8"/>
      <c r="N354" s="7"/>
      <c r="O354" s="8"/>
      <c r="P354" s="7"/>
      <c r="Q354" s="7"/>
      <c r="R354" s="8"/>
      <c r="S354" s="7"/>
      <c r="T354" s="9"/>
      <c r="U354" s="7"/>
      <c r="V354" s="8"/>
      <c r="W354" s="7"/>
      <c r="X354" s="7"/>
      <c r="Y354" s="8"/>
      <c r="Z354" s="7"/>
      <c r="AA354" s="8"/>
    </row>
    <row r="355" spans="4:27" ht="14.25" thickTop="1" thickBot="1">
      <c r="D355" s="69"/>
      <c r="E355" s="54" t="s">
        <v>215</v>
      </c>
      <c r="F355" s="7"/>
      <c r="G355" s="8"/>
      <c r="H355" s="7"/>
      <c r="I355" s="6"/>
      <c r="J355" s="7"/>
      <c r="K355" s="8"/>
      <c r="L355" s="7"/>
      <c r="M355" s="8"/>
      <c r="N355" s="7"/>
      <c r="O355" s="8"/>
      <c r="P355" s="7"/>
      <c r="Q355" s="7"/>
      <c r="R355" s="8"/>
      <c r="S355" s="7"/>
      <c r="T355" s="9"/>
      <c r="U355" s="7"/>
      <c r="V355" s="8"/>
      <c r="W355" s="7"/>
      <c r="X355" s="7"/>
      <c r="Y355" s="8"/>
      <c r="Z355" s="7"/>
      <c r="AA355" s="8"/>
    </row>
    <row r="356" spans="4:27" ht="14.25" thickTop="1" thickBot="1">
      <c r="D356" s="69"/>
      <c r="E356" s="54" t="s">
        <v>217</v>
      </c>
      <c r="F356" s="7"/>
      <c r="G356" s="8"/>
      <c r="H356" s="7"/>
      <c r="I356" s="6"/>
      <c r="J356" s="7"/>
      <c r="K356" s="8"/>
      <c r="L356" s="7"/>
      <c r="M356" s="8"/>
      <c r="N356" s="7"/>
      <c r="O356" s="8"/>
      <c r="P356" s="7"/>
      <c r="Q356" s="7"/>
      <c r="R356" s="8"/>
      <c r="S356" s="7"/>
      <c r="T356" s="9"/>
      <c r="U356" s="7"/>
      <c r="V356" s="8"/>
      <c r="W356" s="7"/>
      <c r="X356" s="7"/>
      <c r="Y356" s="8"/>
      <c r="Z356" s="7"/>
      <c r="AA356" s="8"/>
    </row>
    <row r="357" spans="4:27" ht="14.25" thickTop="1" thickBot="1">
      <c r="D357" s="69"/>
      <c r="E357" s="54" t="s">
        <v>1026</v>
      </c>
      <c r="F357" s="7"/>
      <c r="G357" s="8"/>
      <c r="H357" s="7"/>
      <c r="I357" s="6"/>
      <c r="J357" s="7"/>
      <c r="K357" s="8"/>
      <c r="L357" s="7"/>
      <c r="M357" s="8"/>
      <c r="N357" s="7"/>
      <c r="O357" s="8"/>
      <c r="P357" s="7"/>
      <c r="Q357" s="7"/>
      <c r="R357" s="8"/>
      <c r="S357" s="7"/>
      <c r="T357" s="9"/>
      <c r="U357" s="7"/>
      <c r="V357" s="8"/>
      <c r="W357" s="7"/>
      <c r="X357" s="7"/>
      <c r="Y357" s="8"/>
      <c r="Z357" s="7"/>
      <c r="AA357" s="8"/>
    </row>
    <row r="358" spans="4:27" ht="14.25" thickTop="1" thickBot="1">
      <c r="D358" s="69"/>
      <c r="E358" s="54" t="s">
        <v>289</v>
      </c>
      <c r="F358" s="7"/>
      <c r="G358" s="8"/>
      <c r="H358" s="7"/>
      <c r="I358" s="6"/>
      <c r="J358" s="7"/>
      <c r="K358" s="8"/>
      <c r="L358" s="7"/>
      <c r="M358" s="8"/>
      <c r="N358" s="7"/>
      <c r="O358" s="8"/>
      <c r="P358" s="7"/>
      <c r="Q358" s="7"/>
      <c r="R358" s="8"/>
      <c r="S358" s="7"/>
      <c r="T358" s="9"/>
      <c r="U358" s="7"/>
      <c r="V358" s="8"/>
      <c r="W358" s="7"/>
      <c r="X358" s="7"/>
      <c r="Y358" s="8"/>
      <c r="Z358" s="7"/>
      <c r="AA358" s="8"/>
    </row>
    <row r="359" spans="4:27" ht="14.25" thickTop="1" thickBot="1">
      <c r="D359" s="69"/>
      <c r="E359" s="54" t="s">
        <v>290</v>
      </c>
      <c r="F359" s="7"/>
      <c r="G359" s="8"/>
      <c r="H359" s="7"/>
      <c r="I359" s="6"/>
      <c r="J359" s="7"/>
      <c r="K359" s="8"/>
      <c r="L359" s="7"/>
      <c r="M359" s="8"/>
      <c r="N359" s="7"/>
      <c r="O359" s="8"/>
      <c r="P359" s="7"/>
      <c r="Q359" s="7"/>
      <c r="R359" s="8"/>
      <c r="S359" s="7"/>
      <c r="T359" s="9"/>
      <c r="U359" s="7"/>
      <c r="V359" s="8"/>
      <c r="W359" s="7"/>
      <c r="X359" s="7"/>
      <c r="Y359" s="8"/>
      <c r="Z359" s="7"/>
      <c r="AA359" s="8"/>
    </row>
    <row r="360" spans="4:27" ht="14.25" thickTop="1" thickBot="1">
      <c r="D360" s="69"/>
      <c r="E360" s="54" t="s">
        <v>1312</v>
      </c>
      <c r="F360" s="7"/>
      <c r="G360" s="8"/>
      <c r="H360" s="7"/>
      <c r="I360" s="6"/>
      <c r="J360" s="7"/>
      <c r="K360" s="8"/>
      <c r="L360" s="7"/>
      <c r="M360" s="8"/>
      <c r="N360" s="7"/>
      <c r="O360" s="8"/>
      <c r="P360" s="7"/>
      <c r="Q360" s="7"/>
      <c r="R360" s="8"/>
      <c r="S360" s="7"/>
      <c r="T360" s="9"/>
      <c r="U360" s="7"/>
      <c r="V360" s="8"/>
      <c r="W360" s="7"/>
      <c r="X360" s="7"/>
      <c r="Y360" s="8"/>
      <c r="Z360" s="7"/>
      <c r="AA360" s="8"/>
    </row>
    <row r="361" spans="4:27" ht="14.25" thickTop="1" thickBot="1">
      <c r="D361" s="69"/>
      <c r="E361" s="54" t="s">
        <v>1122</v>
      </c>
      <c r="F361" s="7"/>
      <c r="G361" s="8"/>
      <c r="H361" s="7"/>
      <c r="I361" s="6"/>
      <c r="J361" s="7"/>
      <c r="K361" s="8"/>
      <c r="L361" s="7"/>
      <c r="M361" s="8"/>
      <c r="N361" s="7"/>
      <c r="O361" s="8"/>
      <c r="P361" s="7"/>
      <c r="Q361" s="7"/>
      <c r="R361" s="8"/>
      <c r="S361" s="7"/>
      <c r="T361" s="9"/>
      <c r="U361" s="7"/>
      <c r="V361" s="8"/>
      <c r="W361" s="7"/>
      <c r="X361" s="7"/>
      <c r="Y361" s="8"/>
      <c r="Z361" s="7"/>
      <c r="AA361" s="8"/>
    </row>
    <row r="362" spans="4:27" ht="14.25" thickTop="1" thickBot="1">
      <c r="D362" s="69"/>
      <c r="E362" s="54" t="s">
        <v>1124</v>
      </c>
      <c r="F362" s="7"/>
      <c r="G362" s="8"/>
      <c r="H362" s="7"/>
      <c r="I362" s="6"/>
      <c r="J362" s="7"/>
      <c r="K362" s="8"/>
      <c r="L362" s="7"/>
      <c r="M362" s="8"/>
      <c r="N362" s="7"/>
      <c r="O362" s="8"/>
      <c r="P362" s="7"/>
      <c r="Q362" s="7"/>
      <c r="R362" s="8"/>
      <c r="S362" s="7"/>
      <c r="T362" s="9"/>
      <c r="U362" s="7"/>
      <c r="V362" s="8"/>
      <c r="W362" s="7"/>
      <c r="X362" s="7"/>
      <c r="Y362" s="8"/>
      <c r="Z362" s="7"/>
      <c r="AA362" s="8"/>
    </row>
    <row r="363" spans="4:27" ht="14.25" thickTop="1" thickBot="1">
      <c r="D363" s="69"/>
      <c r="E363" s="54" t="s">
        <v>1126</v>
      </c>
      <c r="F363" s="7"/>
      <c r="G363" s="8"/>
      <c r="H363" s="7"/>
      <c r="I363" s="6"/>
      <c r="J363" s="7"/>
      <c r="K363" s="8"/>
      <c r="L363" s="7"/>
      <c r="M363" s="8"/>
      <c r="N363" s="7"/>
      <c r="O363" s="8"/>
      <c r="P363" s="7"/>
      <c r="Q363" s="7"/>
      <c r="R363" s="8"/>
      <c r="S363" s="7"/>
      <c r="T363" s="9"/>
      <c r="U363" s="7"/>
      <c r="V363" s="8"/>
      <c r="W363" s="7"/>
      <c r="X363" s="7"/>
      <c r="Y363" s="8"/>
      <c r="Z363" s="7"/>
      <c r="AA363" s="8"/>
    </row>
    <row r="364" spans="4:27" ht="14.25" thickTop="1" thickBot="1">
      <c r="D364" s="69"/>
      <c r="E364" s="54" t="s">
        <v>1313</v>
      </c>
      <c r="F364" s="7"/>
      <c r="G364" s="8"/>
      <c r="H364" s="7"/>
      <c r="I364" s="6"/>
      <c r="J364" s="7"/>
      <c r="K364" s="8"/>
      <c r="L364" s="7"/>
      <c r="M364" s="8"/>
      <c r="N364" s="7"/>
      <c r="O364" s="8"/>
      <c r="P364" s="7"/>
      <c r="Q364" s="7"/>
      <c r="R364" s="8"/>
      <c r="S364" s="7"/>
      <c r="T364" s="9"/>
      <c r="U364" s="7"/>
      <c r="V364" s="8"/>
      <c r="W364" s="7"/>
      <c r="X364" s="7"/>
      <c r="Y364" s="8"/>
      <c r="Z364" s="7"/>
      <c r="AA364" s="8"/>
    </row>
    <row r="365" spans="4:27" ht="14.25" thickTop="1" thickBot="1">
      <c r="D365" s="69"/>
      <c r="E365" s="54" t="s">
        <v>1127</v>
      </c>
      <c r="F365" s="7"/>
      <c r="G365" s="8"/>
      <c r="H365" s="7"/>
      <c r="I365" s="6"/>
      <c r="J365" s="7"/>
      <c r="K365" s="8"/>
      <c r="L365" s="7"/>
      <c r="M365" s="8"/>
      <c r="N365" s="7"/>
      <c r="O365" s="8"/>
      <c r="P365" s="7"/>
      <c r="Q365" s="7"/>
      <c r="R365" s="8"/>
      <c r="S365" s="7"/>
      <c r="T365" s="9"/>
      <c r="U365" s="7"/>
      <c r="V365" s="8"/>
      <c r="W365" s="7"/>
      <c r="X365" s="7"/>
      <c r="Y365" s="8"/>
      <c r="Z365" s="7"/>
      <c r="AA365" s="8"/>
    </row>
    <row r="366" spans="4:27" ht="14.25" thickTop="1" thickBot="1">
      <c r="D366" s="69"/>
      <c r="E366" s="54" t="s">
        <v>1314</v>
      </c>
      <c r="F366" s="7"/>
      <c r="G366" s="8"/>
      <c r="H366" s="7"/>
      <c r="I366" s="6"/>
      <c r="J366" s="7"/>
      <c r="K366" s="8"/>
      <c r="L366" s="7"/>
      <c r="M366" s="8"/>
      <c r="N366" s="7"/>
      <c r="O366" s="8"/>
      <c r="P366" s="7"/>
      <c r="Q366" s="7"/>
      <c r="R366" s="8"/>
      <c r="S366" s="7"/>
      <c r="T366" s="9"/>
      <c r="U366" s="7"/>
      <c r="V366" s="8"/>
      <c r="W366" s="7"/>
      <c r="X366" s="7"/>
      <c r="Y366" s="8"/>
      <c r="Z366" s="7"/>
      <c r="AA366" s="8"/>
    </row>
    <row r="367" spans="4:27" ht="14.25" thickTop="1" thickBot="1">
      <c r="D367" s="69"/>
      <c r="E367" s="54" t="s">
        <v>1032</v>
      </c>
      <c r="F367" s="7"/>
      <c r="G367" s="8"/>
      <c r="H367" s="7"/>
      <c r="I367" s="6"/>
      <c r="J367" s="7"/>
      <c r="K367" s="8"/>
      <c r="L367" s="7"/>
      <c r="M367" s="8"/>
      <c r="N367" s="7"/>
      <c r="O367" s="8"/>
      <c r="P367" s="7"/>
      <c r="Q367" s="7"/>
      <c r="R367" s="8"/>
      <c r="S367" s="7"/>
      <c r="T367" s="9"/>
      <c r="U367" s="7"/>
      <c r="V367" s="8"/>
      <c r="W367" s="7"/>
      <c r="X367" s="7"/>
      <c r="Y367" s="8"/>
      <c r="Z367" s="7"/>
      <c r="AA367" s="8"/>
    </row>
    <row r="368" spans="4:27" ht="14.25" thickTop="1" thickBot="1">
      <c r="D368" s="69"/>
      <c r="E368" s="54" t="s">
        <v>218</v>
      </c>
      <c r="F368" s="7"/>
      <c r="G368" s="8"/>
      <c r="H368" s="7"/>
      <c r="I368" s="6"/>
      <c r="J368" s="7"/>
      <c r="K368" s="8"/>
      <c r="L368" s="7"/>
      <c r="M368" s="8"/>
      <c r="N368" s="7"/>
      <c r="O368" s="8"/>
      <c r="P368" s="7"/>
      <c r="Q368" s="7"/>
      <c r="R368" s="8"/>
      <c r="S368" s="7"/>
      <c r="T368" s="9"/>
      <c r="U368" s="7"/>
      <c r="V368" s="8"/>
      <c r="W368" s="7"/>
      <c r="X368" s="7"/>
      <c r="Y368" s="8"/>
      <c r="Z368" s="7"/>
      <c r="AA368" s="8"/>
    </row>
    <row r="369" spans="4:27" ht="14.25" thickTop="1" thickBot="1">
      <c r="D369" s="69"/>
      <c r="E369" s="54" t="s">
        <v>295</v>
      </c>
      <c r="F369" s="7"/>
      <c r="G369" s="8"/>
      <c r="H369" s="7"/>
      <c r="I369" s="6"/>
      <c r="J369" s="7"/>
      <c r="K369" s="8"/>
      <c r="L369" s="7"/>
      <c r="M369" s="8"/>
      <c r="N369" s="7"/>
      <c r="O369" s="8"/>
      <c r="P369" s="7"/>
      <c r="Q369" s="7"/>
      <c r="R369" s="8"/>
      <c r="S369" s="7"/>
      <c r="T369" s="9"/>
      <c r="U369" s="7"/>
      <c r="V369" s="8"/>
      <c r="W369" s="7"/>
      <c r="X369" s="7"/>
      <c r="Y369" s="8"/>
      <c r="Z369" s="7"/>
      <c r="AA369" s="8"/>
    </row>
    <row r="370" spans="4:27" ht="14.25" thickTop="1" thickBot="1">
      <c r="D370" s="69"/>
      <c r="E370" s="54" t="s">
        <v>1030</v>
      </c>
      <c r="F370" s="7"/>
      <c r="G370" s="8"/>
      <c r="H370" s="7"/>
      <c r="I370" s="6"/>
      <c r="J370" s="7"/>
      <c r="K370" s="8"/>
      <c r="L370" s="7"/>
      <c r="M370" s="8"/>
      <c r="N370" s="7"/>
      <c r="O370" s="8"/>
      <c r="P370" s="7"/>
      <c r="Q370" s="7"/>
      <c r="R370" s="8"/>
      <c r="S370" s="7"/>
      <c r="T370" s="9"/>
      <c r="U370" s="7"/>
      <c r="V370" s="8"/>
      <c r="W370" s="7"/>
      <c r="X370" s="7"/>
      <c r="Y370" s="8"/>
      <c r="Z370" s="7"/>
      <c r="AA370" s="8"/>
    </row>
    <row r="371" spans="4:27" ht="14.25" thickTop="1" thickBot="1">
      <c r="D371" s="69"/>
      <c r="E371" s="54" t="s">
        <v>219</v>
      </c>
      <c r="F371" s="7"/>
      <c r="G371" s="8"/>
      <c r="H371" s="7"/>
      <c r="I371" s="6"/>
      <c r="J371" s="7"/>
      <c r="K371" s="8"/>
      <c r="L371" s="7"/>
      <c r="M371" s="8"/>
      <c r="N371" s="7"/>
      <c r="O371" s="8"/>
      <c r="P371" s="7"/>
      <c r="Q371" s="7"/>
      <c r="R371" s="8"/>
      <c r="S371" s="7"/>
      <c r="T371" s="9"/>
      <c r="U371" s="7"/>
      <c r="V371" s="8"/>
      <c r="W371" s="7"/>
      <c r="X371" s="7"/>
      <c r="Y371" s="8"/>
      <c r="Z371" s="7"/>
      <c r="AA371" s="8"/>
    </row>
    <row r="372" spans="4:27" ht="14.25" thickTop="1" thickBot="1">
      <c r="D372" s="69"/>
      <c r="E372" s="54" t="s">
        <v>221</v>
      </c>
      <c r="F372" s="7"/>
      <c r="G372" s="8"/>
      <c r="H372" s="7"/>
      <c r="I372" s="6"/>
      <c r="J372" s="7"/>
      <c r="K372" s="8"/>
      <c r="L372" s="7"/>
      <c r="M372" s="8"/>
      <c r="N372" s="7"/>
      <c r="O372" s="8"/>
      <c r="P372" s="7"/>
      <c r="Q372" s="7"/>
      <c r="R372" s="8"/>
      <c r="S372" s="7"/>
      <c r="T372" s="9"/>
      <c r="U372" s="7"/>
      <c r="V372" s="8"/>
      <c r="W372" s="7"/>
      <c r="X372" s="7"/>
      <c r="Y372" s="8"/>
      <c r="Z372" s="7"/>
      <c r="AA372" s="8"/>
    </row>
    <row r="373" spans="4:27" ht="14.25" thickTop="1" thickBot="1">
      <c r="D373" s="69"/>
      <c r="E373" s="54" t="s">
        <v>1019</v>
      </c>
      <c r="F373" s="7"/>
      <c r="G373" s="8"/>
      <c r="H373" s="7"/>
      <c r="I373" s="6"/>
      <c r="J373" s="7"/>
      <c r="K373" s="8"/>
      <c r="L373" s="7"/>
      <c r="M373" s="8"/>
      <c r="N373" s="7"/>
      <c r="O373" s="8"/>
      <c r="P373" s="7"/>
      <c r="Q373" s="7"/>
      <c r="R373" s="8"/>
      <c r="S373" s="7"/>
      <c r="T373" s="9"/>
      <c r="U373" s="7"/>
      <c r="V373" s="8"/>
      <c r="W373" s="7"/>
      <c r="X373" s="7"/>
      <c r="Y373" s="8"/>
      <c r="Z373" s="7"/>
      <c r="AA373" s="8"/>
    </row>
    <row r="374" spans="4:27" ht="14.25" thickTop="1" thickBot="1">
      <c r="D374" s="69"/>
      <c r="E374" s="54" t="s">
        <v>1028</v>
      </c>
      <c r="F374" s="7"/>
      <c r="G374" s="8"/>
      <c r="H374" s="7"/>
      <c r="I374" s="6"/>
      <c r="J374" s="7"/>
      <c r="K374" s="8"/>
      <c r="L374" s="7"/>
      <c r="M374" s="8"/>
      <c r="N374" s="7"/>
      <c r="O374" s="8"/>
      <c r="P374" s="7"/>
      <c r="Q374" s="7"/>
      <c r="R374" s="8"/>
      <c r="S374" s="7"/>
      <c r="T374" s="9"/>
      <c r="U374" s="7"/>
      <c r="V374" s="8"/>
      <c r="W374" s="7"/>
      <c r="X374" s="7"/>
      <c r="Y374" s="8"/>
      <c r="Z374" s="7"/>
      <c r="AA374" s="8"/>
    </row>
    <row r="375" spans="4:27" ht="14.25" thickTop="1" thickBot="1">
      <c r="D375" s="69"/>
      <c r="E375" s="54" t="s">
        <v>303</v>
      </c>
      <c r="F375" s="7"/>
      <c r="G375" s="8"/>
      <c r="H375" s="7"/>
      <c r="I375" s="6"/>
      <c r="J375" s="7"/>
      <c r="K375" s="8"/>
      <c r="L375" s="7"/>
      <c r="M375" s="8"/>
      <c r="N375" s="7"/>
      <c r="O375" s="8"/>
      <c r="P375" s="7"/>
      <c r="Q375" s="7"/>
      <c r="R375" s="8"/>
      <c r="S375" s="7"/>
      <c r="T375" s="9"/>
      <c r="U375" s="7"/>
      <c r="V375" s="8"/>
      <c r="W375" s="7"/>
      <c r="X375" s="7"/>
      <c r="Y375" s="8"/>
      <c r="Z375" s="7"/>
      <c r="AA375" s="8"/>
    </row>
    <row r="376" spans="4:27" ht="14.25" thickTop="1" thickBot="1">
      <c r="D376" s="69"/>
      <c r="E376" s="54" t="s">
        <v>1021</v>
      </c>
      <c r="F376" s="7"/>
      <c r="G376" s="8"/>
      <c r="H376" s="7"/>
      <c r="I376" s="6"/>
      <c r="J376" s="7"/>
      <c r="K376" s="8"/>
      <c r="L376" s="7"/>
      <c r="M376" s="8"/>
      <c r="N376" s="7"/>
      <c r="O376" s="8"/>
      <c r="P376" s="7"/>
      <c r="Q376" s="7"/>
      <c r="R376" s="8"/>
      <c r="S376" s="7"/>
      <c r="T376" s="9"/>
      <c r="U376" s="7"/>
      <c r="V376" s="8"/>
      <c r="W376" s="7"/>
      <c r="X376" s="7"/>
      <c r="Y376" s="8"/>
      <c r="Z376" s="7"/>
      <c r="AA376" s="8"/>
    </row>
    <row r="377" spans="4:27" ht="14.25" thickTop="1" thickBot="1">
      <c r="D377" s="69"/>
      <c r="E377" s="54" t="s">
        <v>1315</v>
      </c>
      <c r="F377" s="7"/>
      <c r="G377" s="8"/>
      <c r="H377" s="7"/>
      <c r="I377" s="6"/>
      <c r="J377" s="7"/>
      <c r="K377" s="8"/>
      <c r="L377" s="7"/>
      <c r="M377" s="8"/>
      <c r="N377" s="7"/>
      <c r="O377" s="8"/>
      <c r="P377" s="7"/>
      <c r="Q377" s="7"/>
      <c r="R377" s="8"/>
      <c r="S377" s="7"/>
      <c r="T377" s="9"/>
      <c r="U377" s="7"/>
      <c r="V377" s="8"/>
      <c r="W377" s="7"/>
      <c r="X377" s="7"/>
      <c r="Y377" s="8"/>
      <c r="Z377" s="7"/>
      <c r="AA377" s="8"/>
    </row>
    <row r="378" spans="4:27" ht="14.25" thickTop="1" thickBot="1">
      <c r="D378" s="69"/>
      <c r="E378" s="54" t="s">
        <v>1142</v>
      </c>
      <c r="F378" s="7"/>
      <c r="G378" s="8"/>
      <c r="H378" s="7"/>
      <c r="I378" s="6"/>
      <c r="J378" s="7"/>
      <c r="K378" s="8"/>
      <c r="L378" s="7"/>
      <c r="M378" s="8"/>
      <c r="N378" s="7"/>
      <c r="O378" s="8"/>
      <c r="P378" s="7"/>
      <c r="Q378" s="7"/>
      <c r="R378" s="8"/>
      <c r="S378" s="7"/>
      <c r="T378" s="9"/>
      <c r="U378" s="7"/>
      <c r="V378" s="8"/>
      <c r="W378" s="7"/>
      <c r="X378" s="7"/>
      <c r="Y378" s="8"/>
      <c r="Z378" s="7"/>
      <c r="AA378" s="8"/>
    </row>
    <row r="379" spans="4:27" ht="14.25" thickTop="1" thickBot="1">
      <c r="D379" s="69"/>
      <c r="E379" s="54" t="s">
        <v>1143</v>
      </c>
      <c r="F379" s="7"/>
      <c r="G379" s="8"/>
      <c r="H379" s="7"/>
      <c r="I379" s="6"/>
      <c r="J379" s="7"/>
      <c r="K379" s="8"/>
      <c r="L379" s="7"/>
      <c r="M379" s="8"/>
      <c r="N379" s="7"/>
      <c r="O379" s="8"/>
      <c r="P379" s="7"/>
      <c r="Q379" s="7"/>
      <c r="R379" s="8"/>
      <c r="S379" s="7"/>
      <c r="T379" s="9"/>
      <c r="U379" s="7"/>
      <c r="V379" s="8"/>
      <c r="W379" s="7"/>
      <c r="X379" s="7"/>
      <c r="Y379" s="8"/>
      <c r="Z379" s="7"/>
      <c r="AA379" s="8"/>
    </row>
    <row r="380" spans="4:27" ht="14.25" thickTop="1" thickBot="1">
      <c r="D380" s="69"/>
      <c r="E380" s="54" t="s">
        <v>1144</v>
      </c>
      <c r="F380" s="7"/>
      <c r="G380" s="8"/>
      <c r="H380" s="7"/>
      <c r="I380" s="6"/>
      <c r="J380" s="7"/>
      <c r="K380" s="8"/>
      <c r="L380" s="7"/>
      <c r="M380" s="8"/>
      <c r="N380" s="7"/>
      <c r="O380" s="8"/>
      <c r="P380" s="7"/>
      <c r="Q380" s="7"/>
      <c r="R380" s="8"/>
      <c r="S380" s="7"/>
      <c r="T380" s="9"/>
      <c r="U380" s="7"/>
      <c r="V380" s="8"/>
      <c r="W380" s="7"/>
      <c r="X380" s="7"/>
      <c r="Y380" s="8"/>
      <c r="Z380" s="7"/>
      <c r="AA380" s="8"/>
    </row>
    <row r="381" spans="4:27" ht="14.25" thickTop="1" thickBot="1">
      <c r="D381" s="69"/>
      <c r="E381" s="54" t="s">
        <v>1145</v>
      </c>
      <c r="F381" s="7"/>
      <c r="G381" s="8"/>
      <c r="H381" s="7"/>
      <c r="I381" s="6"/>
      <c r="J381" s="7"/>
      <c r="K381" s="8"/>
      <c r="L381" s="7"/>
      <c r="M381" s="8"/>
      <c r="N381" s="7"/>
      <c r="O381" s="8"/>
      <c r="P381" s="7"/>
      <c r="Q381" s="7"/>
      <c r="R381" s="8"/>
      <c r="S381" s="7"/>
      <c r="T381" s="9"/>
      <c r="U381" s="7"/>
      <c r="V381" s="8"/>
      <c r="W381" s="7"/>
      <c r="X381" s="7"/>
      <c r="Y381" s="8"/>
      <c r="Z381" s="7"/>
      <c r="AA381" s="8"/>
    </row>
    <row r="382" spans="4:27" ht="14.25" thickTop="1" thickBot="1">
      <c r="D382" s="69"/>
      <c r="E382" s="54" t="s">
        <v>1146</v>
      </c>
      <c r="F382" s="7"/>
      <c r="G382" s="8"/>
      <c r="H382" s="7"/>
      <c r="I382" s="6"/>
      <c r="J382" s="7"/>
      <c r="K382" s="8"/>
      <c r="L382" s="7"/>
      <c r="M382" s="8"/>
      <c r="N382" s="7"/>
      <c r="O382" s="8"/>
      <c r="P382" s="7"/>
      <c r="Q382" s="7"/>
      <c r="R382" s="8"/>
      <c r="S382" s="7"/>
      <c r="T382" s="9"/>
      <c r="U382" s="7"/>
      <c r="V382" s="8"/>
      <c r="W382" s="7"/>
      <c r="X382" s="7"/>
      <c r="Y382" s="8"/>
      <c r="Z382" s="7"/>
      <c r="AA382" s="8"/>
    </row>
    <row r="383" spans="4:27" ht="14.25" thickTop="1" thickBot="1">
      <c r="D383" s="69"/>
      <c r="E383" s="54" t="s">
        <v>1147</v>
      </c>
      <c r="F383" s="7"/>
      <c r="G383" s="8"/>
      <c r="H383" s="7"/>
      <c r="I383" s="6"/>
      <c r="J383" s="7"/>
      <c r="K383" s="8"/>
      <c r="L383" s="7"/>
      <c r="M383" s="8"/>
      <c r="N383" s="7"/>
      <c r="O383" s="8"/>
      <c r="P383" s="7"/>
      <c r="Q383" s="7"/>
      <c r="R383" s="8"/>
      <c r="S383" s="7"/>
      <c r="T383" s="9"/>
      <c r="U383" s="7"/>
      <c r="V383" s="8"/>
      <c r="W383" s="7"/>
      <c r="X383" s="7"/>
      <c r="Y383" s="8"/>
      <c r="Z383" s="7"/>
      <c r="AA383" s="8"/>
    </row>
    <row r="384" spans="4:27" ht="14.25" thickTop="1" thickBot="1">
      <c r="D384" s="69"/>
      <c r="E384" s="54" t="s">
        <v>1037</v>
      </c>
      <c r="F384" s="7"/>
      <c r="G384" s="8"/>
      <c r="H384" s="7"/>
      <c r="I384" s="6"/>
      <c r="J384" s="7"/>
      <c r="K384" s="8"/>
      <c r="L384" s="7"/>
      <c r="M384" s="8"/>
      <c r="N384" s="7"/>
      <c r="O384" s="8"/>
      <c r="P384" s="7"/>
      <c r="Q384" s="7"/>
      <c r="R384" s="8"/>
      <c r="S384" s="7"/>
      <c r="T384" s="9"/>
      <c r="U384" s="7"/>
      <c r="V384" s="8"/>
      <c r="W384" s="7"/>
      <c r="X384" s="7"/>
      <c r="Y384" s="8"/>
      <c r="Z384" s="7"/>
      <c r="AA384" s="8"/>
    </row>
    <row r="385" spans="4:27" ht="14.25" thickTop="1" thickBot="1">
      <c r="D385" s="69"/>
      <c r="E385" s="54" t="s">
        <v>1034</v>
      </c>
      <c r="F385" s="7"/>
      <c r="G385" s="8"/>
      <c r="H385" s="7"/>
      <c r="I385" s="6"/>
      <c r="J385" s="7"/>
      <c r="K385" s="8"/>
      <c r="L385" s="7"/>
      <c r="M385" s="8"/>
      <c r="N385" s="7"/>
      <c r="O385" s="8"/>
      <c r="P385" s="7"/>
      <c r="Q385" s="7"/>
      <c r="R385" s="8"/>
      <c r="S385" s="7"/>
      <c r="T385" s="9"/>
      <c r="U385" s="7"/>
      <c r="V385" s="8"/>
      <c r="W385" s="7"/>
      <c r="X385" s="7"/>
      <c r="Y385" s="8"/>
      <c r="Z385" s="7"/>
      <c r="AA385" s="8"/>
    </row>
    <row r="386" spans="4:27" ht="14.25" thickTop="1" thickBot="1">
      <c r="D386" s="69"/>
      <c r="E386" s="54" t="s">
        <v>760</v>
      </c>
      <c r="F386" s="7"/>
      <c r="G386" s="8"/>
      <c r="H386" s="7"/>
      <c r="I386" s="6"/>
      <c r="J386" s="7"/>
      <c r="K386" s="8"/>
      <c r="L386" s="7"/>
      <c r="M386" s="8"/>
      <c r="N386" s="7"/>
      <c r="O386" s="8"/>
      <c r="P386" s="7"/>
      <c r="Q386" s="7"/>
      <c r="R386" s="8"/>
      <c r="S386" s="7"/>
      <c r="T386" s="9"/>
      <c r="U386" s="7"/>
      <c r="V386" s="8"/>
      <c r="W386" s="7"/>
      <c r="X386" s="7"/>
      <c r="Y386" s="8"/>
      <c r="Z386" s="7"/>
      <c r="AA386" s="8"/>
    </row>
    <row r="387" spans="4:27" ht="14.25" thickTop="1" thickBot="1">
      <c r="D387" s="69"/>
      <c r="E387" s="54" t="s">
        <v>1008</v>
      </c>
      <c r="F387" s="7"/>
      <c r="G387" s="8"/>
      <c r="H387" s="7"/>
      <c r="I387" s="6"/>
      <c r="J387" s="7"/>
      <c r="K387" s="8"/>
      <c r="L387" s="7"/>
      <c r="M387" s="8"/>
      <c r="N387" s="7"/>
      <c r="O387" s="8"/>
      <c r="P387" s="7"/>
      <c r="Q387" s="7"/>
      <c r="R387" s="8"/>
      <c r="S387" s="7"/>
      <c r="T387" s="9"/>
      <c r="U387" s="7"/>
      <c r="V387" s="8"/>
      <c r="W387" s="7"/>
      <c r="X387" s="7"/>
      <c r="Y387" s="8"/>
      <c r="Z387" s="7"/>
      <c r="AA387" s="8"/>
    </row>
    <row r="388" spans="4:27" ht="14.25" thickTop="1" thickBot="1">
      <c r="D388" s="69"/>
      <c r="E388" s="54" t="s">
        <v>1006</v>
      </c>
      <c r="F388" s="7"/>
      <c r="G388" s="8"/>
      <c r="H388" s="7"/>
      <c r="I388" s="6"/>
      <c r="J388" s="7"/>
      <c r="K388" s="8"/>
      <c r="L388" s="7"/>
      <c r="M388" s="8"/>
      <c r="N388" s="7"/>
      <c r="O388" s="8"/>
      <c r="P388" s="7"/>
      <c r="Q388" s="7"/>
      <c r="R388" s="8"/>
      <c r="S388" s="7"/>
      <c r="T388" s="9"/>
      <c r="U388" s="7"/>
      <c r="V388" s="8"/>
      <c r="W388" s="7"/>
      <c r="X388" s="7"/>
      <c r="Y388" s="8"/>
      <c r="Z388" s="7"/>
      <c r="AA388" s="8"/>
    </row>
    <row r="389" spans="4:27" ht="14.25" thickTop="1" thickBot="1">
      <c r="D389" s="69"/>
      <c r="E389" s="54" t="s">
        <v>1004</v>
      </c>
      <c r="F389" s="7"/>
      <c r="G389" s="8"/>
      <c r="H389" s="7"/>
      <c r="I389" s="6"/>
      <c r="J389" s="7"/>
      <c r="K389" s="8"/>
      <c r="L389" s="7"/>
      <c r="M389" s="8"/>
      <c r="N389" s="7"/>
      <c r="O389" s="8"/>
      <c r="P389" s="7"/>
      <c r="Q389" s="7"/>
      <c r="R389" s="8"/>
      <c r="S389" s="7"/>
      <c r="T389" s="9"/>
      <c r="U389" s="7"/>
      <c r="V389" s="8"/>
      <c r="W389" s="7"/>
      <c r="X389" s="7"/>
      <c r="Y389" s="8"/>
      <c r="Z389" s="7"/>
      <c r="AA389" s="8"/>
    </row>
    <row r="390" spans="4:27" ht="14.25" thickTop="1" thickBot="1">
      <c r="D390" s="69"/>
      <c r="E390" s="54" t="s">
        <v>1005</v>
      </c>
      <c r="F390" s="7"/>
      <c r="G390" s="8"/>
      <c r="H390" s="7"/>
      <c r="I390" s="6"/>
      <c r="J390" s="7"/>
      <c r="K390" s="8"/>
      <c r="L390" s="7"/>
      <c r="M390" s="8"/>
      <c r="N390" s="7"/>
      <c r="O390" s="8"/>
      <c r="P390" s="7"/>
      <c r="Q390" s="7"/>
      <c r="R390" s="8"/>
      <c r="S390" s="7"/>
      <c r="T390" s="9"/>
      <c r="U390" s="7"/>
      <c r="V390" s="8"/>
      <c r="W390" s="7"/>
      <c r="X390" s="7"/>
      <c r="Y390" s="8"/>
      <c r="Z390" s="7"/>
      <c r="AA390" s="8"/>
    </row>
    <row r="391" spans="4:27" ht="14.25" thickTop="1" thickBot="1">
      <c r="D391" s="69"/>
      <c r="E391" s="54" t="s">
        <v>1316</v>
      </c>
      <c r="F391" s="7"/>
      <c r="G391" s="8"/>
      <c r="H391" s="7"/>
      <c r="I391" s="6"/>
      <c r="J391" s="7"/>
      <c r="K391" s="8"/>
      <c r="L391" s="7"/>
      <c r="M391" s="8"/>
      <c r="N391" s="7"/>
      <c r="O391" s="8"/>
      <c r="P391" s="7"/>
      <c r="Q391" s="7"/>
      <c r="R391" s="8"/>
      <c r="S391" s="7"/>
      <c r="T391" s="9"/>
      <c r="U391" s="7"/>
      <c r="V391" s="8"/>
      <c r="W391" s="7"/>
      <c r="X391" s="7"/>
      <c r="Y391" s="8"/>
      <c r="Z391" s="7"/>
      <c r="AA391" s="8"/>
    </row>
    <row r="392" spans="4:27" ht="14.25" thickTop="1" thickBot="1">
      <c r="D392" s="69"/>
      <c r="E392" s="54" t="s">
        <v>1068</v>
      </c>
      <c r="F392" s="7"/>
      <c r="G392" s="8"/>
      <c r="H392" s="7"/>
      <c r="I392" s="6"/>
      <c r="J392" s="7"/>
      <c r="K392" s="8"/>
      <c r="L392" s="7"/>
      <c r="M392" s="8"/>
      <c r="N392" s="7"/>
      <c r="O392" s="8"/>
      <c r="P392" s="7"/>
      <c r="Q392" s="7"/>
      <c r="R392" s="8"/>
      <c r="S392" s="7"/>
      <c r="T392" s="9"/>
      <c r="U392" s="7"/>
      <c r="V392" s="8"/>
      <c r="W392" s="7"/>
      <c r="X392" s="7"/>
      <c r="Y392" s="8"/>
      <c r="Z392" s="7"/>
      <c r="AA392" s="8"/>
    </row>
    <row r="393" spans="4:27" ht="14.25" thickTop="1" thickBot="1">
      <c r="D393" s="69"/>
      <c r="E393" s="54" t="s">
        <v>1066</v>
      </c>
      <c r="F393" s="7"/>
      <c r="G393" s="8"/>
      <c r="H393" s="7"/>
      <c r="I393" s="6"/>
      <c r="J393" s="7"/>
      <c r="K393" s="8"/>
      <c r="L393" s="7"/>
      <c r="M393" s="8"/>
      <c r="N393" s="7"/>
      <c r="O393" s="8"/>
      <c r="P393" s="7"/>
      <c r="Q393" s="7"/>
      <c r="R393" s="8"/>
      <c r="S393" s="7"/>
      <c r="T393" s="9"/>
      <c r="U393" s="7"/>
      <c r="V393" s="8"/>
      <c r="W393" s="7"/>
      <c r="X393" s="7"/>
      <c r="Y393" s="8"/>
      <c r="Z393" s="7"/>
      <c r="AA393" s="8"/>
    </row>
    <row r="394" spans="4:27" ht="14.25" thickTop="1" thickBot="1">
      <c r="D394" s="69"/>
      <c r="E394" s="54" t="s">
        <v>1067</v>
      </c>
      <c r="F394" s="7"/>
      <c r="G394" s="8"/>
      <c r="H394" s="7"/>
      <c r="I394" s="6"/>
      <c r="J394" s="7"/>
      <c r="K394" s="8"/>
      <c r="L394" s="7"/>
      <c r="M394" s="8"/>
      <c r="N394" s="7"/>
      <c r="O394" s="8"/>
      <c r="P394" s="7"/>
      <c r="Q394" s="7"/>
      <c r="R394" s="8"/>
      <c r="S394" s="7"/>
      <c r="T394" s="9"/>
      <c r="U394" s="7"/>
      <c r="V394" s="8"/>
      <c r="W394" s="7"/>
      <c r="X394" s="7"/>
      <c r="Y394" s="8"/>
      <c r="Z394" s="7"/>
      <c r="AA394" s="8"/>
    </row>
    <row r="395" spans="4:27" ht="14.25" thickTop="1" thickBot="1">
      <c r="D395" s="69"/>
      <c r="E395" s="54" t="s">
        <v>169</v>
      </c>
      <c r="F395" s="7"/>
      <c r="G395" s="8"/>
      <c r="H395" s="7"/>
      <c r="I395" s="6"/>
      <c r="J395" s="7"/>
      <c r="K395" s="8"/>
      <c r="L395" s="7"/>
      <c r="M395" s="8"/>
      <c r="N395" s="7"/>
      <c r="O395" s="8"/>
      <c r="P395" s="7"/>
      <c r="Q395" s="7"/>
      <c r="R395" s="8"/>
      <c r="S395" s="7"/>
      <c r="T395" s="9"/>
      <c r="U395" s="7"/>
      <c r="V395" s="8"/>
      <c r="W395" s="7"/>
      <c r="X395" s="7"/>
      <c r="Y395" s="8"/>
      <c r="Z395" s="7"/>
      <c r="AA395" s="8"/>
    </row>
    <row r="396" spans="4:27" ht="14.25" thickTop="1" thickBot="1">
      <c r="D396" s="69"/>
      <c r="E396" s="54" t="s">
        <v>241</v>
      </c>
      <c r="F396" s="7"/>
      <c r="G396" s="8"/>
      <c r="H396" s="7"/>
      <c r="I396" s="6"/>
      <c r="J396" s="7"/>
      <c r="K396" s="8"/>
      <c r="L396" s="7"/>
      <c r="M396" s="8"/>
      <c r="N396" s="7"/>
      <c r="O396" s="8"/>
      <c r="P396" s="7"/>
      <c r="Q396" s="7"/>
      <c r="R396" s="8"/>
      <c r="S396" s="7"/>
      <c r="T396" s="9"/>
      <c r="U396" s="7"/>
      <c r="V396" s="8"/>
      <c r="W396" s="7"/>
      <c r="X396" s="7"/>
      <c r="Y396" s="8"/>
      <c r="Z396" s="7"/>
      <c r="AA396" s="8"/>
    </row>
    <row r="397" spans="4:27" ht="14.25" thickTop="1" thickBot="1">
      <c r="D397" s="69"/>
      <c r="E397" s="54" t="s">
        <v>170</v>
      </c>
      <c r="F397" s="7"/>
      <c r="G397" s="8"/>
      <c r="H397" s="7"/>
      <c r="I397" s="6"/>
      <c r="J397" s="7"/>
      <c r="K397" s="8"/>
      <c r="L397" s="7"/>
      <c r="M397" s="8"/>
      <c r="N397" s="7"/>
      <c r="O397" s="8"/>
      <c r="P397" s="7"/>
      <c r="Q397" s="7"/>
      <c r="R397" s="8"/>
      <c r="S397" s="7"/>
      <c r="T397" s="9"/>
      <c r="U397" s="7"/>
      <c r="V397" s="8"/>
      <c r="W397" s="7"/>
      <c r="X397" s="7"/>
      <c r="Y397" s="8"/>
      <c r="Z397" s="7"/>
      <c r="AA397" s="8"/>
    </row>
    <row r="398" spans="4:27" ht="14.25" thickTop="1" thickBot="1">
      <c r="D398" s="69"/>
      <c r="E398" s="54" t="s">
        <v>171</v>
      </c>
      <c r="F398" s="7"/>
      <c r="G398" s="8"/>
      <c r="H398" s="7"/>
      <c r="I398" s="6"/>
      <c r="J398" s="7"/>
      <c r="K398" s="8"/>
      <c r="L398" s="7"/>
      <c r="M398" s="8"/>
      <c r="N398" s="7"/>
      <c r="O398" s="8"/>
      <c r="P398" s="7"/>
      <c r="Q398" s="7"/>
      <c r="R398" s="8"/>
      <c r="S398" s="7"/>
      <c r="T398" s="9"/>
      <c r="U398" s="7"/>
      <c r="V398" s="8"/>
      <c r="W398" s="7"/>
      <c r="X398" s="7"/>
      <c r="Y398" s="8"/>
      <c r="Z398" s="7"/>
      <c r="AA398" s="8"/>
    </row>
    <row r="399" spans="4:27" ht="14.25" thickTop="1" thickBot="1">
      <c r="D399" s="69"/>
      <c r="E399" s="54" t="s">
        <v>172</v>
      </c>
      <c r="F399" s="7"/>
      <c r="G399" s="8"/>
      <c r="H399" s="7"/>
      <c r="I399" s="6"/>
      <c r="J399" s="7"/>
      <c r="K399" s="8"/>
      <c r="L399" s="7"/>
      <c r="M399" s="8"/>
      <c r="N399" s="7"/>
      <c r="O399" s="8"/>
      <c r="P399" s="7"/>
      <c r="Q399" s="7"/>
      <c r="R399" s="8"/>
      <c r="S399" s="7"/>
      <c r="T399" s="9"/>
      <c r="U399" s="7"/>
      <c r="V399" s="8"/>
      <c r="W399" s="7"/>
      <c r="X399" s="7"/>
      <c r="Y399" s="8"/>
      <c r="Z399" s="7"/>
      <c r="AA399" s="8"/>
    </row>
    <row r="400" spans="4:27" ht="14.25" thickTop="1" thickBot="1">
      <c r="D400" s="69"/>
      <c r="E400" s="54" t="s">
        <v>173</v>
      </c>
      <c r="F400" s="7"/>
      <c r="G400" s="8"/>
      <c r="H400" s="7"/>
      <c r="I400" s="6"/>
      <c r="J400" s="7"/>
      <c r="K400" s="8"/>
      <c r="L400" s="7"/>
      <c r="M400" s="8"/>
      <c r="N400" s="7"/>
      <c r="O400" s="8"/>
      <c r="P400" s="7"/>
      <c r="Q400" s="7"/>
      <c r="R400" s="8"/>
      <c r="S400" s="7"/>
      <c r="T400" s="9"/>
      <c r="U400" s="7"/>
      <c r="V400" s="8"/>
      <c r="W400" s="7"/>
      <c r="X400" s="7"/>
      <c r="Y400" s="8"/>
      <c r="Z400" s="7"/>
      <c r="AA400" s="8"/>
    </row>
    <row r="401" spans="4:27" ht="14.25" thickTop="1" thickBot="1">
      <c r="D401" s="69"/>
      <c r="E401" s="54" t="s">
        <v>174</v>
      </c>
      <c r="F401" s="7"/>
      <c r="G401" s="8"/>
      <c r="H401" s="7"/>
      <c r="I401" s="6"/>
      <c r="J401" s="7"/>
      <c r="K401" s="8"/>
      <c r="L401" s="7"/>
      <c r="M401" s="8"/>
      <c r="N401" s="7"/>
      <c r="O401" s="8"/>
      <c r="P401" s="7"/>
      <c r="Q401" s="7"/>
      <c r="R401" s="8"/>
      <c r="S401" s="7"/>
      <c r="T401" s="9"/>
      <c r="U401" s="7"/>
      <c r="V401" s="8"/>
      <c r="W401" s="7"/>
      <c r="X401" s="7"/>
      <c r="Y401" s="8"/>
      <c r="Z401" s="7"/>
      <c r="AA401" s="8"/>
    </row>
    <row r="402" spans="4:27" ht="14.25" thickTop="1" thickBot="1">
      <c r="D402" s="69"/>
      <c r="E402" s="54" t="s">
        <v>271</v>
      </c>
      <c r="F402" s="7"/>
      <c r="G402" s="8"/>
      <c r="H402" s="7"/>
      <c r="I402" s="6"/>
      <c r="J402" s="7"/>
      <c r="K402" s="8"/>
      <c r="L402" s="7"/>
      <c r="M402" s="8"/>
      <c r="N402" s="7"/>
      <c r="O402" s="8"/>
      <c r="P402" s="7"/>
      <c r="Q402" s="7"/>
      <c r="R402" s="8"/>
      <c r="S402" s="7"/>
      <c r="T402" s="9"/>
      <c r="U402" s="7"/>
      <c r="V402" s="8"/>
      <c r="W402" s="7"/>
      <c r="X402" s="7"/>
      <c r="Y402" s="8"/>
      <c r="Z402" s="7"/>
      <c r="AA402" s="8"/>
    </row>
    <row r="403" spans="4:27" ht="14.25" thickTop="1" thickBot="1">
      <c r="D403" s="69"/>
      <c r="E403" s="54" t="s">
        <v>272</v>
      </c>
      <c r="F403" s="7"/>
      <c r="G403" s="8"/>
      <c r="H403" s="7"/>
      <c r="I403" s="6"/>
      <c r="J403" s="7"/>
      <c r="K403" s="8"/>
      <c r="L403" s="7"/>
      <c r="M403" s="8"/>
      <c r="N403" s="7"/>
      <c r="O403" s="8"/>
      <c r="P403" s="7"/>
      <c r="Q403" s="7"/>
      <c r="R403" s="8"/>
      <c r="S403" s="7"/>
      <c r="T403" s="9"/>
      <c r="U403" s="7"/>
      <c r="V403" s="8"/>
      <c r="W403" s="7"/>
      <c r="X403" s="7"/>
      <c r="Y403" s="8"/>
      <c r="Z403" s="7"/>
      <c r="AA403" s="8"/>
    </row>
    <row r="404" spans="4:27" ht="14.25" thickTop="1" thickBot="1">
      <c r="D404" s="69"/>
      <c r="E404" s="54" t="s">
        <v>242</v>
      </c>
      <c r="F404" s="7"/>
      <c r="G404" s="8"/>
      <c r="H404" s="7"/>
      <c r="I404" s="6"/>
      <c r="J404" s="7"/>
      <c r="K404" s="8"/>
      <c r="L404" s="7"/>
      <c r="M404" s="8"/>
      <c r="N404" s="7"/>
      <c r="O404" s="8"/>
      <c r="P404" s="7"/>
      <c r="Q404" s="7"/>
      <c r="R404" s="8"/>
      <c r="S404" s="7"/>
      <c r="T404" s="9"/>
      <c r="U404" s="7"/>
      <c r="V404" s="8"/>
      <c r="W404" s="7"/>
      <c r="X404" s="7"/>
      <c r="Y404" s="8"/>
      <c r="Z404" s="7"/>
      <c r="AA404" s="8"/>
    </row>
    <row r="405" spans="4:27" ht="14.25" thickTop="1" thickBot="1">
      <c r="D405" s="69"/>
      <c r="E405" s="54" t="s">
        <v>175</v>
      </c>
      <c r="F405" s="7"/>
      <c r="G405" s="8"/>
      <c r="H405" s="7"/>
      <c r="I405" s="6"/>
      <c r="J405" s="7"/>
      <c r="K405" s="8"/>
      <c r="L405" s="7"/>
      <c r="M405" s="8"/>
      <c r="N405" s="7"/>
      <c r="O405" s="8"/>
      <c r="P405" s="7"/>
      <c r="Q405" s="7"/>
      <c r="R405" s="8"/>
      <c r="S405" s="7"/>
      <c r="T405" s="9"/>
      <c r="U405" s="7"/>
      <c r="V405" s="8"/>
      <c r="W405" s="7"/>
      <c r="X405" s="7"/>
      <c r="Y405" s="8"/>
      <c r="Z405" s="7"/>
      <c r="AA405" s="8"/>
    </row>
    <row r="406" spans="4:27" ht="14.25" thickTop="1" thickBot="1">
      <c r="D406" s="69"/>
      <c r="E406" s="54" t="s">
        <v>243</v>
      </c>
      <c r="F406" s="7"/>
      <c r="G406" s="8"/>
      <c r="H406" s="7"/>
      <c r="I406" s="6"/>
      <c r="J406" s="7"/>
      <c r="K406" s="8"/>
      <c r="L406" s="7"/>
      <c r="M406" s="8"/>
      <c r="N406" s="7"/>
      <c r="O406" s="8"/>
      <c r="P406" s="7"/>
      <c r="Q406" s="7"/>
      <c r="R406" s="8"/>
      <c r="S406" s="7"/>
      <c r="T406" s="9"/>
      <c r="U406" s="7"/>
      <c r="V406" s="8"/>
      <c r="W406" s="7"/>
      <c r="X406" s="7"/>
      <c r="Y406" s="8"/>
      <c r="Z406" s="7"/>
      <c r="AA406" s="8"/>
    </row>
    <row r="407" spans="4:27" ht="14.25" thickTop="1" thickBot="1">
      <c r="D407" s="69"/>
      <c r="E407" s="54" t="s">
        <v>176</v>
      </c>
      <c r="F407" s="7"/>
      <c r="G407" s="8"/>
      <c r="H407" s="7"/>
      <c r="I407" s="6"/>
      <c r="J407" s="7"/>
      <c r="K407" s="8"/>
      <c r="L407" s="7"/>
      <c r="M407" s="8"/>
      <c r="N407" s="7"/>
      <c r="O407" s="8"/>
      <c r="P407" s="7"/>
      <c r="Q407" s="7"/>
      <c r="R407" s="8"/>
      <c r="S407" s="7"/>
      <c r="T407" s="9"/>
      <c r="U407" s="7"/>
      <c r="V407" s="8"/>
      <c r="W407" s="7"/>
      <c r="X407" s="7"/>
      <c r="Y407" s="8"/>
      <c r="Z407" s="7"/>
      <c r="AA407" s="8"/>
    </row>
    <row r="408" spans="4:27" ht="14.25" thickTop="1" thickBot="1">
      <c r="D408" s="69"/>
      <c r="E408" s="54" t="s">
        <v>273</v>
      </c>
      <c r="F408" s="7"/>
      <c r="G408" s="8"/>
      <c r="H408" s="7"/>
      <c r="I408" s="6"/>
      <c r="J408" s="7"/>
      <c r="K408" s="8"/>
      <c r="L408" s="7"/>
      <c r="M408" s="8"/>
      <c r="N408" s="7"/>
      <c r="O408" s="8"/>
      <c r="P408" s="7"/>
      <c r="Q408" s="7"/>
      <c r="R408" s="8"/>
      <c r="S408" s="7"/>
      <c r="T408" s="9"/>
      <c r="U408" s="7"/>
      <c r="V408" s="8"/>
      <c r="W408" s="7"/>
      <c r="X408" s="7"/>
      <c r="Y408" s="8"/>
      <c r="Z408" s="7"/>
      <c r="AA408" s="8"/>
    </row>
    <row r="409" spans="4:27" ht="14.25" thickTop="1" thickBot="1">
      <c r="D409" s="69"/>
      <c r="E409" s="54" t="s">
        <v>177</v>
      </c>
      <c r="F409" s="7"/>
      <c r="G409" s="8"/>
      <c r="H409" s="7"/>
      <c r="I409" s="6"/>
      <c r="J409" s="7"/>
      <c r="K409" s="8"/>
      <c r="L409" s="7"/>
      <c r="M409" s="8"/>
      <c r="N409" s="7"/>
      <c r="O409" s="8"/>
      <c r="P409" s="7"/>
      <c r="Q409" s="7"/>
      <c r="R409" s="8"/>
      <c r="S409" s="7"/>
      <c r="T409" s="9"/>
      <c r="U409" s="7"/>
      <c r="V409" s="8"/>
      <c r="W409" s="7"/>
      <c r="X409" s="7"/>
      <c r="Y409" s="8"/>
      <c r="Z409" s="7"/>
      <c r="AA409" s="8"/>
    </row>
    <row r="410" spans="4:27" ht="14.25" thickTop="1" thickBot="1">
      <c r="D410" s="69"/>
      <c r="E410" s="54" t="s">
        <v>1158</v>
      </c>
      <c r="F410" s="7"/>
      <c r="G410" s="8"/>
      <c r="H410" s="7"/>
      <c r="I410" s="6"/>
      <c r="J410" s="7"/>
      <c r="K410" s="8"/>
      <c r="L410" s="7"/>
      <c r="M410" s="8"/>
      <c r="N410" s="7"/>
      <c r="O410" s="8"/>
      <c r="P410" s="7"/>
      <c r="Q410" s="7"/>
      <c r="R410" s="8"/>
      <c r="S410" s="7"/>
      <c r="T410" s="9"/>
      <c r="U410" s="7"/>
      <c r="V410" s="8"/>
      <c r="W410" s="7"/>
      <c r="X410" s="7"/>
      <c r="Y410" s="8"/>
      <c r="Z410" s="7"/>
      <c r="AA410" s="8"/>
    </row>
    <row r="411" spans="4:27" ht="14.25" thickTop="1" thickBot="1">
      <c r="D411" s="69"/>
      <c r="E411" s="54" t="s">
        <v>178</v>
      </c>
      <c r="F411" s="7"/>
      <c r="G411" s="8"/>
      <c r="H411" s="7"/>
      <c r="I411" s="6"/>
      <c r="J411" s="7"/>
      <c r="K411" s="8"/>
      <c r="L411" s="7"/>
      <c r="M411" s="8"/>
      <c r="N411" s="7"/>
      <c r="O411" s="8"/>
      <c r="P411" s="7"/>
      <c r="Q411" s="7"/>
      <c r="R411" s="8"/>
      <c r="S411" s="7"/>
      <c r="T411" s="9"/>
      <c r="U411" s="7"/>
      <c r="V411" s="8"/>
      <c r="W411" s="7"/>
      <c r="X411" s="7"/>
      <c r="Y411" s="8"/>
      <c r="Z411" s="7"/>
      <c r="AA411" s="8"/>
    </row>
    <row r="412" spans="4:27" ht="14.25" thickTop="1" thickBot="1">
      <c r="D412" s="69"/>
      <c r="E412" s="54" t="s">
        <v>275</v>
      </c>
      <c r="F412" s="7"/>
      <c r="G412" s="8"/>
      <c r="H412" s="7"/>
      <c r="I412" s="6"/>
      <c r="J412" s="7"/>
      <c r="K412" s="8"/>
      <c r="L412" s="7"/>
      <c r="M412" s="8"/>
      <c r="N412" s="7"/>
      <c r="O412" s="8"/>
      <c r="P412" s="7"/>
      <c r="Q412" s="7"/>
      <c r="R412" s="8"/>
      <c r="S412" s="7"/>
      <c r="T412" s="9"/>
      <c r="U412" s="7"/>
      <c r="V412" s="8"/>
      <c r="W412" s="7"/>
      <c r="X412" s="7"/>
      <c r="Y412" s="8"/>
      <c r="Z412" s="7"/>
      <c r="AA412" s="8"/>
    </row>
    <row r="413" spans="4:27" ht="14.25" thickTop="1" thickBot="1">
      <c r="D413" s="69"/>
      <c r="E413" s="54" t="s">
        <v>179</v>
      </c>
      <c r="F413" s="7"/>
      <c r="G413" s="8"/>
      <c r="H413" s="7"/>
      <c r="I413" s="6"/>
      <c r="J413" s="7"/>
      <c r="K413" s="8"/>
      <c r="L413" s="7"/>
      <c r="M413" s="8"/>
      <c r="N413" s="7"/>
      <c r="O413" s="8"/>
      <c r="P413" s="7"/>
      <c r="Q413" s="7"/>
      <c r="R413" s="8"/>
      <c r="S413" s="7"/>
      <c r="T413" s="9"/>
      <c r="U413" s="7"/>
      <c r="V413" s="8"/>
      <c r="W413" s="7"/>
      <c r="X413" s="7"/>
      <c r="Y413" s="8"/>
      <c r="Z413" s="7"/>
      <c r="AA413" s="8"/>
    </row>
    <row r="414" spans="4:27" ht="14.25" thickTop="1" thickBot="1">
      <c r="D414" s="69"/>
      <c r="E414" s="54" t="s">
        <v>180</v>
      </c>
      <c r="F414" s="7"/>
      <c r="G414" s="8"/>
      <c r="H414" s="7"/>
      <c r="I414" s="6"/>
      <c r="J414" s="7"/>
      <c r="K414" s="8"/>
      <c r="L414" s="7"/>
      <c r="M414" s="8"/>
      <c r="N414" s="7"/>
      <c r="O414" s="8"/>
      <c r="P414" s="7"/>
      <c r="Q414" s="7"/>
      <c r="R414" s="8"/>
      <c r="S414" s="7"/>
      <c r="T414" s="9"/>
      <c r="U414" s="7"/>
      <c r="V414" s="8"/>
      <c r="W414" s="7"/>
      <c r="X414" s="7"/>
      <c r="Y414" s="8"/>
      <c r="Z414" s="7"/>
      <c r="AA414" s="8"/>
    </row>
    <row r="415" spans="4:27" ht="14.25" thickTop="1" thickBot="1">
      <c r="D415" s="69"/>
      <c r="E415" s="54" t="s">
        <v>1061</v>
      </c>
      <c r="F415" s="7"/>
      <c r="G415" s="8"/>
      <c r="H415" s="7"/>
      <c r="I415" s="6"/>
      <c r="J415" s="7"/>
      <c r="K415" s="8"/>
      <c r="L415" s="7"/>
      <c r="M415" s="8"/>
      <c r="N415" s="7"/>
      <c r="O415" s="8"/>
      <c r="P415" s="7"/>
      <c r="Q415" s="7"/>
      <c r="R415" s="8"/>
      <c r="S415" s="7"/>
      <c r="T415" s="9"/>
      <c r="U415" s="7"/>
      <c r="V415" s="8"/>
      <c r="W415" s="7"/>
      <c r="X415" s="7"/>
      <c r="Y415" s="8"/>
      <c r="Z415" s="7"/>
      <c r="AA415" s="8"/>
    </row>
    <row r="416" spans="4:27" ht="14.25" thickTop="1" thickBot="1">
      <c r="D416" s="69"/>
      <c r="E416" s="54" t="s">
        <v>994</v>
      </c>
      <c r="F416" s="7"/>
      <c r="G416" s="8"/>
      <c r="H416" s="7"/>
      <c r="I416" s="6"/>
      <c r="J416" s="7"/>
      <c r="K416" s="8"/>
      <c r="L416" s="7"/>
      <c r="M416" s="8"/>
      <c r="N416" s="7"/>
      <c r="O416" s="8"/>
      <c r="P416" s="7"/>
      <c r="Q416" s="7"/>
      <c r="R416" s="8"/>
      <c r="S416" s="7"/>
      <c r="T416" s="9"/>
      <c r="U416" s="7"/>
      <c r="V416" s="8"/>
      <c r="W416" s="7"/>
      <c r="X416" s="7"/>
      <c r="Y416" s="8"/>
      <c r="Z416" s="7"/>
      <c r="AA416" s="8"/>
    </row>
    <row r="417" spans="4:27" ht="14.25" thickTop="1" thickBot="1">
      <c r="D417" s="69"/>
      <c r="E417" s="54" t="s">
        <v>995</v>
      </c>
      <c r="F417" s="7"/>
      <c r="G417" s="8"/>
      <c r="H417" s="7"/>
      <c r="I417" s="6"/>
      <c r="J417" s="7"/>
      <c r="K417" s="8"/>
      <c r="L417" s="7"/>
      <c r="M417" s="8"/>
      <c r="N417" s="7"/>
      <c r="O417" s="8"/>
      <c r="P417" s="7"/>
      <c r="Q417" s="7"/>
      <c r="R417" s="8"/>
      <c r="S417" s="7"/>
      <c r="T417" s="9"/>
      <c r="U417" s="7"/>
      <c r="V417" s="8"/>
      <c r="W417" s="7"/>
      <c r="X417" s="7"/>
      <c r="Y417" s="8"/>
      <c r="Z417" s="7"/>
      <c r="AA417" s="8"/>
    </row>
    <row r="418" spans="4:27" ht="14.25" thickTop="1" thickBot="1">
      <c r="D418" s="69"/>
      <c r="E418" s="54" t="s">
        <v>728</v>
      </c>
      <c r="F418" s="7"/>
      <c r="G418" s="8"/>
      <c r="H418" s="7"/>
      <c r="I418" s="6"/>
      <c r="J418" s="7"/>
      <c r="K418" s="8"/>
      <c r="L418" s="7"/>
      <c r="M418" s="8"/>
      <c r="N418" s="7"/>
      <c r="O418" s="8"/>
      <c r="P418" s="7"/>
      <c r="Q418" s="7"/>
      <c r="R418" s="8"/>
      <c r="S418" s="7"/>
      <c r="T418" s="9"/>
      <c r="U418" s="7"/>
      <c r="V418" s="8"/>
      <c r="W418" s="7"/>
      <c r="X418" s="7"/>
      <c r="Y418" s="8"/>
      <c r="Z418" s="7"/>
      <c r="AA418" s="8"/>
    </row>
    <row r="419" spans="4:27" ht="14.25" thickTop="1" thickBot="1">
      <c r="D419" s="69"/>
      <c r="E419" s="54" t="s">
        <v>764</v>
      </c>
      <c r="F419" s="7"/>
      <c r="G419" s="8"/>
      <c r="H419" s="7"/>
      <c r="I419" s="6"/>
      <c r="J419" s="7"/>
      <c r="K419" s="8"/>
      <c r="L419" s="7"/>
      <c r="M419" s="8"/>
      <c r="N419" s="7"/>
      <c r="O419" s="8"/>
      <c r="P419" s="7"/>
      <c r="Q419" s="7"/>
      <c r="R419" s="8"/>
      <c r="S419" s="7"/>
      <c r="T419" s="9"/>
      <c r="U419" s="7"/>
      <c r="V419" s="8"/>
      <c r="W419" s="7"/>
      <c r="X419" s="7"/>
      <c r="Y419" s="8"/>
      <c r="Z419" s="7"/>
      <c r="AA419" s="8"/>
    </row>
    <row r="420" spans="4:27" ht="14.25" thickTop="1" thickBot="1">
      <c r="D420" s="69"/>
      <c r="E420" s="54" t="s">
        <v>718</v>
      </c>
      <c r="F420" s="7"/>
      <c r="G420" s="8"/>
      <c r="H420" s="7"/>
      <c r="I420" s="6"/>
      <c r="J420" s="7"/>
      <c r="K420" s="8"/>
      <c r="L420" s="7"/>
      <c r="M420" s="8"/>
      <c r="N420" s="7"/>
      <c r="O420" s="8"/>
      <c r="P420" s="7"/>
      <c r="Q420" s="7"/>
      <c r="R420" s="8"/>
      <c r="S420" s="7"/>
      <c r="T420" s="9"/>
      <c r="U420" s="7"/>
      <c r="V420" s="8"/>
      <c r="W420" s="7"/>
      <c r="X420" s="7"/>
      <c r="Y420" s="8"/>
      <c r="Z420" s="7"/>
      <c r="AA420" s="8"/>
    </row>
    <row r="421" spans="4:27" ht="14.25" thickTop="1" thickBot="1">
      <c r="D421" s="69"/>
      <c r="E421" s="54" t="s">
        <v>979</v>
      </c>
      <c r="F421" s="7"/>
      <c r="G421" s="8"/>
      <c r="H421" s="7"/>
      <c r="I421" s="6"/>
      <c r="J421" s="7"/>
      <c r="K421" s="8"/>
      <c r="L421" s="7"/>
      <c r="M421" s="8"/>
      <c r="N421" s="7"/>
      <c r="O421" s="8"/>
      <c r="P421" s="7"/>
      <c r="Q421" s="7"/>
      <c r="R421" s="8"/>
      <c r="S421" s="7"/>
      <c r="T421" s="9"/>
      <c r="U421" s="7"/>
      <c r="V421" s="8"/>
      <c r="W421" s="7"/>
      <c r="X421" s="7"/>
      <c r="Y421" s="8"/>
      <c r="Z421" s="7"/>
      <c r="AA421" s="8"/>
    </row>
    <row r="422" spans="4:27" ht="14.25" thickTop="1" thickBot="1">
      <c r="D422" s="69"/>
      <c r="E422" s="54" t="s">
        <v>1317</v>
      </c>
      <c r="F422" s="7"/>
      <c r="G422" s="8"/>
      <c r="H422" s="7"/>
      <c r="I422" s="6"/>
      <c r="J422" s="7"/>
      <c r="K422" s="8"/>
      <c r="L422" s="7"/>
      <c r="M422" s="8"/>
      <c r="N422" s="7"/>
      <c r="O422" s="8"/>
      <c r="P422" s="7"/>
      <c r="Q422" s="7"/>
      <c r="R422" s="8"/>
      <c r="S422" s="7"/>
      <c r="T422" s="9"/>
      <c r="U422" s="7"/>
      <c r="V422" s="8"/>
      <c r="W422" s="7"/>
      <c r="X422" s="7"/>
      <c r="Y422" s="8"/>
      <c r="Z422" s="7"/>
      <c r="AA422" s="8"/>
    </row>
    <row r="423" spans="4:27" ht="14.25" thickTop="1" thickBot="1">
      <c r="D423" s="69"/>
      <c r="E423" s="54" t="s">
        <v>1114</v>
      </c>
      <c r="F423" s="7"/>
      <c r="G423" s="8"/>
      <c r="H423" s="7"/>
      <c r="I423" s="6"/>
      <c r="J423" s="7"/>
      <c r="K423" s="8"/>
      <c r="L423" s="7"/>
      <c r="M423" s="8"/>
      <c r="N423" s="7"/>
      <c r="O423" s="8"/>
      <c r="P423" s="7"/>
      <c r="Q423" s="7"/>
      <c r="R423" s="8"/>
      <c r="S423" s="7"/>
      <c r="T423" s="9"/>
      <c r="U423" s="7"/>
      <c r="V423" s="8"/>
      <c r="W423" s="7"/>
      <c r="X423" s="7"/>
      <c r="Y423" s="8"/>
      <c r="Z423" s="7"/>
      <c r="AA423" s="8"/>
    </row>
    <row r="424" spans="4:27" ht="14.25" thickTop="1" thickBot="1">
      <c r="D424" s="69"/>
      <c r="E424" s="54" t="s">
        <v>182</v>
      </c>
      <c r="F424" s="7"/>
      <c r="G424" s="8"/>
      <c r="H424" s="7"/>
      <c r="I424" s="6"/>
      <c r="J424" s="7"/>
      <c r="K424" s="8"/>
      <c r="L424" s="7"/>
      <c r="M424" s="8"/>
      <c r="N424" s="7"/>
      <c r="O424" s="8"/>
      <c r="P424" s="7"/>
      <c r="Q424" s="7"/>
      <c r="R424" s="8"/>
      <c r="S424" s="7"/>
      <c r="T424" s="9"/>
      <c r="U424" s="7"/>
      <c r="V424" s="8"/>
      <c r="W424" s="7"/>
      <c r="X424" s="7"/>
      <c r="Y424" s="8"/>
      <c r="Z424" s="7"/>
      <c r="AA424" s="8"/>
    </row>
    <row r="425" spans="4:27" ht="14.25" thickTop="1" thickBot="1">
      <c r="D425" s="69"/>
      <c r="E425" s="54" t="s">
        <v>1139</v>
      </c>
      <c r="F425" s="7"/>
      <c r="G425" s="8"/>
      <c r="H425" s="7"/>
      <c r="I425" s="6"/>
      <c r="J425" s="7"/>
      <c r="K425" s="8"/>
      <c r="L425" s="7"/>
      <c r="M425" s="8"/>
      <c r="N425" s="7"/>
      <c r="O425" s="8"/>
      <c r="P425" s="7"/>
      <c r="Q425" s="7"/>
      <c r="R425" s="8"/>
      <c r="S425" s="7"/>
      <c r="T425" s="9"/>
      <c r="U425" s="7"/>
      <c r="V425" s="8"/>
      <c r="W425" s="7"/>
      <c r="X425" s="7"/>
      <c r="Y425" s="8"/>
      <c r="Z425" s="7"/>
      <c r="AA425" s="8"/>
    </row>
    <row r="426" spans="4:27" ht="14.25" thickTop="1" thickBot="1">
      <c r="D426" s="69"/>
      <c r="E426" s="54" t="s">
        <v>785</v>
      </c>
      <c r="F426" s="7"/>
      <c r="G426" s="8"/>
      <c r="H426" s="7"/>
      <c r="I426" s="6"/>
      <c r="J426" s="7"/>
      <c r="K426" s="8"/>
      <c r="L426" s="7"/>
      <c r="M426" s="8"/>
      <c r="N426" s="7"/>
      <c r="O426" s="8"/>
      <c r="P426" s="7"/>
      <c r="Q426" s="7"/>
      <c r="R426" s="8"/>
      <c r="S426" s="7"/>
      <c r="T426" s="9"/>
      <c r="U426" s="7"/>
      <c r="V426" s="8"/>
      <c r="W426" s="7"/>
      <c r="X426" s="7"/>
      <c r="Y426" s="8"/>
      <c r="Z426" s="7"/>
      <c r="AA426" s="8"/>
    </row>
    <row r="427" spans="4:27" ht="14.25" thickTop="1" thickBot="1">
      <c r="D427" s="69"/>
      <c r="E427" s="54" t="s">
        <v>223</v>
      </c>
      <c r="F427" s="7"/>
      <c r="G427" s="8"/>
      <c r="H427" s="7"/>
      <c r="I427" s="6"/>
      <c r="J427" s="7"/>
      <c r="K427" s="8"/>
      <c r="L427" s="7"/>
      <c r="M427" s="8"/>
      <c r="N427" s="7"/>
      <c r="O427" s="8"/>
      <c r="P427" s="7"/>
      <c r="Q427" s="7"/>
      <c r="R427" s="8"/>
      <c r="S427" s="7"/>
      <c r="T427" s="9"/>
      <c r="U427" s="7"/>
      <c r="V427" s="8"/>
      <c r="W427" s="7"/>
      <c r="X427" s="7"/>
      <c r="Y427" s="8"/>
      <c r="Z427" s="7"/>
      <c r="AA427" s="8"/>
    </row>
    <row r="428" spans="4:27" ht="14.25" thickTop="1" thickBot="1">
      <c r="D428" s="69"/>
      <c r="E428" s="54" t="s">
        <v>224</v>
      </c>
      <c r="F428" s="7"/>
      <c r="G428" s="8"/>
      <c r="H428" s="7"/>
      <c r="I428" s="6"/>
      <c r="J428" s="7"/>
      <c r="K428" s="8"/>
      <c r="L428" s="7"/>
      <c r="M428" s="8"/>
      <c r="N428" s="7"/>
      <c r="O428" s="8"/>
      <c r="P428" s="7"/>
      <c r="Q428" s="7"/>
      <c r="R428" s="8"/>
      <c r="S428" s="7"/>
      <c r="T428" s="9"/>
      <c r="U428" s="7"/>
      <c r="V428" s="8"/>
      <c r="W428" s="7"/>
      <c r="X428" s="7"/>
      <c r="Y428" s="8"/>
      <c r="Z428" s="7"/>
      <c r="AA428" s="8"/>
    </row>
    <row r="429" spans="4:27" ht="14.25" thickTop="1" thickBot="1">
      <c r="D429" s="69"/>
      <c r="E429" s="54" t="s">
        <v>1152</v>
      </c>
      <c r="F429" s="7"/>
      <c r="G429" s="8"/>
      <c r="H429" s="7"/>
      <c r="I429" s="6"/>
      <c r="J429" s="7"/>
      <c r="K429" s="8"/>
      <c r="L429" s="7"/>
      <c r="M429" s="8"/>
      <c r="N429" s="7"/>
      <c r="O429" s="8"/>
      <c r="P429" s="7"/>
      <c r="Q429" s="7"/>
      <c r="R429" s="8"/>
      <c r="S429" s="7"/>
      <c r="T429" s="9"/>
      <c r="U429" s="7"/>
      <c r="V429" s="8"/>
      <c r="W429" s="7"/>
      <c r="X429" s="7"/>
      <c r="Y429" s="8"/>
      <c r="Z429" s="7"/>
      <c r="AA429" s="8"/>
    </row>
    <row r="430" spans="4:27" ht="14.25" thickTop="1" thickBot="1">
      <c r="D430" s="69"/>
      <c r="E430" s="54" t="s">
        <v>1085</v>
      </c>
      <c r="F430" s="7"/>
      <c r="G430" s="8"/>
      <c r="H430" s="7"/>
      <c r="I430" s="6"/>
      <c r="J430" s="7"/>
      <c r="K430" s="8"/>
      <c r="L430" s="7"/>
      <c r="M430" s="8"/>
      <c r="N430" s="7"/>
      <c r="O430" s="8"/>
      <c r="P430" s="7"/>
      <c r="Q430" s="7"/>
      <c r="R430" s="8"/>
      <c r="S430" s="7"/>
      <c r="T430" s="9"/>
      <c r="U430" s="7"/>
      <c r="V430" s="8"/>
      <c r="W430" s="7"/>
      <c r="X430" s="7"/>
      <c r="Y430" s="8"/>
      <c r="Z430" s="7"/>
      <c r="AA430" s="8"/>
    </row>
    <row r="431" spans="4:27" ht="14.25" thickTop="1" thickBot="1">
      <c r="D431" s="69"/>
      <c r="E431" s="54" t="s">
        <v>1138</v>
      </c>
      <c r="F431" s="7"/>
      <c r="G431" s="8"/>
      <c r="H431" s="7"/>
      <c r="I431" s="6"/>
      <c r="J431" s="7"/>
      <c r="K431" s="8"/>
      <c r="L431" s="7"/>
      <c r="M431" s="8"/>
      <c r="N431" s="7"/>
      <c r="O431" s="8"/>
      <c r="P431" s="7"/>
      <c r="Q431" s="7"/>
      <c r="R431" s="8"/>
      <c r="S431" s="7"/>
      <c r="T431" s="9"/>
      <c r="U431" s="7"/>
      <c r="V431" s="8"/>
      <c r="W431" s="7"/>
      <c r="X431" s="7"/>
      <c r="Y431" s="8"/>
      <c r="Z431" s="7"/>
      <c r="AA431" s="8"/>
    </row>
    <row r="432" spans="4:27" ht="14.25" thickTop="1" thickBot="1">
      <c r="D432" s="69"/>
      <c r="E432" s="54" t="s">
        <v>244</v>
      </c>
      <c r="F432" s="7"/>
      <c r="G432" s="8"/>
      <c r="H432" s="7"/>
      <c r="I432" s="6"/>
      <c r="J432" s="7"/>
      <c r="K432" s="8"/>
      <c r="L432" s="7"/>
      <c r="M432" s="8"/>
      <c r="N432" s="7"/>
      <c r="O432" s="8"/>
      <c r="P432" s="7"/>
      <c r="Q432" s="7"/>
      <c r="R432" s="8"/>
      <c r="S432" s="7"/>
      <c r="T432" s="9"/>
      <c r="U432" s="7"/>
      <c r="V432" s="8"/>
      <c r="W432" s="7"/>
      <c r="X432" s="7"/>
      <c r="Y432" s="8"/>
      <c r="Z432" s="7"/>
      <c r="AA432" s="8"/>
    </row>
    <row r="433" spans="4:27" ht="14.25" thickTop="1" thickBot="1">
      <c r="D433" s="69"/>
      <c r="E433" s="54" t="s">
        <v>227</v>
      </c>
      <c r="F433" s="7"/>
      <c r="G433" s="8"/>
      <c r="H433" s="7"/>
      <c r="I433" s="6"/>
      <c r="J433" s="7"/>
      <c r="K433" s="8"/>
      <c r="L433" s="7"/>
      <c r="M433" s="8"/>
      <c r="N433" s="7"/>
      <c r="O433" s="8"/>
      <c r="P433" s="7"/>
      <c r="Q433" s="7"/>
      <c r="R433" s="8"/>
      <c r="S433" s="7"/>
      <c r="T433" s="9"/>
      <c r="U433" s="7"/>
      <c r="V433" s="8"/>
      <c r="W433" s="7"/>
      <c r="X433" s="7"/>
      <c r="Y433" s="8"/>
      <c r="Z433" s="7"/>
      <c r="AA433" s="8"/>
    </row>
    <row r="434" spans="4:27" ht="14.25" thickTop="1" thickBot="1">
      <c r="D434" s="69"/>
      <c r="E434" s="54" t="s">
        <v>228</v>
      </c>
      <c r="F434" s="7"/>
      <c r="G434" s="8"/>
      <c r="H434" s="7"/>
      <c r="I434" s="6"/>
      <c r="J434" s="7"/>
      <c r="K434" s="8"/>
      <c r="L434" s="7"/>
      <c r="M434" s="8"/>
      <c r="N434" s="7"/>
      <c r="O434" s="8"/>
      <c r="P434" s="7"/>
      <c r="Q434" s="7"/>
      <c r="R434" s="8"/>
      <c r="S434" s="7"/>
      <c r="T434" s="9"/>
      <c r="U434" s="7"/>
      <c r="V434" s="8"/>
      <c r="W434" s="7"/>
      <c r="X434" s="7"/>
      <c r="Y434" s="8"/>
      <c r="Z434" s="7"/>
      <c r="AA434" s="8"/>
    </row>
    <row r="435" spans="4:27" ht="14.25" thickTop="1" thickBot="1">
      <c r="D435" s="69"/>
      <c r="E435" s="54" t="s">
        <v>276</v>
      </c>
      <c r="F435" s="7"/>
      <c r="G435" s="8"/>
      <c r="H435" s="7"/>
      <c r="I435" s="6"/>
      <c r="J435" s="7"/>
      <c r="K435" s="8"/>
      <c r="L435" s="7"/>
      <c r="M435" s="8"/>
      <c r="N435" s="7"/>
      <c r="O435" s="8"/>
      <c r="P435" s="7"/>
      <c r="Q435" s="7"/>
      <c r="R435" s="8"/>
      <c r="S435" s="7"/>
      <c r="T435" s="9"/>
      <c r="U435" s="7"/>
      <c r="V435" s="8"/>
      <c r="W435" s="7"/>
      <c r="X435" s="7"/>
      <c r="Y435" s="8"/>
      <c r="Z435" s="7"/>
      <c r="AA435" s="8"/>
    </row>
    <row r="436" spans="4:27" ht="14.25" thickTop="1" thickBot="1">
      <c r="D436" s="69"/>
      <c r="E436" s="54" t="s">
        <v>183</v>
      </c>
      <c r="F436" s="7"/>
      <c r="G436" s="8"/>
      <c r="H436" s="7"/>
      <c r="I436" s="6"/>
      <c r="J436" s="7"/>
      <c r="K436" s="8"/>
      <c r="L436" s="7"/>
      <c r="M436" s="8"/>
      <c r="N436" s="7"/>
      <c r="O436" s="8"/>
      <c r="P436" s="7"/>
      <c r="Q436" s="7"/>
      <c r="R436" s="8"/>
      <c r="S436" s="7"/>
      <c r="T436" s="9"/>
      <c r="U436" s="7"/>
      <c r="V436" s="8"/>
      <c r="W436" s="7"/>
      <c r="X436" s="7"/>
      <c r="Y436" s="8"/>
      <c r="Z436" s="7"/>
      <c r="AA436" s="8"/>
    </row>
    <row r="437" spans="4:27" ht="14.25" thickTop="1" thickBot="1">
      <c r="D437" s="69"/>
      <c r="E437" s="54" t="s">
        <v>184</v>
      </c>
      <c r="F437" s="7"/>
      <c r="G437" s="8"/>
      <c r="H437" s="7"/>
      <c r="I437" s="6"/>
      <c r="J437" s="7"/>
      <c r="K437" s="8"/>
      <c r="L437" s="7"/>
      <c r="M437" s="8"/>
      <c r="N437" s="7"/>
      <c r="O437" s="8"/>
      <c r="P437" s="7"/>
      <c r="Q437" s="7"/>
      <c r="R437" s="8"/>
      <c r="S437" s="7"/>
      <c r="T437" s="9"/>
      <c r="U437" s="7"/>
      <c r="V437" s="8"/>
      <c r="W437" s="7"/>
      <c r="X437" s="7"/>
      <c r="Y437" s="8"/>
      <c r="Z437" s="7"/>
      <c r="AA437" s="8"/>
    </row>
    <row r="438" spans="4:27" ht="14.25" thickTop="1" thickBot="1">
      <c r="D438" s="69"/>
      <c r="E438" s="54" t="s">
        <v>185</v>
      </c>
      <c r="F438" s="7"/>
      <c r="G438" s="8"/>
      <c r="H438" s="7"/>
      <c r="I438" s="6"/>
      <c r="J438" s="7"/>
      <c r="K438" s="8"/>
      <c r="L438" s="7"/>
      <c r="M438" s="8"/>
      <c r="N438" s="7"/>
      <c r="O438" s="8"/>
      <c r="P438" s="7"/>
      <c r="Q438" s="7"/>
      <c r="R438" s="8"/>
      <c r="S438" s="7"/>
      <c r="T438" s="9"/>
      <c r="U438" s="7"/>
      <c r="V438" s="8"/>
      <c r="W438" s="7"/>
      <c r="X438" s="7"/>
      <c r="Y438" s="8"/>
      <c r="Z438" s="7"/>
      <c r="AA438" s="8"/>
    </row>
    <row r="439" spans="4:27" ht="14.25" thickTop="1" thickBot="1">
      <c r="D439" s="69"/>
      <c r="E439" s="54" t="s">
        <v>277</v>
      </c>
      <c r="F439" s="7"/>
      <c r="G439" s="8"/>
      <c r="H439" s="7"/>
      <c r="I439" s="6"/>
      <c r="J439" s="7"/>
      <c r="K439" s="8"/>
      <c r="L439" s="7"/>
      <c r="M439" s="8"/>
      <c r="N439" s="7"/>
      <c r="O439" s="8"/>
      <c r="P439" s="7"/>
      <c r="Q439" s="7"/>
      <c r="R439" s="8"/>
      <c r="S439" s="7"/>
      <c r="T439" s="9"/>
      <c r="U439" s="7"/>
      <c r="V439" s="8"/>
      <c r="W439" s="7"/>
      <c r="X439" s="7"/>
      <c r="Y439" s="8"/>
      <c r="Z439" s="7"/>
      <c r="AA439" s="8"/>
    </row>
    <row r="440" spans="4:27" ht="14.25" thickTop="1" thickBot="1">
      <c r="D440" s="69"/>
      <c r="E440" s="54" t="s">
        <v>245</v>
      </c>
      <c r="F440" s="7"/>
      <c r="G440" s="8"/>
      <c r="H440" s="7"/>
      <c r="I440" s="6"/>
      <c r="J440" s="7"/>
      <c r="K440" s="8"/>
      <c r="L440" s="7"/>
      <c r="M440" s="8"/>
      <c r="N440" s="7"/>
      <c r="O440" s="8"/>
      <c r="P440" s="7"/>
      <c r="Q440" s="7"/>
      <c r="R440" s="8"/>
      <c r="S440" s="7"/>
      <c r="T440" s="9"/>
      <c r="U440" s="7"/>
      <c r="V440" s="8"/>
      <c r="W440" s="7"/>
      <c r="X440" s="7"/>
      <c r="Y440" s="8"/>
      <c r="Z440" s="7"/>
      <c r="AA440" s="8"/>
    </row>
    <row r="441" spans="4:27" ht="14.25" thickTop="1" thickBot="1">
      <c r="D441" s="69"/>
      <c r="E441" s="54" t="s">
        <v>186</v>
      </c>
      <c r="F441" s="7"/>
      <c r="G441" s="8"/>
      <c r="H441" s="7"/>
      <c r="I441" s="6"/>
      <c r="J441" s="7"/>
      <c r="K441" s="8"/>
      <c r="L441" s="7"/>
      <c r="M441" s="8"/>
      <c r="N441" s="7"/>
      <c r="O441" s="8"/>
      <c r="P441" s="7"/>
      <c r="Q441" s="7"/>
      <c r="R441" s="8"/>
      <c r="S441" s="7"/>
      <c r="T441" s="9"/>
      <c r="U441" s="7"/>
      <c r="V441" s="8"/>
      <c r="W441" s="7"/>
      <c r="X441" s="7"/>
      <c r="Y441" s="8"/>
      <c r="Z441" s="7"/>
      <c r="AA441" s="8"/>
    </row>
    <row r="442" spans="4:27" ht="14.25" thickTop="1" thickBot="1">
      <c r="D442" s="69"/>
      <c r="E442" s="54" t="s">
        <v>187</v>
      </c>
      <c r="F442" s="7"/>
      <c r="G442" s="8"/>
      <c r="H442" s="7"/>
      <c r="I442" s="6"/>
      <c r="J442" s="7"/>
      <c r="K442" s="8"/>
      <c r="L442" s="7"/>
      <c r="M442" s="8"/>
      <c r="N442" s="7"/>
      <c r="O442" s="8"/>
      <c r="P442" s="7"/>
      <c r="Q442" s="7"/>
      <c r="R442" s="8"/>
      <c r="S442" s="7"/>
      <c r="T442" s="9"/>
      <c r="U442" s="7"/>
      <c r="V442" s="8"/>
      <c r="W442" s="7"/>
      <c r="X442" s="7"/>
      <c r="Y442" s="8"/>
      <c r="Z442" s="7"/>
      <c r="AA442" s="8"/>
    </row>
    <row r="443" spans="4:27" ht="14.25" thickTop="1" thickBot="1">
      <c r="D443" s="69"/>
      <c r="E443" s="54" t="s">
        <v>278</v>
      </c>
      <c r="F443" s="7"/>
      <c r="G443" s="8"/>
      <c r="H443" s="7"/>
      <c r="I443" s="6"/>
      <c r="J443" s="7"/>
      <c r="K443" s="8"/>
      <c r="L443" s="7"/>
      <c r="M443" s="8"/>
      <c r="N443" s="7"/>
      <c r="O443" s="8"/>
      <c r="P443" s="7"/>
      <c r="Q443" s="7"/>
      <c r="R443" s="8"/>
      <c r="S443" s="7"/>
      <c r="T443" s="9"/>
      <c r="U443" s="7"/>
      <c r="V443" s="8"/>
      <c r="W443" s="7"/>
      <c r="X443" s="7"/>
      <c r="Y443" s="8"/>
      <c r="Z443" s="7"/>
      <c r="AA443" s="8"/>
    </row>
    <row r="444" spans="4:27" ht="14.25" thickTop="1" thickBot="1">
      <c r="D444" s="69"/>
      <c r="E444" s="54" t="s">
        <v>1047</v>
      </c>
      <c r="F444" s="7"/>
      <c r="G444" s="8"/>
      <c r="H444" s="7"/>
      <c r="I444" s="6"/>
      <c r="J444" s="7"/>
      <c r="K444" s="8"/>
      <c r="L444" s="7"/>
      <c r="M444" s="8"/>
      <c r="N444" s="7"/>
      <c r="O444" s="8"/>
      <c r="P444" s="7"/>
      <c r="Q444" s="7"/>
      <c r="R444" s="8"/>
      <c r="S444" s="7"/>
      <c r="T444" s="9"/>
      <c r="U444" s="7"/>
      <c r="V444" s="8"/>
      <c r="W444" s="7"/>
      <c r="X444" s="7"/>
      <c r="Y444" s="8"/>
      <c r="Z444" s="7"/>
      <c r="AA444" s="8"/>
    </row>
    <row r="445" spans="4:27" ht="14.25" thickTop="1" thickBot="1">
      <c r="D445" s="69"/>
      <c r="E445" s="54" t="s">
        <v>246</v>
      </c>
      <c r="F445" s="7"/>
      <c r="G445" s="8"/>
      <c r="H445" s="7"/>
      <c r="I445" s="6"/>
      <c r="J445" s="7"/>
      <c r="K445" s="8"/>
      <c r="L445" s="7"/>
      <c r="M445" s="8"/>
      <c r="N445" s="7"/>
      <c r="O445" s="8"/>
      <c r="P445" s="7"/>
      <c r="Q445" s="7"/>
      <c r="R445" s="8"/>
      <c r="S445" s="7"/>
      <c r="T445" s="9"/>
      <c r="U445" s="7"/>
      <c r="V445" s="8"/>
      <c r="W445" s="7"/>
      <c r="X445" s="7"/>
      <c r="Y445" s="8"/>
      <c r="Z445" s="7"/>
      <c r="AA445" s="8"/>
    </row>
    <row r="446" spans="4:27" ht="14.25" thickTop="1" thickBot="1">
      <c r="D446" s="69"/>
      <c r="E446" s="54" t="s">
        <v>279</v>
      </c>
      <c r="F446" s="7"/>
      <c r="G446" s="8"/>
      <c r="H446" s="7"/>
      <c r="I446" s="6"/>
      <c r="J446" s="7"/>
      <c r="K446" s="8"/>
      <c r="L446" s="7"/>
      <c r="M446" s="8"/>
      <c r="N446" s="7"/>
      <c r="O446" s="8"/>
      <c r="P446" s="7"/>
      <c r="Q446" s="7"/>
      <c r="R446" s="8"/>
      <c r="S446" s="7"/>
      <c r="T446" s="9"/>
      <c r="U446" s="7"/>
      <c r="V446" s="8"/>
      <c r="W446" s="7"/>
      <c r="X446" s="7"/>
      <c r="Y446" s="8"/>
      <c r="Z446" s="7"/>
      <c r="AA446" s="8"/>
    </row>
    <row r="447" spans="4:27" ht="14.25" thickTop="1" thickBot="1">
      <c r="D447" s="69"/>
      <c r="E447" s="54" t="s">
        <v>189</v>
      </c>
      <c r="F447" s="7"/>
      <c r="G447" s="8"/>
      <c r="H447" s="7"/>
      <c r="I447" s="6"/>
      <c r="J447" s="7"/>
      <c r="K447" s="8"/>
      <c r="L447" s="7"/>
      <c r="M447" s="8"/>
      <c r="N447" s="7"/>
      <c r="O447" s="8"/>
      <c r="P447" s="7"/>
      <c r="Q447" s="7"/>
      <c r="R447" s="8"/>
      <c r="S447" s="7"/>
      <c r="T447" s="9"/>
      <c r="U447" s="7"/>
      <c r="V447" s="8"/>
      <c r="W447" s="7"/>
      <c r="X447" s="7"/>
      <c r="Y447" s="8"/>
      <c r="Z447" s="7"/>
      <c r="AA447" s="8"/>
    </row>
    <row r="448" spans="4:27" ht="14.25" thickTop="1" thickBot="1">
      <c r="D448" s="69"/>
      <c r="E448" s="54" t="s">
        <v>280</v>
      </c>
      <c r="F448" s="7"/>
      <c r="G448" s="8"/>
      <c r="H448" s="7"/>
      <c r="I448" s="6"/>
      <c r="J448" s="7"/>
      <c r="K448" s="8"/>
      <c r="L448" s="7"/>
      <c r="M448" s="8"/>
      <c r="N448" s="7"/>
      <c r="O448" s="8"/>
      <c r="P448" s="7"/>
      <c r="Q448" s="7"/>
      <c r="R448" s="8"/>
      <c r="S448" s="7"/>
      <c r="T448" s="9"/>
      <c r="U448" s="7"/>
      <c r="V448" s="8"/>
      <c r="W448" s="7"/>
      <c r="X448" s="7"/>
      <c r="Y448" s="8"/>
      <c r="Z448" s="7"/>
      <c r="AA448" s="8"/>
    </row>
    <row r="449" spans="4:27" ht="14.25" thickTop="1" thickBot="1">
      <c r="D449" s="69"/>
      <c r="E449" s="54" t="s">
        <v>281</v>
      </c>
      <c r="F449" s="7"/>
      <c r="G449" s="8"/>
      <c r="H449" s="7"/>
      <c r="I449" s="6"/>
      <c r="J449" s="7"/>
      <c r="K449" s="8"/>
      <c r="L449" s="7"/>
      <c r="M449" s="8"/>
      <c r="N449" s="7"/>
      <c r="O449" s="8"/>
      <c r="P449" s="7"/>
      <c r="Q449" s="7"/>
      <c r="R449" s="8"/>
      <c r="S449" s="7"/>
      <c r="T449" s="9"/>
      <c r="U449" s="7"/>
      <c r="V449" s="8"/>
      <c r="W449" s="7"/>
      <c r="X449" s="7"/>
      <c r="Y449" s="8"/>
      <c r="Z449" s="7"/>
      <c r="AA449" s="8"/>
    </row>
    <row r="450" spans="4:27" ht="14.25" thickTop="1" thickBot="1">
      <c r="D450" s="69"/>
      <c r="E450" s="54" t="s">
        <v>190</v>
      </c>
      <c r="F450" s="7"/>
      <c r="G450" s="8"/>
      <c r="H450" s="7"/>
      <c r="I450" s="6"/>
      <c r="J450" s="7"/>
      <c r="K450" s="8"/>
      <c r="L450" s="7"/>
      <c r="M450" s="8"/>
      <c r="N450" s="7"/>
      <c r="O450" s="8"/>
      <c r="P450" s="7"/>
      <c r="Q450" s="7"/>
      <c r="R450" s="8"/>
      <c r="S450" s="7"/>
      <c r="T450" s="9"/>
      <c r="U450" s="7"/>
      <c r="V450" s="8"/>
      <c r="W450" s="7"/>
      <c r="X450" s="7"/>
      <c r="Y450" s="8"/>
      <c r="Z450" s="7"/>
      <c r="AA450" s="8"/>
    </row>
    <row r="451" spans="4:27" ht="14.25" thickTop="1" thickBot="1">
      <c r="D451" s="69"/>
      <c r="E451" s="54" t="s">
        <v>282</v>
      </c>
      <c r="F451" s="7"/>
      <c r="G451" s="8"/>
      <c r="H451" s="7"/>
      <c r="I451" s="6"/>
      <c r="J451" s="7"/>
      <c r="K451" s="8"/>
      <c r="L451" s="7"/>
      <c r="M451" s="8"/>
      <c r="N451" s="7"/>
      <c r="O451" s="8"/>
      <c r="P451" s="7"/>
      <c r="Q451" s="7"/>
      <c r="R451" s="8"/>
      <c r="S451" s="7"/>
      <c r="T451" s="9"/>
      <c r="U451" s="7"/>
      <c r="V451" s="8"/>
      <c r="W451" s="7"/>
      <c r="X451" s="7"/>
      <c r="Y451" s="8"/>
      <c r="Z451" s="7"/>
      <c r="AA451" s="8"/>
    </row>
    <row r="452" spans="4:27" ht="14.25" thickTop="1" thickBot="1">
      <c r="D452" s="69"/>
      <c r="E452" s="54" t="s">
        <v>283</v>
      </c>
      <c r="F452" s="7"/>
      <c r="G452" s="8"/>
      <c r="H452" s="7"/>
      <c r="I452" s="6"/>
      <c r="J452" s="7"/>
      <c r="K452" s="8"/>
      <c r="L452" s="7"/>
      <c r="M452" s="8"/>
      <c r="N452" s="7"/>
      <c r="O452" s="8"/>
      <c r="P452" s="7"/>
      <c r="Q452" s="7"/>
      <c r="R452" s="8"/>
      <c r="S452" s="7"/>
      <c r="T452" s="9"/>
      <c r="U452" s="7"/>
      <c r="V452" s="8"/>
      <c r="W452" s="7"/>
      <c r="X452" s="7"/>
      <c r="Y452" s="8"/>
      <c r="Z452" s="7"/>
      <c r="AA452" s="8"/>
    </row>
    <row r="453" spans="4:27" ht="14.25" thickTop="1" thickBot="1">
      <c r="D453" s="69"/>
      <c r="E453" s="54" t="s">
        <v>1059</v>
      </c>
      <c r="F453" s="7"/>
      <c r="G453" s="8"/>
      <c r="H453" s="7"/>
      <c r="I453" s="6"/>
      <c r="J453" s="7"/>
      <c r="K453" s="8"/>
      <c r="L453" s="7"/>
      <c r="M453" s="8"/>
      <c r="N453" s="7"/>
      <c r="O453" s="8"/>
      <c r="P453" s="7"/>
      <c r="Q453" s="7"/>
      <c r="R453" s="8"/>
      <c r="S453" s="7"/>
      <c r="T453" s="9"/>
      <c r="U453" s="7"/>
      <c r="V453" s="8"/>
      <c r="W453" s="7"/>
      <c r="X453" s="7"/>
      <c r="Y453" s="8"/>
      <c r="Z453" s="7"/>
      <c r="AA453" s="8"/>
    </row>
    <row r="454" spans="4:27" ht="14.25" thickTop="1" thickBot="1">
      <c r="D454" s="69"/>
      <c r="E454" s="54" t="s">
        <v>229</v>
      </c>
      <c r="F454" s="7"/>
      <c r="G454" s="8"/>
      <c r="H454" s="7"/>
      <c r="I454" s="6"/>
      <c r="J454" s="7"/>
      <c r="K454" s="8"/>
      <c r="L454" s="7"/>
      <c r="M454" s="8"/>
      <c r="N454" s="7"/>
      <c r="O454" s="8"/>
      <c r="P454" s="7"/>
      <c r="Q454" s="7"/>
      <c r="R454" s="8"/>
      <c r="S454" s="7"/>
      <c r="T454" s="9"/>
      <c r="U454" s="7"/>
      <c r="V454" s="8"/>
      <c r="W454" s="7"/>
      <c r="X454" s="7"/>
      <c r="Y454" s="8"/>
      <c r="Z454" s="7"/>
      <c r="AA454" s="8"/>
    </row>
    <row r="455" spans="4:27" ht="14.25" thickTop="1" thickBot="1">
      <c r="D455" s="69"/>
      <c r="E455" s="54" t="s">
        <v>1318</v>
      </c>
      <c r="F455" s="7"/>
      <c r="G455" s="8"/>
      <c r="H455" s="7"/>
      <c r="I455" s="6"/>
      <c r="J455" s="7"/>
      <c r="K455" s="8"/>
      <c r="L455" s="7"/>
      <c r="M455" s="8"/>
      <c r="N455" s="7"/>
      <c r="O455" s="8"/>
      <c r="P455" s="7"/>
      <c r="Q455" s="7"/>
      <c r="R455" s="8"/>
      <c r="S455" s="7"/>
      <c r="T455" s="9"/>
      <c r="U455" s="7"/>
      <c r="V455" s="8"/>
      <c r="W455" s="7"/>
      <c r="X455" s="7"/>
      <c r="Y455" s="8"/>
      <c r="Z455" s="7"/>
      <c r="AA455" s="8"/>
    </row>
    <row r="456" spans="4:27" ht="14.25" thickTop="1" thickBot="1">
      <c r="D456" s="69"/>
      <c r="E456" s="54" t="s">
        <v>231</v>
      </c>
      <c r="F456" s="7"/>
      <c r="G456" s="8"/>
      <c r="H456" s="7"/>
      <c r="I456" s="6"/>
      <c r="J456" s="7"/>
      <c r="K456" s="8"/>
      <c r="L456" s="7"/>
      <c r="M456" s="8"/>
      <c r="N456" s="7"/>
      <c r="O456" s="8"/>
      <c r="P456" s="7"/>
      <c r="Q456" s="7"/>
      <c r="R456" s="8"/>
      <c r="S456" s="7"/>
      <c r="T456" s="9"/>
      <c r="U456" s="7"/>
      <c r="V456" s="8"/>
      <c r="W456" s="7"/>
      <c r="X456" s="7"/>
      <c r="Y456" s="8"/>
      <c r="Z456" s="7"/>
      <c r="AA456" s="8"/>
    </row>
    <row r="457" spans="4:27" ht="14.25" thickTop="1" thickBot="1">
      <c r="D457" s="69"/>
      <c r="E457" s="54" t="s">
        <v>1052</v>
      </c>
      <c r="F457" s="7"/>
      <c r="G457" s="8"/>
      <c r="H457" s="7"/>
      <c r="I457" s="6"/>
      <c r="J457" s="7"/>
      <c r="K457" s="8"/>
      <c r="L457" s="7"/>
      <c r="M457" s="8"/>
      <c r="N457" s="7"/>
      <c r="O457" s="8"/>
      <c r="P457" s="7"/>
      <c r="Q457" s="7"/>
      <c r="R457" s="8"/>
      <c r="S457" s="7"/>
      <c r="T457" s="9"/>
      <c r="U457" s="7"/>
      <c r="V457" s="8"/>
      <c r="W457" s="7"/>
      <c r="X457" s="7"/>
      <c r="Y457" s="8"/>
      <c r="Z457" s="7"/>
      <c r="AA457" s="8"/>
    </row>
    <row r="458" spans="4:27" ht="14.25" thickTop="1" thickBot="1">
      <c r="D458" s="69"/>
      <c r="F458" s="7"/>
      <c r="G458" s="8"/>
      <c r="H458" s="7"/>
      <c r="I458" s="6"/>
      <c r="J458" s="7"/>
      <c r="K458" s="8"/>
      <c r="L458" s="7"/>
      <c r="M458" s="8"/>
      <c r="N458" s="7"/>
      <c r="O458" s="8"/>
      <c r="P458" s="7"/>
      <c r="Q458" s="7"/>
      <c r="R458" s="8"/>
      <c r="S458" s="7"/>
      <c r="T458" s="9"/>
      <c r="U458" s="7"/>
      <c r="V458" s="8"/>
      <c r="W458" s="7"/>
      <c r="X458" s="7"/>
      <c r="Y458" s="8"/>
      <c r="Z458" s="7"/>
      <c r="AA458" s="8"/>
    </row>
    <row r="459" spans="4:27" ht="14.25" thickTop="1" thickBot="1">
      <c r="D459" s="69"/>
      <c r="F459" s="7"/>
      <c r="G459" s="8"/>
      <c r="H459" s="7"/>
      <c r="I459" s="6"/>
      <c r="J459" s="7"/>
      <c r="K459" s="8"/>
      <c r="L459" s="7"/>
      <c r="M459" s="8"/>
      <c r="N459" s="7"/>
      <c r="O459" s="8"/>
      <c r="P459" s="7"/>
      <c r="Q459" s="7"/>
      <c r="R459" s="8"/>
      <c r="S459" s="7"/>
      <c r="T459" s="9"/>
      <c r="U459" s="7"/>
      <c r="V459" s="8"/>
      <c r="W459" s="7"/>
      <c r="X459" s="7"/>
      <c r="Y459" s="8"/>
      <c r="Z459" s="7"/>
      <c r="AA459" s="8"/>
    </row>
    <row r="460" spans="4:27" ht="14.25" thickTop="1" thickBot="1">
      <c r="D460" s="69"/>
      <c r="F460" s="7"/>
      <c r="G460" s="8"/>
      <c r="H460" s="7"/>
      <c r="I460" s="6"/>
      <c r="J460" s="7"/>
      <c r="K460" s="8"/>
      <c r="L460" s="7"/>
      <c r="M460" s="8"/>
      <c r="N460" s="7"/>
      <c r="O460" s="8"/>
      <c r="P460" s="7"/>
      <c r="Q460" s="7"/>
      <c r="R460" s="8"/>
      <c r="S460" s="7"/>
      <c r="T460" s="9"/>
      <c r="U460" s="7"/>
      <c r="V460" s="8"/>
      <c r="W460" s="7"/>
      <c r="X460" s="7"/>
      <c r="Y460" s="8"/>
      <c r="Z460" s="7"/>
      <c r="AA460" s="8"/>
    </row>
    <row r="461" spans="4:27" ht="14.25" thickTop="1" thickBot="1">
      <c r="D461" s="69"/>
      <c r="F461" s="7"/>
      <c r="G461" s="8"/>
      <c r="H461" s="7"/>
      <c r="I461" s="6"/>
      <c r="J461" s="7"/>
      <c r="K461" s="8"/>
      <c r="L461" s="7"/>
      <c r="M461" s="8"/>
      <c r="N461" s="7"/>
      <c r="O461" s="8"/>
      <c r="P461" s="7"/>
      <c r="Q461" s="7"/>
      <c r="R461" s="8"/>
      <c r="S461" s="7"/>
      <c r="T461" s="9"/>
      <c r="U461" s="7"/>
      <c r="V461" s="8"/>
      <c r="W461" s="7"/>
      <c r="X461" s="7"/>
      <c r="Y461" s="8"/>
      <c r="Z461" s="7"/>
      <c r="AA461" s="8"/>
    </row>
    <row r="462" spans="4:27" ht="14.25" thickTop="1" thickBot="1">
      <c r="D462" s="69"/>
      <c r="F462" s="7"/>
      <c r="G462" s="8"/>
      <c r="H462" s="7"/>
      <c r="I462" s="6"/>
      <c r="J462" s="7"/>
      <c r="K462" s="8"/>
      <c r="L462" s="7"/>
      <c r="M462" s="8"/>
      <c r="N462" s="7"/>
      <c r="O462" s="8"/>
      <c r="P462" s="7"/>
      <c r="Q462" s="7"/>
      <c r="R462" s="8"/>
      <c r="S462" s="7"/>
      <c r="T462" s="9"/>
      <c r="U462" s="7"/>
      <c r="V462" s="8"/>
      <c r="W462" s="7"/>
      <c r="X462" s="7"/>
      <c r="Y462" s="8"/>
      <c r="Z462" s="7"/>
      <c r="AA462" s="8"/>
    </row>
    <row r="463" spans="4:27" ht="14.25" thickTop="1" thickBot="1">
      <c r="D463" s="69"/>
      <c r="F463" s="7"/>
      <c r="G463" s="8"/>
      <c r="H463" s="7"/>
      <c r="I463" s="6"/>
      <c r="J463" s="7"/>
      <c r="K463" s="8"/>
      <c r="L463" s="7"/>
      <c r="M463" s="8"/>
      <c r="N463" s="7"/>
      <c r="O463" s="8"/>
      <c r="P463" s="7"/>
      <c r="Q463" s="7"/>
      <c r="R463" s="8"/>
      <c r="S463" s="7"/>
      <c r="T463" s="9"/>
      <c r="U463" s="7"/>
      <c r="V463" s="8"/>
      <c r="W463" s="7"/>
      <c r="X463" s="7"/>
      <c r="Y463" s="8"/>
      <c r="Z463" s="7"/>
      <c r="AA463" s="8"/>
    </row>
    <row r="464" spans="4:27" ht="14.25" thickTop="1" thickBot="1">
      <c r="D464" s="69"/>
      <c r="F464" s="7"/>
      <c r="G464" s="8"/>
      <c r="H464" s="7"/>
      <c r="I464" s="6"/>
      <c r="J464" s="7"/>
      <c r="K464" s="8"/>
      <c r="L464" s="7"/>
      <c r="M464" s="8"/>
      <c r="N464" s="7"/>
      <c r="O464" s="8"/>
      <c r="P464" s="7"/>
      <c r="Q464" s="7"/>
      <c r="R464" s="8"/>
      <c r="S464" s="7"/>
      <c r="T464" s="9"/>
      <c r="U464" s="7"/>
      <c r="V464" s="8"/>
      <c r="W464" s="7"/>
      <c r="X464" s="7"/>
      <c r="Y464" s="8"/>
      <c r="Z464" s="7"/>
      <c r="AA464" s="8"/>
    </row>
    <row r="465" spans="4:27" ht="14.25" thickTop="1" thickBot="1">
      <c r="D465" s="69"/>
      <c r="F465" s="7"/>
      <c r="G465" s="8"/>
      <c r="H465" s="7"/>
      <c r="I465" s="6"/>
      <c r="J465" s="7"/>
      <c r="K465" s="8"/>
      <c r="L465" s="7"/>
      <c r="M465" s="8"/>
      <c r="N465" s="7"/>
      <c r="O465" s="8"/>
      <c r="P465" s="7"/>
      <c r="Q465" s="7"/>
      <c r="R465" s="8"/>
      <c r="S465" s="7"/>
      <c r="T465" s="9"/>
      <c r="U465" s="7"/>
      <c r="V465" s="8"/>
      <c r="W465" s="7"/>
      <c r="X465" s="7"/>
      <c r="Y465" s="8"/>
      <c r="Z465" s="7"/>
      <c r="AA465" s="8"/>
    </row>
    <row r="466" spans="4:27" ht="14.25" thickTop="1" thickBot="1">
      <c r="D466" s="69"/>
      <c r="F466" s="7"/>
      <c r="G466" s="8"/>
      <c r="H466" s="7"/>
      <c r="I466" s="6"/>
      <c r="J466" s="7"/>
      <c r="K466" s="8"/>
      <c r="L466" s="7"/>
      <c r="M466" s="8"/>
      <c r="N466" s="7"/>
      <c r="O466" s="8"/>
      <c r="P466" s="7"/>
      <c r="Q466" s="7"/>
      <c r="R466" s="8"/>
      <c r="S466" s="7"/>
      <c r="T466" s="9"/>
      <c r="U466" s="7"/>
      <c r="V466" s="8"/>
      <c r="W466" s="7"/>
      <c r="X466" s="7"/>
      <c r="Y466" s="8"/>
      <c r="Z466" s="7"/>
      <c r="AA466" s="8"/>
    </row>
    <row r="467" spans="4:27" ht="14.25" thickTop="1" thickBot="1">
      <c r="D467" s="69"/>
      <c r="F467" s="7"/>
      <c r="G467" s="8"/>
      <c r="H467" s="7"/>
      <c r="I467" s="6"/>
      <c r="J467" s="7"/>
      <c r="K467" s="8"/>
      <c r="L467" s="7"/>
      <c r="M467" s="8"/>
      <c r="N467" s="7"/>
      <c r="O467" s="8"/>
      <c r="P467" s="7"/>
      <c r="Q467" s="7"/>
      <c r="R467" s="8"/>
      <c r="S467" s="7"/>
      <c r="T467" s="9"/>
      <c r="U467" s="7"/>
      <c r="V467" s="8"/>
      <c r="W467" s="7"/>
      <c r="X467" s="7"/>
      <c r="Y467" s="8"/>
      <c r="Z467" s="7"/>
      <c r="AA467" s="8"/>
    </row>
    <row r="468" spans="4:27" ht="14.25" thickTop="1" thickBot="1">
      <c r="D468" s="69"/>
      <c r="F468" s="7"/>
      <c r="G468" s="8"/>
      <c r="H468" s="7"/>
      <c r="I468" s="6"/>
      <c r="J468" s="7"/>
      <c r="K468" s="8"/>
      <c r="L468" s="7"/>
      <c r="M468" s="8"/>
      <c r="N468" s="7"/>
      <c r="O468" s="8"/>
      <c r="P468" s="7"/>
      <c r="Q468" s="7"/>
      <c r="R468" s="8"/>
      <c r="S468" s="7"/>
      <c r="T468" s="9"/>
      <c r="U468" s="7"/>
      <c r="V468" s="8"/>
      <c r="W468" s="7"/>
      <c r="X468" s="7"/>
      <c r="Y468" s="8"/>
      <c r="Z468" s="7"/>
      <c r="AA468" s="8"/>
    </row>
    <row r="469" spans="4:27" ht="14.25" thickTop="1" thickBot="1">
      <c r="D469" s="69"/>
      <c r="F469" s="7"/>
      <c r="G469" s="8"/>
      <c r="H469" s="7"/>
      <c r="I469" s="6"/>
      <c r="J469" s="7"/>
      <c r="K469" s="8"/>
      <c r="L469" s="7"/>
      <c r="M469" s="8"/>
      <c r="N469" s="7"/>
      <c r="O469" s="8"/>
      <c r="P469" s="7"/>
      <c r="Q469" s="7"/>
      <c r="R469" s="8"/>
      <c r="S469" s="7"/>
      <c r="T469" s="9"/>
      <c r="U469" s="7"/>
      <c r="V469" s="8"/>
      <c r="W469" s="7"/>
      <c r="X469" s="7"/>
      <c r="Y469" s="8"/>
      <c r="Z469" s="7"/>
      <c r="AA469" s="8"/>
    </row>
    <row r="470" spans="4:27" ht="14.25" thickTop="1" thickBot="1">
      <c r="D470" s="69"/>
      <c r="F470" s="7"/>
      <c r="G470" s="8"/>
      <c r="H470" s="7"/>
      <c r="I470" s="6"/>
      <c r="J470" s="7"/>
      <c r="K470" s="8"/>
      <c r="L470" s="7"/>
      <c r="M470" s="8"/>
      <c r="N470" s="7"/>
      <c r="O470" s="8"/>
      <c r="P470" s="7"/>
      <c r="Q470" s="7"/>
      <c r="R470" s="8"/>
      <c r="S470" s="7"/>
      <c r="T470" s="9"/>
      <c r="U470" s="7"/>
      <c r="V470" s="8"/>
      <c r="W470" s="7"/>
      <c r="X470" s="7"/>
      <c r="Y470" s="8"/>
      <c r="Z470" s="7"/>
      <c r="AA470" s="8"/>
    </row>
    <row r="471" spans="4:27" ht="14.25" thickTop="1" thickBot="1">
      <c r="D471" s="69"/>
      <c r="F471" s="7"/>
      <c r="G471" s="8"/>
      <c r="H471" s="7"/>
      <c r="I471" s="6"/>
      <c r="J471" s="7"/>
      <c r="K471" s="8"/>
      <c r="L471" s="7"/>
      <c r="M471" s="8"/>
      <c r="N471" s="7"/>
      <c r="O471" s="8"/>
      <c r="P471" s="7"/>
      <c r="Q471" s="7"/>
      <c r="R471" s="8"/>
      <c r="S471" s="7"/>
      <c r="T471" s="9"/>
      <c r="U471" s="7"/>
      <c r="V471" s="8"/>
      <c r="W471" s="7"/>
      <c r="X471" s="7"/>
      <c r="Y471" s="8"/>
      <c r="Z471" s="7"/>
      <c r="AA471" s="8"/>
    </row>
    <row r="472" spans="4:27" ht="14.25" thickTop="1" thickBot="1">
      <c r="D472" s="69"/>
      <c r="F472" s="7"/>
      <c r="G472" s="8"/>
      <c r="H472" s="7"/>
      <c r="I472" s="6"/>
      <c r="J472" s="7"/>
      <c r="K472" s="8"/>
      <c r="L472" s="7"/>
      <c r="M472" s="8"/>
      <c r="N472" s="7"/>
      <c r="O472" s="8"/>
      <c r="P472" s="7"/>
      <c r="Q472" s="7"/>
      <c r="R472" s="8"/>
      <c r="S472" s="7"/>
      <c r="T472" s="9"/>
      <c r="U472" s="7"/>
      <c r="V472" s="8"/>
      <c r="W472" s="7"/>
      <c r="X472" s="7"/>
      <c r="Y472" s="8"/>
      <c r="Z472" s="7"/>
      <c r="AA472" s="8"/>
    </row>
    <row r="473" spans="4:27" ht="14.25" thickTop="1" thickBot="1">
      <c r="D473" s="69"/>
      <c r="F473" s="7"/>
      <c r="G473" s="8"/>
      <c r="H473" s="7"/>
      <c r="I473" s="6"/>
      <c r="J473" s="7"/>
      <c r="K473" s="8"/>
      <c r="L473" s="7"/>
      <c r="M473" s="8"/>
      <c r="N473" s="7"/>
      <c r="O473" s="8"/>
      <c r="P473" s="7"/>
      <c r="Q473" s="7"/>
      <c r="R473" s="8"/>
      <c r="S473" s="7"/>
      <c r="T473" s="9"/>
      <c r="U473" s="7"/>
      <c r="V473" s="8"/>
      <c r="W473" s="7"/>
      <c r="X473" s="7"/>
      <c r="Y473" s="8"/>
      <c r="Z473" s="7"/>
      <c r="AA473" s="8"/>
    </row>
    <row r="474" spans="4:27" ht="14.25" thickTop="1" thickBot="1">
      <c r="D474" s="69"/>
      <c r="F474" s="7"/>
      <c r="G474" s="8"/>
      <c r="H474" s="7"/>
      <c r="I474" s="6"/>
      <c r="J474" s="7"/>
      <c r="K474" s="8"/>
      <c r="L474" s="7"/>
      <c r="M474" s="8"/>
      <c r="N474" s="7"/>
      <c r="O474" s="8"/>
      <c r="P474" s="7"/>
      <c r="Q474" s="7"/>
      <c r="R474" s="8"/>
      <c r="S474" s="7"/>
      <c r="T474" s="9"/>
      <c r="U474" s="7"/>
      <c r="V474" s="8"/>
      <c r="W474" s="7"/>
      <c r="X474" s="7"/>
      <c r="Y474" s="8"/>
      <c r="Z474" s="7"/>
      <c r="AA474" s="8"/>
    </row>
    <row r="475" spans="4:27" ht="14.25" thickTop="1" thickBot="1">
      <c r="D475" s="69"/>
      <c r="F475" s="7"/>
      <c r="G475" s="8"/>
      <c r="H475" s="7"/>
      <c r="I475" s="6"/>
      <c r="J475" s="7"/>
      <c r="K475" s="8"/>
      <c r="L475" s="7"/>
      <c r="M475" s="8"/>
      <c r="N475" s="7"/>
      <c r="O475" s="8"/>
      <c r="P475" s="7"/>
      <c r="Q475" s="7"/>
      <c r="R475" s="8"/>
      <c r="S475" s="7"/>
      <c r="T475" s="9"/>
      <c r="U475" s="7"/>
      <c r="V475" s="8"/>
      <c r="W475" s="7"/>
      <c r="X475" s="7"/>
      <c r="Y475" s="8"/>
      <c r="Z475" s="7"/>
      <c r="AA475" s="8"/>
    </row>
    <row r="476" spans="4:27" ht="14.25" thickTop="1" thickBot="1">
      <c r="D476" s="69"/>
      <c r="F476" s="7"/>
      <c r="G476" s="8"/>
      <c r="H476" s="7"/>
      <c r="I476" s="6"/>
      <c r="J476" s="7"/>
      <c r="K476" s="8"/>
      <c r="L476" s="7"/>
      <c r="M476" s="8"/>
      <c r="N476" s="7"/>
      <c r="O476" s="8"/>
      <c r="P476" s="7"/>
      <c r="Q476" s="7"/>
      <c r="R476" s="8"/>
      <c r="S476" s="7"/>
      <c r="T476" s="9"/>
      <c r="U476" s="7"/>
      <c r="V476" s="8"/>
      <c r="W476" s="7"/>
      <c r="X476" s="7"/>
      <c r="Y476" s="8"/>
      <c r="Z476" s="7"/>
      <c r="AA476" s="8"/>
    </row>
    <row r="477" spans="4:27" ht="14.25" thickTop="1" thickBot="1">
      <c r="D477" s="69"/>
      <c r="F477" s="7"/>
      <c r="G477" s="8"/>
      <c r="H477" s="7"/>
      <c r="I477" s="6"/>
      <c r="J477" s="7"/>
      <c r="K477" s="8"/>
      <c r="L477" s="7"/>
      <c r="M477" s="8"/>
      <c r="N477" s="7"/>
      <c r="O477" s="8"/>
      <c r="P477" s="7"/>
      <c r="Q477" s="7"/>
      <c r="R477" s="8"/>
      <c r="S477" s="7"/>
      <c r="T477" s="9"/>
      <c r="U477" s="7"/>
      <c r="V477" s="8"/>
      <c r="W477" s="7"/>
      <c r="X477" s="7"/>
      <c r="Y477" s="8"/>
      <c r="Z477" s="7"/>
      <c r="AA477" s="8"/>
    </row>
    <row r="478" spans="4:27" ht="14.25" thickTop="1" thickBot="1">
      <c r="D478" s="69"/>
      <c r="F478" s="7"/>
      <c r="G478" s="8"/>
      <c r="H478" s="7"/>
      <c r="I478" s="6"/>
      <c r="J478" s="7"/>
      <c r="K478" s="8"/>
      <c r="L478" s="7"/>
      <c r="M478" s="8"/>
      <c r="N478" s="7"/>
      <c r="O478" s="8"/>
      <c r="P478" s="7"/>
      <c r="Q478" s="7"/>
      <c r="R478" s="8"/>
      <c r="S478" s="7"/>
      <c r="T478" s="9"/>
      <c r="U478" s="7"/>
      <c r="V478" s="8"/>
      <c r="W478" s="7"/>
      <c r="X478" s="7"/>
      <c r="Y478" s="8"/>
      <c r="Z478" s="7"/>
      <c r="AA478" s="8"/>
    </row>
    <row r="479" spans="4:27" ht="14.25" thickTop="1" thickBot="1">
      <c r="D479" s="69"/>
      <c r="F479" s="7"/>
      <c r="G479" s="8"/>
      <c r="H479" s="7"/>
      <c r="I479" s="6"/>
      <c r="J479" s="7"/>
      <c r="K479" s="8"/>
      <c r="L479" s="7"/>
      <c r="M479" s="8"/>
      <c r="N479" s="7"/>
      <c r="O479" s="8"/>
      <c r="P479" s="7"/>
      <c r="Q479" s="7"/>
      <c r="R479" s="8"/>
      <c r="S479" s="7"/>
      <c r="T479" s="9"/>
      <c r="U479" s="7"/>
      <c r="V479" s="8"/>
      <c r="W479" s="7"/>
      <c r="X479" s="7"/>
      <c r="Y479" s="8"/>
      <c r="Z479" s="7"/>
      <c r="AA479" s="8"/>
    </row>
    <row r="480" spans="4:27" ht="14.25" thickTop="1" thickBot="1">
      <c r="D480" s="69"/>
      <c r="F480" s="7"/>
      <c r="G480" s="8"/>
      <c r="H480" s="7"/>
      <c r="I480" s="6"/>
      <c r="J480" s="7"/>
      <c r="K480" s="8"/>
      <c r="L480" s="7"/>
      <c r="M480" s="8"/>
      <c r="N480" s="7"/>
      <c r="O480" s="8"/>
      <c r="P480" s="7"/>
      <c r="Q480" s="7"/>
      <c r="R480" s="8"/>
      <c r="S480" s="7"/>
      <c r="T480" s="9"/>
      <c r="U480" s="7"/>
      <c r="V480" s="8"/>
      <c r="W480" s="7"/>
      <c r="X480" s="7"/>
      <c r="Y480" s="8"/>
      <c r="Z480" s="7"/>
      <c r="AA480" s="8"/>
    </row>
    <row r="481" spans="4:27" ht="14.25" thickTop="1" thickBot="1">
      <c r="D481" s="69"/>
      <c r="F481" s="7"/>
      <c r="G481" s="8"/>
      <c r="H481" s="7"/>
      <c r="I481" s="6"/>
      <c r="J481" s="7"/>
      <c r="K481" s="8"/>
      <c r="L481" s="7"/>
      <c r="M481" s="8"/>
      <c r="N481" s="7"/>
      <c r="O481" s="8"/>
      <c r="P481" s="7"/>
      <c r="Q481" s="7"/>
      <c r="R481" s="8"/>
      <c r="S481" s="7"/>
      <c r="T481" s="9"/>
      <c r="U481" s="7"/>
      <c r="V481" s="8"/>
      <c r="W481" s="7"/>
      <c r="X481" s="7"/>
      <c r="Y481" s="8"/>
      <c r="Z481" s="7"/>
      <c r="AA481" s="8"/>
    </row>
    <row r="482" spans="4:27" ht="14.25" thickTop="1" thickBot="1">
      <c r="D482" s="69"/>
      <c r="F482" s="7"/>
      <c r="G482" s="8"/>
      <c r="H482" s="7"/>
      <c r="I482" s="6"/>
      <c r="J482" s="7"/>
      <c r="K482" s="8"/>
      <c r="L482" s="7"/>
      <c r="M482" s="8"/>
      <c r="N482" s="7"/>
      <c r="O482" s="8"/>
      <c r="P482" s="7"/>
      <c r="Q482" s="7"/>
      <c r="R482" s="8"/>
      <c r="S482" s="7"/>
      <c r="T482" s="9"/>
      <c r="U482" s="7"/>
      <c r="V482" s="8"/>
      <c r="W482" s="7"/>
      <c r="X482" s="7"/>
      <c r="Y482" s="8"/>
      <c r="Z482" s="7"/>
      <c r="AA482" s="8"/>
    </row>
    <row r="483" spans="4:27" ht="14.25" thickTop="1" thickBot="1">
      <c r="D483" s="69"/>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9"/>
      <c r="U484" s="7"/>
      <c r="V484" s="8"/>
    </row>
    <row r="485" spans="4:27">
      <c r="D485" s="69"/>
    </row>
    <row r="486" spans="4:27">
      <c r="D486" s="69"/>
    </row>
    <row r="487" spans="4:27">
      <c r="D487" s="69"/>
    </row>
    <row r="488" spans="4:27">
      <c r="D488" s="69"/>
    </row>
    <row r="489" spans="4:27">
      <c r="D489" s="69"/>
    </row>
    <row r="490" spans="4:27">
      <c r="D490" s="69"/>
    </row>
    <row r="491" spans="4:27">
      <c r="D491" s="69"/>
    </row>
    <row r="492" spans="4:27">
      <c r="D492" s="69"/>
    </row>
    <row r="493" spans="4:27">
      <c r="D493" s="69"/>
    </row>
    <row r="494" spans="4:27">
      <c r="D494" s="69"/>
    </row>
    <row r="495" spans="4:27">
      <c r="D495" s="69"/>
    </row>
    <row r="496" spans="4:27">
      <c r="D496" s="69"/>
    </row>
    <row r="497" spans="4:4">
      <c r="D497" s="69"/>
    </row>
    <row r="498" spans="4:4">
      <c r="D498" s="69"/>
    </row>
    <row r="499" spans="4:4">
      <c r="D499" s="69"/>
    </row>
    <row r="500" spans="4:4">
      <c r="D500" s="69"/>
    </row>
    <row r="501" spans="4:4">
      <c r="D501" s="69"/>
    </row>
    <row r="502" spans="4:4">
      <c r="D502" s="69"/>
    </row>
    <row r="503" spans="4:4">
      <c r="D503" s="69"/>
    </row>
    <row r="504" spans="4:4">
      <c r="D504" s="69"/>
    </row>
    <row r="505" spans="4:4">
      <c r="D505" s="69"/>
    </row>
    <row r="506" spans="4:4">
      <c r="D506" s="69"/>
    </row>
    <row r="507" spans="4:4">
      <c r="D507" s="69"/>
    </row>
    <row r="508" spans="4:4">
      <c r="D508" s="69"/>
    </row>
    <row r="509" spans="4:4">
      <c r="D509" s="69"/>
    </row>
    <row r="510" spans="4:4">
      <c r="D510" s="69"/>
    </row>
    <row r="511" spans="4:4">
      <c r="D511" s="69"/>
    </row>
    <row r="512" spans="4:4">
      <c r="D512" s="69"/>
    </row>
    <row r="513" spans="4:4">
      <c r="D513" s="69"/>
    </row>
    <row r="514" spans="4:4">
      <c r="D514" s="69"/>
    </row>
    <row r="515" spans="4:4">
      <c r="D515" s="69"/>
    </row>
    <row r="516" spans="4:4">
      <c r="D516" s="69"/>
    </row>
    <row r="517" spans="4:4">
      <c r="D517" s="69"/>
    </row>
    <row r="518" spans="4:4">
      <c r="D518" s="69"/>
    </row>
    <row r="519" spans="4:4">
      <c r="D519" s="69"/>
    </row>
    <row r="520" spans="4:4">
      <c r="D520" s="69"/>
    </row>
    <row r="521" spans="4:4">
      <c r="D521" s="69"/>
    </row>
    <row r="522" spans="4:4">
      <c r="D522" s="69"/>
    </row>
    <row r="523" spans="4:4">
      <c r="D523" s="69"/>
    </row>
    <row r="524" spans="4:4">
      <c r="D524" s="69"/>
    </row>
    <row r="525" spans="4:4">
      <c r="D525" s="69"/>
    </row>
    <row r="526" spans="4:4">
      <c r="D526" s="69"/>
    </row>
    <row r="527" spans="4:4">
      <c r="D527" s="69"/>
    </row>
    <row r="528" spans="4:4">
      <c r="D528" s="69"/>
    </row>
    <row r="529" spans="4:4">
      <c r="D529" s="69"/>
    </row>
    <row r="530" spans="4:4">
      <c r="D530" s="69"/>
    </row>
    <row r="531" spans="4:4">
      <c r="D531" s="69"/>
    </row>
    <row r="532" spans="4:4">
      <c r="D532" s="69"/>
    </row>
    <row r="533" spans="4:4">
      <c r="D533" s="69"/>
    </row>
    <row r="534" spans="4:4">
      <c r="D534" s="69"/>
    </row>
    <row r="535" spans="4:4">
      <c r="D535" s="69"/>
    </row>
    <row r="536" spans="4:4">
      <c r="D536" s="69"/>
    </row>
    <row r="537" spans="4:4">
      <c r="D537" s="69"/>
    </row>
    <row r="538" spans="4:4">
      <c r="D538" s="69"/>
    </row>
    <row r="539" spans="4:4">
      <c r="D539" s="69"/>
    </row>
    <row r="540" spans="4:4">
      <c r="D540" s="69"/>
    </row>
    <row r="541" spans="4:4">
      <c r="D541" s="69"/>
    </row>
    <row r="542" spans="4:4">
      <c r="D542" s="69"/>
    </row>
    <row r="543" spans="4:4">
      <c r="D543" s="69"/>
    </row>
    <row r="544" spans="4:4">
      <c r="D544" s="69"/>
    </row>
    <row r="545" spans="4:4">
      <c r="D545" s="69"/>
    </row>
    <row r="546" spans="4:4">
      <c r="D546" s="69"/>
    </row>
    <row r="547" spans="4:4">
      <c r="D547" s="69"/>
    </row>
    <row r="548" spans="4:4">
      <c r="D548" s="69"/>
    </row>
    <row r="549" spans="4:4">
      <c r="D549" s="69"/>
    </row>
    <row r="550" spans="4:4">
      <c r="D550" s="69"/>
    </row>
    <row r="551" spans="4:4">
      <c r="D551" s="69"/>
    </row>
    <row r="552" spans="4:4">
      <c r="D552" s="69"/>
    </row>
    <row r="553" spans="4:4">
      <c r="D553" s="69"/>
    </row>
    <row r="554" spans="4:4">
      <c r="D554" s="69"/>
    </row>
    <row r="555" spans="4:4">
      <c r="D555" s="69"/>
    </row>
    <row r="556" spans="4:4">
      <c r="D556" s="69"/>
    </row>
    <row r="557" spans="4:4">
      <c r="D557" s="69"/>
    </row>
    <row r="558" spans="4:4">
      <c r="D558" s="69"/>
    </row>
    <row r="559" spans="4:4">
      <c r="D559" s="69"/>
    </row>
    <row r="560" spans="4:4">
      <c r="D560" s="69"/>
    </row>
    <row r="561" spans="4:4">
      <c r="D561" s="69"/>
    </row>
    <row r="562" spans="4:4">
      <c r="D562" s="69"/>
    </row>
    <row r="563" spans="4:4">
      <c r="D563" s="69"/>
    </row>
    <row r="564" spans="4:4">
      <c r="D564" s="69"/>
    </row>
    <row r="565" spans="4:4">
      <c r="D565" s="69"/>
    </row>
    <row r="566" spans="4:4">
      <c r="D566" s="69"/>
    </row>
    <row r="567" spans="4:4">
      <c r="D567" s="69"/>
    </row>
    <row r="568" spans="4:4">
      <c r="D568" s="69"/>
    </row>
    <row r="569" spans="4:4">
      <c r="D569" s="69"/>
    </row>
    <row r="570" spans="4:4">
      <c r="D570" s="69"/>
    </row>
    <row r="571" spans="4:4">
      <c r="D571" s="69"/>
    </row>
    <row r="572" spans="4:4">
      <c r="D572" s="69"/>
    </row>
    <row r="573" spans="4:4">
      <c r="D573" s="69"/>
    </row>
    <row r="574" spans="4:4">
      <c r="D574" s="69"/>
    </row>
    <row r="575" spans="4:4">
      <c r="D575" s="69"/>
    </row>
    <row r="576" spans="4:4">
      <c r="D576" s="69"/>
    </row>
    <row r="577" spans="4:4">
      <c r="D577" s="69"/>
    </row>
    <row r="578" spans="4:4">
      <c r="D578" s="69"/>
    </row>
    <row r="579" spans="4:4">
      <c r="D579" s="69"/>
    </row>
    <row r="580" spans="4:4">
      <c r="D580" s="69"/>
    </row>
    <row r="581" spans="4:4">
      <c r="D581" s="69"/>
    </row>
    <row r="582" spans="4:4">
      <c r="D582" s="69"/>
    </row>
    <row r="583" spans="4:4">
      <c r="D583" s="69"/>
    </row>
    <row r="584" spans="4:4">
      <c r="D584" s="69"/>
    </row>
    <row r="585" spans="4:4">
      <c r="D585" s="69"/>
    </row>
    <row r="586" spans="4:4">
      <c r="D586" s="69"/>
    </row>
    <row r="587" spans="4:4">
      <c r="D587" s="69"/>
    </row>
    <row r="588" spans="4:4">
      <c r="D588" s="69"/>
    </row>
    <row r="589" spans="4:4">
      <c r="D589" s="69"/>
    </row>
    <row r="590" spans="4:4">
      <c r="D590" s="69"/>
    </row>
    <row r="591" spans="4:4">
      <c r="D591" s="69"/>
    </row>
    <row r="592" spans="4:4">
      <c r="D592" s="69"/>
    </row>
    <row r="593" spans="4:4">
      <c r="D593" s="69"/>
    </row>
    <row r="594" spans="4:4">
      <c r="D594" s="69"/>
    </row>
    <row r="595" spans="4:4">
      <c r="D595" s="69"/>
    </row>
    <row r="596" spans="4:4">
      <c r="D596" s="69"/>
    </row>
    <row r="597" spans="4:4">
      <c r="D597" s="69"/>
    </row>
    <row r="598" spans="4:4">
      <c r="D598" s="69"/>
    </row>
    <row r="599" spans="4:4">
      <c r="D599" s="69"/>
    </row>
    <row r="600" spans="4:4">
      <c r="D600" s="69"/>
    </row>
    <row r="601" spans="4:4">
      <c r="D601" s="69"/>
    </row>
    <row r="602" spans="4:4">
      <c r="D602" s="69"/>
    </row>
    <row r="603" spans="4:4">
      <c r="D603" s="69"/>
    </row>
    <row r="604" spans="4:4">
      <c r="D604" s="69"/>
    </row>
    <row r="605" spans="4:4">
      <c r="D605" s="69"/>
    </row>
    <row r="606" spans="4:4">
      <c r="D606" s="69"/>
    </row>
    <row r="607" spans="4:4">
      <c r="D607" s="69"/>
    </row>
    <row r="608" spans="4:4">
      <c r="D608" s="69"/>
    </row>
    <row r="609" spans="4:4">
      <c r="D609" s="69"/>
    </row>
    <row r="610" spans="4:4">
      <c r="D610" s="69"/>
    </row>
    <row r="611" spans="4:4">
      <c r="D611" s="69"/>
    </row>
    <row r="612" spans="4:4">
      <c r="D612" s="69"/>
    </row>
    <row r="613" spans="4:4">
      <c r="D613" s="69"/>
    </row>
    <row r="614" spans="4:4">
      <c r="D614" s="69"/>
    </row>
    <row r="615" spans="4:4">
      <c r="D615" s="69"/>
    </row>
    <row r="616" spans="4:4">
      <c r="D616" s="69"/>
    </row>
    <row r="617" spans="4:4">
      <c r="D617" s="69"/>
    </row>
    <row r="618" spans="4:4">
      <c r="D618" s="69"/>
    </row>
    <row r="619" spans="4:4">
      <c r="D619" s="69"/>
    </row>
    <row r="620" spans="4:4">
      <c r="D620" s="69"/>
    </row>
    <row r="621" spans="4:4">
      <c r="D621" s="69"/>
    </row>
    <row r="622" spans="4:4">
      <c r="D622" s="69"/>
    </row>
    <row r="623" spans="4:4">
      <c r="D623" s="69"/>
    </row>
    <row r="624" spans="4:4">
      <c r="D624" s="69"/>
    </row>
    <row r="625" spans="4:4">
      <c r="D625" s="69"/>
    </row>
    <row r="626" spans="4:4">
      <c r="D626" s="69"/>
    </row>
    <row r="627" spans="4:4">
      <c r="D627" s="69"/>
    </row>
    <row r="628" spans="4:4">
      <c r="D628" s="69"/>
    </row>
    <row r="629" spans="4:4">
      <c r="D629" s="69"/>
    </row>
    <row r="630" spans="4:4">
      <c r="D630" s="69"/>
    </row>
    <row r="631" spans="4:4">
      <c r="D631" s="69"/>
    </row>
    <row r="632" spans="4:4">
      <c r="D632" s="69"/>
    </row>
    <row r="633" spans="4:4">
      <c r="D633" s="69"/>
    </row>
    <row r="634" spans="4:4">
      <c r="D634" s="69"/>
    </row>
    <row r="635" spans="4:4">
      <c r="D635" s="69"/>
    </row>
    <row r="636" spans="4:4">
      <c r="D636" s="69"/>
    </row>
    <row r="637" spans="4:4">
      <c r="D637" s="69"/>
    </row>
    <row r="638" spans="4:4">
      <c r="D638" s="69"/>
    </row>
    <row r="639" spans="4:4">
      <c r="D639" s="69"/>
    </row>
    <row r="640" spans="4:4">
      <c r="D640" s="69"/>
    </row>
    <row r="641" spans="4:4">
      <c r="D641" s="69"/>
    </row>
    <row r="642" spans="4:4">
      <c r="D642" s="69"/>
    </row>
    <row r="643" spans="4:4">
      <c r="D643" s="69"/>
    </row>
    <row r="644" spans="4:4">
      <c r="D644" s="69"/>
    </row>
    <row r="645" spans="4:4">
      <c r="D645" s="69"/>
    </row>
    <row r="646" spans="4:4">
      <c r="D646" s="69"/>
    </row>
    <row r="647" spans="4:4">
      <c r="D647" s="69"/>
    </row>
    <row r="648" spans="4:4">
      <c r="D648" s="69"/>
    </row>
    <row r="649" spans="4:4">
      <c r="D649" s="69"/>
    </row>
    <row r="650" spans="4:4">
      <c r="D650" s="69"/>
    </row>
    <row r="651" spans="4:4">
      <c r="D651" s="69"/>
    </row>
    <row r="652" spans="4:4">
      <c r="D652" s="69"/>
    </row>
    <row r="653" spans="4:4">
      <c r="D653" s="69"/>
    </row>
    <row r="654" spans="4:4">
      <c r="D654" s="69"/>
    </row>
    <row r="655" spans="4:4">
      <c r="D655" s="69"/>
    </row>
    <row r="656" spans="4:4">
      <c r="D656" s="69"/>
    </row>
    <row r="657" spans="4:4">
      <c r="D657" s="69"/>
    </row>
    <row r="658" spans="4:4">
      <c r="D658" s="69"/>
    </row>
    <row r="659" spans="4:4">
      <c r="D659" s="69"/>
    </row>
    <row r="660" spans="4:4">
      <c r="D660" s="69"/>
    </row>
    <row r="661" spans="4:4">
      <c r="D661" s="69"/>
    </row>
    <row r="662" spans="4:4">
      <c r="D662" s="69"/>
    </row>
    <row r="663" spans="4:4">
      <c r="D663" s="69"/>
    </row>
    <row r="664" spans="4:4">
      <c r="D664" s="69"/>
    </row>
    <row r="665" spans="4:4">
      <c r="D665" s="69"/>
    </row>
    <row r="666" spans="4:4">
      <c r="D666" s="69"/>
    </row>
    <row r="667" spans="4:4">
      <c r="D667" s="69"/>
    </row>
    <row r="668" spans="4:4">
      <c r="D668" s="69"/>
    </row>
    <row r="669" spans="4:4">
      <c r="D669" s="69"/>
    </row>
    <row r="670" spans="4:4">
      <c r="D670" s="69"/>
    </row>
    <row r="671" spans="4:4">
      <c r="D671" s="69"/>
    </row>
    <row r="672" spans="4:4">
      <c r="D672" s="69"/>
    </row>
    <row r="673" spans="4:4">
      <c r="D673" s="69"/>
    </row>
    <row r="674" spans="4:4">
      <c r="D674" s="69"/>
    </row>
    <row r="675" spans="4:4">
      <c r="D675" s="69"/>
    </row>
    <row r="676" spans="4:4">
      <c r="D676" s="69"/>
    </row>
    <row r="677" spans="4:4">
      <c r="D677" s="69"/>
    </row>
    <row r="678" spans="4:4">
      <c r="D678" s="69"/>
    </row>
    <row r="679" spans="4:4">
      <c r="D679" s="69"/>
    </row>
    <row r="680" spans="4:4">
      <c r="D680" s="69"/>
    </row>
    <row r="681" spans="4:4">
      <c r="D681" s="69"/>
    </row>
    <row r="682" spans="4:4">
      <c r="D682" s="69"/>
    </row>
    <row r="683" spans="4:4">
      <c r="D683" s="69"/>
    </row>
    <row r="684" spans="4:4">
      <c r="D684" s="69"/>
    </row>
    <row r="685" spans="4:4">
      <c r="D685" s="69"/>
    </row>
    <row r="686" spans="4:4">
      <c r="D686" s="69"/>
    </row>
    <row r="687" spans="4:4">
      <c r="D687" s="69"/>
    </row>
    <row r="688" spans="4:4">
      <c r="D688" s="69"/>
    </row>
    <row r="689" spans="4:4">
      <c r="D689" s="69"/>
    </row>
    <row r="690" spans="4:4">
      <c r="D690" s="69"/>
    </row>
    <row r="691" spans="4:4">
      <c r="D691" s="69"/>
    </row>
    <row r="692" spans="4:4">
      <c r="D692" s="69"/>
    </row>
    <row r="693" spans="4:4">
      <c r="D693" s="69"/>
    </row>
    <row r="694" spans="4:4">
      <c r="D694" s="69"/>
    </row>
    <row r="695" spans="4:4">
      <c r="D695" s="69"/>
    </row>
    <row r="696" spans="4:4">
      <c r="D696" s="69"/>
    </row>
    <row r="697" spans="4:4">
      <c r="D697" s="69"/>
    </row>
    <row r="698" spans="4:4">
      <c r="D698" s="69"/>
    </row>
    <row r="699" spans="4:4">
      <c r="D699" s="69"/>
    </row>
    <row r="700" spans="4:4">
      <c r="D700" s="69"/>
    </row>
    <row r="701" spans="4:4">
      <c r="D701" s="69"/>
    </row>
    <row r="702" spans="4:4">
      <c r="D702" s="69"/>
    </row>
    <row r="703" spans="4:4">
      <c r="D703" s="69"/>
    </row>
    <row r="704" spans="4:4">
      <c r="D704" s="69"/>
    </row>
    <row r="705" spans="4:4">
      <c r="D705" s="69"/>
    </row>
    <row r="706" spans="4:4">
      <c r="D706" s="69"/>
    </row>
    <row r="707" spans="4:4">
      <c r="D707" s="69"/>
    </row>
    <row r="708" spans="4:4">
      <c r="D708" s="69"/>
    </row>
    <row r="709" spans="4:4">
      <c r="D709" s="69"/>
    </row>
    <row r="710" spans="4:4">
      <c r="D710" s="69"/>
    </row>
    <row r="711" spans="4:4">
      <c r="D711" s="69"/>
    </row>
    <row r="712" spans="4:4">
      <c r="D712" s="69"/>
    </row>
    <row r="713" spans="4:4">
      <c r="D713" s="69"/>
    </row>
    <row r="714" spans="4:4">
      <c r="D714" s="69"/>
    </row>
    <row r="715" spans="4:4">
      <c r="D715" s="69"/>
    </row>
    <row r="716" spans="4:4">
      <c r="D716" s="69"/>
    </row>
    <row r="717" spans="4:4">
      <c r="D717" s="69"/>
    </row>
    <row r="718" spans="4:4">
      <c r="D718" s="69"/>
    </row>
    <row r="719" spans="4:4">
      <c r="D719" s="69"/>
    </row>
    <row r="720" spans="4:4">
      <c r="D720" s="69"/>
    </row>
    <row r="721" spans="4:4">
      <c r="D721" s="69"/>
    </row>
    <row r="722" spans="4:4">
      <c r="D722" s="69"/>
    </row>
    <row r="723" spans="4:4">
      <c r="D723" s="69"/>
    </row>
    <row r="724" spans="4:4">
      <c r="D724" s="69"/>
    </row>
    <row r="725" spans="4:4">
      <c r="D725" s="69"/>
    </row>
    <row r="726" spans="4:4">
      <c r="D726" s="69"/>
    </row>
    <row r="727" spans="4:4">
      <c r="D727" s="69"/>
    </row>
    <row r="728" spans="4:4">
      <c r="D728" s="69"/>
    </row>
    <row r="729" spans="4:4">
      <c r="D729" s="69"/>
    </row>
    <row r="730" spans="4:4">
      <c r="D730" s="69"/>
    </row>
    <row r="731" spans="4:4">
      <c r="D731" s="69"/>
    </row>
    <row r="732" spans="4:4">
      <c r="D732" s="69"/>
    </row>
    <row r="733" spans="4:4">
      <c r="D733" s="69"/>
    </row>
    <row r="734" spans="4:4">
      <c r="D734" s="69"/>
    </row>
    <row r="735" spans="4:4">
      <c r="D735" s="69"/>
    </row>
    <row r="736" spans="4:4">
      <c r="D736" s="69"/>
    </row>
    <row r="737" spans="4:4">
      <c r="D737" s="69"/>
    </row>
    <row r="738" spans="4:4">
      <c r="D738" s="69"/>
    </row>
    <row r="739" spans="4:4">
      <c r="D739" s="69"/>
    </row>
    <row r="740" spans="4:4">
      <c r="D740" s="69"/>
    </row>
    <row r="741" spans="4:4">
      <c r="D741" s="69"/>
    </row>
    <row r="742" spans="4:4">
      <c r="D742" s="69"/>
    </row>
    <row r="743" spans="4:4">
      <c r="D743" s="69"/>
    </row>
    <row r="744" spans="4:4">
      <c r="D744" s="69"/>
    </row>
    <row r="745" spans="4:4">
      <c r="D745" s="69"/>
    </row>
    <row r="746" spans="4:4">
      <c r="D746" s="69"/>
    </row>
    <row r="747" spans="4:4">
      <c r="D747" s="69"/>
    </row>
    <row r="748" spans="4:4">
      <c r="D748" s="69"/>
    </row>
    <row r="749" spans="4:4">
      <c r="D749" s="69"/>
    </row>
    <row r="750" spans="4:4">
      <c r="D750" s="69"/>
    </row>
    <row r="751" spans="4:4">
      <c r="D751" s="69"/>
    </row>
    <row r="752" spans="4:4">
      <c r="D752" s="69"/>
    </row>
    <row r="753" spans="4:4">
      <c r="D753" s="69"/>
    </row>
    <row r="754" spans="4:4">
      <c r="D754" s="69"/>
    </row>
    <row r="755" spans="4:4">
      <c r="D755" s="69"/>
    </row>
    <row r="756" spans="4:4">
      <c r="D756" s="69"/>
    </row>
    <row r="757" spans="4:4">
      <c r="D757" s="69"/>
    </row>
    <row r="758" spans="4:4">
      <c r="D758" s="69"/>
    </row>
    <row r="759" spans="4:4">
      <c r="D759" s="69"/>
    </row>
    <row r="760" spans="4:4">
      <c r="D760" s="69"/>
    </row>
    <row r="761" spans="4:4">
      <c r="D761" s="69"/>
    </row>
    <row r="762" spans="4:4">
      <c r="D762" s="69"/>
    </row>
    <row r="763" spans="4:4">
      <c r="D763" s="69"/>
    </row>
    <row r="764" spans="4:4">
      <c r="D764" s="69"/>
    </row>
    <row r="765" spans="4:4">
      <c r="D765" s="69"/>
    </row>
    <row r="766" spans="4:4">
      <c r="D766" s="69"/>
    </row>
    <row r="767" spans="4:4">
      <c r="D767" s="69"/>
    </row>
    <row r="768" spans="4:4">
      <c r="D768" s="69"/>
    </row>
    <row r="769" spans="4:4">
      <c r="D769" s="69"/>
    </row>
    <row r="770" spans="4:4">
      <c r="D770" s="69"/>
    </row>
    <row r="771" spans="4:4">
      <c r="D771" s="69"/>
    </row>
    <row r="772" spans="4:4">
      <c r="D772" s="69"/>
    </row>
    <row r="773" spans="4:4">
      <c r="D773" s="69"/>
    </row>
    <row r="774" spans="4:4">
      <c r="D774" s="69"/>
    </row>
    <row r="775" spans="4:4">
      <c r="D775" s="69"/>
    </row>
    <row r="776" spans="4:4">
      <c r="D776" s="69"/>
    </row>
    <row r="777" spans="4:4">
      <c r="D777" s="69"/>
    </row>
    <row r="778" spans="4:4">
      <c r="D778" s="69"/>
    </row>
    <row r="779" spans="4:4">
      <c r="D779" s="69"/>
    </row>
    <row r="780" spans="4:4">
      <c r="D780" s="69"/>
    </row>
    <row r="781" spans="4:4">
      <c r="D781" s="69"/>
    </row>
    <row r="782" spans="4:4">
      <c r="D782" s="69"/>
    </row>
    <row r="783" spans="4:4">
      <c r="D783" s="69"/>
    </row>
    <row r="784" spans="4:4">
      <c r="D784" s="69"/>
    </row>
    <row r="785" spans="4:4">
      <c r="D785" s="69"/>
    </row>
    <row r="786" spans="4:4">
      <c r="D786" s="69"/>
    </row>
    <row r="787" spans="4:4">
      <c r="D787" s="69"/>
    </row>
    <row r="788" spans="4:4">
      <c r="D788" s="69"/>
    </row>
    <row r="789" spans="4:4">
      <c r="D789" s="69"/>
    </row>
    <row r="790" spans="4:4">
      <c r="D790" s="69"/>
    </row>
    <row r="791" spans="4:4">
      <c r="D791" s="69"/>
    </row>
    <row r="792" spans="4:4">
      <c r="D792" s="69"/>
    </row>
    <row r="793" spans="4:4">
      <c r="D793" s="69"/>
    </row>
    <row r="794" spans="4:4">
      <c r="D794" s="69"/>
    </row>
    <row r="795" spans="4:4">
      <c r="D795" s="69"/>
    </row>
    <row r="796" spans="4:4">
      <c r="D796" s="69"/>
    </row>
    <row r="797" spans="4:4">
      <c r="D797" s="69"/>
    </row>
    <row r="798" spans="4:4">
      <c r="D798" s="69"/>
    </row>
    <row r="799" spans="4:4">
      <c r="D799" s="69"/>
    </row>
    <row r="800" spans="4:4">
      <c r="D800" s="69"/>
    </row>
    <row r="801" spans="4:4">
      <c r="D801" s="69"/>
    </row>
    <row r="802" spans="4:4">
      <c r="D802" s="69"/>
    </row>
    <row r="803" spans="4:4">
      <c r="D803" s="69"/>
    </row>
    <row r="804" spans="4:4">
      <c r="D804" s="69"/>
    </row>
    <row r="805" spans="4:4">
      <c r="D805" s="69"/>
    </row>
    <row r="806" spans="4:4">
      <c r="D806" s="69"/>
    </row>
    <row r="807" spans="4:4">
      <c r="D807" s="69"/>
    </row>
    <row r="808" spans="4:4">
      <c r="D808" s="69"/>
    </row>
    <row r="809" spans="4:4">
      <c r="D809" s="69"/>
    </row>
    <row r="810" spans="4:4">
      <c r="D810" s="69"/>
    </row>
    <row r="811" spans="4:4">
      <c r="D811" s="69"/>
    </row>
    <row r="812" spans="4:4">
      <c r="D812" s="69"/>
    </row>
    <row r="813" spans="4:4">
      <c r="D813" s="69"/>
    </row>
    <row r="814" spans="4:4">
      <c r="D814" s="69"/>
    </row>
    <row r="815" spans="4:4">
      <c r="D815" s="69"/>
    </row>
    <row r="816" spans="4:4">
      <c r="D816" s="69"/>
    </row>
    <row r="817" spans="4:4">
      <c r="D817" s="69"/>
    </row>
    <row r="818" spans="4:4">
      <c r="D818" s="69"/>
    </row>
    <row r="819" spans="4:4">
      <c r="D819" s="69"/>
    </row>
    <row r="820" spans="4:4">
      <c r="D820" s="69"/>
    </row>
    <row r="821" spans="4:4">
      <c r="D821" s="69"/>
    </row>
    <row r="822" spans="4:4">
      <c r="D822" s="69"/>
    </row>
    <row r="823" spans="4:4">
      <c r="D823" s="69"/>
    </row>
    <row r="824" spans="4:4">
      <c r="D824" s="69"/>
    </row>
    <row r="825" spans="4:4">
      <c r="D825" s="69"/>
    </row>
    <row r="826" spans="4:4">
      <c r="D826" s="69"/>
    </row>
    <row r="827" spans="4:4">
      <c r="D827" s="69"/>
    </row>
    <row r="828" spans="4:4">
      <c r="D828" s="69"/>
    </row>
    <row r="829" spans="4:4">
      <c r="D829" s="69"/>
    </row>
    <row r="830" spans="4:4">
      <c r="D830" s="69"/>
    </row>
    <row r="831" spans="4:4">
      <c r="D831" s="69"/>
    </row>
    <row r="832" spans="4:4">
      <c r="D832" s="69"/>
    </row>
    <row r="833" spans="4:4">
      <c r="D833" s="69"/>
    </row>
    <row r="834" spans="4:4">
      <c r="D834" s="69"/>
    </row>
    <row r="835" spans="4:4">
      <c r="D835" s="69"/>
    </row>
    <row r="836" spans="4:4">
      <c r="D836" s="69"/>
    </row>
    <row r="837" spans="4:4">
      <c r="D837" s="69"/>
    </row>
    <row r="838" spans="4:4">
      <c r="D838" s="69"/>
    </row>
    <row r="839" spans="4:4">
      <c r="D839" s="69"/>
    </row>
    <row r="840" spans="4:4">
      <c r="D840" s="69"/>
    </row>
    <row r="841" spans="4:4">
      <c r="D841" s="69"/>
    </row>
    <row r="842" spans="4:4">
      <c r="D842" s="69"/>
    </row>
    <row r="843" spans="4:4">
      <c r="D843" s="69"/>
    </row>
    <row r="844" spans="4:4">
      <c r="D844" s="69"/>
    </row>
    <row r="845" spans="4:4">
      <c r="D845" s="69"/>
    </row>
    <row r="846" spans="4:4">
      <c r="D846" s="69"/>
    </row>
    <row r="847" spans="4:4">
      <c r="D847" s="69"/>
    </row>
    <row r="848" spans="4:4">
      <c r="D848" s="69"/>
    </row>
    <row r="849" spans="4:4">
      <c r="D849" s="69"/>
    </row>
    <row r="850" spans="4:4">
      <c r="D850" s="69"/>
    </row>
    <row r="851" spans="4:4">
      <c r="D851" s="69"/>
    </row>
    <row r="852" spans="4:4">
      <c r="D852" s="69"/>
    </row>
    <row r="853" spans="4:4">
      <c r="D853" s="69"/>
    </row>
    <row r="854" spans="4:4">
      <c r="D854" s="69"/>
    </row>
    <row r="855" spans="4:4">
      <c r="D855" s="69"/>
    </row>
    <row r="856" spans="4:4">
      <c r="D856" s="69"/>
    </row>
    <row r="857" spans="4:4">
      <c r="D857" s="69"/>
    </row>
    <row r="858" spans="4:4">
      <c r="D858" s="69"/>
    </row>
    <row r="859" spans="4:4">
      <c r="D859" s="69"/>
    </row>
    <row r="860" spans="4:4">
      <c r="D860" s="69"/>
    </row>
    <row r="861" spans="4:4">
      <c r="D861" s="69"/>
    </row>
    <row r="862" spans="4:4">
      <c r="D862" s="69"/>
    </row>
    <row r="863" spans="4:4">
      <c r="D863" s="69"/>
    </row>
    <row r="864" spans="4:4">
      <c r="D864" s="69"/>
    </row>
    <row r="865" spans="4:4">
      <c r="D865" s="69"/>
    </row>
    <row r="866" spans="4:4">
      <c r="D866" s="69"/>
    </row>
    <row r="867" spans="4:4">
      <c r="D867" s="69"/>
    </row>
    <row r="868" spans="4:4">
      <c r="D868" s="69"/>
    </row>
    <row r="869" spans="4:4">
      <c r="D869" s="69"/>
    </row>
    <row r="870" spans="4:4">
      <c r="D870" s="69"/>
    </row>
    <row r="871" spans="4:4">
      <c r="D871" s="69"/>
    </row>
    <row r="872" spans="4:4">
      <c r="D872" s="69"/>
    </row>
    <row r="873" spans="4:4">
      <c r="D873" s="69"/>
    </row>
    <row r="874" spans="4:4">
      <c r="D874" s="69"/>
    </row>
    <row r="875" spans="4:4">
      <c r="D875" s="69"/>
    </row>
    <row r="876" spans="4:4">
      <c r="D876" s="69"/>
    </row>
    <row r="877" spans="4:4">
      <c r="D877" s="69"/>
    </row>
    <row r="878" spans="4:4">
      <c r="D878" s="69"/>
    </row>
    <row r="879" spans="4:4">
      <c r="D879" s="69"/>
    </row>
    <row r="880" spans="4:4">
      <c r="D880" s="69"/>
    </row>
    <row r="881" spans="4:4">
      <c r="D881" s="69"/>
    </row>
    <row r="882" spans="4:4">
      <c r="D882" s="69"/>
    </row>
    <row r="883" spans="4:4">
      <c r="D883" s="69"/>
    </row>
    <row r="884" spans="4:4">
      <c r="D884" s="69"/>
    </row>
    <row r="885" spans="4:4">
      <c r="D885" s="69"/>
    </row>
    <row r="886" spans="4:4">
      <c r="D886" s="69"/>
    </row>
    <row r="887" spans="4:4">
      <c r="D887" s="69"/>
    </row>
    <row r="888" spans="4:4">
      <c r="D888" s="69"/>
    </row>
    <row r="889" spans="4:4">
      <c r="D889" s="69"/>
    </row>
    <row r="890" spans="4:4">
      <c r="D890" s="69"/>
    </row>
    <row r="891" spans="4:4">
      <c r="D891" s="69"/>
    </row>
    <row r="892" spans="4:4">
      <c r="D892" s="69"/>
    </row>
    <row r="893" spans="4:4">
      <c r="D893" s="69"/>
    </row>
    <row r="894" spans="4:4">
      <c r="D894" s="69"/>
    </row>
    <row r="895" spans="4:4">
      <c r="D895" s="69"/>
    </row>
    <row r="896" spans="4:4">
      <c r="D896" s="69"/>
    </row>
    <row r="897" spans="4:4">
      <c r="D897" s="69"/>
    </row>
    <row r="898" spans="4:4">
      <c r="D898" s="69"/>
    </row>
    <row r="899" spans="4:4">
      <c r="D899" s="69"/>
    </row>
    <row r="900" spans="4:4">
      <c r="D900" s="69"/>
    </row>
    <row r="901" spans="4:4">
      <c r="D901" s="69"/>
    </row>
    <row r="902" spans="4:4">
      <c r="D902" s="69"/>
    </row>
    <row r="903" spans="4:4">
      <c r="D903" s="69"/>
    </row>
    <row r="904" spans="4:4">
      <c r="D904" s="69"/>
    </row>
    <row r="905" spans="4:4">
      <c r="D905" s="69"/>
    </row>
    <row r="906" spans="4:4">
      <c r="D906" s="69"/>
    </row>
    <row r="907" spans="4:4">
      <c r="D907" s="69"/>
    </row>
    <row r="908" spans="4:4">
      <c r="D908" s="69"/>
    </row>
    <row r="909" spans="4:4">
      <c r="D909" s="69"/>
    </row>
    <row r="910" spans="4:4">
      <c r="D910" s="69"/>
    </row>
    <row r="911" spans="4:4">
      <c r="D911" s="69"/>
    </row>
    <row r="912" spans="4:4">
      <c r="D912" s="69"/>
    </row>
    <row r="913" spans="4:4">
      <c r="D913" s="69"/>
    </row>
    <row r="914" spans="4:4">
      <c r="D914" s="69"/>
    </row>
    <row r="915" spans="4:4">
      <c r="D915" s="69"/>
    </row>
    <row r="916" spans="4:4">
      <c r="D916" s="69"/>
    </row>
    <row r="917" spans="4:4">
      <c r="D917" s="69"/>
    </row>
    <row r="918" spans="4:4">
      <c r="D918" s="69"/>
    </row>
    <row r="919" spans="4:4">
      <c r="D919" s="69"/>
    </row>
    <row r="920" spans="4:4">
      <c r="D920" s="69"/>
    </row>
    <row r="921" spans="4:4">
      <c r="D921" s="69"/>
    </row>
    <row r="922" spans="4:4">
      <c r="D922" s="69"/>
    </row>
    <row r="923" spans="4:4">
      <c r="D923" s="69"/>
    </row>
    <row r="924" spans="4:4">
      <c r="D924" s="69"/>
    </row>
    <row r="925" spans="4:4">
      <c r="D925" s="69"/>
    </row>
    <row r="926" spans="4:4">
      <c r="D926" s="69"/>
    </row>
    <row r="927" spans="4:4">
      <c r="D927" s="69"/>
    </row>
    <row r="928" spans="4:4">
      <c r="D928" s="69"/>
    </row>
    <row r="929" spans="4:4">
      <c r="D929" s="69"/>
    </row>
    <row r="930" spans="4:4">
      <c r="D930" s="69"/>
    </row>
    <row r="931" spans="4:4">
      <c r="D931" s="69"/>
    </row>
    <row r="932" spans="4:4">
      <c r="D932" s="69"/>
    </row>
    <row r="933" spans="4:4">
      <c r="D933" s="69"/>
    </row>
    <row r="934" spans="4:4">
      <c r="D934" s="69"/>
    </row>
    <row r="935" spans="4:4">
      <c r="D935" s="69"/>
    </row>
    <row r="936" spans="4:4">
      <c r="D936" s="69"/>
    </row>
    <row r="937" spans="4:4">
      <c r="D937" s="69"/>
    </row>
    <row r="938" spans="4:4">
      <c r="D938" s="69"/>
    </row>
    <row r="939" spans="4:4">
      <c r="D939" s="69"/>
    </row>
    <row r="940" spans="4:4">
      <c r="D940" s="69"/>
    </row>
    <row r="941" spans="4:4">
      <c r="D941" s="69"/>
    </row>
    <row r="942" spans="4:4">
      <c r="D942" s="69"/>
    </row>
    <row r="943" spans="4:4">
      <c r="D943" s="69"/>
    </row>
    <row r="944" spans="4:4">
      <c r="D944" s="69"/>
    </row>
    <row r="945" spans="4:4">
      <c r="D945" s="69"/>
    </row>
    <row r="946" spans="4:4">
      <c r="D946" s="69"/>
    </row>
    <row r="947" spans="4:4">
      <c r="D947" s="69"/>
    </row>
    <row r="948" spans="4:4">
      <c r="D948" s="69"/>
    </row>
    <row r="949" spans="4:4">
      <c r="D949" s="69"/>
    </row>
    <row r="950" spans="4:4">
      <c r="D950" s="69"/>
    </row>
    <row r="951" spans="4:4">
      <c r="D951" s="69"/>
    </row>
    <row r="952" spans="4:4">
      <c r="D952" s="69"/>
    </row>
    <row r="953" spans="4:4">
      <c r="D953" s="69"/>
    </row>
    <row r="954" spans="4:4">
      <c r="D954" s="69"/>
    </row>
    <row r="955" spans="4:4">
      <c r="D955" s="69"/>
    </row>
    <row r="956" spans="4:4">
      <c r="D956" s="69"/>
    </row>
    <row r="957" spans="4:4">
      <c r="D957" s="69"/>
    </row>
    <row r="958" spans="4:4">
      <c r="D958" s="69"/>
    </row>
    <row r="959" spans="4:4">
      <c r="D959" s="69"/>
    </row>
    <row r="960" spans="4:4">
      <c r="D960" s="69"/>
    </row>
    <row r="961" spans="4:4">
      <c r="D961" s="69"/>
    </row>
    <row r="962" spans="4:4">
      <c r="D962" s="69"/>
    </row>
    <row r="963" spans="4:4">
      <c r="D963" s="69"/>
    </row>
    <row r="964" spans="4:4">
      <c r="D964" s="69"/>
    </row>
    <row r="965" spans="4:4">
      <c r="D965" s="69"/>
    </row>
    <row r="966" spans="4:4">
      <c r="D966" s="69"/>
    </row>
    <row r="967" spans="4:4">
      <c r="D967" s="69"/>
    </row>
    <row r="968" spans="4:4">
      <c r="D968" s="69"/>
    </row>
    <row r="969" spans="4:4">
      <c r="D969" s="69"/>
    </row>
    <row r="970" spans="4:4">
      <c r="D970" s="69"/>
    </row>
    <row r="971" spans="4:4">
      <c r="D971" s="69"/>
    </row>
    <row r="972" spans="4:4">
      <c r="D972" s="69"/>
    </row>
    <row r="973" spans="4:4">
      <c r="D973" s="69"/>
    </row>
    <row r="974" spans="4:4">
      <c r="D974" s="69"/>
    </row>
    <row r="975" spans="4:4">
      <c r="D975" s="69"/>
    </row>
    <row r="976" spans="4:4">
      <c r="D976" s="69"/>
    </row>
    <row r="977" spans="4:4">
      <c r="D977" s="69"/>
    </row>
    <row r="978" spans="4:4">
      <c r="D978" s="69"/>
    </row>
    <row r="979" spans="4:4">
      <c r="D979" s="69"/>
    </row>
    <row r="980" spans="4:4">
      <c r="D980" s="69"/>
    </row>
    <row r="981" spans="4:4">
      <c r="D981" s="69"/>
    </row>
    <row r="982" spans="4:4">
      <c r="D982" s="69"/>
    </row>
    <row r="983" spans="4:4">
      <c r="D983" s="69"/>
    </row>
    <row r="984" spans="4:4">
      <c r="D984" s="69"/>
    </row>
    <row r="985" spans="4:4">
      <c r="D985" s="69"/>
    </row>
    <row r="986" spans="4:4">
      <c r="D986" s="69"/>
    </row>
    <row r="987" spans="4:4">
      <c r="D987" s="69"/>
    </row>
    <row r="988" spans="4:4">
      <c r="D988" s="69"/>
    </row>
    <row r="989" spans="4:4">
      <c r="D989" s="69"/>
    </row>
    <row r="990" spans="4:4">
      <c r="D990" s="69"/>
    </row>
    <row r="991" spans="4:4">
      <c r="D991" s="69"/>
    </row>
    <row r="992" spans="4:4">
      <c r="D992" s="69"/>
    </row>
    <row r="993" spans="4:4">
      <c r="D993" s="69"/>
    </row>
    <row r="994" spans="4:4">
      <c r="D994" s="69"/>
    </row>
    <row r="995" spans="4:4">
      <c r="D995" s="69"/>
    </row>
    <row r="996" spans="4:4">
      <c r="D996" s="69"/>
    </row>
    <row r="997" spans="4:4">
      <c r="D997" s="69"/>
    </row>
    <row r="998" spans="4:4">
      <c r="D998" s="69"/>
    </row>
    <row r="999" spans="4:4">
      <c r="D999" s="69"/>
    </row>
    <row r="1000" spans="4:4">
      <c r="D1000" s="69"/>
    </row>
    <row r="1001" spans="4:4">
      <c r="D1001" s="69"/>
    </row>
    <row r="1002" spans="4:4">
      <c r="D1002" s="69"/>
    </row>
    <row r="1003" spans="4:4">
      <c r="D1003" s="69"/>
    </row>
    <row r="1004" spans="4:4">
      <c r="D1004" s="69"/>
    </row>
    <row r="1005" spans="4:4">
      <c r="D1005" s="69"/>
    </row>
    <row r="1006" spans="4:4">
      <c r="D1006" s="69"/>
    </row>
    <row r="1007" spans="4:4">
      <c r="D1007" s="69"/>
    </row>
    <row r="1008" spans="4:4">
      <c r="D1008" s="69"/>
    </row>
    <row r="1009" spans="4:4">
      <c r="D1009" s="69"/>
    </row>
    <row r="1010" spans="4:4">
      <c r="D1010" s="69"/>
    </row>
    <row r="1011" spans="4:4">
      <c r="D1011" s="69"/>
    </row>
    <row r="1012" spans="4:4">
      <c r="D1012" s="69"/>
    </row>
    <row r="1013" spans="4:4">
      <c r="D1013" s="69"/>
    </row>
    <row r="1014" spans="4:4">
      <c r="D1014" s="69"/>
    </row>
    <row r="1015" spans="4:4">
      <c r="D1015" s="69"/>
    </row>
    <row r="1016" spans="4:4">
      <c r="D1016" s="69"/>
    </row>
    <row r="1017" spans="4:4">
      <c r="D1017" s="69"/>
    </row>
    <row r="1018" spans="4:4">
      <c r="D1018" s="69"/>
    </row>
    <row r="1019" spans="4:4">
      <c r="D1019" s="69"/>
    </row>
    <row r="1020" spans="4:4">
      <c r="D1020" s="69"/>
    </row>
    <row r="1021" spans="4:4">
      <c r="D1021" s="69"/>
    </row>
    <row r="1022" spans="4:4">
      <c r="D1022" s="69"/>
    </row>
    <row r="1023" spans="4:4">
      <c r="D1023" s="69"/>
    </row>
    <row r="1024" spans="4:4">
      <c r="D1024" s="69"/>
    </row>
    <row r="1025" spans="4:4">
      <c r="D1025" s="69"/>
    </row>
    <row r="1026" spans="4:4">
      <c r="D1026" s="69"/>
    </row>
    <row r="1027" spans="4:4">
      <c r="D1027" s="69"/>
    </row>
    <row r="1028" spans="4:4">
      <c r="D1028" s="69"/>
    </row>
    <row r="1029" spans="4:4">
      <c r="D1029" s="69"/>
    </row>
    <row r="1030" spans="4:4">
      <c r="D1030" s="69"/>
    </row>
    <row r="1031" spans="4:4">
      <c r="D1031" s="69"/>
    </row>
    <row r="1032" spans="4:4">
      <c r="D1032" s="69"/>
    </row>
    <row r="1033" spans="4:4">
      <c r="D1033" s="69"/>
    </row>
    <row r="1034" spans="4:4">
      <c r="D1034" s="69"/>
    </row>
    <row r="1035" spans="4:4">
      <c r="D1035" s="69"/>
    </row>
    <row r="1036" spans="4:4">
      <c r="D1036" s="69"/>
    </row>
    <row r="1037" spans="4:4">
      <c r="D1037" s="69"/>
    </row>
    <row r="1038" spans="4:4">
      <c r="D1038" s="69"/>
    </row>
    <row r="1039" spans="4:4">
      <c r="D1039" s="69"/>
    </row>
    <row r="1040" spans="4:4">
      <c r="D1040" s="69"/>
    </row>
    <row r="1041" spans="4:4">
      <c r="D1041" s="69"/>
    </row>
    <row r="1042" spans="4:4">
      <c r="D1042" s="69"/>
    </row>
    <row r="1043" spans="4:4">
      <c r="D1043" s="69"/>
    </row>
    <row r="1044" spans="4:4">
      <c r="D1044" s="69"/>
    </row>
    <row r="1045" spans="4:4">
      <c r="D1045" s="69"/>
    </row>
    <row r="1046" spans="4:4">
      <c r="D1046" s="69"/>
    </row>
    <row r="1047" spans="4:4">
      <c r="D1047" s="69"/>
    </row>
    <row r="1048" spans="4:4">
      <c r="D1048" s="69"/>
    </row>
    <row r="1049" spans="4:4">
      <c r="D1049" s="69"/>
    </row>
    <row r="1050" spans="4:4">
      <c r="D1050" s="69"/>
    </row>
    <row r="1051" spans="4:4">
      <c r="D1051" s="69"/>
    </row>
    <row r="1052" spans="4:4">
      <c r="D1052" s="69"/>
    </row>
    <row r="1053" spans="4:4">
      <c r="D1053" s="69"/>
    </row>
    <row r="1054" spans="4:4">
      <c r="D1054" s="69"/>
    </row>
    <row r="1055" spans="4:4">
      <c r="D1055" s="69"/>
    </row>
    <row r="1056" spans="4:4">
      <c r="D1056" s="69"/>
    </row>
    <row r="1057" spans="4:4">
      <c r="D1057" s="69"/>
    </row>
    <row r="1058" spans="4:4">
      <c r="D1058" s="69"/>
    </row>
    <row r="1059" spans="4:4">
      <c r="D1059" s="69"/>
    </row>
    <row r="1060" spans="4:4">
      <c r="D1060" s="69"/>
    </row>
    <row r="1061" spans="4:4">
      <c r="D1061" s="69"/>
    </row>
    <row r="1062" spans="4:4">
      <c r="D1062" s="69"/>
    </row>
    <row r="1063" spans="4:4">
      <c r="D1063" s="69"/>
    </row>
    <row r="1064" spans="4:4">
      <c r="D1064" s="69"/>
    </row>
    <row r="1065" spans="4:4">
      <c r="D1065" s="69"/>
    </row>
    <row r="1066" spans="4:4">
      <c r="D1066" s="69"/>
    </row>
    <row r="1067" spans="4:4">
      <c r="D1067" s="69"/>
    </row>
    <row r="1068" spans="4:4">
      <c r="D1068" s="69"/>
    </row>
    <row r="1069" spans="4:4">
      <c r="D1069" s="69"/>
    </row>
    <row r="1070" spans="4:4">
      <c r="D1070" s="69"/>
    </row>
    <row r="1071" spans="4:4">
      <c r="D1071" s="69"/>
    </row>
    <row r="1072" spans="4:4">
      <c r="D1072" s="69"/>
    </row>
    <row r="1073" spans="4:4">
      <c r="D1073" s="69"/>
    </row>
    <row r="1074" spans="4:4">
      <c r="D1074" s="69"/>
    </row>
    <row r="1075" spans="4:4">
      <c r="D1075" s="69"/>
    </row>
    <row r="1076" spans="4:4">
      <c r="D1076" s="69"/>
    </row>
    <row r="1077" spans="4:4">
      <c r="D1077" s="69"/>
    </row>
    <row r="1078" spans="4:4">
      <c r="D1078" s="69"/>
    </row>
    <row r="1079" spans="4:4">
      <c r="D1079" s="69"/>
    </row>
    <row r="1080" spans="4:4">
      <c r="D1080" s="69"/>
    </row>
    <row r="1081" spans="4:4">
      <c r="D1081" s="69"/>
    </row>
    <row r="1082" spans="4:4">
      <c r="D1082" s="69"/>
    </row>
    <row r="1083" spans="4:4">
      <c r="D1083" s="69"/>
    </row>
    <row r="1084" spans="4:4">
      <c r="D1084" s="69"/>
    </row>
    <row r="1085" spans="4:4">
      <c r="D1085" s="69"/>
    </row>
    <row r="1086" spans="4:4">
      <c r="D1086" s="69"/>
    </row>
    <row r="1087" spans="4:4">
      <c r="D1087" s="69"/>
    </row>
    <row r="1088" spans="4:4">
      <c r="D1088" s="69"/>
    </row>
    <row r="1089" spans="4:4">
      <c r="D1089" s="69"/>
    </row>
    <row r="1090" spans="4:4">
      <c r="D1090" s="69"/>
    </row>
    <row r="1091" spans="4:4">
      <c r="D1091" s="69"/>
    </row>
    <row r="1092" spans="4:4">
      <c r="D1092" s="69"/>
    </row>
    <row r="1093" spans="4:4">
      <c r="D1093" s="69"/>
    </row>
    <row r="1094" spans="4:4">
      <c r="D1094" s="69"/>
    </row>
    <row r="1095" spans="4:4">
      <c r="D1095" s="69"/>
    </row>
    <row r="1096" spans="4:4">
      <c r="D1096" s="69"/>
    </row>
    <row r="1097" spans="4:4">
      <c r="D1097" s="69"/>
    </row>
    <row r="1098" spans="4:4">
      <c r="D1098" s="69"/>
    </row>
    <row r="1099" spans="4:4">
      <c r="D1099" s="69"/>
    </row>
    <row r="1100" spans="4:4">
      <c r="D1100" s="69"/>
    </row>
    <row r="1101" spans="4:4">
      <c r="D1101" s="69"/>
    </row>
    <row r="1102" spans="4:4">
      <c r="D1102" s="69"/>
    </row>
    <row r="1103" spans="4:4">
      <c r="D1103" s="69"/>
    </row>
    <row r="1104" spans="4:4">
      <c r="D1104" s="69"/>
    </row>
    <row r="1105" spans="4:4">
      <c r="D1105" s="69"/>
    </row>
    <row r="1106" spans="4:4">
      <c r="D1106" s="69"/>
    </row>
    <row r="1107" spans="4:4">
      <c r="D1107" s="69"/>
    </row>
    <row r="1108" spans="4:4">
      <c r="D1108" s="69"/>
    </row>
    <row r="1109" spans="4:4">
      <c r="D1109" s="69"/>
    </row>
    <row r="1110" spans="4:4">
      <c r="D1110" s="69"/>
    </row>
    <row r="1111" spans="4:4">
      <c r="D1111" s="69"/>
    </row>
    <row r="1112" spans="4:4">
      <c r="D1112" s="69"/>
    </row>
    <row r="1113" spans="4:4">
      <c r="D1113" s="69"/>
    </row>
    <row r="1114" spans="4:4">
      <c r="D1114" s="69"/>
    </row>
    <row r="1115" spans="4:4">
      <c r="D1115" s="69"/>
    </row>
    <row r="1116" spans="4:4">
      <c r="D1116" s="69"/>
    </row>
    <row r="1117" spans="4:4">
      <c r="D1117" s="69"/>
    </row>
    <row r="1118" spans="4:4">
      <c r="D1118" s="69"/>
    </row>
    <row r="1119" spans="4:4">
      <c r="D1119" s="69"/>
    </row>
    <row r="1120" spans="4:4">
      <c r="D1120" s="69"/>
    </row>
    <row r="1121" spans="4:4">
      <c r="D1121" s="69"/>
    </row>
    <row r="1122" spans="4:4">
      <c r="D1122" s="69"/>
    </row>
    <row r="1123" spans="4:4">
      <c r="D1123" s="69"/>
    </row>
    <row r="1124" spans="4:4">
      <c r="D1124" s="69"/>
    </row>
    <row r="1125" spans="4:4">
      <c r="D1125" s="69"/>
    </row>
    <row r="1126" spans="4:4">
      <c r="D1126" s="69"/>
    </row>
    <row r="1127" spans="4:4">
      <c r="D1127" s="69"/>
    </row>
    <row r="1128" spans="4:4">
      <c r="D1128" s="69"/>
    </row>
    <row r="1129" spans="4:4">
      <c r="D1129" s="69"/>
    </row>
    <row r="1130" spans="4:4">
      <c r="D1130" s="69"/>
    </row>
    <row r="1131" spans="4:4">
      <c r="D1131" s="69"/>
    </row>
    <row r="1132" spans="4:4">
      <c r="D1132" s="69"/>
    </row>
    <row r="1133" spans="4:4">
      <c r="D1133" s="69"/>
    </row>
    <row r="1134" spans="4:4">
      <c r="D1134" s="69"/>
    </row>
    <row r="1135" spans="4:4">
      <c r="D1135" s="69"/>
    </row>
    <row r="1136" spans="4:4">
      <c r="D1136" s="69"/>
    </row>
    <row r="1137" spans="4:4">
      <c r="D1137" s="69"/>
    </row>
    <row r="1138" spans="4:4">
      <c r="D1138" s="69"/>
    </row>
    <row r="1139" spans="4:4">
      <c r="D1139" s="69"/>
    </row>
    <row r="1140" spans="4:4">
      <c r="D1140" s="69"/>
    </row>
    <row r="1141" spans="4:4">
      <c r="D1141" s="69"/>
    </row>
    <row r="1142" spans="4:4">
      <c r="D1142" s="69"/>
    </row>
    <row r="1143" spans="4:4">
      <c r="D1143" s="69"/>
    </row>
    <row r="1144" spans="4:4">
      <c r="D1144" s="69"/>
    </row>
    <row r="1145" spans="4:4">
      <c r="D1145" s="69"/>
    </row>
    <row r="1146" spans="4:4">
      <c r="D1146" s="69"/>
    </row>
    <row r="1147" spans="4:4">
      <c r="D1147" s="69"/>
    </row>
    <row r="1148" spans="4:4">
      <c r="D1148" s="69"/>
    </row>
    <row r="1149" spans="4:4">
      <c r="D1149" s="69"/>
    </row>
    <row r="1150" spans="4:4">
      <c r="D1150" s="69"/>
    </row>
    <row r="1151" spans="4:4">
      <c r="D1151" s="69"/>
    </row>
    <row r="1152" spans="4:4">
      <c r="D1152" s="69"/>
    </row>
    <row r="1153" spans="4:4">
      <c r="D1153" s="69"/>
    </row>
    <row r="1154" spans="4:4">
      <c r="D1154" s="69"/>
    </row>
    <row r="1155" spans="4:4">
      <c r="D1155" s="69"/>
    </row>
    <row r="1156" spans="4:4">
      <c r="D1156" s="69"/>
    </row>
    <row r="1157" spans="4:4">
      <c r="D1157" s="69"/>
    </row>
    <row r="1158" spans="4:4">
      <c r="D1158" s="69"/>
    </row>
    <row r="1159" spans="4:4">
      <c r="D1159" s="69"/>
    </row>
    <row r="1160" spans="4:4">
      <c r="D1160" s="69"/>
    </row>
    <row r="1161" spans="4:4">
      <c r="D1161" s="69"/>
    </row>
    <row r="1162" spans="4:4">
      <c r="D1162" s="69"/>
    </row>
    <row r="1163" spans="4:4">
      <c r="D1163" s="69"/>
    </row>
    <row r="1164" spans="4:4">
      <c r="D1164" s="69"/>
    </row>
    <row r="1165" spans="4:4">
      <c r="D1165" s="69"/>
    </row>
    <row r="1166" spans="4:4">
      <c r="D1166" s="69"/>
    </row>
    <row r="1167" spans="4:4">
      <c r="D1167" s="69"/>
    </row>
    <row r="1168" spans="4:4">
      <c r="D1168" s="69"/>
    </row>
    <row r="1169" spans="4:4">
      <c r="D1169" s="69"/>
    </row>
    <row r="1170" spans="4:4">
      <c r="D1170" s="69"/>
    </row>
    <row r="1171" spans="4:4">
      <c r="D1171" s="69"/>
    </row>
    <row r="1172" spans="4:4">
      <c r="D1172" s="69"/>
    </row>
    <row r="1173" spans="4:4">
      <c r="D1173" s="69"/>
    </row>
    <row r="1174" spans="4:4">
      <c r="D1174" s="69"/>
    </row>
    <row r="1175" spans="4:4">
      <c r="D1175" s="69"/>
    </row>
    <row r="1176" spans="4:4">
      <c r="D1176" s="69"/>
    </row>
    <row r="1177" spans="4:4">
      <c r="D1177" s="69"/>
    </row>
    <row r="1178" spans="4:4">
      <c r="D1178" s="69"/>
    </row>
    <row r="1179" spans="4:4">
      <c r="D1179" s="69"/>
    </row>
    <row r="1180" spans="4:4">
      <c r="D1180" s="69"/>
    </row>
    <row r="1181" spans="4:4">
      <c r="D1181" s="69"/>
    </row>
    <row r="1182" spans="4:4">
      <c r="D1182" s="69"/>
    </row>
    <row r="1183" spans="4:4">
      <c r="D1183" s="69"/>
    </row>
    <row r="1184" spans="4:4">
      <c r="D1184" s="69"/>
    </row>
    <row r="1185" spans="4:4">
      <c r="D1185" s="69"/>
    </row>
    <row r="1186" spans="4:4">
      <c r="D1186" s="69"/>
    </row>
    <row r="1187" spans="4:4">
      <c r="D1187" s="69"/>
    </row>
    <row r="1188" spans="4:4">
      <c r="D1188" s="69"/>
    </row>
    <row r="1189" spans="4:4">
      <c r="D1189" s="69"/>
    </row>
    <row r="1190" spans="4:4">
      <c r="D1190" s="69"/>
    </row>
    <row r="1191" spans="4:4">
      <c r="D1191" s="69"/>
    </row>
    <row r="1192" spans="4:4">
      <c r="D1192" s="69"/>
    </row>
    <row r="1193" spans="4:4">
      <c r="D1193" s="69"/>
    </row>
    <row r="1194" spans="4:4">
      <c r="D1194" s="69"/>
    </row>
    <row r="1195" spans="4:4">
      <c r="D1195" s="69"/>
    </row>
    <row r="1196" spans="4:4">
      <c r="D1196" s="69"/>
    </row>
    <row r="1197" spans="4:4">
      <c r="D1197" s="69"/>
    </row>
    <row r="1198" spans="4:4">
      <c r="D1198" s="69"/>
    </row>
    <row r="1199" spans="4:4">
      <c r="D1199" s="69"/>
    </row>
    <row r="1200" spans="4:4">
      <c r="D1200" s="69"/>
    </row>
    <row r="1201" spans="4:4">
      <c r="D1201" s="69"/>
    </row>
    <row r="1202" spans="4:4">
      <c r="D1202" s="69"/>
    </row>
    <row r="1203" spans="4:4">
      <c r="D1203" s="69"/>
    </row>
    <row r="1204" spans="4:4">
      <c r="D1204" s="69"/>
    </row>
    <row r="1205" spans="4:4">
      <c r="D1205" s="69"/>
    </row>
    <row r="1206" spans="4:4">
      <c r="D1206" s="69"/>
    </row>
    <row r="1207" spans="4:4">
      <c r="D1207" s="69"/>
    </row>
    <row r="1208" spans="4:4">
      <c r="D1208" s="69"/>
    </row>
    <row r="1209" spans="4:4">
      <c r="D1209" s="69"/>
    </row>
    <row r="1210" spans="4:4">
      <c r="D1210" s="69"/>
    </row>
    <row r="1211" spans="4:4">
      <c r="D1211" s="69"/>
    </row>
    <row r="1212" spans="4:4">
      <c r="D1212" s="69"/>
    </row>
    <row r="1213" spans="4:4">
      <c r="D1213" s="69"/>
    </row>
    <row r="1214" spans="4:4">
      <c r="D1214" s="69"/>
    </row>
    <row r="1215" spans="4:4">
      <c r="D1215" s="69"/>
    </row>
    <row r="1216" spans="4:4">
      <c r="D1216" s="69"/>
    </row>
    <row r="1217" spans="4:4">
      <c r="D1217" s="69"/>
    </row>
    <row r="1218" spans="4:4">
      <c r="D1218" s="69"/>
    </row>
    <row r="1219" spans="4:4">
      <c r="D1219" s="69"/>
    </row>
    <row r="1220" spans="4:4">
      <c r="D1220" s="69"/>
    </row>
    <row r="1221" spans="4:4">
      <c r="D1221" s="69"/>
    </row>
    <row r="1222" spans="4:4">
      <c r="D1222" s="69"/>
    </row>
    <row r="1223" spans="4:4">
      <c r="D1223" s="69"/>
    </row>
    <row r="1224" spans="4:4">
      <c r="D1224" s="69"/>
    </row>
    <row r="1225" spans="4:4">
      <c r="D1225" s="69"/>
    </row>
    <row r="1226" spans="4:4">
      <c r="D1226" s="69"/>
    </row>
    <row r="1227" spans="4:4">
      <c r="D1227" s="69"/>
    </row>
    <row r="1228" spans="4:4">
      <c r="D1228" s="69"/>
    </row>
    <row r="1229" spans="4:4">
      <c r="D1229" s="69"/>
    </row>
    <row r="1230" spans="4:4">
      <c r="D1230" s="69"/>
    </row>
    <row r="1231" spans="4:4">
      <c r="D1231" s="69"/>
    </row>
    <row r="1232" spans="4:4">
      <c r="D1232" s="69"/>
    </row>
    <row r="1233" spans="4:4">
      <c r="D1233" s="69"/>
    </row>
    <row r="1234" spans="4:4">
      <c r="D1234" s="69"/>
    </row>
    <row r="1235" spans="4:4">
      <c r="D1235" s="69"/>
    </row>
    <row r="1236" spans="4:4">
      <c r="D1236" s="69"/>
    </row>
    <row r="1237" spans="4:4">
      <c r="D1237" s="69"/>
    </row>
    <row r="1238" spans="4:4">
      <c r="D1238" s="69"/>
    </row>
    <row r="1239" spans="4:4">
      <c r="D1239" s="69"/>
    </row>
    <row r="1240" spans="4:4">
      <c r="D1240" s="69"/>
    </row>
    <row r="1241" spans="4:4">
      <c r="D1241" s="69"/>
    </row>
    <row r="1242" spans="4:4">
      <c r="D1242" s="69"/>
    </row>
    <row r="1243" spans="4:4">
      <c r="D1243" s="69"/>
    </row>
    <row r="1244" spans="4:4">
      <c r="D1244" s="69"/>
    </row>
    <row r="1245" spans="4:4">
      <c r="D1245" s="69"/>
    </row>
    <row r="1246" spans="4:4">
      <c r="D1246" s="69"/>
    </row>
    <row r="1247" spans="4:4">
      <c r="D1247" s="69"/>
    </row>
    <row r="1248" spans="4:4">
      <c r="D1248" s="69"/>
    </row>
    <row r="1249" spans="4:4">
      <c r="D1249" s="69"/>
    </row>
    <row r="1250" spans="4:4">
      <c r="D1250" s="69"/>
    </row>
    <row r="1251" spans="4:4">
      <c r="D1251" s="69"/>
    </row>
    <row r="1252" spans="4:4">
      <c r="D1252" s="69"/>
    </row>
    <row r="1253" spans="4:4">
      <c r="D1253" s="69"/>
    </row>
    <row r="1254" spans="4:4">
      <c r="D1254" s="69"/>
    </row>
    <row r="1255" spans="4:4">
      <c r="D1255" s="69"/>
    </row>
    <row r="1256" spans="4:4">
      <c r="D1256" s="69"/>
    </row>
    <row r="1257" spans="4:4">
      <c r="D1257" s="69"/>
    </row>
    <row r="1258" spans="4:4">
      <c r="D1258" s="69"/>
    </row>
    <row r="1259" spans="4:4">
      <c r="D1259" s="69"/>
    </row>
    <row r="1260" spans="4:4">
      <c r="D1260" s="69"/>
    </row>
    <row r="1261" spans="4:4">
      <c r="D1261" s="69"/>
    </row>
    <row r="1262" spans="4:4">
      <c r="D1262" s="69"/>
    </row>
    <row r="1263" spans="4:4">
      <c r="D1263" s="69"/>
    </row>
    <row r="1264" spans="4:4">
      <c r="D1264" s="69"/>
    </row>
    <row r="1265" spans="4:4">
      <c r="D1265" s="69"/>
    </row>
    <row r="1266" spans="4:4">
      <c r="D1266" s="69"/>
    </row>
    <row r="1267" spans="4:4">
      <c r="D1267" s="69"/>
    </row>
    <row r="1268" spans="4:4">
      <c r="D1268" s="69"/>
    </row>
    <row r="1269" spans="4:4">
      <c r="D1269" s="69"/>
    </row>
    <row r="1270" spans="4:4">
      <c r="D1270" s="69"/>
    </row>
    <row r="1271" spans="4:4">
      <c r="D1271" s="69"/>
    </row>
    <row r="1272" spans="4:4">
      <c r="D1272" s="69"/>
    </row>
    <row r="1273" spans="4:4">
      <c r="D1273" s="69"/>
    </row>
    <row r="1274" spans="4:4">
      <c r="D1274" s="69"/>
    </row>
    <row r="1275" spans="4:4">
      <c r="D1275" s="69"/>
    </row>
    <row r="1276" spans="4:4">
      <c r="D1276" s="69"/>
    </row>
    <row r="1277" spans="4:4">
      <c r="D1277" s="69"/>
    </row>
    <row r="1278" spans="4:4">
      <c r="D1278" s="69"/>
    </row>
    <row r="1279" spans="4:4">
      <c r="D1279" s="69"/>
    </row>
    <row r="1280" spans="4:4">
      <c r="D1280" s="69"/>
    </row>
    <row r="1281" spans="4:4">
      <c r="D1281" s="69"/>
    </row>
    <row r="1282" spans="4:4">
      <c r="D1282" s="69"/>
    </row>
    <row r="1283" spans="4:4">
      <c r="D1283" s="69"/>
    </row>
    <row r="1284" spans="4:4">
      <c r="D1284" s="69"/>
    </row>
    <row r="1285" spans="4:4">
      <c r="D1285" s="69"/>
    </row>
    <row r="1286" spans="4:4">
      <c r="D1286" s="69"/>
    </row>
    <row r="1287" spans="4:4">
      <c r="D1287" s="69"/>
    </row>
    <row r="1288" spans="4:4">
      <c r="D1288" s="69"/>
    </row>
    <row r="1289" spans="4:4">
      <c r="D1289" s="69"/>
    </row>
    <row r="1290" spans="4:4">
      <c r="D1290" s="69"/>
    </row>
    <row r="1291" spans="4:4">
      <c r="D1291" s="69"/>
    </row>
    <row r="1292" spans="4:4">
      <c r="D1292" s="69"/>
    </row>
    <row r="1293" spans="4:4">
      <c r="D1293" s="69"/>
    </row>
    <row r="1294" spans="4:4">
      <c r="D1294" s="69"/>
    </row>
    <row r="1295" spans="4:4">
      <c r="D1295" s="69"/>
    </row>
    <row r="1296" spans="4:4">
      <c r="D1296" s="69"/>
    </row>
    <row r="1297" spans="4:4">
      <c r="D1297" s="69"/>
    </row>
    <row r="1298" spans="4:4">
      <c r="D1298" s="69"/>
    </row>
    <row r="1299" spans="4:4">
      <c r="D1299" s="69"/>
    </row>
    <row r="1300" spans="4:4">
      <c r="D1300" s="69"/>
    </row>
    <row r="1301" spans="4:4">
      <c r="D1301" s="69"/>
    </row>
    <row r="1302" spans="4:4">
      <c r="D1302" s="69"/>
    </row>
    <row r="1303" spans="4:4">
      <c r="D1303" s="69"/>
    </row>
    <row r="1304" spans="4:4">
      <c r="D1304" s="69"/>
    </row>
    <row r="1305" spans="4:4">
      <c r="D1305" s="69"/>
    </row>
    <row r="1306" spans="4:4">
      <c r="D1306" s="69"/>
    </row>
    <row r="1307" spans="4:4">
      <c r="D1307" s="69"/>
    </row>
    <row r="1308" spans="4:4">
      <c r="D1308" s="69"/>
    </row>
    <row r="1309" spans="4:4">
      <c r="D1309" s="69"/>
    </row>
    <row r="1310" spans="4:4">
      <c r="D1310" s="69"/>
    </row>
    <row r="1311" spans="4:4">
      <c r="D1311" s="69"/>
    </row>
    <row r="1312" spans="4:4">
      <c r="D1312" s="69"/>
    </row>
    <row r="1313" spans="4:4">
      <c r="D1313" s="69"/>
    </row>
    <row r="1314" spans="4:4">
      <c r="D1314" s="69"/>
    </row>
    <row r="1315" spans="4:4">
      <c r="D1315" s="69"/>
    </row>
    <row r="1316" spans="4:4">
      <c r="D1316" s="69"/>
    </row>
    <row r="1317" spans="4:4">
      <c r="D1317" s="69"/>
    </row>
    <row r="1318" spans="4:4">
      <c r="D1318" s="69"/>
    </row>
    <row r="1319" spans="4:4">
      <c r="D1319" s="69"/>
    </row>
    <row r="1320" spans="4:4">
      <c r="D1320" s="69"/>
    </row>
    <row r="1321" spans="4:4">
      <c r="D1321" s="69"/>
    </row>
    <row r="1322" spans="4:4">
      <c r="D1322" s="69"/>
    </row>
    <row r="1323" spans="4:4">
      <c r="D1323" s="69"/>
    </row>
    <row r="1324" spans="4:4">
      <c r="D1324" s="69"/>
    </row>
    <row r="1325" spans="4:4">
      <c r="D1325" s="69"/>
    </row>
    <row r="1326" spans="4:4">
      <c r="D1326" s="69"/>
    </row>
    <row r="1327" spans="4:4">
      <c r="D1327" s="69"/>
    </row>
    <row r="1328" spans="4:4">
      <c r="D1328" s="69"/>
    </row>
    <row r="1329" spans="4:4">
      <c r="D1329" s="69"/>
    </row>
    <row r="1330" spans="4:4">
      <c r="D1330" s="69"/>
    </row>
    <row r="1331" spans="4:4">
      <c r="D1331" s="69"/>
    </row>
    <row r="1332" spans="4:4">
      <c r="D1332" s="69"/>
    </row>
    <row r="1333" spans="4:4">
      <c r="D1333" s="69"/>
    </row>
    <row r="1334" spans="4:4">
      <c r="D1334" s="69"/>
    </row>
    <row r="1335" spans="4:4">
      <c r="D1335" s="69"/>
    </row>
    <row r="1336" spans="4:4">
      <c r="D1336" s="69"/>
    </row>
    <row r="1337" spans="4:4">
      <c r="D1337" s="69"/>
    </row>
    <row r="1338" spans="4:4">
      <c r="D1338" s="69"/>
    </row>
    <row r="1339" spans="4:4">
      <c r="D1339" s="69"/>
    </row>
    <row r="1340" spans="4:4">
      <c r="D1340" s="69"/>
    </row>
    <row r="1341" spans="4:4">
      <c r="D1341" s="69"/>
    </row>
    <row r="1342" spans="4:4">
      <c r="D1342" s="69"/>
    </row>
    <row r="1343" spans="4:4">
      <c r="D1343" s="69"/>
    </row>
    <row r="1344" spans="4:4">
      <c r="D1344" s="69"/>
    </row>
    <row r="1345" spans="4:4">
      <c r="D1345" s="69"/>
    </row>
    <row r="1346" spans="4:4">
      <c r="D1346" s="69"/>
    </row>
    <row r="1347" spans="4:4">
      <c r="D1347" s="69"/>
    </row>
    <row r="1348" spans="4:4">
      <c r="D1348" s="69"/>
    </row>
    <row r="1349" spans="4:4">
      <c r="D1349" s="69"/>
    </row>
    <row r="1350" spans="4:4">
      <c r="D1350" s="69"/>
    </row>
    <row r="1351" spans="4:4">
      <c r="D1351" s="69"/>
    </row>
    <row r="1352" spans="4:4">
      <c r="D1352" s="69"/>
    </row>
    <row r="1353" spans="4:4">
      <c r="D1353" s="69"/>
    </row>
    <row r="1354" spans="4:4">
      <c r="D1354" s="69"/>
    </row>
    <row r="1355" spans="4:4">
      <c r="D1355" s="69"/>
    </row>
    <row r="1356" spans="4:4">
      <c r="D1356" s="69"/>
    </row>
    <row r="1357" spans="4:4">
      <c r="D1357" s="69"/>
    </row>
    <row r="1358" spans="4:4">
      <c r="D1358" s="69"/>
    </row>
    <row r="1359" spans="4:4">
      <c r="D1359" s="69"/>
    </row>
    <row r="1360" spans="4:4">
      <c r="D1360" s="69"/>
    </row>
    <row r="1361" spans="4:4">
      <c r="D1361" s="69"/>
    </row>
    <row r="1362" spans="4:4">
      <c r="D1362" s="69"/>
    </row>
    <row r="1363" spans="4:4">
      <c r="D1363" s="69"/>
    </row>
    <row r="1364" spans="4:4">
      <c r="D1364" s="69"/>
    </row>
    <row r="1365" spans="4:4">
      <c r="D1365" s="69"/>
    </row>
    <row r="1366" spans="4:4">
      <c r="D1366" s="69"/>
    </row>
    <row r="1367" spans="4:4">
      <c r="D1367" s="69"/>
    </row>
    <row r="1368" spans="4:4">
      <c r="D1368" s="69"/>
    </row>
    <row r="1369" spans="4:4">
      <c r="D1369" s="69"/>
    </row>
    <row r="1370" spans="4:4">
      <c r="D1370" s="69"/>
    </row>
    <row r="1371" spans="4:4">
      <c r="D1371" s="69"/>
    </row>
    <row r="1372" spans="4:4">
      <c r="D1372" s="69"/>
    </row>
    <row r="1373" spans="4:4">
      <c r="D1373" s="69"/>
    </row>
    <row r="1374" spans="4:4">
      <c r="D1374" s="69"/>
    </row>
    <row r="1375" spans="4:4">
      <c r="D1375" s="69"/>
    </row>
    <row r="1376" spans="4:4">
      <c r="D1376" s="69"/>
    </row>
    <row r="1377" spans="4:4">
      <c r="D1377" s="69"/>
    </row>
    <row r="1378" spans="4:4">
      <c r="D1378" s="69"/>
    </row>
    <row r="1379" spans="4:4">
      <c r="D1379" s="69"/>
    </row>
    <row r="1380" spans="4:4">
      <c r="D1380" s="69"/>
    </row>
    <row r="1381" spans="4:4">
      <c r="D1381" s="69"/>
    </row>
    <row r="1382" spans="4:4">
      <c r="D1382" s="69"/>
    </row>
    <row r="1383" spans="4:4">
      <c r="D1383" s="69"/>
    </row>
    <row r="1384" spans="4:4">
      <c r="D1384" s="69"/>
    </row>
    <row r="1385" spans="4:4">
      <c r="D1385" s="69"/>
    </row>
    <row r="1386" spans="4:4">
      <c r="D1386" s="69"/>
    </row>
    <row r="1387" spans="4:4">
      <c r="D1387" s="69"/>
    </row>
    <row r="1388" spans="4:4">
      <c r="D1388" s="69"/>
    </row>
    <row r="1389" spans="4:4">
      <c r="D1389" s="69"/>
    </row>
    <row r="1390" spans="4:4">
      <c r="D1390" s="69"/>
    </row>
    <row r="1391" spans="4:4">
      <c r="D1391" s="69"/>
    </row>
    <row r="1392" spans="4:4">
      <c r="D1392" s="69"/>
    </row>
    <row r="1393" spans="4:4">
      <c r="D1393" s="69"/>
    </row>
    <row r="1394" spans="4:4">
      <c r="D1394" s="69"/>
    </row>
    <row r="1395" spans="4:4">
      <c r="D1395" s="69"/>
    </row>
    <row r="1396" spans="4:4">
      <c r="D1396" s="69"/>
    </row>
    <row r="1397" spans="4:4">
      <c r="D1397" s="69"/>
    </row>
    <row r="1398" spans="4:4">
      <c r="D1398" s="69"/>
    </row>
    <row r="1399" spans="4:4">
      <c r="D1399" s="69"/>
    </row>
    <row r="1400" spans="4:4">
      <c r="D1400" s="69"/>
    </row>
    <row r="1401" spans="4:4">
      <c r="D1401" s="69"/>
    </row>
    <row r="1402" spans="4:4">
      <c r="D1402" s="69"/>
    </row>
    <row r="1403" spans="4:4">
      <c r="D1403" s="69"/>
    </row>
    <row r="1404" spans="4:4">
      <c r="D1404" s="69"/>
    </row>
    <row r="1405" spans="4:4">
      <c r="D1405" s="69"/>
    </row>
    <row r="1406" spans="4:4">
      <c r="D1406" s="69"/>
    </row>
    <row r="1407" spans="4:4">
      <c r="D1407" s="69"/>
    </row>
    <row r="1408" spans="4:4">
      <c r="D1408" s="69"/>
    </row>
    <row r="1409" spans="4:4">
      <c r="D1409" s="69"/>
    </row>
    <row r="1410" spans="4:4">
      <c r="D1410" s="69"/>
    </row>
    <row r="1411" spans="4:4">
      <c r="D1411" s="69"/>
    </row>
    <row r="1412" spans="4:4">
      <c r="D1412" s="69"/>
    </row>
    <row r="1413" spans="4:4">
      <c r="D1413" s="69"/>
    </row>
    <row r="1414" spans="4:4">
      <c r="D1414" s="69"/>
    </row>
    <row r="1415" spans="4:4">
      <c r="D1415" s="69"/>
    </row>
    <row r="1416" spans="4:4">
      <c r="D1416" s="69"/>
    </row>
    <row r="1417" spans="4:4">
      <c r="D1417" s="69"/>
    </row>
    <row r="1418" spans="4:4">
      <c r="D1418" s="69"/>
    </row>
    <row r="1419" spans="4:4">
      <c r="D1419" s="69"/>
    </row>
    <row r="1420" spans="4:4">
      <c r="D1420" s="69"/>
    </row>
    <row r="1421" spans="4:4">
      <c r="D1421" s="69"/>
    </row>
    <row r="1422" spans="4:4">
      <c r="D1422" s="69"/>
    </row>
    <row r="1423" spans="4:4">
      <c r="D1423" s="69"/>
    </row>
    <row r="1424" spans="4:4">
      <c r="D1424" s="69"/>
    </row>
    <row r="1425" spans="4:4">
      <c r="D1425" s="69"/>
    </row>
    <row r="1426" spans="4:4">
      <c r="D1426" s="69"/>
    </row>
    <row r="1427" spans="4:4">
      <c r="D1427" s="69"/>
    </row>
    <row r="1428" spans="4:4">
      <c r="D1428" s="69"/>
    </row>
    <row r="1429" spans="4:4">
      <c r="D1429" s="69"/>
    </row>
    <row r="1430" spans="4:4">
      <c r="D1430" s="69"/>
    </row>
    <row r="1431" spans="4:4">
      <c r="D1431" s="69"/>
    </row>
    <row r="1432" spans="4:4">
      <c r="D1432" s="69"/>
    </row>
    <row r="1433" spans="4:4">
      <c r="D1433" s="69"/>
    </row>
    <row r="1434" spans="4:4">
      <c r="D1434" s="69"/>
    </row>
    <row r="1435" spans="4:4">
      <c r="D1435" s="69"/>
    </row>
    <row r="1436" spans="4:4">
      <c r="D1436" s="69"/>
    </row>
    <row r="1437" spans="4:4">
      <c r="D1437" s="69"/>
    </row>
    <row r="1438" spans="4:4">
      <c r="D1438" s="69"/>
    </row>
    <row r="1439" spans="4:4">
      <c r="D1439" s="69"/>
    </row>
    <row r="1440" spans="4:4">
      <c r="D1440" s="69"/>
    </row>
    <row r="1441" spans="4:4">
      <c r="D1441" s="69"/>
    </row>
    <row r="1442" spans="4:4">
      <c r="D1442" s="69"/>
    </row>
    <row r="1443" spans="4:4">
      <c r="D1443" s="69"/>
    </row>
    <row r="1444" spans="4:4">
      <c r="D1444" s="69"/>
    </row>
    <row r="1445" spans="4:4">
      <c r="D1445" s="69"/>
    </row>
    <row r="1446" spans="4:4">
      <c r="D1446" s="69"/>
    </row>
    <row r="1447" spans="4:4">
      <c r="D1447" s="69"/>
    </row>
    <row r="1448" spans="4:4">
      <c r="D1448" s="69"/>
    </row>
    <row r="1449" spans="4:4">
      <c r="D1449" s="69"/>
    </row>
    <row r="1450" spans="4:4">
      <c r="D1450" s="69"/>
    </row>
    <row r="1451" spans="4:4">
      <c r="D1451" s="69"/>
    </row>
    <row r="1452" spans="4:4">
      <c r="D1452" s="69"/>
    </row>
    <row r="1453" spans="4:4">
      <c r="D1453" s="69"/>
    </row>
    <row r="1454" spans="4:4">
      <c r="D1454" s="69"/>
    </row>
    <row r="1455" spans="4:4">
      <c r="D1455" s="69"/>
    </row>
    <row r="1456" spans="4:4">
      <c r="D1456" s="69"/>
    </row>
    <row r="1457" spans="4:4">
      <c r="D1457" s="69"/>
    </row>
    <row r="1458" spans="4:4">
      <c r="D1458" s="69"/>
    </row>
    <row r="1459" spans="4:4">
      <c r="D1459" s="69"/>
    </row>
    <row r="1460" spans="4:4">
      <c r="D1460" s="69"/>
    </row>
    <row r="1461" spans="4:4">
      <c r="D1461" s="69"/>
    </row>
    <row r="1462" spans="4:4">
      <c r="D1462" s="69"/>
    </row>
    <row r="1463" spans="4:4">
      <c r="D1463" s="69"/>
    </row>
    <row r="1464" spans="4:4">
      <c r="D1464" s="69"/>
    </row>
    <row r="1465" spans="4:4">
      <c r="D1465" s="69"/>
    </row>
    <row r="1466" spans="4:4">
      <c r="D1466" s="69"/>
    </row>
    <row r="1467" spans="4:4">
      <c r="D1467" s="69"/>
    </row>
    <row r="1468" spans="4:4">
      <c r="D1468" s="69"/>
    </row>
    <row r="1469" spans="4:4">
      <c r="D1469" s="69"/>
    </row>
    <row r="1470" spans="4:4">
      <c r="D1470" s="69"/>
    </row>
    <row r="1471" spans="4:4">
      <c r="D1471" s="69"/>
    </row>
    <row r="1472" spans="4:4">
      <c r="D1472" s="69"/>
    </row>
    <row r="1473" spans="4:4">
      <c r="D1473" s="69"/>
    </row>
    <row r="1474" spans="4:4">
      <c r="D1474" s="69"/>
    </row>
    <row r="1475" spans="4:4">
      <c r="D1475" s="69"/>
    </row>
    <row r="1476" spans="4:4">
      <c r="D1476" s="69"/>
    </row>
    <row r="1477" spans="4:4">
      <c r="D1477" s="69"/>
    </row>
    <row r="1478" spans="4:4">
      <c r="D1478" s="69"/>
    </row>
    <row r="1479" spans="4:4">
      <c r="D1479" s="69"/>
    </row>
    <row r="1480" spans="4:4">
      <c r="D1480" s="69"/>
    </row>
    <row r="1481" spans="4:4">
      <c r="D1481" s="69"/>
    </row>
    <row r="1482" spans="4:4">
      <c r="D1482" s="69"/>
    </row>
    <row r="1483" spans="4:4">
      <c r="D1483" s="69"/>
    </row>
    <row r="1484" spans="4:4">
      <c r="D1484" s="69"/>
    </row>
    <row r="1485" spans="4:4">
      <c r="D1485" s="69"/>
    </row>
    <row r="1486" spans="4:4">
      <c r="D1486" s="69"/>
    </row>
    <row r="1487" spans="4:4">
      <c r="D1487" s="69"/>
    </row>
    <row r="1488" spans="4:4">
      <c r="D1488" s="69"/>
    </row>
    <row r="1489" spans="4:4">
      <c r="D1489" s="69"/>
    </row>
    <row r="1490" spans="4:4">
      <c r="D1490" s="69"/>
    </row>
    <row r="1491" spans="4:4">
      <c r="D1491" s="69"/>
    </row>
    <row r="1492" spans="4:4">
      <c r="D1492" s="69"/>
    </row>
    <row r="1493" spans="4:4">
      <c r="D1493" s="69"/>
    </row>
    <row r="1494" spans="4:4">
      <c r="D1494" s="69"/>
    </row>
    <row r="1495" spans="4:4">
      <c r="D1495" s="69"/>
    </row>
    <row r="1496" spans="4:4">
      <c r="D1496" s="69"/>
    </row>
    <row r="1497" spans="4:4">
      <c r="D1497" s="69"/>
    </row>
    <row r="1498" spans="4:4">
      <c r="D1498" s="69"/>
    </row>
    <row r="1499" spans="4:4">
      <c r="D1499" s="69"/>
    </row>
    <row r="1500" spans="4:4">
      <c r="D1500" s="69"/>
    </row>
    <row r="1501" spans="4:4">
      <c r="D1501" s="69"/>
    </row>
    <row r="1502" spans="4:4">
      <c r="D1502" s="69"/>
    </row>
    <row r="1503" spans="4:4">
      <c r="D1503" s="69"/>
    </row>
    <row r="1504" spans="4:4">
      <c r="D1504" s="69"/>
    </row>
    <row r="1505" spans="4:4">
      <c r="D1505" s="69"/>
    </row>
    <row r="1506" spans="4:4">
      <c r="D1506" s="69"/>
    </row>
    <row r="1507" spans="4:4">
      <c r="D1507" s="69"/>
    </row>
    <row r="1508" spans="4:4">
      <c r="D1508" s="69"/>
    </row>
    <row r="1509" spans="4:4">
      <c r="D1509" s="69"/>
    </row>
    <row r="1510" spans="4:4">
      <c r="D1510" s="69"/>
    </row>
    <row r="1511" spans="4:4">
      <c r="D1511" s="69"/>
    </row>
    <row r="1512" spans="4:4">
      <c r="D1512" s="69"/>
    </row>
    <row r="1513" spans="4:4">
      <c r="D1513" s="69"/>
    </row>
    <row r="1514" spans="4:4">
      <c r="D1514" s="69"/>
    </row>
    <row r="1515" spans="4:4">
      <c r="D1515" s="69"/>
    </row>
    <row r="1516" spans="4:4">
      <c r="D1516" s="69"/>
    </row>
    <row r="1517" spans="4:4">
      <c r="D1517" s="69"/>
    </row>
    <row r="1518" spans="4:4">
      <c r="D1518" s="69"/>
    </row>
    <row r="1519" spans="4:4">
      <c r="D1519" s="69"/>
    </row>
    <row r="1520" spans="4:4">
      <c r="D1520" s="69"/>
    </row>
    <row r="1521" spans="4:4">
      <c r="D1521" s="69"/>
    </row>
    <row r="1522" spans="4:4">
      <c r="D1522" s="69"/>
    </row>
    <row r="1523" spans="4:4">
      <c r="D1523" s="69"/>
    </row>
    <row r="1524" spans="4:4">
      <c r="D1524" s="69"/>
    </row>
    <row r="1525" spans="4:4">
      <c r="D1525" s="69"/>
    </row>
    <row r="1526" spans="4:4">
      <c r="D1526" s="69"/>
    </row>
    <row r="1527" spans="4:4">
      <c r="D1527" s="69"/>
    </row>
    <row r="1528" spans="4:4">
      <c r="D1528" s="69"/>
    </row>
    <row r="1529" spans="4:4">
      <c r="D1529" s="69"/>
    </row>
    <row r="1530" spans="4:4">
      <c r="D1530" s="69"/>
    </row>
    <row r="1531" spans="4:4">
      <c r="D1531" s="69"/>
    </row>
    <row r="1532" spans="4:4">
      <c r="D1532" s="69"/>
    </row>
    <row r="1533" spans="4:4">
      <c r="D1533" s="69"/>
    </row>
    <row r="1534" spans="4:4">
      <c r="D1534" s="69"/>
    </row>
    <row r="1535" spans="4:4">
      <c r="D1535" s="69"/>
    </row>
    <row r="1536" spans="4:4">
      <c r="D1536" s="69"/>
    </row>
    <row r="1537" spans="4:4">
      <c r="D1537" s="69"/>
    </row>
    <row r="1538" spans="4:4">
      <c r="D1538" s="69"/>
    </row>
    <row r="1539" spans="4:4">
      <c r="D1539" s="69"/>
    </row>
    <row r="1540" spans="4:4">
      <c r="D1540" s="69"/>
    </row>
    <row r="1541" spans="4:4">
      <c r="D1541" s="69"/>
    </row>
    <row r="1542" spans="4:4">
      <c r="D1542" s="69"/>
    </row>
    <row r="1543" spans="4:4">
      <c r="D1543" s="69"/>
    </row>
    <row r="1544" spans="4:4">
      <c r="D1544" s="69"/>
    </row>
    <row r="1545" spans="4:4">
      <c r="D1545" s="69"/>
    </row>
    <row r="1546" spans="4:4">
      <c r="D1546" s="69"/>
    </row>
    <row r="1547" spans="4:4">
      <c r="D1547" s="69"/>
    </row>
    <row r="1548" spans="4:4">
      <c r="D1548" s="69"/>
    </row>
    <row r="1549" spans="4:4">
      <c r="D1549" s="69"/>
    </row>
    <row r="1550" spans="4:4">
      <c r="D1550" s="69"/>
    </row>
    <row r="1551" spans="4:4">
      <c r="D1551" s="69"/>
    </row>
    <row r="1552" spans="4:4">
      <c r="D1552" s="69"/>
    </row>
    <row r="1553" spans="4:4">
      <c r="D1553" s="69"/>
    </row>
    <row r="1554" spans="4:4">
      <c r="D1554" s="69"/>
    </row>
    <row r="1555" spans="4:4">
      <c r="D1555" s="69"/>
    </row>
    <row r="1556" spans="4:4">
      <c r="D1556" s="69"/>
    </row>
    <row r="1557" spans="4:4">
      <c r="D1557" s="69"/>
    </row>
    <row r="1558" spans="4:4">
      <c r="D1558" s="69"/>
    </row>
    <row r="1559" spans="4:4">
      <c r="D1559" s="69"/>
    </row>
    <row r="1560" spans="4:4">
      <c r="D1560" s="69"/>
    </row>
    <row r="1561" spans="4:4">
      <c r="D1561" s="69"/>
    </row>
    <row r="1562" spans="4:4">
      <c r="D1562" s="69"/>
    </row>
    <row r="1563" spans="4:4">
      <c r="D1563" s="69"/>
    </row>
    <row r="1564" spans="4:4">
      <c r="D1564" s="69"/>
    </row>
    <row r="1565" spans="4:4">
      <c r="D1565" s="69"/>
    </row>
    <row r="1566" spans="4:4">
      <c r="D1566" s="69"/>
    </row>
    <row r="1567" spans="4:4">
      <c r="D1567" s="69"/>
    </row>
    <row r="1568" spans="4:4">
      <c r="D1568" s="69"/>
    </row>
    <row r="1569" spans="4:4">
      <c r="D1569" s="69"/>
    </row>
    <row r="1570" spans="4:4">
      <c r="D1570" s="69"/>
    </row>
    <row r="1571" spans="4:4">
      <c r="D1571" s="69"/>
    </row>
    <row r="1572" spans="4:4">
      <c r="D1572" s="69"/>
    </row>
    <row r="1573" spans="4:4">
      <c r="D1573" s="69"/>
    </row>
    <row r="1574" spans="4:4">
      <c r="D1574" s="69"/>
    </row>
    <row r="1575" spans="4:4">
      <c r="D1575" s="69"/>
    </row>
    <row r="1576" spans="4:4">
      <c r="D1576" s="69"/>
    </row>
    <row r="1577" spans="4:4">
      <c r="D1577" s="69"/>
    </row>
    <row r="1578" spans="4:4">
      <c r="D1578" s="69"/>
    </row>
    <row r="1579" spans="4:4">
      <c r="D1579" s="69"/>
    </row>
    <row r="1580" spans="4:4">
      <c r="D1580" s="69"/>
    </row>
    <row r="1581" spans="4:4">
      <c r="D1581" s="69"/>
    </row>
    <row r="1582" spans="4:4">
      <c r="D1582" s="69"/>
    </row>
    <row r="1583" spans="4:4">
      <c r="D1583" s="69"/>
    </row>
    <row r="1584" spans="4:4">
      <c r="D1584" s="69"/>
    </row>
    <row r="1585" spans="4:4">
      <c r="D1585" s="69"/>
    </row>
    <row r="1586" spans="4:4">
      <c r="D1586" s="69"/>
    </row>
    <row r="1587" spans="4:4">
      <c r="D1587" s="69"/>
    </row>
    <row r="1588" spans="4:4">
      <c r="D1588" s="69"/>
    </row>
    <row r="1589" spans="4:4">
      <c r="D1589" s="69"/>
    </row>
    <row r="1590" spans="4:4">
      <c r="D1590" s="69"/>
    </row>
    <row r="1591" spans="4:4">
      <c r="D1591" s="69"/>
    </row>
    <row r="1592" spans="4:4">
      <c r="D1592" s="69"/>
    </row>
    <row r="1593" spans="4:4">
      <c r="D1593" s="69"/>
    </row>
    <row r="1594" spans="4:4">
      <c r="D1594" s="69"/>
    </row>
    <row r="1595" spans="4:4">
      <c r="D1595" s="69"/>
    </row>
    <row r="1596" spans="4:4">
      <c r="D1596" s="69"/>
    </row>
    <row r="1597" spans="4:4">
      <c r="D1597" s="69"/>
    </row>
    <row r="1598" spans="4:4">
      <c r="D1598" s="69"/>
    </row>
    <row r="1599" spans="4:4">
      <c r="D1599" s="69"/>
    </row>
    <row r="1600" spans="4:4">
      <c r="D1600" s="69"/>
    </row>
    <row r="1601" spans="4:4">
      <c r="D1601" s="69"/>
    </row>
    <row r="1602" spans="4:4">
      <c r="D1602" s="69"/>
    </row>
    <row r="1603" spans="4:4">
      <c r="D1603" s="69"/>
    </row>
    <row r="1604" spans="4:4">
      <c r="D1604" s="69"/>
    </row>
    <row r="1605" spans="4:4">
      <c r="D1605" s="69"/>
    </row>
    <row r="1606" spans="4:4">
      <c r="D1606" s="69"/>
    </row>
    <row r="1607" spans="4:4">
      <c r="D1607" s="69"/>
    </row>
    <row r="1608" spans="4:4">
      <c r="D1608" s="69"/>
    </row>
    <row r="1609" spans="4:4">
      <c r="D1609" s="69"/>
    </row>
    <row r="1610" spans="4:4">
      <c r="D1610" s="69"/>
    </row>
    <row r="1611" spans="4:4">
      <c r="D1611" s="69"/>
    </row>
    <row r="1612" spans="4:4">
      <c r="D1612" s="69"/>
    </row>
    <row r="1613" spans="4:4">
      <c r="D1613" s="69"/>
    </row>
    <row r="1614" spans="4:4">
      <c r="D1614" s="69"/>
    </row>
    <row r="1615" spans="4:4">
      <c r="D1615" s="69"/>
    </row>
    <row r="1616" spans="4:4">
      <c r="D1616" s="69"/>
    </row>
    <row r="1617" spans="4:4">
      <c r="D1617" s="69"/>
    </row>
    <row r="1618" spans="4:4">
      <c r="D1618" s="69"/>
    </row>
    <row r="1619" spans="4:4">
      <c r="D1619" s="69"/>
    </row>
    <row r="1620" spans="4:4">
      <c r="D1620" s="69"/>
    </row>
    <row r="1621" spans="4:4">
      <c r="D1621" s="69"/>
    </row>
    <row r="1622" spans="4:4">
      <c r="D1622" s="69"/>
    </row>
    <row r="1623" spans="4:4">
      <c r="D1623" s="69"/>
    </row>
    <row r="1624" spans="4:4">
      <c r="D1624" s="69"/>
    </row>
    <row r="1625" spans="4:4">
      <c r="D1625" s="69"/>
    </row>
    <row r="1626" spans="4:4">
      <c r="D1626" s="69"/>
    </row>
    <row r="1627" spans="4:4">
      <c r="D1627" s="69"/>
    </row>
    <row r="1628" spans="4:4">
      <c r="D1628" s="69"/>
    </row>
    <row r="1629" spans="4:4">
      <c r="D1629" s="69"/>
    </row>
    <row r="1630" spans="4:4">
      <c r="D1630" s="69"/>
    </row>
    <row r="1631" spans="4:4">
      <c r="D1631" s="69"/>
    </row>
    <row r="1632" spans="4:4">
      <c r="D1632" s="69"/>
    </row>
    <row r="1633" spans="4:4">
      <c r="D1633" s="69"/>
    </row>
    <row r="1634" spans="4:4">
      <c r="D1634" s="69"/>
    </row>
    <row r="1635" spans="4:4">
      <c r="D1635" s="69"/>
    </row>
    <row r="1636" spans="4:4">
      <c r="D1636" s="69"/>
    </row>
    <row r="1637" spans="4:4">
      <c r="D1637" s="69"/>
    </row>
    <row r="1638" spans="4:4">
      <c r="D1638" s="69"/>
    </row>
    <row r="1639" spans="4:4">
      <c r="D1639" s="69"/>
    </row>
    <row r="1640" spans="4:4">
      <c r="D1640" s="69"/>
    </row>
    <row r="1641" spans="4:4">
      <c r="D1641" s="69"/>
    </row>
    <row r="1642" spans="4:4">
      <c r="D1642" s="69"/>
    </row>
    <row r="1643" spans="4:4">
      <c r="D1643" s="69"/>
    </row>
    <row r="1644" spans="4:4">
      <c r="D1644" s="69"/>
    </row>
    <row r="1645" spans="4:4">
      <c r="D1645" s="69"/>
    </row>
    <row r="1646" spans="4:4">
      <c r="D1646" s="69"/>
    </row>
    <row r="1647" spans="4:4">
      <c r="D1647" s="69"/>
    </row>
    <row r="1648" spans="4:4">
      <c r="D1648" s="69"/>
    </row>
    <row r="1649" spans="4:4">
      <c r="D1649" s="69"/>
    </row>
    <row r="1650" spans="4:4">
      <c r="D1650" s="69"/>
    </row>
    <row r="1651" spans="4:4">
      <c r="D1651" s="69"/>
    </row>
    <row r="1652" spans="4:4">
      <c r="D1652" s="69"/>
    </row>
    <row r="1653" spans="4:4">
      <c r="D1653" s="69"/>
    </row>
    <row r="1654" spans="4:4">
      <c r="D1654" s="69"/>
    </row>
    <row r="1655" spans="4:4">
      <c r="D1655" s="69"/>
    </row>
    <row r="1656" spans="4:4">
      <c r="D1656" s="69"/>
    </row>
    <row r="1657" spans="4:4">
      <c r="D1657" s="69"/>
    </row>
    <row r="1658" spans="4:4">
      <c r="D1658" s="69"/>
    </row>
    <row r="1659" spans="4:4">
      <c r="D1659" s="69"/>
    </row>
    <row r="1660" spans="4:4">
      <c r="D1660" s="69"/>
    </row>
    <row r="1661" spans="4:4">
      <c r="D1661" s="69"/>
    </row>
    <row r="1662" spans="4:4">
      <c r="D1662" s="69"/>
    </row>
    <row r="1663" spans="4:4">
      <c r="D1663" s="69"/>
    </row>
    <row r="1664" spans="4:4">
      <c r="D1664" s="69"/>
    </row>
    <row r="1665" spans="4:4">
      <c r="D1665" s="69"/>
    </row>
    <row r="1666" spans="4:4">
      <c r="D1666" s="69"/>
    </row>
    <row r="1667" spans="4:4">
      <c r="D1667" s="69"/>
    </row>
    <row r="1668" spans="4:4">
      <c r="D1668" s="69"/>
    </row>
    <row r="1669" spans="4:4">
      <c r="D1669" s="69"/>
    </row>
    <row r="1670" spans="4:4">
      <c r="D1670" s="69"/>
    </row>
    <row r="1671" spans="4:4">
      <c r="D1671" s="69"/>
    </row>
    <row r="1672" spans="4:4">
      <c r="D1672" s="69"/>
    </row>
    <row r="1673" spans="4:4">
      <c r="D1673" s="69"/>
    </row>
    <row r="1674" spans="4:4">
      <c r="D1674" s="69"/>
    </row>
    <row r="1675" spans="4:4">
      <c r="D1675" s="69"/>
    </row>
    <row r="1676" spans="4:4">
      <c r="D1676" s="69"/>
    </row>
    <row r="1677" spans="4:4">
      <c r="D1677" s="69"/>
    </row>
    <row r="1678" spans="4:4">
      <c r="D1678" s="69"/>
    </row>
    <row r="1679" spans="4:4">
      <c r="D1679" s="69"/>
    </row>
    <row r="1680" spans="4:4">
      <c r="D1680" s="69"/>
    </row>
    <row r="1681" spans="4:4">
      <c r="D1681" s="69"/>
    </row>
    <row r="1682" spans="4:4">
      <c r="D1682" s="69"/>
    </row>
    <row r="1683" spans="4:4">
      <c r="D1683" s="69"/>
    </row>
    <row r="1684" spans="4:4">
      <c r="D1684" s="69"/>
    </row>
    <row r="1685" spans="4:4">
      <c r="D1685" s="69"/>
    </row>
    <row r="1686" spans="4:4">
      <c r="D1686" s="69"/>
    </row>
    <row r="1687" spans="4:4">
      <c r="D1687" s="69"/>
    </row>
    <row r="1688" spans="4:4">
      <c r="D1688" s="69"/>
    </row>
    <row r="1689" spans="4:4">
      <c r="D1689" s="69"/>
    </row>
    <row r="1690" spans="4:4">
      <c r="D1690" s="69"/>
    </row>
    <row r="1691" spans="4:4">
      <c r="D1691" s="69"/>
    </row>
    <row r="1692" spans="4:4">
      <c r="D1692" s="69"/>
    </row>
    <row r="1693" spans="4:4">
      <c r="D1693" s="69"/>
    </row>
    <row r="1694" spans="4:4">
      <c r="D1694" s="69"/>
    </row>
    <row r="1695" spans="4:4">
      <c r="D1695" s="69"/>
    </row>
    <row r="1696" spans="4:4">
      <c r="D1696" s="69"/>
    </row>
    <row r="1697" spans="4:4">
      <c r="D1697" s="69"/>
    </row>
    <row r="1698" spans="4:4">
      <c r="D1698" s="69"/>
    </row>
    <row r="1699" spans="4:4">
      <c r="D1699" s="69"/>
    </row>
    <row r="1700" spans="4:4">
      <c r="D1700" s="69"/>
    </row>
    <row r="1701" spans="4:4">
      <c r="D1701" s="69"/>
    </row>
    <row r="1702" spans="4:4">
      <c r="D1702" s="69"/>
    </row>
    <row r="1703" spans="4:4">
      <c r="D1703" s="69"/>
    </row>
    <row r="1704" spans="4:4">
      <c r="D1704" s="69"/>
    </row>
    <row r="1705" spans="4:4">
      <c r="D1705" s="69"/>
    </row>
    <row r="1706" spans="4:4">
      <c r="D1706" s="69"/>
    </row>
    <row r="1707" spans="4:4">
      <c r="D1707" s="69"/>
    </row>
    <row r="1708" spans="4:4">
      <c r="D1708" s="69"/>
    </row>
    <row r="1709" spans="4:4">
      <c r="D1709" s="69"/>
    </row>
    <row r="1710" spans="4:4">
      <c r="D1710" s="69"/>
    </row>
    <row r="1711" spans="4:4">
      <c r="D1711" s="69"/>
    </row>
    <row r="1712" spans="4:4">
      <c r="D1712" s="69"/>
    </row>
    <row r="1713" spans="4:4">
      <c r="D1713" s="69"/>
    </row>
    <row r="1714" spans="4:4">
      <c r="D1714" s="69"/>
    </row>
    <row r="1715" spans="4:4">
      <c r="D1715" s="69"/>
    </row>
    <row r="1716" spans="4:4">
      <c r="D1716" s="69"/>
    </row>
    <row r="1717" spans="4:4">
      <c r="D1717" s="69"/>
    </row>
    <row r="1718" spans="4:4">
      <c r="D1718" s="69"/>
    </row>
    <row r="1719" spans="4:4">
      <c r="D1719" s="69"/>
    </row>
    <row r="1720" spans="4:4">
      <c r="D1720" s="69"/>
    </row>
    <row r="1721" spans="4:4">
      <c r="D1721" s="69"/>
    </row>
    <row r="1722" spans="4:4">
      <c r="D1722" s="69"/>
    </row>
    <row r="1723" spans="4:4">
      <c r="D1723" s="69"/>
    </row>
    <row r="1724" spans="4:4">
      <c r="D1724" s="69"/>
    </row>
    <row r="1725" spans="4:4">
      <c r="D1725" s="69"/>
    </row>
    <row r="1726" spans="4:4">
      <c r="D1726" s="69"/>
    </row>
    <row r="1727" spans="4:4">
      <c r="D1727" s="69"/>
    </row>
    <row r="1728" spans="4:4">
      <c r="D1728" s="69"/>
    </row>
    <row r="1729" spans="4:4">
      <c r="D1729" s="69"/>
    </row>
    <row r="1730" spans="4:4">
      <c r="D1730" s="69"/>
    </row>
    <row r="1731" spans="4:4">
      <c r="D1731" s="69"/>
    </row>
    <row r="1732" spans="4:4">
      <c r="D1732" s="69"/>
    </row>
    <row r="1733" spans="4:4">
      <c r="D1733" s="69"/>
    </row>
    <row r="1734" spans="4:4">
      <c r="D1734" s="69"/>
    </row>
    <row r="1735" spans="4:4">
      <c r="D1735" s="69"/>
    </row>
    <row r="1736" spans="4:4">
      <c r="D1736" s="69"/>
    </row>
    <row r="1737" spans="4:4">
      <c r="D1737" s="69"/>
    </row>
    <row r="1738" spans="4:4">
      <c r="D1738" s="69"/>
    </row>
    <row r="1739" spans="4:4">
      <c r="D1739" s="69"/>
    </row>
    <row r="1740" spans="4:4">
      <c r="D1740" s="69"/>
    </row>
    <row r="1741" spans="4:4">
      <c r="D1741" s="69"/>
    </row>
    <row r="1742" spans="4:4">
      <c r="D1742" s="69"/>
    </row>
    <row r="1743" spans="4:4">
      <c r="D1743" s="69"/>
    </row>
    <row r="1744" spans="4:4">
      <c r="D1744" s="69"/>
    </row>
    <row r="1745" spans="4:4">
      <c r="D1745" s="69"/>
    </row>
    <row r="1746" spans="4:4">
      <c r="D1746" s="69"/>
    </row>
    <row r="1747" spans="4:4">
      <c r="D1747" s="69"/>
    </row>
    <row r="1748" spans="4:4">
      <c r="D1748" s="69"/>
    </row>
    <row r="1749" spans="4:4">
      <c r="D1749" s="69"/>
    </row>
    <row r="1750" spans="4:4">
      <c r="D1750" s="69"/>
    </row>
    <row r="1751" spans="4:4">
      <c r="D1751" s="69"/>
    </row>
    <row r="1752" spans="4:4">
      <c r="D1752" s="69"/>
    </row>
    <row r="1753" spans="4:4">
      <c r="D1753" s="69"/>
    </row>
    <row r="1754" spans="4:4">
      <c r="D1754" s="69"/>
    </row>
    <row r="1755" spans="4:4">
      <c r="D1755" s="69"/>
    </row>
    <row r="1756" spans="4:4">
      <c r="D1756" s="69"/>
    </row>
    <row r="1757" spans="4:4">
      <c r="D1757" s="69"/>
    </row>
    <row r="1758" spans="4:4">
      <c r="D1758" s="69"/>
    </row>
    <row r="1759" spans="4:4">
      <c r="D1759" s="69"/>
    </row>
    <row r="1760" spans="4:4">
      <c r="D1760" s="69"/>
    </row>
    <row r="1761" spans="4:4">
      <c r="D1761" s="69"/>
    </row>
    <row r="1762" spans="4:4">
      <c r="D1762" s="69"/>
    </row>
    <row r="1763" spans="4:4">
      <c r="D1763" s="69"/>
    </row>
    <row r="1764" spans="4:4">
      <c r="D1764" s="69"/>
    </row>
    <row r="1765" spans="4:4">
      <c r="D1765" s="69"/>
    </row>
    <row r="1766" spans="4:4">
      <c r="D1766" s="69"/>
    </row>
    <row r="1767" spans="4:4">
      <c r="D1767" s="69"/>
    </row>
    <row r="1768" spans="4:4">
      <c r="D1768" s="69"/>
    </row>
    <row r="1769" spans="4:4">
      <c r="D1769" s="69"/>
    </row>
    <row r="1770" spans="4:4">
      <c r="D1770" s="69"/>
    </row>
    <row r="1771" spans="4:4">
      <c r="D1771" s="69"/>
    </row>
    <row r="1772" spans="4:4">
      <c r="D1772" s="69"/>
    </row>
    <row r="1773" spans="4:4">
      <c r="D1773" s="69"/>
    </row>
    <row r="1774" spans="4:4">
      <c r="D1774" s="69"/>
    </row>
    <row r="1775" spans="4:4">
      <c r="D1775" s="69"/>
    </row>
    <row r="1776" spans="4:4">
      <c r="D1776" s="69"/>
    </row>
    <row r="1777" spans="4:4">
      <c r="D1777" s="69"/>
    </row>
    <row r="1778" spans="4:4">
      <c r="D1778" s="69"/>
    </row>
    <row r="1779" spans="4:4">
      <c r="D1779" s="69"/>
    </row>
    <row r="1780" spans="4:4">
      <c r="D1780" s="69"/>
    </row>
    <row r="1781" spans="4:4">
      <c r="D1781" s="69"/>
    </row>
    <row r="1782" spans="4:4">
      <c r="D1782" s="69"/>
    </row>
    <row r="1783" spans="4:4">
      <c r="D1783" s="69"/>
    </row>
    <row r="1784" spans="4:4">
      <c r="D1784" s="69"/>
    </row>
    <row r="1785" spans="4:4">
      <c r="D1785" s="69"/>
    </row>
    <row r="1786" spans="4:4">
      <c r="D1786" s="69"/>
    </row>
    <row r="1787" spans="4:4">
      <c r="D1787" s="69"/>
    </row>
    <row r="1788" spans="4:4">
      <c r="D1788" s="69"/>
    </row>
    <row r="1789" spans="4:4">
      <c r="D1789" s="69"/>
    </row>
    <row r="1790" spans="4:4">
      <c r="D1790" s="69"/>
    </row>
    <row r="1791" spans="4:4">
      <c r="D1791" s="69"/>
    </row>
    <row r="1792" spans="4:4">
      <c r="D1792" s="69"/>
    </row>
    <row r="1793" spans="4:4">
      <c r="D1793" s="69"/>
    </row>
    <row r="1794" spans="4:4">
      <c r="D1794" s="69"/>
    </row>
    <row r="1795" spans="4:4">
      <c r="D1795" s="69"/>
    </row>
    <row r="1796" spans="4:4">
      <c r="D1796" s="69"/>
    </row>
    <row r="1797" spans="4:4">
      <c r="D1797" s="69"/>
    </row>
    <row r="1798" spans="4:4">
      <c r="D1798" s="69"/>
    </row>
    <row r="1799" spans="4:4">
      <c r="D1799" s="69"/>
    </row>
    <row r="1800" spans="4:4">
      <c r="D1800" s="69"/>
    </row>
    <row r="1801" spans="4:4">
      <c r="D1801" s="69"/>
    </row>
    <row r="1802" spans="4:4">
      <c r="D1802" s="69"/>
    </row>
    <row r="1803" spans="4:4">
      <c r="D1803" s="69"/>
    </row>
    <row r="1804" spans="4:4">
      <c r="D1804" s="69"/>
    </row>
    <row r="1805" spans="4:4">
      <c r="D1805" s="69"/>
    </row>
    <row r="1806" spans="4:4">
      <c r="D1806" s="69"/>
    </row>
    <row r="1807" spans="4:4">
      <c r="D1807" s="69"/>
    </row>
    <row r="1808" spans="4:4">
      <c r="D1808" s="69"/>
    </row>
    <row r="1809" spans="4:4">
      <c r="D1809" s="69"/>
    </row>
    <row r="1810" spans="4:4">
      <c r="D1810" s="69"/>
    </row>
    <row r="1811" spans="4:4">
      <c r="D1811" s="69"/>
    </row>
    <row r="1812" spans="4:4">
      <c r="D1812" s="69"/>
    </row>
    <row r="1813" spans="4:4">
      <c r="D1813" s="69"/>
    </row>
    <row r="1814" spans="4:4">
      <c r="D1814" s="69"/>
    </row>
    <row r="1815" spans="4:4">
      <c r="D1815" s="69"/>
    </row>
    <row r="1816" spans="4:4">
      <c r="D1816" s="69"/>
    </row>
    <row r="1817" spans="4:4">
      <c r="D1817" s="69"/>
    </row>
    <row r="1818" spans="4:4">
      <c r="D1818" s="69"/>
    </row>
    <row r="1819" spans="4:4">
      <c r="D1819" s="69"/>
    </row>
    <row r="1820" spans="4:4">
      <c r="D1820" s="69"/>
    </row>
    <row r="1821" spans="4:4">
      <c r="D1821" s="69"/>
    </row>
    <row r="1822" spans="4:4">
      <c r="D1822" s="69"/>
    </row>
    <row r="1823" spans="4:4">
      <c r="D1823" s="69"/>
    </row>
    <row r="1824" spans="4:4">
      <c r="D1824" s="69"/>
    </row>
    <row r="1825" spans="4:4">
      <c r="D1825" s="69"/>
    </row>
    <row r="1826" spans="4:4">
      <c r="D1826" s="69"/>
    </row>
    <row r="1827" spans="4:4">
      <c r="D1827" s="69"/>
    </row>
    <row r="1828" spans="4:4">
      <c r="D1828" s="69"/>
    </row>
    <row r="1829" spans="4:4">
      <c r="D1829" s="69"/>
    </row>
    <row r="1830" spans="4:4">
      <c r="D1830" s="69"/>
    </row>
    <row r="1831" spans="4:4">
      <c r="D1831" s="69"/>
    </row>
    <row r="1832" spans="4:4">
      <c r="D1832" s="69"/>
    </row>
    <row r="1833" spans="4:4">
      <c r="D1833" s="69"/>
    </row>
    <row r="1834" spans="4:4">
      <c r="D1834" s="69"/>
    </row>
    <row r="1835" spans="4:4">
      <c r="D1835" s="69"/>
    </row>
    <row r="1836" spans="4:4">
      <c r="D1836" s="69"/>
    </row>
    <row r="1837" spans="4:4">
      <c r="D1837" s="69"/>
    </row>
    <row r="1838" spans="4:4">
      <c r="D1838" s="69"/>
    </row>
    <row r="1839" spans="4:4">
      <c r="D1839" s="69"/>
    </row>
    <row r="1840" spans="4:4">
      <c r="D1840" s="69"/>
    </row>
    <row r="1841" spans="4:4">
      <c r="D1841" s="69"/>
    </row>
    <row r="1842" spans="4:4">
      <c r="D1842" s="69"/>
    </row>
    <row r="1843" spans="4:4">
      <c r="D1843" s="69"/>
    </row>
    <row r="1844" spans="4:4">
      <c r="D1844" s="69"/>
    </row>
    <row r="1845" spans="4:4">
      <c r="D1845" s="69"/>
    </row>
    <row r="1846" spans="4:4">
      <c r="D1846" s="69"/>
    </row>
    <row r="1847" spans="4:4">
      <c r="D1847" s="69"/>
    </row>
    <row r="1848" spans="4:4">
      <c r="D1848" s="69"/>
    </row>
    <row r="1849" spans="4:4">
      <c r="D1849" s="69"/>
    </row>
    <row r="1850" spans="4:4">
      <c r="D1850" s="69"/>
    </row>
    <row r="1851" spans="4:4">
      <c r="D1851" s="69"/>
    </row>
    <row r="1852" spans="4:4">
      <c r="D1852" s="69"/>
    </row>
    <row r="1853" spans="4:4">
      <c r="D1853" s="69"/>
    </row>
    <row r="1854" spans="4:4">
      <c r="D1854" s="69"/>
    </row>
    <row r="1855" spans="4:4">
      <c r="D1855" s="69"/>
    </row>
    <row r="1856" spans="4:4">
      <c r="D1856" s="69"/>
    </row>
    <row r="1857" spans="4:4">
      <c r="D1857" s="69"/>
    </row>
    <row r="1858" spans="4:4">
      <c r="D1858" s="69"/>
    </row>
    <row r="1859" spans="4:4">
      <c r="D1859" s="69"/>
    </row>
    <row r="1860" spans="4:4">
      <c r="D1860" s="69"/>
    </row>
    <row r="1861" spans="4:4">
      <c r="D1861" s="69"/>
    </row>
    <row r="1862" spans="4:4">
      <c r="D1862" s="69"/>
    </row>
    <row r="1863" spans="4:4">
      <c r="D1863" s="69"/>
    </row>
    <row r="1864" spans="4:4">
      <c r="D1864" s="69"/>
    </row>
    <row r="1865" spans="4:4">
      <c r="D1865" s="69"/>
    </row>
    <row r="1866" spans="4:4">
      <c r="D1866" s="69"/>
    </row>
    <row r="1867" spans="4:4">
      <c r="D1867" s="69"/>
    </row>
    <row r="1868" spans="4:4">
      <c r="D1868" s="69"/>
    </row>
    <row r="1869" spans="4:4">
      <c r="D1869" s="69"/>
    </row>
    <row r="1870" spans="4:4">
      <c r="D1870" s="69"/>
    </row>
    <row r="1871" spans="4:4">
      <c r="D1871" s="69"/>
    </row>
    <row r="1872" spans="4:4">
      <c r="D1872" s="69"/>
    </row>
    <row r="1873" spans="4:4">
      <c r="D1873" s="69"/>
    </row>
    <row r="1874" spans="4:4">
      <c r="D1874" s="69"/>
    </row>
    <row r="1875" spans="4:4">
      <c r="D1875" s="69"/>
    </row>
    <row r="1876" spans="4:4">
      <c r="D1876" s="69"/>
    </row>
    <row r="1877" spans="4:4">
      <c r="D1877" s="69"/>
    </row>
    <row r="1878" spans="4:4">
      <c r="D1878" s="69"/>
    </row>
    <row r="1879" spans="4:4">
      <c r="D1879" s="69"/>
    </row>
    <row r="1880" spans="4:4">
      <c r="D1880" s="69"/>
    </row>
    <row r="1881" spans="4:4">
      <c r="D1881" s="69"/>
    </row>
    <row r="1882" spans="4:4">
      <c r="D1882" s="69"/>
    </row>
    <row r="1883" spans="4:4">
      <c r="D1883" s="69"/>
    </row>
    <row r="1884" spans="4:4">
      <c r="D1884" s="69"/>
    </row>
    <row r="1885" spans="4:4">
      <c r="D1885" s="69"/>
    </row>
    <row r="1886" spans="4:4">
      <c r="D1886" s="69"/>
    </row>
    <row r="1887" spans="4:4">
      <c r="D1887" s="69"/>
    </row>
    <row r="1888" spans="4:4">
      <c r="D1888" s="69"/>
    </row>
    <row r="1889" spans="4:4">
      <c r="D1889" s="69"/>
    </row>
    <row r="1890" spans="4:4">
      <c r="D1890" s="69"/>
    </row>
    <row r="1891" spans="4:4">
      <c r="D1891" s="69"/>
    </row>
    <row r="1892" spans="4:4">
      <c r="D1892" s="69"/>
    </row>
    <row r="1893" spans="4:4">
      <c r="D1893" s="69"/>
    </row>
    <row r="1894" spans="4:4">
      <c r="D1894" s="69"/>
    </row>
    <row r="1895" spans="4:4">
      <c r="D1895" s="69"/>
    </row>
    <row r="1896" spans="4:4">
      <c r="D1896" s="69"/>
    </row>
    <row r="1897" spans="4:4">
      <c r="D1897" s="69"/>
    </row>
    <row r="1898" spans="4:4">
      <c r="D1898" s="69"/>
    </row>
    <row r="1899" spans="4:4">
      <c r="D1899" s="69"/>
    </row>
    <row r="1900" spans="4:4">
      <c r="D1900" s="69"/>
    </row>
    <row r="1901" spans="4:4">
      <c r="D1901" s="69"/>
    </row>
    <row r="1902" spans="4:4">
      <c r="D1902" s="69"/>
    </row>
    <row r="1903" spans="4:4">
      <c r="D1903" s="69"/>
    </row>
    <row r="1904" spans="4:4">
      <c r="D1904" s="69"/>
    </row>
    <row r="1905" spans="4:4">
      <c r="D1905" s="69"/>
    </row>
    <row r="1906" spans="4:4">
      <c r="D1906" s="69"/>
    </row>
    <row r="1907" spans="4:4">
      <c r="D1907" s="69"/>
    </row>
    <row r="1908" spans="4:4">
      <c r="D1908" s="69"/>
    </row>
    <row r="1909" spans="4:4">
      <c r="D1909" s="69"/>
    </row>
    <row r="1910" spans="4:4">
      <c r="D1910" s="69"/>
    </row>
    <row r="1911" spans="4:4">
      <c r="D1911" s="69"/>
    </row>
    <row r="1912" spans="4:4">
      <c r="D1912" s="69"/>
    </row>
    <row r="1913" spans="4:4">
      <c r="D1913" s="69"/>
    </row>
    <row r="1914" spans="4:4">
      <c r="D1914" s="69"/>
    </row>
    <row r="1915" spans="4:4">
      <c r="D1915" s="69"/>
    </row>
    <row r="1916" spans="4:4">
      <c r="D1916" s="69"/>
    </row>
    <row r="1917" spans="4:4">
      <c r="D1917" s="69"/>
    </row>
    <row r="1918" spans="4:4">
      <c r="D1918" s="69"/>
    </row>
    <row r="1919" spans="4:4">
      <c r="D1919" s="69"/>
    </row>
    <row r="1920" spans="4:4">
      <c r="D1920" s="69"/>
    </row>
    <row r="1921" spans="4:4">
      <c r="D1921" s="69"/>
    </row>
    <row r="1922" spans="4:4">
      <c r="D1922" s="69"/>
    </row>
    <row r="1923" spans="4:4">
      <c r="D1923" s="69"/>
    </row>
    <row r="1924" spans="4:4">
      <c r="D1924" s="69"/>
    </row>
    <row r="1925" spans="4:4">
      <c r="D1925" s="69"/>
    </row>
    <row r="1926" spans="4:4">
      <c r="D1926" s="69"/>
    </row>
    <row r="1927" spans="4:4">
      <c r="D1927" s="69"/>
    </row>
    <row r="1928" spans="4:4">
      <c r="D1928" s="69"/>
    </row>
    <row r="1929" spans="4:4">
      <c r="D1929" s="69"/>
    </row>
    <row r="1930" spans="4:4">
      <c r="D1930" s="69"/>
    </row>
    <row r="1931" spans="4:4">
      <c r="D1931" s="69"/>
    </row>
    <row r="1932" spans="4:4">
      <c r="D1932" s="69"/>
    </row>
    <row r="1933" spans="4:4">
      <c r="D1933" s="69"/>
    </row>
    <row r="1934" spans="4:4">
      <c r="D1934" s="69"/>
    </row>
    <row r="1935" spans="4:4">
      <c r="D1935" s="69"/>
    </row>
    <row r="1936" spans="4:4">
      <c r="D1936" s="69"/>
    </row>
    <row r="1937" spans="4:4">
      <c r="D1937" s="69"/>
    </row>
    <row r="1938" spans="4:4">
      <c r="D1938" s="69"/>
    </row>
    <row r="1939" spans="4:4">
      <c r="D1939" s="69"/>
    </row>
    <row r="1940" spans="4:4">
      <c r="D1940" s="69"/>
    </row>
    <row r="1941" spans="4:4">
      <c r="D1941" s="69"/>
    </row>
    <row r="1942" spans="4:4">
      <c r="D1942" s="69"/>
    </row>
    <row r="1943" spans="4:4">
      <c r="D1943" s="69"/>
    </row>
    <row r="1944" spans="4:4">
      <c r="D1944" s="69"/>
    </row>
    <row r="1945" spans="4:4">
      <c r="D1945" s="69"/>
    </row>
    <row r="1946" spans="4:4">
      <c r="D1946" s="69"/>
    </row>
    <row r="1947" spans="4:4">
      <c r="D1947" s="69"/>
    </row>
    <row r="1948" spans="4:4">
      <c r="D1948" s="69"/>
    </row>
    <row r="1949" spans="4:4">
      <c r="D1949" s="69"/>
    </row>
    <row r="1950" spans="4:4">
      <c r="D1950" s="69"/>
    </row>
    <row r="1951" spans="4:4">
      <c r="D1951" s="69"/>
    </row>
    <row r="1952" spans="4:4">
      <c r="D1952" s="69"/>
    </row>
    <row r="1953" spans="4:4">
      <c r="D1953" s="69"/>
    </row>
    <row r="1954" spans="4:4">
      <c r="D1954" s="69"/>
    </row>
    <row r="1955" spans="4:4">
      <c r="D1955" s="69"/>
    </row>
    <row r="1956" spans="4:4">
      <c r="D1956" s="69"/>
    </row>
    <row r="1957" spans="4:4">
      <c r="D1957" s="69"/>
    </row>
    <row r="1958" spans="4:4">
      <c r="D1958" s="69"/>
    </row>
    <row r="1959" spans="4:4">
      <c r="D1959" s="69"/>
    </row>
    <row r="1960" spans="4:4">
      <c r="D1960" s="69"/>
    </row>
    <row r="1961" spans="4:4">
      <c r="D1961" s="69"/>
    </row>
    <row r="1962" spans="4:4">
      <c r="D1962" s="69"/>
    </row>
    <row r="1963" spans="4:4">
      <c r="D1963" s="69"/>
    </row>
    <row r="1964" spans="4:4">
      <c r="D1964" s="69"/>
    </row>
    <row r="1965" spans="4:4">
      <c r="D1965" s="69"/>
    </row>
    <row r="1966" spans="4:4">
      <c r="D1966" s="69"/>
    </row>
    <row r="1967" spans="4:4">
      <c r="D1967" s="69"/>
    </row>
    <row r="1968" spans="4:4">
      <c r="D1968" s="69"/>
    </row>
    <row r="1969" spans="4:4">
      <c r="D1969" s="69"/>
    </row>
    <row r="1970" spans="4:4">
      <c r="D1970" s="69"/>
    </row>
    <row r="1971" spans="4:4">
      <c r="D1971" s="69"/>
    </row>
    <row r="1972" spans="4:4">
      <c r="D1972" s="69"/>
    </row>
    <row r="1973" spans="4:4">
      <c r="D1973" s="69"/>
    </row>
    <row r="1974" spans="4:4">
      <c r="D1974" s="69"/>
    </row>
    <row r="1975" spans="4:4">
      <c r="D1975" s="69"/>
    </row>
    <row r="1976" spans="4:4">
      <c r="D1976" s="69"/>
    </row>
    <row r="1977" spans="4:4">
      <c r="D1977" s="69"/>
    </row>
    <row r="1978" spans="4:4">
      <c r="D1978" s="69"/>
    </row>
    <row r="1979" spans="4:4">
      <c r="D1979" s="69"/>
    </row>
    <row r="1980" spans="4:4">
      <c r="D1980" s="69"/>
    </row>
    <row r="1981" spans="4:4">
      <c r="D1981" s="69"/>
    </row>
    <row r="1982" spans="4:4">
      <c r="D1982" s="69"/>
    </row>
    <row r="1983" spans="4:4">
      <c r="D1983" s="69"/>
    </row>
    <row r="1984" spans="4:4">
      <c r="D1984" s="69"/>
    </row>
    <row r="1985" spans="4:4">
      <c r="D1985" s="69"/>
    </row>
    <row r="1986" spans="4:4">
      <c r="D1986" s="69"/>
    </row>
    <row r="1987" spans="4:4">
      <c r="D1987" s="69"/>
    </row>
    <row r="1988" spans="4:4">
      <c r="D1988" s="69"/>
    </row>
    <row r="1989" spans="4:4">
      <c r="D1989" s="69"/>
    </row>
    <row r="1990" spans="4:4">
      <c r="D1990" s="69"/>
    </row>
    <row r="1991" spans="4:4">
      <c r="D1991" s="69"/>
    </row>
    <row r="1992" spans="4:4">
      <c r="D1992" s="69"/>
    </row>
    <row r="1993" spans="4:4">
      <c r="D1993" s="69"/>
    </row>
    <row r="1994" spans="4:4">
      <c r="D1994" s="69"/>
    </row>
    <row r="1995" spans="4:4">
      <c r="D1995" s="69"/>
    </row>
    <row r="1996" spans="4:4">
      <c r="D1996" s="69"/>
    </row>
    <row r="1997" spans="4:4">
      <c r="D1997" s="69"/>
    </row>
    <row r="1998" spans="4:4">
      <c r="D1998" s="69"/>
    </row>
    <row r="1999" spans="4:4">
      <c r="D1999" s="69"/>
    </row>
    <row r="2000" spans="4:4">
      <c r="D2000" s="69"/>
    </row>
    <row r="2001" spans="4:4">
      <c r="D2001" s="69"/>
    </row>
    <row r="2002" spans="4:4">
      <c r="D2002" s="69"/>
    </row>
    <row r="2003" spans="4:4">
      <c r="D2003" s="69"/>
    </row>
    <row r="2004" spans="4:4">
      <c r="D2004" s="69"/>
    </row>
    <row r="2005" spans="4:4">
      <c r="D2005" s="69"/>
    </row>
    <row r="2006" spans="4:4">
      <c r="D2006" s="69"/>
    </row>
    <row r="2007" spans="4:4">
      <c r="D2007" s="69"/>
    </row>
    <row r="2008" spans="4:4">
      <c r="D2008" s="69"/>
    </row>
    <row r="2009" spans="4:4">
      <c r="D2009" s="69"/>
    </row>
    <row r="2010" spans="4:4">
      <c r="D2010" s="69"/>
    </row>
    <row r="2011" spans="4:4">
      <c r="D2011" s="69"/>
    </row>
    <row r="2012" spans="4:4">
      <c r="D2012" s="69"/>
    </row>
    <row r="2013" spans="4:4">
      <c r="D2013" s="69"/>
    </row>
    <row r="2014" spans="4:4">
      <c r="D2014" s="69"/>
    </row>
    <row r="2015" spans="4:4">
      <c r="D2015" s="69"/>
    </row>
    <row r="2016" spans="4:4">
      <c r="D2016" s="69"/>
    </row>
    <row r="2017" spans="4:4">
      <c r="D2017" s="69"/>
    </row>
    <row r="2018" spans="4:4">
      <c r="D2018" s="69"/>
    </row>
    <row r="2019" spans="4:4">
      <c r="D2019" s="69"/>
    </row>
    <row r="2020" spans="4:4">
      <c r="D2020" s="69"/>
    </row>
    <row r="2021" spans="4:4">
      <c r="D2021" s="69"/>
    </row>
    <row r="2022" spans="4:4">
      <c r="D2022" s="69"/>
    </row>
    <row r="2023" spans="4:4">
      <c r="D2023" s="69"/>
    </row>
    <row r="2024" spans="4:4">
      <c r="D2024" s="69"/>
    </row>
    <row r="2025" spans="4:4">
      <c r="D2025" s="69"/>
    </row>
    <row r="2026" spans="4:4">
      <c r="D2026" s="69"/>
    </row>
    <row r="2027" spans="4:4">
      <c r="D2027" s="69"/>
    </row>
    <row r="2028" spans="4:4">
      <c r="D2028" s="69"/>
    </row>
    <row r="2029" spans="4:4">
      <c r="D2029" s="69"/>
    </row>
    <row r="2030" spans="4:4">
      <c r="D2030" s="69"/>
    </row>
    <row r="2031" spans="4:4">
      <c r="D2031" s="69"/>
    </row>
    <row r="2032" spans="4:4">
      <c r="D2032" s="69"/>
    </row>
    <row r="2033" spans="4:4">
      <c r="D2033" s="69"/>
    </row>
    <row r="2034" spans="4:4">
      <c r="D2034" s="69"/>
    </row>
    <row r="2035" spans="4:4">
      <c r="D2035" s="69"/>
    </row>
    <row r="2036" spans="4:4">
      <c r="D2036" s="69"/>
    </row>
    <row r="2037" spans="4:4">
      <c r="D2037" s="69"/>
    </row>
    <row r="2038" spans="4:4">
      <c r="D2038" s="69"/>
    </row>
    <row r="2039" spans="4:4">
      <c r="D2039" s="69"/>
    </row>
    <row r="2040" spans="4:4">
      <c r="D2040" s="69"/>
    </row>
    <row r="2041" spans="4:4">
      <c r="D2041" s="69"/>
    </row>
    <row r="2042" spans="4:4">
      <c r="D2042" s="69"/>
    </row>
    <row r="2043" spans="4:4">
      <c r="D2043" s="69"/>
    </row>
    <row r="2044" spans="4:4">
      <c r="D2044" s="69"/>
    </row>
    <row r="2045" spans="4:4">
      <c r="D2045" s="69"/>
    </row>
    <row r="2046" spans="4:4">
      <c r="D2046" s="69"/>
    </row>
    <row r="2047" spans="4:4">
      <c r="D2047" s="69"/>
    </row>
    <row r="2048" spans="4:4">
      <c r="D2048" s="69"/>
    </row>
    <row r="2049" spans="4:4">
      <c r="D2049" s="69"/>
    </row>
    <row r="2050" spans="4:4">
      <c r="D2050" s="69"/>
    </row>
    <row r="2051" spans="4:4">
      <c r="D2051" s="69"/>
    </row>
    <row r="2052" spans="4:4">
      <c r="D2052" s="69"/>
    </row>
    <row r="2053" spans="4:4">
      <c r="D2053" s="69"/>
    </row>
    <row r="2054" spans="4:4">
      <c r="D2054" s="69"/>
    </row>
    <row r="2055" spans="4:4">
      <c r="D2055" s="69"/>
    </row>
    <row r="2056" spans="4:4">
      <c r="D2056" s="69"/>
    </row>
    <row r="2057" spans="4:4">
      <c r="D2057" s="69"/>
    </row>
    <row r="2058" spans="4:4">
      <c r="D2058" s="69"/>
    </row>
    <row r="2059" spans="4:4">
      <c r="D2059" s="69"/>
    </row>
    <row r="2060" spans="4:4">
      <c r="D2060" s="69"/>
    </row>
    <row r="2061" spans="4:4">
      <c r="D2061" s="69"/>
    </row>
    <row r="2062" spans="4:4">
      <c r="D2062" s="69"/>
    </row>
    <row r="2063" spans="4:4">
      <c r="D2063" s="69"/>
    </row>
    <row r="2064" spans="4:4">
      <c r="D2064" s="69"/>
    </row>
    <row r="2065" spans="4:4">
      <c r="D2065" s="69"/>
    </row>
    <row r="2066" spans="4:4">
      <c r="D2066" s="69"/>
    </row>
    <row r="2067" spans="4:4">
      <c r="D2067" s="69"/>
    </row>
    <row r="2068" spans="4:4">
      <c r="D2068" s="69"/>
    </row>
    <row r="2069" spans="4:4">
      <c r="D2069" s="69"/>
    </row>
    <row r="2070" spans="4:4">
      <c r="D2070" s="69"/>
    </row>
    <row r="2071" spans="4:4">
      <c r="D2071" s="69"/>
    </row>
    <row r="2072" spans="4:4">
      <c r="D2072" s="69"/>
    </row>
    <row r="2073" spans="4:4">
      <c r="D2073" s="69"/>
    </row>
    <row r="2074" spans="4:4">
      <c r="D2074" s="69"/>
    </row>
    <row r="2075" spans="4:4">
      <c r="D2075" s="69"/>
    </row>
    <row r="2076" spans="4:4">
      <c r="D2076" s="69"/>
    </row>
    <row r="2077" spans="4:4">
      <c r="D2077" s="69"/>
    </row>
    <row r="2078" spans="4:4">
      <c r="D2078" s="69"/>
    </row>
    <row r="2079" spans="4:4">
      <c r="D2079" s="69"/>
    </row>
    <row r="2080" spans="4:4">
      <c r="D2080" s="69"/>
    </row>
    <row r="2081" spans="4:4">
      <c r="D2081" s="69"/>
    </row>
    <row r="2082" spans="4:4">
      <c r="D2082" s="69"/>
    </row>
    <row r="2083" spans="4:4">
      <c r="D2083" s="69"/>
    </row>
    <row r="2084" spans="4:4">
      <c r="D2084" s="69"/>
    </row>
    <row r="2085" spans="4:4">
      <c r="D2085" s="69"/>
    </row>
    <row r="2086" spans="4:4">
      <c r="D2086" s="69"/>
    </row>
    <row r="2087" spans="4:4">
      <c r="D2087" s="69"/>
    </row>
    <row r="2088" spans="4:4">
      <c r="D2088" s="69"/>
    </row>
    <row r="2089" spans="4:4">
      <c r="D2089" s="69"/>
    </row>
    <row r="2090" spans="4:4">
      <c r="D2090" s="69"/>
    </row>
    <row r="2091" spans="4:4">
      <c r="D2091" s="69"/>
    </row>
    <row r="2092" spans="4:4">
      <c r="D2092" s="69"/>
    </row>
    <row r="2093" spans="4:4">
      <c r="D2093" s="69"/>
    </row>
    <row r="2094" spans="4:4">
      <c r="D2094" s="69"/>
    </row>
    <row r="2095" spans="4:4">
      <c r="D2095" s="69"/>
    </row>
    <row r="2096" spans="4:4">
      <c r="D2096" s="69"/>
    </row>
    <row r="2097" spans="4:4">
      <c r="D2097" s="69"/>
    </row>
    <row r="2098" spans="4:4">
      <c r="D2098" s="69"/>
    </row>
    <row r="2099" spans="4:4">
      <c r="D2099" s="69"/>
    </row>
    <row r="2100" spans="4:4">
      <c r="D2100" s="69"/>
    </row>
    <row r="2101" spans="4:4">
      <c r="D2101" s="69"/>
    </row>
    <row r="2102" spans="4:4">
      <c r="D2102" s="69"/>
    </row>
    <row r="2103" spans="4:4">
      <c r="D2103" s="69"/>
    </row>
    <row r="2104" spans="4:4">
      <c r="D2104" s="69"/>
    </row>
    <row r="2105" spans="4:4">
      <c r="D2105" s="69"/>
    </row>
    <row r="2106" spans="4:4">
      <c r="D2106" s="69"/>
    </row>
    <row r="2107" spans="4:4">
      <c r="D2107" s="69"/>
    </row>
    <row r="2108" spans="4:4">
      <c r="D2108" s="69"/>
    </row>
    <row r="2109" spans="4:4">
      <c r="D2109" s="69"/>
    </row>
    <row r="2110" spans="4:4">
      <c r="D2110" s="69"/>
    </row>
    <row r="2111" spans="4:4">
      <c r="D2111" s="69"/>
    </row>
    <row r="2112" spans="4:4">
      <c r="D2112" s="69"/>
    </row>
    <row r="2113" spans="4:4">
      <c r="D2113" s="69"/>
    </row>
    <row r="2114" spans="4:4">
      <c r="D2114" s="69"/>
    </row>
    <row r="2115" spans="4:4">
      <c r="D2115" s="69"/>
    </row>
    <row r="2116" spans="4:4">
      <c r="D2116" s="69"/>
    </row>
    <row r="2117" spans="4:4">
      <c r="D2117" s="69"/>
    </row>
    <row r="2118" spans="4:4">
      <c r="D2118" s="69"/>
    </row>
    <row r="2119" spans="4:4">
      <c r="D2119" s="69"/>
    </row>
    <row r="2120" spans="4:4">
      <c r="D2120" s="69"/>
    </row>
    <row r="2121" spans="4:4">
      <c r="D2121" s="69"/>
    </row>
    <row r="2122" spans="4:4">
      <c r="D2122" s="69"/>
    </row>
    <row r="2123" spans="4:4">
      <c r="D2123" s="69"/>
    </row>
    <row r="2124" spans="4:4">
      <c r="D2124" s="69"/>
    </row>
    <row r="2125" spans="4:4">
      <c r="D2125" s="69"/>
    </row>
    <row r="2126" spans="4:4">
      <c r="D2126" s="69"/>
    </row>
    <row r="2127" spans="4:4">
      <c r="D2127" s="69"/>
    </row>
    <row r="2128" spans="4:4">
      <c r="D2128" s="69"/>
    </row>
    <row r="2129" spans="4:4">
      <c r="D2129" s="69"/>
    </row>
    <row r="2130" spans="4:4">
      <c r="D2130" s="69"/>
    </row>
    <row r="2131" spans="4:4">
      <c r="D2131" s="69"/>
    </row>
    <row r="2132" spans="4:4">
      <c r="D2132" s="69"/>
    </row>
    <row r="2133" spans="4:4">
      <c r="D2133" s="69"/>
    </row>
    <row r="2134" spans="4:4">
      <c r="D2134" s="69"/>
    </row>
    <row r="2135" spans="4:4">
      <c r="D2135" s="69"/>
    </row>
    <row r="2136" spans="4:4">
      <c r="D2136" s="69"/>
    </row>
    <row r="2137" spans="4:4">
      <c r="D2137" s="69"/>
    </row>
    <row r="2138" spans="4:4">
      <c r="D2138" s="69"/>
    </row>
    <row r="2139" spans="4:4">
      <c r="D2139" s="69"/>
    </row>
    <row r="2140" spans="4:4">
      <c r="D2140" s="69"/>
    </row>
    <row r="2141" spans="4:4">
      <c r="D2141" s="69"/>
    </row>
    <row r="2142" spans="4:4">
      <c r="D2142" s="69"/>
    </row>
    <row r="2143" spans="4:4">
      <c r="D2143" s="69"/>
    </row>
    <row r="2144" spans="4:4">
      <c r="D2144" s="69"/>
    </row>
    <row r="2145" spans="4:4">
      <c r="D2145" s="69"/>
    </row>
    <row r="2146" spans="4:4">
      <c r="D2146" s="69"/>
    </row>
    <row r="2147" spans="4:4">
      <c r="D2147" s="69"/>
    </row>
    <row r="2148" spans="4:4">
      <c r="D2148" s="69"/>
    </row>
    <row r="2149" spans="4:4">
      <c r="D2149" s="69"/>
    </row>
    <row r="2150" spans="4:4">
      <c r="D2150" s="69"/>
    </row>
    <row r="2151" spans="4:4">
      <c r="D2151" s="69"/>
    </row>
    <row r="2152" spans="4:4">
      <c r="D2152" s="69"/>
    </row>
    <row r="2153" spans="4:4">
      <c r="D2153" s="69"/>
    </row>
    <row r="2154" spans="4:4">
      <c r="D2154" s="69"/>
    </row>
    <row r="2155" spans="4:4">
      <c r="D2155" s="69"/>
    </row>
    <row r="2156" spans="4:4">
      <c r="D2156" s="69"/>
    </row>
    <row r="2157" spans="4:4">
      <c r="D2157" s="69"/>
    </row>
    <row r="2158" spans="4:4">
      <c r="D2158" s="69"/>
    </row>
    <row r="2159" spans="4:4">
      <c r="D2159" s="69"/>
    </row>
    <row r="2160" spans="4:4">
      <c r="D2160" s="69"/>
    </row>
    <row r="2161" spans="4:4">
      <c r="D2161" s="69"/>
    </row>
    <row r="2162" spans="4:4">
      <c r="D2162" s="69"/>
    </row>
    <row r="2163" spans="4:4">
      <c r="D2163" s="69"/>
    </row>
    <row r="2164" spans="4:4">
      <c r="D2164" s="69"/>
    </row>
    <row r="2165" spans="4:4">
      <c r="D2165" s="69"/>
    </row>
    <row r="2166" spans="4:4">
      <c r="D2166" s="69"/>
    </row>
    <row r="2167" spans="4:4">
      <c r="D2167" s="69"/>
    </row>
    <row r="2168" spans="4:4">
      <c r="D2168" s="69"/>
    </row>
    <row r="2169" spans="4:4">
      <c r="D2169" s="69"/>
    </row>
    <row r="2170" spans="4:4">
      <c r="D2170" s="69"/>
    </row>
    <row r="2171" spans="4:4">
      <c r="D2171" s="69"/>
    </row>
    <row r="2172" spans="4:4">
      <c r="D2172" s="69"/>
    </row>
    <row r="2173" spans="4:4">
      <c r="D2173" s="69"/>
    </row>
    <row r="2174" spans="4:4">
      <c r="D2174" s="69"/>
    </row>
    <row r="2175" spans="4:4">
      <c r="D2175" s="69"/>
    </row>
    <row r="2176" spans="4:4">
      <c r="D2176" s="69"/>
    </row>
    <row r="2177" spans="4:4">
      <c r="D2177" s="69"/>
    </row>
    <row r="2178" spans="4:4">
      <c r="D2178" s="69"/>
    </row>
    <row r="2179" spans="4:4">
      <c r="D2179" s="69"/>
    </row>
    <row r="2180" spans="4:4">
      <c r="D2180" s="69"/>
    </row>
    <row r="2181" spans="4:4">
      <c r="D2181" s="69"/>
    </row>
    <row r="2182" spans="4:4">
      <c r="D2182" s="69"/>
    </row>
    <row r="2183" spans="4:4">
      <c r="D2183" s="69"/>
    </row>
    <row r="2184" spans="4:4">
      <c r="D2184" s="69"/>
    </row>
    <row r="2185" spans="4:4">
      <c r="D2185" s="69"/>
    </row>
    <row r="2186" spans="4:4">
      <c r="D2186" s="69"/>
    </row>
    <row r="2187" spans="4:4">
      <c r="D2187" s="69"/>
    </row>
    <row r="2188" spans="4:4">
      <c r="D2188" s="69"/>
    </row>
    <row r="2189" spans="4:4">
      <c r="D2189" s="69"/>
    </row>
    <row r="2190" spans="4:4">
      <c r="D2190" s="69"/>
    </row>
    <row r="2191" spans="4:4">
      <c r="D2191" s="69"/>
    </row>
    <row r="2192" spans="4:4">
      <c r="D2192" s="69"/>
    </row>
    <row r="2193" spans="4:4">
      <c r="D2193" s="69"/>
    </row>
    <row r="2194" spans="4:4">
      <c r="D2194" s="69"/>
    </row>
    <row r="2195" spans="4:4">
      <c r="D2195" s="69"/>
    </row>
    <row r="2196" spans="4:4">
      <c r="D2196" s="69"/>
    </row>
    <row r="2197" spans="4:4">
      <c r="D2197" s="69"/>
    </row>
    <row r="2198" spans="4:4">
      <c r="D2198" s="69"/>
    </row>
    <row r="2199" spans="4:4">
      <c r="D2199" s="69"/>
    </row>
    <row r="2200" spans="4:4">
      <c r="D2200" s="69"/>
    </row>
    <row r="2201" spans="4:4">
      <c r="D2201" s="69"/>
    </row>
    <row r="2202" spans="4:4">
      <c r="D2202" s="69"/>
    </row>
    <row r="2203" spans="4:4">
      <c r="D2203" s="69"/>
    </row>
    <row r="2204" spans="4:4">
      <c r="D2204" s="69"/>
    </row>
    <row r="2205" spans="4:4">
      <c r="D2205" s="69"/>
    </row>
    <row r="2206" spans="4:4">
      <c r="D2206" s="69"/>
    </row>
    <row r="2207" spans="4:4">
      <c r="D2207" s="69"/>
    </row>
    <row r="2208" spans="4:4">
      <c r="D2208" s="69"/>
    </row>
    <row r="2209" spans="4:4">
      <c r="D2209" s="69"/>
    </row>
    <row r="2210" spans="4:4">
      <c r="D2210" s="69"/>
    </row>
    <row r="2211" spans="4:4">
      <c r="D2211" s="69"/>
    </row>
    <row r="2212" spans="4:4">
      <c r="D2212" s="69"/>
    </row>
    <row r="2213" spans="4:4">
      <c r="D2213" s="69"/>
    </row>
    <row r="2214" spans="4:4">
      <c r="D2214" s="69"/>
    </row>
    <row r="2215" spans="4:4">
      <c r="D2215" s="69"/>
    </row>
    <row r="2216" spans="4:4">
      <c r="D2216" s="69"/>
    </row>
    <row r="2217" spans="4:4">
      <c r="D2217" s="69"/>
    </row>
    <row r="2218" spans="4:4">
      <c r="D2218" s="69"/>
    </row>
    <row r="2219" spans="4:4">
      <c r="D2219" s="69"/>
    </row>
    <row r="2220" spans="4:4">
      <c r="D2220" s="69"/>
    </row>
    <row r="2221" spans="4:4">
      <c r="D2221" s="69"/>
    </row>
    <row r="2222" spans="4:4">
      <c r="D2222" s="69"/>
    </row>
    <row r="2223" spans="4:4">
      <c r="D2223" s="69"/>
    </row>
    <row r="2224" spans="4:4">
      <c r="D2224" s="69"/>
    </row>
    <row r="2225" spans="4:4">
      <c r="D2225" s="69"/>
    </row>
    <row r="2226" spans="4:4">
      <c r="D2226" s="69"/>
    </row>
    <row r="2227" spans="4:4">
      <c r="D2227" s="69"/>
    </row>
    <row r="2228" spans="4:4">
      <c r="D2228" s="69"/>
    </row>
    <row r="2229" spans="4:4">
      <c r="D2229" s="69"/>
    </row>
    <row r="2230" spans="4:4">
      <c r="D2230" s="69"/>
    </row>
    <row r="2231" spans="4:4">
      <c r="D2231" s="69"/>
    </row>
    <row r="2232" spans="4:4">
      <c r="D2232" s="69"/>
    </row>
    <row r="2233" spans="4:4">
      <c r="D2233" s="69"/>
    </row>
    <row r="2234" spans="4:4">
      <c r="D2234" s="69"/>
    </row>
    <row r="2235" spans="4:4">
      <c r="D2235" s="69"/>
    </row>
    <row r="2236" spans="4:4">
      <c r="D2236" s="69"/>
    </row>
    <row r="2237" spans="4:4">
      <c r="D2237" s="69"/>
    </row>
    <row r="2238" spans="4:4">
      <c r="D2238" s="69"/>
    </row>
    <row r="2239" spans="4:4">
      <c r="D2239" s="69"/>
    </row>
    <row r="2240" spans="4:4">
      <c r="D2240" s="69"/>
    </row>
    <row r="2241" spans="4:4">
      <c r="D2241" s="69"/>
    </row>
    <row r="2242" spans="4:4">
      <c r="D2242" s="69"/>
    </row>
    <row r="2243" spans="4:4">
      <c r="D2243" s="69"/>
    </row>
    <row r="2244" spans="4:4">
      <c r="D2244" s="69"/>
    </row>
    <row r="2245" spans="4:4">
      <c r="D2245" s="69"/>
    </row>
    <row r="2246" spans="4:4">
      <c r="D2246" s="69"/>
    </row>
    <row r="2247" spans="4:4">
      <c r="D2247" s="69"/>
    </row>
    <row r="2248" spans="4:4">
      <c r="D2248" s="69"/>
    </row>
    <row r="2249" spans="4:4">
      <c r="D2249" s="69"/>
    </row>
    <row r="2250" spans="4:4">
      <c r="D2250" s="69"/>
    </row>
    <row r="2251" spans="4:4">
      <c r="D2251" s="69"/>
    </row>
    <row r="2252" spans="4:4">
      <c r="D2252" s="69"/>
    </row>
    <row r="2253" spans="4:4">
      <c r="D2253" s="69"/>
    </row>
    <row r="2254" spans="4:4">
      <c r="D2254" s="69"/>
    </row>
    <row r="2255" spans="4:4">
      <c r="D2255" s="69"/>
    </row>
    <row r="2256" spans="4:4">
      <c r="D2256" s="69"/>
    </row>
    <row r="2257" spans="4:4">
      <c r="D2257" s="69"/>
    </row>
    <row r="2258" spans="4:4">
      <c r="D2258" s="69"/>
    </row>
    <row r="2259" spans="4:4">
      <c r="D2259" s="69"/>
    </row>
    <row r="2260" spans="4:4">
      <c r="D2260" s="69"/>
    </row>
    <row r="2261" spans="4:4">
      <c r="D2261" s="69"/>
    </row>
    <row r="2262" spans="4:4">
      <c r="D2262" s="69"/>
    </row>
    <row r="2263" spans="4:4">
      <c r="D2263" s="69"/>
    </row>
    <row r="2264" spans="4:4">
      <c r="D2264" s="69"/>
    </row>
    <row r="2265" spans="4:4">
      <c r="D2265" s="69"/>
    </row>
    <row r="2266" spans="4:4">
      <c r="D2266" s="69"/>
    </row>
    <row r="2267" spans="4:4">
      <c r="D2267" s="69"/>
    </row>
    <row r="2268" spans="4:4">
      <c r="D2268" s="69"/>
    </row>
    <row r="2269" spans="4:4">
      <c r="D2269" s="69"/>
    </row>
    <row r="2270" spans="4:4">
      <c r="D2270" s="69"/>
    </row>
    <row r="2271" spans="4:4">
      <c r="D2271" s="69"/>
    </row>
    <row r="2272" spans="4:4">
      <c r="D2272" s="69"/>
    </row>
    <row r="2273" spans="4:4">
      <c r="D2273" s="69"/>
    </row>
    <row r="2274" spans="4:4">
      <c r="D2274" s="69"/>
    </row>
    <row r="2275" spans="4:4">
      <c r="D2275" s="69"/>
    </row>
    <row r="2276" spans="4:4">
      <c r="D2276" s="69"/>
    </row>
    <row r="2277" spans="4:4">
      <c r="D2277" s="69"/>
    </row>
    <row r="2278" spans="4:4">
      <c r="D2278" s="69"/>
    </row>
    <row r="2279" spans="4:4">
      <c r="D2279" s="69"/>
    </row>
    <row r="2280" spans="4:4">
      <c r="D2280" s="69"/>
    </row>
    <row r="2281" spans="4:4">
      <c r="D2281" s="69"/>
    </row>
    <row r="2282" spans="4:4">
      <c r="D2282" s="69"/>
    </row>
    <row r="2283" spans="4:4">
      <c r="D2283" s="69"/>
    </row>
    <row r="2284" spans="4:4">
      <c r="D2284" s="69"/>
    </row>
    <row r="2285" spans="4:4">
      <c r="D2285" s="69"/>
    </row>
    <row r="2286" spans="4:4">
      <c r="D2286" s="69"/>
    </row>
    <row r="2287" spans="4:4">
      <c r="D2287" s="69"/>
    </row>
    <row r="2288" spans="4:4">
      <c r="D2288" s="69"/>
    </row>
    <row r="2289" spans="4:4">
      <c r="D2289" s="69"/>
    </row>
    <row r="2290" spans="4:4">
      <c r="D2290" s="69"/>
    </row>
    <row r="2291" spans="4:4">
      <c r="D2291" s="69"/>
    </row>
    <row r="2292" spans="4:4">
      <c r="D2292" s="69"/>
    </row>
    <row r="2293" spans="4:4">
      <c r="D2293" s="69"/>
    </row>
    <row r="2294" spans="4:4">
      <c r="D2294" s="69"/>
    </row>
    <row r="2295" spans="4:4">
      <c r="D2295" s="69"/>
    </row>
    <row r="2296" spans="4:4">
      <c r="D2296" s="69"/>
    </row>
    <row r="2297" spans="4:4">
      <c r="D2297" s="69"/>
    </row>
    <row r="2298" spans="4:4">
      <c r="D2298" s="69"/>
    </row>
    <row r="2299" spans="4:4">
      <c r="D2299" s="69"/>
    </row>
    <row r="2300" spans="4:4">
      <c r="D2300" s="69"/>
    </row>
    <row r="2301" spans="4:4">
      <c r="D2301" s="69"/>
    </row>
    <row r="2302" spans="4:4">
      <c r="D2302" s="69"/>
    </row>
    <row r="2303" spans="4:4">
      <c r="D2303" s="69"/>
    </row>
    <row r="2304" spans="4:4">
      <c r="D2304" s="69"/>
    </row>
    <row r="2305" spans="4:4">
      <c r="D2305" s="69"/>
    </row>
    <row r="2306" spans="4:4">
      <c r="D2306" s="69"/>
    </row>
    <row r="2307" spans="4:4">
      <c r="D2307" s="69"/>
    </row>
    <row r="2308" spans="4:4">
      <c r="D2308" s="69"/>
    </row>
    <row r="2309" spans="4:4">
      <c r="D2309" s="69"/>
    </row>
    <row r="2310" spans="4:4">
      <c r="D2310" s="69"/>
    </row>
    <row r="2311" spans="4:4">
      <c r="D2311" s="69"/>
    </row>
    <row r="2312" spans="4:4">
      <c r="D2312" s="69"/>
    </row>
    <row r="2313" spans="4:4">
      <c r="D2313" s="69"/>
    </row>
    <row r="2314" spans="4:4">
      <c r="D2314" s="69"/>
    </row>
    <row r="2315" spans="4:4">
      <c r="D2315" s="69"/>
    </row>
    <row r="2316" spans="4:4">
      <c r="D2316" s="69"/>
    </row>
    <row r="2317" spans="4:4">
      <c r="D2317" s="69"/>
    </row>
    <row r="2318" spans="4:4">
      <c r="D2318" s="69"/>
    </row>
    <row r="2319" spans="4:4">
      <c r="D2319" s="69"/>
    </row>
    <row r="2320" spans="4:4">
      <c r="D2320" s="69"/>
    </row>
    <row r="2321" spans="4:4">
      <c r="D2321" s="69"/>
    </row>
    <row r="2322" spans="4:4">
      <c r="D2322" s="69"/>
    </row>
    <row r="2323" spans="4:4">
      <c r="D2323" s="69"/>
    </row>
    <row r="2324" spans="4:4">
      <c r="D2324" s="69"/>
    </row>
    <row r="2325" spans="4:4">
      <c r="D2325" s="69"/>
    </row>
    <row r="2326" spans="4:4">
      <c r="D2326" s="69"/>
    </row>
    <row r="2327" spans="4:4">
      <c r="D2327" s="69"/>
    </row>
    <row r="2328" spans="4:4">
      <c r="D2328" s="69"/>
    </row>
    <row r="2329" spans="4:4">
      <c r="D2329" s="69"/>
    </row>
    <row r="2330" spans="4:4">
      <c r="D2330" s="69"/>
    </row>
    <row r="2331" spans="4:4">
      <c r="D2331" s="69"/>
    </row>
    <row r="2332" spans="4:4">
      <c r="D2332" s="69"/>
    </row>
    <row r="2333" spans="4:4">
      <c r="D2333" s="69"/>
    </row>
    <row r="2334" spans="4:4">
      <c r="D2334" s="69"/>
    </row>
    <row r="2335" spans="4:4">
      <c r="D2335" s="69"/>
    </row>
    <row r="2336" spans="4:4">
      <c r="D2336" s="69"/>
    </row>
    <row r="2337" spans="4:4">
      <c r="D2337" s="69"/>
    </row>
    <row r="2338" spans="4:4">
      <c r="D2338" s="69"/>
    </row>
    <row r="2339" spans="4:4">
      <c r="D2339" s="69"/>
    </row>
    <row r="2340" spans="4:4">
      <c r="D2340" s="69"/>
    </row>
    <row r="2341" spans="4:4">
      <c r="D2341" s="69"/>
    </row>
    <row r="2342" spans="4:4">
      <c r="D2342" s="69"/>
    </row>
    <row r="2343" spans="4:4">
      <c r="D2343" s="69"/>
    </row>
    <row r="2344" spans="4:4">
      <c r="D2344" s="69"/>
    </row>
    <row r="2345" spans="4:4">
      <c r="D2345" s="69"/>
    </row>
    <row r="2346" spans="4:4">
      <c r="D2346" s="69"/>
    </row>
    <row r="2347" spans="4:4">
      <c r="D2347" s="69"/>
    </row>
    <row r="2348" spans="4:4">
      <c r="D2348" s="69"/>
    </row>
    <row r="2349" spans="4:4">
      <c r="D2349" s="69"/>
    </row>
    <row r="2350" spans="4:4">
      <c r="D2350" s="69"/>
    </row>
    <row r="2351" spans="4:4">
      <c r="D2351" s="69"/>
    </row>
    <row r="2352" spans="4:4">
      <c r="D2352" s="69"/>
    </row>
    <row r="2353" spans="4:4">
      <c r="D2353" s="69"/>
    </row>
    <row r="2354" spans="4:4">
      <c r="D2354" s="69"/>
    </row>
    <row r="2355" spans="4:4">
      <c r="D2355" s="69"/>
    </row>
    <row r="2356" spans="4:4">
      <c r="D2356" s="69"/>
    </row>
    <row r="2357" spans="4:4">
      <c r="D2357" s="69"/>
    </row>
    <row r="2358" spans="4:4">
      <c r="D2358" s="69"/>
    </row>
    <row r="2359" spans="4:4">
      <c r="D2359" s="69"/>
    </row>
    <row r="2360" spans="4:4">
      <c r="D2360" s="69"/>
    </row>
    <row r="2361" spans="4:4">
      <c r="D2361" s="69"/>
    </row>
    <row r="2362" spans="4:4">
      <c r="D2362" s="69"/>
    </row>
    <row r="2363" spans="4:4">
      <c r="D2363" s="69"/>
    </row>
    <row r="2364" spans="4:4">
      <c r="D2364" s="69"/>
    </row>
    <row r="2365" spans="4:4">
      <c r="D2365" s="69"/>
    </row>
    <row r="2366" spans="4:4">
      <c r="D2366" s="69"/>
    </row>
    <row r="2367" spans="4:4">
      <c r="D2367" s="69"/>
    </row>
    <row r="2368" spans="4:4">
      <c r="D2368" s="69"/>
    </row>
    <row r="2369" spans="4:4">
      <c r="D2369" s="69"/>
    </row>
    <row r="2370" spans="4:4">
      <c r="D2370" s="69"/>
    </row>
    <row r="2371" spans="4:4">
      <c r="D2371" s="69"/>
    </row>
    <row r="2372" spans="4:4">
      <c r="D2372" s="69"/>
    </row>
    <row r="2373" spans="4:4">
      <c r="D2373" s="69"/>
    </row>
    <row r="2374" spans="4:4">
      <c r="D2374" s="69"/>
    </row>
    <row r="2375" spans="4:4">
      <c r="D2375" s="69"/>
    </row>
    <row r="2376" spans="4:4">
      <c r="D2376" s="69"/>
    </row>
    <row r="2377" spans="4:4">
      <c r="D2377" s="69"/>
    </row>
    <row r="2378" spans="4:4">
      <c r="D2378" s="69"/>
    </row>
    <row r="2379" spans="4:4">
      <c r="D2379" s="69"/>
    </row>
    <row r="2380" spans="4:4">
      <c r="D2380" s="69"/>
    </row>
    <row r="2381" spans="4:4">
      <c r="D2381" s="69"/>
    </row>
    <row r="2382" spans="4:4">
      <c r="D2382" s="69"/>
    </row>
    <row r="2383" spans="4:4">
      <c r="D2383" s="69"/>
    </row>
    <row r="2384" spans="4:4">
      <c r="D2384" s="69"/>
    </row>
    <row r="2385" spans="4:4">
      <c r="D2385" s="69"/>
    </row>
    <row r="2386" spans="4:4">
      <c r="D2386" s="69"/>
    </row>
    <row r="2387" spans="4:4">
      <c r="D2387" s="69"/>
    </row>
    <row r="2388" spans="4:4">
      <c r="D2388" s="69"/>
    </row>
    <row r="2389" spans="4:4">
      <c r="D2389" s="69"/>
    </row>
    <row r="2390" spans="4:4">
      <c r="D2390" s="69"/>
    </row>
    <row r="2391" spans="4:4">
      <c r="D2391" s="69"/>
    </row>
    <row r="2392" spans="4:4">
      <c r="D2392" s="69"/>
    </row>
    <row r="2393" spans="4:4">
      <c r="D2393" s="69"/>
    </row>
    <row r="2394" spans="4:4">
      <c r="D2394" s="69"/>
    </row>
    <row r="2395" spans="4:4">
      <c r="D2395" s="69"/>
    </row>
    <row r="2396" spans="4:4">
      <c r="D2396" s="69"/>
    </row>
    <row r="2397" spans="4:4">
      <c r="D2397" s="69"/>
    </row>
    <row r="2398" spans="4:4">
      <c r="D2398" s="69"/>
    </row>
    <row r="2399" spans="4:4">
      <c r="D2399" s="69"/>
    </row>
    <row r="2400" spans="4:4">
      <c r="D2400" s="69"/>
    </row>
    <row r="2401" spans="4:4">
      <c r="D2401" s="69"/>
    </row>
    <row r="2402" spans="4:4">
      <c r="D2402" s="69"/>
    </row>
    <row r="2403" spans="4:4">
      <c r="D2403" s="69"/>
    </row>
    <row r="2404" spans="4:4">
      <c r="D2404" s="69"/>
    </row>
    <row r="2405" spans="4:4">
      <c r="D2405" s="69"/>
    </row>
    <row r="2406" spans="4:4">
      <c r="D2406" s="69"/>
    </row>
    <row r="2407" spans="4:4">
      <c r="D2407" s="69"/>
    </row>
    <row r="2408" spans="4:4">
      <c r="D2408" s="69"/>
    </row>
    <row r="2409" spans="4:4">
      <c r="D2409" s="69"/>
    </row>
    <row r="2410" spans="4:4">
      <c r="D2410" s="69"/>
    </row>
    <row r="2411" spans="4:4">
      <c r="D2411" s="69"/>
    </row>
    <row r="2412" spans="4:4">
      <c r="D2412" s="69"/>
    </row>
    <row r="2413" spans="4:4">
      <c r="D2413" s="69"/>
    </row>
    <row r="2414" spans="4:4">
      <c r="D2414" s="69"/>
    </row>
    <row r="2415" spans="4:4">
      <c r="D2415" s="69"/>
    </row>
    <row r="2416" spans="4:4">
      <c r="D2416" s="69"/>
    </row>
    <row r="2417" spans="4:4">
      <c r="D2417" s="69"/>
    </row>
    <row r="2418" spans="4:4">
      <c r="D2418" s="69"/>
    </row>
    <row r="2419" spans="4:4">
      <c r="D2419" s="69"/>
    </row>
    <row r="2420" spans="4:4">
      <c r="D2420" s="69"/>
    </row>
    <row r="2421" spans="4:4">
      <c r="D2421" s="69"/>
    </row>
    <row r="2422" spans="4:4">
      <c r="D2422" s="69"/>
    </row>
    <row r="2423" spans="4:4">
      <c r="D2423" s="69"/>
    </row>
    <row r="2424" spans="4:4">
      <c r="D2424" s="69"/>
    </row>
    <row r="2425" spans="4:4">
      <c r="D2425" s="69"/>
    </row>
    <row r="2426" spans="4:4">
      <c r="D2426" s="69"/>
    </row>
    <row r="2427" spans="4:4">
      <c r="D2427" s="69"/>
    </row>
    <row r="2428" spans="4:4">
      <c r="D2428" s="69"/>
    </row>
    <row r="2429" spans="4:4">
      <c r="D2429" s="69"/>
    </row>
    <row r="2430" spans="4:4">
      <c r="D2430" s="69"/>
    </row>
    <row r="2431" spans="4:4">
      <c r="D2431" s="69"/>
    </row>
    <row r="2432" spans="4:4">
      <c r="D2432" s="69"/>
    </row>
    <row r="2433" spans="4:4">
      <c r="D2433" s="69"/>
    </row>
    <row r="2434" spans="4:4">
      <c r="D2434" s="69"/>
    </row>
    <row r="2435" spans="4:4">
      <c r="D2435" s="69"/>
    </row>
    <row r="2436" spans="4:4">
      <c r="D2436" s="69"/>
    </row>
    <row r="2437" spans="4:4">
      <c r="D2437" s="69"/>
    </row>
    <row r="2438" spans="4:4">
      <c r="D2438" s="69"/>
    </row>
    <row r="2439" spans="4:4">
      <c r="D2439" s="69"/>
    </row>
    <row r="2440" spans="4:4">
      <c r="D2440" s="69"/>
    </row>
    <row r="2441" spans="4:4">
      <c r="D2441" s="69"/>
    </row>
    <row r="2442" spans="4:4">
      <c r="D2442" s="69"/>
    </row>
    <row r="2443" spans="4:4">
      <c r="D2443" s="69"/>
    </row>
    <row r="2444" spans="4:4">
      <c r="D2444" s="69"/>
    </row>
    <row r="2445" spans="4:4">
      <c r="D2445" s="69"/>
    </row>
    <row r="2446" spans="4:4">
      <c r="D2446" s="69"/>
    </row>
    <row r="2447" spans="4:4">
      <c r="D2447" s="69"/>
    </row>
    <row r="2448" spans="4:4">
      <c r="D2448" s="69"/>
    </row>
    <row r="2449" spans="4:4">
      <c r="D2449" s="69"/>
    </row>
    <row r="2450" spans="4:4">
      <c r="D2450" s="69"/>
    </row>
    <row r="2451" spans="4:4">
      <c r="D2451" s="69"/>
    </row>
    <row r="2452" spans="4:4">
      <c r="D2452" s="69"/>
    </row>
    <row r="2453" spans="4:4">
      <c r="D2453" s="69"/>
    </row>
    <row r="2454" spans="4:4">
      <c r="D2454" s="69"/>
    </row>
    <row r="2455" spans="4:4">
      <c r="D2455" s="69"/>
    </row>
    <row r="2456" spans="4:4">
      <c r="D2456" s="69"/>
    </row>
    <row r="2457" spans="4:4">
      <c r="D2457" s="69"/>
    </row>
    <row r="2458" spans="4:4">
      <c r="D2458" s="69"/>
    </row>
    <row r="2459" spans="4:4">
      <c r="D2459" s="69"/>
    </row>
    <row r="2460" spans="4:4">
      <c r="D2460" s="69"/>
    </row>
    <row r="2461" spans="4:4">
      <c r="D2461" s="69"/>
    </row>
    <row r="2462" spans="4:4">
      <c r="D2462" s="69"/>
    </row>
    <row r="2463" spans="4:4">
      <c r="D2463" s="69"/>
    </row>
    <row r="2464" spans="4:4">
      <c r="D2464" s="69"/>
    </row>
    <row r="2465" spans="4:4">
      <c r="D2465" s="69"/>
    </row>
    <row r="2466" spans="4:4">
      <c r="D2466" s="69"/>
    </row>
    <row r="2467" spans="4:4">
      <c r="D2467" s="69"/>
    </row>
    <row r="2468" spans="4:4">
      <c r="D2468" s="69"/>
    </row>
    <row r="2469" spans="4:4">
      <c r="D2469" s="69"/>
    </row>
    <row r="2470" spans="4:4">
      <c r="D2470" s="69"/>
    </row>
    <row r="2471" spans="4:4">
      <c r="D2471" s="69"/>
    </row>
    <row r="2472" spans="4:4">
      <c r="D2472" s="69"/>
    </row>
    <row r="2473" spans="4:4">
      <c r="D2473" s="69"/>
    </row>
    <row r="2474" spans="4:4">
      <c r="D2474" s="69"/>
    </row>
    <row r="2475" spans="4:4">
      <c r="D2475" s="69"/>
    </row>
    <row r="2476" spans="4:4">
      <c r="D2476" s="69"/>
    </row>
    <row r="2477" spans="4:4">
      <c r="D2477" s="69"/>
    </row>
    <row r="2478" spans="4:4">
      <c r="D2478" s="69"/>
    </row>
    <row r="2479" spans="4:4">
      <c r="D2479" s="69"/>
    </row>
    <row r="2480" spans="4:4">
      <c r="D2480" s="69"/>
    </row>
    <row r="2481" spans="4:4">
      <c r="D2481" s="69"/>
    </row>
    <row r="2482" spans="4:4">
      <c r="D2482" s="69"/>
    </row>
    <row r="2483" spans="4:4">
      <c r="D2483" s="69"/>
    </row>
    <row r="2484" spans="4:4">
      <c r="D2484" s="69"/>
    </row>
    <row r="2485" spans="4:4">
      <c r="D2485" s="69"/>
    </row>
    <row r="2486" spans="4:4">
      <c r="D2486" s="69"/>
    </row>
    <row r="2487" spans="4:4">
      <c r="D2487" s="69"/>
    </row>
    <row r="2488" spans="4:4">
      <c r="D2488" s="69"/>
    </row>
    <row r="2489" spans="4:4">
      <c r="D2489" s="69"/>
    </row>
    <row r="2490" spans="4:4">
      <c r="D2490" s="69"/>
    </row>
    <row r="2491" spans="4:4">
      <c r="D2491" s="69"/>
    </row>
    <row r="2492" spans="4:4">
      <c r="D2492" s="69"/>
    </row>
    <row r="2493" spans="4:4">
      <c r="D2493" s="69"/>
    </row>
    <row r="2494" spans="4:4">
      <c r="D2494" s="69"/>
    </row>
    <row r="2495" spans="4:4">
      <c r="D2495" s="69"/>
    </row>
    <row r="2496" spans="4:4">
      <c r="D2496" s="69"/>
    </row>
    <row r="2497" spans="4:4">
      <c r="D2497" s="69"/>
    </row>
    <row r="2498" spans="4:4">
      <c r="D2498" s="69"/>
    </row>
    <row r="2499" spans="4:4">
      <c r="D2499" s="69"/>
    </row>
    <row r="2500" spans="4:4">
      <c r="D2500" s="69"/>
    </row>
    <row r="2501" spans="4:4">
      <c r="D2501" s="69"/>
    </row>
    <row r="2502" spans="4:4">
      <c r="D2502" s="69"/>
    </row>
    <row r="2503" spans="4:4">
      <c r="D2503" s="69"/>
    </row>
    <row r="2504" spans="4:4">
      <c r="D2504" s="69"/>
    </row>
    <row r="2505" spans="4:4">
      <c r="D2505" s="69"/>
    </row>
    <row r="2506" spans="4:4">
      <c r="D2506" s="69"/>
    </row>
    <row r="2507" spans="4:4">
      <c r="D2507" s="69"/>
    </row>
    <row r="2508" spans="4:4">
      <c r="D2508" s="69"/>
    </row>
    <row r="2509" spans="4:4">
      <c r="D2509" s="69"/>
    </row>
    <row r="2510" spans="4:4">
      <c r="D2510" s="69"/>
    </row>
    <row r="2511" spans="4:4">
      <c r="D2511" s="69"/>
    </row>
    <row r="2512" spans="4:4">
      <c r="D2512" s="69"/>
    </row>
    <row r="2513" spans="4:4">
      <c r="D2513" s="69"/>
    </row>
    <row r="2514" spans="4:4">
      <c r="D2514" s="69"/>
    </row>
    <row r="2515" spans="4:4">
      <c r="D2515" s="69"/>
    </row>
    <row r="2516" spans="4:4">
      <c r="D2516" s="69"/>
    </row>
    <row r="2517" spans="4:4">
      <c r="D2517" s="69"/>
    </row>
    <row r="2518" spans="4:4">
      <c r="D2518" s="69"/>
    </row>
    <row r="2519" spans="4:4">
      <c r="D2519" s="69"/>
    </row>
    <row r="2520" spans="4:4">
      <c r="D2520" s="69"/>
    </row>
    <row r="2521" spans="4:4">
      <c r="D2521" s="69"/>
    </row>
    <row r="2522" spans="4:4">
      <c r="D2522" s="69"/>
    </row>
    <row r="2523" spans="4:4">
      <c r="D2523" s="69"/>
    </row>
    <row r="2524" spans="4:4">
      <c r="D2524" s="69"/>
    </row>
    <row r="2525" spans="4:4">
      <c r="D2525" s="69"/>
    </row>
    <row r="2526" spans="4:4">
      <c r="D2526" s="69"/>
    </row>
    <row r="2527" spans="4:4">
      <c r="D2527" s="69"/>
    </row>
    <row r="2528" spans="4:4">
      <c r="D2528" s="69"/>
    </row>
    <row r="2529" spans="4:4">
      <c r="D2529" s="69"/>
    </row>
    <row r="2530" spans="4:4">
      <c r="D2530" s="69"/>
    </row>
    <row r="2531" spans="4:4">
      <c r="D2531" s="69"/>
    </row>
    <row r="2532" spans="4:4">
      <c r="D2532" s="69"/>
    </row>
    <row r="2533" spans="4:4">
      <c r="D2533" s="69"/>
    </row>
    <row r="2534" spans="4:4">
      <c r="D2534" s="69"/>
    </row>
    <row r="2535" spans="4:4">
      <c r="D2535" s="69"/>
    </row>
    <row r="2536" spans="4:4">
      <c r="D2536" s="69"/>
    </row>
    <row r="2537" spans="4:4">
      <c r="D2537" s="69"/>
    </row>
    <row r="2538" spans="4:4">
      <c r="D2538" s="69"/>
    </row>
    <row r="2539" spans="4:4">
      <c r="D2539" s="69"/>
    </row>
    <row r="2540" spans="4:4">
      <c r="D2540" s="69"/>
    </row>
    <row r="2541" spans="4:4">
      <c r="D2541" s="69"/>
    </row>
    <row r="2542" spans="4:4">
      <c r="D2542" s="69"/>
    </row>
    <row r="2543" spans="4:4">
      <c r="D2543" s="69"/>
    </row>
    <row r="2544" spans="4:4">
      <c r="D2544" s="69"/>
    </row>
    <row r="2545" spans="4:4">
      <c r="D2545" s="69"/>
    </row>
    <row r="2546" spans="4:4">
      <c r="D2546" s="69"/>
    </row>
    <row r="2547" spans="4:4">
      <c r="D2547" s="69"/>
    </row>
    <row r="2548" spans="4:4">
      <c r="D2548" s="69"/>
    </row>
    <row r="2549" spans="4:4">
      <c r="D2549" s="69"/>
    </row>
    <row r="2550" spans="4:4">
      <c r="D2550" s="69"/>
    </row>
    <row r="2551" spans="4:4">
      <c r="D2551" s="69"/>
    </row>
    <row r="2552" spans="4:4">
      <c r="D2552" s="69"/>
    </row>
    <row r="2553" spans="4:4">
      <c r="D2553" s="69"/>
    </row>
    <row r="2554" spans="4:4">
      <c r="D2554" s="69"/>
    </row>
    <row r="2555" spans="4:4">
      <c r="D2555" s="69"/>
    </row>
    <row r="2556" spans="4:4">
      <c r="D2556" s="69"/>
    </row>
    <row r="2557" spans="4:4">
      <c r="D2557" s="69"/>
    </row>
    <row r="2558" spans="4:4">
      <c r="D2558" s="69"/>
    </row>
    <row r="2559" spans="4:4">
      <c r="D2559" s="69"/>
    </row>
    <row r="2560" spans="4:4">
      <c r="D2560" s="69"/>
    </row>
    <row r="2561" spans="4:4">
      <c r="D2561" s="69"/>
    </row>
    <row r="2562" spans="4:4">
      <c r="D2562" s="69"/>
    </row>
    <row r="2563" spans="4:4">
      <c r="D2563" s="69"/>
    </row>
    <row r="2564" spans="4:4">
      <c r="D2564" s="69"/>
    </row>
    <row r="2565" spans="4:4">
      <c r="D2565" s="69"/>
    </row>
    <row r="2566" spans="4:4">
      <c r="D2566" s="69"/>
    </row>
    <row r="2567" spans="4:4">
      <c r="D2567" s="69"/>
    </row>
    <row r="2568" spans="4:4">
      <c r="D2568" s="69"/>
    </row>
    <row r="2569" spans="4:4">
      <c r="D2569" s="69"/>
    </row>
    <row r="2570" spans="4:4">
      <c r="D2570" s="69"/>
    </row>
    <row r="2571" spans="4:4">
      <c r="D2571" s="69"/>
    </row>
    <row r="2572" spans="4:4">
      <c r="D2572" s="69"/>
    </row>
    <row r="2573" spans="4:4">
      <c r="D2573" s="69"/>
    </row>
    <row r="2574" spans="4:4">
      <c r="D2574" s="69"/>
    </row>
    <row r="2575" spans="4:4">
      <c r="D2575" s="69"/>
    </row>
    <row r="2576" spans="4:4">
      <c r="D2576" s="69"/>
    </row>
    <row r="2577" spans="4:4">
      <c r="D2577" s="69"/>
    </row>
    <row r="2578" spans="4:4">
      <c r="D2578" s="69"/>
    </row>
    <row r="2579" spans="4:4">
      <c r="D2579" s="69"/>
    </row>
    <row r="2580" spans="4:4">
      <c r="D2580" s="69"/>
    </row>
    <row r="2581" spans="4:4">
      <c r="D2581" s="69"/>
    </row>
    <row r="2582" spans="4:4">
      <c r="D2582" s="69"/>
    </row>
    <row r="2583" spans="4:4">
      <c r="D2583" s="69"/>
    </row>
    <row r="2584" spans="4:4">
      <c r="D2584" s="69"/>
    </row>
    <row r="2585" spans="4:4">
      <c r="D2585" s="69"/>
    </row>
    <row r="2586" spans="4:4">
      <c r="D2586" s="69"/>
    </row>
    <row r="2587" spans="4:4">
      <c r="D2587" s="69"/>
    </row>
    <row r="2588" spans="4:4">
      <c r="D2588" s="69"/>
    </row>
    <row r="2589" spans="4:4">
      <c r="D2589" s="69"/>
    </row>
    <row r="2590" spans="4:4">
      <c r="D2590" s="69"/>
    </row>
    <row r="2591" spans="4:4">
      <c r="D2591" s="69"/>
    </row>
    <row r="2592" spans="4:4">
      <c r="D2592" s="69"/>
    </row>
    <row r="2593" spans="4:4">
      <c r="D2593" s="69"/>
    </row>
    <row r="2594" spans="4:4">
      <c r="D2594" s="69"/>
    </row>
    <row r="2595" spans="4:4">
      <c r="D2595" s="69"/>
    </row>
    <row r="2596" spans="4:4">
      <c r="D2596" s="69"/>
    </row>
    <row r="2597" spans="4:4">
      <c r="D2597" s="69"/>
    </row>
    <row r="2598" spans="4:4">
      <c r="D2598" s="69"/>
    </row>
    <row r="2599" spans="4:4">
      <c r="D2599" s="69"/>
    </row>
    <row r="2600" spans="4:4">
      <c r="D2600" s="69"/>
    </row>
    <row r="2601" spans="4:4">
      <c r="D2601" s="69"/>
    </row>
    <row r="2602" spans="4:4">
      <c r="D2602" s="69"/>
    </row>
    <row r="2603" spans="4:4">
      <c r="D2603" s="69"/>
    </row>
    <row r="2604" spans="4:4">
      <c r="D2604" s="69"/>
    </row>
    <row r="2605" spans="4:4">
      <c r="D2605" s="69"/>
    </row>
    <row r="2606" spans="4:4">
      <c r="D2606" s="69"/>
    </row>
    <row r="2607" spans="4:4">
      <c r="D2607" s="69"/>
    </row>
    <row r="2608" spans="4:4">
      <c r="D2608" s="69"/>
    </row>
    <row r="2609" spans="4:4">
      <c r="D2609" s="69"/>
    </row>
    <row r="2610" spans="4:4">
      <c r="D2610" s="69"/>
    </row>
    <row r="2611" spans="4:4">
      <c r="D2611" s="69"/>
    </row>
    <row r="2612" spans="4:4">
      <c r="D2612" s="69"/>
    </row>
    <row r="2613" spans="4:4">
      <c r="D2613" s="69"/>
    </row>
    <row r="2614" spans="4:4">
      <c r="D2614" s="69"/>
    </row>
    <row r="2615" spans="4:4">
      <c r="D2615" s="69"/>
    </row>
    <row r="2616" spans="4:4">
      <c r="D2616" s="69"/>
    </row>
    <row r="2617" spans="4:4">
      <c r="D2617" s="69"/>
    </row>
    <row r="2618" spans="4:4">
      <c r="D2618" s="69"/>
    </row>
    <row r="2619" spans="4:4">
      <c r="D2619" s="69"/>
    </row>
    <row r="2620" spans="4:4">
      <c r="D2620" s="69"/>
    </row>
    <row r="2621" spans="4:4">
      <c r="D2621" s="69"/>
    </row>
    <row r="2622" spans="4:4">
      <c r="D2622" s="69"/>
    </row>
    <row r="2623" spans="4:4">
      <c r="D2623" s="69"/>
    </row>
    <row r="2624" spans="4:4">
      <c r="D2624" s="69"/>
    </row>
    <row r="2625" spans="4:4">
      <c r="D2625" s="69"/>
    </row>
    <row r="2626" spans="4:4">
      <c r="D2626" s="69"/>
    </row>
    <row r="2627" spans="4:4">
      <c r="D2627" s="69"/>
    </row>
    <row r="2628" spans="4:4">
      <c r="D2628" s="69"/>
    </row>
    <row r="2629" spans="4:4">
      <c r="D2629" s="69"/>
    </row>
    <row r="2630" spans="4:4">
      <c r="D2630" s="69"/>
    </row>
    <row r="2631" spans="4:4">
      <c r="D2631" s="69"/>
    </row>
    <row r="2632" spans="4:4">
      <c r="D2632" s="69"/>
    </row>
    <row r="2633" spans="4:4">
      <c r="D2633" s="69"/>
    </row>
    <row r="2634" spans="4:4">
      <c r="D2634" s="69"/>
    </row>
    <row r="2635" spans="4:4">
      <c r="D2635" s="69"/>
    </row>
    <row r="2636" spans="4:4">
      <c r="D2636" s="69"/>
    </row>
    <row r="2637" spans="4:4">
      <c r="D2637" s="69"/>
    </row>
    <row r="2638" spans="4:4">
      <c r="D2638" s="69"/>
    </row>
    <row r="2639" spans="4:4">
      <c r="D2639" s="69"/>
    </row>
    <row r="2640" spans="4:4">
      <c r="D2640" s="69"/>
    </row>
    <row r="2641" spans="4:4">
      <c r="D2641" s="69"/>
    </row>
    <row r="2642" spans="4:4">
      <c r="D2642" s="69"/>
    </row>
    <row r="2643" spans="4:4">
      <c r="D2643" s="69"/>
    </row>
    <row r="2644" spans="4:4">
      <c r="D2644" s="69"/>
    </row>
    <row r="2645" spans="4:4">
      <c r="D2645" s="69"/>
    </row>
    <row r="2646" spans="4:4">
      <c r="D2646" s="69"/>
    </row>
    <row r="2647" spans="4:4">
      <c r="D2647" s="69"/>
    </row>
    <row r="2648" spans="4:4">
      <c r="D2648" s="69"/>
    </row>
    <row r="2649" spans="4:4">
      <c r="D2649" s="69"/>
    </row>
    <row r="2650" spans="4:4">
      <c r="D2650" s="69"/>
    </row>
    <row r="2651" spans="4:4">
      <c r="D2651" s="69"/>
    </row>
    <row r="2652" spans="4:4">
      <c r="D2652" s="69"/>
    </row>
    <row r="2653" spans="4:4">
      <c r="D2653" s="69"/>
    </row>
    <row r="2654" spans="4:4">
      <c r="D2654" s="69"/>
    </row>
    <row r="2655" spans="4:4">
      <c r="D2655" s="69"/>
    </row>
    <row r="2656" spans="4:4">
      <c r="D2656" s="69"/>
    </row>
    <row r="2657" spans="4:4">
      <c r="D2657" s="69"/>
    </row>
    <row r="2658" spans="4:4">
      <c r="D2658" s="69"/>
    </row>
    <row r="2659" spans="4:4">
      <c r="D2659" s="69"/>
    </row>
    <row r="2660" spans="4:4">
      <c r="D2660" s="69"/>
    </row>
    <row r="2661" spans="4:4">
      <c r="D2661" s="69"/>
    </row>
    <row r="2662" spans="4:4">
      <c r="D2662" s="69"/>
    </row>
    <row r="2663" spans="4:4">
      <c r="D2663" s="69"/>
    </row>
    <row r="2664" spans="4:4">
      <c r="D2664" s="69"/>
    </row>
    <row r="2665" spans="4:4">
      <c r="D2665" s="69"/>
    </row>
    <row r="2666" spans="4:4">
      <c r="D2666" s="69"/>
    </row>
    <row r="2667" spans="4:4">
      <c r="D2667" s="69"/>
    </row>
    <row r="2668" spans="4:4">
      <c r="D2668" s="69"/>
    </row>
    <row r="2669" spans="4:4">
      <c r="D2669" s="69"/>
    </row>
    <row r="2670" spans="4:4">
      <c r="D2670" s="69"/>
    </row>
    <row r="2671" spans="4:4">
      <c r="D2671" s="69"/>
    </row>
    <row r="2672" spans="4:4">
      <c r="D2672" s="69"/>
    </row>
    <row r="2673" spans="4:4">
      <c r="D2673" s="69"/>
    </row>
    <row r="2674" spans="4:4">
      <c r="D2674" s="69"/>
    </row>
    <row r="2675" spans="4:4">
      <c r="D2675" s="69"/>
    </row>
    <row r="2676" spans="4:4">
      <c r="D2676" s="69"/>
    </row>
    <row r="2677" spans="4:4">
      <c r="D2677" s="69"/>
    </row>
    <row r="2678" spans="4:4">
      <c r="D2678" s="69"/>
    </row>
    <row r="2679" spans="4:4">
      <c r="D2679" s="69"/>
    </row>
    <row r="2680" spans="4:4">
      <c r="D2680" s="69"/>
    </row>
    <row r="2681" spans="4:4">
      <c r="D2681" s="69"/>
    </row>
    <row r="2682" spans="4:4">
      <c r="D2682" s="69"/>
    </row>
    <row r="2683" spans="4:4">
      <c r="D2683" s="69"/>
    </row>
    <row r="2684" spans="4:4">
      <c r="D2684" s="69"/>
    </row>
    <row r="2685" spans="4:4">
      <c r="D2685" s="69"/>
    </row>
    <row r="2686" spans="4:4">
      <c r="D2686" s="69"/>
    </row>
    <row r="2687" spans="4:4">
      <c r="D2687" s="69"/>
    </row>
    <row r="2688" spans="4:4">
      <c r="D2688" s="69"/>
    </row>
    <row r="2689" spans="4:4">
      <c r="D2689" s="69"/>
    </row>
    <row r="2690" spans="4:4">
      <c r="D2690" s="69"/>
    </row>
    <row r="2691" spans="4:4">
      <c r="D2691" s="69"/>
    </row>
    <row r="2692" spans="4:4">
      <c r="D2692" s="69"/>
    </row>
    <row r="2693" spans="4:4">
      <c r="D2693" s="69"/>
    </row>
    <row r="2694" spans="4:4">
      <c r="D2694" s="69"/>
    </row>
    <row r="2695" spans="4:4">
      <c r="D2695" s="69"/>
    </row>
    <row r="2696" spans="4:4">
      <c r="D2696" s="69"/>
    </row>
    <row r="2697" spans="4:4">
      <c r="D2697" s="69"/>
    </row>
    <row r="2698" spans="4:4">
      <c r="D2698" s="69"/>
    </row>
    <row r="2699" spans="4:4">
      <c r="D2699" s="69"/>
    </row>
    <row r="2700" spans="4:4">
      <c r="D2700" s="69"/>
    </row>
    <row r="2701" spans="4:4">
      <c r="D2701" s="69"/>
    </row>
    <row r="2702" spans="4:4">
      <c r="D2702" s="69"/>
    </row>
    <row r="2703" spans="4:4">
      <c r="D2703" s="69"/>
    </row>
    <row r="2704" spans="4:4">
      <c r="D2704" s="69"/>
    </row>
    <row r="2705" spans="4:4">
      <c r="D2705" s="69"/>
    </row>
    <row r="2706" spans="4:4">
      <c r="D2706" s="69"/>
    </row>
    <row r="2707" spans="4:4">
      <c r="D2707" s="69"/>
    </row>
    <row r="2708" spans="4:4">
      <c r="D2708" s="69"/>
    </row>
    <row r="2709" spans="4:4">
      <c r="D2709" s="69"/>
    </row>
    <row r="2710" spans="4:4">
      <c r="D2710" s="69"/>
    </row>
    <row r="2711" spans="4:4">
      <c r="D2711" s="69"/>
    </row>
    <row r="2712" spans="4:4">
      <c r="D2712" s="69"/>
    </row>
    <row r="2713" spans="4:4">
      <c r="D2713" s="69"/>
    </row>
    <row r="2714" spans="4:4">
      <c r="D2714" s="69"/>
    </row>
    <row r="2715" spans="4:4">
      <c r="D2715" s="69"/>
    </row>
    <row r="2716" spans="4:4">
      <c r="D2716" s="69"/>
    </row>
    <row r="2717" spans="4:4">
      <c r="D2717" s="69"/>
    </row>
    <row r="2718" spans="4:4">
      <c r="D2718" s="69"/>
    </row>
    <row r="2719" spans="4:4">
      <c r="D2719" s="69"/>
    </row>
    <row r="2720" spans="4:4">
      <c r="D2720" s="69"/>
    </row>
    <row r="2721" spans="4:4">
      <c r="D2721" s="69"/>
    </row>
    <row r="2722" spans="4:4">
      <c r="D2722" s="69"/>
    </row>
    <row r="2723" spans="4:4">
      <c r="D2723" s="69"/>
    </row>
    <row r="2724" spans="4:4">
      <c r="D2724" s="69"/>
    </row>
    <row r="2725" spans="4:4">
      <c r="D2725" s="69"/>
    </row>
    <row r="2726" spans="4:4">
      <c r="D2726" s="69"/>
    </row>
    <row r="2727" spans="4:4">
      <c r="D2727" s="69"/>
    </row>
    <row r="2728" spans="4:4">
      <c r="D2728" s="69"/>
    </row>
    <row r="2729" spans="4:4">
      <c r="D2729" s="69"/>
    </row>
    <row r="2730" spans="4:4">
      <c r="D2730" s="69"/>
    </row>
    <row r="2731" spans="4:4">
      <c r="D2731" s="69"/>
    </row>
    <row r="2732" spans="4:4">
      <c r="D2732" s="69"/>
    </row>
    <row r="2733" spans="4:4">
      <c r="D2733" s="69"/>
    </row>
    <row r="2734" spans="4:4">
      <c r="D2734" s="69"/>
    </row>
    <row r="2735" spans="4:4">
      <c r="D2735" s="69"/>
    </row>
    <row r="2736" spans="4:4">
      <c r="D2736" s="69"/>
    </row>
    <row r="2737" spans="4:4">
      <c r="D2737" s="69"/>
    </row>
    <row r="2738" spans="4:4">
      <c r="D2738" s="69"/>
    </row>
    <row r="2739" spans="4:4">
      <c r="D2739" s="69"/>
    </row>
    <row r="2740" spans="4:4">
      <c r="D2740" s="69"/>
    </row>
    <row r="2741" spans="4:4">
      <c r="D2741" s="69"/>
    </row>
    <row r="2742" spans="4:4">
      <c r="D2742" s="69"/>
    </row>
    <row r="2743" spans="4:4">
      <c r="D2743" s="69"/>
    </row>
    <row r="2744" spans="4:4">
      <c r="D2744" s="69"/>
    </row>
    <row r="2745" spans="4:4">
      <c r="D2745" s="69"/>
    </row>
    <row r="2746" spans="4:4">
      <c r="D2746" s="69"/>
    </row>
    <row r="2747" spans="4:4">
      <c r="D2747" s="69"/>
    </row>
    <row r="2748" spans="4:4">
      <c r="D2748" s="69"/>
    </row>
    <row r="2749" spans="4:4">
      <c r="D2749" s="69"/>
    </row>
    <row r="2750" spans="4:4">
      <c r="D2750" s="69"/>
    </row>
    <row r="2751" spans="4:4">
      <c r="D2751" s="69"/>
    </row>
    <row r="2752" spans="4:4">
      <c r="D2752" s="69"/>
    </row>
    <row r="2753" spans="4:4">
      <c r="D2753" s="69"/>
    </row>
    <row r="2754" spans="4:4">
      <c r="D2754" s="69"/>
    </row>
    <row r="2755" spans="4:4">
      <c r="D2755" s="69"/>
    </row>
    <row r="2756" spans="4:4">
      <c r="D2756" s="69"/>
    </row>
    <row r="2757" spans="4:4">
      <c r="D2757" s="69"/>
    </row>
    <row r="2758" spans="4:4">
      <c r="D2758" s="69"/>
    </row>
    <row r="2759" spans="4:4">
      <c r="D2759" s="69"/>
    </row>
    <row r="2760" spans="4:4">
      <c r="D2760" s="69"/>
    </row>
    <row r="2761" spans="4:4">
      <c r="D2761" s="69"/>
    </row>
    <row r="2762" spans="4:4">
      <c r="D2762" s="69"/>
    </row>
    <row r="2763" spans="4:4">
      <c r="D2763" s="69"/>
    </row>
    <row r="2764" spans="4:4">
      <c r="D2764" s="69"/>
    </row>
    <row r="2765" spans="4:4">
      <c r="D2765" s="69"/>
    </row>
    <row r="2766" spans="4:4">
      <c r="D2766" s="69"/>
    </row>
    <row r="2767" spans="4:4">
      <c r="D2767" s="69"/>
    </row>
    <row r="2768" spans="4:4">
      <c r="D2768" s="69"/>
    </row>
    <row r="2769" spans="4:4">
      <c r="D2769" s="69"/>
    </row>
    <row r="2770" spans="4:4">
      <c r="D2770" s="69"/>
    </row>
    <row r="2771" spans="4:4">
      <c r="D2771" s="69"/>
    </row>
    <row r="2772" spans="4:4">
      <c r="D2772" s="69"/>
    </row>
    <row r="2773" spans="4:4">
      <c r="D2773" s="69"/>
    </row>
    <row r="2774" spans="4:4">
      <c r="D2774" s="69"/>
    </row>
    <row r="2775" spans="4:4">
      <c r="D2775" s="69"/>
    </row>
    <row r="2776" spans="4:4">
      <c r="D2776" s="69"/>
    </row>
    <row r="2777" spans="4:4">
      <c r="D2777" s="69"/>
    </row>
    <row r="2778" spans="4:4">
      <c r="D2778" s="69"/>
    </row>
    <row r="2779" spans="4:4">
      <c r="D2779" s="69"/>
    </row>
    <row r="2780" spans="4:4">
      <c r="D2780" s="69"/>
    </row>
    <row r="2781" spans="4:4">
      <c r="D2781" s="69"/>
    </row>
    <row r="2782" spans="4:4">
      <c r="D2782" s="69"/>
    </row>
    <row r="2783" spans="4:4">
      <c r="D2783" s="69"/>
    </row>
    <row r="2784" spans="4:4">
      <c r="D2784" s="69"/>
    </row>
    <row r="2785" spans="4:4">
      <c r="D2785" s="69"/>
    </row>
    <row r="2786" spans="4:4">
      <c r="D2786" s="69"/>
    </row>
    <row r="2787" spans="4:4">
      <c r="D2787" s="69"/>
    </row>
    <row r="2788" spans="4:4">
      <c r="D2788" s="69"/>
    </row>
    <row r="2789" spans="4:4">
      <c r="D2789" s="69"/>
    </row>
    <row r="2790" spans="4:4">
      <c r="D2790" s="69"/>
    </row>
    <row r="2791" spans="4:4">
      <c r="D2791" s="69"/>
    </row>
    <row r="2792" spans="4:4">
      <c r="D2792" s="69"/>
    </row>
    <row r="2793" spans="4:4">
      <c r="D2793" s="69"/>
    </row>
    <row r="2794" spans="4:4">
      <c r="D2794" s="69"/>
    </row>
    <row r="2795" spans="4:4">
      <c r="D2795" s="69"/>
    </row>
    <row r="2796" spans="4:4">
      <c r="D2796" s="69"/>
    </row>
    <row r="2797" spans="4:4">
      <c r="D2797" s="69"/>
    </row>
    <row r="2798" spans="4:4">
      <c r="D2798" s="69"/>
    </row>
    <row r="2799" spans="4:4">
      <c r="D2799" s="69"/>
    </row>
    <row r="2800" spans="4:4">
      <c r="D2800" s="69"/>
    </row>
    <row r="2801" spans="4:4">
      <c r="D2801" s="69"/>
    </row>
    <row r="2802" spans="4:4">
      <c r="D2802" s="69"/>
    </row>
    <row r="2803" spans="4:4">
      <c r="D2803" s="69"/>
    </row>
    <row r="2804" spans="4:4">
      <c r="D2804" s="69"/>
    </row>
    <row r="2805" spans="4:4">
      <c r="D2805" s="69"/>
    </row>
    <row r="2806" spans="4:4">
      <c r="D2806" s="69"/>
    </row>
    <row r="2807" spans="4:4">
      <c r="D2807" s="69"/>
    </row>
    <row r="2808" spans="4:4">
      <c r="D2808" s="69"/>
    </row>
    <row r="2809" spans="4:4">
      <c r="D2809" s="69"/>
    </row>
    <row r="2810" spans="4:4">
      <c r="D2810" s="69"/>
    </row>
    <row r="2811" spans="4:4">
      <c r="D2811" s="69"/>
    </row>
    <row r="2812" spans="4:4">
      <c r="D2812" s="69"/>
    </row>
    <row r="2813" spans="4:4">
      <c r="D2813" s="69"/>
    </row>
    <row r="2814" spans="4:4">
      <c r="D2814" s="69"/>
    </row>
    <row r="2815" spans="4:4">
      <c r="D2815" s="69"/>
    </row>
    <row r="2816" spans="4:4">
      <c r="D2816" s="69"/>
    </row>
    <row r="2817" spans="4:4">
      <c r="D2817" s="69"/>
    </row>
    <row r="2818" spans="4:4">
      <c r="D2818" s="69"/>
    </row>
    <row r="2819" spans="4:4">
      <c r="D2819" s="69"/>
    </row>
    <row r="2820" spans="4:4">
      <c r="D2820" s="69"/>
    </row>
    <row r="2821" spans="4:4">
      <c r="D2821" s="69"/>
    </row>
    <row r="2822" spans="4:4">
      <c r="D2822" s="69"/>
    </row>
    <row r="2823" spans="4:4">
      <c r="D2823" s="69"/>
    </row>
    <row r="2824" spans="4:4">
      <c r="D2824" s="69"/>
    </row>
    <row r="2825" spans="4:4">
      <c r="D2825" s="69"/>
    </row>
    <row r="2826" spans="4:4">
      <c r="D2826" s="69"/>
    </row>
    <row r="2827" spans="4:4">
      <c r="D2827" s="69"/>
    </row>
    <row r="2828" spans="4:4">
      <c r="D2828" s="69"/>
    </row>
    <row r="2829" spans="4:4">
      <c r="D2829" s="69"/>
    </row>
    <row r="2830" spans="4:4">
      <c r="D2830" s="69"/>
    </row>
    <row r="2831" spans="4:4">
      <c r="D2831" s="69"/>
    </row>
    <row r="2832" spans="4:4">
      <c r="D2832" s="69"/>
    </row>
    <row r="2833" spans="4:4">
      <c r="D2833" s="69"/>
    </row>
    <row r="2834" spans="4:4">
      <c r="D2834" s="69"/>
    </row>
    <row r="2835" spans="4:4">
      <c r="D2835" s="69"/>
    </row>
    <row r="2836" spans="4:4">
      <c r="D2836" s="69"/>
    </row>
    <row r="2837" spans="4:4">
      <c r="D2837" s="69"/>
    </row>
    <row r="2838" spans="4:4">
      <c r="D2838" s="69"/>
    </row>
    <row r="2839" spans="4:4">
      <c r="D2839" s="69"/>
    </row>
    <row r="2840" spans="4:4">
      <c r="D2840" s="69"/>
    </row>
    <row r="2841" spans="4:4">
      <c r="D2841" s="69"/>
    </row>
    <row r="2842" spans="4:4">
      <c r="D2842" s="69"/>
    </row>
    <row r="2843" spans="4:4">
      <c r="D2843" s="69"/>
    </row>
    <row r="2844" spans="4:4">
      <c r="D2844" s="69"/>
    </row>
    <row r="2845" spans="4:4">
      <c r="D2845" s="69"/>
    </row>
    <row r="2846" spans="4:4">
      <c r="D2846" s="69"/>
    </row>
    <row r="2847" spans="4:4">
      <c r="D2847" s="69"/>
    </row>
    <row r="2848" spans="4:4">
      <c r="D2848" s="69"/>
    </row>
    <row r="2849" spans="4:4">
      <c r="D2849" s="69"/>
    </row>
    <row r="2850" spans="4:4">
      <c r="D2850" s="69"/>
    </row>
    <row r="2851" spans="4:4">
      <c r="D2851" s="69"/>
    </row>
    <row r="2852" spans="4:4">
      <c r="D2852" s="69"/>
    </row>
    <row r="2853" spans="4:4">
      <c r="D2853" s="69"/>
    </row>
    <row r="2854" spans="4:4">
      <c r="D2854" s="69"/>
    </row>
    <row r="2855" spans="4:4">
      <c r="D2855" s="69"/>
    </row>
    <row r="2856" spans="4:4">
      <c r="D2856" s="69"/>
    </row>
    <row r="2857" spans="4:4">
      <c r="D2857" s="69"/>
    </row>
    <row r="2858" spans="4:4">
      <c r="D2858" s="69"/>
    </row>
    <row r="2859" spans="4:4">
      <c r="D2859" s="69"/>
    </row>
    <row r="2860" spans="4:4">
      <c r="D2860" s="69"/>
    </row>
    <row r="2861" spans="4:4">
      <c r="D2861" s="69"/>
    </row>
    <row r="2862" spans="4:4">
      <c r="D2862" s="69"/>
    </row>
    <row r="2863" spans="4:4">
      <c r="D2863" s="69"/>
    </row>
    <row r="2864" spans="4:4">
      <c r="D2864" s="69"/>
    </row>
    <row r="2865" spans="4:4">
      <c r="D2865" s="69"/>
    </row>
    <row r="2866" spans="4:4">
      <c r="D2866" s="69"/>
    </row>
    <row r="2867" spans="4:4">
      <c r="D2867" s="69"/>
    </row>
    <row r="2868" spans="4:4">
      <c r="D2868" s="69"/>
    </row>
    <row r="2869" spans="4:4">
      <c r="D2869" s="69"/>
    </row>
    <row r="2870" spans="4:4">
      <c r="D2870" s="69"/>
    </row>
    <row r="2871" spans="4:4">
      <c r="D2871" s="69"/>
    </row>
    <row r="2872" spans="4:4">
      <c r="D2872" s="69"/>
    </row>
    <row r="2873" spans="4:4">
      <c r="D2873" s="69"/>
    </row>
    <row r="2874" spans="4:4">
      <c r="D2874" s="69"/>
    </row>
    <row r="2875" spans="4:4">
      <c r="D2875" s="69"/>
    </row>
    <row r="2876" spans="4:4">
      <c r="D2876" s="69"/>
    </row>
    <row r="2877" spans="4:4">
      <c r="D2877" s="69"/>
    </row>
    <row r="2878" spans="4:4">
      <c r="D2878" s="69"/>
    </row>
    <row r="2879" spans="4:4">
      <c r="D2879" s="69"/>
    </row>
    <row r="2880" spans="4:4">
      <c r="D2880" s="69"/>
    </row>
    <row r="2881" spans="4:4">
      <c r="D2881" s="69"/>
    </row>
    <row r="2882" spans="4:4">
      <c r="D2882" s="69"/>
    </row>
    <row r="2883" spans="4:4">
      <c r="D2883" s="69"/>
    </row>
    <row r="2884" spans="4:4">
      <c r="D2884" s="69"/>
    </row>
    <row r="2885" spans="4:4">
      <c r="D2885" s="69"/>
    </row>
    <row r="2886" spans="4:4">
      <c r="D2886" s="69"/>
    </row>
    <row r="2887" spans="4:4">
      <c r="D2887" s="69"/>
    </row>
    <row r="2888" spans="4:4">
      <c r="D2888" s="69"/>
    </row>
    <row r="2889" spans="4:4">
      <c r="D2889" s="69"/>
    </row>
    <row r="2890" spans="4:4">
      <c r="D2890" s="69"/>
    </row>
    <row r="2891" spans="4:4">
      <c r="D2891" s="69"/>
    </row>
    <row r="2892" spans="4:4">
      <c r="D2892" s="69"/>
    </row>
    <row r="2893" spans="4:4">
      <c r="D2893" s="69"/>
    </row>
    <row r="2894" spans="4:4">
      <c r="D2894" s="69"/>
    </row>
    <row r="2895" spans="4:4">
      <c r="D2895" s="69"/>
    </row>
    <row r="2896" spans="4:4">
      <c r="D2896" s="69"/>
    </row>
    <row r="2897" spans="4:4">
      <c r="D2897" s="69"/>
    </row>
    <row r="2898" spans="4:4">
      <c r="D2898" s="69"/>
    </row>
    <row r="2899" spans="4:4">
      <c r="D2899" s="69"/>
    </row>
    <row r="2900" spans="4:4">
      <c r="D2900" s="69"/>
    </row>
    <row r="2901" spans="4:4">
      <c r="D2901" s="69"/>
    </row>
    <row r="2902" spans="4:4">
      <c r="D2902" s="69"/>
    </row>
    <row r="2903" spans="4:4">
      <c r="D2903" s="69"/>
    </row>
    <row r="2904" spans="4:4">
      <c r="D2904" s="69"/>
    </row>
    <row r="2905" spans="4:4">
      <c r="D2905" s="69"/>
    </row>
    <row r="2906" spans="4:4">
      <c r="D2906" s="69"/>
    </row>
    <row r="2907" spans="4:4">
      <c r="D2907" s="69"/>
    </row>
    <row r="2908" spans="4:4">
      <c r="D2908" s="69"/>
    </row>
    <row r="2909" spans="4:4">
      <c r="D2909" s="69"/>
    </row>
    <row r="2910" spans="4:4">
      <c r="D2910" s="69"/>
    </row>
    <row r="2911" spans="4:4">
      <c r="D2911" s="69"/>
    </row>
    <row r="2912" spans="4:4">
      <c r="D2912" s="69"/>
    </row>
    <row r="2913" spans="4:4">
      <c r="D2913" s="69"/>
    </row>
    <row r="2914" spans="4:4">
      <c r="D2914" s="69"/>
    </row>
    <row r="2915" spans="4:4">
      <c r="D2915" s="69"/>
    </row>
    <row r="2916" spans="4:4">
      <c r="D2916" s="69"/>
    </row>
    <row r="2917" spans="4:4">
      <c r="D2917" s="69"/>
    </row>
    <row r="2918" spans="4:4">
      <c r="D2918" s="69"/>
    </row>
    <row r="2919" spans="4:4">
      <c r="D2919" s="69"/>
    </row>
    <row r="2920" spans="4:4">
      <c r="D2920" s="69"/>
    </row>
    <row r="2921" spans="4:4">
      <c r="D2921" s="69"/>
    </row>
    <row r="2922" spans="4:4">
      <c r="D2922" s="69"/>
    </row>
    <row r="2923" spans="4:4">
      <c r="D2923" s="69"/>
    </row>
    <row r="2924" spans="4:4">
      <c r="D2924" s="69"/>
    </row>
    <row r="2925" spans="4:4">
      <c r="D2925" s="69"/>
    </row>
    <row r="2926" spans="4:4">
      <c r="D2926" s="69"/>
    </row>
    <row r="2927" spans="4:4">
      <c r="D2927" s="69"/>
    </row>
    <row r="2928" spans="4:4">
      <c r="D2928" s="69"/>
    </row>
    <row r="2929" spans="4:4">
      <c r="D2929" s="69"/>
    </row>
    <row r="2930" spans="4:4">
      <c r="D2930" s="69"/>
    </row>
    <row r="2931" spans="4:4">
      <c r="D2931" s="69"/>
    </row>
    <row r="2932" spans="4:4">
      <c r="D2932" s="69"/>
    </row>
    <row r="2933" spans="4:4">
      <c r="D2933" s="69"/>
    </row>
    <row r="2934" spans="4:4">
      <c r="D2934" s="69"/>
    </row>
    <row r="2935" spans="4:4">
      <c r="D2935" s="69"/>
    </row>
    <row r="2936" spans="4:4">
      <c r="D2936" s="69"/>
    </row>
    <row r="2937" spans="4:4">
      <c r="D2937" s="69"/>
    </row>
    <row r="2938" spans="4:4">
      <c r="D2938" s="69"/>
    </row>
    <row r="2939" spans="4:4">
      <c r="D2939" s="69"/>
    </row>
    <row r="2940" spans="4:4">
      <c r="D2940" s="69"/>
    </row>
    <row r="2941" spans="4:4">
      <c r="D2941" s="69"/>
    </row>
    <row r="2942" spans="4:4">
      <c r="D2942" s="69"/>
    </row>
    <row r="2943" spans="4:4">
      <c r="D2943" s="69"/>
    </row>
    <row r="2944" spans="4:4">
      <c r="D2944" s="69"/>
    </row>
    <row r="2945" spans="4:4">
      <c r="D2945" s="69"/>
    </row>
    <row r="2946" spans="4:4">
      <c r="D2946" s="69"/>
    </row>
    <row r="2947" spans="4:4">
      <c r="D2947" s="69"/>
    </row>
    <row r="2948" spans="4:4">
      <c r="D2948" s="69"/>
    </row>
    <row r="2949" spans="4:4">
      <c r="D2949" s="69"/>
    </row>
    <row r="2950" spans="4:4">
      <c r="D2950" s="69"/>
    </row>
    <row r="2951" spans="4:4">
      <c r="D2951" s="69"/>
    </row>
    <row r="2952" spans="4:4">
      <c r="D2952" s="69"/>
    </row>
    <row r="2953" spans="4:4">
      <c r="D2953" s="69"/>
    </row>
    <row r="2954" spans="4:4">
      <c r="D2954" s="69"/>
    </row>
    <row r="2955" spans="4:4">
      <c r="D2955" s="69"/>
    </row>
    <row r="2956" spans="4:4">
      <c r="D2956" s="69"/>
    </row>
    <row r="2957" spans="4:4">
      <c r="D2957" s="69"/>
    </row>
    <row r="2958" spans="4:4">
      <c r="D2958" s="69"/>
    </row>
    <row r="2959" spans="4:4">
      <c r="D2959" s="69"/>
    </row>
    <row r="2960" spans="4:4">
      <c r="D2960" s="69"/>
    </row>
    <row r="2961" spans="4:4">
      <c r="D2961" s="69"/>
    </row>
    <row r="2962" spans="4:4">
      <c r="D2962" s="69"/>
    </row>
    <row r="2963" spans="4:4">
      <c r="D2963" s="69"/>
    </row>
    <row r="2964" spans="4:4">
      <c r="D2964" s="69"/>
    </row>
    <row r="2965" spans="4:4">
      <c r="D2965" s="69"/>
    </row>
    <row r="2966" spans="4:4">
      <c r="D2966" s="69"/>
    </row>
    <row r="2967" spans="4:4">
      <c r="D2967" s="69"/>
    </row>
    <row r="2968" spans="4:4">
      <c r="D2968" s="69"/>
    </row>
    <row r="2969" spans="4:4">
      <c r="D2969" s="69"/>
    </row>
    <row r="2970" spans="4:4">
      <c r="D2970" s="69"/>
    </row>
    <row r="2971" spans="4:4">
      <c r="D2971" s="69"/>
    </row>
    <row r="2972" spans="4:4">
      <c r="D2972" s="69"/>
    </row>
    <row r="2973" spans="4:4">
      <c r="D2973" s="69"/>
    </row>
    <row r="2974" spans="4:4">
      <c r="D2974" s="69"/>
    </row>
    <row r="2975" spans="4:4">
      <c r="D2975" s="69"/>
    </row>
    <row r="2976" spans="4:4">
      <c r="D2976" s="69"/>
    </row>
    <row r="2977" spans="4:4">
      <c r="D2977" s="69"/>
    </row>
    <row r="2978" spans="4:4">
      <c r="D2978" s="69"/>
    </row>
    <row r="2979" spans="4:4">
      <c r="D2979" s="69"/>
    </row>
    <row r="2980" spans="4:4">
      <c r="D2980" s="69"/>
    </row>
    <row r="2981" spans="4:4">
      <c r="D2981" s="69"/>
    </row>
    <row r="2982" spans="4:4">
      <c r="D2982" s="69"/>
    </row>
    <row r="2983" spans="4:4">
      <c r="D2983" s="69"/>
    </row>
    <row r="2984" spans="4:4">
      <c r="D2984" s="69"/>
    </row>
    <row r="2985" spans="4:4">
      <c r="D2985" s="69"/>
    </row>
    <row r="2986" spans="4:4">
      <c r="D2986" s="69"/>
    </row>
    <row r="2987" spans="4:4">
      <c r="D2987" s="69"/>
    </row>
    <row r="2988" spans="4:4">
      <c r="D2988" s="69"/>
    </row>
    <row r="2989" spans="4:4">
      <c r="D2989" s="69"/>
    </row>
    <row r="2990" spans="4:4">
      <c r="D2990" s="69"/>
    </row>
    <row r="2991" spans="4:4">
      <c r="D2991" s="69"/>
    </row>
    <row r="2992" spans="4:4">
      <c r="D2992" s="69"/>
    </row>
    <row r="2993" spans="4:4">
      <c r="D2993" s="69"/>
    </row>
    <row r="2994" spans="4:4">
      <c r="D2994" s="69"/>
    </row>
    <row r="2995" spans="4:4">
      <c r="D2995" s="69"/>
    </row>
    <row r="2996" spans="4:4">
      <c r="D2996" s="69"/>
    </row>
    <row r="2997" spans="4:4">
      <c r="D2997" s="69"/>
    </row>
    <row r="2998" spans="4:4">
      <c r="D2998" s="69"/>
    </row>
    <row r="2999" spans="4:4">
      <c r="D2999" s="69"/>
    </row>
    <row r="3000" spans="4:4">
      <c r="D3000" s="69"/>
    </row>
    <row r="3001" spans="4:4">
      <c r="D3001" s="69"/>
    </row>
    <row r="3002" spans="4:4">
      <c r="D3002" s="69"/>
    </row>
    <row r="3003" spans="4:4">
      <c r="D3003" s="69"/>
    </row>
    <row r="3004" spans="4:4">
      <c r="D3004" s="69"/>
    </row>
    <row r="3005" spans="4:4">
      <c r="D3005" s="69"/>
    </row>
    <row r="3006" spans="4:4">
      <c r="D3006" s="69"/>
    </row>
    <row r="3007" spans="4:4">
      <c r="D3007" s="69"/>
    </row>
    <row r="3008" spans="4:4">
      <c r="D3008" s="69"/>
    </row>
    <row r="3009" spans="4:4">
      <c r="D3009" s="69"/>
    </row>
    <row r="3010" spans="4:4">
      <c r="D3010" s="69"/>
    </row>
    <row r="3011" spans="4:4">
      <c r="D3011" s="69"/>
    </row>
    <row r="3012" spans="4:4">
      <c r="D3012" s="69"/>
    </row>
    <row r="3013" spans="4:4">
      <c r="D3013" s="69"/>
    </row>
    <row r="3014" spans="4:4">
      <c r="D3014" s="69"/>
    </row>
    <row r="3015" spans="4:4">
      <c r="D3015" s="69"/>
    </row>
    <row r="3016" spans="4:4">
      <c r="D3016" s="69"/>
    </row>
    <row r="3017" spans="4:4">
      <c r="D3017" s="69"/>
    </row>
    <row r="3018" spans="4:4">
      <c r="D3018" s="69"/>
    </row>
    <row r="3019" spans="4:4">
      <c r="D3019" s="69"/>
    </row>
    <row r="3020" spans="4:4">
      <c r="D3020" s="69"/>
    </row>
    <row r="3021" spans="4:4">
      <c r="D3021" s="69"/>
    </row>
    <row r="3022" spans="4:4">
      <c r="D3022" s="69"/>
    </row>
    <row r="3023" spans="4:4">
      <c r="D3023" s="69"/>
    </row>
    <row r="3024" spans="4:4">
      <c r="D3024" s="69"/>
    </row>
    <row r="3025" spans="4:4">
      <c r="D3025" s="69"/>
    </row>
    <row r="3026" spans="4:4">
      <c r="D3026" s="69"/>
    </row>
    <row r="3027" spans="4:4">
      <c r="D3027" s="69"/>
    </row>
    <row r="3028" spans="4:4">
      <c r="D3028" s="69"/>
    </row>
    <row r="3029" spans="4:4">
      <c r="D3029" s="69"/>
    </row>
    <row r="3030" spans="4:4">
      <c r="D3030" s="69"/>
    </row>
    <row r="3031" spans="4:4">
      <c r="D3031" s="69"/>
    </row>
    <row r="3032" spans="4:4">
      <c r="D3032" s="69"/>
    </row>
    <row r="3033" spans="4:4">
      <c r="D3033" s="69"/>
    </row>
    <row r="3034" spans="4:4">
      <c r="D3034" s="69"/>
    </row>
    <row r="3035" spans="4:4">
      <c r="D3035" s="69"/>
    </row>
    <row r="3036" spans="4:4">
      <c r="D3036" s="69"/>
    </row>
    <row r="3037" spans="4:4">
      <c r="D3037" s="69"/>
    </row>
    <row r="3038" spans="4:4">
      <c r="D3038" s="69"/>
    </row>
    <row r="3039" spans="4:4">
      <c r="D3039" s="69"/>
    </row>
    <row r="3040" spans="4:4">
      <c r="D3040" s="69"/>
    </row>
    <row r="3041" spans="4:4">
      <c r="D3041" s="69"/>
    </row>
    <row r="3042" spans="4:4">
      <c r="D3042" s="69"/>
    </row>
    <row r="3043" spans="4:4">
      <c r="D3043" s="69"/>
    </row>
    <row r="3044" spans="4:4">
      <c r="D3044" s="69"/>
    </row>
    <row r="3045" spans="4:4">
      <c r="D3045" s="69"/>
    </row>
    <row r="3046" spans="4:4">
      <c r="D3046" s="69"/>
    </row>
    <row r="3047" spans="4:4">
      <c r="D3047" s="69"/>
    </row>
    <row r="3048" spans="4:4">
      <c r="D3048" s="69"/>
    </row>
    <row r="3049" spans="4:4">
      <c r="D3049" s="69"/>
    </row>
    <row r="3050" spans="4:4">
      <c r="D3050" s="69"/>
    </row>
    <row r="3051" spans="4:4">
      <c r="D3051" s="69"/>
    </row>
    <row r="3052" spans="4:4">
      <c r="D3052" s="69"/>
    </row>
    <row r="3053" spans="4:4">
      <c r="D3053" s="69"/>
    </row>
    <row r="3054" spans="4:4">
      <c r="D3054" s="69"/>
    </row>
    <row r="3055" spans="4:4">
      <c r="D3055" s="69"/>
    </row>
    <row r="3056" spans="4:4">
      <c r="D3056" s="69"/>
    </row>
    <row r="3057" spans="4:4">
      <c r="D3057" s="69"/>
    </row>
    <row r="3058" spans="4:4">
      <c r="D3058" s="69"/>
    </row>
    <row r="3059" spans="4:4">
      <c r="D3059" s="69"/>
    </row>
    <row r="3060" spans="4:4">
      <c r="D3060" s="69"/>
    </row>
    <row r="3061" spans="4:4">
      <c r="D3061" s="69"/>
    </row>
    <row r="3062" spans="4:4">
      <c r="D3062" s="69"/>
    </row>
    <row r="3063" spans="4:4">
      <c r="D3063" s="69"/>
    </row>
    <row r="3064" spans="4:4">
      <c r="D3064" s="69"/>
    </row>
    <row r="3065" spans="4:4">
      <c r="D3065" s="69"/>
    </row>
    <row r="3066" spans="4:4">
      <c r="D3066" s="69"/>
    </row>
    <row r="3067" spans="4:4">
      <c r="D3067" s="69"/>
    </row>
    <row r="3068" spans="4:4">
      <c r="D3068" s="69"/>
    </row>
    <row r="3069" spans="4:4">
      <c r="D3069" s="69"/>
    </row>
    <row r="3070" spans="4:4">
      <c r="D3070" s="69"/>
    </row>
    <row r="3071" spans="4:4">
      <c r="D3071" s="69"/>
    </row>
    <row r="3072" spans="4:4">
      <c r="D3072" s="69"/>
    </row>
    <row r="3073" spans="4:4">
      <c r="D3073" s="69"/>
    </row>
    <row r="3074" spans="4:4">
      <c r="D3074" s="69"/>
    </row>
    <row r="3075" spans="4:4">
      <c r="D3075" s="69"/>
    </row>
    <row r="3076" spans="4:4">
      <c r="D3076" s="69"/>
    </row>
    <row r="3077" spans="4:4">
      <c r="D3077" s="69"/>
    </row>
    <row r="3078" spans="4:4">
      <c r="D3078" s="69"/>
    </row>
    <row r="3079" spans="4:4">
      <c r="D3079" s="69"/>
    </row>
    <row r="3080" spans="4:4">
      <c r="D3080" s="69"/>
    </row>
    <row r="3081" spans="4:4">
      <c r="D3081" s="69"/>
    </row>
    <row r="3082" spans="4:4">
      <c r="D3082" s="69"/>
    </row>
    <row r="3083" spans="4:4">
      <c r="D3083" s="69"/>
    </row>
    <row r="3084" spans="4:4">
      <c r="D3084" s="69"/>
    </row>
    <row r="3085" spans="4:4">
      <c r="D3085" s="69"/>
    </row>
    <row r="3086" spans="4:4">
      <c r="D3086" s="69"/>
    </row>
    <row r="3087" spans="4:4">
      <c r="D3087" s="69"/>
    </row>
    <row r="3088" spans="4:4">
      <c r="D3088" s="69"/>
    </row>
    <row r="3089" spans="4:4">
      <c r="D3089" s="69"/>
    </row>
    <row r="3090" spans="4:4">
      <c r="D3090" s="69"/>
    </row>
    <row r="3091" spans="4:4">
      <c r="D3091" s="69"/>
    </row>
    <row r="3092" spans="4:4">
      <c r="D3092" s="69"/>
    </row>
    <row r="3093" spans="4:4">
      <c r="D3093" s="69"/>
    </row>
    <row r="3094" spans="4:4">
      <c r="D3094" s="69"/>
    </row>
    <row r="3095" spans="4:4">
      <c r="D3095" s="69"/>
    </row>
    <row r="3096" spans="4:4">
      <c r="D3096" s="69"/>
    </row>
    <row r="3097" spans="4:4">
      <c r="D3097" s="69"/>
    </row>
    <row r="3098" spans="4:4">
      <c r="D3098" s="69"/>
    </row>
    <row r="3099" spans="4:4">
      <c r="D3099" s="69"/>
    </row>
    <row r="3100" spans="4:4">
      <c r="D3100" s="69"/>
    </row>
    <row r="3101" spans="4:4">
      <c r="D3101" s="69"/>
    </row>
    <row r="3102" spans="4:4">
      <c r="D3102" s="69"/>
    </row>
    <row r="3103" spans="4:4">
      <c r="D3103" s="69"/>
    </row>
    <row r="3104" spans="4:4">
      <c r="D3104" s="69"/>
    </row>
    <row r="3105" spans="4:4">
      <c r="D3105" s="69"/>
    </row>
    <row r="3106" spans="4:4">
      <c r="D3106" s="69"/>
    </row>
    <row r="3107" spans="4:4">
      <c r="D3107" s="69"/>
    </row>
    <row r="3108" spans="4:4">
      <c r="D3108" s="69"/>
    </row>
    <row r="3109" spans="4:4">
      <c r="D3109" s="69"/>
    </row>
    <row r="3110" spans="4:4">
      <c r="D3110" s="69"/>
    </row>
    <row r="3111" spans="4:4">
      <c r="D3111" s="69"/>
    </row>
    <row r="3112" spans="4:4">
      <c r="D3112" s="69"/>
    </row>
    <row r="3113" spans="4:4">
      <c r="D3113" s="69"/>
    </row>
    <row r="3114" spans="4:4">
      <c r="D3114" s="69"/>
    </row>
    <row r="3115" spans="4:4">
      <c r="D3115" s="69"/>
    </row>
    <row r="3116" spans="4:4">
      <c r="D3116" s="69"/>
    </row>
    <row r="3117" spans="4:4">
      <c r="D3117" s="69"/>
    </row>
    <row r="3118" spans="4:4">
      <c r="D3118" s="69"/>
    </row>
    <row r="3119" spans="4:4">
      <c r="D3119" s="69"/>
    </row>
    <row r="3120" spans="4:4">
      <c r="D3120" s="69"/>
    </row>
    <row r="3121" spans="4:4">
      <c r="D3121" s="69"/>
    </row>
    <row r="3122" spans="4:4">
      <c r="D3122" s="69"/>
    </row>
    <row r="3123" spans="4:4">
      <c r="D3123" s="69"/>
    </row>
    <row r="3124" spans="4:4">
      <c r="D3124" s="69"/>
    </row>
    <row r="3125" spans="4:4">
      <c r="D3125" s="69"/>
    </row>
    <row r="3126" spans="4:4">
      <c r="D3126" s="69"/>
    </row>
    <row r="3127" spans="4:4">
      <c r="D3127" s="69"/>
    </row>
    <row r="3128" spans="4:4">
      <c r="D3128" s="69"/>
    </row>
    <row r="3129" spans="4:4">
      <c r="D3129" s="69"/>
    </row>
    <row r="3130" spans="4:4">
      <c r="D3130" s="69"/>
    </row>
    <row r="3131" spans="4:4">
      <c r="D3131" s="69"/>
    </row>
    <row r="3132" spans="4:4">
      <c r="D3132" s="69"/>
    </row>
    <row r="3133" spans="4:4">
      <c r="D3133" s="69"/>
    </row>
    <row r="3134" spans="4:4">
      <c r="D3134" s="69"/>
    </row>
    <row r="3135" spans="4:4">
      <c r="D3135" s="69"/>
    </row>
    <row r="3136" spans="4:4">
      <c r="D3136" s="69"/>
    </row>
    <row r="3137" spans="4:4">
      <c r="D3137" s="69"/>
    </row>
    <row r="3138" spans="4:4">
      <c r="D3138" s="69"/>
    </row>
    <row r="3139" spans="4:4">
      <c r="D3139" s="69"/>
    </row>
    <row r="3140" spans="4:4">
      <c r="D3140" s="69"/>
    </row>
    <row r="3141" spans="4:4">
      <c r="D3141" s="69"/>
    </row>
    <row r="3142" spans="4:4">
      <c r="D3142" s="69"/>
    </row>
    <row r="3143" spans="4:4">
      <c r="D3143" s="69"/>
    </row>
    <row r="3144" spans="4:4">
      <c r="D3144" s="69"/>
    </row>
    <row r="3145" spans="4:4">
      <c r="D3145" s="69"/>
    </row>
    <row r="3146" spans="4:4">
      <c r="D3146" s="69"/>
    </row>
    <row r="3147" spans="4:4">
      <c r="D3147" s="69"/>
    </row>
    <row r="3148" spans="4:4">
      <c r="D3148" s="69"/>
    </row>
    <row r="3149" spans="4:4">
      <c r="D3149" s="69"/>
    </row>
    <row r="3150" spans="4:4">
      <c r="D3150" s="69"/>
    </row>
    <row r="3151" spans="4:4">
      <c r="D3151" s="69"/>
    </row>
    <row r="3152" spans="4:4">
      <c r="D3152" s="69"/>
    </row>
    <row r="3153" spans="4:4">
      <c r="D3153" s="69"/>
    </row>
    <row r="3154" spans="4:4">
      <c r="D3154" s="69"/>
    </row>
    <row r="3155" spans="4:4">
      <c r="D3155" s="69"/>
    </row>
    <row r="3156" spans="4:4">
      <c r="D3156" s="69"/>
    </row>
    <row r="3157" spans="4:4">
      <c r="D3157" s="69"/>
    </row>
    <row r="3158" spans="4:4">
      <c r="D3158" s="69"/>
    </row>
    <row r="3159" spans="4:4">
      <c r="D3159" s="69"/>
    </row>
    <row r="3160" spans="4:4">
      <c r="D3160" s="69"/>
    </row>
    <row r="3161" spans="4:4">
      <c r="D3161" s="69"/>
    </row>
    <row r="3162" spans="4:4">
      <c r="D3162" s="69"/>
    </row>
    <row r="3163" spans="4:4">
      <c r="D3163" s="69"/>
    </row>
    <row r="3164" spans="4:4">
      <c r="D3164" s="69"/>
    </row>
    <row r="3165" spans="4:4">
      <c r="D3165" s="69"/>
    </row>
    <row r="3166" spans="4:4">
      <c r="D3166" s="69"/>
    </row>
    <row r="3167" spans="4:4">
      <c r="D3167" s="69"/>
    </row>
    <row r="3168" spans="4:4">
      <c r="D3168" s="69"/>
    </row>
    <row r="3169" spans="4:4">
      <c r="D3169" s="69"/>
    </row>
    <row r="3170" spans="4:4">
      <c r="D3170" s="69"/>
    </row>
    <row r="3171" spans="4:4">
      <c r="D3171" s="69"/>
    </row>
    <row r="3172" spans="4:4">
      <c r="D3172" s="69"/>
    </row>
    <row r="3173" spans="4:4">
      <c r="D3173" s="69"/>
    </row>
    <row r="3174" spans="4:4">
      <c r="D3174" s="69"/>
    </row>
    <row r="3175" spans="4:4">
      <c r="D3175" s="69"/>
    </row>
    <row r="3176" spans="4:4">
      <c r="D3176" s="69"/>
    </row>
    <row r="3177" spans="4:4">
      <c r="D3177" s="69"/>
    </row>
    <row r="3178" spans="4:4">
      <c r="D3178" s="69"/>
    </row>
    <row r="3179" spans="4:4">
      <c r="D3179" s="69"/>
    </row>
    <row r="3180" spans="4:4">
      <c r="D3180" s="69"/>
    </row>
    <row r="3181" spans="4:4">
      <c r="D3181" s="69"/>
    </row>
    <row r="3182" spans="4:4">
      <c r="D3182" s="69"/>
    </row>
    <row r="3183" spans="4:4">
      <c r="D3183" s="69"/>
    </row>
    <row r="3184" spans="4:4">
      <c r="D3184" s="69"/>
    </row>
    <row r="3185" spans="4:4">
      <c r="D3185" s="69"/>
    </row>
    <row r="3186" spans="4:4">
      <c r="D3186" s="69"/>
    </row>
    <row r="3187" spans="4:4">
      <c r="D3187" s="69"/>
    </row>
    <row r="3188" spans="4:4">
      <c r="D3188" s="69"/>
    </row>
    <row r="3189" spans="4:4">
      <c r="D3189" s="69"/>
    </row>
    <row r="3190" spans="4:4">
      <c r="D3190" s="69"/>
    </row>
    <row r="3191" spans="4:4">
      <c r="D3191" s="69"/>
    </row>
    <row r="3192" spans="4:4">
      <c r="D3192" s="69"/>
    </row>
    <row r="3193" spans="4:4">
      <c r="D3193" s="69"/>
    </row>
    <row r="3194" spans="4:4">
      <c r="D3194" s="69"/>
    </row>
    <row r="3195" spans="4:4">
      <c r="D3195" s="69"/>
    </row>
    <row r="3196" spans="4:4">
      <c r="D3196" s="69"/>
    </row>
    <row r="3197" spans="4:4">
      <c r="D3197" s="69"/>
    </row>
    <row r="3198" spans="4:4">
      <c r="D3198" s="69"/>
    </row>
    <row r="3199" spans="4:4">
      <c r="D3199" s="69"/>
    </row>
    <row r="3200" spans="4:4">
      <c r="D3200" s="69"/>
    </row>
    <row r="3201" spans="4:4">
      <c r="D3201" s="69"/>
    </row>
    <row r="3202" spans="4:4">
      <c r="D3202" s="69"/>
    </row>
    <row r="3203" spans="4:4">
      <c r="D3203" s="69"/>
    </row>
    <row r="3204" spans="4:4">
      <c r="D3204" s="69"/>
    </row>
    <row r="3205" spans="4:4">
      <c r="D3205" s="69"/>
    </row>
    <row r="3206" spans="4:4">
      <c r="D3206" s="69"/>
    </row>
    <row r="3207" spans="4:4">
      <c r="D3207" s="69"/>
    </row>
    <row r="3208" spans="4:4">
      <c r="D3208" s="69"/>
    </row>
    <row r="3209" spans="4:4">
      <c r="D3209" s="69"/>
    </row>
    <row r="3210" spans="4:4">
      <c r="D3210" s="69"/>
    </row>
    <row r="3211" spans="4:4">
      <c r="D3211" s="69"/>
    </row>
    <row r="3212" spans="4:4">
      <c r="D3212" s="69"/>
    </row>
    <row r="3213" spans="4:4">
      <c r="D3213" s="69"/>
    </row>
    <row r="3214" spans="4:4">
      <c r="D3214" s="69"/>
    </row>
    <row r="3215" spans="4:4">
      <c r="D3215" s="69"/>
    </row>
    <row r="3216" spans="4:4">
      <c r="D3216" s="69"/>
    </row>
    <row r="3217" spans="4:4">
      <c r="D3217" s="69"/>
    </row>
    <row r="3218" spans="4:4">
      <c r="D3218" s="69"/>
    </row>
    <row r="3219" spans="4:4">
      <c r="D3219" s="69"/>
    </row>
    <row r="3220" spans="4:4">
      <c r="D3220" s="69"/>
    </row>
    <row r="3221" spans="4:4">
      <c r="D3221" s="69"/>
    </row>
    <row r="3222" spans="4:4">
      <c r="D3222" s="69"/>
    </row>
    <row r="3223" spans="4:4">
      <c r="D3223" s="69"/>
    </row>
    <row r="3224" spans="4:4">
      <c r="D3224" s="69"/>
    </row>
    <row r="3225" spans="4:4">
      <c r="D3225" s="69"/>
    </row>
    <row r="3226" spans="4:4">
      <c r="D3226" s="69"/>
    </row>
    <row r="3227" spans="4:4">
      <c r="D3227" s="69"/>
    </row>
    <row r="3228" spans="4:4">
      <c r="D3228" s="69"/>
    </row>
    <row r="3229" spans="4:4">
      <c r="D3229" s="69"/>
    </row>
    <row r="3230" spans="4:4">
      <c r="D3230" s="69"/>
    </row>
    <row r="3231" spans="4:4">
      <c r="D3231" s="69"/>
    </row>
    <row r="3232" spans="4:4">
      <c r="D3232" s="69"/>
    </row>
    <row r="3233" spans="4:4">
      <c r="D3233" s="69"/>
    </row>
    <row r="3234" spans="4:4">
      <c r="D3234" s="69"/>
    </row>
    <row r="3235" spans="4:4">
      <c r="D3235" s="69"/>
    </row>
    <row r="3236" spans="4:4">
      <c r="D3236" s="69"/>
    </row>
    <row r="3237" spans="4:4">
      <c r="D3237" s="69"/>
    </row>
    <row r="3238" spans="4:4">
      <c r="D3238" s="69"/>
    </row>
    <row r="3239" spans="4:4">
      <c r="D3239" s="69"/>
    </row>
    <row r="3240" spans="4:4">
      <c r="D3240" s="69"/>
    </row>
    <row r="3241" spans="4:4">
      <c r="D3241" s="69"/>
    </row>
    <row r="3242" spans="4:4">
      <c r="D3242" s="69"/>
    </row>
    <row r="3243" spans="4:4">
      <c r="D3243" s="69"/>
    </row>
    <row r="3244" spans="4:4">
      <c r="D3244" s="69"/>
    </row>
    <row r="3245" spans="4:4">
      <c r="D3245" s="69"/>
    </row>
    <row r="3246" spans="4:4">
      <c r="D3246" s="69"/>
    </row>
    <row r="3247" spans="4:4">
      <c r="D3247" s="69"/>
    </row>
    <row r="3248" spans="4:4">
      <c r="D3248" s="69"/>
    </row>
    <row r="3249" spans="4:4">
      <c r="D3249" s="69"/>
    </row>
    <row r="3250" spans="4:4">
      <c r="D3250" s="69"/>
    </row>
    <row r="3251" spans="4:4">
      <c r="D3251" s="69"/>
    </row>
    <row r="3252" spans="4:4">
      <c r="D3252" s="69"/>
    </row>
    <row r="3253" spans="4:4">
      <c r="D3253" s="69"/>
    </row>
    <row r="3254" spans="4:4">
      <c r="D3254" s="69"/>
    </row>
    <row r="3255" spans="4:4">
      <c r="D3255" s="69"/>
    </row>
    <row r="3256" spans="4:4">
      <c r="D3256" s="69"/>
    </row>
    <row r="3257" spans="4:4">
      <c r="D3257" s="69"/>
    </row>
    <row r="3258" spans="4:4">
      <c r="D3258" s="69"/>
    </row>
    <row r="3259" spans="4:4">
      <c r="D3259" s="69"/>
    </row>
    <row r="3260" spans="4:4">
      <c r="D3260" s="69"/>
    </row>
    <row r="3261" spans="4:4">
      <c r="D3261" s="69"/>
    </row>
    <row r="3262" spans="4:4">
      <c r="D3262" s="69"/>
    </row>
    <row r="3263" spans="4:4">
      <c r="D3263" s="69"/>
    </row>
    <row r="3264" spans="4:4">
      <c r="D3264" s="69"/>
    </row>
    <row r="3265" spans="4:4">
      <c r="D3265" s="69"/>
    </row>
    <row r="3266" spans="4:4">
      <c r="D3266" s="69"/>
    </row>
    <row r="3267" spans="4:4">
      <c r="D3267" s="69"/>
    </row>
    <row r="3268" spans="4:4">
      <c r="D3268" s="69"/>
    </row>
    <row r="3269" spans="4:4">
      <c r="D3269" s="69"/>
    </row>
    <row r="3270" spans="4:4">
      <c r="D3270" s="69"/>
    </row>
    <row r="3271" spans="4:4">
      <c r="D3271" s="69"/>
    </row>
    <row r="3272" spans="4:4">
      <c r="D3272" s="69"/>
    </row>
    <row r="3273" spans="4:4">
      <c r="D3273" s="69"/>
    </row>
    <row r="3274" spans="4:4">
      <c r="D3274" s="69"/>
    </row>
    <row r="3275" spans="4:4">
      <c r="D3275" s="69"/>
    </row>
    <row r="3276" spans="4:4">
      <c r="D3276" s="69"/>
    </row>
    <row r="3277" spans="4:4">
      <c r="D3277" s="69"/>
    </row>
    <row r="3278" spans="4:4">
      <c r="D3278" s="69"/>
    </row>
    <row r="3279" spans="4:4">
      <c r="D3279" s="69"/>
    </row>
    <row r="3280" spans="4:4">
      <c r="D3280" s="69"/>
    </row>
    <row r="3281" spans="4:4">
      <c r="D3281" s="69"/>
    </row>
    <row r="3282" spans="4:4">
      <c r="D3282" s="69"/>
    </row>
    <row r="3283" spans="4:4">
      <c r="D3283" s="69"/>
    </row>
    <row r="3284" spans="4:4">
      <c r="D3284" s="69"/>
    </row>
    <row r="3285" spans="4:4">
      <c r="D3285" s="69"/>
    </row>
    <row r="3286" spans="4:4">
      <c r="D3286" s="69"/>
    </row>
    <row r="3287" spans="4:4">
      <c r="D3287" s="69"/>
    </row>
    <row r="3288" spans="4:4">
      <c r="D3288" s="69"/>
    </row>
    <row r="3289" spans="4:4">
      <c r="D3289" s="69"/>
    </row>
    <row r="3290" spans="4:4">
      <c r="D3290" s="69"/>
    </row>
    <row r="3291" spans="4:4">
      <c r="D3291" s="69"/>
    </row>
    <row r="3292" spans="4:4">
      <c r="D3292" s="69"/>
    </row>
    <row r="3293" spans="4:4">
      <c r="D3293" s="69"/>
    </row>
    <row r="3294" spans="4:4">
      <c r="D3294" s="69"/>
    </row>
    <row r="3295" spans="4:4">
      <c r="D3295" s="69"/>
    </row>
    <row r="3296" spans="4:4">
      <c r="D3296" s="69"/>
    </row>
    <row r="3297" spans="4:4">
      <c r="D3297" s="69"/>
    </row>
    <row r="3298" spans="4:4">
      <c r="D3298" s="69"/>
    </row>
    <row r="3299" spans="4:4">
      <c r="D3299" s="69"/>
    </row>
    <row r="3300" spans="4:4">
      <c r="D3300" s="69"/>
    </row>
    <row r="3301" spans="4:4">
      <c r="D3301" s="69"/>
    </row>
    <row r="3302" spans="4:4">
      <c r="D3302" s="69"/>
    </row>
    <row r="3303" spans="4:4">
      <c r="D3303" s="69"/>
    </row>
    <row r="3304" spans="4:4">
      <c r="D3304" s="69"/>
    </row>
    <row r="3305" spans="4:4">
      <c r="D3305" s="69"/>
    </row>
    <row r="3306" spans="4:4">
      <c r="D3306" s="69"/>
    </row>
    <row r="3307" spans="4:4">
      <c r="D3307" s="69"/>
    </row>
    <row r="3308" spans="4:4">
      <c r="D3308" s="69"/>
    </row>
    <row r="3309" spans="4:4">
      <c r="D3309" s="69"/>
    </row>
    <row r="3310" spans="4:4">
      <c r="D3310" s="69"/>
    </row>
    <row r="3311" spans="4:4">
      <c r="D3311" s="69"/>
    </row>
    <row r="3312" spans="4:4">
      <c r="D3312" s="69"/>
    </row>
    <row r="3313" spans="4:4">
      <c r="D3313" s="69"/>
    </row>
    <row r="3314" spans="4:4">
      <c r="D3314" s="69"/>
    </row>
    <row r="3315" spans="4:4">
      <c r="D3315" s="69"/>
    </row>
    <row r="3316" spans="4:4">
      <c r="D3316" s="69"/>
    </row>
    <row r="3317" spans="4:4">
      <c r="D3317" s="69"/>
    </row>
    <row r="3318" spans="4:4">
      <c r="D3318" s="69"/>
    </row>
    <row r="3319" spans="4:4">
      <c r="D3319" s="69"/>
    </row>
    <row r="3320" spans="4:4">
      <c r="D3320" s="69"/>
    </row>
    <row r="3321" spans="4:4">
      <c r="D3321" s="69"/>
    </row>
    <row r="3322" spans="4:4">
      <c r="D3322" s="69"/>
    </row>
    <row r="3323" spans="4:4">
      <c r="D3323" s="69"/>
    </row>
    <row r="3324" spans="4:4">
      <c r="D3324" s="69"/>
    </row>
    <row r="3325" spans="4:4">
      <c r="D3325" s="69"/>
    </row>
    <row r="3326" spans="4:4">
      <c r="D3326" s="69"/>
    </row>
    <row r="3327" spans="4:4">
      <c r="D3327" s="69"/>
    </row>
    <row r="3328" spans="4:4">
      <c r="D3328" s="69"/>
    </row>
    <row r="3329" spans="4:4">
      <c r="D3329" s="69"/>
    </row>
    <row r="3330" spans="4:4">
      <c r="D3330" s="69"/>
    </row>
  </sheetData>
  <autoFilter ref="A3:AA457" xr:uid="{00000000-0009-0000-0000-00000F000000}"/>
  <sortState ref="B4:B56">
    <sortCondition ref="B3"/>
  </sortState>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H747"/>
  <sheetViews>
    <sheetView topLeftCell="A3" zoomScale="70" zoomScaleNormal="70" zoomScaleSheetLayoutView="40" workbookViewId="0">
      <pane xSplit="8" ySplit="5" topLeftCell="DK8" activePane="bottomRight" state="frozen"/>
      <selection activeCell="A3" sqref="A3"/>
      <selection pane="topRight" activeCell="I3" sqref="I3"/>
      <selection pane="bottomLeft" activeCell="A8" sqref="A8"/>
      <selection pane="bottomRight" activeCell="G716" sqref="G716"/>
    </sheetView>
  </sheetViews>
  <sheetFormatPr defaultColWidth="9" defaultRowHeight="15.75" outlineLevelCol="1"/>
  <cols>
    <col min="1" max="1" width="9.125" style="35" customWidth="1"/>
    <col min="2" max="2" width="17" style="35" bestFit="1" customWidth="1"/>
    <col min="3" max="3" width="14.625" style="20" customWidth="1"/>
    <col min="4" max="4" width="16.25" style="20" customWidth="1"/>
    <col min="5" max="5" width="9.875" style="20" customWidth="1"/>
    <col min="6" max="6" width="10.125" style="20" customWidth="1"/>
    <col min="7" max="7" width="26.75" style="20" customWidth="1"/>
    <col min="8" max="8" width="33.25" style="20" customWidth="1"/>
    <col min="9" max="9" width="7.75" style="20" customWidth="1"/>
    <col min="10" max="10" width="8.5" style="40" customWidth="1"/>
    <col min="11" max="11" width="14.875" style="20" customWidth="1"/>
    <col min="12" max="12" width="17.75" customWidth="1"/>
    <col min="13" max="13" width="12.125" customWidth="1"/>
    <col min="14" max="14" width="18.875" customWidth="1"/>
    <col min="15" max="15" width="17.25" style="36" customWidth="1"/>
    <col min="16" max="16" width="15.25" style="33" customWidth="1"/>
    <col min="17" max="17" width="16.625" style="33" customWidth="1"/>
    <col min="18" max="18" width="10.875" customWidth="1"/>
    <col min="19" max="21" width="16.5" customWidth="1"/>
    <col min="22" max="24" width="13.125" style="31" customWidth="1"/>
    <col min="25" max="25" width="14.625" style="31" customWidth="1"/>
    <col min="26" max="35" width="13.125" style="31" customWidth="1"/>
    <col min="36" max="36" width="17.625" style="31" customWidth="1"/>
    <col min="37" max="37" width="13.125" style="31" customWidth="1"/>
    <col min="38" max="38" width="18.75" style="31" customWidth="1"/>
    <col min="39" max="39" width="13.125" style="31" customWidth="1"/>
    <col min="40" max="40" width="15.375" style="31" customWidth="1"/>
    <col min="41" max="41" width="31.125" style="31" customWidth="1"/>
    <col min="42" max="42" width="10.25" style="20" customWidth="1"/>
    <col min="43" max="43" width="11.75" style="32" customWidth="1"/>
    <col min="44" max="44" width="13.25" style="32" customWidth="1"/>
    <col min="45" max="45" width="10.625" style="33" customWidth="1"/>
    <col min="46" max="46" width="13.125" style="33" customWidth="1"/>
    <col min="47" max="47" width="9.25" style="20" customWidth="1"/>
    <col min="48" max="48" width="25.75" style="20" customWidth="1"/>
    <col min="49" max="49" width="27.875" style="33" customWidth="1"/>
    <col min="50" max="50" width="13.125" style="33" customWidth="1"/>
    <col min="51" max="51" width="17.5" style="33" customWidth="1"/>
    <col min="52" max="53" width="13.125" style="33" customWidth="1"/>
    <col min="54" max="54" width="13.125" style="37" customWidth="1"/>
    <col min="55" max="55" width="26.875" style="37" customWidth="1"/>
    <col min="56" max="56" width="12.375" style="37" customWidth="1"/>
    <col min="57" max="68" width="13.125" style="37" customWidth="1"/>
    <col min="69" max="69" width="13.125" style="37" customWidth="1" outlineLevel="1"/>
    <col min="70" max="70" width="18.25" style="37" customWidth="1" outlineLevel="1"/>
    <col min="71" max="73" width="9" customWidth="1" outlineLevel="1"/>
    <col min="74" max="74" width="13" customWidth="1" outlineLevel="1"/>
    <col min="75" max="76" width="15.5" customWidth="1" outlineLevel="1"/>
    <col min="77" max="77" width="14.5" style="33" customWidth="1" outlineLevel="1"/>
    <col min="78" max="78" width="16.25" style="33" customWidth="1" outlineLevel="1"/>
    <col min="79" max="79" width="20.375" style="33" customWidth="1" outlineLevel="1"/>
    <col min="80" max="80" width="20.625" style="33" customWidth="1" outlineLevel="1"/>
    <col min="81" max="81" width="17.125" style="33" customWidth="1" outlineLevel="1"/>
    <col min="82" max="82" width="13" style="33" customWidth="1" outlineLevel="1"/>
    <col min="83" max="83" width="15.75" style="31" customWidth="1" outlineLevel="1"/>
    <col min="84" max="84" width="25.625" style="31" customWidth="1" outlineLevel="1"/>
    <col min="85" max="85" width="13.125" style="31" hidden="1" customWidth="1" outlineLevel="1"/>
    <col min="86" max="86" width="13.125" style="33" customWidth="1" outlineLevel="1"/>
    <col min="87" max="87" width="15.5" style="31" customWidth="1" outlineLevel="1"/>
    <col min="88" max="88" width="14" style="31" customWidth="1" outlineLevel="1"/>
    <col min="89" max="91" width="12" style="33" customWidth="1" outlineLevel="1"/>
    <col min="92" max="92" width="24.625" style="33" customWidth="1" outlineLevel="1"/>
    <col min="93" max="94" width="19.25" style="33" customWidth="1" outlineLevel="1"/>
    <col min="95" max="95" width="9" customWidth="1" outlineLevel="1"/>
    <col min="96" max="96" width="12.125" style="32" customWidth="1" outlineLevel="1"/>
    <col min="97" max="97" width="15.25" style="33" customWidth="1" outlineLevel="1"/>
    <col min="98" max="98" width="18" customWidth="1" outlineLevel="1"/>
    <col min="99" max="99" width="16.375" style="33" customWidth="1" outlineLevel="1"/>
    <col min="100" max="100" width="13.25" style="33" customWidth="1" outlineLevel="1"/>
    <col min="101" max="101" width="12" style="33" customWidth="1" outlineLevel="1"/>
    <col min="102" max="102" width="15.5" style="33" customWidth="1" outlineLevel="1"/>
    <col min="103" max="103" width="23.125" style="33" customWidth="1" outlineLevel="1"/>
    <col min="104" max="104" width="14.25" style="33" customWidth="1" outlineLevel="1"/>
    <col min="105" max="105" width="11.875" style="33" customWidth="1" outlineLevel="1"/>
    <col min="106" max="106" width="12.375" style="33" customWidth="1" outlineLevel="1"/>
    <col min="107" max="107" width="12.875" style="33" customWidth="1" outlineLevel="1"/>
    <col min="108" max="108" width="12.875" customWidth="1" outlineLevel="1"/>
    <col min="109" max="111" width="17.875" customWidth="1" outlineLevel="1"/>
    <col min="112" max="113" width="16.375" style="572" customWidth="1" outlineLevel="1"/>
    <col min="114" max="117" width="12" style="33" customWidth="1"/>
    <col min="118" max="118" width="11.75" customWidth="1"/>
    <col min="119" max="119" width="13.75" style="33" customWidth="1"/>
    <col min="120" max="120" width="12" style="33" customWidth="1"/>
    <col min="121" max="121" width="22.75" style="37" customWidth="1"/>
    <col min="122" max="123" width="12" style="31" customWidth="1"/>
    <col min="124" max="125" width="12" style="33" customWidth="1"/>
    <col min="127" max="127" width="15.375" style="33" customWidth="1"/>
    <col min="128" max="128" width="10.125" style="38" customWidth="1"/>
    <col min="129" max="129" width="12" style="38" customWidth="1"/>
    <col min="130" max="130" width="21.125" style="39" bestFit="1" customWidth="1"/>
    <col min="131" max="131" width="11.25" style="39" customWidth="1"/>
    <col min="132" max="132" width="13.75" style="39" customWidth="1"/>
    <col min="133" max="133" width="24.875" style="39" customWidth="1"/>
    <col min="134" max="134" width="9.125" style="39" customWidth="1"/>
    <col min="135" max="135" width="10.625" style="39" customWidth="1"/>
    <col min="136" max="136" width="15.375" style="39" customWidth="1"/>
    <col min="137" max="137" width="9.5" style="39" customWidth="1"/>
    <col min="138" max="138" width="14.5" style="39" customWidth="1"/>
    <col min="139" max="139" width="9" style="20" customWidth="1"/>
    <col min="140" max="16384" width="9" style="20"/>
  </cols>
  <sheetData>
    <row r="1" spans="1:138" s="19" customFormat="1" ht="16.5" customHeight="1" thickBot="1">
      <c r="A1" s="313"/>
      <c r="B1" s="324" t="s">
        <v>2517</v>
      </c>
      <c r="C1" s="324"/>
      <c r="D1" s="324"/>
      <c r="E1" s="322" t="s">
        <v>2515</v>
      </c>
      <c r="F1" s="300"/>
      <c r="G1" s="300"/>
      <c r="H1" s="300"/>
      <c r="I1" s="300"/>
      <c r="J1" s="300"/>
      <c r="K1" s="948" t="s">
        <v>2516</v>
      </c>
      <c r="L1" s="949"/>
      <c r="M1" s="83"/>
      <c r="N1" s="83"/>
      <c r="O1" s="83"/>
      <c r="P1" s="83"/>
      <c r="Q1" s="83"/>
      <c r="R1" s="83"/>
      <c r="S1" s="83"/>
      <c r="T1" s="318" t="s">
        <v>2054</v>
      </c>
      <c r="U1" s="318"/>
      <c r="V1" s="318"/>
      <c r="W1" s="318"/>
      <c r="X1" s="318"/>
      <c r="Y1" s="318"/>
      <c r="Z1" s="318"/>
      <c r="AA1" s="318"/>
      <c r="AB1" s="318"/>
      <c r="AC1" s="318"/>
      <c r="AD1" s="318"/>
      <c r="AE1" s="318"/>
      <c r="AF1" s="318"/>
      <c r="AG1" s="318"/>
      <c r="AH1" s="318"/>
      <c r="AI1" s="318"/>
      <c r="AJ1" s="318"/>
      <c r="AK1" s="318"/>
      <c r="AL1" s="318"/>
      <c r="AM1" s="318"/>
      <c r="AN1" s="318"/>
      <c r="AO1" s="318"/>
      <c r="AP1" s="319" t="s">
        <v>2055</v>
      </c>
      <c r="AQ1" s="319"/>
      <c r="AR1" s="319"/>
      <c r="AS1" s="319"/>
      <c r="AT1" s="319"/>
      <c r="AU1" s="319"/>
      <c r="AV1" s="319"/>
      <c r="AW1" s="319"/>
      <c r="AX1" s="319"/>
      <c r="AY1" s="319"/>
      <c r="AZ1" s="319"/>
      <c r="BA1" s="319"/>
      <c r="BB1" s="319"/>
      <c r="BC1" s="319"/>
      <c r="BD1" s="320" t="s">
        <v>2056</v>
      </c>
      <c r="BE1" s="320"/>
      <c r="BF1" s="320"/>
      <c r="BG1" s="320"/>
      <c r="BH1" s="320"/>
      <c r="BI1" s="320"/>
      <c r="BJ1" s="320"/>
      <c r="BK1" s="320"/>
      <c r="BL1" s="320"/>
      <c r="BM1" s="320"/>
      <c r="BN1" s="420"/>
      <c r="BO1" s="420"/>
      <c r="BP1" s="420"/>
      <c r="BQ1" s="84" t="s">
        <v>122</v>
      </c>
      <c r="BR1" s="84"/>
      <c r="BS1" s="84"/>
      <c r="BT1" s="84"/>
      <c r="BU1" s="84"/>
      <c r="BV1" s="84"/>
      <c r="BW1" s="84"/>
      <c r="BX1" s="84"/>
      <c r="BY1" s="84"/>
      <c r="BZ1" s="84"/>
      <c r="CA1" s="84"/>
      <c r="CB1" s="86"/>
      <c r="CC1" s="84"/>
      <c r="CD1" s="84"/>
      <c r="CE1" s="84"/>
      <c r="CF1" s="86"/>
      <c r="CG1" s="86"/>
      <c r="CH1" s="84"/>
      <c r="CI1" s="84"/>
      <c r="CJ1" s="84"/>
      <c r="CK1" s="84"/>
      <c r="CL1" s="84"/>
      <c r="CM1" s="84"/>
      <c r="CN1" s="86"/>
      <c r="CO1" s="86"/>
      <c r="CP1" s="86"/>
      <c r="CQ1" s="84"/>
      <c r="CR1" s="84"/>
      <c r="CS1" s="84"/>
      <c r="CT1" s="84"/>
      <c r="CU1" s="86"/>
      <c r="CV1" s="86"/>
      <c r="CW1" s="86"/>
      <c r="CX1" s="86"/>
      <c r="CY1" s="86"/>
      <c r="CZ1" s="84"/>
      <c r="DA1" s="84"/>
      <c r="DB1" s="84"/>
      <c r="DC1" s="84"/>
      <c r="DD1" s="84"/>
      <c r="DE1" s="86"/>
      <c r="DF1" s="84"/>
      <c r="DG1" s="84"/>
      <c r="DH1" s="84"/>
      <c r="DI1" s="84"/>
      <c r="DJ1" s="205"/>
      <c r="DK1" s="205"/>
      <c r="DL1" s="206"/>
      <c r="DM1" s="206"/>
      <c r="DN1" s="206"/>
      <c r="DO1" s="206"/>
      <c r="DP1" s="206"/>
      <c r="DQ1" s="206"/>
      <c r="DR1" s="206"/>
      <c r="DS1" s="206"/>
    </row>
    <row r="2" spans="1:138" s="362" customFormat="1" ht="26.25" thickBot="1">
      <c r="A2" s="421" t="s">
        <v>2400</v>
      </c>
      <c r="B2" s="422" t="s">
        <v>2400</v>
      </c>
      <c r="C2" s="422" t="s">
        <v>2400</v>
      </c>
      <c r="D2" s="422" t="s">
        <v>2400</v>
      </c>
      <c r="E2" s="423" t="s">
        <v>2400</v>
      </c>
      <c r="F2" s="423" t="s">
        <v>2400</v>
      </c>
      <c r="G2" s="423" t="s">
        <v>2400</v>
      </c>
      <c r="H2" s="423" t="s">
        <v>2400</v>
      </c>
      <c r="I2" s="423" t="s">
        <v>2400</v>
      </c>
      <c r="J2" s="423" t="s">
        <v>2400</v>
      </c>
      <c r="K2" s="424" t="s">
        <v>2400</v>
      </c>
      <c r="L2" s="424" t="s">
        <v>2400</v>
      </c>
      <c r="M2" s="421" t="s">
        <v>2624</v>
      </c>
      <c r="N2" s="421" t="s">
        <v>312</v>
      </c>
      <c r="O2" s="421" t="s">
        <v>312</v>
      </c>
      <c r="P2" s="421" t="s">
        <v>2400</v>
      </c>
      <c r="Q2" s="421" t="s">
        <v>2400</v>
      </c>
      <c r="R2" s="421" t="s">
        <v>2400</v>
      </c>
      <c r="S2" s="425" t="s">
        <v>2400</v>
      </c>
      <c r="T2" s="426" t="s">
        <v>2400</v>
      </c>
      <c r="U2" s="426" t="s">
        <v>2400</v>
      </c>
      <c r="V2" s="426" t="s">
        <v>2400</v>
      </c>
      <c r="W2" s="426" t="s">
        <v>2400</v>
      </c>
      <c r="X2" s="426" t="s">
        <v>2400</v>
      </c>
      <c r="Y2" s="426" t="s">
        <v>2400</v>
      </c>
      <c r="Z2" s="426" t="s">
        <v>2400</v>
      </c>
      <c r="AA2" s="426" t="s">
        <v>2400</v>
      </c>
      <c r="AB2" s="426" t="s">
        <v>2400</v>
      </c>
      <c r="AC2" s="426" t="s">
        <v>2400</v>
      </c>
      <c r="AD2" s="426" t="s">
        <v>2624</v>
      </c>
      <c r="AE2" s="426" t="s">
        <v>312</v>
      </c>
      <c r="AF2" s="427" t="s">
        <v>2400</v>
      </c>
      <c r="AG2" s="428" t="s">
        <v>312</v>
      </c>
      <c r="AH2" s="429" t="s">
        <v>312</v>
      </c>
      <c r="AI2" s="429" t="s">
        <v>2400</v>
      </c>
      <c r="AJ2" s="429" t="s">
        <v>2400</v>
      </c>
      <c r="AK2" s="429" t="s">
        <v>2400</v>
      </c>
      <c r="AL2" s="428" t="s">
        <v>2400</v>
      </c>
      <c r="AM2" s="428" t="s">
        <v>2624</v>
      </c>
      <c r="AN2" s="430" t="s">
        <v>2624</v>
      </c>
      <c r="AO2" s="430" t="s">
        <v>2400</v>
      </c>
      <c r="AP2" s="431" t="s">
        <v>2400</v>
      </c>
      <c r="AQ2" s="431" t="s">
        <v>2400</v>
      </c>
      <c r="AR2" s="431" t="s">
        <v>2400</v>
      </c>
      <c r="AS2" s="431" t="s">
        <v>2400</v>
      </c>
      <c r="AT2" s="432" t="s">
        <v>2400</v>
      </c>
      <c r="AU2" s="433" t="s">
        <v>2400</v>
      </c>
      <c r="AV2" s="422" t="s">
        <v>312</v>
      </c>
      <c r="AW2" s="434" t="s">
        <v>312</v>
      </c>
      <c r="AX2" s="435" t="s">
        <v>2400</v>
      </c>
      <c r="AY2" s="435" t="s">
        <v>2400</v>
      </c>
      <c r="AZ2" s="435" t="s">
        <v>2400</v>
      </c>
      <c r="BA2" s="435" t="s">
        <v>2400</v>
      </c>
      <c r="BB2" s="435" t="s">
        <v>2624</v>
      </c>
      <c r="BC2" s="435" t="s">
        <v>2400</v>
      </c>
      <c r="BD2" s="436" t="s">
        <v>2706</v>
      </c>
      <c r="BE2" s="436" t="s">
        <v>2706</v>
      </c>
      <c r="BF2" s="436" t="s">
        <v>312</v>
      </c>
      <c r="BG2" s="437" t="s">
        <v>2706</v>
      </c>
      <c r="BH2" s="436" t="s">
        <v>2706</v>
      </c>
      <c r="BI2" s="436" t="s">
        <v>2400</v>
      </c>
      <c r="BJ2" s="436" t="s">
        <v>2400</v>
      </c>
      <c r="BK2" s="438" t="s">
        <v>2400</v>
      </c>
      <c r="BL2" s="438" t="s">
        <v>2400</v>
      </c>
      <c r="BM2" s="438" t="s">
        <v>2624</v>
      </c>
      <c r="BN2" s="438" t="s">
        <v>2624</v>
      </c>
      <c r="BO2" s="438" t="s">
        <v>312</v>
      </c>
      <c r="BP2" s="439" t="s">
        <v>2400</v>
      </c>
      <c r="BQ2" s="469"/>
      <c r="BR2" s="470"/>
      <c r="BS2" s="471"/>
      <c r="BT2" s="467"/>
      <c r="BU2" s="463"/>
      <c r="BV2" s="464" t="s">
        <v>2764</v>
      </c>
      <c r="BW2" s="463"/>
      <c r="BX2" s="463"/>
      <c r="BY2" s="465"/>
      <c r="BZ2" s="465"/>
      <c r="CA2" s="465"/>
      <c r="CB2" s="479"/>
      <c r="CC2" s="463"/>
      <c r="CD2" s="463"/>
      <c r="CE2" s="463"/>
      <c r="CF2" s="463"/>
      <c r="CG2" s="479"/>
      <c r="CH2" s="469"/>
      <c r="CI2" s="471"/>
      <c r="CJ2" s="488"/>
      <c r="CK2" s="493"/>
      <c r="CL2" s="495"/>
      <c r="CM2" s="495"/>
      <c r="CN2" s="496"/>
      <c r="CO2" s="496"/>
      <c r="CP2" s="496"/>
      <c r="CQ2" s="502"/>
      <c r="CR2" s="508"/>
      <c r="CS2" s="509"/>
      <c r="CT2" s="505"/>
      <c r="CU2" s="516"/>
      <c r="CV2" s="516"/>
      <c r="CW2" s="516"/>
      <c r="CX2" s="517"/>
      <c r="CY2" s="517"/>
      <c r="CZ2" s="529"/>
      <c r="DA2" s="539"/>
      <c r="DB2" s="534"/>
      <c r="DC2" s="516"/>
      <c r="DD2" s="516"/>
      <c r="DE2" s="517"/>
      <c r="DF2" s="516"/>
      <c r="DG2" s="516"/>
      <c r="DH2" s="516"/>
      <c r="DI2" s="516"/>
      <c r="DJ2" s="360"/>
      <c r="DK2" s="361"/>
      <c r="DL2" s="361"/>
      <c r="DM2" s="361"/>
      <c r="DN2" s="361"/>
      <c r="DO2" s="361"/>
      <c r="DP2" s="361"/>
      <c r="DQ2" s="361"/>
      <c r="DR2" s="361"/>
      <c r="DS2" s="361"/>
    </row>
    <row r="3" spans="1:138" s="19" customFormat="1" ht="21" customHeight="1" thickBot="1">
      <c r="A3" s="299" t="s">
        <v>0</v>
      </c>
      <c r="B3" s="323" t="s">
        <v>1</v>
      </c>
      <c r="C3" s="323" t="s">
        <v>2</v>
      </c>
      <c r="D3" s="323" t="s">
        <v>3</v>
      </c>
      <c r="E3" s="300" t="s">
        <v>4</v>
      </c>
      <c r="F3" s="300" t="s">
        <v>1168</v>
      </c>
      <c r="G3" s="300" t="s">
        <v>5</v>
      </c>
      <c r="H3" s="300" t="s">
        <v>6</v>
      </c>
      <c r="I3" s="300" t="s">
        <v>52</v>
      </c>
      <c r="J3" s="300" t="s">
        <v>53</v>
      </c>
      <c r="K3" s="298" t="s">
        <v>56</v>
      </c>
      <c r="L3" s="298" t="s">
        <v>58</v>
      </c>
      <c r="M3" s="299" t="s">
        <v>60</v>
      </c>
      <c r="N3" s="299" t="s">
        <v>123</v>
      </c>
      <c r="O3" s="299" t="s">
        <v>124</v>
      </c>
      <c r="P3" s="299" t="s">
        <v>65</v>
      </c>
      <c r="Q3" s="299" t="s">
        <v>63</v>
      </c>
      <c r="R3" s="299" t="s">
        <v>67</v>
      </c>
      <c r="S3" s="299" t="s">
        <v>1169</v>
      </c>
      <c r="T3" s="321" t="s">
        <v>69</v>
      </c>
      <c r="U3" s="321" t="s">
        <v>70</v>
      </c>
      <c r="V3" s="321" t="s">
        <v>71</v>
      </c>
      <c r="W3" s="321" t="s">
        <v>73</v>
      </c>
      <c r="X3" s="321" t="s">
        <v>1170</v>
      </c>
      <c r="Y3" s="321" t="s">
        <v>74</v>
      </c>
      <c r="Z3" s="321" t="s">
        <v>75</v>
      </c>
      <c r="AA3" s="321" t="s">
        <v>76</v>
      </c>
      <c r="AB3" s="321" t="s">
        <v>77</v>
      </c>
      <c r="AC3" s="321" t="s">
        <v>1322</v>
      </c>
      <c r="AD3" s="321" t="s">
        <v>1323</v>
      </c>
      <c r="AE3" s="321" t="s">
        <v>1324</v>
      </c>
      <c r="AF3" s="321" t="s">
        <v>1325</v>
      </c>
      <c r="AG3" s="321" t="s">
        <v>1326</v>
      </c>
      <c r="AH3" s="321" t="s">
        <v>1327</v>
      </c>
      <c r="AI3" s="321" t="s">
        <v>1328</v>
      </c>
      <c r="AJ3" s="321" t="s">
        <v>1329</v>
      </c>
      <c r="AK3" s="321" t="s">
        <v>1330</v>
      </c>
      <c r="AL3" s="321" t="s">
        <v>1331</v>
      </c>
      <c r="AM3" s="321" t="s">
        <v>2038</v>
      </c>
      <c r="AN3" s="321" t="s">
        <v>2040</v>
      </c>
      <c r="AO3" s="321" t="s">
        <v>2294</v>
      </c>
      <c r="AP3" s="302" t="s">
        <v>2434</v>
      </c>
      <c r="AQ3" s="302" t="s">
        <v>2436</v>
      </c>
      <c r="AR3" s="302" t="s">
        <v>2437</v>
      </c>
      <c r="AS3" s="302" t="s">
        <v>2438</v>
      </c>
      <c r="AT3" s="302" t="s">
        <v>2440</v>
      </c>
      <c r="AU3" s="302" t="s">
        <v>2441</v>
      </c>
      <c r="AV3" s="302" t="s">
        <v>2442</v>
      </c>
      <c r="AW3" s="302" t="s">
        <v>2444</v>
      </c>
      <c r="AX3" s="302" t="s">
        <v>2446</v>
      </c>
      <c r="AY3" s="302" t="s">
        <v>2447</v>
      </c>
      <c r="AZ3" s="302" t="s">
        <v>2448</v>
      </c>
      <c r="BA3" s="302" t="s">
        <v>2449</v>
      </c>
      <c r="BB3" s="302" t="s">
        <v>2450</v>
      </c>
      <c r="BC3" s="302" t="s">
        <v>2452</v>
      </c>
      <c r="BD3" s="309" t="s">
        <v>2454</v>
      </c>
      <c r="BE3" s="309" t="s">
        <v>2456</v>
      </c>
      <c r="BF3" s="309" t="s">
        <v>2462</v>
      </c>
      <c r="BG3" s="309" t="s">
        <v>2465</v>
      </c>
      <c r="BH3" s="309" t="s">
        <v>2468</v>
      </c>
      <c r="BI3" s="309" t="s">
        <v>2471</v>
      </c>
      <c r="BJ3" s="309" t="s">
        <v>2472</v>
      </c>
      <c r="BK3" s="309" t="s">
        <v>2473</v>
      </c>
      <c r="BL3" s="309" t="s">
        <v>2638</v>
      </c>
      <c r="BM3" s="309" t="s">
        <v>2639</v>
      </c>
      <c r="BN3" s="309" t="s">
        <v>2710</v>
      </c>
      <c r="BO3" s="309" t="s">
        <v>2713</v>
      </c>
      <c r="BP3" s="309" t="s">
        <v>2715</v>
      </c>
      <c r="BQ3" s="950" t="s">
        <v>2097</v>
      </c>
      <c r="BR3" s="951"/>
      <c r="BS3" s="952"/>
      <c r="BT3" s="953" t="s">
        <v>2098</v>
      </c>
      <c r="BU3" s="951"/>
      <c r="BV3" s="951"/>
      <c r="BW3" s="951"/>
      <c r="BX3" s="951"/>
      <c r="BY3" s="951"/>
      <c r="BZ3" s="951"/>
      <c r="CA3" s="951"/>
      <c r="CB3" s="944" t="s">
        <v>2765</v>
      </c>
      <c r="CC3" s="954" t="s">
        <v>2099</v>
      </c>
      <c r="CD3" s="955"/>
      <c r="CE3" s="944"/>
      <c r="CF3" s="944" t="s">
        <v>84</v>
      </c>
      <c r="CG3" s="968"/>
      <c r="CH3" s="971" t="s">
        <v>2771</v>
      </c>
      <c r="CI3" s="972"/>
      <c r="CJ3" s="964" t="s">
        <v>2770</v>
      </c>
      <c r="CK3" s="965"/>
      <c r="CL3" s="970"/>
      <c r="CM3" s="632"/>
      <c r="CN3" s="970" t="s">
        <v>2774</v>
      </c>
      <c r="CO3" s="970" t="s">
        <v>1665</v>
      </c>
      <c r="CP3" s="970"/>
      <c r="CQ3" s="959"/>
      <c r="CR3" s="960" t="s">
        <v>1987</v>
      </c>
      <c r="CS3" s="961"/>
      <c r="CT3" s="958"/>
      <c r="CU3" s="518" t="s">
        <v>1923</v>
      </c>
      <c r="CV3" s="519"/>
      <c r="CW3" s="519"/>
      <c r="CX3" s="519"/>
      <c r="CY3" s="519"/>
      <c r="CZ3" s="530"/>
      <c r="DA3" s="540" t="s">
        <v>1987</v>
      </c>
      <c r="DB3" s="535"/>
      <c r="DC3" s="519"/>
      <c r="DD3" s="519"/>
      <c r="DE3" s="519"/>
      <c r="DF3" s="519"/>
      <c r="DG3" s="519"/>
      <c r="DH3" s="519"/>
      <c r="DI3" s="519"/>
      <c r="DJ3" s="41" t="s">
        <v>7</v>
      </c>
      <c r="DK3" s="34" t="s">
        <v>8</v>
      </c>
      <c r="DL3" s="34" t="s">
        <v>9</v>
      </c>
      <c r="DM3" s="34" t="s">
        <v>10</v>
      </c>
      <c r="DN3" s="34" t="s">
        <v>11</v>
      </c>
      <c r="DO3" s="34" t="s">
        <v>12</v>
      </c>
      <c r="DP3" s="34" t="s">
        <v>13</v>
      </c>
      <c r="DQ3" s="34" t="s">
        <v>14</v>
      </c>
      <c r="DR3" s="34" t="s">
        <v>15</v>
      </c>
      <c r="DS3" s="34"/>
    </row>
    <row r="4" spans="1:138" s="347" customFormat="1" ht="90.75" hidden="1" customHeight="1" thickBot="1">
      <c r="A4" s="441" t="s">
        <v>2528</v>
      </c>
      <c r="B4" s="442" t="s">
        <v>2529</v>
      </c>
      <c r="C4" s="442" t="s">
        <v>2530</v>
      </c>
      <c r="D4" s="442" t="s">
        <v>2531</v>
      </c>
      <c r="E4" s="443" t="s">
        <v>2532</v>
      </c>
      <c r="F4" s="443" t="s">
        <v>2533</v>
      </c>
      <c r="G4" s="443" t="s">
        <v>2534</v>
      </c>
      <c r="H4" s="443" t="s">
        <v>2535</v>
      </c>
      <c r="I4" s="443" t="s">
        <v>2577</v>
      </c>
      <c r="J4" s="443" t="s">
        <v>2576</v>
      </c>
      <c r="K4" s="444" t="s">
        <v>2536</v>
      </c>
      <c r="L4" s="444" t="s">
        <v>2537</v>
      </c>
      <c r="M4" s="441" t="s">
        <v>2716</v>
      </c>
      <c r="N4" s="441" t="s">
        <v>2042</v>
      </c>
      <c r="O4" s="441" t="s">
        <v>2539</v>
      </c>
      <c r="P4" s="441" t="s">
        <v>2541</v>
      </c>
      <c r="Q4" s="441" t="s">
        <v>2543</v>
      </c>
      <c r="R4" s="441" t="s">
        <v>2544</v>
      </c>
      <c r="S4" s="445" t="s">
        <v>2545</v>
      </c>
      <c r="T4" s="446" t="s">
        <v>2629</v>
      </c>
      <c r="U4" s="446" t="s">
        <v>2589</v>
      </c>
      <c r="V4" s="446" t="s">
        <v>2590</v>
      </c>
      <c r="W4" s="446" t="s">
        <v>2717</v>
      </c>
      <c r="X4" s="446" t="s">
        <v>2631</v>
      </c>
      <c r="Y4" s="446" t="s">
        <v>2718</v>
      </c>
      <c r="Z4" s="446" t="s">
        <v>2719</v>
      </c>
      <c r="AA4" s="446" t="s">
        <v>2659</v>
      </c>
      <c r="AB4" s="446" t="s">
        <v>2664</v>
      </c>
      <c r="AC4" s="446" t="s">
        <v>2720</v>
      </c>
      <c r="AD4" s="446" t="s">
        <v>2546</v>
      </c>
      <c r="AE4" s="446" t="s">
        <v>2606</v>
      </c>
      <c r="AF4" s="447" t="s">
        <v>2721</v>
      </c>
      <c r="AG4" s="448" t="s">
        <v>2723</v>
      </c>
      <c r="AH4" s="449" t="s">
        <v>2724</v>
      </c>
      <c r="AI4" s="449" t="s">
        <v>2595</v>
      </c>
      <c r="AJ4" s="449" t="s">
        <v>2594</v>
      </c>
      <c r="AK4" s="449" t="s">
        <v>2599</v>
      </c>
      <c r="AL4" s="448" t="s">
        <v>2600</v>
      </c>
      <c r="AM4" s="448" t="s">
        <v>2726</v>
      </c>
      <c r="AN4" s="450" t="s">
        <v>2728</v>
      </c>
      <c r="AO4" s="450" t="s">
        <v>2549</v>
      </c>
      <c r="AP4" s="451" t="s">
        <v>2660</v>
      </c>
      <c r="AQ4" s="451" t="s">
        <v>2730</v>
      </c>
      <c r="AR4" s="451" t="s">
        <v>2746</v>
      </c>
      <c r="AS4" s="451" t="s">
        <v>2733</v>
      </c>
      <c r="AT4" s="452" t="s">
        <v>2735</v>
      </c>
      <c r="AU4" s="453" t="s">
        <v>2601</v>
      </c>
      <c r="AV4" s="442" t="s">
        <v>2604</v>
      </c>
      <c r="AW4" s="454" t="s">
        <v>2605</v>
      </c>
      <c r="AX4" s="455" t="s">
        <v>2551</v>
      </c>
      <c r="AY4" s="455" t="s">
        <v>2572</v>
      </c>
      <c r="AZ4" s="455" t="s">
        <v>2554</v>
      </c>
      <c r="BA4" s="455" t="s">
        <v>2556</v>
      </c>
      <c r="BB4" s="455" t="s">
        <v>2737</v>
      </c>
      <c r="BC4" s="455" t="s">
        <v>2558</v>
      </c>
      <c r="BD4" s="456" t="s">
        <v>2560</v>
      </c>
      <c r="BE4" s="456" t="s">
        <v>2662</v>
      </c>
      <c r="BF4" s="456" t="s">
        <v>2562</v>
      </c>
      <c r="BG4" s="457" t="s">
        <v>2563</v>
      </c>
      <c r="BH4" s="456" t="s">
        <v>2663</v>
      </c>
      <c r="BI4" s="456" t="s">
        <v>2573</v>
      </c>
      <c r="BJ4" s="456" t="s">
        <v>2575</v>
      </c>
      <c r="BK4" s="458" t="s">
        <v>2566</v>
      </c>
      <c r="BL4" s="458" t="s">
        <v>2567</v>
      </c>
      <c r="BM4" s="458" t="s">
        <v>2568</v>
      </c>
      <c r="BN4" s="458" t="s">
        <v>2739</v>
      </c>
      <c r="BO4" s="458" t="s">
        <v>2740</v>
      </c>
      <c r="BP4" s="459" t="s">
        <v>2569</v>
      </c>
      <c r="BQ4" s="950"/>
      <c r="BR4" s="951"/>
      <c r="BS4" s="952"/>
      <c r="BT4" s="953"/>
      <c r="BU4" s="951"/>
      <c r="BV4" s="951"/>
      <c r="BW4" s="951"/>
      <c r="BX4" s="951"/>
      <c r="BY4" s="951"/>
      <c r="BZ4" s="951"/>
      <c r="CA4" s="951"/>
      <c r="CB4" s="944"/>
      <c r="CC4" s="956"/>
      <c r="CD4" s="957"/>
      <c r="CE4" s="944"/>
      <c r="CF4" s="944" t="s">
        <v>84</v>
      </c>
      <c r="CG4" s="969"/>
      <c r="CH4" s="973"/>
      <c r="CI4" s="974"/>
      <c r="CJ4" s="966"/>
      <c r="CK4" s="967"/>
      <c r="CL4" s="970"/>
      <c r="CM4" s="632"/>
      <c r="CN4" s="970" t="s">
        <v>2774</v>
      </c>
      <c r="CO4" s="970"/>
      <c r="CP4" s="970"/>
      <c r="CQ4" s="959"/>
      <c r="CR4" s="962"/>
      <c r="CS4" s="963"/>
      <c r="CT4" s="958"/>
      <c r="CU4" s="521" t="s">
        <v>2780</v>
      </c>
      <c r="CV4" s="520"/>
      <c r="CW4" s="520"/>
      <c r="CX4" s="521" t="s">
        <v>2779</v>
      </c>
      <c r="CY4" s="528" t="s">
        <v>1649</v>
      </c>
      <c r="CZ4" s="531"/>
      <c r="DA4" s="541"/>
      <c r="DB4" s="536"/>
      <c r="DC4" s="520"/>
      <c r="DD4" s="520"/>
      <c r="DE4" s="522"/>
      <c r="DF4" s="520"/>
      <c r="DG4" s="520"/>
      <c r="DH4" s="520"/>
      <c r="DI4" s="520"/>
      <c r="DJ4" s="345"/>
      <c r="DK4" s="346"/>
      <c r="DL4" s="346"/>
      <c r="DM4" s="346"/>
      <c r="DN4" s="346"/>
      <c r="DO4" s="346"/>
      <c r="DP4" s="346"/>
      <c r="DQ4" s="346"/>
      <c r="DR4" s="346"/>
      <c r="DS4" s="346"/>
    </row>
    <row r="5" spans="1:138" s="362" customFormat="1" ht="87" customHeight="1" thickBot="1">
      <c r="A5" s="421" t="s">
        <v>2399</v>
      </c>
      <c r="B5" s="422" t="s">
        <v>2401</v>
      </c>
      <c r="C5" s="422" t="s">
        <v>2403</v>
      </c>
      <c r="D5" s="422" t="s">
        <v>2405</v>
      </c>
      <c r="E5" s="423" t="s">
        <v>22</v>
      </c>
      <c r="F5" s="423" t="s">
        <v>23</v>
      </c>
      <c r="G5" s="423" t="s">
        <v>2407</v>
      </c>
      <c r="H5" s="423" t="s">
        <v>2409</v>
      </c>
      <c r="I5" s="423" t="s">
        <v>25</v>
      </c>
      <c r="J5" s="423" t="s">
        <v>1937</v>
      </c>
      <c r="K5" s="424" t="s">
        <v>2411</v>
      </c>
      <c r="L5" s="424" t="s">
        <v>2413</v>
      </c>
      <c r="M5" s="421" t="s">
        <v>2672</v>
      </c>
      <c r="N5" s="421" t="s">
        <v>2039</v>
      </c>
      <c r="O5" s="421" t="s">
        <v>2041</v>
      </c>
      <c r="P5" s="421" t="s">
        <v>2415</v>
      </c>
      <c r="Q5" s="421" t="s">
        <v>2416</v>
      </c>
      <c r="R5" s="421" t="s">
        <v>2418</v>
      </c>
      <c r="S5" s="425" t="s">
        <v>2419</v>
      </c>
      <c r="T5" s="426" t="s">
        <v>2632</v>
      </c>
      <c r="U5" s="426" t="s">
        <v>2585</v>
      </c>
      <c r="V5" s="426" t="s">
        <v>2587</v>
      </c>
      <c r="W5" s="426" t="s">
        <v>2628</v>
      </c>
      <c r="X5" s="426" t="s">
        <v>2633</v>
      </c>
      <c r="Y5" s="426" t="s">
        <v>2679</v>
      </c>
      <c r="Z5" s="426" t="s">
        <v>2681</v>
      </c>
      <c r="AA5" s="426" t="s">
        <v>2683</v>
      </c>
      <c r="AB5" s="426" t="s">
        <v>2641</v>
      </c>
      <c r="AC5" s="426" t="s">
        <v>2642</v>
      </c>
      <c r="AD5" s="426" t="s">
        <v>2423</v>
      </c>
      <c r="AE5" s="426" t="s">
        <v>2609</v>
      </c>
      <c r="AF5" s="427" t="s">
        <v>2686</v>
      </c>
      <c r="AG5" s="428" t="s">
        <v>2688</v>
      </c>
      <c r="AH5" s="429" t="s">
        <v>2427</v>
      </c>
      <c r="AI5" s="625" t="s">
        <v>2578</v>
      </c>
      <c r="AJ5" s="625" t="s">
        <v>2579</v>
      </c>
      <c r="AK5" s="625" t="s">
        <v>2580</v>
      </c>
      <c r="AL5" s="626" t="s">
        <v>2690</v>
      </c>
      <c r="AM5" s="428" t="s">
        <v>2692</v>
      </c>
      <c r="AN5" s="430" t="s">
        <v>2694</v>
      </c>
      <c r="AO5" s="430" t="s">
        <v>66</v>
      </c>
      <c r="AP5" s="431" t="s">
        <v>2635</v>
      </c>
      <c r="AQ5" s="431" t="s">
        <v>2636</v>
      </c>
      <c r="AR5" s="431" t="s">
        <v>2696</v>
      </c>
      <c r="AS5" s="431" t="s">
        <v>2697</v>
      </c>
      <c r="AT5" s="432" t="s">
        <v>2698</v>
      </c>
      <c r="AU5" s="433" t="s">
        <v>2700</v>
      </c>
      <c r="AV5" s="422" t="s">
        <v>2581</v>
      </c>
      <c r="AW5" s="434" t="s">
        <v>2703</v>
      </c>
      <c r="AX5" s="435" t="s">
        <v>2488</v>
      </c>
      <c r="AY5" s="435" t="s">
        <v>2489</v>
      </c>
      <c r="AZ5" s="435" t="s">
        <v>2610</v>
      </c>
      <c r="BA5" s="435" t="s">
        <v>2611</v>
      </c>
      <c r="BB5" s="435" t="s">
        <v>2745</v>
      </c>
      <c r="BC5" s="435" t="s">
        <v>72</v>
      </c>
      <c r="BD5" s="436" t="s">
        <v>2612</v>
      </c>
      <c r="BE5" s="436" t="s">
        <v>2645</v>
      </c>
      <c r="BF5" s="436" t="s">
        <v>2613</v>
      </c>
      <c r="BG5" s="437" t="s">
        <v>2614</v>
      </c>
      <c r="BH5" s="436" t="s">
        <v>2647</v>
      </c>
      <c r="BI5" s="436" t="s">
        <v>2457</v>
      </c>
      <c r="BJ5" s="436" t="s">
        <v>2463</v>
      </c>
      <c r="BK5" s="438" t="s">
        <v>2466</v>
      </c>
      <c r="BL5" s="438" t="s">
        <v>2469</v>
      </c>
      <c r="BM5" s="438" t="s">
        <v>2709</v>
      </c>
      <c r="BN5" s="545" t="s">
        <v>2785</v>
      </c>
      <c r="BO5" s="438" t="s">
        <v>2714</v>
      </c>
      <c r="BP5" s="439" t="s">
        <v>79</v>
      </c>
      <c r="BQ5" s="472" t="s">
        <v>2753</v>
      </c>
      <c r="BR5" s="465" t="s">
        <v>2754</v>
      </c>
      <c r="BS5" s="473" t="s">
        <v>2755</v>
      </c>
      <c r="BT5" s="467" t="s">
        <v>2756</v>
      </c>
      <c r="BU5" s="463" t="s">
        <v>2757</v>
      </c>
      <c r="BV5" s="463" t="s">
        <v>2758</v>
      </c>
      <c r="BW5" s="463" t="s">
        <v>2762</v>
      </c>
      <c r="BX5" s="463" t="s">
        <v>2686</v>
      </c>
      <c r="BY5" s="465" t="s">
        <v>125</v>
      </c>
      <c r="BZ5" s="465" t="s">
        <v>126</v>
      </c>
      <c r="CA5" s="465" t="s">
        <v>127</v>
      </c>
      <c r="CB5" s="481" t="s">
        <v>128</v>
      </c>
      <c r="CC5" s="463" t="s">
        <v>1930</v>
      </c>
      <c r="CD5" s="481" t="s">
        <v>129</v>
      </c>
      <c r="CE5" s="463" t="s">
        <v>130</v>
      </c>
      <c r="CF5" s="480" t="s">
        <v>2768</v>
      </c>
      <c r="CG5" s="479" t="s">
        <v>131</v>
      </c>
      <c r="CH5" s="472" t="s">
        <v>132</v>
      </c>
      <c r="CI5" s="492" t="s">
        <v>2775</v>
      </c>
      <c r="CJ5" s="489" t="s">
        <v>133</v>
      </c>
      <c r="CK5" s="479" t="s">
        <v>134</v>
      </c>
      <c r="CL5" s="495" t="s">
        <v>2522</v>
      </c>
      <c r="CM5" s="495" t="s">
        <v>3032</v>
      </c>
      <c r="CN5" s="497" t="s">
        <v>2773</v>
      </c>
      <c r="CO5" s="496" t="s">
        <v>2526</v>
      </c>
      <c r="CP5" s="496" t="s">
        <v>2527</v>
      </c>
      <c r="CQ5" s="502" t="s">
        <v>136</v>
      </c>
      <c r="CR5" s="510" t="s">
        <v>135</v>
      </c>
      <c r="CS5" s="511" t="s">
        <v>3031</v>
      </c>
      <c r="CT5" s="505" t="s">
        <v>2649</v>
      </c>
      <c r="CU5" s="516" t="s">
        <v>86</v>
      </c>
      <c r="CV5" s="516" t="s">
        <v>1967</v>
      </c>
      <c r="CW5" s="516" t="s">
        <v>1968</v>
      </c>
      <c r="CX5" s="516" t="s">
        <v>1966</v>
      </c>
      <c r="CY5" s="527" t="s">
        <v>2781</v>
      </c>
      <c r="CZ5" s="529" t="s">
        <v>137</v>
      </c>
      <c r="DA5" s="542" t="s">
        <v>2650</v>
      </c>
      <c r="DB5" s="534" t="s">
        <v>138</v>
      </c>
      <c r="DC5" s="516" t="s">
        <v>139</v>
      </c>
      <c r="DD5" s="516" t="s">
        <v>140</v>
      </c>
      <c r="DE5" s="516" t="s">
        <v>2777</v>
      </c>
      <c r="DF5" s="516" t="s">
        <v>141</v>
      </c>
      <c r="DG5" s="516" t="s">
        <v>2784</v>
      </c>
      <c r="DH5" s="516" t="s">
        <v>2784</v>
      </c>
      <c r="DI5" s="516" t="s">
        <v>3105</v>
      </c>
      <c r="DJ5" s="360" t="s">
        <v>28</v>
      </c>
      <c r="DK5" s="361" t="s">
        <v>29</v>
      </c>
      <c r="DL5" s="361" t="s">
        <v>143</v>
      </c>
      <c r="DM5" s="361" t="s">
        <v>30</v>
      </c>
      <c r="DN5" s="361" t="s">
        <v>31</v>
      </c>
      <c r="DO5" s="361" t="s">
        <v>32</v>
      </c>
      <c r="DP5" s="361" t="s">
        <v>33</v>
      </c>
      <c r="DQ5" s="361" t="s">
        <v>34</v>
      </c>
      <c r="DR5" s="361" t="s">
        <v>35</v>
      </c>
      <c r="DS5" s="361" t="s">
        <v>36</v>
      </c>
    </row>
    <row r="6" spans="1:138" s="372" customFormat="1" ht="39.75" customHeight="1" thickBot="1">
      <c r="A6" s="363" t="s">
        <v>16</v>
      </c>
      <c r="B6" s="364" t="s">
        <v>16</v>
      </c>
      <c r="C6" s="364" t="s">
        <v>16</v>
      </c>
      <c r="D6" s="364" t="s">
        <v>18</v>
      </c>
      <c r="E6" s="365" t="s">
        <v>16</v>
      </c>
      <c r="F6" s="365" t="s">
        <v>16</v>
      </c>
      <c r="G6" s="365" t="s">
        <v>2626</v>
      </c>
      <c r="H6" s="365" t="s">
        <v>16</v>
      </c>
      <c r="I6" s="365" t="s">
        <v>17</v>
      </c>
      <c r="J6" s="365" t="s">
        <v>17</v>
      </c>
      <c r="K6" s="366" t="s">
        <v>19</v>
      </c>
      <c r="L6" s="366" t="s">
        <v>19</v>
      </c>
      <c r="M6" s="363" t="s">
        <v>17</v>
      </c>
      <c r="N6" s="363" t="s">
        <v>17</v>
      </c>
      <c r="O6" s="363" t="s">
        <v>17</v>
      </c>
      <c r="P6" s="363" t="s">
        <v>17</v>
      </c>
      <c r="Q6" s="363" t="s">
        <v>2417</v>
      </c>
      <c r="R6" s="363" t="s">
        <v>17</v>
      </c>
      <c r="S6" s="363" t="s">
        <v>17</v>
      </c>
      <c r="T6" s="367" t="s">
        <v>17</v>
      </c>
      <c r="U6" s="367" t="s">
        <v>17</v>
      </c>
      <c r="V6" s="367" t="s">
        <v>17</v>
      </c>
      <c r="W6" s="367" t="s">
        <v>17</v>
      </c>
      <c r="X6" s="367" t="s">
        <v>17</v>
      </c>
      <c r="Y6" s="367" t="s">
        <v>17</v>
      </c>
      <c r="Z6" s="367" t="s">
        <v>17</v>
      </c>
      <c r="AA6" s="367" t="s">
        <v>2684</v>
      </c>
      <c r="AB6" s="367" t="s">
        <v>2684</v>
      </c>
      <c r="AC6" s="367" t="s">
        <v>2684</v>
      </c>
      <c r="AD6" s="367" t="s">
        <v>2582</v>
      </c>
      <c r="AE6" s="367" t="s">
        <v>17</v>
      </c>
      <c r="AF6" s="367" t="s">
        <v>2582</v>
      </c>
      <c r="AG6" s="367" t="s">
        <v>17</v>
      </c>
      <c r="AH6" s="367" t="s">
        <v>17</v>
      </c>
      <c r="AI6" s="367" t="s">
        <v>17</v>
      </c>
      <c r="AJ6" s="367" t="s">
        <v>17</v>
      </c>
      <c r="AK6" s="367" t="s">
        <v>17</v>
      </c>
      <c r="AL6" s="367" t="s">
        <v>17</v>
      </c>
      <c r="AM6" s="367" t="s">
        <v>17</v>
      </c>
      <c r="AN6" s="367" t="s">
        <v>17</v>
      </c>
      <c r="AO6" s="367" t="s">
        <v>18</v>
      </c>
      <c r="AP6" s="368" t="s">
        <v>17</v>
      </c>
      <c r="AQ6" s="368" t="s">
        <v>17</v>
      </c>
      <c r="AR6" s="368" t="s">
        <v>18</v>
      </c>
      <c r="AS6" s="368" t="s">
        <v>17</v>
      </c>
      <c r="AT6" s="368" t="s">
        <v>17</v>
      </c>
      <c r="AU6" s="368" t="s">
        <v>17</v>
      </c>
      <c r="AV6" s="368" t="s">
        <v>2684</v>
      </c>
      <c r="AW6" s="368" t="s">
        <v>17</v>
      </c>
      <c r="AX6" s="368" t="s">
        <v>2588</v>
      </c>
      <c r="AY6" s="368" t="s">
        <v>2584</v>
      </c>
      <c r="AZ6" s="368" t="s">
        <v>17</v>
      </c>
      <c r="BA6" s="368" t="s">
        <v>17</v>
      </c>
      <c r="BB6" s="368" t="s">
        <v>17</v>
      </c>
      <c r="BC6" s="368" t="s">
        <v>18</v>
      </c>
      <c r="BD6" s="369" t="s">
        <v>17</v>
      </c>
      <c r="BE6" s="369" t="s">
        <v>17</v>
      </c>
      <c r="BF6" s="369" t="s">
        <v>17</v>
      </c>
      <c r="BG6" s="369" t="s">
        <v>17</v>
      </c>
      <c r="BH6" s="369" t="s">
        <v>17</v>
      </c>
      <c r="BI6" s="369" t="s">
        <v>17</v>
      </c>
      <c r="BJ6" s="369" t="s">
        <v>17</v>
      </c>
      <c r="BK6" s="369" t="s">
        <v>17</v>
      </c>
      <c r="BL6" s="369" t="s">
        <v>17</v>
      </c>
      <c r="BM6" s="369" t="s">
        <v>2583</v>
      </c>
      <c r="BN6" s="369" t="s">
        <v>17</v>
      </c>
      <c r="BO6" s="369" t="s">
        <v>57</v>
      </c>
      <c r="BP6" s="440" t="s">
        <v>18</v>
      </c>
      <c r="BQ6" s="945"/>
      <c r="BR6" s="946"/>
      <c r="BS6" s="947"/>
      <c r="BT6" s="468" t="s">
        <v>17</v>
      </c>
      <c r="BU6" s="466" t="s">
        <v>17</v>
      </c>
      <c r="BV6" s="466" t="s">
        <v>2684</v>
      </c>
      <c r="BW6" s="466" t="s">
        <v>2582</v>
      </c>
      <c r="BX6" s="466" t="s">
        <v>2582</v>
      </c>
      <c r="BY6" s="466" t="s">
        <v>57</v>
      </c>
      <c r="BZ6" s="466" t="s">
        <v>57</v>
      </c>
      <c r="CA6" s="466" t="s">
        <v>57</v>
      </c>
      <c r="CB6" s="477" t="s">
        <v>17</v>
      </c>
      <c r="CC6" s="466" t="s">
        <v>57</v>
      </c>
      <c r="CD6" s="483" t="s">
        <v>17</v>
      </c>
      <c r="CE6" s="483"/>
      <c r="CF6" s="483"/>
      <c r="CG6" s="486"/>
      <c r="CH6" s="945" t="s">
        <v>2100</v>
      </c>
      <c r="CI6" s="947"/>
      <c r="CJ6" s="490" t="s">
        <v>17</v>
      </c>
      <c r="CK6" s="486" t="s">
        <v>17</v>
      </c>
      <c r="CL6" s="498" t="s">
        <v>17</v>
      </c>
      <c r="CM6" s="498" t="s">
        <v>57</v>
      </c>
      <c r="CN6" s="499" t="s">
        <v>17</v>
      </c>
      <c r="CO6" s="500"/>
      <c r="CP6" s="500"/>
      <c r="CQ6" s="503" t="s">
        <v>17</v>
      </c>
      <c r="CR6" s="512" t="s">
        <v>17</v>
      </c>
      <c r="CS6" s="513" t="s">
        <v>57</v>
      </c>
      <c r="CT6" s="506" t="s">
        <v>57</v>
      </c>
      <c r="CU6" s="523" t="s">
        <v>17</v>
      </c>
      <c r="CV6" s="524" t="s">
        <v>17</v>
      </c>
      <c r="CW6" s="524" t="s">
        <v>17</v>
      </c>
      <c r="CX6" s="524" t="s">
        <v>17</v>
      </c>
      <c r="CY6" s="524"/>
      <c r="CZ6" s="532" t="s">
        <v>57</v>
      </c>
      <c r="DA6" s="543" t="s">
        <v>57</v>
      </c>
      <c r="DB6" s="537" t="s">
        <v>57</v>
      </c>
      <c r="DC6" s="524" t="s">
        <v>57</v>
      </c>
      <c r="DD6" s="524" t="s">
        <v>57</v>
      </c>
      <c r="DE6" s="524" t="s">
        <v>17</v>
      </c>
      <c r="DF6" s="524" t="s">
        <v>17</v>
      </c>
      <c r="DG6" s="524" t="s">
        <v>17</v>
      </c>
      <c r="DH6" s="524" t="s">
        <v>17</v>
      </c>
      <c r="DI6" s="686"/>
      <c r="DJ6" s="370"/>
      <c r="DK6" s="371"/>
      <c r="DL6" s="371"/>
      <c r="DM6" s="371"/>
      <c r="DN6" s="371"/>
      <c r="DO6" s="371"/>
      <c r="DP6" s="371"/>
      <c r="DQ6" s="371"/>
      <c r="DR6" s="371"/>
      <c r="DS6" s="371"/>
    </row>
    <row r="7" spans="1:138" s="330" customFormat="1" ht="21.75" customHeight="1" thickTop="1" thickBot="1">
      <c r="A7" s="325" t="s">
        <v>20</v>
      </c>
      <c r="B7" s="303" t="s">
        <v>2401</v>
      </c>
      <c r="C7" s="303" t="s">
        <v>2403</v>
      </c>
      <c r="D7" s="303" t="s">
        <v>27</v>
      </c>
      <c r="E7" s="304" t="s">
        <v>22</v>
      </c>
      <c r="F7" s="304" t="s">
        <v>23</v>
      </c>
      <c r="G7" s="304" t="s">
        <v>142</v>
      </c>
      <c r="H7" s="304" t="s">
        <v>24</v>
      </c>
      <c r="I7" s="304" t="s">
        <v>25</v>
      </c>
      <c r="J7" s="304" t="s">
        <v>26</v>
      </c>
      <c r="K7" s="305" t="s">
        <v>2411</v>
      </c>
      <c r="L7" s="305" t="s">
        <v>2413</v>
      </c>
      <c r="M7" s="325" t="s">
        <v>2747</v>
      </c>
      <c r="N7" s="325" t="s">
        <v>2491</v>
      </c>
      <c r="O7" s="325" t="s">
        <v>2492</v>
      </c>
      <c r="P7" s="325" t="s">
        <v>54</v>
      </c>
      <c r="Q7" s="325" t="s">
        <v>2668</v>
      </c>
      <c r="R7" s="325" t="s">
        <v>2493</v>
      </c>
      <c r="S7" s="325" t="s">
        <v>2494</v>
      </c>
      <c r="T7" s="326" t="s">
        <v>2669</v>
      </c>
      <c r="U7" s="326" t="s">
        <v>2495</v>
      </c>
      <c r="V7" s="326" t="s">
        <v>2496</v>
      </c>
      <c r="W7" s="301" t="s">
        <v>2670</v>
      </c>
      <c r="X7" s="301" t="s">
        <v>2499</v>
      </c>
      <c r="Y7" s="301" t="s">
        <v>2497</v>
      </c>
      <c r="Z7" s="301" t="s">
        <v>2498</v>
      </c>
      <c r="AA7" s="301" t="s">
        <v>2615</v>
      </c>
      <c r="AB7" s="301" t="s">
        <v>2500</v>
      </c>
      <c r="AC7" s="301" t="s">
        <v>2501</v>
      </c>
      <c r="AD7" s="301" t="s">
        <v>2502</v>
      </c>
      <c r="AE7" s="301" t="s">
        <v>2616</v>
      </c>
      <c r="AF7" s="301" t="s">
        <v>2617</v>
      </c>
      <c r="AG7" s="301" t="s">
        <v>2748</v>
      </c>
      <c r="AH7" s="301" t="s">
        <v>2503</v>
      </c>
      <c r="AI7" s="301" t="s">
        <v>2504</v>
      </c>
      <c r="AJ7" s="301" t="s">
        <v>2505</v>
      </c>
      <c r="AK7" s="301" t="s">
        <v>2506</v>
      </c>
      <c r="AL7" s="301" t="s">
        <v>2507</v>
      </c>
      <c r="AM7" s="301" t="s">
        <v>2618</v>
      </c>
      <c r="AN7" s="301" t="s">
        <v>2749</v>
      </c>
      <c r="AO7" s="301" t="s">
        <v>1657</v>
      </c>
      <c r="AP7" s="306" t="s">
        <v>2671</v>
      </c>
      <c r="AQ7" s="306" t="s">
        <v>2484</v>
      </c>
      <c r="AR7" s="306" t="s">
        <v>2750</v>
      </c>
      <c r="AS7" s="306" t="s">
        <v>2482</v>
      </c>
      <c r="AT7" s="306" t="s">
        <v>2483</v>
      </c>
      <c r="AU7" s="306" t="s">
        <v>2485</v>
      </c>
      <c r="AV7" s="314" t="s">
        <v>2486</v>
      </c>
      <c r="AW7" s="315" t="s">
        <v>2487</v>
      </c>
      <c r="AX7" s="316" t="s">
        <v>2490</v>
      </c>
      <c r="AY7" s="317" t="s">
        <v>2489</v>
      </c>
      <c r="AZ7" s="307" t="s">
        <v>2619</v>
      </c>
      <c r="BA7" s="307" t="s">
        <v>2620</v>
      </c>
      <c r="BB7" s="307" t="s">
        <v>2621</v>
      </c>
      <c r="BC7" s="307" t="s">
        <v>1658</v>
      </c>
      <c r="BD7" s="307" t="s">
        <v>2622</v>
      </c>
      <c r="BE7" s="308" t="s">
        <v>2665</v>
      </c>
      <c r="BF7" s="308" t="s">
        <v>2666</v>
      </c>
      <c r="BG7" s="308" t="s">
        <v>2623</v>
      </c>
      <c r="BH7" s="308" t="s">
        <v>2667</v>
      </c>
      <c r="BI7" s="308" t="s">
        <v>2508</v>
      </c>
      <c r="BJ7" s="308" t="s">
        <v>2509</v>
      </c>
      <c r="BK7" s="308" t="s">
        <v>2510</v>
      </c>
      <c r="BL7" s="308" t="s">
        <v>2511</v>
      </c>
      <c r="BM7" s="308" t="s">
        <v>78</v>
      </c>
      <c r="BN7" s="308" t="s">
        <v>2512</v>
      </c>
      <c r="BO7" s="308" t="s">
        <v>2751</v>
      </c>
      <c r="BP7" s="308" t="s">
        <v>2513</v>
      </c>
      <c r="BQ7" s="474" t="s">
        <v>2753</v>
      </c>
      <c r="BR7" s="475" t="s">
        <v>2752</v>
      </c>
      <c r="BS7" s="476" t="s">
        <v>2755</v>
      </c>
      <c r="BT7" s="460" t="s">
        <v>2759</v>
      </c>
      <c r="BU7" s="460" t="s">
        <v>2760</v>
      </c>
      <c r="BV7" s="460" t="s">
        <v>2761</v>
      </c>
      <c r="BW7" s="460" t="s">
        <v>2763</v>
      </c>
      <c r="BX7" s="460" t="s">
        <v>2686</v>
      </c>
      <c r="BY7" s="461" t="s">
        <v>1652</v>
      </c>
      <c r="BZ7" s="462" t="s">
        <v>1653</v>
      </c>
      <c r="CA7" s="478" t="s">
        <v>1654</v>
      </c>
      <c r="CB7" s="482" t="s">
        <v>2767</v>
      </c>
      <c r="CC7" s="484" t="s">
        <v>3019</v>
      </c>
      <c r="CD7" s="482" t="s">
        <v>1666</v>
      </c>
      <c r="CE7" s="485" t="s">
        <v>2766</v>
      </c>
      <c r="CF7" s="546" t="s">
        <v>84</v>
      </c>
      <c r="CG7" s="487" t="s">
        <v>1655</v>
      </c>
      <c r="CH7" s="474" t="s">
        <v>1990</v>
      </c>
      <c r="CI7" s="476" t="s">
        <v>2769</v>
      </c>
      <c r="CJ7" s="491" t="s">
        <v>1656</v>
      </c>
      <c r="CK7" s="494" t="s">
        <v>134</v>
      </c>
      <c r="CL7" s="501" t="s">
        <v>2523</v>
      </c>
      <c r="CM7" s="501" t="s">
        <v>3032</v>
      </c>
      <c r="CN7" s="547" t="s">
        <v>2774</v>
      </c>
      <c r="CO7" s="501" t="s">
        <v>2525</v>
      </c>
      <c r="CP7" s="501" t="s">
        <v>2772</v>
      </c>
      <c r="CQ7" s="504" t="s">
        <v>136</v>
      </c>
      <c r="CR7" s="514" t="s">
        <v>135</v>
      </c>
      <c r="CS7" s="515" t="s">
        <v>1991</v>
      </c>
      <c r="CT7" s="507" t="s">
        <v>1955</v>
      </c>
      <c r="CU7" s="525" t="s">
        <v>1956</v>
      </c>
      <c r="CV7" s="526" t="s">
        <v>1967</v>
      </c>
      <c r="CW7" s="526" t="s">
        <v>1968</v>
      </c>
      <c r="CX7" s="525" t="s">
        <v>1969</v>
      </c>
      <c r="CY7" s="548" t="s">
        <v>2778</v>
      </c>
      <c r="CZ7" s="533" t="s">
        <v>1659</v>
      </c>
      <c r="DA7" s="544" t="s">
        <v>1660</v>
      </c>
      <c r="DB7" s="538" t="s">
        <v>1661</v>
      </c>
      <c r="DC7" s="526" t="s">
        <v>1662</v>
      </c>
      <c r="DD7" s="526" t="s">
        <v>140</v>
      </c>
      <c r="DE7" s="526" t="s">
        <v>2776</v>
      </c>
      <c r="DF7" s="526" t="s">
        <v>1663</v>
      </c>
      <c r="DG7" s="526" t="s">
        <v>2783</v>
      </c>
      <c r="DH7" s="614" t="s">
        <v>3009</v>
      </c>
      <c r="DI7" s="614" t="s">
        <v>3105</v>
      </c>
      <c r="DJ7" s="327" t="s">
        <v>28</v>
      </c>
      <c r="DK7" s="327" t="s">
        <v>29</v>
      </c>
      <c r="DL7" s="327" t="s">
        <v>143</v>
      </c>
      <c r="DM7" s="327" t="s">
        <v>30</v>
      </c>
      <c r="DN7" s="327" t="s">
        <v>31</v>
      </c>
      <c r="DO7" s="327" t="s">
        <v>32</v>
      </c>
      <c r="DP7" s="327" t="s">
        <v>33</v>
      </c>
      <c r="DQ7" s="327" t="s">
        <v>34</v>
      </c>
      <c r="DR7" s="328" t="s">
        <v>35</v>
      </c>
      <c r="DS7" s="329" t="s">
        <v>36</v>
      </c>
    </row>
    <row r="8" spans="1:138" ht="15.75" customHeight="1">
      <c r="A8" s="238" t="s">
        <v>2518</v>
      </c>
      <c r="B8" s="574" t="s">
        <v>284</v>
      </c>
      <c r="C8" s="574" t="s">
        <v>284</v>
      </c>
      <c r="D8" s="574" t="s">
        <v>2955</v>
      </c>
      <c r="E8" s="574" t="s">
        <v>39</v>
      </c>
      <c r="F8" s="574" t="s">
        <v>203</v>
      </c>
      <c r="G8" s="574" t="str">
        <f>VLOOKUP(WWWW[[#This Row],[Site Name]],SiteDB6[[Site Name]:[Location Type]],8,FALSE)</f>
        <v>Camp_not registered</v>
      </c>
      <c r="H8" s="574" t="s">
        <v>1100</v>
      </c>
      <c r="I8" s="583">
        <v>70</v>
      </c>
      <c r="J8" s="583">
        <v>356</v>
      </c>
      <c r="K8" s="553" t="s">
        <v>2956</v>
      </c>
      <c r="L8" s="77" t="s">
        <v>2957</v>
      </c>
      <c r="M8" s="583"/>
      <c r="N8" s="583">
        <v>0</v>
      </c>
      <c r="O8" s="583">
        <v>0</v>
      </c>
      <c r="P8" s="583">
        <v>0</v>
      </c>
      <c r="Q8" s="76" t="s">
        <v>43</v>
      </c>
      <c r="R8" s="310">
        <v>0</v>
      </c>
      <c r="S8" s="310">
        <v>0</v>
      </c>
      <c r="T8" s="310">
        <v>0</v>
      </c>
      <c r="U8" s="310"/>
      <c r="V8" s="310"/>
      <c r="W8" s="310">
        <v>1</v>
      </c>
      <c r="X8" s="310">
        <v>0</v>
      </c>
      <c r="Y8" s="310"/>
      <c r="Z8" s="310"/>
      <c r="AA8" s="310"/>
      <c r="AB8" s="310"/>
      <c r="AC8" s="310"/>
      <c r="AD8" s="310"/>
      <c r="AE8" s="310"/>
      <c r="AF8" s="310"/>
      <c r="AG8" s="310"/>
      <c r="AH8" s="310"/>
      <c r="AI8" s="310">
        <v>1</v>
      </c>
      <c r="AJ8" s="310">
        <v>1</v>
      </c>
      <c r="AK8" s="310">
        <v>8</v>
      </c>
      <c r="AL8" s="310">
        <v>0</v>
      </c>
      <c r="AM8" s="310"/>
      <c r="AN8" s="310"/>
      <c r="AO8" s="207"/>
      <c r="AP8" s="310">
        <v>13</v>
      </c>
      <c r="AQ8" s="310"/>
      <c r="AR8" s="76"/>
      <c r="AS8" s="310"/>
      <c r="AT8" s="310"/>
      <c r="AU8" s="310"/>
      <c r="AV8" s="310"/>
      <c r="AW8" s="310"/>
      <c r="AX8" s="231" t="s">
        <v>43</v>
      </c>
      <c r="AY8" s="231" t="s">
        <v>145</v>
      </c>
      <c r="AZ8" s="310">
        <v>0</v>
      </c>
      <c r="BA8" s="310">
        <v>1</v>
      </c>
      <c r="BB8" s="310"/>
      <c r="BC8" s="207"/>
      <c r="BD8" s="310">
        <v>3</v>
      </c>
      <c r="BE8" s="310">
        <v>0</v>
      </c>
      <c r="BF8" s="310"/>
      <c r="BG8" s="310">
        <v>2</v>
      </c>
      <c r="BH8" s="310"/>
      <c r="BI8" s="310">
        <v>0</v>
      </c>
      <c r="BJ8" s="310">
        <v>1</v>
      </c>
      <c r="BK8" s="310"/>
      <c r="BL8" s="310"/>
      <c r="BM8" s="207"/>
      <c r="BN8" s="79"/>
      <c r="BO8" s="81"/>
      <c r="BP8" s="207"/>
      <c r="BQ8" s="78">
        <f>IFERROR(WWWW[[#This Row],['#_Water sources treated]]/WWWW[[#This Row],['#_Water sources tested for contamination]],"no test")</f>
        <v>1</v>
      </c>
      <c r="BR8" s="81">
        <f>IFERROR(WWWW[[#This Row],['#_Household received remediation action due to contamination]]/WWWW[[#This Row],['#_Household water samples tested for contamination]],"no test")</f>
        <v>0</v>
      </c>
      <c r="BS8" s="80" t="str">
        <f>IF(AND(WWWW[[#This Row],[% of water sources treated]]="no test",WWWW[[#This Row],[% Household received corrective actions]]="no test"),"No Test","Tested")</f>
        <v>Tested</v>
      </c>
      <c r="BT8" s="80">
        <f>WWWW[[#This Row],['#_Constructed/existing protected hand dug well]]-WWWW[[#This Row],['#_Non-functional protected hand dug well]]</f>
        <v>0</v>
      </c>
      <c r="BU8" s="80">
        <f>(WWWW[[#This Row],['#_Constructed/Existing tube wells/boreholes/handpumps_WASH_agency]]+WWWW[[#This Row],['#_Non-Cluster partner water tube-wells/boreholes/handpumps]])-WWWW[[#This Row],['#_Non-functional tube wells/boreholes/handpumps]]</f>
        <v>1</v>
      </c>
      <c r="BV8" s="80">
        <f>WWWW[[#This Row],['#_Constructed/Existingwater storage tank with gravity fed reticulation system]]-WWWW[[#This Row],['#_Non-functional storage tank gravity fed reticulation system]]</f>
        <v>0</v>
      </c>
      <c r="BW8" s="80">
        <f>WWWW[[#This Row],['#_Water boating or water trucking]]</f>
        <v>0</v>
      </c>
      <c r="BX8" s="80">
        <f>WWWW[[#This Row],['#_Constructed/Existing water distribution system from river or natural spring]]</f>
        <v>0</v>
      </c>
      <c r="BY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0.702247191011236</v>
      </c>
      <c r="CA8" s="81">
        <f>IF(WWWW[[#This Row],[Location Type 1]]="Village",WWWW[[#This Row],[Access to safe drinking water for Village]],WWWW[[#This Row],[Access to safe drinking water for Camp]])</f>
        <v>1</v>
      </c>
      <c r="CB8" s="79">
        <f>WWWW[[#This Row],[%Equitable and continuous access to sufficient quantity of safe drinking water]]*WWWW[[#This Row],[Total PoP ]]</f>
        <v>356</v>
      </c>
      <c r="CC8" s="81">
        <f>IF((WWWW[[#This Row],['#_Constructed/Existing protected/fenced ponds]]*250)/WWWW[[#This Row],[Total PoP ]]&gt;1,1,(WWWW[[#This Row],['#_Constructed/Existing protected/fenced ponds]]*250)/WWWW[[#This Row],[Total PoP ]])</f>
        <v>0</v>
      </c>
      <c r="CD8" s="79">
        <f>WWWW[[#This Row],[% Access to unimproved water points]]*WWWW[[#This Row],[Total PoP ]]</f>
        <v>0</v>
      </c>
      <c r="CE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G8" s="79">
        <f>WWWW[[#This Row],[HRP1]]/500</f>
        <v>0.71199999999999997</v>
      </c>
      <c r="CH8" s="78">
        <f>1-WWWW[[#This Row],[% Equitable and continuous access to sufficient quantity of domestic water]]</f>
        <v>0</v>
      </c>
      <c r="CI8" s="79">
        <f>WWWW[[#This Row],[%equitable and continuous access to sufficient quantity of safe drinking and domestic water''s GAP]]*WWWW[[#This Row],[Total PoP ]]</f>
        <v>0</v>
      </c>
      <c r="CJ8" s="80">
        <f>IF(WWWW[[#This Row],[Total required water points]]-WWWW[[#This Row],['#Water points coverage]]&lt;0,0,WWWW[[#This Row],[Total required water points]]-WWWW[[#This Row],['#Water points coverage]])</f>
        <v>0.28800000000000003</v>
      </c>
      <c r="CK8" s="80">
        <f>ROUND(IF(WWWW[[#This Row],[Total PoP ]]&lt;500,1,WWWW[[#This Row],[Total PoP ]]/500),0)</f>
        <v>1</v>
      </c>
      <c r="CL8" s="80">
        <f>(WWWW[[#This Row],['#_Constructed latrines_by_WASHAgencies]]+WWWW[[#This Row],['#_Non Cluster partner latrines]])-WWWW[[#This Row],['#_Non-functional latrines]]</f>
        <v>13</v>
      </c>
      <c r="CM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0.7303370786516854</v>
      </c>
      <c r="CN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 s="80">
        <f>IF(WWWW[[#This Row],[Location Type 1]]="Village","NA",IF(WWWW[[#This Row],['#_Constructed/Existing latrines in TLS]]*50&gt;WWWW[[#This Row],['#_students at TLS_CFS]],WWWW[[#This Row],['#_students at TLS_CFS]],(WWWW[[#This Row],['#_Constructed/Existing latrines in TLS]]*50)))</f>
        <v>0</v>
      </c>
      <c r="CQ8" s="80">
        <f>ROUND(IF(WWWW[[#This Row],[Location Type 1]]="camp",WWWW[[#This Row],[Total PoP ]]/20,IF(WWWW[[#This Row],[Location Type 1]]="Temporary Location",WWWW[[#This Row],[Total PoP ]]/50,(WWWW[[#This Row],[Total PoP ]]/6))),0)</f>
        <v>18</v>
      </c>
      <c r="CR8" s="578">
        <f>IF(WWWW[[#This Row],[Total required Latrines]]-(WWWW[[#This Row],['#_Constructed latrines_by_WASHAgencies]]+WWWW[[#This Row],['#_Non Cluster partner latrines]])&lt;0,0,WWWW[[#This Row],[Total required Latrines]]-(WWWW[[#This Row],['#_Constructed latrines_by_WASHAgencies]]+WWWW[[#This Row],['#_Non Cluster partner latrines]]))</f>
        <v>5</v>
      </c>
      <c r="CS8" s="78">
        <f>1-WWWW[[#This Row],[% people access to functioning Latrine]]</f>
        <v>0.2696629213483146</v>
      </c>
      <c r="CT8" s="82">
        <f>IF(OR(WWWW[[#This Row],['#_Non-functional latrines]]="",WWWW[[#This Row],['#_Non-functional latrines]]=0),0,WWWW[[#This Row],['#_Non-functional latrines]]/(WWWW[[#This Row],['#_Constructed latrines_by_WASHAgencies]]+WWWW[[#This Row],['#_Non Cluster partner latrines]]))</f>
        <v>0</v>
      </c>
      <c r="CU8" s="79">
        <f>IF(500*(WWWW[[#This Row],['#_male hygiene promoters]]+WWWW[[#This Row],['#_female hygiene promoters]])&gt;WWWW[[#This Row],[Total PoP ]],WWWW[[#This Row],[Total PoP ]],500*(WWWW[[#This Row],['#_male hygiene promoters]]+WWWW[[#This Row],['#_female hygiene promoters]]))</f>
        <v>356</v>
      </c>
      <c r="CV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 s="80">
        <f>IF(WWWW[[#This Row],['# People with access to soap]]&gt;WWWW[[#This Row],['# People with access to Sanity Pads]],WWWW[[#This Row],['# People with access to soap]],WWWW[[#This Row],['# People with access to Sanity Pads]])</f>
        <v>0</v>
      </c>
      <c r="CY8" s="80">
        <f>IF(WWWW[[#This Row],['# people reached by regular dedicated hygiene promotion_5]]&gt;WWWW[[#This Row],['# People received regular supply of hygiene items_6]],WWWW[[#This Row],['# people reached by regular dedicated hygiene promotion_5]],WWWW[[#This Row],['# People received regular supply of hygiene items_6]])</f>
        <v>356</v>
      </c>
      <c r="CZ8" s="78">
        <f>IF(WWWW[[#This Row],[HRP3]]/WWWW[[#This Row],[Total PoP ]]&gt;100%,100%,WWWW[[#This Row],[HRP3]]/WWWW[[#This Row],[Total PoP ]])</f>
        <v>1</v>
      </c>
      <c r="DA8" s="82">
        <f>1-WWWW[[#This Row],[Hygiene Coverage%]]</f>
        <v>0</v>
      </c>
      <c r="DB8" s="81">
        <f>WWWW[[#This Row],['# people reached by regular dedicated hygiene promotion_5]]/WWWW[[#This Row],[Total PoP ]]</f>
        <v>1</v>
      </c>
      <c r="DC8" s="81">
        <f>IF(WWWW[[#This Row],['#_households that received standard amount of soap for this quarter]]/WWWW[[#This Row],[Total HH]]&gt;1,1,WWWW[[#This Row],['#_households that received standard amount of soap for this quarter]]/WWWW[[#This Row],[Total HH]])</f>
        <v>0</v>
      </c>
      <c r="DD8" s="81">
        <f>IF(WWWW[[#This Row],['#_households that received standard amount of sanitary pads for this quarter]]/WWWW[[#This Row],[Total HH]]&gt;1,1,WWWW[[#This Row],['#_households that received standard amount of sanitary pads for this quarter]]/WWWW[[#This Row],[Total HH]])</f>
        <v>0</v>
      </c>
      <c r="DE8" s="80">
        <f>WWWW[[#This Row],['#_Constructed/Existing hand washing stations]]-WWWW[[#This Row],['#_Non-Functional_hand_washing_stations]]</f>
        <v>3</v>
      </c>
      <c r="DF8" s="79">
        <f>IF(WWWW[[#This Row],['# Functional hand washing stations during reporting period]]*20&gt;WWWW[[#This Row],[Total HH]],WWWW[[#This Row],[Total HH]],WWWW[[#This Row],['# Functional hand washing stations during reporting period]]*20)</f>
        <v>60</v>
      </c>
      <c r="DG8" s="79">
        <f>IF(WWWW[[#This Row],[Is sufficient soap available for TLS? (Yes/No)]]="yes",WWWW[[#This Row],['#_Constructed/Existing hand washing stations at TLS]],0)</f>
        <v>0</v>
      </c>
      <c r="DH8" s="578">
        <f>IF(WWWW[[#This Row],['# Functional hand washing stations during reporting period]]*100&gt;WWWW[[#This Row],[Total PoP ]],WWWW[[#This Row],[Total PoP ]],WWWW[[#This Row],['# Functional hand washing stations during reporting period]]*100)</f>
        <v>300</v>
      </c>
      <c r="DI8" s="578" t="str">
        <f>IF(OR(WWWW[[#This Row],['#_students at TLS_CFS]]="",WWWW[[#This Row],['#_students at TLS_CFS]]=0),"No","Yes")</f>
        <v>No</v>
      </c>
      <c r="DJ8" s="231">
        <f>VLOOKUP(WWWW[[#This Row],[Site Name]],SiteDB6[[Site Name]:[CCCM Management]],6,FALSE)</f>
        <v>0</v>
      </c>
      <c r="DK8" s="231">
        <f>VLOOKUP(WWWW[[#This Row],[Site Name]],SiteDB6[[Site Name]:[CCCM Focal Agency]],7,FALSE)</f>
        <v>0</v>
      </c>
      <c r="DL8" s="231" t="str">
        <f>VLOOKUP(WWWW[[#This Row],[Site Name]],SiteDB6[[Site Name]:[Location Type 1]],9,FALSE)</f>
        <v>Camp</v>
      </c>
      <c r="DM8" s="231" t="str">
        <f>VLOOKUP(WWWW[[#This Row],[Site Name]],SiteDB6[[Site Name]:[Type of Accommodation]],10,FALSE)</f>
        <v>camp</v>
      </c>
      <c r="DN8" s="231" t="str">
        <f>VLOOKUP(WWWW[[#This Row],[Site Name]],SiteDB6[[Site Name]:[Ethnic or GCA/NGCA]],11,FALSE)</f>
        <v>GCA</v>
      </c>
      <c r="DO8" s="231">
        <f>VLOOKUP(WWWW[[#This Row],[Site Name]],SiteDB6[[Site Name]:[Lat]],12,FALSE)</f>
        <v>0</v>
      </c>
      <c r="DP8" s="231">
        <f>VLOOKUP(WWWW[[#This Row],[Site Name]],SiteDB6[[Site Name]:[Long]],13,FALSE)</f>
        <v>0</v>
      </c>
      <c r="DQ8" s="231">
        <f>VLOOKUP(WWWW[[#This Row],[Site Name]],SiteDB6[[Site Name]:[Pcode]],3,FALSE)</f>
        <v>0</v>
      </c>
      <c r="DR8" s="207" t="str">
        <f t="shared" ref="DR8:DR13" si="0">IF(C8="none","Notcovered","Covered")</f>
        <v>Covered</v>
      </c>
      <c r="DS8" s="207"/>
      <c r="DT8" s="20"/>
      <c r="DU8" s="20"/>
      <c r="DV8" s="20"/>
      <c r="DW8" s="20"/>
      <c r="DX8" s="20"/>
      <c r="DY8" s="20"/>
      <c r="DZ8" s="20"/>
      <c r="EA8" s="20"/>
      <c r="EB8" s="20"/>
      <c r="EC8" s="20"/>
      <c r="ED8" s="20"/>
      <c r="EE8" s="20"/>
      <c r="EF8" s="20"/>
      <c r="EG8" s="20"/>
      <c r="EH8" s="20"/>
    </row>
    <row r="9" spans="1:138" ht="15.75" customHeight="1">
      <c r="A9" s="238" t="s">
        <v>2518</v>
      </c>
      <c r="B9" s="574" t="s">
        <v>284</v>
      </c>
      <c r="C9" s="574" t="s">
        <v>284</v>
      </c>
      <c r="D9" s="574" t="s">
        <v>2955</v>
      </c>
      <c r="E9" s="574" t="s">
        <v>39</v>
      </c>
      <c r="F9" s="574" t="s">
        <v>203</v>
      </c>
      <c r="G9" s="574" t="str">
        <f>VLOOKUP(WWWW[[#This Row],[Site Name]],SiteDB6[[Site Name]:[Location Type]],8,FALSE)</f>
        <v>Camp</v>
      </c>
      <c r="H9" s="574" t="s">
        <v>285</v>
      </c>
      <c r="I9" s="583">
        <v>166</v>
      </c>
      <c r="J9" s="583">
        <v>815</v>
      </c>
      <c r="K9" s="553" t="s">
        <v>2956</v>
      </c>
      <c r="L9" s="77" t="s">
        <v>2957</v>
      </c>
      <c r="M9" s="583"/>
      <c r="N9" s="583">
        <v>0</v>
      </c>
      <c r="O9" s="583">
        <v>0</v>
      </c>
      <c r="P9" s="583">
        <v>0</v>
      </c>
      <c r="Q9" s="76" t="s">
        <v>43</v>
      </c>
      <c r="R9" s="310">
        <v>11</v>
      </c>
      <c r="S9" s="310">
        <v>9</v>
      </c>
      <c r="T9" s="310">
        <v>2</v>
      </c>
      <c r="U9" s="310">
        <v>0</v>
      </c>
      <c r="V9" s="310"/>
      <c r="W9" s="310">
        <v>8</v>
      </c>
      <c r="X9" s="310">
        <v>0</v>
      </c>
      <c r="Y9" s="310"/>
      <c r="Z9" s="310"/>
      <c r="AA9" s="310"/>
      <c r="AB9" s="310"/>
      <c r="AC9" s="310"/>
      <c r="AD9" s="310">
        <v>0</v>
      </c>
      <c r="AE9" s="310"/>
      <c r="AF9" s="310"/>
      <c r="AG9" s="310"/>
      <c r="AH9" s="310"/>
      <c r="AI9" s="310">
        <v>3</v>
      </c>
      <c r="AJ9" s="310">
        <v>3</v>
      </c>
      <c r="AK9" s="310">
        <v>10</v>
      </c>
      <c r="AL9" s="310">
        <v>1</v>
      </c>
      <c r="AM9" s="310"/>
      <c r="AN9" s="310"/>
      <c r="AO9" s="207"/>
      <c r="AP9" s="310">
        <v>38</v>
      </c>
      <c r="AQ9" s="310"/>
      <c r="AR9" s="76"/>
      <c r="AS9" s="310"/>
      <c r="AT9" s="310"/>
      <c r="AU9" s="310">
        <v>50</v>
      </c>
      <c r="AV9" s="310"/>
      <c r="AW9" s="310"/>
      <c r="AX9" s="231" t="s">
        <v>43</v>
      </c>
      <c r="AY9" s="231" t="s">
        <v>145</v>
      </c>
      <c r="AZ9" s="310">
        <v>0</v>
      </c>
      <c r="BA9" s="310">
        <v>0</v>
      </c>
      <c r="BB9" s="310"/>
      <c r="BC9" s="207" t="s">
        <v>2958</v>
      </c>
      <c r="BD9" s="310">
        <v>6</v>
      </c>
      <c r="BE9" s="310">
        <v>3</v>
      </c>
      <c r="BF9" s="310"/>
      <c r="BG9" s="310">
        <v>3</v>
      </c>
      <c r="BH9" s="310"/>
      <c r="BI9" s="310">
        <v>0</v>
      </c>
      <c r="BJ9" s="310">
        <v>2</v>
      </c>
      <c r="BK9" s="310">
        <v>80</v>
      </c>
      <c r="BL9" s="310">
        <v>213</v>
      </c>
      <c r="BM9" s="207"/>
      <c r="BN9" s="79"/>
      <c r="BO9" s="81"/>
      <c r="BP9" s="207" t="s">
        <v>2958</v>
      </c>
      <c r="BQ9" s="78">
        <f>IFERROR(WWWW[[#This Row],['#_Water sources treated]]/WWWW[[#This Row],['#_Water sources tested for contamination]],"no test")</f>
        <v>1</v>
      </c>
      <c r="BR9" s="81">
        <f>IFERROR(WWWW[[#This Row],['#_Household received remediation action due to contamination]]/WWWW[[#This Row],['#_Household water samples tested for contamination]],"no test")</f>
        <v>0.1</v>
      </c>
      <c r="BS9" s="80" t="str">
        <f>IF(AND(WWWW[[#This Row],[% of water sources treated]]="no test",WWWW[[#This Row],[% Household received corrective actions]]="no test"),"No Test","Tested")</f>
        <v>Tested</v>
      </c>
      <c r="BT9" s="80">
        <f>WWWW[[#This Row],['#_Constructed/existing protected hand dug well]]-WWWW[[#This Row],['#_Non-functional protected hand dug well]]</f>
        <v>2</v>
      </c>
      <c r="BU9" s="80">
        <f>(WWWW[[#This Row],['#_Constructed/Existing tube wells/boreholes/handpumps_WASH_agency]]+WWWW[[#This Row],['#_Non-Cluster partner water tube-wells/boreholes/handpumps]])-WWWW[[#This Row],['#_Non-functional tube wells/boreholes/handpumps]]</f>
        <v>8</v>
      </c>
      <c r="BV9" s="80">
        <f>WWWW[[#This Row],['#_Constructed/Existingwater storage tank with gravity fed reticulation system]]-WWWW[[#This Row],['#_Non-functional storage tank gravity fed reticulation system]]</f>
        <v>0</v>
      </c>
      <c r="BW9" s="80">
        <f>WWWW[[#This Row],['#_Water boating or water trucking]]</f>
        <v>0</v>
      </c>
      <c r="BX9" s="80">
        <f>WWWW[[#This Row],['#_Constructed/Existing water distribution system from river or natural spring]]</f>
        <v>0</v>
      </c>
      <c r="BY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 s="81">
        <f>IF(WWWW[[#This Row],[Location Type 1]]="Village",WWWW[[#This Row],[Access to safe drinking water for Village]],WWWW[[#This Row],[Access to safe drinking water for Camp]])</f>
        <v>1</v>
      </c>
      <c r="CB9" s="79">
        <f>WWWW[[#This Row],[%Equitable and continuous access to sufficient quantity of safe drinking water]]*WWWW[[#This Row],[Total PoP ]]</f>
        <v>815</v>
      </c>
      <c r="CC9" s="81">
        <f>IF((WWWW[[#This Row],['#_Constructed/Existing protected/fenced ponds]]*250)/WWWW[[#This Row],[Total PoP ]]&gt;1,1,(WWWW[[#This Row],['#_Constructed/Existing protected/fenced ponds]]*250)/WWWW[[#This Row],[Total PoP ]])</f>
        <v>0</v>
      </c>
      <c r="CD9" s="79">
        <f>WWWW[[#This Row],[% Access to unimproved water points]]*WWWW[[#This Row],[Total PoP ]]</f>
        <v>0</v>
      </c>
      <c r="CE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815</v>
      </c>
      <c r="CG9" s="79">
        <f>WWWW[[#This Row],[HRP1]]/500</f>
        <v>1.63</v>
      </c>
      <c r="CH9" s="78">
        <f>1-WWWW[[#This Row],[% Equitable and continuous access to sufficient quantity of domestic water]]</f>
        <v>0</v>
      </c>
      <c r="CI9" s="79">
        <f>WWWW[[#This Row],[%equitable and continuous access to sufficient quantity of safe drinking and domestic water''s GAP]]*WWWW[[#This Row],[Total PoP ]]</f>
        <v>0</v>
      </c>
      <c r="CJ9" s="80">
        <f>IF(WWWW[[#This Row],[Total required water points]]-WWWW[[#This Row],['#Water points coverage]]&lt;0,0,WWWW[[#This Row],[Total required water points]]-WWWW[[#This Row],['#Water points coverage]])</f>
        <v>0.37000000000000011</v>
      </c>
      <c r="CK9" s="80">
        <f>ROUND(IF(WWWW[[#This Row],[Total PoP ]]&lt;500,1,WWWW[[#This Row],[Total PoP ]]/500),0)</f>
        <v>2</v>
      </c>
      <c r="CL9" s="80">
        <f>(WWWW[[#This Row],['#_Constructed latrines_by_WASHAgencies]]+WWWW[[#This Row],['#_Non Cluster partner latrines]])-WWWW[[#This Row],['#_Non-functional latrines]]</f>
        <v>38</v>
      </c>
      <c r="CM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0.93251533742331283</v>
      </c>
      <c r="CN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815</v>
      </c>
      <c r="CP9" s="80">
        <f>IF(WWWW[[#This Row],[Location Type 1]]="Village","NA",IF(WWWW[[#This Row],['#_Constructed/Existing latrines in TLS]]*50&gt;WWWW[[#This Row],['#_students at TLS_CFS]],WWWW[[#This Row],['#_students at TLS_CFS]],(WWWW[[#This Row],['#_Constructed/Existing latrines in TLS]]*50)))</f>
        <v>0</v>
      </c>
      <c r="CQ9" s="80">
        <f>ROUND(IF(WWWW[[#This Row],[Location Type 1]]="camp",WWWW[[#This Row],[Total PoP ]]/20,IF(WWWW[[#This Row],[Location Type 1]]="Temporary Location",WWWW[[#This Row],[Total PoP ]]/50,(WWWW[[#This Row],[Total PoP ]]/6))),0)</f>
        <v>41</v>
      </c>
      <c r="CR9" s="79">
        <f>IF(WWWW[[#This Row],[Total required Latrines]]-(WWWW[[#This Row],['#_Constructed latrines_by_WASHAgencies]]+WWWW[[#This Row],['#_Non Cluster partner latrines]])&lt;0,0,WWWW[[#This Row],[Total required Latrines]]-(WWWW[[#This Row],['#_Constructed latrines_by_WASHAgencies]]+WWWW[[#This Row],['#_Non Cluster partner latrines]]))</f>
        <v>3</v>
      </c>
      <c r="CS9" s="78">
        <f>1-WWWW[[#This Row],[% people access to functioning Latrine]]</f>
        <v>6.7484662576687171E-2</v>
      </c>
      <c r="CT9" s="82">
        <f>IF(OR(WWWW[[#This Row],['#_Non-functional latrines]]="",WWWW[[#This Row],['#_Non-functional latrines]]=0),0,WWWW[[#This Row],['#_Non-functional latrines]]/(WWWW[[#This Row],['#_Constructed latrines_by_WASHAgencies]]+WWWW[[#This Row],['#_Non Cluster partner latrines]]))</f>
        <v>0</v>
      </c>
      <c r="CU9" s="79">
        <f>IF(500*(WWWW[[#This Row],['#_male hygiene promoters]]+WWWW[[#This Row],['#_female hygiene promoters]])&gt;WWWW[[#This Row],[Total PoP ]],WWWW[[#This Row],[Total PoP ]],500*(WWWW[[#This Row],['#_male hygiene promoters]]+WWWW[[#This Row],['#_female hygiene promoters]]))</f>
        <v>815</v>
      </c>
      <c r="CV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400</v>
      </c>
      <c r="CW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815</v>
      </c>
      <c r="CX9" s="80">
        <f>IF(WWWW[[#This Row],['# People with access to soap]]&gt;WWWW[[#This Row],['# People with access to Sanity Pads]],WWWW[[#This Row],['# People with access to soap]],WWWW[[#This Row],['# People with access to Sanity Pads]])</f>
        <v>815</v>
      </c>
      <c r="CY9" s="80">
        <f>IF(WWWW[[#This Row],['# people reached by regular dedicated hygiene promotion_5]]&gt;WWWW[[#This Row],['# People received regular supply of hygiene items_6]],WWWW[[#This Row],['# people reached by regular dedicated hygiene promotion_5]],WWWW[[#This Row],['# People received regular supply of hygiene items_6]])</f>
        <v>815</v>
      </c>
      <c r="CZ9" s="78">
        <f>IF(WWWW[[#This Row],[HRP3]]/WWWW[[#This Row],[Total PoP ]]&gt;100%,100%,WWWW[[#This Row],[HRP3]]/WWWW[[#This Row],[Total PoP ]])</f>
        <v>1</v>
      </c>
      <c r="DA9" s="82">
        <f>1-WWWW[[#This Row],[Hygiene Coverage%]]</f>
        <v>0</v>
      </c>
      <c r="DB9" s="81">
        <f>WWWW[[#This Row],['# people reached by regular dedicated hygiene promotion_5]]/WWWW[[#This Row],[Total PoP ]]</f>
        <v>1</v>
      </c>
      <c r="DC9" s="81">
        <f>IF(WWWW[[#This Row],['#_households that received standard amount of soap for this quarter]]/WWWW[[#This Row],[Total HH]]&gt;1,1,WWWW[[#This Row],['#_households that received standard amount of soap for this quarter]]/WWWW[[#This Row],[Total HH]])</f>
        <v>0.48192771084337349</v>
      </c>
      <c r="DD9" s="81">
        <f>IF(WWWW[[#This Row],['#_households that received standard amount of sanitary pads for this quarter]]/WWWW[[#This Row],[Total HH]]&gt;1,1,WWWW[[#This Row],['#_households that received standard amount of sanitary pads for this quarter]]/WWWW[[#This Row],[Total HH]])</f>
        <v>1</v>
      </c>
      <c r="DE9" s="80">
        <f>WWWW[[#This Row],['#_Constructed/Existing hand washing stations]]-WWWW[[#This Row],['#_Non-Functional_hand_washing_stations]]</f>
        <v>3</v>
      </c>
      <c r="DF9" s="757">
        <f>IF(WWWW[[#This Row],['# Functional hand washing stations during reporting period]]*20&gt;WWWW[[#This Row],[Total HH]],WWWW[[#This Row],[Total HH]],WWWW[[#This Row],['# Functional hand washing stations during reporting period]]*20)</f>
        <v>60</v>
      </c>
      <c r="DG9" s="79">
        <f>IF(WWWW[[#This Row],[Is sufficient soap available for TLS? (Yes/No)]]="yes",WWWW[[#This Row],['#_Constructed/Existing hand washing stations at TLS]],0)</f>
        <v>0</v>
      </c>
      <c r="DH9" s="578">
        <f>IF(WWWW[[#This Row],['# Functional hand washing stations during reporting period]]*100&gt;WWWW[[#This Row],[Total PoP ]],WWWW[[#This Row],[Total PoP ]],WWWW[[#This Row],['# Functional hand washing stations during reporting period]]*100)</f>
        <v>300</v>
      </c>
      <c r="DI9" s="578" t="str">
        <f>IF(OR(WWWW[[#This Row],['#_students at TLS_CFS]]="",WWWW[[#This Row],['#_students at TLS_CFS]]=0),"No","Yes")</f>
        <v>No</v>
      </c>
      <c r="DJ9" s="231" t="str">
        <f>VLOOKUP(WWWW[[#This Row],[Site Name]],SiteDB6[[Site Name]:[CCCM Management]],6,FALSE)</f>
        <v>Yes</v>
      </c>
      <c r="DK9" s="231" t="str">
        <f>VLOOKUP(WWWW[[#This Row],[Site Name]],SiteDB6[[Site Name]:[CCCM Focal Agency]],7,FALSE)</f>
        <v>KMSS-BMO</v>
      </c>
      <c r="DL9" s="231" t="str">
        <f>VLOOKUP(WWWW[[#This Row],[Site Name]],SiteDB6[[Site Name]:[Location Type 1]],9,FALSE)</f>
        <v>Camp</v>
      </c>
      <c r="DM9" s="231" t="str">
        <f>VLOOKUP(WWWW[[#This Row],[Site Name]],SiteDB6[[Site Name]:[Type of Accommodation]],10,FALSE)</f>
        <v>Camp</v>
      </c>
      <c r="DN9" s="231" t="str">
        <f>VLOOKUP(WWWW[[#This Row],[Site Name]],SiteDB6[[Site Name]:[Ethnic or GCA/NGCA]],11,FALSE)</f>
        <v>GCA</v>
      </c>
      <c r="DO9" s="231">
        <f>VLOOKUP(WWWW[[#This Row],[Site Name]],SiteDB6[[Site Name]:[Lat]],12,FALSE)</f>
        <v>24.260719999999999</v>
      </c>
      <c r="DP9" s="231">
        <f>VLOOKUP(WWWW[[#This Row],[Site Name]],SiteDB6[[Site Name]:[Long]],13,FALSE)</f>
        <v>97.238829999999993</v>
      </c>
      <c r="DQ9" s="231" t="str">
        <f>VLOOKUP(WWWW[[#This Row],[Site Name]],SiteDB6[[Site Name]:[Pcode]],3,FALSE)</f>
        <v>MMR001CMP050</v>
      </c>
      <c r="DR9" s="207" t="str">
        <f t="shared" si="0"/>
        <v>Covered</v>
      </c>
      <c r="DS9" s="207"/>
      <c r="DT9" s="20"/>
      <c r="DU9" s="20"/>
      <c r="DV9" s="20"/>
      <c r="DW9" s="20"/>
      <c r="DX9" s="20"/>
      <c r="DY9" s="20"/>
      <c r="DZ9" s="20"/>
      <c r="EA9" s="20"/>
      <c r="EB9" s="20"/>
      <c r="EC9" s="20"/>
      <c r="ED9" s="20"/>
      <c r="EE9" s="20"/>
      <c r="EF9" s="20"/>
      <c r="EG9" s="20"/>
      <c r="EH9" s="20"/>
    </row>
    <row r="10" spans="1:138" ht="15.75" customHeight="1">
      <c r="A10" s="238" t="s">
        <v>2518</v>
      </c>
      <c r="B10" s="574" t="s">
        <v>200</v>
      </c>
      <c r="C10" s="574" t="s">
        <v>200</v>
      </c>
      <c r="D10" s="574" t="s">
        <v>2960</v>
      </c>
      <c r="E10" s="574" t="s">
        <v>39</v>
      </c>
      <c r="F10" s="574" t="s">
        <v>213</v>
      </c>
      <c r="G10" s="574" t="str">
        <f>VLOOKUP(WWWW[[#This Row],[Site Name]],SiteDB6[[Site Name]:[Location Type]],8,FALSE)</f>
        <v>Camp_not registered</v>
      </c>
      <c r="H10" s="574" t="s">
        <v>214</v>
      </c>
      <c r="I10" s="312">
        <v>141</v>
      </c>
      <c r="J10" s="312">
        <v>665</v>
      </c>
      <c r="K10" s="553">
        <v>43466</v>
      </c>
      <c r="L10" s="77">
        <v>43830</v>
      </c>
      <c r="M10" s="583"/>
      <c r="N10" s="583"/>
      <c r="O10" s="583"/>
      <c r="P10" s="583"/>
      <c r="Q10" s="76" t="s">
        <v>43</v>
      </c>
      <c r="R10" s="310">
        <v>2</v>
      </c>
      <c r="S10" s="310">
        <v>3</v>
      </c>
      <c r="T10" s="590">
        <v>1</v>
      </c>
      <c r="U10" s="310"/>
      <c r="V10" s="310"/>
      <c r="W10" s="310">
        <v>1</v>
      </c>
      <c r="X10" s="310">
        <v>1</v>
      </c>
      <c r="Y10" s="310"/>
      <c r="Z10" s="310"/>
      <c r="AA10" s="310"/>
      <c r="AB10" s="310"/>
      <c r="AC10" s="310"/>
      <c r="AD10" s="310"/>
      <c r="AE10" s="310"/>
      <c r="AF10" s="310"/>
      <c r="AG10" s="310"/>
      <c r="AH10" s="310"/>
      <c r="AI10" s="310"/>
      <c r="AJ10" s="310"/>
      <c r="AK10" s="310"/>
      <c r="AL10" s="310"/>
      <c r="AM10" s="310"/>
      <c r="AN10" s="310"/>
      <c r="AO10" s="207"/>
      <c r="AP10" s="310">
        <v>28</v>
      </c>
      <c r="AQ10" s="310"/>
      <c r="AR10" s="76"/>
      <c r="AS10" s="310"/>
      <c r="AT10" s="310"/>
      <c r="AU10" s="310"/>
      <c r="AV10" s="310"/>
      <c r="AW10" s="310"/>
      <c r="AX10" s="581" t="s">
        <v>43</v>
      </c>
      <c r="AY10" s="231" t="s">
        <v>145</v>
      </c>
      <c r="AZ10" s="310"/>
      <c r="BA10" s="310"/>
      <c r="BB10" s="310"/>
      <c r="BC10" s="207"/>
      <c r="BD10" s="310">
        <v>10</v>
      </c>
      <c r="BE10" s="310"/>
      <c r="BF10" s="310"/>
      <c r="BG10" s="310">
        <v>3</v>
      </c>
      <c r="BH10" s="310"/>
      <c r="BI10" s="310"/>
      <c r="BJ10" s="310"/>
      <c r="BK10" s="310"/>
      <c r="BL10" s="310"/>
      <c r="BM10" s="207"/>
      <c r="BN10" s="79"/>
      <c r="BO10" s="81"/>
      <c r="BP10" s="207"/>
      <c r="BQ10" s="78" t="str">
        <f>IFERROR(WWWW[[#This Row],['#_Water sources treated]]/WWWW[[#This Row],['#_Water sources tested for contamination]],"no test")</f>
        <v>no test</v>
      </c>
      <c r="BR10" s="81" t="str">
        <f>IFERROR(WWWW[[#This Row],['#_Household received remediation action due to contamination]]/WWWW[[#This Row],['#_Household water samples tested for contamination]],"no test")</f>
        <v>no test</v>
      </c>
      <c r="BS10" s="80" t="str">
        <f>IF(AND(WWWW[[#This Row],[% of water sources treated]]="no test",WWWW[[#This Row],[% Household received corrective actions]]="no test"),"No Test","Tested")</f>
        <v>No Test</v>
      </c>
      <c r="BT10" s="80">
        <f>WWWW[[#This Row],['#_Constructed/existing protected hand dug well]]-WWWW[[#This Row],['#_Non-functional protected hand dug well]]</f>
        <v>1</v>
      </c>
      <c r="BU10" s="80">
        <f>(WWWW[[#This Row],['#_Constructed/Existing tube wells/boreholes/handpumps_WASH_agency]]+WWWW[[#This Row],['#_Non-Cluster partner water tube-wells/boreholes/handpumps]])-WWWW[[#This Row],['#_Non-functional tube wells/boreholes/handpumps]]</f>
        <v>2</v>
      </c>
      <c r="BV10" s="80">
        <f>WWWW[[#This Row],['#_Constructed/Existingwater storage tank with gravity fed reticulation system]]-WWWW[[#This Row],['#_Non-functional storage tank gravity fed reticulation system]]</f>
        <v>0</v>
      </c>
      <c r="BW10" s="80">
        <f>WWWW[[#This Row],['#_Water boating or water trucking]]</f>
        <v>0</v>
      </c>
      <c r="BX10" s="80">
        <f>WWWW[[#This Row],['#_Constructed/Existing water distribution system from river or natural spring]]</f>
        <v>0</v>
      </c>
      <c r="BY1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 s="81">
        <f>IF(WWWW[[#This Row],[Location Type 1]]="Village",WWWW[[#This Row],[Access to safe drinking water for Village]],WWWW[[#This Row],[Access to safe drinking water for Camp]])</f>
        <v>1</v>
      </c>
      <c r="CB10" s="79">
        <f>WWWW[[#This Row],[%Equitable and continuous access to sufficient quantity of safe drinking water]]*WWWW[[#This Row],[Total PoP ]]</f>
        <v>665</v>
      </c>
      <c r="CC10" s="81">
        <f>IF((WWWW[[#This Row],['#_Constructed/Existing protected/fenced ponds]]*250)/WWWW[[#This Row],[Total PoP ]]&gt;1,1,(WWWW[[#This Row],['#_Constructed/Existing protected/fenced ponds]]*250)/WWWW[[#This Row],[Total PoP ]])</f>
        <v>0</v>
      </c>
      <c r="CD10" s="79">
        <f>WWWW[[#This Row],[% Access to unimproved water points]]*WWWW[[#This Row],[Total PoP ]]</f>
        <v>0</v>
      </c>
      <c r="CE1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CG10" s="79">
        <f>WWWW[[#This Row],[HRP1]]/500</f>
        <v>1.33</v>
      </c>
      <c r="CH10" s="78">
        <f>1-WWWW[[#This Row],[% Equitable and continuous access to sufficient quantity of domestic water]]</f>
        <v>0</v>
      </c>
      <c r="CI10" s="79">
        <f>WWWW[[#This Row],[%equitable and continuous access to sufficient quantity of safe drinking and domestic water''s GAP]]*WWWW[[#This Row],[Total PoP ]]</f>
        <v>0</v>
      </c>
      <c r="CJ10" s="80">
        <f>IF(WWWW[[#This Row],[Total required water points]]-WWWW[[#This Row],['#Water points coverage]]&lt;0,0,WWWW[[#This Row],[Total required water points]]-WWWW[[#This Row],['#Water points coverage]])</f>
        <v>0</v>
      </c>
      <c r="CK10" s="80">
        <f>ROUND(IF(WWWW[[#This Row],[Total PoP ]]&lt;500,1,WWWW[[#This Row],[Total PoP ]]/500),0)</f>
        <v>1</v>
      </c>
      <c r="CL10" s="80">
        <f>(WWWW[[#This Row],['#_Constructed latrines_by_WASHAgencies]]+WWWW[[#This Row],['#_Non Cluster partner latrines]])-WWWW[[#This Row],['#_Non-functional latrines]]</f>
        <v>28</v>
      </c>
      <c r="CM1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0.84210526315789469</v>
      </c>
      <c r="CN1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1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 s="80">
        <f>IF(WWWW[[#This Row],[Location Type 1]]="Village","NA",IF(WWWW[[#This Row],['#_Constructed/Existing latrines in TLS]]*50&gt;WWWW[[#This Row],['#_students at TLS_CFS]],WWWW[[#This Row],['#_students at TLS_CFS]],(WWWW[[#This Row],['#_Constructed/Existing latrines in TLS]]*50)))</f>
        <v>0</v>
      </c>
      <c r="CQ10" s="80">
        <f>ROUND(IF(WWWW[[#This Row],[Location Type 1]]="camp",WWWW[[#This Row],[Total PoP ]]/20,IF(WWWW[[#This Row],[Location Type 1]]="Temporary Location",WWWW[[#This Row],[Total PoP ]]/50,(WWWW[[#This Row],[Total PoP ]]/6))),0)</f>
        <v>33</v>
      </c>
      <c r="CR10" s="79">
        <f>IF(WWWW[[#This Row],[Total required Latrines]]-(WWWW[[#This Row],['#_Constructed latrines_by_WASHAgencies]]+WWWW[[#This Row],['#_Non Cluster partner latrines]])&lt;0,0,WWWW[[#This Row],[Total required Latrines]]-(WWWW[[#This Row],['#_Constructed latrines_by_WASHAgencies]]+WWWW[[#This Row],['#_Non Cluster partner latrines]]))</f>
        <v>5</v>
      </c>
      <c r="CS10" s="78">
        <f>1-WWWW[[#This Row],[% people access to functioning Latrine]]</f>
        <v>0.15789473684210531</v>
      </c>
      <c r="CT10" s="82">
        <f>IF(OR(WWWW[[#This Row],['#_Non-functional latrines]]="",WWWW[[#This Row],['#_Non-functional latrines]]=0),0,WWWW[[#This Row],['#_Non-functional latrines]]/(WWWW[[#This Row],['#_Constructed latrines_by_WASHAgencies]]+WWWW[[#This Row],['#_Non Cluster partner latrines]]))</f>
        <v>0</v>
      </c>
      <c r="CU10" s="79">
        <f>IF(500*(WWWW[[#This Row],['#_male hygiene promoters]]+WWWW[[#This Row],['#_female hygiene promoters]])&gt;WWWW[[#This Row],[Total PoP ]],WWWW[[#This Row],[Total PoP ]],500*(WWWW[[#This Row],['#_male hygiene promoters]]+WWWW[[#This Row],['#_female hygiene promoters]]))</f>
        <v>0</v>
      </c>
      <c r="CV1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 s="80">
        <f>IF(WWWW[[#This Row],['# People with access to soap]]&gt;WWWW[[#This Row],['# People with access to Sanity Pads]],WWWW[[#This Row],['# People with access to soap]],WWWW[[#This Row],['# People with access to Sanity Pads]])</f>
        <v>0</v>
      </c>
      <c r="CY1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0" s="78">
        <f>IF(WWWW[[#This Row],[HRP3]]/WWWW[[#This Row],[Total PoP ]]&gt;100%,100%,WWWW[[#This Row],[HRP3]]/WWWW[[#This Row],[Total PoP ]])</f>
        <v>0</v>
      </c>
      <c r="DA10" s="82">
        <f>1-WWWW[[#This Row],[Hygiene Coverage%]]</f>
        <v>1</v>
      </c>
      <c r="DB10" s="81">
        <f>WWWW[[#This Row],['# people reached by regular dedicated hygiene promotion_5]]/WWWW[[#This Row],[Total PoP ]]</f>
        <v>0</v>
      </c>
      <c r="DC10" s="81">
        <f>IF(WWWW[[#This Row],['#_households that received standard amount of soap for this quarter]]/WWWW[[#This Row],[Total HH]]&gt;1,1,WWWW[[#This Row],['#_households that received standard amount of soap for this quarter]]/WWWW[[#This Row],[Total HH]])</f>
        <v>0</v>
      </c>
      <c r="DD10" s="81">
        <f>IF(WWWW[[#This Row],['#_households that received standard amount of sanitary pads for this quarter]]/WWWW[[#This Row],[Total HH]]&gt;1,1,WWWW[[#This Row],['#_households that received standard amount of sanitary pads for this quarter]]/WWWW[[#This Row],[Total HH]])</f>
        <v>0</v>
      </c>
      <c r="DE10" s="80">
        <f>WWWW[[#This Row],['#_Constructed/Existing hand washing stations]]-WWWW[[#This Row],['#_Non-Functional_hand_washing_stations]]</f>
        <v>10</v>
      </c>
      <c r="DF10" s="757">
        <f>IF(WWWW[[#This Row],['# Functional hand washing stations during reporting period]]*20&gt;WWWW[[#This Row],[Total HH]],WWWW[[#This Row],[Total HH]],WWWW[[#This Row],['# Functional hand washing stations during reporting period]]*20)</f>
        <v>141</v>
      </c>
      <c r="DG10" s="79">
        <f>IF(WWWW[[#This Row],[Is sufficient soap available for TLS? (Yes/No)]]="yes",WWWW[[#This Row],['#_Constructed/Existing hand washing stations at TLS]],0)</f>
        <v>0</v>
      </c>
      <c r="DH10" s="578">
        <f>IF(WWWW[[#This Row],['# Functional hand washing stations during reporting period]]*100&gt;WWWW[[#This Row],[Total PoP ]],WWWW[[#This Row],[Total PoP ]],WWWW[[#This Row],['# Functional hand washing stations during reporting period]]*100)</f>
        <v>665</v>
      </c>
      <c r="DI10" s="578" t="str">
        <f>IF(OR(WWWW[[#This Row],['#_students at TLS_CFS]]="",WWWW[[#This Row],['#_students at TLS_CFS]]=0),"No","Yes")</f>
        <v>No</v>
      </c>
      <c r="DJ10" s="231">
        <f>VLOOKUP(WWWW[[#This Row],[Site Name]],SiteDB6[[Site Name]:[CCCM Management]],6,FALSE)</f>
        <v>0</v>
      </c>
      <c r="DK10" s="231">
        <f>VLOOKUP(WWWW[[#This Row],[Site Name]],SiteDB6[[Site Name]:[CCCM Focal Agency]],7,FALSE)</f>
        <v>0</v>
      </c>
      <c r="DL10" s="231" t="str">
        <f>VLOOKUP(WWWW[[#This Row],[Site Name]],SiteDB6[[Site Name]:[Location Type 1]],9,FALSE)</f>
        <v>Camp</v>
      </c>
      <c r="DM10" s="231" t="str">
        <f>VLOOKUP(WWWW[[#This Row],[Site Name]],SiteDB6[[Site Name]:[Type of Accommodation]],10,FALSE)</f>
        <v>Camp</v>
      </c>
      <c r="DN10" s="231" t="str">
        <f>VLOOKUP(WWWW[[#This Row],[Site Name]],SiteDB6[[Site Name]:[Ethnic or GCA/NGCA]],11,FALSE)</f>
        <v>GCA</v>
      </c>
      <c r="DO10" s="231">
        <f>VLOOKUP(WWWW[[#This Row],[Site Name]],SiteDB6[[Site Name]:[Lat]],12,FALSE)</f>
        <v>0</v>
      </c>
      <c r="DP10" s="231">
        <f>VLOOKUP(WWWW[[#This Row],[Site Name]],SiteDB6[[Site Name]:[Long]],13,FALSE)</f>
        <v>0</v>
      </c>
      <c r="DQ10" s="231">
        <f>VLOOKUP(WWWW[[#This Row],[Site Name]],SiteDB6[[Site Name]:[Pcode]],3,FALSE)</f>
        <v>0</v>
      </c>
      <c r="DR10" s="207" t="str">
        <f t="shared" si="0"/>
        <v>Covered</v>
      </c>
      <c r="DS10" s="207"/>
      <c r="DT10" s="20"/>
      <c r="DU10" s="20"/>
      <c r="DV10" s="20"/>
      <c r="DW10" s="20"/>
      <c r="DX10" s="20"/>
      <c r="DY10" s="20"/>
      <c r="DZ10" s="20"/>
      <c r="EA10" s="20"/>
      <c r="EB10" s="20"/>
      <c r="EC10" s="20"/>
      <c r="ED10" s="20"/>
      <c r="EE10" s="20"/>
      <c r="EF10" s="20"/>
      <c r="EG10" s="20"/>
      <c r="EH10" s="20"/>
    </row>
    <row r="11" spans="1:138" ht="15.75" customHeight="1">
      <c r="A11" s="238" t="s">
        <v>2518</v>
      </c>
      <c r="B11" s="574" t="s">
        <v>317</v>
      </c>
      <c r="C11" s="574" t="s">
        <v>317</v>
      </c>
      <c r="D11" s="574"/>
      <c r="E11" s="574" t="s">
        <v>39</v>
      </c>
      <c r="F11" s="574" t="s">
        <v>203</v>
      </c>
      <c r="G11" s="574" t="str">
        <f>VLOOKUP(WWWW[[#This Row],[Site Name]],SiteDB6[[Site Name]:[Location Type]],8,FALSE)</f>
        <v>Camp</v>
      </c>
      <c r="H11" s="76" t="s">
        <v>1023</v>
      </c>
      <c r="I11" s="583">
        <v>190</v>
      </c>
      <c r="J11" s="583">
        <v>928</v>
      </c>
      <c r="K11" s="553"/>
      <c r="L11" s="77"/>
      <c r="M11" s="583"/>
      <c r="N11" s="583"/>
      <c r="O11" s="583"/>
      <c r="P11" s="583"/>
      <c r="Q11" s="76"/>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207"/>
      <c r="AP11" s="310"/>
      <c r="AQ11" s="310"/>
      <c r="AR11" s="76"/>
      <c r="AS11" s="310"/>
      <c r="AT11" s="310"/>
      <c r="AU11" s="310"/>
      <c r="AV11" s="310"/>
      <c r="AW11" s="310"/>
      <c r="AX11" s="231"/>
      <c r="AY11" s="231"/>
      <c r="AZ11" s="310"/>
      <c r="BA11" s="310"/>
      <c r="BB11" s="310"/>
      <c r="BC11" s="207"/>
      <c r="BD11" s="310"/>
      <c r="BE11" s="310"/>
      <c r="BF11" s="310"/>
      <c r="BG11" s="310"/>
      <c r="BH11" s="310"/>
      <c r="BI11" s="310"/>
      <c r="BJ11" s="310"/>
      <c r="BK11" s="310"/>
      <c r="BL11" s="310"/>
      <c r="BM11" s="207"/>
      <c r="BN11" s="79"/>
      <c r="BO11" s="81"/>
      <c r="BP11" s="207"/>
      <c r="BQ11" s="78" t="str">
        <f>IFERROR(WWWW[[#This Row],['#_Water sources treated]]/WWWW[[#This Row],['#_Water sources tested for contamination]],"no test")</f>
        <v>no test</v>
      </c>
      <c r="BR11" s="81" t="str">
        <f>IFERROR(WWWW[[#This Row],['#_Household received remediation action due to contamination]]/WWWW[[#This Row],['#_Household water samples tested for contamination]],"no test")</f>
        <v>no test</v>
      </c>
      <c r="BS11" s="80" t="str">
        <f>IF(AND(WWWW[[#This Row],[% of water sources treated]]="no test",WWWW[[#This Row],[% Household received corrective actions]]="no test"),"No Test","Tested")</f>
        <v>No Test</v>
      </c>
      <c r="BT11" s="80">
        <f>WWWW[[#This Row],['#_Constructed/existing protected hand dug well]]-WWWW[[#This Row],['#_Non-functional protected hand dug well]]</f>
        <v>0</v>
      </c>
      <c r="BU11" s="80">
        <f>(WWWW[[#This Row],['#_Constructed/Existing tube wells/boreholes/handpumps_WASH_agency]]+WWWW[[#This Row],['#_Non-Cluster partner water tube-wells/boreholes/handpumps]])-WWWW[[#This Row],['#_Non-functional tube wells/boreholes/handpumps]]</f>
        <v>0</v>
      </c>
      <c r="BV11" s="80">
        <f>WWWW[[#This Row],['#_Constructed/Existingwater storage tank with gravity fed reticulation system]]-WWWW[[#This Row],['#_Non-functional storage tank gravity fed reticulation system]]</f>
        <v>0</v>
      </c>
      <c r="BW11" s="80">
        <f>WWWW[[#This Row],['#_Water boating or water trucking]]</f>
        <v>0</v>
      </c>
      <c r="BX11" s="80">
        <f>WWWW[[#This Row],['#_Constructed/Existing water distribution system from river or natural spring]]</f>
        <v>0</v>
      </c>
      <c r="BY1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1" s="81">
        <f>IF(WWWW[[#This Row],[Location Type 1]]="Village",WWWW[[#This Row],[Access to safe drinking water for Village]],WWWW[[#This Row],[Access to safe drinking water for Camp]])</f>
        <v>0</v>
      </c>
      <c r="CB11" s="79">
        <f>WWWW[[#This Row],[%Equitable and continuous access to sufficient quantity of safe drinking water]]*WWWW[[#This Row],[Total PoP ]]</f>
        <v>0</v>
      </c>
      <c r="CC11" s="81">
        <f>IF((WWWW[[#This Row],['#_Constructed/Existing protected/fenced ponds]]*250)/WWWW[[#This Row],[Total PoP ]]&gt;1,1,(WWWW[[#This Row],['#_Constructed/Existing protected/fenced ponds]]*250)/WWWW[[#This Row],[Total PoP ]])</f>
        <v>0</v>
      </c>
      <c r="CD11" s="79">
        <f>WWWW[[#This Row],[% Access to unimproved water points]]*WWWW[[#This Row],[Total PoP ]]</f>
        <v>0</v>
      </c>
      <c r="CE1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1" s="79">
        <f>WWWW[[#This Row],[HRP1]]/500</f>
        <v>0</v>
      </c>
      <c r="CH11" s="78">
        <f>1-WWWW[[#This Row],[% Equitable and continuous access to sufficient quantity of domestic water]]</f>
        <v>1</v>
      </c>
      <c r="CI11" s="79">
        <f>WWWW[[#This Row],[%equitable and continuous access to sufficient quantity of safe drinking and domestic water''s GAP]]*WWWW[[#This Row],[Total PoP ]]</f>
        <v>928</v>
      </c>
      <c r="CJ11" s="80">
        <f>IF(WWWW[[#This Row],[Total required water points]]-WWWW[[#This Row],['#Water points coverage]]&lt;0,0,WWWW[[#This Row],[Total required water points]]-WWWW[[#This Row],['#Water points coverage]])</f>
        <v>2</v>
      </c>
      <c r="CK11" s="80">
        <f>ROUND(IF(WWWW[[#This Row],[Total PoP ]]&lt;500,1,WWWW[[#This Row],[Total PoP ]]/500),0)</f>
        <v>2</v>
      </c>
      <c r="CL11" s="80">
        <f>(WWWW[[#This Row],['#_Constructed latrines_by_WASHAgencies]]+WWWW[[#This Row],['#_Non Cluster partner latrines]])-WWWW[[#This Row],['#_Non-functional latrines]]</f>
        <v>0</v>
      </c>
      <c r="CM1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 s="80">
        <f>IF(WWWW[[#This Row],[Location Type 1]]="Village","NA",IF(WWWW[[#This Row],['#_Constructed/Existing latrines in TLS]]*50&gt;WWWW[[#This Row],['#_students at TLS_CFS]],WWWW[[#This Row],['#_students at TLS_CFS]],(WWWW[[#This Row],['#_Constructed/Existing latrines in TLS]]*50)))</f>
        <v>0</v>
      </c>
      <c r="CQ11" s="80">
        <f>ROUND(IF(WWWW[[#This Row],[Location Type 1]]="camp",WWWW[[#This Row],[Total PoP ]]/20,IF(WWWW[[#This Row],[Location Type 1]]="Temporary Location",WWWW[[#This Row],[Total PoP ]]/50,(WWWW[[#This Row],[Total PoP ]]/6))),0)</f>
        <v>46</v>
      </c>
      <c r="CR11" s="79">
        <f>IF(WWWW[[#This Row],[Total required Latrines]]-(WWWW[[#This Row],['#_Constructed latrines_by_WASHAgencies]]+WWWW[[#This Row],['#_Non Cluster partner latrines]])&lt;0,0,WWWW[[#This Row],[Total required Latrines]]-(WWWW[[#This Row],['#_Constructed latrines_by_WASHAgencies]]+WWWW[[#This Row],['#_Non Cluster partner latrines]]))</f>
        <v>46</v>
      </c>
      <c r="CS11" s="78">
        <f>1-WWWW[[#This Row],[% people access to functioning Latrine]]</f>
        <v>1</v>
      </c>
      <c r="CT11" s="82">
        <f>IF(OR(WWWW[[#This Row],['#_Non-functional latrines]]="",WWWW[[#This Row],['#_Non-functional latrines]]=0),0,WWWW[[#This Row],['#_Non-functional latrines]]/(WWWW[[#This Row],['#_Constructed latrines_by_WASHAgencies]]+WWWW[[#This Row],['#_Non Cluster partner latrines]]))</f>
        <v>0</v>
      </c>
      <c r="CU11" s="79">
        <f>IF(500*(WWWW[[#This Row],['#_male hygiene promoters]]+WWWW[[#This Row],['#_female hygiene promoters]])&gt;WWWW[[#This Row],[Total PoP ]],WWWW[[#This Row],[Total PoP ]],500*(WWWW[[#This Row],['#_male hygiene promoters]]+WWWW[[#This Row],['#_female hygiene promoters]]))</f>
        <v>0</v>
      </c>
      <c r="CV1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 s="80">
        <f>IF(WWWW[[#This Row],['# People with access to soap]]&gt;WWWW[[#This Row],['# People with access to Sanity Pads]],WWWW[[#This Row],['# People with access to soap]],WWWW[[#This Row],['# People with access to Sanity Pads]])</f>
        <v>0</v>
      </c>
      <c r="CY11"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 s="78">
        <f>IF(WWWW[[#This Row],[HRP3]]/WWWW[[#This Row],[Total PoP ]]&gt;100%,100%,WWWW[[#This Row],[HRP3]]/WWWW[[#This Row],[Total PoP ]])</f>
        <v>0</v>
      </c>
      <c r="DA11" s="82">
        <f>1-WWWW[[#This Row],[Hygiene Coverage%]]</f>
        <v>1</v>
      </c>
      <c r="DB11" s="81">
        <f>WWWW[[#This Row],['# people reached by regular dedicated hygiene promotion_5]]/WWWW[[#This Row],[Total PoP ]]</f>
        <v>0</v>
      </c>
      <c r="DC11" s="81">
        <f>IF(WWWW[[#This Row],['#_households that received standard amount of soap for this quarter]]/WWWW[[#This Row],[Total HH]]&gt;1,1,WWWW[[#This Row],['#_households that received standard amount of soap for this quarter]]/WWWW[[#This Row],[Total HH]])</f>
        <v>0</v>
      </c>
      <c r="DD11" s="81">
        <f>IF(WWWW[[#This Row],['#_households that received standard amount of sanitary pads for this quarter]]/WWWW[[#This Row],[Total HH]]&gt;1,1,WWWW[[#This Row],['#_households that received standard amount of sanitary pads for this quarter]]/WWWW[[#This Row],[Total HH]])</f>
        <v>0</v>
      </c>
      <c r="DE11" s="80">
        <f>WWWW[[#This Row],['#_Constructed/Existing hand washing stations]]-WWWW[[#This Row],['#_Non-Functional_hand_washing_stations]]</f>
        <v>0</v>
      </c>
      <c r="DF11" s="757">
        <f>IF(WWWW[[#This Row],['# Functional hand washing stations during reporting period]]*20&gt;WWWW[[#This Row],[Total HH]],WWWW[[#This Row],[Total HH]],WWWW[[#This Row],['# Functional hand washing stations during reporting period]]*20)</f>
        <v>0</v>
      </c>
      <c r="DG11" s="79">
        <f>IF(WWWW[[#This Row],[Is sufficient soap available for TLS? (Yes/No)]]="yes",WWWW[[#This Row],['#_Constructed/Existing hand washing stations at TLS]],0)</f>
        <v>0</v>
      </c>
      <c r="DH11" s="578">
        <f>IF(WWWW[[#This Row],['# Functional hand washing stations during reporting period]]*100&gt;WWWW[[#This Row],[Total PoP ]],WWWW[[#This Row],[Total PoP ]],WWWW[[#This Row],['# Functional hand washing stations during reporting period]]*100)</f>
        <v>0</v>
      </c>
      <c r="DI11" s="578" t="str">
        <f>IF(OR(WWWW[[#This Row],['#_students at TLS_CFS]]="",WWWW[[#This Row],['#_students at TLS_CFS]]=0),"No","Yes")</f>
        <v>No</v>
      </c>
      <c r="DJ11" s="231">
        <f>VLOOKUP(WWWW[[#This Row],[Site Name]],SiteDB6[[Site Name]:[CCCM Management]],6,FALSE)</f>
        <v>0</v>
      </c>
      <c r="DK11" s="231" t="str">
        <f>VLOOKUP(WWWW[[#This Row],[Site Name]],SiteDB6[[Site Name]:[CCCM Focal Agency]],7,FALSE)</f>
        <v>uncovered</v>
      </c>
      <c r="DL11" s="231" t="str">
        <f>VLOOKUP(WWWW[[#This Row],[Site Name]],SiteDB6[[Site Name]:[Location Type 1]],9,FALSE)</f>
        <v>Camp</v>
      </c>
      <c r="DM11" s="231" t="str">
        <f>VLOOKUP(WWWW[[#This Row],[Site Name]],SiteDB6[[Site Name]:[Type of Accommodation]],10,FALSE)</f>
        <v>Host Families</v>
      </c>
      <c r="DN11" s="231" t="str">
        <f>VLOOKUP(WWWW[[#This Row],[Site Name]],SiteDB6[[Site Name]:[Ethnic or GCA/NGCA]],11,FALSE)</f>
        <v>GCA</v>
      </c>
      <c r="DO11" s="231">
        <f>VLOOKUP(WWWW[[#This Row],[Site Name]],SiteDB6[[Site Name]:[Lat]],12,FALSE)</f>
        <v>24.263786</v>
      </c>
      <c r="DP11" s="231">
        <f>VLOOKUP(WWWW[[#This Row],[Site Name]],SiteDB6[[Site Name]:[Long]],13,FALSE)</f>
        <v>97.228835000000004</v>
      </c>
      <c r="DQ11" s="231" t="str">
        <f>VLOOKUP(WWWW[[#This Row],[Site Name]],SiteDB6[[Site Name]:[Pcode]],3,FALSE)</f>
        <v>MMR001CMP163</v>
      </c>
      <c r="DR11" s="207" t="str">
        <f t="shared" si="0"/>
        <v>Notcovered</v>
      </c>
      <c r="DS11" s="207"/>
      <c r="DT11" s="20"/>
      <c r="DU11" s="20"/>
      <c r="DV11" s="20"/>
      <c r="DW11" s="20"/>
      <c r="DX11" s="20"/>
      <c r="DY11" s="20"/>
      <c r="DZ11" s="20"/>
      <c r="EA11" s="20"/>
      <c r="EB11" s="20"/>
      <c r="EC11" s="20"/>
      <c r="ED11" s="20"/>
      <c r="EE11" s="20"/>
      <c r="EF11" s="20"/>
      <c r="EG11" s="20"/>
      <c r="EH11" s="20"/>
    </row>
    <row r="12" spans="1:138" ht="15.75" customHeight="1">
      <c r="A12" s="238" t="s">
        <v>2518</v>
      </c>
      <c r="B12" s="574" t="s">
        <v>200</v>
      </c>
      <c r="C12" s="574" t="s">
        <v>200</v>
      </c>
      <c r="D12" s="574" t="s">
        <v>2960</v>
      </c>
      <c r="E12" s="574" t="s">
        <v>39</v>
      </c>
      <c r="F12" s="574" t="s">
        <v>203</v>
      </c>
      <c r="G12" s="574" t="str">
        <f>VLOOKUP(WWWW[[#This Row],[Site Name]],SiteDB6[[Site Name]:[Location Type]],8,FALSE)</f>
        <v>Camp</v>
      </c>
      <c r="H12" s="574" t="s">
        <v>204</v>
      </c>
      <c r="I12" s="312">
        <v>11</v>
      </c>
      <c r="J12" s="312">
        <v>52</v>
      </c>
      <c r="K12" s="553">
        <v>43466</v>
      </c>
      <c r="L12" s="77">
        <v>43830</v>
      </c>
      <c r="M12" s="583"/>
      <c r="N12" s="583"/>
      <c r="O12" s="583"/>
      <c r="P12" s="583"/>
      <c r="Q12" s="76" t="s">
        <v>144</v>
      </c>
      <c r="R12" s="310"/>
      <c r="S12" s="310"/>
      <c r="T12" s="310"/>
      <c r="U12" s="310"/>
      <c r="V12" s="310"/>
      <c r="W12" s="310"/>
      <c r="X12" s="310">
        <v>1</v>
      </c>
      <c r="Y12" s="310"/>
      <c r="Z12" s="310"/>
      <c r="AA12" s="310"/>
      <c r="AB12" s="310"/>
      <c r="AC12" s="310"/>
      <c r="AD12" s="310"/>
      <c r="AE12" s="310"/>
      <c r="AF12" s="310"/>
      <c r="AG12" s="310"/>
      <c r="AH12" s="310"/>
      <c r="AI12" s="310"/>
      <c r="AJ12" s="310"/>
      <c r="AK12" s="310"/>
      <c r="AL12" s="310"/>
      <c r="AM12" s="310"/>
      <c r="AN12" s="310"/>
      <c r="AO12" s="207"/>
      <c r="AP12" s="310">
        <v>2</v>
      </c>
      <c r="AQ12" s="310"/>
      <c r="AR12" s="76"/>
      <c r="AS12" s="310"/>
      <c r="AT12" s="310"/>
      <c r="AU12" s="310"/>
      <c r="AV12" s="310"/>
      <c r="AW12" s="310"/>
      <c r="AX12" s="231" t="s">
        <v>43</v>
      </c>
      <c r="AY12" s="231" t="s">
        <v>148</v>
      </c>
      <c r="AZ12" s="310"/>
      <c r="BA12" s="310"/>
      <c r="BB12" s="310"/>
      <c r="BC12" s="207"/>
      <c r="BD12" s="310">
        <v>1</v>
      </c>
      <c r="BE12" s="310"/>
      <c r="BF12" s="310"/>
      <c r="BG12" s="310">
        <v>1</v>
      </c>
      <c r="BH12" s="310"/>
      <c r="BI12" s="310"/>
      <c r="BJ12" s="310"/>
      <c r="BK12" s="310">
        <v>11</v>
      </c>
      <c r="BL12" s="310">
        <v>2</v>
      </c>
      <c r="BM12" s="207"/>
      <c r="BN12" s="79"/>
      <c r="BO12" s="81"/>
      <c r="BP12" s="207"/>
      <c r="BQ12" s="78" t="str">
        <f>IFERROR(WWWW[[#This Row],['#_Water sources treated]]/WWWW[[#This Row],['#_Water sources tested for contamination]],"no test")</f>
        <v>no test</v>
      </c>
      <c r="BR12" s="81" t="str">
        <f>IFERROR(WWWW[[#This Row],['#_Household received remediation action due to contamination]]/WWWW[[#This Row],['#_Household water samples tested for contamination]],"no test")</f>
        <v>no test</v>
      </c>
      <c r="BS12" s="80" t="str">
        <f>IF(AND(WWWW[[#This Row],[% of water sources treated]]="no test",WWWW[[#This Row],[% Household received corrective actions]]="no test"),"No Test","Tested")</f>
        <v>No Test</v>
      </c>
      <c r="BT12" s="80">
        <f>WWWW[[#This Row],['#_Constructed/existing protected hand dug well]]-WWWW[[#This Row],['#_Non-functional protected hand dug well]]</f>
        <v>0</v>
      </c>
      <c r="BU12" s="80">
        <f>(WWWW[[#This Row],['#_Constructed/Existing tube wells/boreholes/handpumps_WASH_agency]]+WWWW[[#This Row],['#_Non-Cluster partner water tube-wells/boreholes/handpumps]])-WWWW[[#This Row],['#_Non-functional tube wells/boreholes/handpumps]]</f>
        <v>1</v>
      </c>
      <c r="BV12" s="80">
        <f>WWWW[[#This Row],['#_Constructed/Existingwater storage tank with gravity fed reticulation system]]-WWWW[[#This Row],['#_Non-functional storage tank gravity fed reticulation system]]</f>
        <v>0</v>
      </c>
      <c r="BW12" s="80">
        <f>WWWW[[#This Row],['#_Water boating or water trucking]]</f>
        <v>0</v>
      </c>
      <c r="BX12" s="80">
        <f>WWWW[[#This Row],['#_Constructed/Existing water distribution system from river or natural spring]]</f>
        <v>0</v>
      </c>
      <c r="BY1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 s="81">
        <f>IF(WWWW[[#This Row],[Location Type 1]]="Village",WWWW[[#This Row],[Access to safe drinking water for Village]],WWWW[[#This Row],[Access to safe drinking water for Camp]])</f>
        <v>1</v>
      </c>
      <c r="CB12" s="79">
        <f>WWWW[[#This Row],[%Equitable and continuous access to sufficient quantity of safe drinking water]]*WWWW[[#This Row],[Total PoP ]]</f>
        <v>52</v>
      </c>
      <c r="CC12" s="81">
        <f>IF((WWWW[[#This Row],['#_Constructed/Existing protected/fenced ponds]]*250)/WWWW[[#This Row],[Total PoP ]]&gt;1,1,(WWWW[[#This Row],['#_Constructed/Existing protected/fenced ponds]]*250)/WWWW[[#This Row],[Total PoP ]])</f>
        <v>0</v>
      </c>
      <c r="CD12" s="79">
        <f>WWWW[[#This Row],[% Access to unimproved water points]]*WWWW[[#This Row],[Total PoP ]]</f>
        <v>0</v>
      </c>
      <c r="CE1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G12" s="79">
        <f>WWWW[[#This Row],[HRP1]]/500</f>
        <v>0.104</v>
      </c>
      <c r="CH12" s="78">
        <f>1-WWWW[[#This Row],[% Equitable and continuous access to sufficient quantity of domestic water]]</f>
        <v>0</v>
      </c>
      <c r="CI12" s="79">
        <f>WWWW[[#This Row],[%equitable and continuous access to sufficient quantity of safe drinking and domestic water''s GAP]]*WWWW[[#This Row],[Total PoP ]]</f>
        <v>0</v>
      </c>
      <c r="CJ12" s="80">
        <f>IF(WWWW[[#This Row],[Total required water points]]-WWWW[[#This Row],['#Water points coverage]]&lt;0,0,WWWW[[#This Row],[Total required water points]]-WWWW[[#This Row],['#Water points coverage]])</f>
        <v>0.89600000000000002</v>
      </c>
      <c r="CK12" s="80">
        <f>ROUND(IF(WWWW[[#This Row],[Total PoP ]]&lt;500,1,WWWW[[#This Row],[Total PoP ]]/500),0)</f>
        <v>1</v>
      </c>
      <c r="CL12" s="80">
        <f>(WWWW[[#This Row],['#_Constructed latrines_by_WASHAgencies]]+WWWW[[#This Row],['#_Non Cluster partner latrines]])-WWWW[[#This Row],['#_Non-functional latrines]]</f>
        <v>2</v>
      </c>
      <c r="CM1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0.76923076923076927</v>
      </c>
      <c r="CN1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1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 s="80">
        <f>IF(WWWW[[#This Row],[Location Type 1]]="Village","NA",IF(WWWW[[#This Row],['#_Constructed/Existing latrines in TLS]]*50&gt;WWWW[[#This Row],['#_students at TLS_CFS]],WWWW[[#This Row],['#_students at TLS_CFS]],(WWWW[[#This Row],['#_Constructed/Existing latrines in TLS]]*50)))</f>
        <v>0</v>
      </c>
      <c r="CQ12" s="80">
        <f>ROUND(IF(WWWW[[#This Row],[Location Type 1]]="camp",WWWW[[#This Row],[Total PoP ]]/20,IF(WWWW[[#This Row],[Location Type 1]]="Temporary Location",WWWW[[#This Row],[Total PoP ]]/50,(WWWW[[#This Row],[Total PoP ]]/6))),0)</f>
        <v>3</v>
      </c>
      <c r="CR12" s="79">
        <f>IF(WWWW[[#This Row],[Total required Latrines]]-(WWWW[[#This Row],['#_Constructed latrines_by_WASHAgencies]]+WWWW[[#This Row],['#_Non Cluster partner latrines]])&lt;0,0,WWWW[[#This Row],[Total required Latrines]]-(WWWW[[#This Row],['#_Constructed latrines_by_WASHAgencies]]+WWWW[[#This Row],['#_Non Cluster partner latrines]]))</f>
        <v>1</v>
      </c>
      <c r="CS12" s="78">
        <f>1-WWWW[[#This Row],[% people access to functioning Latrine]]</f>
        <v>0.23076923076923073</v>
      </c>
      <c r="CT12" s="82">
        <f>IF(OR(WWWW[[#This Row],['#_Non-functional latrines]]="",WWWW[[#This Row],['#_Non-functional latrines]]=0),0,WWWW[[#This Row],['#_Non-functional latrines]]/(WWWW[[#This Row],['#_Constructed latrines_by_WASHAgencies]]+WWWW[[#This Row],['#_Non Cluster partner latrines]]))</f>
        <v>0</v>
      </c>
      <c r="CU12" s="79">
        <f>IF(500*(WWWW[[#This Row],['#_male hygiene promoters]]+WWWW[[#This Row],['#_female hygiene promoters]])&gt;WWWW[[#This Row],[Total PoP ]],WWWW[[#This Row],[Total PoP ]],500*(WWWW[[#This Row],['#_male hygiene promoters]]+WWWW[[#This Row],['#_female hygiene promoters]]))</f>
        <v>0</v>
      </c>
      <c r="CV1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CW1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12" s="80">
        <f>IF(WWWW[[#This Row],['# People with access to soap]]&gt;WWWW[[#This Row],['# People with access to Sanity Pads]],WWWW[[#This Row],['# People with access to soap]],WWWW[[#This Row],['# People with access to Sanity Pads]])</f>
        <v>52</v>
      </c>
      <c r="CY12" s="80">
        <f>IF(WWWW[[#This Row],['# people reached by regular dedicated hygiene promotion_5]]&gt;WWWW[[#This Row],['# People received regular supply of hygiene items_6]],WWWW[[#This Row],['# people reached by regular dedicated hygiene promotion_5]],WWWW[[#This Row],['# People received regular supply of hygiene items_6]])</f>
        <v>52</v>
      </c>
      <c r="CZ12" s="78">
        <f>IF(WWWW[[#This Row],[HRP3]]/WWWW[[#This Row],[Total PoP ]]&gt;100%,100%,WWWW[[#This Row],[HRP3]]/WWWW[[#This Row],[Total PoP ]])</f>
        <v>1</v>
      </c>
      <c r="DA12" s="82">
        <f>1-WWWW[[#This Row],[Hygiene Coverage%]]</f>
        <v>0</v>
      </c>
      <c r="DB12" s="81">
        <f>WWWW[[#This Row],['# people reached by regular dedicated hygiene promotion_5]]/WWWW[[#This Row],[Total PoP ]]</f>
        <v>0</v>
      </c>
      <c r="DC12" s="81">
        <f>IF(WWWW[[#This Row],['#_households that received standard amount of soap for this quarter]]/WWWW[[#This Row],[Total HH]]&gt;1,1,WWWW[[#This Row],['#_households that received standard amount of soap for this quarter]]/WWWW[[#This Row],[Total HH]])</f>
        <v>1</v>
      </c>
      <c r="DD12" s="81">
        <f>IF(WWWW[[#This Row],['#_households that received standard amount of sanitary pads for this quarter]]/WWWW[[#This Row],[Total HH]]&gt;1,1,WWWW[[#This Row],['#_households that received standard amount of sanitary pads for this quarter]]/WWWW[[#This Row],[Total HH]])</f>
        <v>0.18181818181818182</v>
      </c>
      <c r="DE12" s="80">
        <f>WWWW[[#This Row],['#_Constructed/Existing hand washing stations]]-WWWW[[#This Row],['#_Non-Functional_hand_washing_stations]]</f>
        <v>1</v>
      </c>
      <c r="DF12" s="757">
        <f>IF(WWWW[[#This Row],['# Functional hand washing stations during reporting period]]*20&gt;WWWW[[#This Row],[Total HH]],WWWW[[#This Row],[Total HH]],WWWW[[#This Row],['# Functional hand washing stations during reporting period]]*20)</f>
        <v>11</v>
      </c>
      <c r="DG12" s="79">
        <f>IF(WWWW[[#This Row],[Is sufficient soap available for TLS? (Yes/No)]]="yes",WWWW[[#This Row],['#_Constructed/Existing hand washing stations at TLS]],0)</f>
        <v>0</v>
      </c>
      <c r="DH12" s="578">
        <f>IF(WWWW[[#This Row],['# Functional hand washing stations during reporting period]]*100&gt;WWWW[[#This Row],[Total PoP ]],WWWW[[#This Row],[Total PoP ]],WWWW[[#This Row],['# Functional hand washing stations during reporting period]]*100)</f>
        <v>52</v>
      </c>
      <c r="DI12" s="578" t="str">
        <f>IF(OR(WWWW[[#This Row],['#_students at TLS_CFS]]="",WWWW[[#This Row],['#_students at TLS_CFS]]=0),"No","Yes")</f>
        <v>No</v>
      </c>
      <c r="DJ12" s="231" t="str">
        <f>VLOOKUP(WWWW[[#This Row],[Site Name]],SiteDB6[[Site Name]:[CCCM Management]],6,FALSE)</f>
        <v>Yes</v>
      </c>
      <c r="DK12" s="231" t="str">
        <f>VLOOKUP(WWWW[[#This Row],[Site Name]],SiteDB6[[Site Name]:[CCCM Focal Agency]],7,FALSE)</f>
        <v>KBC</v>
      </c>
      <c r="DL12" s="231" t="str">
        <f>VLOOKUP(WWWW[[#This Row],[Site Name]],SiteDB6[[Site Name]:[Location Type 1]],9,FALSE)</f>
        <v>Camp</v>
      </c>
      <c r="DM12" s="231" t="str">
        <f>VLOOKUP(WWWW[[#This Row],[Site Name]],SiteDB6[[Site Name]:[Type of Accommodation]],10,FALSE)</f>
        <v>Camp</v>
      </c>
      <c r="DN12" s="231" t="str">
        <f>VLOOKUP(WWWW[[#This Row],[Site Name]],SiteDB6[[Site Name]:[Ethnic or GCA/NGCA]],11,FALSE)</f>
        <v>GCA</v>
      </c>
      <c r="DO12" s="231">
        <f>VLOOKUP(WWWW[[#This Row],[Site Name]],SiteDB6[[Site Name]:[Lat]],12,FALSE)</f>
        <v>24.260466999999998</v>
      </c>
      <c r="DP12" s="231">
        <f>VLOOKUP(WWWW[[#This Row],[Site Name]],SiteDB6[[Site Name]:[Long]],13,FALSE)</f>
        <v>97.252650000000003</v>
      </c>
      <c r="DQ12" s="231" t="str">
        <f>VLOOKUP(WWWW[[#This Row],[Site Name]],SiteDB6[[Site Name]:[Pcode]],3,FALSE)</f>
        <v>MMR001CMP194</v>
      </c>
      <c r="DR12" s="207" t="str">
        <f t="shared" si="0"/>
        <v>Covered</v>
      </c>
      <c r="DS12" s="207"/>
      <c r="DT12" s="20"/>
      <c r="DU12" s="20"/>
      <c r="DV12" s="20"/>
      <c r="DW12" s="20"/>
      <c r="DX12" s="20"/>
      <c r="DY12" s="20"/>
      <c r="DZ12" s="20"/>
      <c r="EA12" s="20"/>
      <c r="EB12" s="20"/>
      <c r="EC12" s="20"/>
      <c r="ED12" s="20"/>
      <c r="EE12" s="20"/>
      <c r="EF12" s="20"/>
      <c r="EG12" s="20"/>
      <c r="EH12" s="20"/>
    </row>
    <row r="13" spans="1:138" ht="15.75" customHeight="1">
      <c r="A13" s="238" t="s">
        <v>2518</v>
      </c>
      <c r="B13" s="574" t="s">
        <v>38</v>
      </c>
      <c r="C13" s="574" t="s">
        <v>38</v>
      </c>
      <c r="D13" s="574" t="s">
        <v>3100</v>
      </c>
      <c r="E13" s="574" t="s">
        <v>39</v>
      </c>
      <c r="F13" s="574" t="s">
        <v>150</v>
      </c>
      <c r="G13" s="574" t="str">
        <f>VLOOKUP(WWWW[[#This Row],[Site Name]],SiteDB6[[Site Name]:[Location Type]],8,FALSE)</f>
        <v>Camp</v>
      </c>
      <c r="H13" s="574" t="s">
        <v>244</v>
      </c>
      <c r="I13" s="583">
        <v>101</v>
      </c>
      <c r="J13" s="583">
        <v>458</v>
      </c>
      <c r="K13" s="553" t="s">
        <v>2979</v>
      </c>
      <c r="L13" s="77" t="s">
        <v>2973</v>
      </c>
      <c r="M13" s="583">
        <v>132</v>
      </c>
      <c r="N13" s="583"/>
      <c r="O13" s="583"/>
      <c r="P13" s="583"/>
      <c r="Q13" s="574" t="s">
        <v>43</v>
      </c>
      <c r="R13" s="583"/>
      <c r="S13" s="583"/>
      <c r="T13" s="583"/>
      <c r="U13" s="583"/>
      <c r="V13" s="583"/>
      <c r="W13" s="583"/>
      <c r="X13" s="583"/>
      <c r="Y13" s="583"/>
      <c r="Z13" s="583"/>
      <c r="AA13" s="583">
        <v>1</v>
      </c>
      <c r="AB13" s="583"/>
      <c r="AC13" s="583"/>
      <c r="AD13" s="583"/>
      <c r="AE13" s="583"/>
      <c r="AF13" s="583"/>
      <c r="AG13" s="583"/>
      <c r="AH13" s="583"/>
      <c r="AI13" s="583"/>
      <c r="AJ13" s="583"/>
      <c r="AK13" s="583"/>
      <c r="AL13" s="583"/>
      <c r="AM13" s="583"/>
      <c r="AN13" s="583"/>
      <c r="AO13" s="578"/>
      <c r="AP13" s="601">
        <v>90</v>
      </c>
      <c r="AQ13" s="574"/>
      <c r="AR13" s="574"/>
      <c r="AS13" s="578"/>
      <c r="AT13" s="574"/>
      <c r="AU13" s="578"/>
      <c r="AV13" s="578"/>
      <c r="AW13" s="80"/>
      <c r="AX13" s="80" t="s">
        <v>43</v>
      </c>
      <c r="AY13" s="80" t="s">
        <v>145</v>
      </c>
      <c r="AZ13" s="80">
        <v>3</v>
      </c>
      <c r="BA13" s="80"/>
      <c r="BB13" s="578"/>
      <c r="BC13" s="578"/>
      <c r="BD13" s="578">
        <v>2</v>
      </c>
      <c r="BE13" s="578"/>
      <c r="BF13" s="578"/>
      <c r="BG13" s="602">
        <v>3</v>
      </c>
      <c r="BH13" s="578"/>
      <c r="BI13" s="583"/>
      <c r="BJ13" s="583">
        <v>2</v>
      </c>
      <c r="BK13" s="603">
        <v>40</v>
      </c>
      <c r="BL13" s="578"/>
      <c r="BM13" s="578" t="s">
        <v>144</v>
      </c>
      <c r="BN13" s="578"/>
      <c r="BO13" s="81"/>
      <c r="BP13" s="578"/>
      <c r="BQ13" s="78" t="str">
        <f>IFERROR(WWWW[[#This Row],['#_Water sources treated]]/WWWW[[#This Row],['#_Water sources tested for contamination]],"no test")</f>
        <v>no test</v>
      </c>
      <c r="BR13" s="81" t="str">
        <f>IFERROR(WWWW[[#This Row],['#_Household received remediation action due to contamination]]/WWWW[[#This Row],['#_Household water samples tested for contamination]],"no test")</f>
        <v>no test</v>
      </c>
      <c r="BS13" s="80" t="str">
        <f>IF(AND(WWWW[[#This Row],[% of water sources treated]]="no test",WWWW[[#This Row],[% Household received corrective actions]]="no test"),"No Test","Tested")</f>
        <v>No Test</v>
      </c>
      <c r="BT13" s="80">
        <f>WWWW[[#This Row],['#_Constructed/existing protected hand dug well]]-WWWW[[#This Row],['#_Non-functional protected hand dug well]]</f>
        <v>0</v>
      </c>
      <c r="BU13" s="80">
        <f>(WWWW[[#This Row],['#_Constructed/Existing tube wells/boreholes/handpumps_WASH_agency]]+WWWW[[#This Row],['#_Non-Cluster partner water tube-wells/boreholes/handpumps]])-WWWW[[#This Row],['#_Non-functional tube wells/boreholes/handpumps]]</f>
        <v>0</v>
      </c>
      <c r="BV13" s="80">
        <f>WWWW[[#This Row],['#_Constructed/Existingwater storage tank with gravity fed reticulation system]]-WWWW[[#This Row],['#_Non-functional storage tank gravity fed reticulation system]]</f>
        <v>1</v>
      </c>
      <c r="BW13" s="80">
        <f>WWWW[[#This Row],['#_Water boating or water trucking]]</f>
        <v>0</v>
      </c>
      <c r="BX13" s="80">
        <f>WWWW[[#This Row],['#_Constructed/Existing water distribution system from river or natural spring]]</f>
        <v>0</v>
      </c>
      <c r="BY1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0.14556040756914121</v>
      </c>
      <c r="BZ1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0.14556040756914121</v>
      </c>
      <c r="CA13" s="81">
        <f>IF(WWWW[[#This Row],[Location Type 1]]="Village",WWWW[[#This Row],[Access to safe drinking water for Village]],WWWW[[#This Row],[Access to safe drinking water for Camp]])</f>
        <v>0.14556040756914121</v>
      </c>
      <c r="CB13" s="79">
        <f>WWWW[[#This Row],[%Equitable and continuous access to sufficient quantity of safe drinking water]]*WWWW[[#This Row],[Total PoP ]]</f>
        <v>66.666666666666671</v>
      </c>
      <c r="CC13" s="81">
        <f>IF((WWWW[[#This Row],['#_Constructed/Existing protected/fenced ponds]]*250)/WWWW[[#This Row],[Total PoP ]]&gt;1,1,(WWWW[[#This Row],['#_Constructed/Existing protected/fenced ponds]]*250)/WWWW[[#This Row],[Total PoP ]])</f>
        <v>0</v>
      </c>
      <c r="CD13" s="79">
        <f>WWWW[[#This Row],[% Access to unimproved water points]]*WWWW[[#This Row],[Total PoP ]]</f>
        <v>0</v>
      </c>
      <c r="CE1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F1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3" s="79">
        <f>WWWW[[#This Row],[HRP1]]/500</f>
        <v>0.13333333333333333</v>
      </c>
      <c r="CH13" s="78">
        <f>1-WWWW[[#This Row],[% Equitable and continuous access to sufficient quantity of domestic water]]</f>
        <v>0.85443959243085876</v>
      </c>
      <c r="CI13" s="79">
        <f>WWWW[[#This Row],[%equitable and continuous access to sufficient quantity of safe drinking and domestic water''s GAP]]*WWWW[[#This Row],[Total PoP ]]</f>
        <v>391.33333333333331</v>
      </c>
      <c r="CJ13" s="80">
        <f>IF(WWWW[[#This Row],[Total required water points]]-WWWW[[#This Row],['#Water points coverage]]&lt;0,0,WWWW[[#This Row],[Total required water points]]-WWWW[[#This Row],['#Water points coverage]])</f>
        <v>0.8666666666666667</v>
      </c>
      <c r="CK13" s="80">
        <f>ROUND(IF(WWWW[[#This Row],[Total PoP ]]&lt;500,1,WWWW[[#This Row],[Total PoP ]]/500),0)</f>
        <v>1</v>
      </c>
      <c r="CL13" s="80">
        <f>(WWWW[[#This Row],['#_Constructed latrines_by_WASHAgencies]]+WWWW[[#This Row],['#_Non Cluster partner latrines]])-WWWW[[#This Row],['#_Non-functional latrines]]</f>
        <v>90</v>
      </c>
      <c r="CM1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458</v>
      </c>
      <c r="CO1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 s="80">
        <f>IF(WWWW[[#This Row],[Location Type 1]]="Village","NA",IF(WWWW[[#This Row],['#_Constructed/Existing latrines in TLS]]*50&gt;WWWW[[#This Row],['#_students at TLS_CFS]],WWWW[[#This Row],['#_students at TLS_CFS]],(WWWW[[#This Row],['#_Constructed/Existing latrines in TLS]]*50)))</f>
        <v>0</v>
      </c>
      <c r="CQ13" s="80">
        <f>ROUND(IF(WWWW[[#This Row],[Location Type 1]]="camp",WWWW[[#This Row],[Total PoP ]]/20,IF(WWWW[[#This Row],[Location Type 1]]="Temporary Location",WWWW[[#This Row],[Total PoP ]]/50,(WWWW[[#This Row],[Total PoP ]]/6))),0)</f>
        <v>23</v>
      </c>
      <c r="CR13" s="79">
        <f>IF(WWWW[[#This Row],[Total required Latrines]]-(WWWW[[#This Row],['#_Constructed latrines_by_WASHAgencies]]+WWWW[[#This Row],['#_Non Cluster partner latrines]])&lt;0,0,WWWW[[#This Row],[Total required Latrines]]-(WWWW[[#This Row],['#_Constructed latrines_by_WASHAgencies]]+WWWW[[#This Row],['#_Non Cluster partner latrines]]))</f>
        <v>0</v>
      </c>
      <c r="CS13" s="78">
        <f>1-WWWW[[#This Row],[% people access to functioning Latrine]]</f>
        <v>0</v>
      </c>
      <c r="CT13" s="82">
        <f>IF(OR(WWWW[[#This Row],['#_Non-functional latrines]]="",WWWW[[#This Row],['#_Non-functional latrines]]=0),0,WWWW[[#This Row],['#_Non-functional latrines]]/(WWWW[[#This Row],['#_Constructed latrines_by_WASHAgencies]]+WWWW[[#This Row],['#_Non Cluster partner latrines]]))</f>
        <v>0</v>
      </c>
      <c r="CU13" s="79">
        <f>IF(500*(WWWW[[#This Row],['#_male hygiene promoters]]+WWWW[[#This Row],['#_female hygiene promoters]])&gt;WWWW[[#This Row],[Total PoP ]],WWWW[[#This Row],[Total PoP ]],500*(WWWW[[#This Row],['#_male hygiene promoters]]+WWWW[[#This Row],['#_female hygiene promoters]]))</f>
        <v>458</v>
      </c>
      <c r="CV1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1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 s="80">
        <f>IF(WWWW[[#This Row],['# People with access to soap]]&gt;WWWW[[#This Row],['# People with access to Sanity Pads]],WWWW[[#This Row],['# People with access to soap]],WWWW[[#This Row],['# People with access to Sanity Pads]])</f>
        <v>200</v>
      </c>
      <c r="CY13" s="80">
        <f>IF(WWWW[[#This Row],['# people reached by regular dedicated hygiene promotion_5]]&gt;WWWW[[#This Row],['# People received regular supply of hygiene items_6]],WWWW[[#This Row],['# people reached by regular dedicated hygiene promotion_5]],WWWW[[#This Row],['# People received regular supply of hygiene items_6]])</f>
        <v>458</v>
      </c>
      <c r="CZ13" s="78">
        <f>IF(WWWW[[#This Row],[HRP3]]/WWWW[[#This Row],[Total PoP ]]&gt;100%,100%,WWWW[[#This Row],[HRP3]]/WWWW[[#This Row],[Total PoP ]])</f>
        <v>1</v>
      </c>
      <c r="DA13" s="82">
        <f>1-WWWW[[#This Row],[Hygiene Coverage%]]</f>
        <v>0</v>
      </c>
      <c r="DB13" s="81">
        <f>WWWW[[#This Row],['# people reached by regular dedicated hygiene promotion_5]]/WWWW[[#This Row],[Total PoP ]]</f>
        <v>1</v>
      </c>
      <c r="DC13" s="81">
        <f>IF(WWWW[[#This Row],['#_households that received standard amount of soap for this quarter]]/WWWW[[#This Row],[Total HH]]&gt;1,1,WWWW[[#This Row],['#_households that received standard amount of soap for this quarter]]/WWWW[[#This Row],[Total HH]])</f>
        <v>0.39603960396039606</v>
      </c>
      <c r="DD13" s="81">
        <f>IF(WWWW[[#This Row],['#_households that received standard amount of sanitary pads for this quarter]]/WWWW[[#This Row],[Total HH]]&gt;1,1,WWWW[[#This Row],['#_households that received standard amount of sanitary pads for this quarter]]/WWWW[[#This Row],[Total HH]])</f>
        <v>0</v>
      </c>
      <c r="DE13" s="80">
        <f>WWWW[[#This Row],['#_Constructed/Existing hand washing stations]]-WWWW[[#This Row],['#_Non-Functional_hand_washing_stations]]</f>
        <v>2</v>
      </c>
      <c r="DF13" s="757">
        <f>IF(WWWW[[#This Row],['# Functional hand washing stations during reporting period]]*20&gt;WWWW[[#This Row],[Total HH]],WWWW[[#This Row],[Total HH]],WWWW[[#This Row],['# Functional hand washing stations during reporting period]]*20)</f>
        <v>40</v>
      </c>
      <c r="DG13" s="79">
        <f>IF(WWWW[[#This Row],[Is sufficient soap available for TLS? (Yes/No)]]="yes",WWWW[[#This Row],['#_Constructed/Existing hand washing stations at TLS]],0)</f>
        <v>0</v>
      </c>
      <c r="DH13" s="578">
        <f>IF(WWWW[[#This Row],['# Functional hand washing stations during reporting period]]*100&gt;WWWW[[#This Row],[Total PoP ]],WWWW[[#This Row],[Total PoP ]],WWWW[[#This Row],['# Functional hand washing stations during reporting period]]*100)</f>
        <v>200</v>
      </c>
      <c r="DI13" s="578" t="str">
        <f>IF(OR(WWWW[[#This Row],['#_students at TLS_CFS]]="",WWWW[[#This Row],['#_students at TLS_CFS]]=0),"No","Yes")</f>
        <v>Yes</v>
      </c>
      <c r="DJ13" s="231" t="str">
        <f>VLOOKUP(WWWW[[#This Row],[Site Name]],SiteDB6[[Site Name]:[CCCM Management]],6,FALSE)</f>
        <v>Yes</v>
      </c>
      <c r="DK13" s="231" t="str">
        <f>VLOOKUP(WWWW[[#This Row],[Site Name]],SiteDB6[[Site Name]:[CCCM Focal Agency]],7,FALSE)</f>
        <v>KMSS-MYT</v>
      </c>
      <c r="DL13" s="231" t="str">
        <f>VLOOKUP(WWWW[[#This Row],[Site Name]],SiteDB6[[Site Name]:[Location Type 1]],9,FALSE)</f>
        <v>Camp</v>
      </c>
      <c r="DM13" s="231" t="str">
        <f>VLOOKUP(WWWW[[#This Row],[Site Name]],SiteDB6[[Site Name]:[Type of Accommodation]],10,FALSE)</f>
        <v>Camp</v>
      </c>
      <c r="DN13" s="231" t="str">
        <f>VLOOKUP(WWWW[[#This Row],[Site Name]],SiteDB6[[Site Name]:[Ethnic or GCA/NGCA]],11,FALSE)</f>
        <v>NGCA</v>
      </c>
      <c r="DO13" s="231">
        <f>VLOOKUP(WWWW[[#This Row],[Site Name]],SiteDB6[[Site Name]:[Lat]],12,FALSE)</f>
        <v>25.220278</v>
      </c>
      <c r="DP13" s="231">
        <f>VLOOKUP(WWWW[[#This Row],[Site Name]],SiteDB6[[Site Name]:[Long]],13,FALSE)</f>
        <v>97.915833000000006</v>
      </c>
      <c r="DQ13" s="231" t="str">
        <f>VLOOKUP(WWWW[[#This Row],[Site Name]],SiteDB6[[Site Name]:[Pcode]],3,FALSE)</f>
        <v>MMR001CMP113</v>
      </c>
      <c r="DR13" s="207" t="str">
        <f t="shared" si="0"/>
        <v>Covered</v>
      </c>
      <c r="DS13" s="207"/>
      <c r="DT13" s="20"/>
      <c r="DU13" s="20"/>
      <c r="DV13" s="20"/>
      <c r="DW13" s="20"/>
      <c r="DX13" s="20"/>
      <c r="DY13" s="20"/>
      <c r="DZ13" s="20"/>
      <c r="EA13" s="20"/>
      <c r="EB13" s="20"/>
      <c r="EC13" s="20"/>
      <c r="ED13" s="20"/>
      <c r="EE13" s="20"/>
      <c r="EF13" s="20"/>
      <c r="EG13" s="20"/>
      <c r="EH13" s="20"/>
    </row>
    <row r="14" spans="1:138" ht="15.75" customHeight="1">
      <c r="A14" s="238" t="s">
        <v>2518</v>
      </c>
      <c r="B14" s="574" t="s">
        <v>149</v>
      </c>
      <c r="C14" s="574" t="s">
        <v>149</v>
      </c>
      <c r="D14" s="574"/>
      <c r="E14" s="574" t="s">
        <v>39</v>
      </c>
      <c r="F14" s="574" t="s">
        <v>167</v>
      </c>
      <c r="G14" s="574" t="str">
        <f>VLOOKUP(WWWW[[#This Row],[Site Name]],SiteDB6[[Site Name]:[Location Type]],8,FALSE)</f>
        <v>Camp_not registered</v>
      </c>
      <c r="H14" s="76" t="s">
        <v>2091</v>
      </c>
      <c r="I14" s="583">
        <v>24</v>
      </c>
      <c r="J14" s="583">
        <v>103</v>
      </c>
      <c r="K14" s="553"/>
      <c r="L14" s="77"/>
      <c r="M14" s="583"/>
      <c r="N14" s="583"/>
      <c r="O14" s="583"/>
      <c r="P14" s="583"/>
      <c r="Q14" s="76"/>
      <c r="R14" s="310"/>
      <c r="S14" s="310"/>
      <c r="T14" s="310">
        <v>0</v>
      </c>
      <c r="U14" s="310"/>
      <c r="V14" s="310"/>
      <c r="W14" s="310">
        <v>0</v>
      </c>
      <c r="X14" s="310"/>
      <c r="Y14" s="310"/>
      <c r="Z14" s="310"/>
      <c r="AA14" s="310"/>
      <c r="AB14" s="310"/>
      <c r="AC14" s="310"/>
      <c r="AD14" s="310"/>
      <c r="AE14" s="310"/>
      <c r="AF14" s="310"/>
      <c r="AG14" s="310"/>
      <c r="AH14" s="310">
        <v>0</v>
      </c>
      <c r="AI14" s="310"/>
      <c r="AJ14" s="310"/>
      <c r="AK14" s="310"/>
      <c r="AL14" s="310"/>
      <c r="AM14" s="310"/>
      <c r="AN14" s="310"/>
      <c r="AO14" s="207"/>
      <c r="AP14" s="310">
        <v>0</v>
      </c>
      <c r="AQ14" s="310"/>
      <c r="AR14" s="76"/>
      <c r="AS14" s="310"/>
      <c r="AT14" s="310"/>
      <c r="AU14" s="310">
        <v>0</v>
      </c>
      <c r="AV14" s="310"/>
      <c r="AW14" s="310">
        <v>0</v>
      </c>
      <c r="AX14" s="581" t="s">
        <v>144</v>
      </c>
      <c r="AY14" s="581" t="s">
        <v>148</v>
      </c>
      <c r="AZ14" s="310"/>
      <c r="BA14" s="310"/>
      <c r="BB14" s="310"/>
      <c r="BC14" s="207"/>
      <c r="BD14" s="310"/>
      <c r="BE14" s="310"/>
      <c r="BF14" s="310"/>
      <c r="BG14" s="310"/>
      <c r="BH14" s="310"/>
      <c r="BI14" s="310"/>
      <c r="BJ14" s="310"/>
      <c r="BK14" s="310"/>
      <c r="BL14" s="310"/>
      <c r="BM14" s="207"/>
      <c r="BN14" s="79"/>
      <c r="BO14" s="81"/>
      <c r="BP14" s="207"/>
      <c r="BQ14" s="78" t="str">
        <f>IFERROR(WWWW[[#This Row],['#_Water sources treated]]/WWWW[[#This Row],['#_Water sources tested for contamination]],"no test")</f>
        <v>no test</v>
      </c>
      <c r="BR14" s="81" t="str">
        <f>IFERROR(WWWW[[#This Row],['#_Household received remediation action due to contamination]]/WWWW[[#This Row],['#_Household water samples tested for contamination]],"no test")</f>
        <v>no test</v>
      </c>
      <c r="BS14" s="80" t="str">
        <f>IF(AND(WWWW[[#This Row],[% of water sources treated]]="no test",WWWW[[#This Row],[% Household received corrective actions]]="no test"),"No Test","Tested")</f>
        <v>No Test</v>
      </c>
      <c r="BT14" s="80">
        <f>WWWW[[#This Row],['#_Constructed/existing protected hand dug well]]-WWWW[[#This Row],['#_Non-functional protected hand dug well]]</f>
        <v>0</v>
      </c>
      <c r="BU14" s="80">
        <f>(WWWW[[#This Row],['#_Constructed/Existing tube wells/boreholes/handpumps_WASH_agency]]+WWWW[[#This Row],['#_Non-Cluster partner water tube-wells/boreholes/handpumps]])-WWWW[[#This Row],['#_Non-functional tube wells/boreholes/handpumps]]</f>
        <v>0</v>
      </c>
      <c r="BV14" s="80">
        <f>WWWW[[#This Row],['#_Constructed/Existingwater storage tank with gravity fed reticulation system]]-WWWW[[#This Row],['#_Non-functional storage tank gravity fed reticulation system]]</f>
        <v>0</v>
      </c>
      <c r="BW14" s="80">
        <f>WWWW[[#This Row],['#_Water boating or water trucking]]</f>
        <v>0</v>
      </c>
      <c r="BX14" s="80">
        <f>WWWW[[#This Row],['#_Constructed/Existing water distribution system from river or natural spring]]</f>
        <v>0</v>
      </c>
      <c r="BY1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 s="81">
        <f>IF(WWWW[[#This Row],[Location Type 1]]="Village",WWWW[[#This Row],[Access to safe drinking water for Village]],WWWW[[#This Row],[Access to safe drinking water for Camp]])</f>
        <v>0</v>
      </c>
      <c r="CB14" s="79">
        <f>WWWW[[#This Row],[%Equitable and continuous access to sufficient quantity of safe drinking water]]*WWWW[[#This Row],[Total PoP ]]</f>
        <v>0</v>
      </c>
      <c r="CC14" s="81">
        <f>IF((WWWW[[#This Row],['#_Constructed/Existing protected/fenced ponds]]*250)/WWWW[[#This Row],[Total PoP ]]&gt;1,1,(WWWW[[#This Row],['#_Constructed/Existing protected/fenced ponds]]*250)/WWWW[[#This Row],[Total PoP ]])</f>
        <v>0</v>
      </c>
      <c r="CD14" s="79">
        <f>WWWW[[#This Row],[% Access to unimproved water points]]*WWWW[[#This Row],[Total PoP ]]</f>
        <v>0</v>
      </c>
      <c r="CE1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 s="79">
        <f>WWWW[[#This Row],[HRP1]]/500</f>
        <v>0</v>
      </c>
      <c r="CH14" s="78">
        <f>1-WWWW[[#This Row],[% Equitable and continuous access to sufficient quantity of domestic water]]</f>
        <v>1</v>
      </c>
      <c r="CI14" s="79">
        <f>WWWW[[#This Row],[%equitable and continuous access to sufficient quantity of safe drinking and domestic water''s GAP]]*WWWW[[#This Row],[Total PoP ]]</f>
        <v>103</v>
      </c>
      <c r="CJ14" s="80">
        <f>IF(WWWW[[#This Row],[Total required water points]]-WWWW[[#This Row],['#Water points coverage]]&lt;0,0,WWWW[[#This Row],[Total required water points]]-WWWW[[#This Row],['#Water points coverage]])</f>
        <v>1</v>
      </c>
      <c r="CK14" s="80">
        <f>ROUND(IF(WWWW[[#This Row],[Total PoP ]]&lt;500,1,WWWW[[#This Row],[Total PoP ]]/500),0)</f>
        <v>1</v>
      </c>
      <c r="CL14" s="80">
        <f>(WWWW[[#This Row],['#_Constructed latrines_by_WASHAgencies]]+WWWW[[#This Row],['#_Non Cluster partner latrines]])-WWWW[[#This Row],['#_Non-functional latrines]]</f>
        <v>0</v>
      </c>
      <c r="CM1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 s="80">
        <f>IF(WWWW[[#This Row],[Location Type 1]]="Village","NA",IF(WWWW[[#This Row],['#_Constructed/Existing latrines in TLS]]*50&gt;WWWW[[#This Row],['#_students at TLS_CFS]],WWWW[[#This Row],['#_students at TLS_CFS]],(WWWW[[#This Row],['#_Constructed/Existing latrines in TLS]]*50)))</f>
        <v>0</v>
      </c>
      <c r="CQ14" s="80">
        <f>ROUND(IF(WWWW[[#This Row],[Location Type 1]]="camp",WWWW[[#This Row],[Total PoP ]]/20,IF(WWWW[[#This Row],[Location Type 1]]="Temporary Location",WWWW[[#This Row],[Total PoP ]]/50,(WWWW[[#This Row],[Total PoP ]]/6))),0)</f>
        <v>5</v>
      </c>
      <c r="CR14" s="79">
        <f>IF(WWWW[[#This Row],[Total required Latrines]]-(WWWW[[#This Row],['#_Constructed latrines_by_WASHAgencies]]+WWWW[[#This Row],['#_Non Cluster partner latrines]])&lt;0,0,WWWW[[#This Row],[Total required Latrines]]-(WWWW[[#This Row],['#_Constructed latrines_by_WASHAgencies]]+WWWW[[#This Row],['#_Non Cluster partner latrines]]))</f>
        <v>5</v>
      </c>
      <c r="CS14" s="78">
        <f>1-WWWW[[#This Row],[% people access to functioning Latrine]]</f>
        <v>1</v>
      </c>
      <c r="CT14" s="82">
        <f>IF(OR(WWWW[[#This Row],['#_Non-functional latrines]]="",WWWW[[#This Row],['#_Non-functional latrines]]=0),0,WWWW[[#This Row],['#_Non-functional latrines]]/(WWWW[[#This Row],['#_Constructed latrines_by_WASHAgencies]]+WWWW[[#This Row],['#_Non Cluster partner latrines]]))</f>
        <v>0</v>
      </c>
      <c r="CU14" s="79">
        <f>IF(500*(WWWW[[#This Row],['#_male hygiene promoters]]+WWWW[[#This Row],['#_female hygiene promoters]])&gt;WWWW[[#This Row],[Total PoP ]],WWWW[[#This Row],[Total PoP ]],500*(WWWW[[#This Row],['#_male hygiene promoters]]+WWWW[[#This Row],['#_female hygiene promoters]]))</f>
        <v>0</v>
      </c>
      <c r="CV1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 s="80">
        <f>IF(WWWW[[#This Row],['# People with access to soap]]&gt;WWWW[[#This Row],['# People with access to Sanity Pads]],WWWW[[#This Row],['# People with access to soap]],WWWW[[#This Row],['# People with access to Sanity Pads]])</f>
        <v>0</v>
      </c>
      <c r="CY1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 s="78">
        <f>IF(WWWW[[#This Row],[HRP3]]/WWWW[[#This Row],[Total PoP ]]&gt;100%,100%,WWWW[[#This Row],[HRP3]]/WWWW[[#This Row],[Total PoP ]])</f>
        <v>0</v>
      </c>
      <c r="DA14" s="82">
        <f>1-WWWW[[#This Row],[Hygiene Coverage%]]</f>
        <v>1</v>
      </c>
      <c r="DB14" s="81">
        <f>WWWW[[#This Row],['# people reached by regular dedicated hygiene promotion_5]]/WWWW[[#This Row],[Total PoP ]]</f>
        <v>0</v>
      </c>
      <c r="DC14" s="81">
        <f>IF(WWWW[[#This Row],['#_households that received standard amount of soap for this quarter]]/WWWW[[#This Row],[Total HH]]&gt;1,1,WWWW[[#This Row],['#_households that received standard amount of soap for this quarter]]/WWWW[[#This Row],[Total HH]])</f>
        <v>0</v>
      </c>
      <c r="DD14" s="81">
        <f>IF(WWWW[[#This Row],['#_households that received standard amount of sanitary pads for this quarter]]/WWWW[[#This Row],[Total HH]]&gt;1,1,WWWW[[#This Row],['#_households that received standard amount of sanitary pads for this quarter]]/WWWW[[#This Row],[Total HH]])</f>
        <v>0</v>
      </c>
      <c r="DE14" s="80">
        <f>WWWW[[#This Row],['#_Constructed/Existing hand washing stations]]-WWWW[[#This Row],['#_Non-Functional_hand_washing_stations]]</f>
        <v>0</v>
      </c>
      <c r="DF14" s="757">
        <f>IF(WWWW[[#This Row],['# Functional hand washing stations during reporting period]]*20&gt;WWWW[[#This Row],[Total HH]],WWWW[[#This Row],[Total HH]],WWWW[[#This Row],['# Functional hand washing stations during reporting period]]*20)</f>
        <v>0</v>
      </c>
      <c r="DG14" s="79">
        <f>IF(WWWW[[#This Row],[Is sufficient soap available for TLS? (Yes/No)]]="yes",WWWW[[#This Row],['#_Constructed/Existing hand washing stations at TLS]],0)</f>
        <v>0</v>
      </c>
      <c r="DH14" s="578">
        <f>IF(WWWW[[#This Row],['# Functional hand washing stations during reporting period]]*100&gt;WWWW[[#This Row],[Total PoP ]],WWWW[[#This Row],[Total PoP ]],WWWW[[#This Row],['# Functional hand washing stations during reporting period]]*100)</f>
        <v>0</v>
      </c>
      <c r="DI14" s="578" t="str">
        <f>IF(OR(WWWW[[#This Row],['#_students at TLS_CFS]]="",WWWW[[#This Row],['#_students at TLS_CFS]]=0),"No","Yes")</f>
        <v>No</v>
      </c>
      <c r="DJ14" s="231">
        <f>VLOOKUP(WWWW[[#This Row],[Site Name]],SiteDB6[[Site Name]:[CCCM Management]],6,FALSE)</f>
        <v>0</v>
      </c>
      <c r="DK14" s="231">
        <f>VLOOKUP(WWWW[[#This Row],[Site Name]],SiteDB6[[Site Name]:[CCCM Focal Agency]],7,FALSE)</f>
        <v>0</v>
      </c>
      <c r="DL14" s="231" t="str">
        <f>VLOOKUP(WWWW[[#This Row],[Site Name]],SiteDB6[[Site Name]:[Location Type 1]],9,FALSE)</f>
        <v>Camp</v>
      </c>
      <c r="DM14" s="231" t="str">
        <f>VLOOKUP(WWWW[[#This Row],[Site Name]],SiteDB6[[Site Name]:[Type of Accommodation]],10,FALSE)</f>
        <v>Camp like setting</v>
      </c>
      <c r="DN14" s="231" t="str">
        <f>VLOOKUP(WWWW[[#This Row],[Site Name]],SiteDB6[[Site Name]:[Ethnic or GCA/NGCA]],11,FALSE)</f>
        <v>NGCA</v>
      </c>
      <c r="DO14" s="231">
        <f>VLOOKUP(WWWW[[#This Row],[Site Name]],SiteDB6[[Site Name]:[Lat]],12,FALSE)</f>
        <v>0</v>
      </c>
      <c r="DP14" s="231">
        <f>VLOOKUP(WWWW[[#This Row],[Site Name]],SiteDB6[[Site Name]:[Long]],13,FALSE)</f>
        <v>0</v>
      </c>
      <c r="DQ14" s="231">
        <f>VLOOKUP(WWWW[[#This Row],[Site Name]],SiteDB6[[Site Name]:[Pcode]],3,FALSE)</f>
        <v>0</v>
      </c>
      <c r="DR14" s="207" t="str">
        <f t="shared" ref="DR14:DR45" si="1">IF(C14="none","Notcovered","Covered")</f>
        <v>Covered</v>
      </c>
      <c r="DS14" s="207"/>
      <c r="DT14" s="20"/>
      <c r="DU14" s="20"/>
      <c r="DV14" s="20"/>
      <c r="DW14" s="20"/>
      <c r="DX14" s="20"/>
      <c r="DY14" s="20"/>
      <c r="DZ14" s="20"/>
      <c r="EA14" s="20"/>
      <c r="EB14" s="20"/>
      <c r="EC14" s="20"/>
      <c r="ED14" s="20"/>
      <c r="EE14" s="20"/>
      <c r="EF14" s="20"/>
      <c r="EG14" s="20"/>
      <c r="EH14" s="20"/>
    </row>
    <row r="15" spans="1:138" ht="15.75" customHeight="1">
      <c r="A15" s="238" t="s">
        <v>2518</v>
      </c>
      <c r="B15" s="574" t="s">
        <v>200</v>
      </c>
      <c r="C15" s="574" t="s">
        <v>200</v>
      </c>
      <c r="D15" s="574" t="s">
        <v>2960</v>
      </c>
      <c r="E15" s="574" t="s">
        <v>39</v>
      </c>
      <c r="F15" s="574" t="s">
        <v>203</v>
      </c>
      <c r="G15" s="574" t="str">
        <f>VLOOKUP(WWWW[[#This Row],[Site Name]],SiteDB6[[Site Name]:[Location Type]],8,FALSE)</f>
        <v>Camp</v>
      </c>
      <c r="H15" s="574" t="s">
        <v>206</v>
      </c>
      <c r="I15" s="312">
        <v>40</v>
      </c>
      <c r="J15" s="312">
        <v>235</v>
      </c>
      <c r="K15" s="553">
        <v>43466</v>
      </c>
      <c r="L15" s="77">
        <v>43830</v>
      </c>
      <c r="M15" s="583"/>
      <c r="N15" s="583"/>
      <c r="O15" s="583"/>
      <c r="P15" s="583"/>
      <c r="Q15" s="76" t="s">
        <v>43</v>
      </c>
      <c r="R15" s="310">
        <v>1</v>
      </c>
      <c r="S15" s="310">
        <v>2</v>
      </c>
      <c r="T15" s="310">
        <v>1</v>
      </c>
      <c r="U15" s="310"/>
      <c r="V15" s="310"/>
      <c r="W15" s="310"/>
      <c r="X15" s="310">
        <v>2</v>
      </c>
      <c r="Y15" s="310"/>
      <c r="Z15" s="310"/>
      <c r="AA15" s="310"/>
      <c r="AB15" s="310"/>
      <c r="AC15" s="310"/>
      <c r="AD15" s="310"/>
      <c r="AE15" s="310"/>
      <c r="AF15" s="310"/>
      <c r="AG15" s="310"/>
      <c r="AH15" s="310"/>
      <c r="AI15" s="310"/>
      <c r="AJ15" s="310"/>
      <c r="AK15" s="310"/>
      <c r="AL15" s="310"/>
      <c r="AM15" s="310"/>
      <c r="AN15" s="310"/>
      <c r="AO15" s="207"/>
      <c r="AP15" s="310">
        <v>7</v>
      </c>
      <c r="AQ15" s="310"/>
      <c r="AR15" s="76"/>
      <c r="AS15" s="310"/>
      <c r="AT15" s="310"/>
      <c r="AU15" s="310"/>
      <c r="AV15" s="310"/>
      <c r="AW15" s="310"/>
      <c r="AX15" s="581" t="s">
        <v>43</v>
      </c>
      <c r="AY15" s="581" t="s">
        <v>145</v>
      </c>
      <c r="AZ15" s="310"/>
      <c r="BA15" s="310"/>
      <c r="BB15" s="310"/>
      <c r="BC15" s="207"/>
      <c r="BD15" s="310">
        <v>3</v>
      </c>
      <c r="BE15" s="310"/>
      <c r="BF15" s="310"/>
      <c r="BG15" s="310">
        <v>2</v>
      </c>
      <c r="BH15" s="310"/>
      <c r="BI15" s="310"/>
      <c r="BJ15" s="310"/>
      <c r="BK15" s="310">
        <v>40</v>
      </c>
      <c r="BL15" s="310">
        <v>5</v>
      </c>
      <c r="BM15" s="207"/>
      <c r="BN15" s="79"/>
      <c r="BO15" s="81"/>
      <c r="BP15" s="207"/>
      <c r="BQ15" s="78" t="str">
        <f>IFERROR(WWWW[[#This Row],['#_Water sources treated]]/WWWW[[#This Row],['#_Water sources tested for contamination]],"no test")</f>
        <v>no test</v>
      </c>
      <c r="BR15" s="81" t="str">
        <f>IFERROR(WWWW[[#This Row],['#_Household received remediation action due to contamination]]/WWWW[[#This Row],['#_Household water samples tested for contamination]],"no test")</f>
        <v>no test</v>
      </c>
      <c r="BS15" s="80" t="str">
        <f>IF(AND(WWWW[[#This Row],[% of water sources treated]]="no test",WWWW[[#This Row],[% Household received corrective actions]]="no test"),"No Test","Tested")</f>
        <v>No Test</v>
      </c>
      <c r="BT15" s="80">
        <f>WWWW[[#This Row],['#_Constructed/existing protected hand dug well]]-WWWW[[#This Row],['#_Non-functional protected hand dug well]]</f>
        <v>1</v>
      </c>
      <c r="BU15" s="80">
        <f>(WWWW[[#This Row],['#_Constructed/Existing tube wells/boreholes/handpumps_WASH_agency]]+WWWW[[#This Row],['#_Non-Cluster partner water tube-wells/boreholes/handpumps]])-WWWW[[#This Row],['#_Non-functional tube wells/boreholes/handpumps]]</f>
        <v>2</v>
      </c>
      <c r="BV15" s="80">
        <f>WWWW[[#This Row],['#_Constructed/Existingwater storage tank with gravity fed reticulation system]]-WWWW[[#This Row],['#_Non-functional storage tank gravity fed reticulation system]]</f>
        <v>0</v>
      </c>
      <c r="BW15" s="80">
        <f>WWWW[[#This Row],['#_Water boating or water trucking]]</f>
        <v>0</v>
      </c>
      <c r="BX15" s="80">
        <f>WWWW[[#This Row],['#_Constructed/Existing water distribution system from river or natural spring]]</f>
        <v>0</v>
      </c>
      <c r="BY1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 s="81">
        <f>IF(WWWW[[#This Row],[Location Type 1]]="Village",WWWW[[#This Row],[Access to safe drinking water for Village]],WWWW[[#This Row],[Access to safe drinking water for Camp]])</f>
        <v>1</v>
      </c>
      <c r="CB15" s="79">
        <f>WWWW[[#This Row],[%Equitable and continuous access to sufficient quantity of safe drinking water]]*WWWW[[#This Row],[Total PoP ]]</f>
        <v>235</v>
      </c>
      <c r="CC15" s="81">
        <f>IF((WWWW[[#This Row],['#_Constructed/Existing protected/fenced ponds]]*250)/WWWW[[#This Row],[Total PoP ]]&gt;1,1,(WWWW[[#This Row],['#_Constructed/Existing protected/fenced ponds]]*250)/WWWW[[#This Row],[Total PoP ]])</f>
        <v>0</v>
      </c>
      <c r="CD15" s="79">
        <f>WWWW[[#This Row],[% Access to unimproved water points]]*WWWW[[#This Row],[Total PoP ]]</f>
        <v>0</v>
      </c>
      <c r="CE1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G15" s="79">
        <f>WWWW[[#This Row],[HRP1]]/500</f>
        <v>0.47</v>
      </c>
      <c r="CH15" s="78">
        <f>1-WWWW[[#This Row],[% Equitable and continuous access to sufficient quantity of domestic water]]</f>
        <v>0</v>
      </c>
      <c r="CI15" s="79">
        <f>WWWW[[#This Row],[%equitable and continuous access to sufficient quantity of safe drinking and domestic water''s GAP]]*WWWW[[#This Row],[Total PoP ]]</f>
        <v>0</v>
      </c>
      <c r="CJ15" s="80">
        <f>IF(WWWW[[#This Row],[Total required water points]]-WWWW[[#This Row],['#Water points coverage]]&lt;0,0,WWWW[[#This Row],[Total required water points]]-WWWW[[#This Row],['#Water points coverage]])</f>
        <v>0.53</v>
      </c>
      <c r="CK15" s="80">
        <f>ROUND(IF(WWWW[[#This Row],[Total PoP ]]&lt;500,1,WWWW[[#This Row],[Total PoP ]]/500),0)</f>
        <v>1</v>
      </c>
      <c r="CL15" s="80">
        <f>(WWWW[[#This Row],['#_Constructed latrines_by_WASHAgencies]]+WWWW[[#This Row],['#_Non Cluster partner latrines]])-WWWW[[#This Row],['#_Non-functional latrines]]</f>
        <v>7</v>
      </c>
      <c r="CM1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0.5957446808510638</v>
      </c>
      <c r="CN1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1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 s="80">
        <f>IF(WWWW[[#This Row],[Location Type 1]]="Village","NA",IF(WWWW[[#This Row],['#_Constructed/Existing latrines in TLS]]*50&gt;WWWW[[#This Row],['#_students at TLS_CFS]],WWWW[[#This Row],['#_students at TLS_CFS]],(WWWW[[#This Row],['#_Constructed/Existing latrines in TLS]]*50)))</f>
        <v>0</v>
      </c>
      <c r="CQ15" s="80">
        <f>ROUND(IF(WWWW[[#This Row],[Location Type 1]]="camp",WWWW[[#This Row],[Total PoP ]]/20,IF(WWWW[[#This Row],[Location Type 1]]="Temporary Location",WWWW[[#This Row],[Total PoP ]]/50,(WWWW[[#This Row],[Total PoP ]]/6))),0)</f>
        <v>12</v>
      </c>
      <c r="CR15" s="79">
        <f>IF(WWWW[[#This Row],[Total required Latrines]]-(WWWW[[#This Row],['#_Constructed latrines_by_WASHAgencies]]+WWWW[[#This Row],['#_Non Cluster partner latrines]])&lt;0,0,WWWW[[#This Row],[Total required Latrines]]-(WWWW[[#This Row],['#_Constructed latrines_by_WASHAgencies]]+WWWW[[#This Row],['#_Non Cluster partner latrines]]))</f>
        <v>5</v>
      </c>
      <c r="CS15" s="78">
        <f>1-WWWW[[#This Row],[% people access to functioning Latrine]]</f>
        <v>0.4042553191489362</v>
      </c>
      <c r="CT15" s="82">
        <f>IF(OR(WWWW[[#This Row],['#_Non-functional latrines]]="",WWWW[[#This Row],['#_Non-functional latrines]]=0),0,WWWW[[#This Row],['#_Non-functional latrines]]/(WWWW[[#This Row],['#_Constructed latrines_by_WASHAgencies]]+WWWW[[#This Row],['#_Non Cluster partner latrines]]))</f>
        <v>0</v>
      </c>
      <c r="CU15" s="79">
        <f>IF(500*(WWWW[[#This Row],['#_male hygiene promoters]]+WWWW[[#This Row],['#_female hygiene promoters]])&gt;WWWW[[#This Row],[Total PoP ]],WWWW[[#This Row],[Total PoP ]],500*(WWWW[[#This Row],['#_male hygiene promoters]]+WWWW[[#This Row],['#_female hygiene promoters]]))</f>
        <v>0</v>
      </c>
      <c r="CV1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v>
      </c>
      <c r="CW1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v>
      </c>
      <c r="CX15" s="80">
        <f>IF(WWWW[[#This Row],['# People with access to soap]]&gt;WWWW[[#This Row],['# People with access to Sanity Pads]],WWWW[[#This Row],['# People with access to soap]],WWWW[[#This Row],['# People with access to Sanity Pads]])</f>
        <v>235</v>
      </c>
      <c r="CY15" s="80">
        <f>IF(WWWW[[#This Row],['# people reached by regular dedicated hygiene promotion_5]]&gt;WWWW[[#This Row],['# People received regular supply of hygiene items_6]],WWWW[[#This Row],['# people reached by regular dedicated hygiene promotion_5]],WWWW[[#This Row],['# People received regular supply of hygiene items_6]])</f>
        <v>235</v>
      </c>
      <c r="CZ15" s="78">
        <f>IF(WWWW[[#This Row],[HRP3]]/WWWW[[#This Row],[Total PoP ]]&gt;100%,100%,WWWW[[#This Row],[HRP3]]/WWWW[[#This Row],[Total PoP ]])</f>
        <v>1</v>
      </c>
      <c r="DA15" s="82">
        <f>1-WWWW[[#This Row],[Hygiene Coverage%]]</f>
        <v>0</v>
      </c>
      <c r="DB15" s="81">
        <f>WWWW[[#This Row],['# people reached by regular dedicated hygiene promotion_5]]/WWWW[[#This Row],[Total PoP ]]</f>
        <v>0</v>
      </c>
      <c r="DC15" s="81">
        <f>IF(WWWW[[#This Row],['#_households that received standard amount of soap for this quarter]]/WWWW[[#This Row],[Total HH]]&gt;1,1,WWWW[[#This Row],['#_households that received standard amount of soap for this quarter]]/WWWW[[#This Row],[Total HH]])</f>
        <v>1</v>
      </c>
      <c r="DD15" s="81">
        <f>IF(WWWW[[#This Row],['#_households that received standard amount of sanitary pads for this quarter]]/WWWW[[#This Row],[Total HH]]&gt;1,1,WWWW[[#This Row],['#_households that received standard amount of sanitary pads for this quarter]]/WWWW[[#This Row],[Total HH]])</f>
        <v>0.125</v>
      </c>
      <c r="DE15" s="80">
        <f>WWWW[[#This Row],['#_Constructed/Existing hand washing stations]]-WWWW[[#This Row],['#_Non-Functional_hand_washing_stations]]</f>
        <v>3</v>
      </c>
      <c r="DF15" s="757">
        <f>IF(WWWW[[#This Row],['# Functional hand washing stations during reporting period]]*20&gt;WWWW[[#This Row],[Total HH]],WWWW[[#This Row],[Total HH]],WWWW[[#This Row],['# Functional hand washing stations during reporting period]]*20)</f>
        <v>40</v>
      </c>
      <c r="DG15" s="79">
        <f>IF(WWWW[[#This Row],[Is sufficient soap available for TLS? (Yes/No)]]="yes",WWWW[[#This Row],['#_Constructed/Existing hand washing stations at TLS]],0)</f>
        <v>0</v>
      </c>
      <c r="DH15" s="578">
        <f>IF(WWWW[[#This Row],['# Functional hand washing stations during reporting period]]*100&gt;WWWW[[#This Row],[Total PoP ]],WWWW[[#This Row],[Total PoP ]],WWWW[[#This Row],['# Functional hand washing stations during reporting period]]*100)</f>
        <v>235</v>
      </c>
      <c r="DI15" s="578" t="str">
        <f>IF(OR(WWWW[[#This Row],['#_students at TLS_CFS]]="",WWWW[[#This Row],['#_students at TLS_CFS]]=0),"No","Yes")</f>
        <v>No</v>
      </c>
      <c r="DJ15" s="231" t="str">
        <f>VLOOKUP(WWWW[[#This Row],[Site Name]],SiteDB6[[Site Name]:[CCCM Management]],6,FALSE)</f>
        <v>Yes</v>
      </c>
      <c r="DK15" s="231" t="str">
        <f>VLOOKUP(WWWW[[#This Row],[Site Name]],SiteDB6[[Site Name]:[CCCM Focal Agency]],7,FALSE)</f>
        <v>KBC</v>
      </c>
      <c r="DL15" s="231" t="str">
        <f>VLOOKUP(WWWW[[#This Row],[Site Name]],SiteDB6[[Site Name]:[Location Type 1]],9,FALSE)</f>
        <v>Camp</v>
      </c>
      <c r="DM15" s="231" t="str">
        <f>VLOOKUP(WWWW[[#This Row],[Site Name]],SiteDB6[[Site Name]:[Type of Accommodation]],10,FALSE)</f>
        <v>Camp</v>
      </c>
      <c r="DN15" s="231" t="str">
        <f>VLOOKUP(WWWW[[#This Row],[Site Name]],SiteDB6[[Site Name]:[Ethnic or GCA/NGCA]],11,FALSE)</f>
        <v>GCA</v>
      </c>
      <c r="DO15" s="231">
        <f>VLOOKUP(WWWW[[#This Row],[Site Name]],SiteDB6[[Site Name]:[Lat]],12,FALSE)</f>
        <v>24.24766</v>
      </c>
      <c r="DP15" s="231">
        <f>VLOOKUP(WWWW[[#This Row],[Site Name]],SiteDB6[[Site Name]:[Long]],13,FALSE)</f>
        <v>97.236919999999998</v>
      </c>
      <c r="DQ15" s="231" t="str">
        <f>VLOOKUP(WWWW[[#This Row],[Site Name]],SiteDB6[[Site Name]:[Pcode]],3,FALSE)</f>
        <v>MMR001CMP052</v>
      </c>
      <c r="DR15" s="207" t="str">
        <f t="shared" si="1"/>
        <v>Covered</v>
      </c>
      <c r="DS15" s="207"/>
      <c r="DT15" s="20"/>
      <c r="DU15" s="20"/>
      <c r="DV15" s="20"/>
      <c r="DW15" s="20"/>
      <c r="DX15" s="20"/>
      <c r="DY15" s="20"/>
      <c r="DZ15" s="20"/>
      <c r="EA15" s="20"/>
      <c r="EB15" s="20"/>
      <c r="EC15" s="20"/>
      <c r="ED15" s="20"/>
      <c r="EE15" s="20"/>
      <c r="EF15" s="20"/>
      <c r="EG15" s="20"/>
      <c r="EH15" s="20"/>
    </row>
    <row r="16" spans="1:138">
      <c r="A16" s="238" t="s">
        <v>2518</v>
      </c>
      <c r="B16" s="574" t="s">
        <v>200</v>
      </c>
      <c r="C16" s="574" t="s">
        <v>200</v>
      </c>
      <c r="D16" s="574" t="s">
        <v>226</v>
      </c>
      <c r="E16" s="574" t="s">
        <v>39</v>
      </c>
      <c r="F16" s="574" t="s">
        <v>150</v>
      </c>
      <c r="G16" s="574" t="str">
        <f>VLOOKUP(WWWW[[#This Row],[Site Name]],SiteDB6[[Site Name]:[Location Type]],8,FALSE)</f>
        <v>Camp</v>
      </c>
      <c r="H16" s="744" t="s">
        <v>232</v>
      </c>
      <c r="I16" s="583">
        <v>144</v>
      </c>
      <c r="J16" s="583">
        <v>862</v>
      </c>
      <c r="K16" s="553"/>
      <c r="L16" s="77">
        <v>43465</v>
      </c>
      <c r="M16" s="583"/>
      <c r="N16" s="583"/>
      <c r="O16" s="583"/>
      <c r="P16" s="583"/>
      <c r="Q16" s="76"/>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207"/>
      <c r="AP16" s="310"/>
      <c r="AQ16" s="310"/>
      <c r="AR16" s="76"/>
      <c r="AS16" s="310"/>
      <c r="AT16" s="310"/>
      <c r="AU16" s="310"/>
      <c r="AV16" s="310"/>
      <c r="AW16" s="310"/>
      <c r="AX16" s="581" t="s">
        <v>43</v>
      </c>
      <c r="AY16" s="581" t="s">
        <v>145</v>
      </c>
      <c r="AZ16" s="310"/>
      <c r="BA16" s="310"/>
      <c r="BB16" s="310"/>
      <c r="BC16" s="207"/>
      <c r="BD16" s="310"/>
      <c r="BE16" s="310"/>
      <c r="BF16" s="310"/>
      <c r="BG16" s="310"/>
      <c r="BH16" s="310"/>
      <c r="BI16" s="310"/>
      <c r="BJ16" s="310"/>
      <c r="BK16" s="310"/>
      <c r="BL16" s="310"/>
      <c r="BM16" s="207"/>
      <c r="BN16" s="79"/>
      <c r="BO16" s="81"/>
      <c r="BP16" s="207"/>
      <c r="BQ16" s="78" t="str">
        <f>IFERROR(WWWW[[#This Row],['#_Water sources treated]]/WWWW[[#This Row],['#_Water sources tested for contamination]],"no test")</f>
        <v>no test</v>
      </c>
      <c r="BR16" s="81" t="str">
        <f>IFERROR(WWWW[[#This Row],['#_Household received remediation action due to contamination]]/WWWW[[#This Row],['#_Household water samples tested for contamination]],"no test")</f>
        <v>no test</v>
      </c>
      <c r="BS16" s="80" t="str">
        <f>IF(AND(WWWW[[#This Row],[% of water sources treated]]="no test",WWWW[[#This Row],[% Household received corrective actions]]="no test"),"No Test","Tested")</f>
        <v>No Test</v>
      </c>
      <c r="BT16" s="80">
        <f>WWWW[[#This Row],['#_Constructed/existing protected hand dug well]]-WWWW[[#This Row],['#_Non-functional protected hand dug well]]</f>
        <v>0</v>
      </c>
      <c r="BU16" s="80">
        <f>(WWWW[[#This Row],['#_Constructed/Existing tube wells/boreholes/handpumps_WASH_agency]]+WWWW[[#This Row],['#_Non-Cluster partner water tube-wells/boreholes/handpumps]])-WWWW[[#This Row],['#_Non-functional tube wells/boreholes/handpumps]]</f>
        <v>0</v>
      </c>
      <c r="BV16" s="80">
        <f>WWWW[[#This Row],['#_Constructed/Existingwater storage tank with gravity fed reticulation system]]-WWWW[[#This Row],['#_Non-functional storage tank gravity fed reticulation system]]</f>
        <v>0</v>
      </c>
      <c r="BW16" s="80">
        <f>WWWW[[#This Row],['#_Water boating or water trucking]]</f>
        <v>0</v>
      </c>
      <c r="BX16" s="80">
        <f>WWWW[[#This Row],['#_Constructed/Existing water distribution system from river or natural spring]]</f>
        <v>0</v>
      </c>
      <c r="BY1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 s="81">
        <f>IF(WWWW[[#This Row],[Location Type 1]]="Village",WWWW[[#This Row],[Access to safe drinking water for Village]],WWWW[[#This Row],[Access to safe drinking water for Camp]])</f>
        <v>0</v>
      </c>
      <c r="CB16" s="79">
        <f>WWWW[[#This Row],[%Equitable and continuous access to sufficient quantity of safe drinking water]]*WWWW[[#This Row],[Total PoP ]]</f>
        <v>0</v>
      </c>
      <c r="CC16" s="81">
        <f>IF((WWWW[[#This Row],['#_Constructed/Existing protected/fenced ponds]]*250)/WWWW[[#This Row],[Total PoP ]]&gt;1,1,(WWWW[[#This Row],['#_Constructed/Existing protected/fenced ponds]]*250)/WWWW[[#This Row],[Total PoP ]])</f>
        <v>0</v>
      </c>
      <c r="CD16" s="79">
        <f>WWWW[[#This Row],[% Access to unimproved water points]]*WWWW[[#This Row],[Total PoP ]]</f>
        <v>0</v>
      </c>
      <c r="CE1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 s="79">
        <f>WWWW[[#This Row],[HRP1]]/500</f>
        <v>0</v>
      </c>
      <c r="CH16" s="78">
        <f>1-WWWW[[#This Row],[% Equitable and continuous access to sufficient quantity of domestic water]]</f>
        <v>1</v>
      </c>
      <c r="CI16" s="79">
        <f>WWWW[[#This Row],[%equitable and continuous access to sufficient quantity of safe drinking and domestic water''s GAP]]*WWWW[[#This Row],[Total PoP ]]</f>
        <v>862</v>
      </c>
      <c r="CJ16" s="80">
        <f>IF(WWWW[[#This Row],[Total required water points]]-WWWW[[#This Row],['#Water points coverage]]&lt;0,0,WWWW[[#This Row],[Total required water points]]-WWWW[[#This Row],['#Water points coverage]])</f>
        <v>2</v>
      </c>
      <c r="CK16" s="80">
        <f>ROUND(IF(WWWW[[#This Row],[Total PoP ]]&lt;500,1,WWWW[[#This Row],[Total PoP ]]/500),0)</f>
        <v>2</v>
      </c>
      <c r="CL16" s="80">
        <f>(WWWW[[#This Row],['#_Constructed latrines_by_WASHAgencies]]+WWWW[[#This Row],['#_Non Cluster partner latrines]])-WWWW[[#This Row],['#_Non-functional latrines]]</f>
        <v>0</v>
      </c>
      <c r="CM1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 s="80">
        <f>IF(WWWW[[#This Row],[Location Type 1]]="Village","NA",IF(WWWW[[#This Row],['#_Constructed/Existing latrines in TLS]]*50&gt;WWWW[[#This Row],['#_students at TLS_CFS]],WWWW[[#This Row],['#_students at TLS_CFS]],(WWWW[[#This Row],['#_Constructed/Existing latrines in TLS]]*50)))</f>
        <v>0</v>
      </c>
      <c r="CQ16" s="80">
        <f>ROUND(IF(WWWW[[#This Row],[Location Type 1]]="camp",WWWW[[#This Row],[Total PoP ]]/20,IF(WWWW[[#This Row],[Location Type 1]]="Temporary Location",WWWW[[#This Row],[Total PoP ]]/50,(WWWW[[#This Row],[Total PoP ]]/6))),0)</f>
        <v>43</v>
      </c>
      <c r="CR16" s="79">
        <f>IF(WWWW[[#This Row],[Total required Latrines]]-(WWWW[[#This Row],['#_Constructed latrines_by_WASHAgencies]]+WWWW[[#This Row],['#_Non Cluster partner latrines]])&lt;0,0,WWWW[[#This Row],[Total required Latrines]]-(WWWW[[#This Row],['#_Constructed latrines_by_WASHAgencies]]+WWWW[[#This Row],['#_Non Cluster partner latrines]]))</f>
        <v>43</v>
      </c>
      <c r="CS16" s="78">
        <f>1-WWWW[[#This Row],[% people access to functioning Latrine]]</f>
        <v>1</v>
      </c>
      <c r="CT16" s="82">
        <f>IF(OR(WWWW[[#This Row],['#_Non-functional latrines]]="",WWWW[[#This Row],['#_Non-functional latrines]]=0),0,WWWW[[#This Row],['#_Non-functional latrines]]/(WWWW[[#This Row],['#_Constructed latrines_by_WASHAgencies]]+WWWW[[#This Row],['#_Non Cluster partner latrines]]))</f>
        <v>0</v>
      </c>
      <c r="CU16" s="79">
        <f>IF(500*(WWWW[[#This Row],['#_male hygiene promoters]]+WWWW[[#This Row],['#_female hygiene promoters]])&gt;WWWW[[#This Row],[Total PoP ]],WWWW[[#This Row],[Total PoP ]],500*(WWWW[[#This Row],['#_male hygiene promoters]]+WWWW[[#This Row],['#_female hygiene promoters]]))</f>
        <v>0</v>
      </c>
      <c r="CV1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 s="80">
        <f>IF(WWWW[[#This Row],['# People with access to soap]]&gt;WWWW[[#This Row],['# People with access to Sanity Pads]],WWWW[[#This Row],['# People with access to soap]],WWWW[[#This Row],['# People with access to Sanity Pads]])</f>
        <v>0</v>
      </c>
      <c r="CY16"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 s="78">
        <f>IF(WWWW[[#This Row],[HRP3]]/WWWW[[#This Row],[Total PoP ]]&gt;100%,100%,WWWW[[#This Row],[HRP3]]/WWWW[[#This Row],[Total PoP ]])</f>
        <v>0</v>
      </c>
      <c r="DA16" s="82">
        <f>1-WWWW[[#This Row],[Hygiene Coverage%]]</f>
        <v>1</v>
      </c>
      <c r="DB16" s="81">
        <f>WWWW[[#This Row],['# people reached by regular dedicated hygiene promotion_5]]/WWWW[[#This Row],[Total PoP ]]</f>
        <v>0</v>
      </c>
      <c r="DC16" s="81">
        <f>IF(WWWW[[#This Row],['#_households that received standard amount of soap for this quarter]]/WWWW[[#This Row],[Total HH]]&gt;1,1,WWWW[[#This Row],['#_households that received standard amount of soap for this quarter]]/WWWW[[#This Row],[Total HH]])</f>
        <v>0</v>
      </c>
      <c r="DD16" s="81">
        <f>IF(WWWW[[#This Row],['#_households that received standard amount of sanitary pads for this quarter]]/WWWW[[#This Row],[Total HH]]&gt;1,1,WWWW[[#This Row],['#_households that received standard amount of sanitary pads for this quarter]]/WWWW[[#This Row],[Total HH]])</f>
        <v>0</v>
      </c>
      <c r="DE16" s="80">
        <f>WWWW[[#This Row],['#_Constructed/Existing hand washing stations]]-WWWW[[#This Row],['#_Non-Functional_hand_washing_stations]]</f>
        <v>0</v>
      </c>
      <c r="DF16" s="757">
        <f>IF(WWWW[[#This Row],['# Functional hand washing stations during reporting period]]*20&gt;WWWW[[#This Row],[Total HH]],WWWW[[#This Row],[Total HH]],WWWW[[#This Row],['# Functional hand washing stations during reporting period]]*20)</f>
        <v>0</v>
      </c>
      <c r="DG16" s="79">
        <f>IF(WWWW[[#This Row],[Is sufficient soap available for TLS? (Yes/No)]]="yes",WWWW[[#This Row],['#_Constructed/Existing hand washing stations at TLS]],0)</f>
        <v>0</v>
      </c>
      <c r="DH16" s="578">
        <f>IF(WWWW[[#This Row],['# Functional hand washing stations during reporting period]]*100&gt;WWWW[[#This Row],[Total PoP ]],WWWW[[#This Row],[Total PoP ]],WWWW[[#This Row],['# Functional hand washing stations during reporting period]]*100)</f>
        <v>0</v>
      </c>
      <c r="DI16" s="578" t="str">
        <f>IF(OR(WWWW[[#This Row],['#_students at TLS_CFS]]="",WWWW[[#This Row],['#_students at TLS_CFS]]=0),"No","Yes")</f>
        <v>No</v>
      </c>
      <c r="DJ16" s="231">
        <f>VLOOKUP(WWWW[[#This Row],[Site Name]],SiteDB6[[Site Name]:[CCCM Management]],6,FALSE)</f>
        <v>0</v>
      </c>
      <c r="DK16" s="231" t="str">
        <f>VLOOKUP(WWWW[[#This Row],[Site Name]],SiteDB6[[Site Name]:[CCCM Focal Agency]],7,FALSE)</f>
        <v>uncovered</v>
      </c>
      <c r="DL16" s="231" t="str">
        <f>VLOOKUP(WWWW[[#This Row],[Site Name]],SiteDB6[[Site Name]:[Location Type 1]],9,FALSE)</f>
        <v>Camp</v>
      </c>
      <c r="DM16" s="231" t="str">
        <f>VLOOKUP(WWWW[[#This Row],[Site Name]],SiteDB6[[Site Name]:[Type of Accommodation]],10,FALSE)</f>
        <v>Boarding School</v>
      </c>
      <c r="DN16" s="231" t="str">
        <f>VLOOKUP(WWWW[[#This Row],[Site Name]],SiteDB6[[Site Name]:[Ethnic or GCA/NGCA]],11,FALSE)</f>
        <v>NGCA</v>
      </c>
      <c r="DO16" s="231">
        <f>VLOOKUP(WWWW[[#This Row],[Site Name]],SiteDB6[[Site Name]:[Lat]],12,FALSE)</f>
        <v>24.752471</v>
      </c>
      <c r="DP16" s="231">
        <f>VLOOKUP(WWWW[[#This Row],[Site Name]],SiteDB6[[Site Name]:[Long]],13,FALSE)</f>
        <v>97.541793999999996</v>
      </c>
      <c r="DQ16" s="231" t="str">
        <f>VLOOKUP(WWWW[[#This Row],[Site Name]],SiteDB6[[Site Name]:[Pcode]],3,FALSE)</f>
        <v>MMR001CMP208</v>
      </c>
      <c r="DR16" s="207" t="str">
        <f t="shared" si="1"/>
        <v>Covered</v>
      </c>
      <c r="DS16" s="207"/>
      <c r="DT16" s="20"/>
      <c r="DU16" s="20"/>
      <c r="DV16" s="20"/>
      <c r="DW16" s="20"/>
      <c r="DX16" s="20"/>
      <c r="DY16" s="20"/>
      <c r="DZ16" s="20"/>
      <c r="EA16" s="20"/>
      <c r="EB16" s="20"/>
      <c r="EC16" s="20"/>
      <c r="ED16" s="20"/>
      <c r="EE16" s="20"/>
      <c r="EF16" s="20"/>
      <c r="EG16" s="20"/>
      <c r="EH16" s="20"/>
    </row>
    <row r="17" spans="1:138" ht="15.75" customHeight="1">
      <c r="A17" s="238" t="s">
        <v>2518</v>
      </c>
      <c r="B17" s="574" t="s">
        <v>38</v>
      </c>
      <c r="C17" s="574" t="s">
        <v>38</v>
      </c>
      <c r="D17" s="574" t="s">
        <v>3100</v>
      </c>
      <c r="E17" s="574" t="s">
        <v>39</v>
      </c>
      <c r="F17" s="574" t="s">
        <v>213</v>
      </c>
      <c r="G17" s="574" t="str">
        <f>VLOOKUP(WWWW[[#This Row],[Site Name]],SiteDB6[[Site Name]:[Location Type]],8,FALSE)</f>
        <v>Camp</v>
      </c>
      <c r="H17" s="574" t="s">
        <v>240</v>
      </c>
      <c r="I17" s="583">
        <v>101</v>
      </c>
      <c r="J17" s="583">
        <v>458</v>
      </c>
      <c r="K17" s="553" t="s">
        <v>2979</v>
      </c>
      <c r="L17" s="77" t="s">
        <v>2973</v>
      </c>
      <c r="M17" s="583">
        <v>260</v>
      </c>
      <c r="N17" s="583"/>
      <c r="O17" s="583"/>
      <c r="P17" s="583"/>
      <c r="Q17" s="574" t="s">
        <v>43</v>
      </c>
      <c r="R17" s="583"/>
      <c r="S17" s="583"/>
      <c r="T17" s="583"/>
      <c r="U17" s="583"/>
      <c r="V17" s="583"/>
      <c r="W17" s="583"/>
      <c r="X17" s="583"/>
      <c r="Y17" s="583"/>
      <c r="Z17" s="583"/>
      <c r="AA17" s="583">
        <v>1</v>
      </c>
      <c r="AB17" s="583"/>
      <c r="AC17" s="583"/>
      <c r="AD17" s="583"/>
      <c r="AE17" s="583"/>
      <c r="AF17" s="583"/>
      <c r="AG17" s="583"/>
      <c r="AH17" s="583"/>
      <c r="AI17" s="583"/>
      <c r="AJ17" s="583"/>
      <c r="AK17" s="583"/>
      <c r="AL17" s="583"/>
      <c r="AM17" s="583"/>
      <c r="AN17" s="583"/>
      <c r="AO17" s="578"/>
      <c r="AP17" s="601">
        <v>86</v>
      </c>
      <c r="AQ17" s="574"/>
      <c r="AR17" s="574"/>
      <c r="AS17" s="578"/>
      <c r="AT17" s="574"/>
      <c r="AU17" s="578"/>
      <c r="AV17" s="578"/>
      <c r="AW17" s="80"/>
      <c r="AX17" s="80" t="s">
        <v>43</v>
      </c>
      <c r="AY17" s="80" t="s">
        <v>145</v>
      </c>
      <c r="AZ17" s="80">
        <v>3</v>
      </c>
      <c r="BA17" s="80"/>
      <c r="BB17" s="578"/>
      <c r="BC17" s="578"/>
      <c r="BD17" s="578"/>
      <c r="BE17" s="578"/>
      <c r="BF17" s="578"/>
      <c r="BG17" s="602">
        <v>3</v>
      </c>
      <c r="BH17" s="578"/>
      <c r="BI17" s="583"/>
      <c r="BJ17" s="583">
        <v>2</v>
      </c>
      <c r="BK17" s="603">
        <v>40</v>
      </c>
      <c r="BL17" s="578"/>
      <c r="BM17" s="578" t="s">
        <v>144</v>
      </c>
      <c r="BN17" s="578"/>
      <c r="BO17" s="81"/>
      <c r="BP17" s="578"/>
      <c r="BQ17" s="78" t="str">
        <f>IFERROR(WWWW[[#This Row],['#_Water sources treated]]/WWWW[[#This Row],['#_Water sources tested for contamination]],"no test")</f>
        <v>no test</v>
      </c>
      <c r="BR17" s="81" t="str">
        <f>IFERROR(WWWW[[#This Row],['#_Household received remediation action due to contamination]]/WWWW[[#This Row],['#_Household water samples tested for contamination]],"no test")</f>
        <v>no test</v>
      </c>
      <c r="BS17" s="80" t="str">
        <f>IF(AND(WWWW[[#This Row],[% of water sources treated]]="no test",WWWW[[#This Row],[% Household received corrective actions]]="no test"),"No Test","Tested")</f>
        <v>No Test</v>
      </c>
      <c r="BT17" s="80">
        <f>WWWW[[#This Row],['#_Constructed/existing protected hand dug well]]-WWWW[[#This Row],['#_Non-functional protected hand dug well]]</f>
        <v>0</v>
      </c>
      <c r="BU17" s="80">
        <f>(WWWW[[#This Row],['#_Constructed/Existing tube wells/boreholes/handpumps_WASH_agency]]+WWWW[[#This Row],['#_Non-Cluster partner water tube-wells/boreholes/handpumps]])-WWWW[[#This Row],['#_Non-functional tube wells/boreholes/handpumps]]</f>
        <v>0</v>
      </c>
      <c r="BV17" s="80">
        <f>WWWW[[#This Row],['#_Constructed/Existingwater storage tank with gravity fed reticulation system]]-WWWW[[#This Row],['#_Non-functional storage tank gravity fed reticulation system]]</f>
        <v>1</v>
      </c>
      <c r="BW17" s="80">
        <f>WWWW[[#This Row],['#_Water boating or water trucking]]</f>
        <v>0</v>
      </c>
      <c r="BX17" s="80">
        <f>WWWW[[#This Row],['#_Constructed/Existing water distribution system from river or natural spring]]</f>
        <v>0</v>
      </c>
      <c r="BY1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0.14556040756914121</v>
      </c>
      <c r="BZ1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0.14556040756914121</v>
      </c>
      <c r="CA17" s="81">
        <f>IF(WWWW[[#This Row],[Location Type 1]]="Village",WWWW[[#This Row],[Access to safe drinking water for Village]],WWWW[[#This Row],[Access to safe drinking water for Camp]])</f>
        <v>0.14556040756914121</v>
      </c>
      <c r="CB17" s="79">
        <f>WWWW[[#This Row],[%Equitable and continuous access to sufficient quantity of safe drinking water]]*WWWW[[#This Row],[Total PoP ]]</f>
        <v>66.666666666666671</v>
      </c>
      <c r="CC17" s="81">
        <f>IF((WWWW[[#This Row],['#_Constructed/Existing protected/fenced ponds]]*250)/WWWW[[#This Row],[Total PoP ]]&gt;1,1,(WWWW[[#This Row],['#_Constructed/Existing protected/fenced ponds]]*250)/WWWW[[#This Row],[Total PoP ]])</f>
        <v>0</v>
      </c>
      <c r="CD17" s="79">
        <f>WWWW[[#This Row],[% Access to unimproved water points]]*WWWW[[#This Row],[Total PoP ]]</f>
        <v>0</v>
      </c>
      <c r="CE1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F1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7" s="79">
        <f>WWWW[[#This Row],[HRP1]]/500</f>
        <v>0.13333333333333333</v>
      </c>
      <c r="CH17" s="78">
        <f>1-WWWW[[#This Row],[% Equitable and continuous access to sufficient quantity of domestic water]]</f>
        <v>0.85443959243085876</v>
      </c>
      <c r="CI17" s="79">
        <f>WWWW[[#This Row],[%equitable and continuous access to sufficient quantity of safe drinking and domestic water''s GAP]]*WWWW[[#This Row],[Total PoP ]]</f>
        <v>391.33333333333331</v>
      </c>
      <c r="CJ17" s="80">
        <f>IF(WWWW[[#This Row],[Total required water points]]-WWWW[[#This Row],['#Water points coverage]]&lt;0,0,WWWW[[#This Row],[Total required water points]]-WWWW[[#This Row],['#Water points coverage]])</f>
        <v>0.8666666666666667</v>
      </c>
      <c r="CK17" s="80">
        <f>ROUND(IF(WWWW[[#This Row],[Total PoP ]]&lt;500,1,WWWW[[#This Row],[Total PoP ]]/500),0)</f>
        <v>1</v>
      </c>
      <c r="CL17" s="80">
        <f>(WWWW[[#This Row],['#_Constructed latrines_by_WASHAgencies]]+WWWW[[#This Row],['#_Non Cluster partner latrines]])-WWWW[[#This Row],['#_Non-functional latrines]]</f>
        <v>86</v>
      </c>
      <c r="CM1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458</v>
      </c>
      <c r="CO1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7" s="80">
        <f>IF(WWWW[[#This Row],[Location Type 1]]="Village","NA",IF(WWWW[[#This Row],['#_Constructed/Existing latrines in TLS]]*50&gt;WWWW[[#This Row],['#_students at TLS_CFS]],WWWW[[#This Row],['#_students at TLS_CFS]],(WWWW[[#This Row],['#_Constructed/Existing latrines in TLS]]*50)))</f>
        <v>0</v>
      </c>
      <c r="CQ17" s="80">
        <f>ROUND(IF(WWWW[[#This Row],[Location Type 1]]="camp",WWWW[[#This Row],[Total PoP ]]/20,IF(WWWW[[#This Row],[Location Type 1]]="Temporary Location",WWWW[[#This Row],[Total PoP ]]/50,(WWWW[[#This Row],[Total PoP ]]/6))),0)</f>
        <v>23</v>
      </c>
      <c r="CR17" s="79">
        <f>IF(WWWW[[#This Row],[Total required Latrines]]-(WWWW[[#This Row],['#_Constructed latrines_by_WASHAgencies]]+WWWW[[#This Row],['#_Non Cluster partner latrines]])&lt;0,0,WWWW[[#This Row],[Total required Latrines]]-(WWWW[[#This Row],['#_Constructed latrines_by_WASHAgencies]]+WWWW[[#This Row],['#_Non Cluster partner latrines]]))</f>
        <v>0</v>
      </c>
      <c r="CS17" s="78">
        <f>1-WWWW[[#This Row],[% people access to functioning Latrine]]</f>
        <v>0</v>
      </c>
      <c r="CT17" s="82">
        <f>IF(OR(WWWW[[#This Row],['#_Non-functional latrines]]="",WWWW[[#This Row],['#_Non-functional latrines]]=0),0,WWWW[[#This Row],['#_Non-functional latrines]]/(WWWW[[#This Row],['#_Constructed latrines_by_WASHAgencies]]+WWWW[[#This Row],['#_Non Cluster partner latrines]]))</f>
        <v>0</v>
      </c>
      <c r="CU17" s="79">
        <f>IF(500*(WWWW[[#This Row],['#_male hygiene promoters]]+WWWW[[#This Row],['#_female hygiene promoters]])&gt;WWWW[[#This Row],[Total PoP ]],WWWW[[#This Row],[Total PoP ]],500*(WWWW[[#This Row],['#_male hygiene promoters]]+WWWW[[#This Row],['#_female hygiene promoters]]))</f>
        <v>458</v>
      </c>
      <c r="CV1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1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 s="80">
        <f>IF(WWWW[[#This Row],['# People with access to soap]]&gt;WWWW[[#This Row],['# People with access to Sanity Pads]],WWWW[[#This Row],['# People with access to soap]],WWWW[[#This Row],['# People with access to Sanity Pads]])</f>
        <v>200</v>
      </c>
      <c r="CY17" s="80">
        <f>IF(WWWW[[#This Row],['# people reached by regular dedicated hygiene promotion_5]]&gt;WWWW[[#This Row],['# People received regular supply of hygiene items_6]],WWWW[[#This Row],['# people reached by regular dedicated hygiene promotion_5]],WWWW[[#This Row],['# People received regular supply of hygiene items_6]])</f>
        <v>458</v>
      </c>
      <c r="CZ17" s="78">
        <f>IF(WWWW[[#This Row],[HRP3]]/WWWW[[#This Row],[Total PoP ]]&gt;100%,100%,WWWW[[#This Row],[HRP3]]/WWWW[[#This Row],[Total PoP ]])</f>
        <v>1</v>
      </c>
      <c r="DA17" s="82">
        <f>1-WWWW[[#This Row],[Hygiene Coverage%]]</f>
        <v>0</v>
      </c>
      <c r="DB17" s="81">
        <f>WWWW[[#This Row],['# people reached by regular dedicated hygiene promotion_5]]/WWWW[[#This Row],[Total PoP ]]</f>
        <v>1</v>
      </c>
      <c r="DC17" s="81">
        <f>IF(WWWW[[#This Row],['#_households that received standard amount of soap for this quarter]]/WWWW[[#This Row],[Total HH]]&gt;1,1,WWWW[[#This Row],['#_households that received standard amount of soap for this quarter]]/WWWW[[#This Row],[Total HH]])</f>
        <v>0.39603960396039606</v>
      </c>
      <c r="DD17" s="81">
        <f>IF(WWWW[[#This Row],['#_households that received standard amount of sanitary pads for this quarter]]/WWWW[[#This Row],[Total HH]]&gt;1,1,WWWW[[#This Row],['#_households that received standard amount of sanitary pads for this quarter]]/WWWW[[#This Row],[Total HH]])</f>
        <v>0</v>
      </c>
      <c r="DE17" s="80">
        <f>WWWW[[#This Row],['#_Constructed/Existing hand washing stations]]-WWWW[[#This Row],['#_Non-Functional_hand_washing_stations]]</f>
        <v>0</v>
      </c>
      <c r="DF17" s="757">
        <f>IF(WWWW[[#This Row],['# Functional hand washing stations during reporting period]]*20&gt;WWWW[[#This Row],[Total HH]],WWWW[[#This Row],[Total HH]],WWWW[[#This Row],['# Functional hand washing stations during reporting period]]*20)</f>
        <v>0</v>
      </c>
      <c r="DG17" s="79">
        <f>IF(WWWW[[#This Row],[Is sufficient soap available for TLS? (Yes/No)]]="yes",WWWW[[#This Row],['#_Constructed/Existing hand washing stations at TLS]],0)</f>
        <v>0</v>
      </c>
      <c r="DH17" s="578">
        <f>IF(WWWW[[#This Row],['# Functional hand washing stations during reporting period]]*100&gt;WWWW[[#This Row],[Total PoP ]],WWWW[[#This Row],[Total PoP ]],WWWW[[#This Row],['# Functional hand washing stations during reporting period]]*100)</f>
        <v>0</v>
      </c>
      <c r="DI17" s="578" t="str">
        <f>IF(OR(WWWW[[#This Row],['#_students at TLS_CFS]]="",WWWW[[#This Row],['#_students at TLS_CFS]]=0),"No","Yes")</f>
        <v>Yes</v>
      </c>
      <c r="DJ17" s="231" t="str">
        <f>VLOOKUP(WWWW[[#This Row],[Site Name]],SiteDB6[[Site Name]:[CCCM Management]],6,FALSE)</f>
        <v>Yes</v>
      </c>
      <c r="DK17" s="231" t="str">
        <f>VLOOKUP(WWWW[[#This Row],[Site Name]],SiteDB6[[Site Name]:[CCCM Focal Agency]],7,FALSE)</f>
        <v>KMSS-MYT</v>
      </c>
      <c r="DL17" s="231" t="str">
        <f>VLOOKUP(WWWW[[#This Row],[Site Name]],SiteDB6[[Site Name]:[Location Type 1]],9,FALSE)</f>
        <v>Camp</v>
      </c>
      <c r="DM17" s="231" t="str">
        <f>VLOOKUP(WWWW[[#This Row],[Site Name]],SiteDB6[[Site Name]:[Type of Accommodation]],10,FALSE)</f>
        <v>Camp</v>
      </c>
      <c r="DN17" s="231" t="str">
        <f>VLOOKUP(WWWW[[#This Row],[Site Name]],SiteDB6[[Site Name]:[Ethnic or GCA/NGCA]],11,FALSE)</f>
        <v>NGCA</v>
      </c>
      <c r="DO17" s="231">
        <f>VLOOKUP(WWWW[[#This Row],[Site Name]],SiteDB6[[Site Name]:[Lat]],12,FALSE)</f>
        <v>24.461033</v>
      </c>
      <c r="DP17" s="231">
        <f>VLOOKUP(WWWW[[#This Row],[Site Name]],SiteDB6[[Site Name]:[Long]],13,FALSE)</f>
        <v>97.537099999999995</v>
      </c>
      <c r="DQ17" s="231" t="str">
        <f>VLOOKUP(WWWW[[#This Row],[Site Name]],SiteDB6[[Site Name]:[Pcode]],3,FALSE)</f>
        <v>MMR001CMP123</v>
      </c>
      <c r="DR17" s="207" t="str">
        <f t="shared" si="1"/>
        <v>Covered</v>
      </c>
      <c r="DS17" s="207"/>
      <c r="DT17" s="20"/>
      <c r="DU17" s="20"/>
      <c r="DV17" s="20"/>
      <c r="DW17" s="20"/>
      <c r="DX17" s="20"/>
      <c r="DY17" s="20"/>
      <c r="DZ17" s="20"/>
      <c r="EA17" s="20"/>
      <c r="EB17" s="20"/>
      <c r="EC17" s="20"/>
      <c r="ED17" s="20"/>
      <c r="EE17" s="20"/>
      <c r="EF17" s="20"/>
      <c r="EG17" s="20"/>
      <c r="EH17" s="20"/>
    </row>
    <row r="18" spans="1:138" ht="34.5" customHeight="1">
      <c r="A18" s="238" t="s">
        <v>2518</v>
      </c>
      <c r="B18" s="574" t="s">
        <v>149</v>
      </c>
      <c r="C18" s="574" t="s">
        <v>149</v>
      </c>
      <c r="D18" s="574"/>
      <c r="E18" s="574" t="s">
        <v>39</v>
      </c>
      <c r="F18" s="574" t="s">
        <v>222</v>
      </c>
      <c r="G18" s="574" t="str">
        <f>VLOOKUP(WWWW[[#This Row],[Site Name]],SiteDB6[[Site Name]:[Location Type]],8,FALSE)</f>
        <v>Camp_not registered</v>
      </c>
      <c r="H18" s="574" t="s">
        <v>2093</v>
      </c>
      <c r="I18" s="583">
        <v>86</v>
      </c>
      <c r="J18" s="583">
        <v>381</v>
      </c>
      <c r="K18" s="553"/>
      <c r="L18" s="77"/>
      <c r="M18" s="583"/>
      <c r="N18" s="583"/>
      <c r="O18" s="583"/>
      <c r="P18" s="583"/>
      <c r="Q18" s="76"/>
      <c r="R18" s="310"/>
      <c r="S18" s="310"/>
      <c r="T18" s="583">
        <v>0</v>
      </c>
      <c r="U18" s="310"/>
      <c r="V18" s="310"/>
      <c r="W18" s="583">
        <v>0</v>
      </c>
      <c r="X18" s="310"/>
      <c r="Y18" s="310"/>
      <c r="Z18" s="310"/>
      <c r="AA18" s="310"/>
      <c r="AB18" s="310"/>
      <c r="AC18" s="310"/>
      <c r="AD18" s="310"/>
      <c r="AE18" s="310"/>
      <c r="AF18" s="310"/>
      <c r="AG18" s="310"/>
      <c r="AH18" s="583">
        <v>0</v>
      </c>
      <c r="AI18" s="310"/>
      <c r="AJ18" s="310"/>
      <c r="AK18" s="310"/>
      <c r="AL18" s="310"/>
      <c r="AM18" s="310"/>
      <c r="AN18" s="310"/>
      <c r="AO18" s="207"/>
      <c r="AP18" s="583">
        <v>0</v>
      </c>
      <c r="AQ18" s="310"/>
      <c r="AR18" s="76"/>
      <c r="AS18" s="310"/>
      <c r="AT18" s="310"/>
      <c r="AU18" s="310"/>
      <c r="AV18" s="310"/>
      <c r="AW18" s="583">
        <v>0</v>
      </c>
      <c r="AX18" s="581" t="s">
        <v>144</v>
      </c>
      <c r="AY18" s="581" t="s">
        <v>148</v>
      </c>
      <c r="AZ18" s="310"/>
      <c r="BA18" s="310"/>
      <c r="BB18" s="310"/>
      <c r="BC18" s="207"/>
      <c r="BD18" s="310"/>
      <c r="BE18" s="310"/>
      <c r="BF18" s="310"/>
      <c r="BG18" s="310"/>
      <c r="BH18" s="310"/>
      <c r="BI18" s="310"/>
      <c r="BJ18" s="310"/>
      <c r="BK18" s="310"/>
      <c r="BL18" s="310"/>
      <c r="BM18" s="207"/>
      <c r="BN18" s="79"/>
      <c r="BO18" s="81"/>
      <c r="BP18" s="207"/>
      <c r="BQ18" s="78" t="str">
        <f>IFERROR(WWWW[[#This Row],['#_Water sources treated]]/WWWW[[#This Row],['#_Water sources tested for contamination]],"no test")</f>
        <v>no test</v>
      </c>
      <c r="BR18" s="81" t="str">
        <f>IFERROR(WWWW[[#This Row],['#_Household received remediation action due to contamination]]/WWWW[[#This Row],['#_Household water samples tested for contamination]],"no test")</f>
        <v>no test</v>
      </c>
      <c r="BS18" s="80" t="str">
        <f>IF(AND(WWWW[[#This Row],[% of water sources treated]]="no test",WWWW[[#This Row],[% Household received corrective actions]]="no test"),"No Test","Tested")</f>
        <v>No Test</v>
      </c>
      <c r="BT18" s="80">
        <f>WWWW[[#This Row],['#_Constructed/existing protected hand dug well]]-WWWW[[#This Row],['#_Non-functional protected hand dug well]]</f>
        <v>0</v>
      </c>
      <c r="BU18" s="80">
        <f>(WWWW[[#This Row],['#_Constructed/Existing tube wells/boreholes/handpumps_WASH_agency]]+WWWW[[#This Row],['#_Non-Cluster partner water tube-wells/boreholes/handpumps]])-WWWW[[#This Row],['#_Non-functional tube wells/boreholes/handpumps]]</f>
        <v>0</v>
      </c>
      <c r="BV18" s="80">
        <f>WWWW[[#This Row],['#_Constructed/Existingwater storage tank with gravity fed reticulation system]]-WWWW[[#This Row],['#_Non-functional storage tank gravity fed reticulation system]]</f>
        <v>0</v>
      </c>
      <c r="BW18" s="80">
        <f>WWWW[[#This Row],['#_Water boating or water trucking]]</f>
        <v>0</v>
      </c>
      <c r="BX18" s="80">
        <f>WWWW[[#This Row],['#_Constructed/Existing water distribution system from river or natural spring]]</f>
        <v>0</v>
      </c>
      <c r="BY1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 s="81">
        <f>IF(WWWW[[#This Row],[Location Type 1]]="Village",WWWW[[#This Row],[Access to safe drinking water for Village]],WWWW[[#This Row],[Access to safe drinking water for Camp]])</f>
        <v>0</v>
      </c>
      <c r="CB18" s="79">
        <f>WWWW[[#This Row],[%Equitable and continuous access to sufficient quantity of safe drinking water]]*WWWW[[#This Row],[Total PoP ]]</f>
        <v>0</v>
      </c>
      <c r="CC18" s="81">
        <f>IF((WWWW[[#This Row],['#_Constructed/Existing protected/fenced ponds]]*250)/WWWW[[#This Row],[Total PoP ]]&gt;1,1,(WWWW[[#This Row],['#_Constructed/Existing protected/fenced ponds]]*250)/WWWW[[#This Row],[Total PoP ]])</f>
        <v>0</v>
      </c>
      <c r="CD18" s="79">
        <f>WWWW[[#This Row],[% Access to unimproved water points]]*WWWW[[#This Row],[Total PoP ]]</f>
        <v>0</v>
      </c>
      <c r="CE1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 s="79">
        <f>WWWW[[#This Row],[HRP1]]/500</f>
        <v>0</v>
      </c>
      <c r="CH18" s="78">
        <f>1-WWWW[[#This Row],[% Equitable and continuous access to sufficient quantity of domestic water]]</f>
        <v>1</v>
      </c>
      <c r="CI18" s="79">
        <f>WWWW[[#This Row],[%equitable and continuous access to sufficient quantity of safe drinking and domestic water''s GAP]]*WWWW[[#This Row],[Total PoP ]]</f>
        <v>381</v>
      </c>
      <c r="CJ18" s="80">
        <f>IF(WWWW[[#This Row],[Total required water points]]-WWWW[[#This Row],['#Water points coverage]]&lt;0,0,WWWW[[#This Row],[Total required water points]]-WWWW[[#This Row],['#Water points coverage]])</f>
        <v>1</v>
      </c>
      <c r="CK18" s="80">
        <f>ROUND(IF(WWWW[[#This Row],[Total PoP ]]&lt;500,1,WWWW[[#This Row],[Total PoP ]]/500),0)</f>
        <v>1</v>
      </c>
      <c r="CL18" s="80">
        <f>(WWWW[[#This Row],['#_Constructed latrines_by_WASHAgencies]]+WWWW[[#This Row],['#_Non Cluster partner latrines]])-WWWW[[#This Row],['#_Non-functional latrines]]</f>
        <v>0</v>
      </c>
      <c r="CM1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8" s="80">
        <f>IF(WWWW[[#This Row],[Location Type 1]]="Village","NA",IF(WWWW[[#This Row],['#_Constructed/Existing latrines in TLS]]*50&gt;WWWW[[#This Row],['#_students at TLS_CFS]],WWWW[[#This Row],['#_students at TLS_CFS]],(WWWW[[#This Row],['#_Constructed/Existing latrines in TLS]]*50)))</f>
        <v>0</v>
      </c>
      <c r="CQ18" s="80">
        <f>ROUND(IF(WWWW[[#This Row],[Location Type 1]]="camp",WWWW[[#This Row],[Total PoP ]]/20,IF(WWWW[[#This Row],[Location Type 1]]="Temporary Location",WWWW[[#This Row],[Total PoP ]]/50,(WWWW[[#This Row],[Total PoP ]]/6))),0)</f>
        <v>19</v>
      </c>
      <c r="CR18" s="79">
        <f>IF(WWWW[[#This Row],[Total required Latrines]]-(WWWW[[#This Row],['#_Constructed latrines_by_WASHAgencies]]+WWWW[[#This Row],['#_Non Cluster partner latrines]])&lt;0,0,WWWW[[#This Row],[Total required Latrines]]-(WWWW[[#This Row],['#_Constructed latrines_by_WASHAgencies]]+WWWW[[#This Row],['#_Non Cluster partner latrines]]))</f>
        <v>19</v>
      </c>
      <c r="CS18" s="78">
        <f>1-WWWW[[#This Row],[% people access to functioning Latrine]]</f>
        <v>1</v>
      </c>
      <c r="CT18" s="82">
        <f>IF(OR(WWWW[[#This Row],['#_Non-functional latrines]]="",WWWW[[#This Row],['#_Non-functional latrines]]=0),0,WWWW[[#This Row],['#_Non-functional latrines]]/(WWWW[[#This Row],['#_Constructed latrines_by_WASHAgencies]]+WWWW[[#This Row],['#_Non Cluster partner latrines]]))</f>
        <v>0</v>
      </c>
      <c r="CU18" s="79">
        <f>IF(500*(WWWW[[#This Row],['#_male hygiene promoters]]+WWWW[[#This Row],['#_female hygiene promoters]])&gt;WWWW[[#This Row],[Total PoP ]],WWWW[[#This Row],[Total PoP ]],500*(WWWW[[#This Row],['#_male hygiene promoters]]+WWWW[[#This Row],['#_female hygiene promoters]]))</f>
        <v>0</v>
      </c>
      <c r="CV1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 s="80">
        <f>IF(WWWW[[#This Row],['# People with access to soap]]&gt;WWWW[[#This Row],['# People with access to Sanity Pads]],WWWW[[#This Row],['# People with access to soap]],WWWW[[#This Row],['# People with access to Sanity Pads]])</f>
        <v>0</v>
      </c>
      <c r="CY18"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8" s="78">
        <f>IF(WWWW[[#This Row],[HRP3]]/WWWW[[#This Row],[Total PoP ]]&gt;100%,100%,WWWW[[#This Row],[HRP3]]/WWWW[[#This Row],[Total PoP ]])</f>
        <v>0</v>
      </c>
      <c r="DA18" s="82">
        <f>1-WWWW[[#This Row],[Hygiene Coverage%]]</f>
        <v>1</v>
      </c>
      <c r="DB18" s="81">
        <f>WWWW[[#This Row],['# people reached by regular dedicated hygiene promotion_5]]/WWWW[[#This Row],[Total PoP ]]</f>
        <v>0</v>
      </c>
      <c r="DC18" s="81">
        <f>IF(WWWW[[#This Row],['#_households that received standard amount of soap for this quarter]]/WWWW[[#This Row],[Total HH]]&gt;1,1,WWWW[[#This Row],['#_households that received standard amount of soap for this quarter]]/WWWW[[#This Row],[Total HH]])</f>
        <v>0</v>
      </c>
      <c r="DD18" s="81">
        <f>IF(WWWW[[#This Row],['#_households that received standard amount of sanitary pads for this quarter]]/WWWW[[#This Row],[Total HH]]&gt;1,1,WWWW[[#This Row],['#_households that received standard amount of sanitary pads for this quarter]]/WWWW[[#This Row],[Total HH]])</f>
        <v>0</v>
      </c>
      <c r="DE18" s="80">
        <f>WWWW[[#This Row],['#_Constructed/Existing hand washing stations]]-WWWW[[#This Row],['#_Non-Functional_hand_washing_stations]]</f>
        <v>0</v>
      </c>
      <c r="DF18" s="757">
        <f>IF(WWWW[[#This Row],['# Functional hand washing stations during reporting period]]*20&gt;WWWW[[#This Row],[Total HH]],WWWW[[#This Row],[Total HH]],WWWW[[#This Row],['# Functional hand washing stations during reporting period]]*20)</f>
        <v>0</v>
      </c>
      <c r="DG18" s="79">
        <f>IF(WWWW[[#This Row],[Is sufficient soap available for TLS? (Yes/No)]]="yes",WWWW[[#This Row],['#_Constructed/Existing hand washing stations at TLS]],0)</f>
        <v>0</v>
      </c>
      <c r="DH18" s="578">
        <f>IF(WWWW[[#This Row],['# Functional hand washing stations during reporting period]]*100&gt;WWWW[[#This Row],[Total PoP ]],WWWW[[#This Row],[Total PoP ]],WWWW[[#This Row],['# Functional hand washing stations during reporting period]]*100)</f>
        <v>0</v>
      </c>
      <c r="DI18" s="578" t="str">
        <f>IF(OR(WWWW[[#This Row],['#_students at TLS_CFS]]="",WWWW[[#This Row],['#_students at TLS_CFS]]=0),"No","Yes")</f>
        <v>No</v>
      </c>
      <c r="DJ18" s="231">
        <f>VLOOKUP(WWWW[[#This Row],[Site Name]],SiteDB6[[Site Name]:[CCCM Management]],6,FALSE)</f>
        <v>0</v>
      </c>
      <c r="DK18" s="231">
        <f>VLOOKUP(WWWW[[#This Row],[Site Name]],SiteDB6[[Site Name]:[CCCM Focal Agency]],7,FALSE)</f>
        <v>0</v>
      </c>
      <c r="DL18" s="231" t="str">
        <f>VLOOKUP(WWWW[[#This Row],[Site Name]],SiteDB6[[Site Name]:[Location Type 1]],9,FALSE)</f>
        <v>Camp</v>
      </c>
      <c r="DM18" s="231" t="str">
        <f>VLOOKUP(WWWW[[#This Row],[Site Name]],SiteDB6[[Site Name]:[Type of Accommodation]],10,FALSE)</f>
        <v>Camp like setting</v>
      </c>
      <c r="DN18" s="231" t="str">
        <f>VLOOKUP(WWWW[[#This Row],[Site Name]],SiteDB6[[Site Name]:[Ethnic or GCA/NGCA]],11,FALSE)</f>
        <v>NGCA</v>
      </c>
      <c r="DO18" s="231">
        <f>VLOOKUP(WWWW[[#This Row],[Site Name]],SiteDB6[[Site Name]:[Lat]],12,FALSE)</f>
        <v>0</v>
      </c>
      <c r="DP18" s="231">
        <f>VLOOKUP(WWWW[[#This Row],[Site Name]],SiteDB6[[Site Name]:[Long]],13,FALSE)</f>
        <v>0</v>
      </c>
      <c r="DQ18" s="231">
        <f>VLOOKUP(WWWW[[#This Row],[Site Name]],SiteDB6[[Site Name]:[Pcode]],3,FALSE)</f>
        <v>0</v>
      </c>
      <c r="DR18" s="207" t="str">
        <f t="shared" si="1"/>
        <v>Covered</v>
      </c>
      <c r="DS18" s="207"/>
      <c r="DT18" s="20"/>
      <c r="DU18" s="20"/>
      <c r="DV18" s="20"/>
      <c r="DW18" s="20"/>
      <c r="DX18" s="20"/>
      <c r="DY18" s="20"/>
      <c r="DZ18" s="20"/>
      <c r="EA18" s="20"/>
      <c r="EB18" s="20"/>
      <c r="EC18" s="20"/>
      <c r="ED18" s="20"/>
      <c r="EE18" s="20"/>
      <c r="EF18" s="20"/>
      <c r="EG18" s="20"/>
      <c r="EH18" s="20"/>
    </row>
    <row r="19" spans="1:138" ht="18.75" customHeight="1">
      <c r="A19" s="238" t="s">
        <v>2518</v>
      </c>
      <c r="B19" s="574" t="s">
        <v>284</v>
      </c>
      <c r="C19" s="574" t="s">
        <v>284</v>
      </c>
      <c r="D19" s="574" t="s">
        <v>2955</v>
      </c>
      <c r="E19" s="574" t="s">
        <v>39</v>
      </c>
      <c r="F19" s="574" t="s">
        <v>213</v>
      </c>
      <c r="G19" s="574" t="str">
        <f>VLOOKUP(WWWW[[#This Row],[Site Name]],SiteDB6[[Site Name]:[Location Type]],8,FALSE)</f>
        <v>Camp</v>
      </c>
      <c r="H19" s="574" t="s">
        <v>289</v>
      </c>
      <c r="I19" s="583">
        <v>40</v>
      </c>
      <c r="J19" s="583">
        <v>240</v>
      </c>
      <c r="K19" s="553" t="s">
        <v>2956</v>
      </c>
      <c r="L19" s="77" t="s">
        <v>2957</v>
      </c>
      <c r="M19" s="583"/>
      <c r="N19" s="583">
        <v>0</v>
      </c>
      <c r="O19" s="583">
        <v>0</v>
      </c>
      <c r="P19" s="583">
        <v>0</v>
      </c>
      <c r="Q19" s="76" t="s">
        <v>43</v>
      </c>
      <c r="R19" s="310">
        <v>4</v>
      </c>
      <c r="S19" s="310">
        <v>7</v>
      </c>
      <c r="T19" s="310">
        <v>1</v>
      </c>
      <c r="U19" s="310">
        <v>0</v>
      </c>
      <c r="V19" s="310"/>
      <c r="W19" s="310">
        <v>0</v>
      </c>
      <c r="X19" s="310">
        <v>0</v>
      </c>
      <c r="Y19" s="310"/>
      <c r="Z19" s="310"/>
      <c r="AA19" s="310"/>
      <c r="AB19" s="310"/>
      <c r="AC19" s="310"/>
      <c r="AD19" s="310"/>
      <c r="AE19" s="310"/>
      <c r="AF19" s="310"/>
      <c r="AG19" s="310"/>
      <c r="AH19" s="310"/>
      <c r="AI19" s="310">
        <v>1</v>
      </c>
      <c r="AJ19" s="310">
        <v>1</v>
      </c>
      <c r="AK19" s="310">
        <v>4</v>
      </c>
      <c r="AL19" s="310">
        <v>0</v>
      </c>
      <c r="AM19" s="310"/>
      <c r="AN19" s="310"/>
      <c r="AO19" s="207"/>
      <c r="AP19" s="310">
        <v>9</v>
      </c>
      <c r="AQ19" s="310"/>
      <c r="AR19" s="76"/>
      <c r="AS19" s="310"/>
      <c r="AT19" s="310"/>
      <c r="AU19" s="310">
        <v>9</v>
      </c>
      <c r="AV19" s="310"/>
      <c r="AW19" s="310"/>
      <c r="AX19" s="231" t="s">
        <v>43</v>
      </c>
      <c r="AY19" s="231" t="s">
        <v>145</v>
      </c>
      <c r="AZ19" s="310">
        <v>0</v>
      </c>
      <c r="BA19" s="310">
        <v>0</v>
      </c>
      <c r="BB19" s="310"/>
      <c r="BC19" s="207"/>
      <c r="BD19" s="310">
        <v>4</v>
      </c>
      <c r="BE19" s="310">
        <v>2</v>
      </c>
      <c r="BF19" s="310"/>
      <c r="BG19" s="310">
        <v>1</v>
      </c>
      <c r="BH19" s="310"/>
      <c r="BI19" s="310">
        <v>0</v>
      </c>
      <c r="BJ19" s="310">
        <v>1</v>
      </c>
      <c r="BK19" s="310">
        <v>3</v>
      </c>
      <c r="BL19" s="310">
        <v>38</v>
      </c>
      <c r="BM19" s="207"/>
      <c r="BN19" s="79"/>
      <c r="BO19" s="81"/>
      <c r="BP19" s="207"/>
      <c r="BQ19" s="78">
        <f>IFERROR(WWWW[[#This Row],['#_Water sources treated]]/WWWW[[#This Row],['#_Water sources tested for contamination]],"no test")</f>
        <v>1</v>
      </c>
      <c r="BR19" s="81">
        <f>IFERROR(WWWW[[#This Row],['#_Household received remediation action due to contamination]]/WWWW[[#This Row],['#_Household water samples tested for contamination]],"no test")</f>
        <v>0</v>
      </c>
      <c r="BS19" s="80" t="str">
        <f>IF(AND(WWWW[[#This Row],[% of water sources treated]]="no test",WWWW[[#This Row],[% Household received corrective actions]]="no test"),"No Test","Tested")</f>
        <v>Tested</v>
      </c>
      <c r="BT19" s="80">
        <f>WWWW[[#This Row],['#_Constructed/existing protected hand dug well]]-WWWW[[#This Row],['#_Non-functional protected hand dug well]]</f>
        <v>1</v>
      </c>
      <c r="BU19" s="80">
        <f>(WWWW[[#This Row],['#_Constructed/Existing tube wells/boreholes/handpumps_WASH_agency]]+WWWW[[#This Row],['#_Non-Cluster partner water tube-wells/boreholes/handpumps]])-WWWW[[#This Row],['#_Non-functional tube wells/boreholes/handpumps]]</f>
        <v>0</v>
      </c>
      <c r="BV19" s="80">
        <f>WWWW[[#This Row],['#_Constructed/Existingwater storage tank with gravity fed reticulation system]]-WWWW[[#This Row],['#_Non-functional storage tank gravity fed reticulation system]]</f>
        <v>0</v>
      </c>
      <c r="BW19" s="80">
        <f>WWWW[[#This Row],['#_Water boating or water trucking]]</f>
        <v>0</v>
      </c>
      <c r="BX19" s="80">
        <f>WWWW[[#This Row],['#_Constructed/Existing water distribution system from river or natural spring]]</f>
        <v>0</v>
      </c>
      <c r="BY1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9" s="81">
        <f>IF(WWWW[[#This Row],[Location Type 1]]="Village",WWWW[[#This Row],[Access to safe drinking water for Village]],WWWW[[#This Row],[Access to safe drinking water for Camp]])</f>
        <v>1</v>
      </c>
      <c r="CB19" s="79">
        <f>WWWW[[#This Row],[%Equitable and continuous access to sufficient quantity of safe drinking water]]*WWWW[[#This Row],[Total PoP ]]</f>
        <v>240</v>
      </c>
      <c r="CC19" s="81">
        <f>IF((WWWW[[#This Row],['#_Constructed/Existing protected/fenced ponds]]*250)/WWWW[[#This Row],[Total PoP ]]&gt;1,1,(WWWW[[#This Row],['#_Constructed/Existing protected/fenced ponds]]*250)/WWWW[[#This Row],[Total PoP ]])</f>
        <v>0</v>
      </c>
      <c r="CD19" s="79">
        <f>WWWW[[#This Row],[% Access to unimproved water points]]*WWWW[[#This Row],[Total PoP ]]</f>
        <v>0</v>
      </c>
      <c r="CE1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240</v>
      </c>
      <c r="CG19" s="79">
        <f>WWWW[[#This Row],[HRP1]]/500</f>
        <v>0.48</v>
      </c>
      <c r="CH19" s="78">
        <f>1-WWWW[[#This Row],[% Equitable and continuous access to sufficient quantity of domestic water]]</f>
        <v>0</v>
      </c>
      <c r="CI19" s="79">
        <f>WWWW[[#This Row],[%equitable and continuous access to sufficient quantity of safe drinking and domestic water''s GAP]]*WWWW[[#This Row],[Total PoP ]]</f>
        <v>0</v>
      </c>
      <c r="CJ19" s="80">
        <f>IF(WWWW[[#This Row],[Total required water points]]-WWWW[[#This Row],['#Water points coverage]]&lt;0,0,WWWW[[#This Row],[Total required water points]]-WWWW[[#This Row],['#Water points coverage]])</f>
        <v>0.52</v>
      </c>
      <c r="CK19" s="80">
        <f>ROUND(IF(WWWW[[#This Row],[Total PoP ]]&lt;500,1,WWWW[[#This Row],[Total PoP ]]/500),0)</f>
        <v>1</v>
      </c>
      <c r="CL19" s="80">
        <f>(WWWW[[#This Row],['#_Constructed latrines_by_WASHAgencies]]+WWWW[[#This Row],['#_Non Cluster partner latrines]])-WWWW[[#This Row],['#_Non-functional latrines]]</f>
        <v>9</v>
      </c>
      <c r="CM1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v>
      </c>
      <c r="CN1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1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P19" s="80">
        <f>IF(WWWW[[#This Row],[Location Type 1]]="Village","NA",IF(WWWW[[#This Row],['#_Constructed/Existing latrines in TLS]]*50&gt;WWWW[[#This Row],['#_students at TLS_CFS]],WWWW[[#This Row],['#_students at TLS_CFS]],(WWWW[[#This Row],['#_Constructed/Existing latrines in TLS]]*50)))</f>
        <v>0</v>
      </c>
      <c r="CQ19" s="80">
        <f>ROUND(IF(WWWW[[#This Row],[Location Type 1]]="camp",WWWW[[#This Row],[Total PoP ]]/20,IF(WWWW[[#This Row],[Location Type 1]]="Temporary Location",WWWW[[#This Row],[Total PoP ]]/50,(WWWW[[#This Row],[Total PoP ]]/6))),0)</f>
        <v>12</v>
      </c>
      <c r="CR19" s="79">
        <f>IF(WWWW[[#This Row],[Total required Latrines]]-(WWWW[[#This Row],['#_Constructed latrines_by_WASHAgencies]]+WWWW[[#This Row],['#_Non Cluster partner latrines]])&lt;0,0,WWWW[[#This Row],[Total required Latrines]]-(WWWW[[#This Row],['#_Constructed latrines_by_WASHAgencies]]+WWWW[[#This Row],['#_Non Cluster partner latrines]]))</f>
        <v>3</v>
      </c>
      <c r="CS19" s="78">
        <f>1-WWWW[[#This Row],[% people access to functioning Latrine]]</f>
        <v>0.25</v>
      </c>
      <c r="CT19" s="82">
        <f>IF(OR(WWWW[[#This Row],['#_Non-functional latrines]]="",WWWW[[#This Row],['#_Non-functional latrines]]=0),0,WWWW[[#This Row],['#_Non-functional latrines]]/(WWWW[[#This Row],['#_Constructed latrines_by_WASHAgencies]]+WWWW[[#This Row],['#_Non Cluster partner latrines]]))</f>
        <v>0</v>
      </c>
      <c r="CU19" s="79">
        <f>IF(500*(WWWW[[#This Row],['#_male hygiene promoters]]+WWWW[[#This Row],['#_female hygiene promoters]])&gt;WWWW[[#This Row],[Total PoP ]],WWWW[[#This Row],[Total PoP ]],500*(WWWW[[#This Row],['#_male hygiene promoters]]+WWWW[[#This Row],['#_female hygiene promoters]]))</f>
        <v>240</v>
      </c>
      <c r="CV1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v>
      </c>
      <c r="CW1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190</v>
      </c>
      <c r="CX19" s="80">
        <f>IF(WWWW[[#This Row],['# People with access to soap]]&gt;WWWW[[#This Row],['# People with access to Sanity Pads]],WWWW[[#This Row],['# People with access to soap]],WWWW[[#This Row],['# People with access to Sanity Pads]])</f>
        <v>190</v>
      </c>
      <c r="CY19" s="80">
        <f>IF(WWWW[[#This Row],['# people reached by regular dedicated hygiene promotion_5]]&gt;WWWW[[#This Row],['# People received regular supply of hygiene items_6]],WWWW[[#This Row],['# people reached by regular dedicated hygiene promotion_5]],WWWW[[#This Row],['# People received regular supply of hygiene items_6]])</f>
        <v>240</v>
      </c>
      <c r="CZ19" s="78">
        <f>IF(WWWW[[#This Row],[HRP3]]/WWWW[[#This Row],[Total PoP ]]&gt;100%,100%,WWWW[[#This Row],[HRP3]]/WWWW[[#This Row],[Total PoP ]])</f>
        <v>1</v>
      </c>
      <c r="DA19" s="82">
        <f>1-WWWW[[#This Row],[Hygiene Coverage%]]</f>
        <v>0</v>
      </c>
      <c r="DB19" s="81">
        <f>WWWW[[#This Row],['# people reached by regular dedicated hygiene promotion_5]]/WWWW[[#This Row],[Total PoP ]]</f>
        <v>1</v>
      </c>
      <c r="DC19" s="81">
        <f>IF(WWWW[[#This Row],['#_households that received standard amount of soap for this quarter]]/WWWW[[#This Row],[Total HH]]&gt;1,1,WWWW[[#This Row],['#_households that received standard amount of soap for this quarter]]/WWWW[[#This Row],[Total HH]])</f>
        <v>7.4999999999999997E-2</v>
      </c>
      <c r="DD19" s="81">
        <f>IF(WWWW[[#This Row],['#_households that received standard amount of sanitary pads for this quarter]]/WWWW[[#This Row],[Total HH]]&gt;1,1,WWWW[[#This Row],['#_households that received standard amount of sanitary pads for this quarter]]/WWWW[[#This Row],[Total HH]])</f>
        <v>0.95</v>
      </c>
      <c r="DE19" s="80">
        <f>WWWW[[#This Row],['#_Constructed/Existing hand washing stations]]-WWWW[[#This Row],['#_Non-Functional_hand_washing_stations]]</f>
        <v>2</v>
      </c>
      <c r="DF19" s="757">
        <f>IF(WWWW[[#This Row],['# Functional hand washing stations during reporting period]]*20&gt;WWWW[[#This Row],[Total HH]],WWWW[[#This Row],[Total HH]],WWWW[[#This Row],['# Functional hand washing stations during reporting period]]*20)</f>
        <v>40</v>
      </c>
      <c r="DG19" s="79">
        <f>IF(WWWW[[#This Row],[Is sufficient soap available for TLS? (Yes/No)]]="yes",WWWW[[#This Row],['#_Constructed/Existing hand washing stations at TLS]],0)</f>
        <v>0</v>
      </c>
      <c r="DH19" s="578">
        <f>IF(WWWW[[#This Row],['# Functional hand washing stations during reporting period]]*100&gt;WWWW[[#This Row],[Total PoP ]],WWWW[[#This Row],[Total PoP ]],WWWW[[#This Row],['# Functional hand washing stations during reporting period]]*100)</f>
        <v>200</v>
      </c>
      <c r="DI19" s="578" t="str">
        <f>IF(OR(WWWW[[#This Row],['#_students at TLS_CFS]]="",WWWW[[#This Row],['#_students at TLS_CFS]]=0),"No","Yes")</f>
        <v>No</v>
      </c>
      <c r="DJ19" s="231" t="str">
        <f>VLOOKUP(WWWW[[#This Row],[Site Name]],SiteDB6[[Site Name]:[CCCM Management]],6,FALSE)</f>
        <v>Yes</v>
      </c>
      <c r="DK19" s="231" t="str">
        <f>VLOOKUP(WWWW[[#This Row],[Site Name]],SiteDB6[[Site Name]:[CCCM Focal Agency]],7,FALSE)</f>
        <v>KBC</v>
      </c>
      <c r="DL19" s="231" t="str">
        <f>VLOOKUP(WWWW[[#This Row],[Site Name]],SiteDB6[[Site Name]:[Location Type 1]],9,FALSE)</f>
        <v>Camp</v>
      </c>
      <c r="DM19" s="231" t="str">
        <f>VLOOKUP(WWWW[[#This Row],[Site Name]],SiteDB6[[Site Name]:[Type of Accommodation]],10,FALSE)</f>
        <v>Camp</v>
      </c>
      <c r="DN19" s="231" t="str">
        <f>VLOOKUP(WWWW[[#This Row],[Site Name]],SiteDB6[[Site Name]:[Ethnic or GCA/NGCA]],11,FALSE)</f>
        <v>GCA</v>
      </c>
      <c r="DO19" s="231">
        <f>VLOOKUP(WWWW[[#This Row],[Site Name]],SiteDB6[[Site Name]:[Lat]],12,FALSE)</f>
        <v>24.200972</v>
      </c>
      <c r="DP19" s="231">
        <f>VLOOKUP(WWWW[[#This Row],[Site Name]],SiteDB6[[Site Name]:[Long]],13,FALSE)</f>
        <v>97.718582999999995</v>
      </c>
      <c r="DQ19" s="231" t="str">
        <f>VLOOKUP(WWWW[[#This Row],[Site Name]],SiteDB6[[Site Name]:[Pcode]],3,FALSE)</f>
        <v>MMR001CMP071</v>
      </c>
      <c r="DR19" s="207" t="str">
        <f t="shared" si="1"/>
        <v>Covered</v>
      </c>
      <c r="DS19" s="207"/>
      <c r="DT19" s="20"/>
      <c r="DU19" s="20"/>
      <c r="DV19" s="20"/>
      <c r="DW19" s="20"/>
      <c r="DX19" s="20"/>
      <c r="DY19" s="20"/>
      <c r="DZ19" s="20"/>
      <c r="EA19" s="20"/>
      <c r="EB19" s="20"/>
      <c r="EC19" s="20"/>
      <c r="ED19" s="20"/>
      <c r="EE19" s="20"/>
      <c r="EF19" s="20"/>
      <c r="EG19" s="20"/>
      <c r="EH19" s="20"/>
    </row>
    <row r="20" spans="1:138" ht="12.75" customHeight="1">
      <c r="A20" s="238" t="s">
        <v>2518</v>
      </c>
      <c r="B20" s="574" t="s">
        <v>200</v>
      </c>
      <c r="C20" s="574" t="s">
        <v>200</v>
      </c>
      <c r="D20" s="574" t="s">
        <v>2960</v>
      </c>
      <c r="E20" s="574" t="s">
        <v>39</v>
      </c>
      <c r="F20" s="574" t="s">
        <v>213</v>
      </c>
      <c r="G20" s="574" t="str">
        <f>VLOOKUP(WWWW[[#This Row],[Site Name]],SiteDB6[[Site Name]:[Location Type]],8,FALSE)</f>
        <v>Camp_not registered</v>
      </c>
      <c r="H20" s="574" t="s">
        <v>215</v>
      </c>
      <c r="I20" s="312">
        <v>17</v>
      </c>
      <c r="J20" s="312">
        <v>106</v>
      </c>
      <c r="K20" s="553">
        <v>43466</v>
      </c>
      <c r="L20" s="77">
        <v>43830</v>
      </c>
      <c r="M20" s="583"/>
      <c r="N20" s="583"/>
      <c r="O20" s="583"/>
      <c r="P20" s="583"/>
      <c r="Q20" s="76" t="s">
        <v>144</v>
      </c>
      <c r="R20" s="310"/>
      <c r="S20" s="310"/>
      <c r="T20" s="310">
        <v>1</v>
      </c>
      <c r="U20" s="310"/>
      <c r="V20" s="310"/>
      <c r="W20" s="310"/>
      <c r="X20" s="310"/>
      <c r="Y20" s="310"/>
      <c r="Z20" s="310"/>
      <c r="AA20" s="310"/>
      <c r="AB20" s="310"/>
      <c r="AC20" s="310"/>
      <c r="AD20" s="310"/>
      <c r="AE20" s="310"/>
      <c r="AF20" s="310"/>
      <c r="AG20" s="310"/>
      <c r="AH20" s="310"/>
      <c r="AI20" s="310"/>
      <c r="AJ20" s="310"/>
      <c r="AK20" s="310"/>
      <c r="AL20" s="310"/>
      <c r="AM20" s="310"/>
      <c r="AN20" s="310"/>
      <c r="AO20" s="207"/>
      <c r="AP20" s="310">
        <v>4</v>
      </c>
      <c r="AQ20" s="310"/>
      <c r="AR20" s="76"/>
      <c r="AS20" s="310">
        <v>1</v>
      </c>
      <c r="AT20" s="310"/>
      <c r="AU20" s="310"/>
      <c r="AV20" s="310"/>
      <c r="AW20" s="310"/>
      <c r="AX20" s="581" t="s">
        <v>43</v>
      </c>
      <c r="AY20" s="581" t="s">
        <v>145</v>
      </c>
      <c r="AZ20" s="310"/>
      <c r="BA20" s="310"/>
      <c r="BB20" s="310"/>
      <c r="BC20" s="207"/>
      <c r="BD20" s="310">
        <v>2</v>
      </c>
      <c r="BE20" s="310"/>
      <c r="BF20" s="310"/>
      <c r="BG20" s="310">
        <v>2</v>
      </c>
      <c r="BH20" s="310"/>
      <c r="BI20" s="310"/>
      <c r="BJ20" s="310"/>
      <c r="BK20" s="310"/>
      <c r="BL20" s="310"/>
      <c r="BM20" s="207"/>
      <c r="BN20" s="79"/>
      <c r="BO20" s="81"/>
      <c r="BP20" s="207"/>
      <c r="BQ20" s="78" t="str">
        <f>IFERROR(WWWW[[#This Row],['#_Water sources treated]]/WWWW[[#This Row],['#_Water sources tested for contamination]],"no test")</f>
        <v>no test</v>
      </c>
      <c r="BR20" s="81" t="str">
        <f>IFERROR(WWWW[[#This Row],['#_Household received remediation action due to contamination]]/WWWW[[#This Row],['#_Household water samples tested for contamination]],"no test")</f>
        <v>no test</v>
      </c>
      <c r="BS20" s="80" t="str">
        <f>IF(AND(WWWW[[#This Row],[% of water sources treated]]="no test",WWWW[[#This Row],[% Household received corrective actions]]="no test"),"No Test","Tested")</f>
        <v>No Test</v>
      </c>
      <c r="BT20" s="80">
        <f>WWWW[[#This Row],['#_Constructed/existing protected hand dug well]]-WWWW[[#This Row],['#_Non-functional protected hand dug well]]</f>
        <v>1</v>
      </c>
      <c r="BU20" s="80">
        <f>(WWWW[[#This Row],['#_Constructed/Existing tube wells/boreholes/handpumps_WASH_agency]]+WWWW[[#This Row],['#_Non-Cluster partner water tube-wells/boreholes/handpumps]])-WWWW[[#This Row],['#_Non-functional tube wells/boreholes/handpumps]]</f>
        <v>0</v>
      </c>
      <c r="BV20" s="80">
        <f>WWWW[[#This Row],['#_Constructed/Existingwater storage tank with gravity fed reticulation system]]-WWWW[[#This Row],['#_Non-functional storage tank gravity fed reticulation system]]</f>
        <v>0</v>
      </c>
      <c r="BW20" s="80">
        <f>WWWW[[#This Row],['#_Water boating or water trucking]]</f>
        <v>0</v>
      </c>
      <c r="BX20" s="80">
        <f>WWWW[[#This Row],['#_Constructed/Existing water distribution system from river or natural spring]]</f>
        <v>0</v>
      </c>
      <c r="BY2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 s="81">
        <f>IF(WWWW[[#This Row],[Location Type 1]]="Village",WWWW[[#This Row],[Access to safe drinking water for Village]],WWWW[[#This Row],[Access to safe drinking water for Camp]])</f>
        <v>1</v>
      </c>
      <c r="CB20" s="79">
        <f>WWWW[[#This Row],[%Equitable and continuous access to sufficient quantity of safe drinking water]]*WWWW[[#This Row],[Total PoP ]]</f>
        <v>106</v>
      </c>
      <c r="CC20" s="81">
        <f>IF((WWWW[[#This Row],['#_Constructed/Existing protected/fenced ponds]]*250)/WWWW[[#This Row],[Total PoP ]]&gt;1,1,(WWWW[[#This Row],['#_Constructed/Existing protected/fenced ponds]]*250)/WWWW[[#This Row],[Total PoP ]])</f>
        <v>0</v>
      </c>
      <c r="CD20" s="79">
        <f>WWWW[[#This Row],[% Access to unimproved water points]]*WWWW[[#This Row],[Total PoP ]]</f>
        <v>0</v>
      </c>
      <c r="CE2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G20" s="79">
        <f>WWWW[[#This Row],[HRP1]]/500</f>
        <v>0.21199999999999999</v>
      </c>
      <c r="CH20" s="78">
        <f>1-WWWW[[#This Row],[% Equitable and continuous access to sufficient quantity of domestic water]]</f>
        <v>0</v>
      </c>
      <c r="CI20" s="79">
        <f>WWWW[[#This Row],[%equitable and continuous access to sufficient quantity of safe drinking and domestic water''s GAP]]*WWWW[[#This Row],[Total PoP ]]</f>
        <v>0</v>
      </c>
      <c r="CJ20" s="80">
        <f>IF(WWWW[[#This Row],[Total required water points]]-WWWW[[#This Row],['#Water points coverage]]&lt;0,0,WWWW[[#This Row],[Total required water points]]-WWWW[[#This Row],['#Water points coverage]])</f>
        <v>0.78800000000000003</v>
      </c>
      <c r="CK20" s="80">
        <f>ROUND(IF(WWWW[[#This Row],[Total PoP ]]&lt;500,1,WWWW[[#This Row],[Total PoP ]]/500),0)</f>
        <v>1</v>
      </c>
      <c r="CL20" s="80">
        <f>(WWWW[[#This Row],['#_Constructed latrines_by_WASHAgencies]]+WWWW[[#This Row],['#_Non Cluster partner latrines]])-WWWW[[#This Row],['#_Non-functional latrines]]</f>
        <v>3</v>
      </c>
      <c r="CM2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0.56603773584905659</v>
      </c>
      <c r="CN2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60</v>
      </c>
      <c r="CO2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0" s="80">
        <f>IF(WWWW[[#This Row],[Location Type 1]]="Village","NA",IF(WWWW[[#This Row],['#_Constructed/Existing latrines in TLS]]*50&gt;WWWW[[#This Row],['#_students at TLS_CFS]],WWWW[[#This Row],['#_students at TLS_CFS]],(WWWW[[#This Row],['#_Constructed/Existing latrines in TLS]]*50)))</f>
        <v>0</v>
      </c>
      <c r="CQ20" s="80">
        <f>ROUND(IF(WWWW[[#This Row],[Location Type 1]]="camp",WWWW[[#This Row],[Total PoP ]]/20,IF(WWWW[[#This Row],[Location Type 1]]="Temporary Location",WWWW[[#This Row],[Total PoP ]]/50,(WWWW[[#This Row],[Total PoP ]]/6))),0)</f>
        <v>5</v>
      </c>
      <c r="CR20" s="79">
        <f>IF(WWWW[[#This Row],[Total required Latrines]]-(WWWW[[#This Row],['#_Constructed latrines_by_WASHAgencies]]+WWWW[[#This Row],['#_Non Cluster partner latrines]])&lt;0,0,WWWW[[#This Row],[Total required Latrines]]-(WWWW[[#This Row],['#_Constructed latrines_by_WASHAgencies]]+WWWW[[#This Row],['#_Non Cluster partner latrines]]))</f>
        <v>1</v>
      </c>
      <c r="CS20" s="78">
        <f>1-WWWW[[#This Row],[% people access to functioning Latrine]]</f>
        <v>0.43396226415094341</v>
      </c>
      <c r="CT20" s="82">
        <f>IF(OR(WWWW[[#This Row],['#_Non-functional latrines]]="",WWWW[[#This Row],['#_Non-functional latrines]]=0),0,WWWW[[#This Row],['#_Non-functional latrines]]/(WWWW[[#This Row],['#_Constructed latrines_by_WASHAgencies]]+WWWW[[#This Row],['#_Non Cluster partner latrines]]))</f>
        <v>0.25</v>
      </c>
      <c r="CU20" s="79">
        <f>IF(500*(WWWW[[#This Row],['#_male hygiene promoters]]+WWWW[[#This Row],['#_female hygiene promoters]])&gt;WWWW[[#This Row],[Total PoP ]],WWWW[[#This Row],[Total PoP ]],500*(WWWW[[#This Row],['#_male hygiene promoters]]+WWWW[[#This Row],['#_female hygiene promoters]]))</f>
        <v>0</v>
      </c>
      <c r="CV2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 s="80">
        <f>IF(WWWW[[#This Row],['# People with access to soap]]&gt;WWWW[[#This Row],['# People with access to Sanity Pads]],WWWW[[#This Row],['# People with access to soap]],WWWW[[#This Row],['# People with access to Sanity Pads]])</f>
        <v>0</v>
      </c>
      <c r="CY2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 s="78">
        <f>IF(WWWW[[#This Row],[HRP3]]/WWWW[[#This Row],[Total PoP ]]&gt;100%,100%,WWWW[[#This Row],[HRP3]]/WWWW[[#This Row],[Total PoP ]])</f>
        <v>0</v>
      </c>
      <c r="DA20" s="82">
        <f>1-WWWW[[#This Row],[Hygiene Coverage%]]</f>
        <v>1</v>
      </c>
      <c r="DB20" s="81">
        <f>WWWW[[#This Row],['# people reached by regular dedicated hygiene promotion_5]]/WWWW[[#This Row],[Total PoP ]]</f>
        <v>0</v>
      </c>
      <c r="DC20" s="81">
        <f>IF(WWWW[[#This Row],['#_households that received standard amount of soap for this quarter]]/WWWW[[#This Row],[Total HH]]&gt;1,1,WWWW[[#This Row],['#_households that received standard amount of soap for this quarter]]/WWWW[[#This Row],[Total HH]])</f>
        <v>0</v>
      </c>
      <c r="DD20" s="81">
        <f>IF(WWWW[[#This Row],['#_households that received standard amount of sanitary pads for this quarter]]/WWWW[[#This Row],[Total HH]]&gt;1,1,WWWW[[#This Row],['#_households that received standard amount of sanitary pads for this quarter]]/WWWW[[#This Row],[Total HH]])</f>
        <v>0</v>
      </c>
      <c r="DE20" s="80">
        <f>WWWW[[#This Row],['#_Constructed/Existing hand washing stations]]-WWWW[[#This Row],['#_Non-Functional_hand_washing_stations]]</f>
        <v>2</v>
      </c>
      <c r="DF20" s="757">
        <f>IF(WWWW[[#This Row],['# Functional hand washing stations during reporting period]]*20&gt;WWWW[[#This Row],[Total HH]],WWWW[[#This Row],[Total HH]],WWWW[[#This Row],['# Functional hand washing stations during reporting period]]*20)</f>
        <v>17</v>
      </c>
      <c r="DG20" s="79">
        <f>IF(WWWW[[#This Row],[Is sufficient soap available for TLS? (Yes/No)]]="yes",WWWW[[#This Row],['#_Constructed/Existing hand washing stations at TLS]],0)</f>
        <v>0</v>
      </c>
      <c r="DH20" s="578">
        <f>IF(WWWW[[#This Row],['# Functional hand washing stations during reporting period]]*100&gt;WWWW[[#This Row],[Total PoP ]],WWWW[[#This Row],[Total PoP ]],WWWW[[#This Row],['# Functional hand washing stations during reporting period]]*100)</f>
        <v>106</v>
      </c>
      <c r="DI20" s="578" t="str">
        <f>IF(OR(WWWW[[#This Row],['#_students at TLS_CFS]]="",WWWW[[#This Row],['#_students at TLS_CFS]]=0),"No","Yes")</f>
        <v>No</v>
      </c>
      <c r="DJ20" s="231">
        <f>VLOOKUP(WWWW[[#This Row],[Site Name]],SiteDB6[[Site Name]:[CCCM Management]],6,FALSE)</f>
        <v>0</v>
      </c>
      <c r="DK20" s="231">
        <f>VLOOKUP(WWWW[[#This Row],[Site Name]],SiteDB6[[Site Name]:[CCCM Focal Agency]],7,FALSE)</f>
        <v>0</v>
      </c>
      <c r="DL20" s="231" t="str">
        <f>VLOOKUP(WWWW[[#This Row],[Site Name]],SiteDB6[[Site Name]:[Location Type 1]],9,FALSE)</f>
        <v>Camp</v>
      </c>
      <c r="DM20" s="231" t="str">
        <f>VLOOKUP(WWWW[[#This Row],[Site Name]],SiteDB6[[Site Name]:[Type of Accommodation]],10,FALSE)</f>
        <v>Camp</v>
      </c>
      <c r="DN20" s="231" t="str">
        <f>VLOOKUP(WWWW[[#This Row],[Site Name]],SiteDB6[[Site Name]:[Ethnic or GCA/NGCA]],11,FALSE)</f>
        <v>GCA</v>
      </c>
      <c r="DO20" s="231">
        <f>VLOOKUP(WWWW[[#This Row],[Site Name]],SiteDB6[[Site Name]:[Lat]],12,FALSE)</f>
        <v>0</v>
      </c>
      <c r="DP20" s="231">
        <f>VLOOKUP(WWWW[[#This Row],[Site Name]],SiteDB6[[Site Name]:[Long]],13,FALSE)</f>
        <v>0</v>
      </c>
      <c r="DQ20" s="231">
        <f>VLOOKUP(WWWW[[#This Row],[Site Name]],SiteDB6[[Site Name]:[Pcode]],3,FALSE)</f>
        <v>0</v>
      </c>
      <c r="DR20" s="207" t="str">
        <f t="shared" si="1"/>
        <v>Covered</v>
      </c>
      <c r="DS20" s="207"/>
      <c r="DT20" s="20"/>
      <c r="DU20" s="20"/>
      <c r="DV20" s="20"/>
      <c r="DW20" s="20"/>
      <c r="DX20" s="20"/>
      <c r="DY20" s="20"/>
      <c r="DZ20" s="20"/>
      <c r="EA20" s="20"/>
      <c r="EB20" s="20"/>
      <c r="EC20" s="20"/>
      <c r="ED20" s="20"/>
      <c r="EE20" s="20"/>
      <c r="EF20" s="20"/>
      <c r="EG20" s="20"/>
      <c r="EH20" s="20"/>
    </row>
    <row r="21" spans="1:138" ht="20.25" customHeight="1">
      <c r="A21" s="238" t="s">
        <v>2518</v>
      </c>
      <c r="B21" s="574" t="s">
        <v>250</v>
      </c>
      <c r="C21" s="574" t="s">
        <v>250</v>
      </c>
      <c r="D21" s="574" t="s">
        <v>315</v>
      </c>
      <c r="E21" s="574" t="s">
        <v>39</v>
      </c>
      <c r="F21" s="574" t="s">
        <v>154</v>
      </c>
      <c r="G21" s="574" t="str">
        <f>VLOOKUP(WWWW[[#This Row],[Site Name]],SiteDB6[[Site Name]:[Location Type]],8,FALSE)</f>
        <v>Camp</v>
      </c>
      <c r="H21" s="574" t="s">
        <v>253</v>
      </c>
      <c r="I21" s="583">
        <v>162</v>
      </c>
      <c r="J21" s="583">
        <v>830</v>
      </c>
      <c r="K21" s="553">
        <v>43313</v>
      </c>
      <c r="L21" s="77">
        <v>44043</v>
      </c>
      <c r="M21" s="583"/>
      <c r="N21" s="583">
        <v>1</v>
      </c>
      <c r="O21" s="583"/>
      <c r="P21" s="583"/>
      <c r="Q21" s="76" t="s">
        <v>43</v>
      </c>
      <c r="R21" s="310">
        <v>2</v>
      </c>
      <c r="S21" s="310">
        <v>3</v>
      </c>
      <c r="T21" s="310">
        <v>0</v>
      </c>
      <c r="U21" s="310"/>
      <c r="V21" s="310"/>
      <c r="W21" s="310">
        <v>0</v>
      </c>
      <c r="X21" s="310"/>
      <c r="Y21" s="310"/>
      <c r="Z21" s="310"/>
      <c r="AA21" s="310">
        <v>1</v>
      </c>
      <c r="AB21" s="310"/>
      <c r="AC21" s="310"/>
      <c r="AD21" s="310"/>
      <c r="AE21" s="310"/>
      <c r="AF21" s="310"/>
      <c r="AG21" s="310"/>
      <c r="AH21" s="310">
        <v>1</v>
      </c>
      <c r="AI21" s="310"/>
      <c r="AJ21" s="310"/>
      <c r="AK21" s="310"/>
      <c r="AL21" s="310"/>
      <c r="AM21" s="310"/>
      <c r="AN21" s="310"/>
      <c r="AO21" s="207"/>
      <c r="AP21" s="310">
        <v>40</v>
      </c>
      <c r="AQ21" s="310">
        <v>12</v>
      </c>
      <c r="AR21" s="76" t="s">
        <v>1249</v>
      </c>
      <c r="AS21" s="310">
        <v>0</v>
      </c>
      <c r="AT21" s="310">
        <v>0</v>
      </c>
      <c r="AU21" s="310">
        <v>0</v>
      </c>
      <c r="AV21" s="310">
        <v>0</v>
      </c>
      <c r="AW21" s="310">
        <v>0</v>
      </c>
      <c r="AX21" s="231" t="s">
        <v>144</v>
      </c>
      <c r="AY21" s="231" t="s">
        <v>1200</v>
      </c>
      <c r="AZ21" s="310">
        <v>0</v>
      </c>
      <c r="BA21" s="310">
        <v>0</v>
      </c>
      <c r="BB21" s="310">
        <v>0</v>
      </c>
      <c r="BC21" s="207"/>
      <c r="BD21" s="310">
        <v>5</v>
      </c>
      <c r="BE21" s="310">
        <v>5</v>
      </c>
      <c r="BF21" s="310">
        <v>0</v>
      </c>
      <c r="BG21" s="310">
        <v>8</v>
      </c>
      <c r="BH21" s="310">
        <v>8</v>
      </c>
      <c r="BI21" s="310">
        <v>2</v>
      </c>
      <c r="BJ21" s="310">
        <v>3</v>
      </c>
      <c r="BK21" s="310">
        <v>0</v>
      </c>
      <c r="BL21" s="310">
        <v>0</v>
      </c>
      <c r="BM21" s="207" t="s">
        <v>144</v>
      </c>
      <c r="BN21" s="79">
        <v>0</v>
      </c>
      <c r="BO21" s="81">
        <v>0.2</v>
      </c>
      <c r="BP21" s="207"/>
      <c r="BQ21" s="78" t="str">
        <f>IFERROR(WWWW[[#This Row],['#_Water sources treated]]/WWWW[[#This Row],['#_Water sources tested for contamination]],"no test")</f>
        <v>no test</v>
      </c>
      <c r="BR21" s="81" t="str">
        <f>IFERROR(WWWW[[#This Row],['#_Household received remediation action due to contamination]]/WWWW[[#This Row],['#_Household water samples tested for contamination]],"no test")</f>
        <v>no test</v>
      </c>
      <c r="BS21" s="80" t="str">
        <f>IF(AND(WWWW[[#This Row],[% of water sources treated]]="no test",WWWW[[#This Row],[% Household received corrective actions]]="no test"),"No Test","Tested")</f>
        <v>No Test</v>
      </c>
      <c r="BT21" s="80">
        <f>WWWW[[#This Row],['#_Constructed/existing protected hand dug well]]-WWWW[[#This Row],['#_Non-functional protected hand dug well]]</f>
        <v>0</v>
      </c>
      <c r="BU21" s="80">
        <f>(WWWW[[#This Row],['#_Constructed/Existing tube wells/boreholes/handpumps_WASH_agency]]+WWWW[[#This Row],['#_Non-Cluster partner water tube-wells/boreholes/handpumps]])-WWWW[[#This Row],['#_Non-functional tube wells/boreholes/handpumps]]</f>
        <v>0</v>
      </c>
      <c r="BV21" s="80">
        <f>WWWW[[#This Row],['#_Constructed/Existingwater storage tank with gravity fed reticulation system]]-WWWW[[#This Row],['#_Non-functional storage tank gravity fed reticulation system]]</f>
        <v>1</v>
      </c>
      <c r="BW21" s="80">
        <f>WWWW[[#This Row],['#_Water boating or water trucking]]</f>
        <v>0</v>
      </c>
      <c r="BX21" s="80">
        <f>WWWW[[#This Row],['#_Constructed/Existing water distribution system from river or natural spring]]</f>
        <v>0</v>
      </c>
      <c r="BY2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8.0321285140562249E-2</v>
      </c>
      <c r="BZ2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8.0321285140562249E-2</v>
      </c>
      <c r="CA21" s="81">
        <f>IF(WWWW[[#This Row],[Location Type 1]]="Village",WWWW[[#This Row],[Access to safe drinking water for Village]],WWWW[[#This Row],[Access to safe drinking water for Camp]])</f>
        <v>8.0321285140562249E-2</v>
      </c>
      <c r="CB21" s="79">
        <f>WWWW[[#This Row],[%Equitable and continuous access to sufficient quantity of safe drinking water]]*WWWW[[#This Row],[Total PoP ]]</f>
        <v>66.666666666666671</v>
      </c>
      <c r="CC21" s="81">
        <f>IF((WWWW[[#This Row],['#_Constructed/Existing protected/fenced ponds]]*250)/WWWW[[#This Row],[Total PoP ]]&gt;1,1,(WWWW[[#This Row],['#_Constructed/Existing protected/fenced ponds]]*250)/WWWW[[#This Row],[Total PoP ]])</f>
        <v>0</v>
      </c>
      <c r="CD21" s="79">
        <f>WWWW[[#This Row],[% Access to unimproved water points]]*WWWW[[#This Row],[Total PoP ]]</f>
        <v>0</v>
      </c>
      <c r="CE2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F2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21" s="79">
        <f>WWWW[[#This Row],[HRP1]]/500</f>
        <v>0.13333333333333333</v>
      </c>
      <c r="CH21" s="78">
        <f>1-WWWW[[#This Row],[% Equitable and continuous access to sufficient quantity of domestic water]]</f>
        <v>0.91967871485943775</v>
      </c>
      <c r="CI21" s="79">
        <f>WWWW[[#This Row],[%equitable and continuous access to sufficient quantity of safe drinking and domestic water''s GAP]]*WWWW[[#This Row],[Total PoP ]]</f>
        <v>763.33333333333337</v>
      </c>
      <c r="CJ21" s="80">
        <f>IF(WWWW[[#This Row],[Total required water points]]-WWWW[[#This Row],['#Water points coverage]]&lt;0,0,WWWW[[#This Row],[Total required water points]]-WWWW[[#This Row],['#Water points coverage]])</f>
        <v>1.8666666666666667</v>
      </c>
      <c r="CK21" s="80">
        <f>ROUND(IF(WWWW[[#This Row],[Total PoP ]]&lt;500,1,WWWW[[#This Row],[Total PoP ]]/500),0)</f>
        <v>2</v>
      </c>
      <c r="CL21" s="80">
        <f>(WWWW[[#This Row],['#_Constructed latrines_by_WASHAgencies]]+WWWW[[#This Row],['#_Non Cluster partner latrines]])-WWWW[[#This Row],['#_Non-functional latrines]]</f>
        <v>52</v>
      </c>
      <c r="CM2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830</v>
      </c>
      <c r="CO2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1" s="80">
        <f>IF(WWWW[[#This Row],[Location Type 1]]="Village","NA",IF(WWWW[[#This Row],['#_Constructed/Existing latrines in TLS]]*50&gt;WWWW[[#This Row],['#_students at TLS_CFS]],WWWW[[#This Row],['#_students at TLS_CFS]],(WWWW[[#This Row],['#_Constructed/Existing latrines in TLS]]*50)))</f>
        <v>0</v>
      </c>
      <c r="CQ21" s="80">
        <f>ROUND(IF(WWWW[[#This Row],[Location Type 1]]="camp",WWWW[[#This Row],[Total PoP ]]/20,IF(WWWW[[#This Row],[Location Type 1]]="Temporary Location",WWWW[[#This Row],[Total PoP ]]/50,(WWWW[[#This Row],[Total PoP ]]/6))),0)</f>
        <v>42</v>
      </c>
      <c r="CR21" s="79">
        <f>IF(WWWW[[#This Row],[Total required Latrines]]-(WWWW[[#This Row],['#_Constructed latrines_by_WASHAgencies]]+WWWW[[#This Row],['#_Non Cluster partner latrines]])&lt;0,0,WWWW[[#This Row],[Total required Latrines]]-(WWWW[[#This Row],['#_Constructed latrines_by_WASHAgencies]]+WWWW[[#This Row],['#_Non Cluster partner latrines]]))</f>
        <v>0</v>
      </c>
      <c r="CS21" s="78">
        <f>1-WWWW[[#This Row],[% people access to functioning Latrine]]</f>
        <v>0</v>
      </c>
      <c r="CT21" s="82">
        <f>IF(OR(WWWW[[#This Row],['#_Non-functional latrines]]="",WWWW[[#This Row],['#_Non-functional latrines]]=0),0,WWWW[[#This Row],['#_Non-functional latrines]]/(WWWW[[#This Row],['#_Constructed latrines_by_WASHAgencies]]+WWWW[[#This Row],['#_Non Cluster partner latrines]]))</f>
        <v>0</v>
      </c>
      <c r="CU21" s="79">
        <f>IF(500*(WWWW[[#This Row],['#_male hygiene promoters]]+WWWW[[#This Row],['#_female hygiene promoters]])&gt;WWWW[[#This Row],[Total PoP ]],WWWW[[#This Row],[Total PoP ]],500*(WWWW[[#This Row],['#_male hygiene promoters]]+WWWW[[#This Row],['#_female hygiene promoters]]))</f>
        <v>830</v>
      </c>
      <c r="CV2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 s="80">
        <f>IF(WWWW[[#This Row],['# People with access to soap]]&gt;WWWW[[#This Row],['# People with access to Sanity Pads]],WWWW[[#This Row],['# People with access to soap]],WWWW[[#This Row],['# People with access to Sanity Pads]])</f>
        <v>0</v>
      </c>
      <c r="CY21" s="80">
        <f>IF(WWWW[[#This Row],['# people reached by regular dedicated hygiene promotion_5]]&gt;WWWW[[#This Row],['# People received regular supply of hygiene items_6]],WWWW[[#This Row],['# people reached by regular dedicated hygiene promotion_5]],WWWW[[#This Row],['# People received regular supply of hygiene items_6]])</f>
        <v>830</v>
      </c>
      <c r="CZ21" s="78">
        <f>IF(WWWW[[#This Row],[HRP3]]/WWWW[[#This Row],[Total PoP ]]&gt;100%,100%,WWWW[[#This Row],[HRP3]]/WWWW[[#This Row],[Total PoP ]])</f>
        <v>1</v>
      </c>
      <c r="DA21" s="82">
        <f>1-WWWW[[#This Row],[Hygiene Coverage%]]</f>
        <v>0</v>
      </c>
      <c r="DB21" s="81">
        <f>WWWW[[#This Row],['# people reached by regular dedicated hygiene promotion_5]]/WWWW[[#This Row],[Total PoP ]]</f>
        <v>1</v>
      </c>
      <c r="DC21" s="81">
        <f>IF(WWWW[[#This Row],['#_households that received standard amount of soap for this quarter]]/WWWW[[#This Row],[Total HH]]&gt;1,1,WWWW[[#This Row],['#_households that received standard amount of soap for this quarter]]/WWWW[[#This Row],[Total HH]])</f>
        <v>0</v>
      </c>
      <c r="DD21" s="81">
        <f>IF(WWWW[[#This Row],['#_households that received standard amount of sanitary pads for this quarter]]/WWWW[[#This Row],[Total HH]]&gt;1,1,WWWW[[#This Row],['#_households that received standard amount of sanitary pads for this quarter]]/WWWW[[#This Row],[Total HH]])</f>
        <v>0</v>
      </c>
      <c r="DE21" s="80">
        <f>WWWW[[#This Row],['#_Constructed/Existing hand washing stations]]-WWWW[[#This Row],['#_Non-Functional_hand_washing_stations]]</f>
        <v>0</v>
      </c>
      <c r="DF21" s="757">
        <f>IF(WWWW[[#This Row],['# Functional hand washing stations during reporting period]]*20&gt;WWWW[[#This Row],[Total HH]],WWWW[[#This Row],[Total HH]],WWWW[[#This Row],['# Functional hand washing stations during reporting period]]*20)</f>
        <v>0</v>
      </c>
      <c r="DG21" s="79">
        <f>IF(WWWW[[#This Row],[Is sufficient soap available for TLS? (Yes/No)]]="yes",WWWW[[#This Row],['#_Constructed/Existing hand washing stations at TLS]],0)</f>
        <v>0</v>
      </c>
      <c r="DH21" s="578">
        <f>IF(WWWW[[#This Row],['# Functional hand washing stations during reporting period]]*100&gt;WWWW[[#This Row],[Total PoP ]],WWWW[[#This Row],[Total PoP ]],WWWW[[#This Row],['# Functional hand washing stations during reporting period]]*100)</f>
        <v>0</v>
      </c>
      <c r="DI21" s="578" t="str">
        <f>IF(OR(WWWW[[#This Row],['#_students at TLS_CFS]]="",WWWW[[#This Row],['#_students at TLS_CFS]]=0),"No","Yes")</f>
        <v>No</v>
      </c>
      <c r="DJ21" s="231" t="str">
        <f>VLOOKUP(WWWW[[#This Row],[Site Name]],SiteDB6[[Site Name]:[CCCM Management]],6,FALSE)</f>
        <v>Yes</v>
      </c>
      <c r="DK21" s="231" t="str">
        <f>VLOOKUP(WWWW[[#This Row],[Site Name]],SiteDB6[[Site Name]:[CCCM Focal Agency]],7,FALSE)</f>
        <v>Shalom</v>
      </c>
      <c r="DL21" s="231" t="str">
        <f>VLOOKUP(WWWW[[#This Row],[Site Name]],SiteDB6[[Site Name]:[Location Type 1]],9,FALSE)</f>
        <v>Camp</v>
      </c>
      <c r="DM21" s="231" t="str">
        <f>VLOOKUP(WWWW[[#This Row],[Site Name]],SiteDB6[[Site Name]:[Type of Accommodation]],10,FALSE)</f>
        <v>Camp</v>
      </c>
      <c r="DN21" s="231" t="str">
        <f>VLOOKUP(WWWW[[#This Row],[Site Name]],SiteDB6[[Site Name]:[Ethnic or GCA/NGCA]],11,FALSE)</f>
        <v>GCA</v>
      </c>
      <c r="DO21" s="231">
        <f>VLOOKUP(WWWW[[#This Row],[Site Name]],SiteDB6[[Site Name]:[Lat]],12,FALSE)</f>
        <v>25.889410000000002</v>
      </c>
      <c r="DP21" s="231">
        <f>VLOOKUP(WWWW[[#This Row],[Site Name]],SiteDB6[[Site Name]:[Long]],13,FALSE)</f>
        <v>98.131550000000004</v>
      </c>
      <c r="DQ21" s="231" t="str">
        <f>VLOOKUP(WWWW[[#This Row],[Site Name]],SiteDB6[[Site Name]:[Pcode]],3,FALSE)</f>
        <v>MMR001CMP042</v>
      </c>
      <c r="DR21" s="207" t="str">
        <f t="shared" si="1"/>
        <v>Covered</v>
      </c>
      <c r="DS21" s="207"/>
      <c r="DT21" s="20"/>
      <c r="DU21" s="20"/>
      <c r="DV21" s="20"/>
      <c r="DW21" s="20"/>
      <c r="DX21" s="20"/>
      <c r="DY21" s="20"/>
      <c r="DZ21" s="20"/>
      <c r="EA21" s="20"/>
      <c r="EB21" s="20"/>
      <c r="EC21" s="20"/>
      <c r="ED21" s="20"/>
      <c r="EE21" s="20"/>
      <c r="EF21" s="20"/>
      <c r="EG21" s="20"/>
      <c r="EH21" s="20"/>
    </row>
    <row r="22" spans="1:138" ht="15.75" customHeight="1">
      <c r="A22" s="238" t="s">
        <v>2518</v>
      </c>
      <c r="B22" s="238" t="s">
        <v>149</v>
      </c>
      <c r="C22" s="574" t="s">
        <v>149</v>
      </c>
      <c r="D22" s="574" t="s">
        <v>152</v>
      </c>
      <c r="E22" s="574" t="s">
        <v>39</v>
      </c>
      <c r="F22" s="574" t="s">
        <v>167</v>
      </c>
      <c r="G22" s="574" t="str">
        <f>VLOOKUP(WWWW[[#This Row],[Site Name]],SiteDB6[[Site Name]:[Location Type]],8,FALSE)</f>
        <v>Camp</v>
      </c>
      <c r="H22" s="574" t="s">
        <v>168</v>
      </c>
      <c r="I22" s="583">
        <v>43</v>
      </c>
      <c r="J22" s="583">
        <v>197</v>
      </c>
      <c r="K22" s="553">
        <v>43556</v>
      </c>
      <c r="L22" s="77">
        <v>43677</v>
      </c>
      <c r="M22" s="583"/>
      <c r="N22" s="583"/>
      <c r="O22" s="583"/>
      <c r="P22" s="583"/>
      <c r="Q22" s="76" t="s">
        <v>43</v>
      </c>
      <c r="R22" s="310"/>
      <c r="S22" s="310"/>
      <c r="T22" s="583">
        <v>0</v>
      </c>
      <c r="U22" s="310"/>
      <c r="V22" s="310"/>
      <c r="W22" s="583">
        <v>3</v>
      </c>
      <c r="X22" s="310"/>
      <c r="Y22" s="310"/>
      <c r="Z22" s="310"/>
      <c r="AA22" s="310"/>
      <c r="AB22" s="310"/>
      <c r="AC22" s="310"/>
      <c r="AD22" s="310"/>
      <c r="AE22" s="310"/>
      <c r="AF22" s="310"/>
      <c r="AG22" s="310"/>
      <c r="AH22" s="583">
        <v>3</v>
      </c>
      <c r="AI22" s="310"/>
      <c r="AJ22" s="310"/>
      <c r="AK22" s="310"/>
      <c r="AL22" s="310"/>
      <c r="AM22" s="310"/>
      <c r="AN22" s="310"/>
      <c r="AO22" s="207"/>
      <c r="AP22" s="583">
        <v>7</v>
      </c>
      <c r="AQ22" s="310"/>
      <c r="AR22" s="76"/>
      <c r="AS22" s="310"/>
      <c r="AT22" s="310"/>
      <c r="AU22" s="310">
        <v>9</v>
      </c>
      <c r="AV22" s="310"/>
      <c r="AW22" s="583">
        <v>7</v>
      </c>
      <c r="AX22" s="231" t="s">
        <v>43</v>
      </c>
      <c r="AY22" s="231" t="s">
        <v>145</v>
      </c>
      <c r="AZ22" s="310"/>
      <c r="BA22" s="310"/>
      <c r="BB22" s="310"/>
      <c r="BC22" s="207"/>
      <c r="BD22" s="310"/>
      <c r="BE22" s="310"/>
      <c r="BF22" s="310"/>
      <c r="BG22" s="310">
        <v>3</v>
      </c>
      <c r="BH22" s="310"/>
      <c r="BI22" s="310"/>
      <c r="BJ22" s="310">
        <v>2</v>
      </c>
      <c r="BK22" s="310"/>
      <c r="BL22" s="310"/>
      <c r="BM22" s="207"/>
      <c r="BN22" s="79"/>
      <c r="BO22" s="81"/>
      <c r="BP22" s="207"/>
      <c r="BQ22" s="78" t="str">
        <f>IFERROR(WWWW[[#This Row],['#_Water sources treated]]/WWWW[[#This Row],['#_Water sources tested for contamination]],"no test")</f>
        <v>no test</v>
      </c>
      <c r="BR22" s="81" t="str">
        <f>IFERROR(WWWW[[#This Row],['#_Household received remediation action due to contamination]]/WWWW[[#This Row],['#_Household water samples tested for contamination]],"no test")</f>
        <v>no test</v>
      </c>
      <c r="BS22" s="80" t="str">
        <f>IF(AND(WWWW[[#This Row],[% of water sources treated]]="no test",WWWW[[#This Row],[% Household received corrective actions]]="no test"),"No Test","Tested")</f>
        <v>No Test</v>
      </c>
      <c r="BT22" s="80">
        <f>WWWW[[#This Row],['#_Constructed/existing protected hand dug well]]-WWWW[[#This Row],['#_Non-functional protected hand dug well]]</f>
        <v>0</v>
      </c>
      <c r="BU22" s="80">
        <f>(WWWW[[#This Row],['#_Constructed/Existing tube wells/boreholes/handpumps_WASH_agency]]+WWWW[[#This Row],['#_Non-Cluster partner water tube-wells/boreholes/handpumps]])-WWWW[[#This Row],['#_Non-functional tube wells/boreholes/handpumps]]</f>
        <v>3</v>
      </c>
      <c r="BV22" s="80">
        <f>WWWW[[#This Row],['#_Constructed/Existingwater storage tank with gravity fed reticulation system]]-WWWW[[#This Row],['#_Non-functional storage tank gravity fed reticulation system]]</f>
        <v>0</v>
      </c>
      <c r="BW22" s="80">
        <f>WWWW[[#This Row],['#_Water boating or water trucking]]</f>
        <v>0</v>
      </c>
      <c r="BX22" s="80">
        <f>WWWW[[#This Row],['#_Constructed/Existing water distribution system from river or natural spring]]</f>
        <v>0</v>
      </c>
      <c r="BY2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2" s="81">
        <f>IF(WWWW[[#This Row],[Location Type 1]]="Village",WWWW[[#This Row],[Access to safe drinking water for Village]],WWWW[[#This Row],[Access to safe drinking water for Camp]])</f>
        <v>1</v>
      </c>
      <c r="CB22" s="79">
        <f>WWWW[[#This Row],[%Equitable and continuous access to sufficient quantity of safe drinking water]]*WWWW[[#This Row],[Total PoP ]]</f>
        <v>197</v>
      </c>
      <c r="CC22" s="81">
        <f>IF((WWWW[[#This Row],['#_Constructed/Existing protected/fenced ponds]]*250)/WWWW[[#This Row],[Total PoP ]]&gt;1,1,(WWWW[[#This Row],['#_Constructed/Existing protected/fenced ponds]]*250)/WWWW[[#This Row],[Total PoP ]])</f>
        <v>0</v>
      </c>
      <c r="CD22" s="79">
        <f>WWWW[[#This Row],[% Access to unimproved water points]]*WWWW[[#This Row],[Total PoP ]]</f>
        <v>0</v>
      </c>
      <c r="CE2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G22" s="79">
        <f>WWWW[[#This Row],[HRP1]]/500</f>
        <v>0.39400000000000002</v>
      </c>
      <c r="CH22" s="78">
        <f>1-WWWW[[#This Row],[% Equitable and continuous access to sufficient quantity of domestic water]]</f>
        <v>0</v>
      </c>
      <c r="CI22" s="79">
        <f>WWWW[[#This Row],[%equitable and continuous access to sufficient quantity of safe drinking and domestic water''s GAP]]*WWWW[[#This Row],[Total PoP ]]</f>
        <v>0</v>
      </c>
      <c r="CJ22" s="80">
        <f>IF(WWWW[[#This Row],[Total required water points]]-WWWW[[#This Row],['#Water points coverage]]&lt;0,0,WWWW[[#This Row],[Total required water points]]-WWWW[[#This Row],['#Water points coverage]])</f>
        <v>0.60599999999999998</v>
      </c>
      <c r="CK22" s="80">
        <f>ROUND(IF(WWWW[[#This Row],[Total PoP ]]&lt;500,1,WWWW[[#This Row],[Total PoP ]]/500),0)</f>
        <v>1</v>
      </c>
      <c r="CL22" s="80">
        <f>(WWWW[[#This Row],['#_Constructed latrines_by_WASHAgencies]]+WWWW[[#This Row],['#_Non Cluster partner latrines]])-WWWW[[#This Row],['#_Non-functional latrines]]</f>
        <v>7</v>
      </c>
      <c r="CM2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0.71065989847715738</v>
      </c>
      <c r="CN2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2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P22" s="80">
        <f>IF(WWWW[[#This Row],[Location Type 1]]="Village","NA",IF(WWWW[[#This Row],['#_Constructed/Existing latrines in TLS]]*50&gt;WWWW[[#This Row],['#_students at TLS_CFS]],WWWW[[#This Row],['#_students at TLS_CFS]],(WWWW[[#This Row],['#_Constructed/Existing latrines in TLS]]*50)))</f>
        <v>0</v>
      </c>
      <c r="CQ22" s="80">
        <f>ROUND(IF(WWWW[[#This Row],[Location Type 1]]="camp",WWWW[[#This Row],[Total PoP ]]/20,IF(WWWW[[#This Row],[Location Type 1]]="Temporary Location",WWWW[[#This Row],[Total PoP ]]/50,(WWWW[[#This Row],[Total PoP ]]/6))),0)</f>
        <v>10</v>
      </c>
      <c r="CR22" s="79">
        <f>IF(WWWW[[#This Row],[Total required Latrines]]-(WWWW[[#This Row],['#_Constructed latrines_by_WASHAgencies]]+WWWW[[#This Row],['#_Non Cluster partner latrines]])&lt;0,0,WWWW[[#This Row],[Total required Latrines]]-(WWWW[[#This Row],['#_Constructed latrines_by_WASHAgencies]]+WWWW[[#This Row],['#_Non Cluster partner latrines]]))</f>
        <v>3</v>
      </c>
      <c r="CS22" s="78">
        <f>1-WWWW[[#This Row],[% people access to functioning Latrine]]</f>
        <v>0.28934010152284262</v>
      </c>
      <c r="CT22" s="82">
        <f>IF(OR(WWWW[[#This Row],['#_Non-functional latrines]]="",WWWW[[#This Row],['#_Non-functional latrines]]=0),0,WWWW[[#This Row],['#_Non-functional latrines]]/(WWWW[[#This Row],['#_Constructed latrines_by_WASHAgencies]]+WWWW[[#This Row],['#_Non Cluster partner latrines]]))</f>
        <v>0</v>
      </c>
      <c r="CU22" s="79">
        <f>IF(500*(WWWW[[#This Row],['#_male hygiene promoters]]+WWWW[[#This Row],['#_female hygiene promoters]])&gt;WWWW[[#This Row],[Total PoP ]],WWWW[[#This Row],[Total PoP ]],500*(WWWW[[#This Row],['#_male hygiene promoters]]+WWWW[[#This Row],['#_female hygiene promoters]]))</f>
        <v>197</v>
      </c>
      <c r="CV2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 s="80">
        <f>IF(WWWW[[#This Row],['# People with access to soap]]&gt;WWWW[[#This Row],['# People with access to Sanity Pads]],WWWW[[#This Row],['# People with access to soap]],WWWW[[#This Row],['# People with access to Sanity Pads]])</f>
        <v>0</v>
      </c>
      <c r="CY22" s="80">
        <f>IF(WWWW[[#This Row],['# people reached by regular dedicated hygiene promotion_5]]&gt;WWWW[[#This Row],['# People received regular supply of hygiene items_6]],WWWW[[#This Row],['# people reached by regular dedicated hygiene promotion_5]],WWWW[[#This Row],['# People received regular supply of hygiene items_6]])</f>
        <v>197</v>
      </c>
      <c r="CZ22" s="78">
        <f>IF(WWWW[[#This Row],[HRP3]]/WWWW[[#This Row],[Total PoP ]]&gt;100%,100%,WWWW[[#This Row],[HRP3]]/WWWW[[#This Row],[Total PoP ]])</f>
        <v>1</v>
      </c>
      <c r="DA22" s="82">
        <f>1-WWWW[[#This Row],[Hygiene Coverage%]]</f>
        <v>0</v>
      </c>
      <c r="DB22" s="81">
        <f>WWWW[[#This Row],['# people reached by regular dedicated hygiene promotion_5]]/WWWW[[#This Row],[Total PoP ]]</f>
        <v>1</v>
      </c>
      <c r="DC22" s="81">
        <f>IF(WWWW[[#This Row],['#_households that received standard amount of soap for this quarter]]/WWWW[[#This Row],[Total HH]]&gt;1,1,WWWW[[#This Row],['#_households that received standard amount of soap for this quarter]]/WWWW[[#This Row],[Total HH]])</f>
        <v>0</v>
      </c>
      <c r="DD22" s="81">
        <f>IF(WWWW[[#This Row],['#_households that received standard amount of sanitary pads for this quarter]]/WWWW[[#This Row],[Total HH]]&gt;1,1,WWWW[[#This Row],['#_households that received standard amount of sanitary pads for this quarter]]/WWWW[[#This Row],[Total HH]])</f>
        <v>0</v>
      </c>
      <c r="DE22" s="80">
        <f>WWWW[[#This Row],['#_Constructed/Existing hand washing stations]]-WWWW[[#This Row],['#_Non-Functional_hand_washing_stations]]</f>
        <v>0</v>
      </c>
      <c r="DF22" s="757">
        <f>IF(WWWW[[#This Row],['# Functional hand washing stations during reporting period]]*20&gt;WWWW[[#This Row],[Total HH]],WWWW[[#This Row],[Total HH]],WWWW[[#This Row],['# Functional hand washing stations during reporting period]]*20)</f>
        <v>0</v>
      </c>
      <c r="DG22" s="79">
        <f>IF(WWWW[[#This Row],[Is sufficient soap available for TLS? (Yes/No)]]="yes",WWWW[[#This Row],['#_Constructed/Existing hand washing stations at TLS]],0)</f>
        <v>0</v>
      </c>
      <c r="DH22" s="578">
        <f>IF(WWWW[[#This Row],['# Functional hand washing stations during reporting period]]*100&gt;WWWW[[#This Row],[Total PoP ]],WWWW[[#This Row],[Total PoP ]],WWWW[[#This Row],['# Functional hand washing stations during reporting period]]*100)</f>
        <v>0</v>
      </c>
      <c r="DI22" s="578" t="str">
        <f>IF(OR(WWWW[[#This Row],['#_students at TLS_CFS]]="",WWWW[[#This Row],['#_students at TLS_CFS]]=0),"No","Yes")</f>
        <v>No</v>
      </c>
      <c r="DJ22" s="231" t="str">
        <f>VLOOKUP(WWWW[[#This Row],[Site Name]],SiteDB6[[Site Name]:[CCCM Management]],6,FALSE)</f>
        <v>Yes</v>
      </c>
      <c r="DK22" s="231" t="str">
        <f>VLOOKUP(WWWW[[#This Row],[Site Name]],SiteDB6[[Site Name]:[CCCM Focal Agency]],7,FALSE)</f>
        <v>KBC</v>
      </c>
      <c r="DL22" s="231" t="str">
        <f>VLOOKUP(WWWW[[#This Row],[Site Name]],SiteDB6[[Site Name]:[Location Type 1]],9,FALSE)</f>
        <v>Camp</v>
      </c>
      <c r="DM22" s="231" t="str">
        <f>VLOOKUP(WWWW[[#This Row],[Site Name]],SiteDB6[[Site Name]:[Type of Accommodation]],10,FALSE)</f>
        <v>Camp</v>
      </c>
      <c r="DN22" s="231" t="str">
        <f>VLOOKUP(WWWW[[#This Row],[Site Name]],SiteDB6[[Site Name]:[Ethnic or GCA/NGCA]],11,FALSE)</f>
        <v>GCA</v>
      </c>
      <c r="DO22" s="231">
        <f>VLOOKUP(WWWW[[#This Row],[Site Name]],SiteDB6[[Site Name]:[Lat]],12,FALSE)</f>
        <v>25.395974089999999</v>
      </c>
      <c r="DP22" s="231">
        <f>VLOOKUP(WWWW[[#This Row],[Site Name]],SiteDB6[[Site Name]:[Long]],13,FALSE)</f>
        <v>97.382997579999994</v>
      </c>
      <c r="DQ22" s="231" t="str">
        <f>VLOOKUP(WWWW[[#This Row],[Site Name]],SiteDB6[[Site Name]:[Pcode]],3,FALSE)</f>
        <v>MMR001CMP010</v>
      </c>
      <c r="DR22" s="207" t="str">
        <f t="shared" si="1"/>
        <v>Covered</v>
      </c>
      <c r="DS22" s="207"/>
      <c r="DT22" s="20"/>
      <c r="DU22" s="20"/>
      <c r="DV22" s="20"/>
      <c r="DW22" s="20"/>
      <c r="DX22" s="20"/>
      <c r="DY22" s="20"/>
      <c r="DZ22" s="20"/>
      <c r="EA22" s="20"/>
      <c r="EB22" s="20"/>
      <c r="EC22" s="20"/>
      <c r="ED22" s="20"/>
      <c r="EE22" s="20"/>
      <c r="EF22" s="20"/>
      <c r="EG22" s="20"/>
      <c r="EH22" s="20"/>
    </row>
    <row r="23" spans="1:138" ht="15.75" customHeight="1">
      <c r="A23" s="238" t="s">
        <v>2518</v>
      </c>
      <c r="B23" s="574" t="s">
        <v>250</v>
      </c>
      <c r="C23" s="574" t="s">
        <v>250</v>
      </c>
      <c r="D23" s="574" t="s">
        <v>315</v>
      </c>
      <c r="E23" s="574" t="s">
        <v>39</v>
      </c>
      <c r="F23" s="574" t="s">
        <v>154</v>
      </c>
      <c r="G23" s="574" t="str">
        <f>VLOOKUP(WWWW[[#This Row],[Site Name]],SiteDB6[[Site Name]:[Location Type]],8,FALSE)</f>
        <v>Camp</v>
      </c>
      <c r="H23" s="574" t="s">
        <v>255</v>
      </c>
      <c r="I23" s="583">
        <v>205</v>
      </c>
      <c r="J23" s="583">
        <v>856</v>
      </c>
      <c r="K23" s="553">
        <v>43313</v>
      </c>
      <c r="L23" s="77">
        <v>44043</v>
      </c>
      <c r="M23" s="583"/>
      <c r="N23" s="583">
        <v>1</v>
      </c>
      <c r="O23" s="583"/>
      <c r="P23" s="583"/>
      <c r="Q23" s="574" t="s">
        <v>43</v>
      </c>
      <c r="R23" s="310">
        <v>4</v>
      </c>
      <c r="S23" s="310">
        <v>2</v>
      </c>
      <c r="T23" s="310">
        <v>0</v>
      </c>
      <c r="U23" s="310"/>
      <c r="V23" s="310"/>
      <c r="W23" s="310">
        <v>0</v>
      </c>
      <c r="X23" s="310"/>
      <c r="Y23" s="310"/>
      <c r="Z23" s="310"/>
      <c r="AA23" s="310">
        <v>0</v>
      </c>
      <c r="AB23" s="310"/>
      <c r="AC23" s="310"/>
      <c r="AD23" s="310"/>
      <c r="AE23" s="310"/>
      <c r="AF23" s="310"/>
      <c r="AG23" s="310"/>
      <c r="AH23" s="310">
        <v>2</v>
      </c>
      <c r="AI23" s="310"/>
      <c r="AJ23" s="310"/>
      <c r="AK23" s="310"/>
      <c r="AL23" s="310"/>
      <c r="AM23" s="310"/>
      <c r="AN23" s="310"/>
      <c r="AO23" s="207"/>
      <c r="AP23" s="310">
        <v>47</v>
      </c>
      <c r="AQ23" s="310">
        <v>14</v>
      </c>
      <c r="AR23" s="76" t="s">
        <v>3108</v>
      </c>
      <c r="AS23" s="310">
        <v>0</v>
      </c>
      <c r="AT23" s="310">
        <v>0</v>
      </c>
      <c r="AU23" s="310">
        <v>0</v>
      </c>
      <c r="AV23" s="310">
        <v>0</v>
      </c>
      <c r="AW23" s="583">
        <v>0</v>
      </c>
      <c r="AX23" s="581" t="s">
        <v>144</v>
      </c>
      <c r="AY23" s="231" t="s">
        <v>1200</v>
      </c>
      <c r="AZ23" s="310">
        <v>0</v>
      </c>
      <c r="BA23" s="310">
        <v>0</v>
      </c>
      <c r="BB23" s="310">
        <v>0</v>
      </c>
      <c r="BC23" s="207"/>
      <c r="BD23" s="310">
        <v>3</v>
      </c>
      <c r="BE23" s="310">
        <v>3</v>
      </c>
      <c r="BF23" s="310">
        <v>0</v>
      </c>
      <c r="BG23" s="310">
        <v>12</v>
      </c>
      <c r="BH23" s="310">
        <v>12</v>
      </c>
      <c r="BI23" s="310">
        <v>4</v>
      </c>
      <c r="BJ23" s="310">
        <v>2</v>
      </c>
      <c r="BK23" s="310">
        <v>0</v>
      </c>
      <c r="BL23" s="310">
        <v>0</v>
      </c>
      <c r="BM23" s="207" t="s">
        <v>144</v>
      </c>
      <c r="BN23" s="79">
        <v>0</v>
      </c>
      <c r="BO23" s="81">
        <v>0.2</v>
      </c>
      <c r="BP23" s="207"/>
      <c r="BQ23" s="78" t="str">
        <f>IFERROR(WWWW[[#This Row],['#_Water sources treated]]/WWWW[[#This Row],['#_Water sources tested for contamination]],"no test")</f>
        <v>no test</v>
      </c>
      <c r="BR23" s="81" t="str">
        <f>IFERROR(WWWW[[#This Row],['#_Household received remediation action due to contamination]]/WWWW[[#This Row],['#_Household water samples tested for contamination]],"no test")</f>
        <v>no test</v>
      </c>
      <c r="BS23" s="80" t="str">
        <f>IF(AND(WWWW[[#This Row],[% of water sources treated]]="no test",WWWW[[#This Row],[% Household received corrective actions]]="no test"),"No Test","Tested")</f>
        <v>No Test</v>
      </c>
      <c r="BT23" s="80">
        <f>WWWW[[#This Row],['#_Constructed/existing protected hand dug well]]-WWWW[[#This Row],['#_Non-functional protected hand dug well]]</f>
        <v>0</v>
      </c>
      <c r="BU23" s="80">
        <f>(WWWW[[#This Row],['#_Constructed/Existing tube wells/boreholes/handpumps_WASH_agency]]+WWWW[[#This Row],['#_Non-Cluster partner water tube-wells/boreholes/handpumps]])-WWWW[[#This Row],['#_Non-functional tube wells/boreholes/handpumps]]</f>
        <v>0</v>
      </c>
      <c r="BV23" s="80">
        <f>WWWW[[#This Row],['#_Constructed/Existingwater storage tank with gravity fed reticulation system]]-WWWW[[#This Row],['#_Non-functional storage tank gravity fed reticulation system]]</f>
        <v>0</v>
      </c>
      <c r="BW23" s="80">
        <f>WWWW[[#This Row],['#_Water boating or water trucking]]</f>
        <v>0</v>
      </c>
      <c r="BX23" s="80">
        <f>WWWW[[#This Row],['#_Constructed/Existing water distribution system from river or natural spring]]</f>
        <v>0</v>
      </c>
      <c r="BY2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 s="81">
        <f>IF(WWWW[[#This Row],[Location Type 1]]="Village",WWWW[[#This Row],[Access to safe drinking water for Village]],WWWW[[#This Row],[Access to safe drinking water for Camp]])</f>
        <v>0</v>
      </c>
      <c r="CB23" s="79">
        <f>WWWW[[#This Row],[%Equitable and continuous access to sufficient quantity of safe drinking water]]*WWWW[[#This Row],[Total PoP ]]</f>
        <v>0</v>
      </c>
      <c r="CC23" s="81">
        <f>IF((WWWW[[#This Row],['#_Constructed/Existing protected/fenced ponds]]*250)/WWWW[[#This Row],[Total PoP ]]&gt;1,1,(WWWW[[#This Row],['#_Constructed/Existing protected/fenced ponds]]*250)/WWWW[[#This Row],[Total PoP ]])</f>
        <v>0</v>
      </c>
      <c r="CD23" s="79">
        <f>WWWW[[#This Row],[% Access to unimproved water points]]*WWWW[[#This Row],[Total PoP ]]</f>
        <v>0</v>
      </c>
      <c r="CE2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 s="79">
        <f>WWWW[[#This Row],[HRP1]]/500</f>
        <v>0</v>
      </c>
      <c r="CH23" s="78">
        <f>1-WWWW[[#This Row],[% Equitable and continuous access to sufficient quantity of domestic water]]</f>
        <v>1</v>
      </c>
      <c r="CI23" s="79">
        <f>WWWW[[#This Row],[%equitable and continuous access to sufficient quantity of safe drinking and domestic water''s GAP]]*WWWW[[#This Row],[Total PoP ]]</f>
        <v>856</v>
      </c>
      <c r="CJ23" s="80">
        <f>IF(WWWW[[#This Row],[Total required water points]]-WWWW[[#This Row],['#Water points coverage]]&lt;0,0,WWWW[[#This Row],[Total required water points]]-WWWW[[#This Row],['#Water points coverage]])</f>
        <v>2</v>
      </c>
      <c r="CK23" s="80">
        <f>ROUND(IF(WWWW[[#This Row],[Total PoP ]]&lt;500,1,WWWW[[#This Row],[Total PoP ]]/500),0)</f>
        <v>2</v>
      </c>
      <c r="CL23" s="80">
        <f>(WWWW[[#This Row],['#_Constructed latrines_by_WASHAgencies]]+WWWW[[#This Row],['#_Non Cluster partner latrines]])-WWWW[[#This Row],['#_Non-functional latrines]]</f>
        <v>61</v>
      </c>
      <c r="CM2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856</v>
      </c>
      <c r="CO2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3" s="80">
        <f>IF(WWWW[[#This Row],[Location Type 1]]="Village","NA",IF(WWWW[[#This Row],['#_Constructed/Existing latrines in TLS]]*50&gt;WWWW[[#This Row],['#_students at TLS_CFS]],WWWW[[#This Row],['#_students at TLS_CFS]],(WWWW[[#This Row],['#_Constructed/Existing latrines in TLS]]*50)))</f>
        <v>0</v>
      </c>
      <c r="CQ23" s="80">
        <f>ROUND(IF(WWWW[[#This Row],[Location Type 1]]="camp",WWWW[[#This Row],[Total PoP ]]/20,IF(WWWW[[#This Row],[Location Type 1]]="Temporary Location",WWWW[[#This Row],[Total PoP ]]/50,(WWWW[[#This Row],[Total PoP ]]/6))),0)</f>
        <v>43</v>
      </c>
      <c r="CR23" s="79">
        <f>IF(WWWW[[#This Row],[Total required Latrines]]-(WWWW[[#This Row],['#_Constructed latrines_by_WASHAgencies]]+WWWW[[#This Row],['#_Non Cluster partner latrines]])&lt;0,0,WWWW[[#This Row],[Total required Latrines]]-(WWWW[[#This Row],['#_Constructed latrines_by_WASHAgencies]]+WWWW[[#This Row],['#_Non Cluster partner latrines]]))</f>
        <v>0</v>
      </c>
      <c r="CS23" s="78">
        <f>1-WWWW[[#This Row],[% people access to functioning Latrine]]</f>
        <v>0</v>
      </c>
      <c r="CT23" s="82">
        <f>IF(OR(WWWW[[#This Row],['#_Non-functional latrines]]="",WWWW[[#This Row],['#_Non-functional latrines]]=0),0,WWWW[[#This Row],['#_Non-functional latrines]]/(WWWW[[#This Row],['#_Constructed latrines_by_WASHAgencies]]+WWWW[[#This Row],['#_Non Cluster partner latrines]]))</f>
        <v>0</v>
      </c>
      <c r="CU23" s="79">
        <f>IF(500*(WWWW[[#This Row],['#_male hygiene promoters]]+WWWW[[#This Row],['#_female hygiene promoters]])&gt;WWWW[[#This Row],[Total PoP ]],WWWW[[#This Row],[Total PoP ]],500*(WWWW[[#This Row],['#_male hygiene promoters]]+WWWW[[#This Row],['#_female hygiene promoters]]))</f>
        <v>856</v>
      </c>
      <c r="CV2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 s="80">
        <f>IF(WWWW[[#This Row],['# People with access to soap]]&gt;WWWW[[#This Row],['# People with access to Sanity Pads]],WWWW[[#This Row],['# People with access to soap]],WWWW[[#This Row],['# People with access to Sanity Pads]])</f>
        <v>0</v>
      </c>
      <c r="CY23" s="80">
        <f>IF(WWWW[[#This Row],['# people reached by regular dedicated hygiene promotion_5]]&gt;WWWW[[#This Row],['# People received regular supply of hygiene items_6]],WWWW[[#This Row],['# people reached by regular dedicated hygiene promotion_5]],WWWW[[#This Row],['# People received regular supply of hygiene items_6]])</f>
        <v>856</v>
      </c>
      <c r="CZ23" s="78">
        <f>IF(WWWW[[#This Row],[HRP3]]/WWWW[[#This Row],[Total PoP ]]&gt;100%,100%,WWWW[[#This Row],[HRP3]]/WWWW[[#This Row],[Total PoP ]])</f>
        <v>1</v>
      </c>
      <c r="DA23" s="82">
        <f>1-WWWW[[#This Row],[Hygiene Coverage%]]</f>
        <v>0</v>
      </c>
      <c r="DB23" s="81">
        <f>WWWW[[#This Row],['# people reached by regular dedicated hygiene promotion_5]]/WWWW[[#This Row],[Total PoP ]]</f>
        <v>1</v>
      </c>
      <c r="DC23" s="81">
        <f>IF(WWWW[[#This Row],['#_households that received standard amount of soap for this quarter]]/WWWW[[#This Row],[Total HH]]&gt;1,1,WWWW[[#This Row],['#_households that received standard amount of soap for this quarter]]/WWWW[[#This Row],[Total HH]])</f>
        <v>0</v>
      </c>
      <c r="DD23" s="81">
        <f>IF(WWWW[[#This Row],['#_households that received standard amount of sanitary pads for this quarter]]/WWWW[[#This Row],[Total HH]]&gt;1,1,WWWW[[#This Row],['#_households that received standard amount of sanitary pads for this quarter]]/WWWW[[#This Row],[Total HH]])</f>
        <v>0</v>
      </c>
      <c r="DE23" s="80">
        <f>WWWW[[#This Row],['#_Constructed/Existing hand washing stations]]-WWWW[[#This Row],['#_Non-Functional_hand_washing_stations]]</f>
        <v>0</v>
      </c>
      <c r="DF23" s="757">
        <f>IF(WWWW[[#This Row],['# Functional hand washing stations during reporting period]]*20&gt;WWWW[[#This Row],[Total HH]],WWWW[[#This Row],[Total HH]],WWWW[[#This Row],['# Functional hand washing stations during reporting period]]*20)</f>
        <v>0</v>
      </c>
      <c r="DG23" s="79">
        <f>IF(WWWW[[#This Row],[Is sufficient soap available for TLS? (Yes/No)]]="yes",WWWW[[#This Row],['#_Constructed/Existing hand washing stations at TLS]],0)</f>
        <v>0</v>
      </c>
      <c r="DH23" s="578">
        <f>IF(WWWW[[#This Row],['# Functional hand washing stations during reporting period]]*100&gt;WWWW[[#This Row],[Total PoP ]],WWWW[[#This Row],[Total PoP ]],WWWW[[#This Row],['# Functional hand washing stations during reporting period]]*100)</f>
        <v>0</v>
      </c>
      <c r="DI23" s="578" t="str">
        <f>IF(OR(WWWW[[#This Row],['#_students at TLS_CFS]]="",WWWW[[#This Row],['#_students at TLS_CFS]]=0),"No","Yes")</f>
        <v>No</v>
      </c>
      <c r="DJ23" s="231" t="str">
        <f>VLOOKUP(WWWW[[#This Row],[Site Name]],SiteDB6[[Site Name]:[CCCM Management]],6,FALSE)</f>
        <v>Yes</v>
      </c>
      <c r="DK23" s="231" t="str">
        <f>VLOOKUP(WWWW[[#This Row],[Site Name]],SiteDB6[[Site Name]:[CCCM Focal Agency]],7,FALSE)</f>
        <v>Shalom</v>
      </c>
      <c r="DL23" s="231" t="str">
        <f>VLOOKUP(WWWW[[#This Row],[Site Name]],SiteDB6[[Site Name]:[Location Type 1]],9,FALSE)</f>
        <v>Camp</v>
      </c>
      <c r="DM23" s="231" t="str">
        <f>VLOOKUP(WWWW[[#This Row],[Site Name]],SiteDB6[[Site Name]:[Type of Accommodation]],10,FALSE)</f>
        <v>Camp</v>
      </c>
      <c r="DN23" s="231" t="str">
        <f>VLOOKUP(WWWW[[#This Row],[Site Name]],SiteDB6[[Site Name]:[Ethnic or GCA/NGCA]],11,FALSE)</f>
        <v>GCA</v>
      </c>
      <c r="DO23" s="231">
        <f>VLOOKUP(WWWW[[#This Row],[Site Name]],SiteDB6[[Site Name]:[Lat]],12,FALSE)</f>
        <v>25.887339999999998</v>
      </c>
      <c r="DP23" s="231">
        <f>VLOOKUP(WWWW[[#This Row],[Site Name]],SiteDB6[[Site Name]:[Long]],13,FALSE)</f>
        <v>98.129990000000006</v>
      </c>
      <c r="DQ23" s="231" t="str">
        <f>VLOOKUP(WWWW[[#This Row],[Site Name]],SiteDB6[[Site Name]:[Pcode]],3,FALSE)</f>
        <v>MMR001CMP195</v>
      </c>
      <c r="DR23" s="207" t="str">
        <f t="shared" si="1"/>
        <v>Covered</v>
      </c>
      <c r="DS23" s="207"/>
      <c r="DT23" s="20"/>
      <c r="DU23" s="20"/>
      <c r="DV23" s="20"/>
      <c r="DW23" s="20"/>
      <c r="DX23" s="20"/>
      <c r="DY23" s="20"/>
      <c r="DZ23" s="20"/>
      <c r="EA23" s="20"/>
      <c r="EB23" s="20"/>
      <c r="EC23" s="20"/>
      <c r="ED23" s="20"/>
      <c r="EE23" s="20"/>
      <c r="EF23" s="20"/>
      <c r="EG23" s="20"/>
      <c r="EH23" s="20"/>
    </row>
    <row r="24" spans="1:138" ht="15.75" customHeight="1">
      <c r="A24" s="238" t="s">
        <v>2518</v>
      </c>
      <c r="B24" s="574" t="s">
        <v>317</v>
      </c>
      <c r="C24" s="574" t="s">
        <v>317</v>
      </c>
      <c r="D24" s="574"/>
      <c r="E24" s="574" t="s">
        <v>39</v>
      </c>
      <c r="F24" s="574" t="s">
        <v>156</v>
      </c>
      <c r="G24" s="574" t="str">
        <f>VLOOKUP(WWWW[[#This Row],[Site Name]],SiteDB6[[Site Name]:[Location Type]],8,FALSE)</f>
        <v>Camp</v>
      </c>
      <c r="H24" s="76" t="s">
        <v>238</v>
      </c>
      <c r="I24" s="583">
        <v>70</v>
      </c>
      <c r="J24" s="583">
        <v>350</v>
      </c>
      <c r="K24" s="553"/>
      <c r="L24" s="77"/>
      <c r="M24" s="583"/>
      <c r="N24" s="583"/>
      <c r="O24" s="583"/>
      <c r="P24" s="583"/>
      <c r="Q24" s="76"/>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207"/>
      <c r="AP24" s="310"/>
      <c r="AQ24" s="310"/>
      <c r="AR24" s="76"/>
      <c r="AS24" s="310"/>
      <c r="AT24" s="310"/>
      <c r="AU24" s="310"/>
      <c r="AV24" s="310"/>
      <c r="AW24" s="310"/>
      <c r="AX24" s="231"/>
      <c r="AY24" s="231"/>
      <c r="AZ24" s="310"/>
      <c r="BA24" s="310"/>
      <c r="BB24" s="310"/>
      <c r="BC24" s="207"/>
      <c r="BD24" s="310"/>
      <c r="BE24" s="310"/>
      <c r="BF24" s="310"/>
      <c r="BG24" s="310"/>
      <c r="BH24" s="310"/>
      <c r="BI24" s="310"/>
      <c r="BJ24" s="310"/>
      <c r="BK24" s="310"/>
      <c r="BL24" s="310"/>
      <c r="BM24" s="207"/>
      <c r="BN24" s="79"/>
      <c r="BO24" s="81"/>
      <c r="BP24" s="207"/>
      <c r="BQ24" s="78" t="str">
        <f>IFERROR(WWWW[[#This Row],['#_Water sources treated]]/WWWW[[#This Row],['#_Water sources tested for contamination]],"no test")</f>
        <v>no test</v>
      </c>
      <c r="BR24" s="81" t="str">
        <f>IFERROR(WWWW[[#This Row],['#_Household received remediation action due to contamination]]/WWWW[[#This Row],['#_Household water samples tested for contamination]],"no test")</f>
        <v>no test</v>
      </c>
      <c r="BS24" s="80" t="str">
        <f>IF(AND(WWWW[[#This Row],[% of water sources treated]]="no test",WWWW[[#This Row],[% Household received corrective actions]]="no test"),"No Test","Tested")</f>
        <v>No Test</v>
      </c>
      <c r="BT24" s="80">
        <f>WWWW[[#This Row],['#_Constructed/existing protected hand dug well]]-WWWW[[#This Row],['#_Non-functional protected hand dug well]]</f>
        <v>0</v>
      </c>
      <c r="BU24" s="80">
        <f>(WWWW[[#This Row],['#_Constructed/Existing tube wells/boreholes/handpumps_WASH_agency]]+WWWW[[#This Row],['#_Non-Cluster partner water tube-wells/boreholes/handpumps]])-WWWW[[#This Row],['#_Non-functional tube wells/boreholes/handpumps]]</f>
        <v>0</v>
      </c>
      <c r="BV24" s="80">
        <f>WWWW[[#This Row],['#_Constructed/Existingwater storage tank with gravity fed reticulation system]]-WWWW[[#This Row],['#_Non-functional storage tank gravity fed reticulation system]]</f>
        <v>0</v>
      </c>
      <c r="BW24" s="80">
        <f>WWWW[[#This Row],['#_Water boating or water trucking]]</f>
        <v>0</v>
      </c>
      <c r="BX24" s="80">
        <f>WWWW[[#This Row],['#_Constructed/Existing water distribution system from river or natural spring]]</f>
        <v>0</v>
      </c>
      <c r="BY2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 s="81">
        <f>IF(WWWW[[#This Row],[Location Type 1]]="Village",WWWW[[#This Row],[Access to safe drinking water for Village]],WWWW[[#This Row],[Access to safe drinking water for Camp]])</f>
        <v>0</v>
      </c>
      <c r="CB24" s="79">
        <f>WWWW[[#This Row],[%Equitable and continuous access to sufficient quantity of safe drinking water]]*WWWW[[#This Row],[Total PoP ]]</f>
        <v>0</v>
      </c>
      <c r="CC24" s="81">
        <f>IF((WWWW[[#This Row],['#_Constructed/Existing protected/fenced ponds]]*250)/WWWW[[#This Row],[Total PoP ]]&gt;1,1,(WWWW[[#This Row],['#_Constructed/Existing protected/fenced ponds]]*250)/WWWW[[#This Row],[Total PoP ]])</f>
        <v>0</v>
      </c>
      <c r="CD24" s="79">
        <f>WWWW[[#This Row],[% Access to unimproved water points]]*WWWW[[#This Row],[Total PoP ]]</f>
        <v>0</v>
      </c>
      <c r="CE2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 s="79">
        <f>WWWW[[#This Row],[HRP1]]/500</f>
        <v>0</v>
      </c>
      <c r="CH24" s="78">
        <f>1-WWWW[[#This Row],[% Equitable and continuous access to sufficient quantity of domestic water]]</f>
        <v>1</v>
      </c>
      <c r="CI24" s="79">
        <f>WWWW[[#This Row],[%equitable and continuous access to sufficient quantity of safe drinking and domestic water''s GAP]]*WWWW[[#This Row],[Total PoP ]]</f>
        <v>350</v>
      </c>
      <c r="CJ24" s="80">
        <f>IF(WWWW[[#This Row],[Total required water points]]-WWWW[[#This Row],['#Water points coverage]]&lt;0,0,WWWW[[#This Row],[Total required water points]]-WWWW[[#This Row],['#Water points coverage]])</f>
        <v>1</v>
      </c>
      <c r="CK24" s="80">
        <f>ROUND(IF(WWWW[[#This Row],[Total PoP ]]&lt;500,1,WWWW[[#This Row],[Total PoP ]]/500),0)</f>
        <v>1</v>
      </c>
      <c r="CL24" s="80">
        <f>(WWWW[[#This Row],['#_Constructed latrines_by_WASHAgencies]]+WWWW[[#This Row],['#_Non Cluster partner latrines]])-WWWW[[#This Row],['#_Non-functional latrines]]</f>
        <v>0</v>
      </c>
      <c r="CM2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4" s="80">
        <f>IF(WWWW[[#This Row],[Location Type 1]]="Village","NA",IF(WWWW[[#This Row],['#_Constructed/Existing latrines in TLS]]*50&gt;WWWW[[#This Row],['#_students at TLS_CFS]],WWWW[[#This Row],['#_students at TLS_CFS]],(WWWW[[#This Row],['#_Constructed/Existing latrines in TLS]]*50)))</f>
        <v>0</v>
      </c>
      <c r="CQ24" s="80">
        <f>ROUND(IF(WWWW[[#This Row],[Location Type 1]]="camp",WWWW[[#This Row],[Total PoP ]]/20,IF(WWWW[[#This Row],[Location Type 1]]="Temporary Location",WWWW[[#This Row],[Total PoP ]]/50,(WWWW[[#This Row],[Total PoP ]]/6))),0)</f>
        <v>18</v>
      </c>
      <c r="CR24" s="79">
        <f>IF(WWWW[[#This Row],[Total required Latrines]]-(WWWW[[#This Row],['#_Constructed latrines_by_WASHAgencies]]+WWWW[[#This Row],['#_Non Cluster partner latrines]])&lt;0,0,WWWW[[#This Row],[Total required Latrines]]-(WWWW[[#This Row],['#_Constructed latrines_by_WASHAgencies]]+WWWW[[#This Row],['#_Non Cluster partner latrines]]))</f>
        <v>18</v>
      </c>
      <c r="CS24" s="78">
        <f>1-WWWW[[#This Row],[% people access to functioning Latrine]]</f>
        <v>1</v>
      </c>
      <c r="CT24" s="82">
        <f>IF(OR(WWWW[[#This Row],['#_Non-functional latrines]]="",WWWW[[#This Row],['#_Non-functional latrines]]=0),0,WWWW[[#This Row],['#_Non-functional latrines]]/(WWWW[[#This Row],['#_Constructed latrines_by_WASHAgencies]]+WWWW[[#This Row],['#_Non Cluster partner latrines]]))</f>
        <v>0</v>
      </c>
      <c r="CU24" s="79">
        <f>IF(500*(WWWW[[#This Row],['#_male hygiene promoters]]+WWWW[[#This Row],['#_female hygiene promoters]])&gt;WWWW[[#This Row],[Total PoP ]],WWWW[[#This Row],[Total PoP ]],500*(WWWW[[#This Row],['#_male hygiene promoters]]+WWWW[[#This Row],['#_female hygiene promoters]]))</f>
        <v>0</v>
      </c>
      <c r="CV2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 s="80">
        <f>IF(WWWW[[#This Row],['# People with access to soap]]&gt;WWWW[[#This Row],['# People with access to Sanity Pads]],WWWW[[#This Row],['# People with access to soap]],WWWW[[#This Row],['# People with access to Sanity Pads]])</f>
        <v>0</v>
      </c>
      <c r="CY2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 s="78">
        <f>IF(WWWW[[#This Row],[HRP3]]/WWWW[[#This Row],[Total PoP ]]&gt;100%,100%,WWWW[[#This Row],[HRP3]]/WWWW[[#This Row],[Total PoP ]])</f>
        <v>0</v>
      </c>
      <c r="DA24" s="82">
        <f>1-WWWW[[#This Row],[Hygiene Coverage%]]</f>
        <v>1</v>
      </c>
      <c r="DB24" s="81">
        <f>WWWW[[#This Row],['# people reached by regular dedicated hygiene promotion_5]]/WWWW[[#This Row],[Total PoP ]]</f>
        <v>0</v>
      </c>
      <c r="DC24" s="81">
        <f>IF(WWWW[[#This Row],['#_households that received standard amount of soap for this quarter]]/WWWW[[#This Row],[Total HH]]&gt;1,1,WWWW[[#This Row],['#_households that received standard amount of soap for this quarter]]/WWWW[[#This Row],[Total HH]])</f>
        <v>0</v>
      </c>
      <c r="DD24" s="81">
        <f>IF(WWWW[[#This Row],['#_households that received standard amount of sanitary pads for this quarter]]/WWWW[[#This Row],[Total HH]]&gt;1,1,WWWW[[#This Row],['#_households that received standard amount of sanitary pads for this quarter]]/WWWW[[#This Row],[Total HH]])</f>
        <v>0</v>
      </c>
      <c r="DE24" s="80">
        <f>WWWW[[#This Row],['#_Constructed/Existing hand washing stations]]-WWWW[[#This Row],['#_Non-Functional_hand_washing_stations]]</f>
        <v>0</v>
      </c>
      <c r="DF24" s="757">
        <f>IF(WWWW[[#This Row],['# Functional hand washing stations during reporting period]]*20&gt;WWWW[[#This Row],[Total HH]],WWWW[[#This Row],[Total HH]],WWWW[[#This Row],['# Functional hand washing stations during reporting period]]*20)</f>
        <v>0</v>
      </c>
      <c r="DG24" s="79">
        <f>IF(WWWW[[#This Row],[Is sufficient soap available for TLS? (Yes/No)]]="yes",WWWW[[#This Row],['#_Constructed/Existing hand washing stations at TLS]],0)</f>
        <v>0</v>
      </c>
      <c r="DH24" s="578">
        <f>IF(WWWW[[#This Row],['# Functional hand washing stations during reporting period]]*100&gt;WWWW[[#This Row],[Total PoP ]],WWWW[[#This Row],[Total PoP ]],WWWW[[#This Row],['# Functional hand washing stations during reporting period]]*100)</f>
        <v>0</v>
      </c>
      <c r="DI24" s="578" t="str">
        <f>IF(OR(WWWW[[#This Row],['#_students at TLS_CFS]]="",WWWW[[#This Row],['#_students at TLS_CFS]]=0),"No","Yes")</f>
        <v>No</v>
      </c>
      <c r="DJ24" s="231" t="str">
        <f>VLOOKUP(WWWW[[#This Row],[Site Name]],SiteDB6[[Site Name]:[CCCM Management]],6,FALSE)</f>
        <v>Yes</v>
      </c>
      <c r="DK24" s="231" t="str">
        <f>VLOOKUP(WWWW[[#This Row],[Site Name]],SiteDB6[[Site Name]:[CCCM Focal Agency]],7,FALSE)</f>
        <v>KMSS-MYT</v>
      </c>
      <c r="DL24" s="231" t="str">
        <f>VLOOKUP(WWWW[[#This Row],[Site Name]],SiteDB6[[Site Name]:[Location Type 1]],9,FALSE)</f>
        <v>Camp</v>
      </c>
      <c r="DM24" s="231" t="str">
        <f>VLOOKUP(WWWW[[#This Row],[Site Name]],SiteDB6[[Site Name]:[Type of Accommodation]],10,FALSE)</f>
        <v>Camp</v>
      </c>
      <c r="DN24" s="231" t="str">
        <f>VLOOKUP(WWWW[[#This Row],[Site Name]],SiteDB6[[Site Name]:[Ethnic or GCA/NGCA]],11,FALSE)</f>
        <v>GCA</v>
      </c>
      <c r="DO24" s="231">
        <f>VLOOKUP(WWWW[[#This Row],[Site Name]],SiteDB6[[Site Name]:[Lat]],12,FALSE)</f>
        <v>25.656009999999998</v>
      </c>
      <c r="DP24" s="231">
        <f>VLOOKUP(WWWW[[#This Row],[Site Name]],SiteDB6[[Site Name]:[Long]],13,FALSE)</f>
        <v>96.361609999999999</v>
      </c>
      <c r="DQ24" s="231" t="str">
        <f>VLOOKUP(WWWW[[#This Row],[Site Name]],SiteDB6[[Site Name]:[Pcode]],3,FALSE)</f>
        <v>MMR001CMP168</v>
      </c>
      <c r="DR24" s="207" t="str">
        <f t="shared" si="1"/>
        <v>Notcovered</v>
      </c>
      <c r="DS24" s="207"/>
      <c r="DT24" s="20"/>
      <c r="DU24" s="20"/>
      <c r="DV24" s="20"/>
      <c r="DW24" s="20"/>
      <c r="DX24" s="20"/>
      <c r="DY24" s="20"/>
      <c r="DZ24" s="20"/>
      <c r="EA24" s="20"/>
      <c r="EB24" s="20"/>
      <c r="EC24" s="20"/>
      <c r="ED24" s="20"/>
      <c r="EE24" s="20"/>
      <c r="EF24" s="20"/>
      <c r="EG24" s="20"/>
      <c r="EH24" s="20"/>
    </row>
    <row r="25" spans="1:138" ht="15.75" customHeight="1">
      <c r="A25" s="238" t="s">
        <v>2518</v>
      </c>
      <c r="B25" s="574" t="s">
        <v>2975</v>
      </c>
      <c r="C25" s="574" t="s">
        <v>2975</v>
      </c>
      <c r="D25" s="574" t="s">
        <v>2976</v>
      </c>
      <c r="E25" s="574" t="s">
        <v>39</v>
      </c>
      <c r="F25" s="574" t="s">
        <v>213</v>
      </c>
      <c r="G25" s="574" t="str">
        <f>VLOOKUP(WWWW[[#This Row],[Site Name]],SiteDB6[[Site Name]:[Location Type]],8,FALSE)</f>
        <v>Camp</v>
      </c>
      <c r="H25" s="574" t="s">
        <v>225</v>
      </c>
      <c r="I25" s="583">
        <v>718</v>
      </c>
      <c r="J25" s="583">
        <v>3652</v>
      </c>
      <c r="K25" s="553" t="s">
        <v>2977</v>
      </c>
      <c r="L25" s="77" t="s">
        <v>2978</v>
      </c>
      <c r="M25" s="583">
        <v>772</v>
      </c>
      <c r="N25" s="583">
        <v>0</v>
      </c>
      <c r="O25" s="583">
        <v>0</v>
      </c>
      <c r="P25" s="583">
        <v>0</v>
      </c>
      <c r="Q25" s="574" t="s">
        <v>43</v>
      </c>
      <c r="R25" s="583">
        <v>0</v>
      </c>
      <c r="S25" s="583">
        <v>0</v>
      </c>
      <c r="T25" s="583">
        <v>3</v>
      </c>
      <c r="U25" s="583"/>
      <c r="V25" s="583"/>
      <c r="W25" s="583"/>
      <c r="X25" s="583"/>
      <c r="Y25" s="583"/>
      <c r="Z25" s="583"/>
      <c r="AA25" s="583">
        <v>2</v>
      </c>
      <c r="AB25" s="583"/>
      <c r="AC25" s="583"/>
      <c r="AD25" s="583"/>
      <c r="AE25" s="583"/>
      <c r="AF25" s="583"/>
      <c r="AG25" s="583"/>
      <c r="AH25" s="583">
        <v>1</v>
      </c>
      <c r="AI25" s="583">
        <v>1</v>
      </c>
      <c r="AJ25" s="583">
        <v>0</v>
      </c>
      <c r="AK25" s="583">
        <v>1</v>
      </c>
      <c r="AL25" s="583">
        <v>0</v>
      </c>
      <c r="AM25" s="583"/>
      <c r="AN25" s="583"/>
      <c r="AO25" s="207"/>
      <c r="AP25" s="310">
        <v>300</v>
      </c>
      <c r="AQ25" s="310"/>
      <c r="AR25" s="76"/>
      <c r="AS25" s="310"/>
      <c r="AT25" s="310">
        <v>2</v>
      </c>
      <c r="AU25" s="310"/>
      <c r="AV25" s="310"/>
      <c r="AW25" s="310"/>
      <c r="AX25" s="231" t="s">
        <v>43</v>
      </c>
      <c r="AY25" s="231" t="s">
        <v>145</v>
      </c>
      <c r="AZ25" s="310">
        <v>6</v>
      </c>
      <c r="BA25" s="310"/>
      <c r="BB25" s="310"/>
      <c r="BC25" s="207"/>
      <c r="BD25" s="310">
        <v>50</v>
      </c>
      <c r="BE25" s="310"/>
      <c r="BF25" s="310"/>
      <c r="BG25" s="310">
        <v>22</v>
      </c>
      <c r="BH25" s="310"/>
      <c r="BI25" s="310"/>
      <c r="BJ25" s="310">
        <v>3</v>
      </c>
      <c r="BK25" s="310">
        <v>0</v>
      </c>
      <c r="BL25" s="310">
        <v>0</v>
      </c>
      <c r="BM25" s="207" t="s">
        <v>144</v>
      </c>
      <c r="BN25" s="79"/>
      <c r="BO25" s="81"/>
      <c r="BP25" s="207"/>
      <c r="BQ25" s="78">
        <f>IFERROR(WWWW[[#This Row],['#_Water sources treated]]/WWWW[[#This Row],['#_Water sources tested for contamination]],"no test")</f>
        <v>0</v>
      </c>
      <c r="BR25" s="81">
        <f>IFERROR(WWWW[[#This Row],['#_Household received remediation action due to contamination]]/WWWW[[#This Row],['#_Household water samples tested for contamination]],"no test")</f>
        <v>0</v>
      </c>
      <c r="BS25" s="80" t="str">
        <f>IF(AND(WWWW[[#This Row],[% of water sources treated]]="no test",WWWW[[#This Row],[% Household received corrective actions]]="no test"),"No Test","Tested")</f>
        <v>Tested</v>
      </c>
      <c r="BT25" s="80">
        <f>WWWW[[#This Row],['#_Constructed/existing protected hand dug well]]-WWWW[[#This Row],['#_Non-functional protected hand dug well]]</f>
        <v>3</v>
      </c>
      <c r="BU25" s="80">
        <f>(WWWW[[#This Row],['#_Constructed/Existing tube wells/boreholes/handpumps_WASH_agency]]+WWWW[[#This Row],['#_Non-Cluster partner water tube-wells/boreholes/handpumps]])-WWWW[[#This Row],['#_Non-functional tube wells/boreholes/handpumps]]</f>
        <v>0</v>
      </c>
      <c r="BV25" s="80">
        <f>WWWW[[#This Row],['#_Constructed/Existingwater storage tank with gravity fed reticulation system]]-WWWW[[#This Row],['#_Non-functional storage tank gravity fed reticulation system]]</f>
        <v>2</v>
      </c>
      <c r="BW25" s="80">
        <f>WWWW[[#This Row],['#_Water boating or water trucking]]</f>
        <v>0</v>
      </c>
      <c r="BX25" s="80">
        <f>WWWW[[#This Row],['#_Constructed/Existing water distribution system from river or natural spring]]</f>
        <v>0</v>
      </c>
      <c r="BY2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0.36509675063891928</v>
      </c>
      <c r="BZ2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0.24187659729828406</v>
      </c>
      <c r="CA25" s="81">
        <f>IF(WWWW[[#This Row],[Location Type 1]]="Village",WWWW[[#This Row],[Access to safe drinking water for Village]],WWWW[[#This Row],[Access to safe drinking water for Camp]])</f>
        <v>0.36509675063891928</v>
      </c>
      <c r="CB25" s="79">
        <f>WWWW[[#This Row],[%Equitable and continuous access to sufficient quantity of safe drinking water]]*WWWW[[#This Row],[Total PoP ]]</f>
        <v>1333.3333333333333</v>
      </c>
      <c r="CC25" s="81">
        <f>IF((WWWW[[#This Row],['#_Constructed/Existing protected/fenced ponds]]*250)/WWWW[[#This Row],[Total PoP ]]&gt;1,1,(WWWW[[#This Row],['#_Constructed/Existing protected/fenced ponds]]*250)/WWWW[[#This Row],[Total PoP ]])</f>
        <v>0</v>
      </c>
      <c r="CD25" s="79">
        <f>WWWW[[#This Row],[% Access to unimproved water points]]*WWWW[[#This Row],[Total PoP ]]</f>
        <v>0</v>
      </c>
      <c r="CE2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0.36509675063891928</v>
      </c>
      <c r="CF2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1333.3333333333333</v>
      </c>
      <c r="CG25" s="79">
        <f>WWWW[[#This Row],[HRP1]]/500</f>
        <v>2.6666666666666665</v>
      </c>
      <c r="CH25" s="78">
        <f>1-WWWW[[#This Row],[% Equitable and continuous access to sufficient quantity of domestic water]]</f>
        <v>0.63490324936108067</v>
      </c>
      <c r="CI25" s="79">
        <f>WWWW[[#This Row],[%equitable and continuous access to sufficient quantity of safe drinking and domestic water''s GAP]]*WWWW[[#This Row],[Total PoP ]]</f>
        <v>2318.6666666666665</v>
      </c>
      <c r="CJ25" s="80">
        <f>IF(WWWW[[#This Row],[Total required water points]]-WWWW[[#This Row],['#Water points coverage]]&lt;0,0,WWWW[[#This Row],[Total required water points]]-WWWW[[#This Row],['#Water points coverage]])</f>
        <v>4.3333333333333339</v>
      </c>
      <c r="CK25" s="80">
        <f>ROUND(IF(WWWW[[#This Row],[Total PoP ]]&lt;500,1,WWWW[[#This Row],[Total PoP ]]/500),0)</f>
        <v>7</v>
      </c>
      <c r="CL25" s="80">
        <f>(WWWW[[#This Row],['#_Constructed latrines_by_WASHAgencies]]+WWWW[[#This Row],['#_Non Cluster partner latrines]])-WWWW[[#This Row],['#_Non-functional latrines]]</f>
        <v>300</v>
      </c>
      <c r="CM2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3652</v>
      </c>
      <c r="CO2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5" s="80">
        <f>IF(WWWW[[#This Row],[Location Type 1]]="Village","NA",IF(WWWW[[#This Row],['#_Constructed/Existing latrines in TLS]]*50&gt;WWWW[[#This Row],['#_students at TLS_CFS]],WWWW[[#This Row],['#_students at TLS_CFS]],(WWWW[[#This Row],['#_Constructed/Existing latrines in TLS]]*50)))</f>
        <v>0</v>
      </c>
      <c r="CQ25" s="80">
        <f>ROUND(IF(WWWW[[#This Row],[Location Type 1]]="camp",WWWW[[#This Row],[Total PoP ]]/20,IF(WWWW[[#This Row],[Location Type 1]]="Temporary Location",WWWW[[#This Row],[Total PoP ]]/50,(WWWW[[#This Row],[Total PoP ]]/6))),0)</f>
        <v>183</v>
      </c>
      <c r="CR25" s="79">
        <f>IF(WWWW[[#This Row],[Total required Latrines]]-(WWWW[[#This Row],['#_Constructed latrines_by_WASHAgencies]]+WWWW[[#This Row],['#_Non Cluster partner latrines]])&lt;0,0,WWWW[[#This Row],[Total required Latrines]]-(WWWW[[#This Row],['#_Constructed latrines_by_WASHAgencies]]+WWWW[[#This Row],['#_Non Cluster partner latrines]]))</f>
        <v>0</v>
      </c>
      <c r="CS25" s="78">
        <f>1-WWWW[[#This Row],[% people access to functioning Latrine]]</f>
        <v>0</v>
      </c>
      <c r="CT25" s="82">
        <f>IF(OR(WWWW[[#This Row],['#_Non-functional latrines]]="",WWWW[[#This Row],['#_Non-functional latrines]]=0),0,WWWW[[#This Row],['#_Non-functional latrines]]/(WWWW[[#This Row],['#_Constructed latrines_by_WASHAgencies]]+WWWW[[#This Row],['#_Non Cluster partner latrines]]))</f>
        <v>0</v>
      </c>
      <c r="CU25" s="79">
        <f>IF(500*(WWWW[[#This Row],['#_male hygiene promoters]]+WWWW[[#This Row],['#_female hygiene promoters]])&gt;WWWW[[#This Row],[Total PoP ]],WWWW[[#This Row],[Total PoP ]],500*(WWWW[[#This Row],['#_male hygiene promoters]]+WWWW[[#This Row],['#_female hygiene promoters]]))</f>
        <v>1500</v>
      </c>
      <c r="CV2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 s="80">
        <f>IF(WWWW[[#This Row],['# People with access to soap]]&gt;WWWW[[#This Row],['# People with access to Sanity Pads]],WWWW[[#This Row],['# People with access to soap]],WWWW[[#This Row],['# People with access to Sanity Pads]])</f>
        <v>0</v>
      </c>
      <c r="CY25" s="80">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25" s="78">
        <f>IF(WWWW[[#This Row],[HRP3]]/WWWW[[#This Row],[Total PoP ]]&gt;100%,100%,WWWW[[#This Row],[HRP3]]/WWWW[[#This Row],[Total PoP ]])</f>
        <v>0.41073384446878425</v>
      </c>
      <c r="DA25" s="82">
        <f>1-WWWW[[#This Row],[Hygiene Coverage%]]</f>
        <v>0.58926615553121575</v>
      </c>
      <c r="DB25" s="81">
        <f>WWWW[[#This Row],['# people reached by regular dedicated hygiene promotion_5]]/WWWW[[#This Row],[Total PoP ]]</f>
        <v>0.41073384446878425</v>
      </c>
      <c r="DC25" s="81">
        <f>IF(WWWW[[#This Row],['#_households that received standard amount of soap for this quarter]]/WWWW[[#This Row],[Total HH]]&gt;1,1,WWWW[[#This Row],['#_households that received standard amount of soap for this quarter]]/WWWW[[#This Row],[Total HH]])</f>
        <v>0</v>
      </c>
      <c r="DD25" s="81">
        <f>IF(WWWW[[#This Row],['#_households that received standard amount of sanitary pads for this quarter]]/WWWW[[#This Row],[Total HH]]&gt;1,1,WWWW[[#This Row],['#_households that received standard amount of sanitary pads for this quarter]]/WWWW[[#This Row],[Total HH]])</f>
        <v>0</v>
      </c>
      <c r="DE25" s="80">
        <f>WWWW[[#This Row],['#_Constructed/Existing hand washing stations]]-WWWW[[#This Row],['#_Non-Functional_hand_washing_stations]]</f>
        <v>50</v>
      </c>
      <c r="DF25" s="757">
        <f>IF(WWWW[[#This Row],['# Functional hand washing stations during reporting period]]*20&gt;WWWW[[#This Row],[Total HH]],WWWW[[#This Row],[Total HH]],WWWW[[#This Row],['# Functional hand washing stations during reporting period]]*20)</f>
        <v>718</v>
      </c>
      <c r="DG25" s="79">
        <f>IF(WWWW[[#This Row],[Is sufficient soap available for TLS? (Yes/No)]]="yes",WWWW[[#This Row],['#_Constructed/Existing hand washing stations at TLS]],0)</f>
        <v>0</v>
      </c>
      <c r="DH25" s="578">
        <f>IF(WWWW[[#This Row],['# Functional hand washing stations during reporting period]]*100&gt;WWWW[[#This Row],[Total PoP ]],WWWW[[#This Row],[Total PoP ]],WWWW[[#This Row],['# Functional hand washing stations during reporting period]]*100)</f>
        <v>3652</v>
      </c>
      <c r="DI25" s="578" t="str">
        <f>IF(OR(WWWW[[#This Row],['#_students at TLS_CFS]]="",WWWW[[#This Row],['#_students at TLS_CFS]]=0),"No","Yes")</f>
        <v>Yes</v>
      </c>
      <c r="DJ25" s="231" t="str">
        <f>VLOOKUP(WWWW[[#This Row],[Site Name]],SiteDB6[[Site Name]:[CCCM Management]],6,FALSE)</f>
        <v>Yes</v>
      </c>
      <c r="DK25" s="231" t="str">
        <f>VLOOKUP(WWWW[[#This Row],[Site Name]],SiteDB6[[Site Name]:[CCCM Focal Agency]],7,FALSE)</f>
        <v>KMSS-MYT</v>
      </c>
      <c r="DL25" s="231" t="str">
        <f>VLOOKUP(WWWW[[#This Row],[Site Name]],SiteDB6[[Site Name]:[Location Type 1]],9,FALSE)</f>
        <v>Camp</v>
      </c>
      <c r="DM25" s="231" t="str">
        <f>VLOOKUP(WWWW[[#This Row],[Site Name]],SiteDB6[[Site Name]:[Type of Accommodation]],10,FALSE)</f>
        <v>Camp</v>
      </c>
      <c r="DN25" s="231" t="str">
        <f>VLOOKUP(WWWW[[#This Row],[Site Name]],SiteDB6[[Site Name]:[Ethnic or GCA/NGCA]],11,FALSE)</f>
        <v>NGCA</v>
      </c>
      <c r="DO25" s="231">
        <f>VLOOKUP(WWWW[[#This Row],[Site Name]],SiteDB6[[Site Name]:[Lat]],12,FALSE)</f>
        <v>24.661905999999998</v>
      </c>
      <c r="DP25" s="231">
        <f>VLOOKUP(WWWW[[#This Row],[Site Name]],SiteDB6[[Site Name]:[Long]],13,FALSE)</f>
        <v>97.573126000000002</v>
      </c>
      <c r="DQ25" s="231" t="str">
        <f>VLOOKUP(WWWW[[#This Row],[Site Name]],SiteDB6[[Site Name]:[Pcode]],3,FALSE)</f>
        <v>MMR001CMP122</v>
      </c>
      <c r="DR25" s="207" t="str">
        <f t="shared" si="1"/>
        <v>Covered</v>
      </c>
      <c r="DS25" s="207"/>
      <c r="DT25" s="20"/>
      <c r="DU25" s="20"/>
      <c r="DV25" s="20"/>
      <c r="DW25" s="20"/>
      <c r="DX25" s="20"/>
      <c r="DY25" s="20"/>
      <c r="DZ25" s="20"/>
      <c r="EA25" s="20"/>
      <c r="EB25" s="20"/>
      <c r="EC25" s="20"/>
      <c r="ED25" s="20"/>
      <c r="EE25" s="20"/>
      <c r="EF25" s="20"/>
      <c r="EG25" s="20"/>
      <c r="EH25" s="20"/>
    </row>
    <row r="26" spans="1:138" ht="15.75" customHeight="1">
      <c r="A26" s="238" t="s">
        <v>2518</v>
      </c>
      <c r="B26" s="574" t="s">
        <v>38</v>
      </c>
      <c r="C26" s="574" t="s">
        <v>38</v>
      </c>
      <c r="D26" s="574" t="s">
        <v>3101</v>
      </c>
      <c r="E26" s="574" t="s">
        <v>39</v>
      </c>
      <c r="F26" s="574" t="s">
        <v>167</v>
      </c>
      <c r="G26" s="574" t="str">
        <f>VLOOKUP(WWWW[[#This Row],[Site Name]],SiteDB6[[Site Name]:[Location Type]],8,FALSE)</f>
        <v>Camp</v>
      </c>
      <c r="H26" s="574" t="s">
        <v>241</v>
      </c>
      <c r="I26" s="583">
        <v>90</v>
      </c>
      <c r="J26" s="583">
        <v>430</v>
      </c>
      <c r="K26" s="553">
        <v>43466</v>
      </c>
      <c r="L26" s="77" t="s">
        <v>2974</v>
      </c>
      <c r="M26" s="583"/>
      <c r="N26" s="583"/>
      <c r="O26" s="583"/>
      <c r="P26" s="583"/>
      <c r="Q26" s="574" t="s">
        <v>43</v>
      </c>
      <c r="R26" s="583"/>
      <c r="S26" s="583"/>
      <c r="T26" s="583">
        <v>1</v>
      </c>
      <c r="U26" s="583"/>
      <c r="V26" s="583"/>
      <c r="W26" s="583"/>
      <c r="X26" s="583"/>
      <c r="Y26" s="583"/>
      <c r="Z26" s="583"/>
      <c r="AA26" s="583"/>
      <c r="AB26" s="583"/>
      <c r="AC26" s="583"/>
      <c r="AD26" s="583"/>
      <c r="AE26" s="583"/>
      <c r="AF26" s="583"/>
      <c r="AG26" s="583"/>
      <c r="AH26" s="583"/>
      <c r="AI26" s="583"/>
      <c r="AJ26" s="583"/>
      <c r="AK26" s="583"/>
      <c r="AL26" s="583"/>
      <c r="AM26" s="583"/>
      <c r="AN26" s="583"/>
      <c r="AO26" s="578"/>
      <c r="AP26" s="601">
        <v>22</v>
      </c>
      <c r="AQ26" s="574"/>
      <c r="AR26" s="574"/>
      <c r="AS26" s="578"/>
      <c r="AT26" s="574"/>
      <c r="AU26" s="578"/>
      <c r="AV26" s="578"/>
      <c r="AW26" s="80"/>
      <c r="AX26" s="80" t="s">
        <v>43</v>
      </c>
      <c r="AY26" s="80" t="s">
        <v>145</v>
      </c>
      <c r="AZ26" s="80"/>
      <c r="BA26" s="80"/>
      <c r="BB26" s="578"/>
      <c r="BC26" s="578"/>
      <c r="BD26" s="578"/>
      <c r="BE26" s="578"/>
      <c r="BF26" s="578"/>
      <c r="BG26" s="602">
        <v>3</v>
      </c>
      <c r="BH26" s="578"/>
      <c r="BI26" s="583"/>
      <c r="BJ26" s="583">
        <v>2</v>
      </c>
      <c r="BK26" s="603">
        <v>40</v>
      </c>
      <c r="BL26" s="578"/>
      <c r="BM26" s="578"/>
      <c r="BN26" s="578"/>
      <c r="BO26" s="81"/>
      <c r="BP26" s="578"/>
      <c r="BQ26" s="78" t="str">
        <f>IFERROR(WWWW[[#This Row],['#_Water sources treated]]/WWWW[[#This Row],['#_Water sources tested for contamination]],"no test")</f>
        <v>no test</v>
      </c>
      <c r="BR26" s="81" t="str">
        <f>IFERROR(WWWW[[#This Row],['#_Household received remediation action due to contamination]]/WWWW[[#This Row],['#_Household water samples tested for contamination]],"no test")</f>
        <v>no test</v>
      </c>
      <c r="BS26" s="80" t="str">
        <f>IF(AND(WWWW[[#This Row],[% of water sources treated]]="no test",WWWW[[#This Row],[% Household received corrective actions]]="no test"),"No Test","Tested")</f>
        <v>No Test</v>
      </c>
      <c r="BT26" s="80">
        <f>WWWW[[#This Row],['#_Constructed/existing protected hand dug well]]-WWWW[[#This Row],['#_Non-functional protected hand dug well]]</f>
        <v>1</v>
      </c>
      <c r="BU26" s="80">
        <f>(WWWW[[#This Row],['#_Constructed/Existing tube wells/boreholes/handpumps_WASH_agency]]+WWWW[[#This Row],['#_Non-Cluster partner water tube-wells/boreholes/handpumps]])-WWWW[[#This Row],['#_Non-functional tube wells/boreholes/handpumps]]</f>
        <v>0</v>
      </c>
      <c r="BV26" s="80">
        <f>WWWW[[#This Row],['#_Constructed/Existingwater storage tank with gravity fed reticulation system]]-WWWW[[#This Row],['#_Non-functional storage tank gravity fed reticulation system]]</f>
        <v>0</v>
      </c>
      <c r="BW26" s="80">
        <f>WWWW[[#This Row],['#_Water boating or water trucking]]</f>
        <v>0</v>
      </c>
      <c r="BX26" s="80">
        <f>WWWW[[#This Row],['#_Constructed/Existing water distribution system from river or natural spring]]</f>
        <v>0</v>
      </c>
      <c r="BY2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0.93023255813953487</v>
      </c>
      <c r="BZ2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0.58139534883720934</v>
      </c>
      <c r="CA26" s="81">
        <f>IF(WWWW[[#This Row],[Location Type 1]]="Village",WWWW[[#This Row],[Access to safe drinking water for Village]],WWWW[[#This Row],[Access to safe drinking water for Camp]])</f>
        <v>0.93023255813953487</v>
      </c>
      <c r="CB26" s="79">
        <f>WWWW[[#This Row],[%Equitable and continuous access to sufficient quantity of safe drinking water]]*WWWW[[#This Row],[Total PoP ]]</f>
        <v>400</v>
      </c>
      <c r="CC26" s="81">
        <f>IF((WWWW[[#This Row],['#_Constructed/Existing protected/fenced ponds]]*250)/WWWW[[#This Row],[Total PoP ]]&gt;1,1,(WWWW[[#This Row],['#_Constructed/Existing protected/fenced ponds]]*250)/WWWW[[#This Row],[Total PoP ]])</f>
        <v>0</v>
      </c>
      <c r="CD26" s="79">
        <f>WWWW[[#This Row],[% Access to unimproved water points]]*WWWW[[#This Row],[Total PoP ]]</f>
        <v>0</v>
      </c>
      <c r="CE2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F2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26" s="79">
        <f>WWWW[[#This Row],[HRP1]]/500</f>
        <v>0.8</v>
      </c>
      <c r="CH26" s="78">
        <f>1-WWWW[[#This Row],[% Equitable and continuous access to sufficient quantity of domestic water]]</f>
        <v>6.9767441860465129E-2</v>
      </c>
      <c r="CI26" s="79">
        <f>WWWW[[#This Row],[%equitable and continuous access to sufficient quantity of safe drinking and domestic water''s GAP]]*WWWW[[#This Row],[Total PoP ]]</f>
        <v>30.000000000000007</v>
      </c>
      <c r="CJ26" s="80">
        <f>IF(WWWW[[#This Row],[Total required water points]]-WWWW[[#This Row],['#Water points coverage]]&lt;0,0,WWWW[[#This Row],[Total required water points]]-WWWW[[#This Row],['#Water points coverage]])</f>
        <v>0.19999999999999996</v>
      </c>
      <c r="CK26" s="80">
        <f>ROUND(IF(WWWW[[#This Row],[Total PoP ]]&lt;500,1,WWWW[[#This Row],[Total PoP ]]/500),0)</f>
        <v>1</v>
      </c>
      <c r="CL26" s="80">
        <f>(WWWW[[#This Row],['#_Constructed latrines_by_WASHAgencies]]+WWWW[[#This Row],['#_Non Cluster partner latrines]])-WWWW[[#This Row],['#_Non-functional latrines]]</f>
        <v>22</v>
      </c>
      <c r="CM2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430</v>
      </c>
      <c r="CO2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6" s="80">
        <f>IF(WWWW[[#This Row],[Location Type 1]]="Village","NA",IF(WWWW[[#This Row],['#_Constructed/Existing latrines in TLS]]*50&gt;WWWW[[#This Row],['#_students at TLS_CFS]],WWWW[[#This Row],['#_students at TLS_CFS]],(WWWW[[#This Row],['#_Constructed/Existing latrines in TLS]]*50)))</f>
        <v>0</v>
      </c>
      <c r="CQ26" s="80">
        <f>ROUND(IF(WWWW[[#This Row],[Location Type 1]]="camp",WWWW[[#This Row],[Total PoP ]]/20,IF(WWWW[[#This Row],[Location Type 1]]="Temporary Location",WWWW[[#This Row],[Total PoP ]]/50,(WWWW[[#This Row],[Total PoP ]]/6))),0)</f>
        <v>22</v>
      </c>
      <c r="CR26" s="79">
        <f>IF(WWWW[[#This Row],[Total required Latrines]]-(WWWW[[#This Row],['#_Constructed latrines_by_WASHAgencies]]+WWWW[[#This Row],['#_Non Cluster partner latrines]])&lt;0,0,WWWW[[#This Row],[Total required Latrines]]-(WWWW[[#This Row],['#_Constructed latrines_by_WASHAgencies]]+WWWW[[#This Row],['#_Non Cluster partner latrines]]))</f>
        <v>0</v>
      </c>
      <c r="CS26" s="78">
        <f>1-WWWW[[#This Row],[% people access to functioning Latrine]]</f>
        <v>0</v>
      </c>
      <c r="CT26" s="82">
        <f>IF(OR(WWWW[[#This Row],['#_Non-functional latrines]]="",WWWW[[#This Row],['#_Non-functional latrines]]=0),0,WWWW[[#This Row],['#_Non-functional latrines]]/(WWWW[[#This Row],['#_Constructed latrines_by_WASHAgencies]]+WWWW[[#This Row],['#_Non Cluster partner latrines]]))</f>
        <v>0</v>
      </c>
      <c r="CU26" s="79">
        <f>IF(500*(WWWW[[#This Row],['#_male hygiene promoters]]+WWWW[[#This Row],['#_female hygiene promoters]])&gt;WWWW[[#This Row],[Total PoP ]],WWWW[[#This Row],[Total PoP ]],500*(WWWW[[#This Row],['#_male hygiene promoters]]+WWWW[[#This Row],['#_female hygiene promoters]]))</f>
        <v>430</v>
      </c>
      <c r="CV2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2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 s="80">
        <f>IF(WWWW[[#This Row],['# People with access to soap]]&gt;WWWW[[#This Row],['# People with access to Sanity Pads]],WWWW[[#This Row],['# People with access to soap]],WWWW[[#This Row],['# People with access to Sanity Pads]])</f>
        <v>200</v>
      </c>
      <c r="CY26" s="80">
        <f>IF(WWWW[[#This Row],['# people reached by regular dedicated hygiene promotion_5]]&gt;WWWW[[#This Row],['# People received regular supply of hygiene items_6]],WWWW[[#This Row],['# people reached by regular dedicated hygiene promotion_5]],WWWW[[#This Row],['# People received regular supply of hygiene items_6]])</f>
        <v>430</v>
      </c>
      <c r="CZ26" s="78">
        <f>IF(WWWW[[#This Row],[HRP3]]/WWWW[[#This Row],[Total PoP ]]&gt;100%,100%,WWWW[[#This Row],[HRP3]]/WWWW[[#This Row],[Total PoP ]])</f>
        <v>1</v>
      </c>
      <c r="DA26" s="82">
        <f>1-WWWW[[#This Row],[Hygiene Coverage%]]</f>
        <v>0</v>
      </c>
      <c r="DB26" s="81">
        <f>WWWW[[#This Row],['# people reached by regular dedicated hygiene promotion_5]]/WWWW[[#This Row],[Total PoP ]]</f>
        <v>1</v>
      </c>
      <c r="DC26" s="81">
        <f>IF(WWWW[[#This Row],['#_households that received standard amount of soap for this quarter]]/WWWW[[#This Row],[Total HH]]&gt;1,1,WWWW[[#This Row],['#_households that received standard amount of soap for this quarter]]/WWWW[[#This Row],[Total HH]])</f>
        <v>0.44444444444444442</v>
      </c>
      <c r="DD26" s="81">
        <f>IF(WWWW[[#This Row],['#_households that received standard amount of sanitary pads for this quarter]]/WWWW[[#This Row],[Total HH]]&gt;1,1,WWWW[[#This Row],['#_households that received standard amount of sanitary pads for this quarter]]/WWWW[[#This Row],[Total HH]])</f>
        <v>0</v>
      </c>
      <c r="DE26" s="80">
        <f>WWWW[[#This Row],['#_Constructed/Existing hand washing stations]]-WWWW[[#This Row],['#_Non-Functional_hand_washing_stations]]</f>
        <v>0</v>
      </c>
      <c r="DF26" s="757">
        <f>IF(WWWW[[#This Row],['# Functional hand washing stations during reporting period]]*20&gt;WWWW[[#This Row],[Total HH]],WWWW[[#This Row],[Total HH]],WWWW[[#This Row],['# Functional hand washing stations during reporting period]]*20)</f>
        <v>0</v>
      </c>
      <c r="DG26" s="79">
        <f>IF(WWWW[[#This Row],[Is sufficient soap available for TLS? (Yes/No)]]="yes",WWWW[[#This Row],['#_Constructed/Existing hand washing stations at TLS]],0)</f>
        <v>0</v>
      </c>
      <c r="DH26" s="578">
        <f>IF(WWWW[[#This Row],['# Functional hand washing stations during reporting period]]*100&gt;WWWW[[#This Row],[Total PoP ]],WWWW[[#This Row],[Total PoP ]],WWWW[[#This Row],['# Functional hand washing stations during reporting period]]*100)</f>
        <v>0</v>
      </c>
      <c r="DI26" s="578" t="str">
        <f>IF(OR(WWWW[[#This Row],['#_students at TLS_CFS]]="",WWWW[[#This Row],['#_students at TLS_CFS]]=0),"No","Yes")</f>
        <v>No</v>
      </c>
      <c r="DJ26" s="231" t="str">
        <f>VLOOKUP(WWWW[[#This Row],[Site Name]],SiteDB6[[Site Name]:[CCCM Management]],6,FALSE)</f>
        <v>Yes</v>
      </c>
      <c r="DK26" s="231" t="str">
        <f>VLOOKUP(WWWW[[#This Row],[Site Name]],SiteDB6[[Site Name]:[CCCM Focal Agency]],7,FALSE)</f>
        <v>KMSS-MYT</v>
      </c>
      <c r="DL26" s="231" t="str">
        <f>VLOOKUP(WWWW[[#This Row],[Site Name]],SiteDB6[[Site Name]:[Location Type 1]],9,FALSE)</f>
        <v>Camp</v>
      </c>
      <c r="DM26" s="231" t="str">
        <f>VLOOKUP(WWWW[[#This Row],[Site Name]],SiteDB6[[Site Name]:[Type of Accommodation]],10,FALSE)</f>
        <v>Camp</v>
      </c>
      <c r="DN26" s="231" t="str">
        <f>VLOOKUP(WWWW[[#This Row],[Site Name]],SiteDB6[[Site Name]:[Ethnic or GCA/NGCA]],11,FALSE)</f>
        <v>GCA</v>
      </c>
      <c r="DO26" s="231">
        <f>VLOOKUP(WWWW[[#This Row],[Site Name]],SiteDB6[[Site Name]:[Lat]],12,FALSE)</f>
        <v>25.401061110000001</v>
      </c>
      <c r="DP26" s="231">
        <f>VLOOKUP(WWWW[[#This Row],[Site Name]],SiteDB6[[Site Name]:[Long]],13,FALSE)</f>
        <v>97.379594999999995</v>
      </c>
      <c r="DQ26" s="231" t="str">
        <f>VLOOKUP(WWWW[[#This Row],[Site Name]],SiteDB6[[Site Name]:[Pcode]],3,FALSE)</f>
        <v>MMR001CMP019</v>
      </c>
      <c r="DR26" s="207" t="str">
        <f t="shared" si="1"/>
        <v>Covered</v>
      </c>
      <c r="DS26" s="207"/>
      <c r="DT26" s="20"/>
      <c r="DU26" s="20"/>
      <c r="DV26" s="20"/>
      <c r="DW26" s="20"/>
      <c r="DX26" s="20"/>
      <c r="DY26" s="20"/>
      <c r="DZ26" s="20"/>
      <c r="EA26" s="20"/>
      <c r="EB26" s="20"/>
      <c r="EC26" s="20"/>
      <c r="ED26" s="20"/>
      <c r="EE26" s="20"/>
      <c r="EF26" s="20"/>
      <c r="EG26" s="20"/>
      <c r="EH26" s="20"/>
    </row>
    <row r="27" spans="1:138" ht="15.75" customHeight="1">
      <c r="A27" s="238" t="s">
        <v>2518</v>
      </c>
      <c r="B27" s="574" t="s">
        <v>250</v>
      </c>
      <c r="C27" s="574" t="s">
        <v>250</v>
      </c>
      <c r="D27" s="574" t="s">
        <v>315</v>
      </c>
      <c r="E27" s="574" t="s">
        <v>39</v>
      </c>
      <c r="F27" s="574" t="s">
        <v>156</v>
      </c>
      <c r="G27" s="574" t="str">
        <f>VLOOKUP(WWWW[[#This Row],[Site Name]],SiteDB6[[Site Name]:[Location Type]],8,FALSE)</f>
        <v>Camp</v>
      </c>
      <c r="H27" s="574" t="s">
        <v>256</v>
      </c>
      <c r="I27" s="583">
        <v>70</v>
      </c>
      <c r="J27" s="583">
        <v>371</v>
      </c>
      <c r="K27" s="553">
        <v>43313</v>
      </c>
      <c r="L27" s="77">
        <v>44043</v>
      </c>
      <c r="M27" s="583">
        <v>0</v>
      </c>
      <c r="N27" s="583">
        <v>1</v>
      </c>
      <c r="O27" s="583">
        <v>0</v>
      </c>
      <c r="P27" s="583">
        <v>0</v>
      </c>
      <c r="Q27" s="574" t="s">
        <v>43</v>
      </c>
      <c r="R27" s="310">
        <v>10</v>
      </c>
      <c r="S27" s="310">
        <v>3</v>
      </c>
      <c r="T27" s="310">
        <v>0</v>
      </c>
      <c r="U27" s="310">
        <v>0</v>
      </c>
      <c r="V27" s="310">
        <v>0</v>
      </c>
      <c r="W27" s="310">
        <v>0</v>
      </c>
      <c r="X27" s="310">
        <v>0</v>
      </c>
      <c r="Y27" s="310">
        <v>0</v>
      </c>
      <c r="Z27" s="310">
        <v>0</v>
      </c>
      <c r="AA27" s="583">
        <v>0</v>
      </c>
      <c r="AB27" s="310">
        <v>0</v>
      </c>
      <c r="AC27" s="310">
        <v>0</v>
      </c>
      <c r="AD27" s="310">
        <v>0</v>
      </c>
      <c r="AE27" s="310">
        <v>0</v>
      </c>
      <c r="AF27" s="310">
        <v>0</v>
      </c>
      <c r="AG27" s="310">
        <v>0</v>
      </c>
      <c r="AH27" s="310">
        <v>1</v>
      </c>
      <c r="AI27" s="310"/>
      <c r="AJ27" s="310"/>
      <c r="AK27" s="310"/>
      <c r="AL27" s="310"/>
      <c r="AM27" s="310">
        <v>0</v>
      </c>
      <c r="AN27" s="310">
        <v>0</v>
      </c>
      <c r="AO27" s="207"/>
      <c r="AP27" s="310">
        <v>15</v>
      </c>
      <c r="AQ27" s="310">
        <v>7</v>
      </c>
      <c r="AR27" s="76" t="s">
        <v>3109</v>
      </c>
      <c r="AS27" s="310">
        <v>0</v>
      </c>
      <c r="AT27" s="310">
        <v>2</v>
      </c>
      <c r="AU27" s="310">
        <v>0</v>
      </c>
      <c r="AV27" s="310"/>
      <c r="AW27" s="583">
        <v>0</v>
      </c>
      <c r="AX27" s="231" t="s">
        <v>43</v>
      </c>
      <c r="AY27" s="231" t="s">
        <v>145</v>
      </c>
      <c r="AZ27" s="310">
        <v>0</v>
      </c>
      <c r="BA27" s="310">
        <v>0</v>
      </c>
      <c r="BB27" s="310">
        <v>0</v>
      </c>
      <c r="BC27" s="207"/>
      <c r="BD27" s="310">
        <v>0</v>
      </c>
      <c r="BE27" s="310">
        <v>0</v>
      </c>
      <c r="BF27" s="310">
        <v>0</v>
      </c>
      <c r="BG27" s="310">
        <v>2</v>
      </c>
      <c r="BH27" s="310">
        <v>0</v>
      </c>
      <c r="BI27" s="310">
        <v>8</v>
      </c>
      <c r="BJ27" s="310">
        <v>5</v>
      </c>
      <c r="BK27" s="310">
        <v>0</v>
      </c>
      <c r="BL27" s="310">
        <v>0</v>
      </c>
      <c r="BM27" s="207" t="s">
        <v>144</v>
      </c>
      <c r="BN27" s="79">
        <v>0</v>
      </c>
      <c r="BO27" s="81">
        <v>0.1</v>
      </c>
      <c r="BP27" s="207"/>
      <c r="BQ27" s="78" t="str">
        <f>IFERROR(WWWW[[#This Row],['#_Water sources treated]]/WWWW[[#This Row],['#_Water sources tested for contamination]],"no test")</f>
        <v>no test</v>
      </c>
      <c r="BR27" s="81" t="str">
        <f>IFERROR(WWWW[[#This Row],['#_Household received remediation action due to contamination]]/WWWW[[#This Row],['#_Household water samples tested for contamination]],"no test")</f>
        <v>no test</v>
      </c>
      <c r="BS27" s="80" t="str">
        <f>IF(AND(WWWW[[#This Row],[% of water sources treated]]="no test",WWWW[[#This Row],[% Household received corrective actions]]="no test"),"No Test","Tested")</f>
        <v>No Test</v>
      </c>
      <c r="BT27" s="80">
        <f>WWWW[[#This Row],['#_Constructed/existing protected hand dug well]]-WWWW[[#This Row],['#_Non-functional protected hand dug well]]</f>
        <v>0</v>
      </c>
      <c r="BU27" s="80">
        <f>(WWWW[[#This Row],['#_Constructed/Existing tube wells/boreholes/handpumps_WASH_agency]]+WWWW[[#This Row],['#_Non-Cluster partner water tube-wells/boreholes/handpumps]])-WWWW[[#This Row],['#_Non-functional tube wells/boreholes/handpumps]]</f>
        <v>0</v>
      </c>
      <c r="BV27" s="80">
        <f>WWWW[[#This Row],['#_Constructed/Existingwater storage tank with gravity fed reticulation system]]-WWWW[[#This Row],['#_Non-functional storage tank gravity fed reticulation system]]</f>
        <v>0</v>
      </c>
      <c r="BW27" s="80">
        <f>WWWW[[#This Row],['#_Water boating or water trucking]]</f>
        <v>0</v>
      </c>
      <c r="BX27" s="80">
        <f>WWWW[[#This Row],['#_Constructed/Existing water distribution system from river or natural spring]]</f>
        <v>0</v>
      </c>
      <c r="BY2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 s="81">
        <f>IF(WWWW[[#This Row],[Location Type 1]]="Village",WWWW[[#This Row],[Access to safe drinking water for Village]],WWWW[[#This Row],[Access to safe drinking water for Camp]])</f>
        <v>0</v>
      </c>
      <c r="CB27" s="79">
        <f>WWWW[[#This Row],[%Equitable and continuous access to sufficient quantity of safe drinking water]]*WWWW[[#This Row],[Total PoP ]]</f>
        <v>0</v>
      </c>
      <c r="CC27" s="81">
        <f>IF((WWWW[[#This Row],['#_Constructed/Existing protected/fenced ponds]]*250)/WWWW[[#This Row],[Total PoP ]]&gt;1,1,(WWWW[[#This Row],['#_Constructed/Existing protected/fenced ponds]]*250)/WWWW[[#This Row],[Total PoP ]])</f>
        <v>0</v>
      </c>
      <c r="CD27" s="79">
        <f>WWWW[[#This Row],[% Access to unimproved water points]]*WWWW[[#This Row],[Total PoP ]]</f>
        <v>0</v>
      </c>
      <c r="CE2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 s="79">
        <f>WWWW[[#This Row],[HRP1]]/500</f>
        <v>0</v>
      </c>
      <c r="CH27" s="78">
        <f>1-WWWW[[#This Row],[% Equitable and continuous access to sufficient quantity of domestic water]]</f>
        <v>1</v>
      </c>
      <c r="CI27" s="79">
        <f>WWWW[[#This Row],[%equitable and continuous access to sufficient quantity of safe drinking and domestic water''s GAP]]*WWWW[[#This Row],[Total PoP ]]</f>
        <v>371</v>
      </c>
      <c r="CJ27" s="80">
        <f>IF(WWWW[[#This Row],[Total required water points]]-WWWW[[#This Row],['#Water points coverage]]&lt;0,0,WWWW[[#This Row],[Total required water points]]-WWWW[[#This Row],['#Water points coverage]])</f>
        <v>1</v>
      </c>
      <c r="CK27" s="80">
        <f>ROUND(IF(WWWW[[#This Row],[Total PoP ]]&lt;500,1,WWWW[[#This Row],[Total PoP ]]/500),0)</f>
        <v>1</v>
      </c>
      <c r="CL27" s="80">
        <f>(WWWW[[#This Row],['#_Constructed latrines_by_WASHAgencies]]+WWWW[[#This Row],['#_Non Cluster partner latrines]])-WWWW[[#This Row],['#_Non-functional latrines]]</f>
        <v>22</v>
      </c>
      <c r="CM2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371</v>
      </c>
      <c r="CO2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7" s="80">
        <f>IF(WWWW[[#This Row],[Location Type 1]]="Village","NA",IF(WWWW[[#This Row],['#_Constructed/Existing latrines in TLS]]*50&gt;WWWW[[#This Row],['#_students at TLS_CFS]],WWWW[[#This Row],['#_students at TLS_CFS]],(WWWW[[#This Row],['#_Constructed/Existing latrines in TLS]]*50)))</f>
        <v>0</v>
      </c>
      <c r="CQ27" s="80">
        <f>ROUND(IF(WWWW[[#This Row],[Location Type 1]]="camp",WWWW[[#This Row],[Total PoP ]]/20,IF(WWWW[[#This Row],[Location Type 1]]="Temporary Location",WWWW[[#This Row],[Total PoP ]]/50,(WWWW[[#This Row],[Total PoP ]]/6))),0)</f>
        <v>19</v>
      </c>
      <c r="CR27" s="79">
        <f>IF(WWWW[[#This Row],[Total required Latrines]]-(WWWW[[#This Row],['#_Constructed latrines_by_WASHAgencies]]+WWWW[[#This Row],['#_Non Cluster partner latrines]])&lt;0,0,WWWW[[#This Row],[Total required Latrines]]-(WWWW[[#This Row],['#_Constructed latrines_by_WASHAgencies]]+WWWW[[#This Row],['#_Non Cluster partner latrines]]))</f>
        <v>0</v>
      </c>
      <c r="CS27" s="78">
        <f>1-WWWW[[#This Row],[% people access to functioning Latrine]]</f>
        <v>0</v>
      </c>
      <c r="CT27" s="82">
        <f>IF(OR(WWWW[[#This Row],['#_Non-functional latrines]]="",WWWW[[#This Row],['#_Non-functional latrines]]=0),0,WWWW[[#This Row],['#_Non-functional latrines]]/(WWWW[[#This Row],['#_Constructed latrines_by_WASHAgencies]]+WWWW[[#This Row],['#_Non Cluster partner latrines]]))</f>
        <v>0</v>
      </c>
      <c r="CU27" s="79">
        <f>IF(500*(WWWW[[#This Row],['#_male hygiene promoters]]+WWWW[[#This Row],['#_female hygiene promoters]])&gt;WWWW[[#This Row],[Total PoP ]],WWWW[[#This Row],[Total PoP ]],500*(WWWW[[#This Row],['#_male hygiene promoters]]+WWWW[[#This Row],['#_female hygiene promoters]]))</f>
        <v>371</v>
      </c>
      <c r="CV2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 s="80">
        <f>IF(WWWW[[#This Row],['# People with access to soap]]&gt;WWWW[[#This Row],['# People with access to Sanity Pads]],WWWW[[#This Row],['# People with access to soap]],WWWW[[#This Row],['# People with access to Sanity Pads]])</f>
        <v>0</v>
      </c>
      <c r="CY27" s="80">
        <f>IF(WWWW[[#This Row],['# people reached by regular dedicated hygiene promotion_5]]&gt;WWWW[[#This Row],['# People received regular supply of hygiene items_6]],WWWW[[#This Row],['# people reached by regular dedicated hygiene promotion_5]],WWWW[[#This Row],['# People received regular supply of hygiene items_6]])</f>
        <v>371</v>
      </c>
      <c r="CZ27" s="78">
        <f>IF(WWWW[[#This Row],[HRP3]]/WWWW[[#This Row],[Total PoP ]]&gt;100%,100%,WWWW[[#This Row],[HRP3]]/WWWW[[#This Row],[Total PoP ]])</f>
        <v>1</v>
      </c>
      <c r="DA27" s="82">
        <f>1-WWWW[[#This Row],[Hygiene Coverage%]]</f>
        <v>0</v>
      </c>
      <c r="DB27" s="81">
        <f>WWWW[[#This Row],['# people reached by regular dedicated hygiene promotion_5]]/WWWW[[#This Row],[Total PoP ]]</f>
        <v>1</v>
      </c>
      <c r="DC27" s="81">
        <f>IF(WWWW[[#This Row],['#_households that received standard amount of soap for this quarter]]/WWWW[[#This Row],[Total HH]]&gt;1,1,WWWW[[#This Row],['#_households that received standard amount of soap for this quarter]]/WWWW[[#This Row],[Total HH]])</f>
        <v>0</v>
      </c>
      <c r="DD27" s="81">
        <f>IF(WWWW[[#This Row],['#_households that received standard amount of sanitary pads for this quarter]]/WWWW[[#This Row],[Total HH]]&gt;1,1,WWWW[[#This Row],['#_households that received standard amount of sanitary pads for this quarter]]/WWWW[[#This Row],[Total HH]])</f>
        <v>0</v>
      </c>
      <c r="DE27" s="80">
        <f>WWWW[[#This Row],['#_Constructed/Existing hand washing stations]]-WWWW[[#This Row],['#_Non-Functional_hand_washing_stations]]</f>
        <v>0</v>
      </c>
      <c r="DF27" s="757">
        <f>IF(WWWW[[#This Row],['# Functional hand washing stations during reporting period]]*20&gt;WWWW[[#This Row],[Total HH]],WWWW[[#This Row],[Total HH]],WWWW[[#This Row],['# Functional hand washing stations during reporting period]]*20)</f>
        <v>0</v>
      </c>
      <c r="DG27" s="79">
        <f>IF(WWWW[[#This Row],[Is sufficient soap available for TLS? (Yes/No)]]="yes",WWWW[[#This Row],['#_Constructed/Existing hand washing stations at TLS]],0)</f>
        <v>0</v>
      </c>
      <c r="DH27" s="578">
        <f>IF(WWWW[[#This Row],['# Functional hand washing stations during reporting period]]*100&gt;WWWW[[#This Row],[Total PoP ]],WWWW[[#This Row],[Total PoP ]],WWWW[[#This Row],['# Functional hand washing stations during reporting period]]*100)</f>
        <v>0</v>
      </c>
      <c r="DI27" s="578" t="str">
        <f>IF(OR(WWWW[[#This Row],['#_students at TLS_CFS]]="",WWWW[[#This Row],['#_students at TLS_CFS]]=0),"No","Yes")</f>
        <v>No</v>
      </c>
      <c r="DJ27" s="231" t="str">
        <f>VLOOKUP(WWWW[[#This Row],[Site Name]],SiteDB6[[Site Name]:[CCCM Management]],6,FALSE)</f>
        <v>Yes</v>
      </c>
      <c r="DK27" s="231" t="str">
        <f>VLOOKUP(WWWW[[#This Row],[Site Name]],SiteDB6[[Site Name]:[CCCM Focal Agency]],7,FALSE)</f>
        <v>Shalom</v>
      </c>
      <c r="DL27" s="231" t="str">
        <f>VLOOKUP(WWWW[[#This Row],[Site Name]],SiteDB6[[Site Name]:[Location Type 1]],9,FALSE)</f>
        <v>Camp</v>
      </c>
      <c r="DM27" s="231" t="str">
        <f>VLOOKUP(WWWW[[#This Row],[Site Name]],SiteDB6[[Site Name]:[Type of Accommodation]],10,FALSE)</f>
        <v>Camp</v>
      </c>
      <c r="DN27" s="231" t="str">
        <f>VLOOKUP(WWWW[[#This Row],[Site Name]],SiteDB6[[Site Name]:[Ethnic or GCA/NGCA]],11,FALSE)</f>
        <v>GCA</v>
      </c>
      <c r="DO27" s="231">
        <f>VLOOKUP(WWWW[[#This Row],[Site Name]],SiteDB6[[Site Name]:[Lat]],12,FALSE)</f>
        <v>25.635300000000001</v>
      </c>
      <c r="DP27" s="231">
        <f>VLOOKUP(WWWW[[#This Row],[Site Name]],SiteDB6[[Site Name]:[Long]],13,FALSE)</f>
        <v>96.345569999999995</v>
      </c>
      <c r="DQ27" s="231" t="str">
        <f>VLOOKUP(WWWW[[#This Row],[Site Name]],SiteDB6[[Site Name]:[Pcode]],3,FALSE)</f>
        <v>MMR001CMP176</v>
      </c>
      <c r="DR27" s="207" t="str">
        <f t="shared" si="1"/>
        <v>Covered</v>
      </c>
      <c r="DS27" s="207"/>
      <c r="DT27" s="20"/>
      <c r="DU27" s="20"/>
      <c r="DV27" s="20"/>
      <c r="DW27" s="20"/>
      <c r="DX27" s="20"/>
      <c r="DY27" s="20"/>
      <c r="DZ27" s="20"/>
      <c r="EA27" s="20"/>
      <c r="EB27" s="20"/>
      <c r="EC27" s="20"/>
      <c r="ED27" s="20"/>
      <c r="EE27" s="20"/>
      <c r="EF27" s="20"/>
      <c r="EG27" s="20"/>
      <c r="EH27" s="20"/>
    </row>
    <row r="28" spans="1:138" ht="15.75" customHeight="1">
      <c r="A28" s="238" t="s">
        <v>2518</v>
      </c>
      <c r="B28" s="574" t="s">
        <v>250</v>
      </c>
      <c r="C28" s="574" t="s">
        <v>250</v>
      </c>
      <c r="D28" s="574" t="s">
        <v>315</v>
      </c>
      <c r="E28" s="574" t="s">
        <v>39</v>
      </c>
      <c r="F28" s="574" t="s">
        <v>156</v>
      </c>
      <c r="G28" s="574" t="str">
        <f>VLOOKUP(WWWW[[#This Row],[Site Name]],SiteDB6[[Site Name]:[Location Type]],8,FALSE)</f>
        <v>Camp</v>
      </c>
      <c r="H28" s="574" t="s">
        <v>257</v>
      </c>
      <c r="I28" s="583">
        <v>13</v>
      </c>
      <c r="J28" s="583">
        <v>83</v>
      </c>
      <c r="K28" s="553">
        <v>43313</v>
      </c>
      <c r="L28" s="77">
        <v>44043</v>
      </c>
      <c r="M28" s="583">
        <v>0</v>
      </c>
      <c r="N28" s="583">
        <v>1</v>
      </c>
      <c r="O28" s="583">
        <v>0</v>
      </c>
      <c r="P28" s="583">
        <v>0</v>
      </c>
      <c r="Q28" s="574" t="s">
        <v>43</v>
      </c>
      <c r="R28" s="310">
        <v>0</v>
      </c>
      <c r="S28" s="310">
        <v>1</v>
      </c>
      <c r="T28" s="310">
        <v>2</v>
      </c>
      <c r="U28" s="310">
        <v>1</v>
      </c>
      <c r="V28" s="310">
        <v>1</v>
      </c>
      <c r="W28" s="310">
        <v>0</v>
      </c>
      <c r="X28" s="310">
        <v>0</v>
      </c>
      <c r="Y28" s="310">
        <v>0</v>
      </c>
      <c r="Z28" s="310">
        <v>0</v>
      </c>
      <c r="AA28" s="583">
        <v>0</v>
      </c>
      <c r="AB28" s="310">
        <v>0</v>
      </c>
      <c r="AC28" s="310">
        <v>0</v>
      </c>
      <c r="AD28" s="310">
        <v>0</v>
      </c>
      <c r="AE28" s="310">
        <v>0</v>
      </c>
      <c r="AF28" s="310">
        <v>0</v>
      </c>
      <c r="AG28" s="310">
        <v>0</v>
      </c>
      <c r="AH28" s="310">
        <v>0</v>
      </c>
      <c r="AI28" s="310"/>
      <c r="AJ28" s="310"/>
      <c r="AK28" s="310"/>
      <c r="AL28" s="310"/>
      <c r="AM28" s="310">
        <v>0</v>
      </c>
      <c r="AN28" s="312">
        <v>0</v>
      </c>
      <c r="AO28" s="207"/>
      <c r="AP28" s="310">
        <v>4</v>
      </c>
      <c r="AQ28" s="310">
        <v>1</v>
      </c>
      <c r="AR28" s="76" t="s">
        <v>250</v>
      </c>
      <c r="AS28" s="310">
        <v>0</v>
      </c>
      <c r="AT28" s="310">
        <v>4</v>
      </c>
      <c r="AU28" s="310">
        <v>0</v>
      </c>
      <c r="AV28" s="310"/>
      <c r="AW28" s="583">
        <v>0</v>
      </c>
      <c r="AX28" s="231" t="s">
        <v>43</v>
      </c>
      <c r="AY28" s="231" t="s">
        <v>144</v>
      </c>
      <c r="AZ28" s="310">
        <v>0</v>
      </c>
      <c r="BA28" s="310">
        <v>0</v>
      </c>
      <c r="BB28" s="310">
        <v>0</v>
      </c>
      <c r="BC28" s="207"/>
      <c r="BD28" s="310">
        <v>3</v>
      </c>
      <c r="BE28" s="310">
        <v>2</v>
      </c>
      <c r="BF28" s="310">
        <v>0</v>
      </c>
      <c r="BG28" s="310">
        <v>1</v>
      </c>
      <c r="BH28" s="310">
        <v>0</v>
      </c>
      <c r="BI28" s="310">
        <v>1</v>
      </c>
      <c r="BJ28" s="310">
        <v>2</v>
      </c>
      <c r="BK28" s="310">
        <v>0</v>
      </c>
      <c r="BL28" s="310">
        <v>0</v>
      </c>
      <c r="BM28" s="207" t="s">
        <v>144</v>
      </c>
      <c r="BN28" s="79">
        <v>0</v>
      </c>
      <c r="BO28" s="81">
        <v>0.3</v>
      </c>
      <c r="BP28" s="207"/>
      <c r="BQ28" s="78" t="str">
        <f>IFERROR(WWWW[[#This Row],['#_Water sources treated]]/WWWW[[#This Row],['#_Water sources tested for contamination]],"no test")</f>
        <v>no test</v>
      </c>
      <c r="BR28" s="81" t="str">
        <f>IFERROR(WWWW[[#This Row],['#_Household received remediation action due to contamination]]/WWWW[[#This Row],['#_Household water samples tested for contamination]],"no test")</f>
        <v>no test</v>
      </c>
      <c r="BS28" s="80" t="str">
        <f>IF(AND(WWWW[[#This Row],[% of water sources treated]]="no test",WWWW[[#This Row],[% Household received corrective actions]]="no test"),"No Test","Tested")</f>
        <v>No Test</v>
      </c>
      <c r="BT28" s="80">
        <f>WWWW[[#This Row],['#_Constructed/existing protected hand dug well]]-WWWW[[#This Row],['#_Non-functional protected hand dug well]]</f>
        <v>1</v>
      </c>
      <c r="BU28" s="80">
        <f>(WWWW[[#This Row],['#_Constructed/Existing tube wells/boreholes/handpumps_WASH_agency]]+WWWW[[#This Row],['#_Non-Cluster partner water tube-wells/boreholes/handpumps]])-WWWW[[#This Row],['#_Non-functional tube wells/boreholes/handpumps]]</f>
        <v>0</v>
      </c>
      <c r="BV28" s="80">
        <f>WWWW[[#This Row],['#_Constructed/Existingwater storage tank with gravity fed reticulation system]]-WWWW[[#This Row],['#_Non-functional storage tank gravity fed reticulation system]]</f>
        <v>0</v>
      </c>
      <c r="BW28" s="80">
        <f>WWWW[[#This Row],['#_Water boating or water trucking]]</f>
        <v>0</v>
      </c>
      <c r="BX28" s="80">
        <f>WWWW[[#This Row],['#_Constructed/Existing water distribution system from river or natural spring]]</f>
        <v>0</v>
      </c>
      <c r="BY2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8" s="81">
        <f>IF(WWWW[[#This Row],[Location Type 1]]="Village",WWWW[[#This Row],[Access to safe drinking water for Village]],WWWW[[#This Row],[Access to safe drinking water for Camp]])</f>
        <v>1</v>
      </c>
      <c r="CB28" s="79">
        <f>WWWW[[#This Row],[%Equitable and continuous access to sufficient quantity of safe drinking water]]*WWWW[[#This Row],[Total PoP ]]</f>
        <v>83</v>
      </c>
      <c r="CC28" s="81">
        <f>IF((WWWW[[#This Row],['#_Constructed/Existing protected/fenced ponds]]*250)/WWWW[[#This Row],[Total PoP ]]&gt;1,1,(WWWW[[#This Row],['#_Constructed/Existing protected/fenced ponds]]*250)/WWWW[[#This Row],[Total PoP ]])</f>
        <v>0</v>
      </c>
      <c r="CD28" s="79">
        <f>WWWW[[#This Row],[% Access to unimproved water points]]*WWWW[[#This Row],[Total PoP ]]</f>
        <v>0</v>
      </c>
      <c r="CE2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G28" s="79">
        <f>WWWW[[#This Row],[HRP1]]/500</f>
        <v>0.16600000000000001</v>
      </c>
      <c r="CH28" s="78">
        <f>1-WWWW[[#This Row],[% Equitable and continuous access to sufficient quantity of domestic water]]</f>
        <v>0</v>
      </c>
      <c r="CI28" s="79">
        <f>WWWW[[#This Row],[%equitable and continuous access to sufficient quantity of safe drinking and domestic water''s GAP]]*WWWW[[#This Row],[Total PoP ]]</f>
        <v>0</v>
      </c>
      <c r="CJ28" s="80">
        <f>IF(WWWW[[#This Row],[Total required water points]]-WWWW[[#This Row],['#Water points coverage]]&lt;0,0,WWWW[[#This Row],[Total required water points]]-WWWW[[#This Row],['#Water points coverage]])</f>
        <v>0.83399999999999996</v>
      </c>
      <c r="CK28" s="80">
        <f>ROUND(IF(WWWW[[#This Row],[Total PoP ]]&lt;500,1,WWWW[[#This Row],[Total PoP ]]/500),0)</f>
        <v>1</v>
      </c>
      <c r="CL28" s="80">
        <f>(WWWW[[#This Row],['#_Constructed latrines_by_WASHAgencies]]+WWWW[[#This Row],['#_Non Cluster partner latrines]])-WWWW[[#This Row],['#_Non-functional latrines]]</f>
        <v>5</v>
      </c>
      <c r="CM2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83</v>
      </c>
      <c r="CO2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8" s="80">
        <f>IF(WWWW[[#This Row],[Location Type 1]]="Village","NA",IF(WWWW[[#This Row],['#_Constructed/Existing latrines in TLS]]*50&gt;WWWW[[#This Row],['#_students at TLS_CFS]],WWWW[[#This Row],['#_students at TLS_CFS]],(WWWW[[#This Row],['#_Constructed/Existing latrines in TLS]]*50)))</f>
        <v>0</v>
      </c>
      <c r="CQ28" s="80">
        <f>ROUND(IF(WWWW[[#This Row],[Location Type 1]]="camp",WWWW[[#This Row],[Total PoP ]]/20,IF(WWWW[[#This Row],[Location Type 1]]="Temporary Location",WWWW[[#This Row],[Total PoP ]]/50,(WWWW[[#This Row],[Total PoP ]]/6))),0)</f>
        <v>4</v>
      </c>
      <c r="CR28" s="79">
        <f>IF(WWWW[[#This Row],[Total required Latrines]]-(WWWW[[#This Row],['#_Constructed latrines_by_WASHAgencies]]+WWWW[[#This Row],['#_Non Cluster partner latrines]])&lt;0,0,WWWW[[#This Row],[Total required Latrines]]-(WWWW[[#This Row],['#_Constructed latrines_by_WASHAgencies]]+WWWW[[#This Row],['#_Non Cluster partner latrines]]))</f>
        <v>0</v>
      </c>
      <c r="CS28" s="78">
        <f>1-WWWW[[#This Row],[% people access to functioning Latrine]]</f>
        <v>0</v>
      </c>
      <c r="CT28" s="82">
        <f>IF(OR(WWWW[[#This Row],['#_Non-functional latrines]]="",WWWW[[#This Row],['#_Non-functional latrines]]=0),0,WWWW[[#This Row],['#_Non-functional latrines]]/(WWWW[[#This Row],['#_Constructed latrines_by_WASHAgencies]]+WWWW[[#This Row],['#_Non Cluster partner latrines]]))</f>
        <v>0</v>
      </c>
      <c r="CU28" s="79">
        <f>IF(500*(WWWW[[#This Row],['#_male hygiene promoters]]+WWWW[[#This Row],['#_female hygiene promoters]])&gt;WWWW[[#This Row],[Total PoP ]],WWWW[[#This Row],[Total PoP ]],500*(WWWW[[#This Row],['#_male hygiene promoters]]+WWWW[[#This Row],['#_female hygiene promoters]]))</f>
        <v>83</v>
      </c>
      <c r="CV2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 s="80">
        <f>IF(WWWW[[#This Row],['# People with access to soap]]&gt;WWWW[[#This Row],['# People with access to Sanity Pads]],WWWW[[#This Row],['# People with access to soap]],WWWW[[#This Row],['# People with access to Sanity Pads]])</f>
        <v>0</v>
      </c>
      <c r="CY28" s="80">
        <f>IF(WWWW[[#This Row],['# people reached by regular dedicated hygiene promotion_5]]&gt;WWWW[[#This Row],['# People received regular supply of hygiene items_6]],WWWW[[#This Row],['# people reached by regular dedicated hygiene promotion_5]],WWWW[[#This Row],['# People received regular supply of hygiene items_6]])</f>
        <v>83</v>
      </c>
      <c r="CZ28" s="78">
        <f>IF(WWWW[[#This Row],[HRP3]]/WWWW[[#This Row],[Total PoP ]]&gt;100%,100%,WWWW[[#This Row],[HRP3]]/WWWW[[#This Row],[Total PoP ]])</f>
        <v>1</v>
      </c>
      <c r="DA28" s="82">
        <f>1-WWWW[[#This Row],[Hygiene Coverage%]]</f>
        <v>0</v>
      </c>
      <c r="DB28" s="81">
        <f>WWWW[[#This Row],['# people reached by regular dedicated hygiene promotion_5]]/WWWW[[#This Row],[Total PoP ]]</f>
        <v>1</v>
      </c>
      <c r="DC28" s="81">
        <f>IF(WWWW[[#This Row],['#_households that received standard amount of soap for this quarter]]/WWWW[[#This Row],[Total HH]]&gt;1,1,WWWW[[#This Row],['#_households that received standard amount of soap for this quarter]]/WWWW[[#This Row],[Total HH]])</f>
        <v>0</v>
      </c>
      <c r="DD28" s="81">
        <f>IF(WWWW[[#This Row],['#_households that received standard amount of sanitary pads for this quarter]]/WWWW[[#This Row],[Total HH]]&gt;1,1,WWWW[[#This Row],['#_households that received standard amount of sanitary pads for this quarter]]/WWWW[[#This Row],[Total HH]])</f>
        <v>0</v>
      </c>
      <c r="DE28" s="80">
        <f>WWWW[[#This Row],['#_Constructed/Existing hand washing stations]]-WWWW[[#This Row],['#_Non-Functional_hand_washing_stations]]</f>
        <v>1</v>
      </c>
      <c r="DF28" s="757">
        <f>IF(WWWW[[#This Row],['# Functional hand washing stations during reporting period]]*20&gt;WWWW[[#This Row],[Total HH]],WWWW[[#This Row],[Total HH]],WWWW[[#This Row],['# Functional hand washing stations during reporting period]]*20)</f>
        <v>13</v>
      </c>
      <c r="DG28" s="79">
        <f>IF(WWWW[[#This Row],[Is sufficient soap available for TLS? (Yes/No)]]="yes",WWWW[[#This Row],['#_Constructed/Existing hand washing stations at TLS]],0)</f>
        <v>0</v>
      </c>
      <c r="DH28" s="578">
        <f>IF(WWWW[[#This Row],['# Functional hand washing stations during reporting period]]*100&gt;WWWW[[#This Row],[Total PoP ]],WWWW[[#This Row],[Total PoP ]],WWWW[[#This Row],['# Functional hand washing stations during reporting period]]*100)</f>
        <v>83</v>
      </c>
      <c r="DI28" s="578" t="str">
        <f>IF(OR(WWWW[[#This Row],['#_students at TLS_CFS]]="",WWWW[[#This Row],['#_students at TLS_CFS]]=0),"No","Yes")</f>
        <v>No</v>
      </c>
      <c r="DJ28" s="231" t="str">
        <f>VLOOKUP(WWWW[[#This Row],[Site Name]],SiteDB6[[Site Name]:[CCCM Management]],6,FALSE)</f>
        <v>Yes</v>
      </c>
      <c r="DK28" s="231" t="str">
        <f>VLOOKUP(WWWW[[#This Row],[Site Name]],SiteDB6[[Site Name]:[CCCM Focal Agency]],7,FALSE)</f>
        <v>Shalom</v>
      </c>
      <c r="DL28" s="231" t="str">
        <f>VLOOKUP(WWWW[[#This Row],[Site Name]],SiteDB6[[Site Name]:[Location Type 1]],9,FALSE)</f>
        <v>Camp</v>
      </c>
      <c r="DM28" s="231" t="str">
        <f>VLOOKUP(WWWW[[#This Row],[Site Name]],SiteDB6[[Site Name]:[Type of Accommodation]],10,FALSE)</f>
        <v>Camp</v>
      </c>
      <c r="DN28" s="231" t="str">
        <f>VLOOKUP(WWWW[[#This Row],[Site Name]],SiteDB6[[Site Name]:[Ethnic or GCA/NGCA]],11,FALSE)</f>
        <v>GCA</v>
      </c>
      <c r="DO28" s="231">
        <f>VLOOKUP(WWWW[[#This Row],[Site Name]],SiteDB6[[Site Name]:[Lat]],12,FALSE)</f>
        <v>25.616509000000001</v>
      </c>
      <c r="DP28" s="231">
        <f>VLOOKUP(WWWW[[#This Row],[Site Name]],SiteDB6[[Site Name]:[Long]],13,FALSE)</f>
        <v>96.317350000000005</v>
      </c>
      <c r="DQ28" s="231" t="str">
        <f>VLOOKUP(WWWW[[#This Row],[Site Name]],SiteDB6[[Site Name]:[Pcode]],3,FALSE)</f>
        <v>MMR001CMP190</v>
      </c>
      <c r="DR28" s="207" t="str">
        <f t="shared" si="1"/>
        <v>Covered</v>
      </c>
      <c r="DS28" s="207"/>
      <c r="DT28" s="20"/>
      <c r="DU28" s="20"/>
      <c r="DV28" s="20"/>
      <c r="DW28" s="20"/>
      <c r="DX28" s="20"/>
      <c r="DY28" s="20"/>
      <c r="DZ28" s="20"/>
      <c r="EA28" s="20"/>
      <c r="EB28" s="20"/>
      <c r="EC28" s="20"/>
      <c r="ED28" s="20"/>
      <c r="EE28" s="20"/>
      <c r="EF28" s="20"/>
      <c r="EG28" s="20"/>
      <c r="EH28" s="20"/>
    </row>
    <row r="29" spans="1:138" ht="15.75" customHeight="1">
      <c r="A29" s="238" t="s">
        <v>2518</v>
      </c>
      <c r="B29" s="574" t="s">
        <v>250</v>
      </c>
      <c r="C29" s="574" t="s">
        <v>250</v>
      </c>
      <c r="D29" s="574" t="s">
        <v>315</v>
      </c>
      <c r="E29" s="574" t="s">
        <v>39</v>
      </c>
      <c r="F29" s="574" t="s">
        <v>156</v>
      </c>
      <c r="G29" s="574" t="str">
        <f>VLOOKUP(WWWW[[#This Row],[Site Name]],SiteDB6[[Site Name]:[Location Type]],8,FALSE)</f>
        <v>Camp</v>
      </c>
      <c r="H29" s="574" t="s">
        <v>258</v>
      </c>
      <c r="I29" s="583">
        <v>36</v>
      </c>
      <c r="J29" s="583">
        <v>228</v>
      </c>
      <c r="K29" s="553">
        <v>43313</v>
      </c>
      <c r="L29" s="77">
        <v>44043</v>
      </c>
      <c r="M29" s="583">
        <v>0</v>
      </c>
      <c r="N29" s="583">
        <v>1</v>
      </c>
      <c r="O29" s="583">
        <v>0</v>
      </c>
      <c r="P29" s="583">
        <v>0</v>
      </c>
      <c r="Q29" s="574" t="s">
        <v>43</v>
      </c>
      <c r="R29" s="310">
        <v>2</v>
      </c>
      <c r="S29" s="310">
        <v>2</v>
      </c>
      <c r="T29" s="310">
        <v>1</v>
      </c>
      <c r="U29" s="310">
        <v>0</v>
      </c>
      <c r="V29" s="310">
        <v>0</v>
      </c>
      <c r="W29" s="310">
        <v>0</v>
      </c>
      <c r="X29" s="310">
        <v>0</v>
      </c>
      <c r="Y29" s="310">
        <v>0</v>
      </c>
      <c r="Z29" s="310">
        <v>0</v>
      </c>
      <c r="AA29" s="583">
        <v>0</v>
      </c>
      <c r="AB29" s="310">
        <v>0</v>
      </c>
      <c r="AC29" s="310">
        <v>0</v>
      </c>
      <c r="AD29" s="310">
        <v>0</v>
      </c>
      <c r="AE29" s="310">
        <v>0</v>
      </c>
      <c r="AF29" s="310">
        <v>0</v>
      </c>
      <c r="AG29" s="310">
        <v>0</v>
      </c>
      <c r="AH29" s="310">
        <v>1</v>
      </c>
      <c r="AI29" s="310"/>
      <c r="AJ29" s="310"/>
      <c r="AK29" s="310"/>
      <c r="AL29" s="310"/>
      <c r="AM29" s="310">
        <v>0</v>
      </c>
      <c r="AN29" s="310">
        <v>0</v>
      </c>
      <c r="AO29" s="207"/>
      <c r="AP29" s="310">
        <v>10</v>
      </c>
      <c r="AQ29" s="310">
        <v>0</v>
      </c>
      <c r="AR29" s="76" t="s">
        <v>250</v>
      </c>
      <c r="AS29" s="310">
        <v>0</v>
      </c>
      <c r="AT29" s="310">
        <v>0</v>
      </c>
      <c r="AU29" s="310">
        <v>0</v>
      </c>
      <c r="AV29" s="310"/>
      <c r="AW29" s="583">
        <v>0</v>
      </c>
      <c r="AX29" s="581" t="s">
        <v>43</v>
      </c>
      <c r="AY29" s="231" t="s">
        <v>145</v>
      </c>
      <c r="AZ29" s="310">
        <v>0</v>
      </c>
      <c r="BA29" s="310">
        <v>0</v>
      </c>
      <c r="BB29" s="310">
        <v>0</v>
      </c>
      <c r="BC29" s="207"/>
      <c r="BD29" s="310">
        <v>0</v>
      </c>
      <c r="BE29" s="310">
        <v>0</v>
      </c>
      <c r="BF29" s="310">
        <v>0</v>
      </c>
      <c r="BG29" s="310">
        <v>3</v>
      </c>
      <c r="BH29" s="310">
        <v>0</v>
      </c>
      <c r="BI29" s="310">
        <v>2</v>
      </c>
      <c r="BJ29" s="310">
        <v>2</v>
      </c>
      <c r="BK29" s="310">
        <v>0</v>
      </c>
      <c r="BL29" s="310">
        <v>0</v>
      </c>
      <c r="BM29" s="207" t="s">
        <v>144</v>
      </c>
      <c r="BN29" s="79">
        <v>0</v>
      </c>
      <c r="BO29" s="81">
        <v>0.9</v>
      </c>
      <c r="BP29" s="207"/>
      <c r="BQ29" s="78" t="str">
        <f>IFERROR(WWWW[[#This Row],['#_Water sources treated]]/WWWW[[#This Row],['#_Water sources tested for contamination]],"no test")</f>
        <v>no test</v>
      </c>
      <c r="BR29" s="81" t="str">
        <f>IFERROR(WWWW[[#This Row],['#_Household received remediation action due to contamination]]/WWWW[[#This Row],['#_Household water samples tested for contamination]],"no test")</f>
        <v>no test</v>
      </c>
      <c r="BS29" s="80" t="str">
        <f>IF(AND(WWWW[[#This Row],[% of water sources treated]]="no test",WWWW[[#This Row],[% Household received corrective actions]]="no test"),"No Test","Tested")</f>
        <v>No Test</v>
      </c>
      <c r="BT29" s="80">
        <f>WWWW[[#This Row],['#_Constructed/existing protected hand dug well]]-WWWW[[#This Row],['#_Non-functional protected hand dug well]]</f>
        <v>1</v>
      </c>
      <c r="BU29" s="80">
        <f>(WWWW[[#This Row],['#_Constructed/Existing tube wells/boreholes/handpumps_WASH_agency]]+WWWW[[#This Row],['#_Non-Cluster partner water tube-wells/boreholes/handpumps]])-WWWW[[#This Row],['#_Non-functional tube wells/boreholes/handpumps]]</f>
        <v>0</v>
      </c>
      <c r="BV29" s="80">
        <f>WWWW[[#This Row],['#_Constructed/Existingwater storage tank with gravity fed reticulation system]]-WWWW[[#This Row],['#_Non-functional storage tank gravity fed reticulation system]]</f>
        <v>0</v>
      </c>
      <c r="BW29" s="80">
        <f>WWWW[[#This Row],['#_Water boating or water trucking]]</f>
        <v>0</v>
      </c>
      <c r="BX29" s="80">
        <f>WWWW[[#This Row],['#_Constructed/Existing water distribution system from river or natural spring]]</f>
        <v>0</v>
      </c>
      <c r="BY2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9" s="81">
        <f>IF(WWWW[[#This Row],[Location Type 1]]="Village",WWWW[[#This Row],[Access to safe drinking water for Village]],WWWW[[#This Row],[Access to safe drinking water for Camp]])</f>
        <v>1</v>
      </c>
      <c r="CB29" s="79">
        <f>WWWW[[#This Row],[%Equitable and continuous access to sufficient quantity of safe drinking water]]*WWWW[[#This Row],[Total PoP ]]</f>
        <v>228</v>
      </c>
      <c r="CC29" s="81">
        <f>IF((WWWW[[#This Row],['#_Constructed/Existing protected/fenced ponds]]*250)/WWWW[[#This Row],[Total PoP ]]&gt;1,1,(WWWW[[#This Row],['#_Constructed/Existing protected/fenced ponds]]*250)/WWWW[[#This Row],[Total PoP ]])</f>
        <v>0</v>
      </c>
      <c r="CD29" s="79">
        <f>WWWW[[#This Row],[% Access to unimproved water points]]*WWWW[[#This Row],[Total PoP ]]</f>
        <v>0</v>
      </c>
      <c r="CE2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G29" s="79">
        <f>WWWW[[#This Row],[HRP1]]/500</f>
        <v>0.45600000000000002</v>
      </c>
      <c r="CH29" s="78">
        <f>1-WWWW[[#This Row],[% Equitable and continuous access to sufficient quantity of domestic water]]</f>
        <v>0</v>
      </c>
      <c r="CI29" s="79">
        <f>WWWW[[#This Row],[%equitable and continuous access to sufficient quantity of safe drinking and domestic water''s GAP]]*WWWW[[#This Row],[Total PoP ]]</f>
        <v>0</v>
      </c>
      <c r="CJ29" s="80">
        <f>IF(WWWW[[#This Row],[Total required water points]]-WWWW[[#This Row],['#Water points coverage]]&lt;0,0,WWWW[[#This Row],[Total required water points]]-WWWW[[#This Row],['#Water points coverage]])</f>
        <v>0.54400000000000004</v>
      </c>
      <c r="CK29" s="80">
        <f>ROUND(IF(WWWW[[#This Row],[Total PoP ]]&lt;500,1,WWWW[[#This Row],[Total PoP ]]/500),0)</f>
        <v>1</v>
      </c>
      <c r="CL29" s="80">
        <f>(WWWW[[#This Row],['#_Constructed latrines_by_WASHAgencies]]+WWWW[[#This Row],['#_Non Cluster partner latrines]])-WWWW[[#This Row],['#_Non-functional latrines]]</f>
        <v>10</v>
      </c>
      <c r="CM2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0.8771929824561403</v>
      </c>
      <c r="CN2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2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9" s="80">
        <f>IF(WWWW[[#This Row],[Location Type 1]]="Village","NA",IF(WWWW[[#This Row],['#_Constructed/Existing latrines in TLS]]*50&gt;WWWW[[#This Row],['#_students at TLS_CFS]],WWWW[[#This Row],['#_students at TLS_CFS]],(WWWW[[#This Row],['#_Constructed/Existing latrines in TLS]]*50)))</f>
        <v>0</v>
      </c>
      <c r="CQ29" s="80">
        <f>ROUND(IF(WWWW[[#This Row],[Location Type 1]]="camp",WWWW[[#This Row],[Total PoP ]]/20,IF(WWWW[[#This Row],[Location Type 1]]="Temporary Location",WWWW[[#This Row],[Total PoP ]]/50,(WWWW[[#This Row],[Total PoP ]]/6))),0)</f>
        <v>11</v>
      </c>
      <c r="CR29" s="79">
        <f>IF(WWWW[[#This Row],[Total required Latrines]]-(WWWW[[#This Row],['#_Constructed latrines_by_WASHAgencies]]+WWWW[[#This Row],['#_Non Cluster partner latrines]])&lt;0,0,WWWW[[#This Row],[Total required Latrines]]-(WWWW[[#This Row],['#_Constructed latrines_by_WASHAgencies]]+WWWW[[#This Row],['#_Non Cluster partner latrines]]))</f>
        <v>1</v>
      </c>
      <c r="CS29" s="78">
        <f>1-WWWW[[#This Row],[% people access to functioning Latrine]]</f>
        <v>0.1228070175438597</v>
      </c>
      <c r="CT29" s="82">
        <f>IF(OR(WWWW[[#This Row],['#_Non-functional latrines]]="",WWWW[[#This Row],['#_Non-functional latrines]]=0),0,WWWW[[#This Row],['#_Non-functional latrines]]/(WWWW[[#This Row],['#_Constructed latrines_by_WASHAgencies]]+WWWW[[#This Row],['#_Non Cluster partner latrines]]))</f>
        <v>0</v>
      </c>
      <c r="CU29" s="79">
        <f>IF(500*(WWWW[[#This Row],['#_male hygiene promoters]]+WWWW[[#This Row],['#_female hygiene promoters]])&gt;WWWW[[#This Row],[Total PoP ]],WWWW[[#This Row],[Total PoP ]],500*(WWWW[[#This Row],['#_male hygiene promoters]]+WWWW[[#This Row],['#_female hygiene promoters]]))</f>
        <v>228</v>
      </c>
      <c r="CV2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 s="80">
        <f>IF(WWWW[[#This Row],['# People with access to soap]]&gt;WWWW[[#This Row],['# People with access to Sanity Pads]],WWWW[[#This Row],['# People with access to soap]],WWWW[[#This Row],['# People with access to Sanity Pads]])</f>
        <v>0</v>
      </c>
      <c r="CY29" s="80">
        <f>IF(WWWW[[#This Row],['# people reached by regular dedicated hygiene promotion_5]]&gt;WWWW[[#This Row],['# People received regular supply of hygiene items_6]],WWWW[[#This Row],['# people reached by regular dedicated hygiene promotion_5]],WWWW[[#This Row],['# People received regular supply of hygiene items_6]])</f>
        <v>228</v>
      </c>
      <c r="CZ29" s="78">
        <f>IF(WWWW[[#This Row],[HRP3]]/WWWW[[#This Row],[Total PoP ]]&gt;100%,100%,WWWW[[#This Row],[HRP3]]/WWWW[[#This Row],[Total PoP ]])</f>
        <v>1</v>
      </c>
      <c r="DA29" s="82">
        <f>1-WWWW[[#This Row],[Hygiene Coverage%]]</f>
        <v>0</v>
      </c>
      <c r="DB29" s="81">
        <f>WWWW[[#This Row],['# people reached by regular dedicated hygiene promotion_5]]/WWWW[[#This Row],[Total PoP ]]</f>
        <v>1</v>
      </c>
      <c r="DC29" s="81">
        <f>IF(WWWW[[#This Row],['#_households that received standard amount of soap for this quarter]]/WWWW[[#This Row],[Total HH]]&gt;1,1,WWWW[[#This Row],['#_households that received standard amount of soap for this quarter]]/WWWW[[#This Row],[Total HH]])</f>
        <v>0</v>
      </c>
      <c r="DD29" s="81">
        <f>IF(WWWW[[#This Row],['#_households that received standard amount of sanitary pads for this quarter]]/WWWW[[#This Row],[Total HH]]&gt;1,1,WWWW[[#This Row],['#_households that received standard amount of sanitary pads for this quarter]]/WWWW[[#This Row],[Total HH]])</f>
        <v>0</v>
      </c>
      <c r="DE29" s="80">
        <f>WWWW[[#This Row],['#_Constructed/Existing hand washing stations]]-WWWW[[#This Row],['#_Non-Functional_hand_washing_stations]]</f>
        <v>0</v>
      </c>
      <c r="DF29" s="757">
        <f>IF(WWWW[[#This Row],['# Functional hand washing stations during reporting period]]*20&gt;WWWW[[#This Row],[Total HH]],WWWW[[#This Row],[Total HH]],WWWW[[#This Row],['# Functional hand washing stations during reporting period]]*20)</f>
        <v>0</v>
      </c>
      <c r="DG29" s="79">
        <f>IF(WWWW[[#This Row],[Is sufficient soap available for TLS? (Yes/No)]]="yes",WWWW[[#This Row],['#_Constructed/Existing hand washing stations at TLS]],0)</f>
        <v>0</v>
      </c>
      <c r="DH29" s="578">
        <f>IF(WWWW[[#This Row],['# Functional hand washing stations during reporting period]]*100&gt;WWWW[[#This Row],[Total PoP ]],WWWW[[#This Row],[Total PoP ]],WWWW[[#This Row],['# Functional hand washing stations during reporting period]]*100)</f>
        <v>0</v>
      </c>
      <c r="DI29" s="578" t="str">
        <f>IF(OR(WWWW[[#This Row],['#_students at TLS_CFS]]="",WWWW[[#This Row],['#_students at TLS_CFS]]=0),"No","Yes")</f>
        <v>No</v>
      </c>
      <c r="DJ29" s="231" t="str">
        <f>VLOOKUP(WWWW[[#This Row],[Site Name]],SiteDB6[[Site Name]:[CCCM Management]],6,FALSE)</f>
        <v>Yes</v>
      </c>
      <c r="DK29" s="231" t="str">
        <f>VLOOKUP(WWWW[[#This Row],[Site Name]],SiteDB6[[Site Name]:[CCCM Focal Agency]],7,FALSE)</f>
        <v>KBC</v>
      </c>
      <c r="DL29" s="231" t="str">
        <f>VLOOKUP(WWWW[[#This Row],[Site Name]],SiteDB6[[Site Name]:[Location Type 1]],9,FALSE)</f>
        <v>Camp</v>
      </c>
      <c r="DM29" s="231" t="str">
        <f>VLOOKUP(WWWW[[#This Row],[Site Name]],SiteDB6[[Site Name]:[Type of Accommodation]],10,FALSE)</f>
        <v>Camp</v>
      </c>
      <c r="DN29" s="231" t="str">
        <f>VLOOKUP(WWWW[[#This Row],[Site Name]],SiteDB6[[Site Name]:[Ethnic or GCA/NGCA]],11,FALSE)</f>
        <v>GCA</v>
      </c>
      <c r="DO29" s="231">
        <f>VLOOKUP(WWWW[[#This Row],[Site Name]],SiteDB6[[Site Name]:[Lat]],12,FALSE)</f>
        <v>25.647649999999999</v>
      </c>
      <c r="DP29" s="231">
        <f>VLOOKUP(WWWW[[#This Row],[Site Name]],SiteDB6[[Site Name]:[Long]],13,FALSE)</f>
        <v>96.346469999999997</v>
      </c>
      <c r="DQ29" s="231" t="str">
        <f>VLOOKUP(WWWW[[#This Row],[Site Name]],SiteDB6[[Site Name]:[Pcode]],3,FALSE)</f>
        <v>MMR001CMP169</v>
      </c>
      <c r="DR29" s="207" t="str">
        <f t="shared" si="1"/>
        <v>Covered</v>
      </c>
      <c r="DS29" s="207"/>
      <c r="DT29" s="20"/>
      <c r="DU29" s="20"/>
      <c r="DV29" s="20"/>
      <c r="DW29" s="20"/>
      <c r="DX29" s="20"/>
      <c r="DY29" s="20"/>
      <c r="DZ29" s="20"/>
      <c r="EA29" s="20"/>
      <c r="EB29" s="20"/>
      <c r="EC29" s="20"/>
      <c r="ED29" s="20"/>
      <c r="EE29" s="20"/>
      <c r="EF29" s="20"/>
      <c r="EG29" s="20"/>
      <c r="EH29" s="20"/>
    </row>
    <row r="30" spans="1:138" ht="15.75" customHeight="1">
      <c r="A30" s="238" t="s">
        <v>2518</v>
      </c>
      <c r="B30" s="574" t="s">
        <v>250</v>
      </c>
      <c r="C30" s="574" t="s">
        <v>250</v>
      </c>
      <c r="D30" s="574" t="s">
        <v>315</v>
      </c>
      <c r="E30" s="574" t="s">
        <v>39</v>
      </c>
      <c r="F30" s="574" t="s">
        <v>156</v>
      </c>
      <c r="G30" s="574" t="str">
        <f>VLOOKUP(WWWW[[#This Row],[Site Name]],SiteDB6[[Site Name]:[Location Type]],8,FALSE)</f>
        <v>Camp</v>
      </c>
      <c r="H30" s="574" t="s">
        <v>259</v>
      </c>
      <c r="I30" s="583">
        <v>6</v>
      </c>
      <c r="J30" s="583">
        <v>31</v>
      </c>
      <c r="K30" s="553">
        <v>43313</v>
      </c>
      <c r="L30" s="77">
        <v>44043</v>
      </c>
      <c r="M30" s="583">
        <v>0</v>
      </c>
      <c r="N30" s="583">
        <v>1</v>
      </c>
      <c r="O30" s="583">
        <v>0</v>
      </c>
      <c r="P30" s="583">
        <v>0</v>
      </c>
      <c r="Q30" s="574" t="s">
        <v>43</v>
      </c>
      <c r="R30" s="310">
        <v>1</v>
      </c>
      <c r="S30" s="310">
        <v>2</v>
      </c>
      <c r="T30" s="310">
        <v>0</v>
      </c>
      <c r="U30" s="310">
        <v>0</v>
      </c>
      <c r="V30" s="310">
        <v>0</v>
      </c>
      <c r="W30" s="310">
        <v>0</v>
      </c>
      <c r="X30" s="310">
        <v>0</v>
      </c>
      <c r="Y30" s="310">
        <v>0</v>
      </c>
      <c r="Z30" s="310">
        <v>0</v>
      </c>
      <c r="AA30" s="310">
        <v>0</v>
      </c>
      <c r="AB30" s="310">
        <v>0</v>
      </c>
      <c r="AC30" s="310">
        <v>0</v>
      </c>
      <c r="AD30" s="310">
        <v>0</v>
      </c>
      <c r="AE30" s="310">
        <v>0</v>
      </c>
      <c r="AF30" s="310">
        <v>0</v>
      </c>
      <c r="AG30" s="310">
        <v>0</v>
      </c>
      <c r="AH30" s="310">
        <v>0</v>
      </c>
      <c r="AI30" s="310"/>
      <c r="AJ30" s="310"/>
      <c r="AK30" s="310"/>
      <c r="AL30" s="310"/>
      <c r="AM30" s="310">
        <v>0</v>
      </c>
      <c r="AN30" s="310">
        <v>0</v>
      </c>
      <c r="AO30" s="207"/>
      <c r="AP30" s="310">
        <v>2</v>
      </c>
      <c r="AQ30" s="310">
        <v>0</v>
      </c>
      <c r="AR30" s="76" t="s">
        <v>250</v>
      </c>
      <c r="AS30" s="310">
        <v>0</v>
      </c>
      <c r="AT30" s="310">
        <v>0</v>
      </c>
      <c r="AU30" s="310">
        <v>0</v>
      </c>
      <c r="AV30" s="310"/>
      <c r="AW30" s="583">
        <v>0</v>
      </c>
      <c r="AX30" s="581" t="s">
        <v>43</v>
      </c>
      <c r="AY30" s="231" t="s">
        <v>144</v>
      </c>
      <c r="AZ30" s="310">
        <v>0</v>
      </c>
      <c r="BA30" s="310">
        <v>0</v>
      </c>
      <c r="BB30" s="310">
        <v>0</v>
      </c>
      <c r="BC30" s="207"/>
      <c r="BD30" s="310">
        <v>0</v>
      </c>
      <c r="BE30" s="310">
        <v>0</v>
      </c>
      <c r="BF30" s="310">
        <v>0</v>
      </c>
      <c r="BG30" s="310">
        <v>1</v>
      </c>
      <c r="BH30" s="310">
        <v>0</v>
      </c>
      <c r="BI30" s="310">
        <v>1</v>
      </c>
      <c r="BJ30" s="310">
        <v>2</v>
      </c>
      <c r="BK30" s="310">
        <v>0</v>
      </c>
      <c r="BL30" s="310">
        <v>0</v>
      </c>
      <c r="BM30" s="207" t="s">
        <v>144</v>
      </c>
      <c r="BN30" s="79">
        <v>0</v>
      </c>
      <c r="BO30" s="81">
        <v>0.3</v>
      </c>
      <c r="BP30" s="207"/>
      <c r="BQ30" s="78" t="str">
        <f>IFERROR(WWWW[[#This Row],['#_Water sources treated]]/WWWW[[#This Row],['#_Water sources tested for contamination]],"no test")</f>
        <v>no test</v>
      </c>
      <c r="BR30" s="81" t="str">
        <f>IFERROR(WWWW[[#This Row],['#_Household received remediation action due to contamination]]/WWWW[[#This Row],['#_Household water samples tested for contamination]],"no test")</f>
        <v>no test</v>
      </c>
      <c r="BS30" s="80" t="str">
        <f>IF(AND(WWWW[[#This Row],[% of water sources treated]]="no test",WWWW[[#This Row],[% Household received corrective actions]]="no test"),"No Test","Tested")</f>
        <v>No Test</v>
      </c>
      <c r="BT30" s="80">
        <f>WWWW[[#This Row],['#_Constructed/existing protected hand dug well]]-WWWW[[#This Row],['#_Non-functional protected hand dug well]]</f>
        <v>0</v>
      </c>
      <c r="BU30" s="80">
        <f>(WWWW[[#This Row],['#_Constructed/Existing tube wells/boreholes/handpumps_WASH_agency]]+WWWW[[#This Row],['#_Non-Cluster partner water tube-wells/boreholes/handpumps]])-WWWW[[#This Row],['#_Non-functional tube wells/boreholes/handpumps]]</f>
        <v>0</v>
      </c>
      <c r="BV30" s="80">
        <f>WWWW[[#This Row],['#_Constructed/Existingwater storage tank with gravity fed reticulation system]]-WWWW[[#This Row],['#_Non-functional storage tank gravity fed reticulation system]]</f>
        <v>0</v>
      </c>
      <c r="BW30" s="80">
        <f>WWWW[[#This Row],['#_Water boating or water trucking]]</f>
        <v>0</v>
      </c>
      <c r="BX30" s="80">
        <f>WWWW[[#This Row],['#_Constructed/Existing water distribution system from river or natural spring]]</f>
        <v>0</v>
      </c>
      <c r="BY3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 s="81">
        <f>IF(WWWW[[#This Row],[Location Type 1]]="Village",WWWW[[#This Row],[Access to safe drinking water for Village]],WWWW[[#This Row],[Access to safe drinking water for Camp]])</f>
        <v>0</v>
      </c>
      <c r="CB30" s="79">
        <f>WWWW[[#This Row],[%Equitable and continuous access to sufficient quantity of safe drinking water]]*WWWW[[#This Row],[Total PoP ]]</f>
        <v>0</v>
      </c>
      <c r="CC30" s="81">
        <f>IF((WWWW[[#This Row],['#_Constructed/Existing protected/fenced ponds]]*250)/WWWW[[#This Row],[Total PoP ]]&gt;1,1,(WWWW[[#This Row],['#_Constructed/Existing protected/fenced ponds]]*250)/WWWW[[#This Row],[Total PoP ]])</f>
        <v>0</v>
      </c>
      <c r="CD30" s="79">
        <f>WWWW[[#This Row],[% Access to unimproved water points]]*WWWW[[#This Row],[Total PoP ]]</f>
        <v>0</v>
      </c>
      <c r="CE3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 s="79">
        <f>WWWW[[#This Row],[HRP1]]/500</f>
        <v>0</v>
      </c>
      <c r="CH30" s="78">
        <f>1-WWWW[[#This Row],[% Equitable and continuous access to sufficient quantity of domestic water]]</f>
        <v>1</v>
      </c>
      <c r="CI30" s="79">
        <f>WWWW[[#This Row],[%equitable and continuous access to sufficient quantity of safe drinking and domestic water''s GAP]]*WWWW[[#This Row],[Total PoP ]]</f>
        <v>31</v>
      </c>
      <c r="CJ30" s="80">
        <f>IF(WWWW[[#This Row],[Total required water points]]-WWWW[[#This Row],['#Water points coverage]]&lt;0,0,WWWW[[#This Row],[Total required water points]]-WWWW[[#This Row],['#Water points coverage]])</f>
        <v>1</v>
      </c>
      <c r="CK30" s="80">
        <f>ROUND(IF(WWWW[[#This Row],[Total PoP ]]&lt;500,1,WWWW[[#This Row],[Total PoP ]]/500),0)</f>
        <v>1</v>
      </c>
      <c r="CL30" s="80">
        <f>(WWWW[[#This Row],['#_Constructed latrines_by_WASHAgencies]]+WWWW[[#This Row],['#_Non Cluster partner latrines]])-WWWW[[#This Row],['#_Non-functional latrines]]</f>
        <v>2</v>
      </c>
      <c r="CM3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31</v>
      </c>
      <c r="CO3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0" s="80">
        <f>IF(WWWW[[#This Row],[Location Type 1]]="Village","NA",IF(WWWW[[#This Row],['#_Constructed/Existing latrines in TLS]]*50&gt;WWWW[[#This Row],['#_students at TLS_CFS]],WWWW[[#This Row],['#_students at TLS_CFS]],(WWWW[[#This Row],['#_Constructed/Existing latrines in TLS]]*50)))</f>
        <v>0</v>
      </c>
      <c r="CQ30" s="80">
        <f>ROUND(IF(WWWW[[#This Row],[Location Type 1]]="camp",WWWW[[#This Row],[Total PoP ]]/20,IF(WWWW[[#This Row],[Location Type 1]]="Temporary Location",WWWW[[#This Row],[Total PoP ]]/50,(WWWW[[#This Row],[Total PoP ]]/6))),0)</f>
        <v>2</v>
      </c>
      <c r="CR30" s="79">
        <f>IF(WWWW[[#This Row],[Total required Latrines]]-(WWWW[[#This Row],['#_Constructed latrines_by_WASHAgencies]]+WWWW[[#This Row],['#_Non Cluster partner latrines]])&lt;0,0,WWWW[[#This Row],[Total required Latrines]]-(WWWW[[#This Row],['#_Constructed latrines_by_WASHAgencies]]+WWWW[[#This Row],['#_Non Cluster partner latrines]]))</f>
        <v>0</v>
      </c>
      <c r="CS30" s="78">
        <f>1-WWWW[[#This Row],[% people access to functioning Latrine]]</f>
        <v>0</v>
      </c>
      <c r="CT30" s="82">
        <f>IF(OR(WWWW[[#This Row],['#_Non-functional latrines]]="",WWWW[[#This Row],['#_Non-functional latrines]]=0),0,WWWW[[#This Row],['#_Non-functional latrines]]/(WWWW[[#This Row],['#_Constructed latrines_by_WASHAgencies]]+WWWW[[#This Row],['#_Non Cluster partner latrines]]))</f>
        <v>0</v>
      </c>
      <c r="CU30" s="79">
        <f>IF(500*(WWWW[[#This Row],['#_male hygiene promoters]]+WWWW[[#This Row],['#_female hygiene promoters]])&gt;WWWW[[#This Row],[Total PoP ]],WWWW[[#This Row],[Total PoP ]],500*(WWWW[[#This Row],['#_male hygiene promoters]]+WWWW[[#This Row],['#_female hygiene promoters]]))</f>
        <v>31</v>
      </c>
      <c r="CV3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 s="80">
        <f>IF(WWWW[[#This Row],['# People with access to soap]]&gt;WWWW[[#This Row],['# People with access to Sanity Pads]],WWWW[[#This Row],['# People with access to soap]],WWWW[[#This Row],['# People with access to Sanity Pads]])</f>
        <v>0</v>
      </c>
      <c r="CY30" s="80">
        <f>IF(WWWW[[#This Row],['# people reached by regular dedicated hygiene promotion_5]]&gt;WWWW[[#This Row],['# People received regular supply of hygiene items_6]],WWWW[[#This Row],['# people reached by regular dedicated hygiene promotion_5]],WWWW[[#This Row],['# People received regular supply of hygiene items_6]])</f>
        <v>31</v>
      </c>
      <c r="CZ30" s="78">
        <f>IF(WWWW[[#This Row],[HRP3]]/WWWW[[#This Row],[Total PoP ]]&gt;100%,100%,WWWW[[#This Row],[HRP3]]/WWWW[[#This Row],[Total PoP ]])</f>
        <v>1</v>
      </c>
      <c r="DA30" s="82">
        <f>1-WWWW[[#This Row],[Hygiene Coverage%]]</f>
        <v>0</v>
      </c>
      <c r="DB30" s="81">
        <f>WWWW[[#This Row],['# people reached by regular dedicated hygiene promotion_5]]/WWWW[[#This Row],[Total PoP ]]</f>
        <v>1</v>
      </c>
      <c r="DC30" s="81">
        <f>IF(WWWW[[#This Row],['#_households that received standard amount of soap for this quarter]]/WWWW[[#This Row],[Total HH]]&gt;1,1,WWWW[[#This Row],['#_households that received standard amount of soap for this quarter]]/WWWW[[#This Row],[Total HH]])</f>
        <v>0</v>
      </c>
      <c r="DD30" s="81">
        <f>IF(WWWW[[#This Row],['#_households that received standard amount of sanitary pads for this quarter]]/WWWW[[#This Row],[Total HH]]&gt;1,1,WWWW[[#This Row],['#_households that received standard amount of sanitary pads for this quarter]]/WWWW[[#This Row],[Total HH]])</f>
        <v>0</v>
      </c>
      <c r="DE30" s="80">
        <f>WWWW[[#This Row],['#_Constructed/Existing hand washing stations]]-WWWW[[#This Row],['#_Non-Functional_hand_washing_stations]]</f>
        <v>0</v>
      </c>
      <c r="DF30" s="757">
        <f>IF(WWWW[[#This Row],['# Functional hand washing stations during reporting period]]*20&gt;WWWW[[#This Row],[Total HH]],WWWW[[#This Row],[Total HH]],WWWW[[#This Row],['# Functional hand washing stations during reporting period]]*20)</f>
        <v>0</v>
      </c>
      <c r="DG30" s="79">
        <f>IF(WWWW[[#This Row],[Is sufficient soap available for TLS? (Yes/No)]]="yes",WWWW[[#This Row],['#_Constructed/Existing hand washing stations at TLS]],0)</f>
        <v>0</v>
      </c>
      <c r="DH30" s="578">
        <f>IF(WWWW[[#This Row],['# Functional hand washing stations during reporting period]]*100&gt;WWWW[[#This Row],[Total PoP ]],WWWW[[#This Row],[Total PoP ]],WWWW[[#This Row],['# Functional hand washing stations during reporting period]]*100)</f>
        <v>0</v>
      </c>
      <c r="DI30" s="578" t="str">
        <f>IF(OR(WWWW[[#This Row],['#_students at TLS_CFS]]="",WWWW[[#This Row],['#_students at TLS_CFS]]=0),"No","Yes")</f>
        <v>No</v>
      </c>
      <c r="DJ30" s="231" t="str">
        <f>VLOOKUP(WWWW[[#This Row],[Site Name]],SiteDB6[[Site Name]:[CCCM Management]],6,FALSE)</f>
        <v>Yes</v>
      </c>
      <c r="DK30" s="231" t="str">
        <f>VLOOKUP(WWWW[[#This Row],[Site Name]],SiteDB6[[Site Name]:[CCCM Focal Agency]],7,FALSE)</f>
        <v>uncovered</v>
      </c>
      <c r="DL30" s="231" t="str">
        <f>VLOOKUP(WWWW[[#This Row],[Site Name]],SiteDB6[[Site Name]:[Location Type 1]],9,FALSE)</f>
        <v>Camp</v>
      </c>
      <c r="DM30" s="231" t="str">
        <f>VLOOKUP(WWWW[[#This Row],[Site Name]],SiteDB6[[Site Name]:[Type of Accommodation]],10,FALSE)</f>
        <v>Camp like setting</v>
      </c>
      <c r="DN30" s="231" t="str">
        <f>VLOOKUP(WWWW[[#This Row],[Site Name]],SiteDB6[[Site Name]:[Ethnic or GCA/NGCA]],11,FALSE)</f>
        <v>GCA</v>
      </c>
      <c r="DO30" s="231">
        <f>VLOOKUP(WWWW[[#This Row],[Site Name]],SiteDB6[[Site Name]:[Lat]],12,FALSE)</f>
        <v>25.582065</v>
      </c>
      <c r="DP30" s="231">
        <f>VLOOKUP(WWWW[[#This Row],[Site Name]],SiteDB6[[Site Name]:[Long]],13,FALSE)</f>
        <v>96.283377000000002</v>
      </c>
      <c r="DQ30" s="231" t="str">
        <f>VLOOKUP(WWWW[[#This Row],[Site Name]],SiteDB6[[Site Name]:[Pcode]],3,FALSE)</f>
        <v>MMR001CMP109</v>
      </c>
      <c r="DR30" s="207" t="str">
        <f t="shared" si="1"/>
        <v>Covered</v>
      </c>
      <c r="DS30" s="207"/>
      <c r="DT30" s="20"/>
      <c r="DU30" s="20"/>
      <c r="DV30" s="20"/>
      <c r="DW30" s="20"/>
      <c r="DX30" s="20"/>
      <c r="DY30" s="20"/>
      <c r="DZ30" s="20"/>
      <c r="EA30" s="20"/>
      <c r="EB30" s="20"/>
      <c r="EC30" s="20"/>
      <c r="ED30" s="20"/>
      <c r="EE30" s="20"/>
      <c r="EF30" s="20"/>
      <c r="EG30" s="20"/>
      <c r="EH30" s="20"/>
    </row>
    <row r="31" spans="1:138" ht="15.75" customHeight="1">
      <c r="A31" s="238" t="s">
        <v>2518</v>
      </c>
      <c r="B31" s="574" t="s">
        <v>250</v>
      </c>
      <c r="C31" s="574" t="s">
        <v>250</v>
      </c>
      <c r="D31" s="574" t="s">
        <v>315</v>
      </c>
      <c r="E31" s="574" t="s">
        <v>39</v>
      </c>
      <c r="F31" s="574" t="s">
        <v>156</v>
      </c>
      <c r="G31" s="574" t="str">
        <f>VLOOKUP(WWWW[[#This Row],[Site Name]],SiteDB6[[Site Name]:[Location Type]],8,FALSE)</f>
        <v>Camp</v>
      </c>
      <c r="H31" s="574" t="s">
        <v>260</v>
      </c>
      <c r="I31" s="583">
        <v>70</v>
      </c>
      <c r="J31" s="583">
        <v>377</v>
      </c>
      <c r="K31" s="553">
        <v>43313</v>
      </c>
      <c r="L31" s="77">
        <v>44043</v>
      </c>
      <c r="M31" s="583">
        <v>0</v>
      </c>
      <c r="N31" s="583">
        <v>1</v>
      </c>
      <c r="O31" s="583">
        <v>0</v>
      </c>
      <c r="P31" s="583">
        <v>0</v>
      </c>
      <c r="Q31" s="574" t="s">
        <v>43</v>
      </c>
      <c r="R31" s="310">
        <v>4</v>
      </c>
      <c r="S31" s="310">
        <v>4</v>
      </c>
      <c r="T31" s="310">
        <v>0</v>
      </c>
      <c r="U31" s="310">
        <v>0</v>
      </c>
      <c r="V31" s="310">
        <v>0</v>
      </c>
      <c r="W31" s="310">
        <v>0</v>
      </c>
      <c r="X31" s="310">
        <v>0</v>
      </c>
      <c r="Y31" s="310">
        <v>0</v>
      </c>
      <c r="Z31" s="310">
        <v>0</v>
      </c>
      <c r="AA31" s="310">
        <v>0</v>
      </c>
      <c r="AB31" s="310">
        <v>0</v>
      </c>
      <c r="AC31" s="310">
        <v>0</v>
      </c>
      <c r="AD31" s="310">
        <v>0</v>
      </c>
      <c r="AE31" s="310">
        <v>0</v>
      </c>
      <c r="AF31" s="310">
        <v>0</v>
      </c>
      <c r="AG31" s="310">
        <v>0</v>
      </c>
      <c r="AH31" s="310">
        <v>0</v>
      </c>
      <c r="AI31" s="310"/>
      <c r="AJ31" s="310"/>
      <c r="AK31" s="310"/>
      <c r="AL31" s="310"/>
      <c r="AM31" s="310">
        <v>0</v>
      </c>
      <c r="AN31" s="310">
        <v>0</v>
      </c>
      <c r="AO31" s="207"/>
      <c r="AP31" s="310">
        <v>24</v>
      </c>
      <c r="AQ31" s="310">
        <v>0</v>
      </c>
      <c r="AR31" s="76" t="s">
        <v>250</v>
      </c>
      <c r="AS31" s="310">
        <v>0</v>
      </c>
      <c r="AT31" s="310">
        <v>4</v>
      </c>
      <c r="AU31" s="310">
        <v>0</v>
      </c>
      <c r="AV31" s="310"/>
      <c r="AW31" s="583">
        <v>0</v>
      </c>
      <c r="AX31" s="581" t="s">
        <v>43</v>
      </c>
      <c r="AY31" s="231" t="s">
        <v>145</v>
      </c>
      <c r="AZ31" s="310">
        <v>0</v>
      </c>
      <c r="BA31" s="310">
        <v>1</v>
      </c>
      <c r="BB31" s="310">
        <v>0</v>
      </c>
      <c r="BC31" s="207"/>
      <c r="BD31" s="310">
        <v>3</v>
      </c>
      <c r="BE31" s="310">
        <v>0</v>
      </c>
      <c r="BF31" s="310">
        <v>0</v>
      </c>
      <c r="BG31" s="310">
        <v>3</v>
      </c>
      <c r="BH31" s="310">
        <v>0</v>
      </c>
      <c r="BI31" s="310">
        <v>2</v>
      </c>
      <c r="BJ31" s="310">
        <v>3</v>
      </c>
      <c r="BK31" s="310">
        <v>0</v>
      </c>
      <c r="BL31" s="310">
        <v>0</v>
      </c>
      <c r="BM31" s="207" t="s">
        <v>144</v>
      </c>
      <c r="BN31" s="79">
        <v>0</v>
      </c>
      <c r="BO31" s="81">
        <v>0.25</v>
      </c>
      <c r="BP31" s="207"/>
      <c r="BQ31" s="78" t="str">
        <f>IFERROR(WWWW[[#This Row],['#_Water sources treated]]/WWWW[[#This Row],['#_Water sources tested for contamination]],"no test")</f>
        <v>no test</v>
      </c>
      <c r="BR31" s="81" t="str">
        <f>IFERROR(WWWW[[#This Row],['#_Household received remediation action due to contamination]]/WWWW[[#This Row],['#_Household water samples tested for contamination]],"no test")</f>
        <v>no test</v>
      </c>
      <c r="BS31" s="80" t="str">
        <f>IF(AND(WWWW[[#This Row],[% of water sources treated]]="no test",WWWW[[#This Row],[% Household received corrective actions]]="no test"),"No Test","Tested")</f>
        <v>No Test</v>
      </c>
      <c r="BT31" s="80">
        <f>WWWW[[#This Row],['#_Constructed/existing protected hand dug well]]-WWWW[[#This Row],['#_Non-functional protected hand dug well]]</f>
        <v>0</v>
      </c>
      <c r="BU31" s="80">
        <f>(WWWW[[#This Row],['#_Constructed/Existing tube wells/boreholes/handpumps_WASH_agency]]+WWWW[[#This Row],['#_Non-Cluster partner water tube-wells/boreholes/handpumps]])-WWWW[[#This Row],['#_Non-functional tube wells/boreholes/handpumps]]</f>
        <v>0</v>
      </c>
      <c r="BV31" s="80">
        <f>WWWW[[#This Row],['#_Constructed/Existingwater storage tank with gravity fed reticulation system]]-WWWW[[#This Row],['#_Non-functional storage tank gravity fed reticulation system]]</f>
        <v>0</v>
      </c>
      <c r="BW31" s="80">
        <f>WWWW[[#This Row],['#_Water boating or water trucking]]</f>
        <v>0</v>
      </c>
      <c r="BX31" s="80">
        <f>WWWW[[#This Row],['#_Constructed/Existing water distribution system from river or natural spring]]</f>
        <v>0</v>
      </c>
      <c r="BY3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 s="81">
        <f>IF(WWWW[[#This Row],[Location Type 1]]="Village",WWWW[[#This Row],[Access to safe drinking water for Village]],WWWW[[#This Row],[Access to safe drinking water for Camp]])</f>
        <v>0</v>
      </c>
      <c r="CB31" s="79">
        <f>WWWW[[#This Row],[%Equitable and continuous access to sufficient quantity of safe drinking water]]*WWWW[[#This Row],[Total PoP ]]</f>
        <v>0</v>
      </c>
      <c r="CC31" s="81">
        <f>IF((WWWW[[#This Row],['#_Constructed/Existing protected/fenced ponds]]*250)/WWWW[[#This Row],[Total PoP ]]&gt;1,1,(WWWW[[#This Row],['#_Constructed/Existing protected/fenced ponds]]*250)/WWWW[[#This Row],[Total PoP ]])</f>
        <v>0</v>
      </c>
      <c r="CD31" s="79">
        <f>WWWW[[#This Row],[% Access to unimproved water points]]*WWWW[[#This Row],[Total PoP ]]</f>
        <v>0</v>
      </c>
      <c r="CE3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 s="79">
        <f>WWWW[[#This Row],[HRP1]]/500</f>
        <v>0</v>
      </c>
      <c r="CH31" s="78">
        <f>1-WWWW[[#This Row],[% Equitable and continuous access to sufficient quantity of domestic water]]</f>
        <v>1</v>
      </c>
      <c r="CI31" s="79">
        <f>WWWW[[#This Row],[%equitable and continuous access to sufficient quantity of safe drinking and domestic water''s GAP]]*WWWW[[#This Row],[Total PoP ]]</f>
        <v>377</v>
      </c>
      <c r="CJ31" s="80">
        <f>IF(WWWW[[#This Row],[Total required water points]]-WWWW[[#This Row],['#Water points coverage]]&lt;0,0,WWWW[[#This Row],[Total required water points]]-WWWW[[#This Row],['#Water points coverage]])</f>
        <v>1</v>
      </c>
      <c r="CK31" s="80">
        <f>ROUND(IF(WWWW[[#This Row],[Total PoP ]]&lt;500,1,WWWW[[#This Row],[Total PoP ]]/500),0)</f>
        <v>1</v>
      </c>
      <c r="CL31" s="80">
        <f>(WWWW[[#This Row],['#_Constructed latrines_by_WASHAgencies]]+WWWW[[#This Row],['#_Non Cluster partner latrines]])-WWWW[[#This Row],['#_Non-functional latrines]]</f>
        <v>24</v>
      </c>
      <c r="CM3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377</v>
      </c>
      <c r="CO3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 s="80">
        <f>IF(WWWW[[#This Row],[Location Type 1]]="Village","NA",IF(WWWW[[#This Row],['#_Constructed/Existing latrines in TLS]]*50&gt;WWWW[[#This Row],['#_students at TLS_CFS]],WWWW[[#This Row],['#_students at TLS_CFS]],(WWWW[[#This Row],['#_Constructed/Existing latrines in TLS]]*50)))</f>
        <v>0</v>
      </c>
      <c r="CQ31" s="80">
        <f>ROUND(IF(WWWW[[#This Row],[Location Type 1]]="camp",WWWW[[#This Row],[Total PoP ]]/20,IF(WWWW[[#This Row],[Location Type 1]]="Temporary Location",WWWW[[#This Row],[Total PoP ]]/50,(WWWW[[#This Row],[Total PoP ]]/6))),0)</f>
        <v>19</v>
      </c>
      <c r="CR31" s="79">
        <f>IF(WWWW[[#This Row],[Total required Latrines]]-(WWWW[[#This Row],['#_Constructed latrines_by_WASHAgencies]]+WWWW[[#This Row],['#_Non Cluster partner latrines]])&lt;0,0,WWWW[[#This Row],[Total required Latrines]]-(WWWW[[#This Row],['#_Constructed latrines_by_WASHAgencies]]+WWWW[[#This Row],['#_Non Cluster partner latrines]]))</f>
        <v>0</v>
      </c>
      <c r="CS31" s="78">
        <f>1-WWWW[[#This Row],[% people access to functioning Latrine]]</f>
        <v>0</v>
      </c>
      <c r="CT31" s="82">
        <f>IF(OR(WWWW[[#This Row],['#_Non-functional latrines]]="",WWWW[[#This Row],['#_Non-functional latrines]]=0),0,WWWW[[#This Row],['#_Non-functional latrines]]/(WWWW[[#This Row],['#_Constructed latrines_by_WASHAgencies]]+WWWW[[#This Row],['#_Non Cluster partner latrines]]))</f>
        <v>0</v>
      </c>
      <c r="CU31" s="79">
        <f>IF(500*(WWWW[[#This Row],['#_male hygiene promoters]]+WWWW[[#This Row],['#_female hygiene promoters]])&gt;WWWW[[#This Row],[Total PoP ]],WWWW[[#This Row],[Total PoP ]],500*(WWWW[[#This Row],['#_male hygiene promoters]]+WWWW[[#This Row],['#_female hygiene promoters]]))</f>
        <v>377</v>
      </c>
      <c r="CV3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1" s="80">
        <f>IF(WWWW[[#This Row],['# People with access to soap]]&gt;WWWW[[#This Row],['# People with access to Sanity Pads]],WWWW[[#This Row],['# People with access to soap]],WWWW[[#This Row],['# People with access to Sanity Pads]])</f>
        <v>0</v>
      </c>
      <c r="CY31" s="80">
        <f>IF(WWWW[[#This Row],['# people reached by regular dedicated hygiene promotion_5]]&gt;WWWW[[#This Row],['# People received regular supply of hygiene items_6]],WWWW[[#This Row],['# people reached by regular dedicated hygiene promotion_5]],WWWW[[#This Row],['# People received regular supply of hygiene items_6]])</f>
        <v>377</v>
      </c>
      <c r="CZ31" s="78">
        <f>IF(WWWW[[#This Row],[HRP3]]/WWWW[[#This Row],[Total PoP ]]&gt;100%,100%,WWWW[[#This Row],[HRP3]]/WWWW[[#This Row],[Total PoP ]])</f>
        <v>1</v>
      </c>
      <c r="DA31" s="82">
        <f>1-WWWW[[#This Row],[Hygiene Coverage%]]</f>
        <v>0</v>
      </c>
      <c r="DB31" s="81">
        <f>WWWW[[#This Row],['# people reached by regular dedicated hygiene promotion_5]]/WWWW[[#This Row],[Total PoP ]]</f>
        <v>1</v>
      </c>
      <c r="DC31" s="81">
        <f>IF(WWWW[[#This Row],['#_households that received standard amount of soap for this quarter]]/WWWW[[#This Row],[Total HH]]&gt;1,1,WWWW[[#This Row],['#_households that received standard amount of soap for this quarter]]/WWWW[[#This Row],[Total HH]])</f>
        <v>0</v>
      </c>
      <c r="DD31" s="81">
        <f>IF(WWWW[[#This Row],['#_households that received standard amount of sanitary pads for this quarter]]/WWWW[[#This Row],[Total HH]]&gt;1,1,WWWW[[#This Row],['#_households that received standard amount of sanitary pads for this quarter]]/WWWW[[#This Row],[Total HH]])</f>
        <v>0</v>
      </c>
      <c r="DE31" s="80">
        <f>WWWW[[#This Row],['#_Constructed/Existing hand washing stations]]-WWWW[[#This Row],['#_Non-Functional_hand_washing_stations]]</f>
        <v>3</v>
      </c>
      <c r="DF31" s="757">
        <f>IF(WWWW[[#This Row],['# Functional hand washing stations during reporting period]]*20&gt;WWWW[[#This Row],[Total HH]],WWWW[[#This Row],[Total HH]],WWWW[[#This Row],['# Functional hand washing stations during reporting period]]*20)</f>
        <v>60</v>
      </c>
      <c r="DG31" s="79">
        <f>IF(WWWW[[#This Row],[Is sufficient soap available for TLS? (Yes/No)]]="yes",WWWW[[#This Row],['#_Constructed/Existing hand washing stations at TLS]],0)</f>
        <v>0</v>
      </c>
      <c r="DH31" s="578">
        <f>IF(WWWW[[#This Row],['# Functional hand washing stations during reporting period]]*100&gt;WWWW[[#This Row],[Total PoP ]],WWWW[[#This Row],[Total PoP ]],WWWW[[#This Row],['# Functional hand washing stations during reporting period]]*100)</f>
        <v>300</v>
      </c>
      <c r="DI31" s="578" t="str">
        <f>IF(OR(WWWW[[#This Row],['#_students at TLS_CFS]]="",WWWW[[#This Row],['#_students at TLS_CFS]]=0),"No","Yes")</f>
        <v>No</v>
      </c>
      <c r="DJ31" s="231" t="str">
        <f>VLOOKUP(WWWW[[#This Row],[Site Name]],SiteDB6[[Site Name]:[CCCM Management]],6,FALSE)</f>
        <v>Yes</v>
      </c>
      <c r="DK31" s="231" t="str">
        <f>VLOOKUP(WWWW[[#This Row],[Site Name]],SiteDB6[[Site Name]:[CCCM Focal Agency]],7,FALSE)</f>
        <v>Shalom</v>
      </c>
      <c r="DL31" s="231" t="str">
        <f>VLOOKUP(WWWW[[#This Row],[Site Name]],SiteDB6[[Site Name]:[Location Type 1]],9,FALSE)</f>
        <v>Camp</v>
      </c>
      <c r="DM31" s="231" t="str">
        <f>VLOOKUP(WWWW[[#This Row],[Site Name]],SiteDB6[[Site Name]:[Type of Accommodation]],10,FALSE)</f>
        <v>Camp</v>
      </c>
      <c r="DN31" s="231" t="str">
        <f>VLOOKUP(WWWW[[#This Row],[Site Name]],SiteDB6[[Site Name]:[Ethnic or GCA/NGCA]],11,FALSE)</f>
        <v>GCA</v>
      </c>
      <c r="DO31" s="231">
        <f>VLOOKUP(WWWW[[#This Row],[Site Name]],SiteDB6[[Site Name]:[Lat]],12,FALSE)</f>
        <v>25.637309999999999</v>
      </c>
      <c r="DP31" s="231">
        <f>VLOOKUP(WWWW[[#This Row],[Site Name]],SiteDB6[[Site Name]:[Long]],13,FALSE)</f>
        <v>96.35257</v>
      </c>
      <c r="DQ31" s="231" t="str">
        <f>VLOOKUP(WWWW[[#This Row],[Site Name]],SiteDB6[[Site Name]:[Pcode]],3,FALSE)</f>
        <v>MMR001CMP174</v>
      </c>
      <c r="DR31" s="207" t="str">
        <f t="shared" si="1"/>
        <v>Covered</v>
      </c>
      <c r="DS31" s="207"/>
      <c r="DT31" s="20"/>
      <c r="DU31" s="20"/>
      <c r="DV31" s="20"/>
      <c r="DW31" s="20"/>
      <c r="DX31" s="20"/>
      <c r="DY31" s="20"/>
      <c r="DZ31" s="20"/>
      <c r="EA31" s="20"/>
      <c r="EB31" s="20"/>
      <c r="EC31" s="20"/>
      <c r="ED31" s="20"/>
      <c r="EE31" s="20"/>
      <c r="EF31" s="20"/>
      <c r="EG31" s="20"/>
      <c r="EH31" s="20"/>
    </row>
    <row r="32" spans="1:138" ht="15.75" customHeight="1">
      <c r="A32" s="238" t="s">
        <v>2518</v>
      </c>
      <c r="B32" s="238" t="s">
        <v>149</v>
      </c>
      <c r="C32" s="574" t="s">
        <v>149</v>
      </c>
      <c r="D32" s="574" t="s">
        <v>158</v>
      </c>
      <c r="E32" s="574" t="s">
        <v>39</v>
      </c>
      <c r="F32" s="574" t="s">
        <v>150</v>
      </c>
      <c r="G32" s="574" t="str">
        <f>VLOOKUP(WWWW[[#This Row],[Site Name]],SiteDB6[[Site Name]:[Location Type]],8,FALSE)</f>
        <v>Camp</v>
      </c>
      <c r="H32" s="574" t="s">
        <v>183</v>
      </c>
      <c r="I32" s="583">
        <v>140</v>
      </c>
      <c r="J32" s="583">
        <v>875</v>
      </c>
      <c r="K32" s="553">
        <v>43556</v>
      </c>
      <c r="L32" s="77">
        <v>43677</v>
      </c>
      <c r="M32" s="583"/>
      <c r="N32" s="583"/>
      <c r="O32" s="583"/>
      <c r="P32" s="583"/>
      <c r="Q32" s="76" t="s">
        <v>43</v>
      </c>
      <c r="R32" s="310"/>
      <c r="S32" s="310"/>
      <c r="T32" s="583">
        <v>0</v>
      </c>
      <c r="U32" s="310"/>
      <c r="V32" s="310"/>
      <c r="W32" s="583">
        <v>0</v>
      </c>
      <c r="X32" s="310"/>
      <c r="Y32" s="310"/>
      <c r="Z32" s="310"/>
      <c r="AA32" s="310">
        <v>1</v>
      </c>
      <c r="AB32" s="310"/>
      <c r="AC32" s="310"/>
      <c r="AD32" s="310"/>
      <c r="AE32" s="310"/>
      <c r="AF32" s="310"/>
      <c r="AG32" s="310"/>
      <c r="AH32" s="583">
        <v>0</v>
      </c>
      <c r="AI32" s="310"/>
      <c r="AJ32" s="310"/>
      <c r="AK32" s="310"/>
      <c r="AL32" s="310"/>
      <c r="AM32" s="310"/>
      <c r="AN32" s="310"/>
      <c r="AO32" s="207"/>
      <c r="AP32" s="583">
        <v>50</v>
      </c>
      <c r="AQ32" s="310"/>
      <c r="AR32" s="76"/>
      <c r="AS32" s="310"/>
      <c r="AT32" s="310"/>
      <c r="AU32" s="310"/>
      <c r="AV32" s="310"/>
      <c r="AW32" s="583">
        <v>50</v>
      </c>
      <c r="AX32" s="231" t="s">
        <v>43</v>
      </c>
      <c r="AY32" s="231" t="s">
        <v>145</v>
      </c>
      <c r="AZ32" s="310"/>
      <c r="BA32" s="310"/>
      <c r="BB32" s="310"/>
      <c r="BC32" s="207"/>
      <c r="BD32" s="310"/>
      <c r="BE32" s="310"/>
      <c r="BF32" s="310"/>
      <c r="BG32" s="310">
        <v>4</v>
      </c>
      <c r="BH32" s="310"/>
      <c r="BI32" s="310"/>
      <c r="BJ32" s="310">
        <v>3</v>
      </c>
      <c r="BK32" s="310"/>
      <c r="BL32" s="310"/>
      <c r="BM32" s="207"/>
      <c r="BN32" s="79"/>
      <c r="BO32" s="81"/>
      <c r="BP32" s="207"/>
      <c r="BQ32" s="78" t="str">
        <f>IFERROR(WWWW[[#This Row],['#_Water sources treated]]/WWWW[[#This Row],['#_Water sources tested for contamination]],"no test")</f>
        <v>no test</v>
      </c>
      <c r="BR32" s="81" t="str">
        <f>IFERROR(WWWW[[#This Row],['#_Household received remediation action due to contamination]]/WWWW[[#This Row],['#_Household water samples tested for contamination]],"no test")</f>
        <v>no test</v>
      </c>
      <c r="BS32" s="80" t="str">
        <f>IF(AND(WWWW[[#This Row],[% of water sources treated]]="no test",WWWW[[#This Row],[% Household received corrective actions]]="no test"),"No Test","Tested")</f>
        <v>No Test</v>
      </c>
      <c r="BT32" s="80">
        <f>WWWW[[#This Row],['#_Constructed/existing protected hand dug well]]-WWWW[[#This Row],['#_Non-functional protected hand dug well]]</f>
        <v>0</v>
      </c>
      <c r="BU32" s="80">
        <f>(WWWW[[#This Row],['#_Constructed/Existing tube wells/boreholes/handpumps_WASH_agency]]+WWWW[[#This Row],['#_Non-Cluster partner water tube-wells/boreholes/handpumps]])-WWWW[[#This Row],['#_Non-functional tube wells/boreholes/handpumps]]</f>
        <v>0</v>
      </c>
      <c r="BV32" s="80">
        <f>WWWW[[#This Row],['#_Constructed/Existingwater storage tank with gravity fed reticulation system]]-WWWW[[#This Row],['#_Non-functional storage tank gravity fed reticulation system]]</f>
        <v>1</v>
      </c>
      <c r="BW32" s="80">
        <f>WWWW[[#This Row],['#_Water boating or water trucking]]</f>
        <v>0</v>
      </c>
      <c r="BX32" s="80">
        <f>WWWW[[#This Row],['#_Constructed/Existing water distribution system from river or natural spring]]</f>
        <v>0</v>
      </c>
      <c r="BY3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7.6190476190476197E-2</v>
      </c>
      <c r="BZ3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7.6190476190476197E-2</v>
      </c>
      <c r="CA32" s="81">
        <f>IF(WWWW[[#This Row],[Location Type 1]]="Village",WWWW[[#This Row],[Access to safe drinking water for Village]],WWWW[[#This Row],[Access to safe drinking water for Camp]])</f>
        <v>7.6190476190476197E-2</v>
      </c>
      <c r="CB32" s="79">
        <f>WWWW[[#This Row],[%Equitable and continuous access to sufficient quantity of safe drinking water]]*WWWW[[#This Row],[Total PoP ]]</f>
        <v>66.666666666666671</v>
      </c>
      <c r="CC32" s="81">
        <f>IF((WWWW[[#This Row],['#_Constructed/Existing protected/fenced ponds]]*250)/WWWW[[#This Row],[Total PoP ]]&gt;1,1,(WWWW[[#This Row],['#_Constructed/Existing protected/fenced ponds]]*250)/WWWW[[#This Row],[Total PoP ]])</f>
        <v>0</v>
      </c>
      <c r="CD32" s="79">
        <f>WWWW[[#This Row],[% Access to unimproved water points]]*WWWW[[#This Row],[Total PoP ]]</f>
        <v>0</v>
      </c>
      <c r="CE3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F3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32" s="79">
        <f>WWWW[[#This Row],[HRP1]]/500</f>
        <v>0.13333333333333333</v>
      </c>
      <c r="CH32" s="78">
        <f>1-WWWW[[#This Row],[% Equitable and continuous access to sufficient quantity of domestic water]]</f>
        <v>0.92380952380952386</v>
      </c>
      <c r="CI32" s="79">
        <f>WWWW[[#This Row],[%equitable and continuous access to sufficient quantity of safe drinking and domestic water''s GAP]]*WWWW[[#This Row],[Total PoP ]]</f>
        <v>808.33333333333337</v>
      </c>
      <c r="CJ32" s="80">
        <f>IF(WWWW[[#This Row],[Total required water points]]-WWWW[[#This Row],['#Water points coverage]]&lt;0,0,WWWW[[#This Row],[Total required water points]]-WWWW[[#This Row],['#Water points coverage]])</f>
        <v>1.8666666666666667</v>
      </c>
      <c r="CK32" s="80">
        <f>ROUND(IF(WWWW[[#This Row],[Total PoP ]]&lt;500,1,WWWW[[#This Row],[Total PoP ]]/500),0)</f>
        <v>2</v>
      </c>
      <c r="CL32" s="80">
        <f>(WWWW[[#This Row],['#_Constructed latrines_by_WASHAgencies]]+WWWW[[#This Row],['#_Non Cluster partner latrines]])-WWWW[[#This Row],['#_Non-functional latrines]]</f>
        <v>50</v>
      </c>
      <c r="CM3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875</v>
      </c>
      <c r="CO3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2" s="80">
        <f>IF(WWWW[[#This Row],[Location Type 1]]="Village","NA",IF(WWWW[[#This Row],['#_Constructed/Existing latrines in TLS]]*50&gt;WWWW[[#This Row],['#_students at TLS_CFS]],WWWW[[#This Row],['#_students at TLS_CFS]],(WWWW[[#This Row],['#_Constructed/Existing latrines in TLS]]*50)))</f>
        <v>0</v>
      </c>
      <c r="CQ32" s="80">
        <f>ROUND(IF(WWWW[[#This Row],[Location Type 1]]="camp",WWWW[[#This Row],[Total PoP ]]/20,IF(WWWW[[#This Row],[Location Type 1]]="Temporary Location",WWWW[[#This Row],[Total PoP ]]/50,(WWWW[[#This Row],[Total PoP ]]/6))),0)</f>
        <v>44</v>
      </c>
      <c r="CR32" s="79">
        <f>IF(WWWW[[#This Row],[Total required Latrines]]-(WWWW[[#This Row],['#_Constructed latrines_by_WASHAgencies]]+WWWW[[#This Row],['#_Non Cluster partner latrines]])&lt;0,0,WWWW[[#This Row],[Total required Latrines]]-(WWWW[[#This Row],['#_Constructed latrines_by_WASHAgencies]]+WWWW[[#This Row],['#_Non Cluster partner latrines]]))</f>
        <v>0</v>
      </c>
      <c r="CS32" s="78">
        <f>1-WWWW[[#This Row],[% people access to functioning Latrine]]</f>
        <v>0</v>
      </c>
      <c r="CT32" s="82">
        <f>IF(OR(WWWW[[#This Row],['#_Non-functional latrines]]="",WWWW[[#This Row],['#_Non-functional latrines]]=0),0,WWWW[[#This Row],['#_Non-functional latrines]]/(WWWW[[#This Row],['#_Constructed latrines_by_WASHAgencies]]+WWWW[[#This Row],['#_Non Cluster partner latrines]]))</f>
        <v>0</v>
      </c>
      <c r="CU32" s="79">
        <f>IF(500*(WWWW[[#This Row],['#_male hygiene promoters]]+WWWW[[#This Row],['#_female hygiene promoters]])&gt;WWWW[[#This Row],[Total PoP ]],WWWW[[#This Row],[Total PoP ]],500*(WWWW[[#This Row],['#_male hygiene promoters]]+WWWW[[#This Row],['#_female hygiene promoters]]))</f>
        <v>875</v>
      </c>
      <c r="CV3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 s="80">
        <f>IF(WWWW[[#This Row],['# People with access to soap]]&gt;WWWW[[#This Row],['# People with access to Sanity Pads]],WWWW[[#This Row],['# People with access to soap]],WWWW[[#This Row],['# People with access to Sanity Pads]])</f>
        <v>0</v>
      </c>
      <c r="CY32" s="80">
        <f>IF(WWWW[[#This Row],['# people reached by regular dedicated hygiene promotion_5]]&gt;WWWW[[#This Row],['# People received regular supply of hygiene items_6]],WWWW[[#This Row],['# people reached by regular dedicated hygiene promotion_5]],WWWW[[#This Row],['# People received regular supply of hygiene items_6]])</f>
        <v>875</v>
      </c>
      <c r="CZ32" s="78">
        <f>IF(WWWW[[#This Row],[HRP3]]/WWWW[[#This Row],[Total PoP ]]&gt;100%,100%,WWWW[[#This Row],[HRP3]]/WWWW[[#This Row],[Total PoP ]])</f>
        <v>1</v>
      </c>
      <c r="DA32" s="82">
        <f>1-WWWW[[#This Row],[Hygiene Coverage%]]</f>
        <v>0</v>
      </c>
      <c r="DB32" s="81">
        <f>WWWW[[#This Row],['# people reached by regular dedicated hygiene promotion_5]]/WWWW[[#This Row],[Total PoP ]]</f>
        <v>1</v>
      </c>
      <c r="DC32" s="81">
        <f>IF(WWWW[[#This Row],['#_households that received standard amount of soap for this quarter]]/WWWW[[#This Row],[Total HH]]&gt;1,1,WWWW[[#This Row],['#_households that received standard amount of soap for this quarter]]/WWWW[[#This Row],[Total HH]])</f>
        <v>0</v>
      </c>
      <c r="DD32" s="81">
        <f>IF(WWWW[[#This Row],['#_households that received standard amount of sanitary pads for this quarter]]/WWWW[[#This Row],[Total HH]]&gt;1,1,WWWW[[#This Row],['#_households that received standard amount of sanitary pads for this quarter]]/WWWW[[#This Row],[Total HH]])</f>
        <v>0</v>
      </c>
      <c r="DE32" s="80">
        <f>WWWW[[#This Row],['#_Constructed/Existing hand washing stations]]-WWWW[[#This Row],['#_Non-Functional_hand_washing_stations]]</f>
        <v>0</v>
      </c>
      <c r="DF32" s="757">
        <f>IF(WWWW[[#This Row],['# Functional hand washing stations during reporting period]]*20&gt;WWWW[[#This Row],[Total HH]],WWWW[[#This Row],[Total HH]],WWWW[[#This Row],['# Functional hand washing stations during reporting period]]*20)</f>
        <v>0</v>
      </c>
      <c r="DG32" s="79">
        <f>IF(WWWW[[#This Row],[Is sufficient soap available for TLS? (Yes/No)]]="yes",WWWW[[#This Row],['#_Constructed/Existing hand washing stations at TLS]],0)</f>
        <v>0</v>
      </c>
      <c r="DH32" s="578">
        <f>IF(WWWW[[#This Row],['# Functional hand washing stations during reporting period]]*100&gt;WWWW[[#This Row],[Total PoP ]],WWWW[[#This Row],[Total PoP ]],WWWW[[#This Row],['# Functional hand washing stations during reporting period]]*100)</f>
        <v>0</v>
      </c>
      <c r="DI32" s="578" t="str">
        <f>IF(OR(WWWW[[#This Row],['#_students at TLS_CFS]]="",WWWW[[#This Row],['#_students at TLS_CFS]]=0),"No","Yes")</f>
        <v>No</v>
      </c>
      <c r="DJ32" s="231" t="str">
        <f>VLOOKUP(WWWW[[#This Row],[Site Name]],SiteDB6[[Site Name]:[CCCM Management]],6,FALSE)</f>
        <v>Yes</v>
      </c>
      <c r="DK32" s="231" t="str">
        <f>VLOOKUP(WWWW[[#This Row],[Site Name]],SiteDB6[[Site Name]:[CCCM Focal Agency]],7,FALSE)</f>
        <v>KBC-MYT</v>
      </c>
      <c r="DL32" s="231" t="str">
        <f>VLOOKUP(WWWW[[#This Row],[Site Name]],SiteDB6[[Site Name]:[Location Type 1]],9,FALSE)</f>
        <v>Camp</v>
      </c>
      <c r="DM32" s="231" t="str">
        <f>VLOOKUP(WWWW[[#This Row],[Site Name]],SiteDB6[[Site Name]:[Type of Accommodation]],10,FALSE)</f>
        <v>Camp</v>
      </c>
      <c r="DN32" s="231" t="str">
        <f>VLOOKUP(WWWW[[#This Row],[Site Name]],SiteDB6[[Site Name]:[Ethnic or GCA/NGCA]],11,FALSE)</f>
        <v>NGCA</v>
      </c>
      <c r="DO32" s="231">
        <f>VLOOKUP(WWWW[[#This Row],[Site Name]],SiteDB6[[Site Name]:[Lat]],12,FALSE)</f>
        <v>25.200333000000001</v>
      </c>
      <c r="DP32" s="231">
        <f>VLOOKUP(WWWW[[#This Row],[Site Name]],SiteDB6[[Site Name]:[Long]],13,FALSE)</f>
        <v>97.807182999999995</v>
      </c>
      <c r="DQ32" s="231" t="str">
        <f>VLOOKUP(WWWW[[#This Row],[Site Name]],SiteDB6[[Site Name]:[Pcode]],3,FALSE)</f>
        <v>MMR001CMP115</v>
      </c>
      <c r="DR32" s="207" t="str">
        <f t="shared" si="1"/>
        <v>Covered</v>
      </c>
      <c r="DS32" s="207"/>
      <c r="DT32" s="20"/>
      <c r="DU32" s="20"/>
      <c r="DV32" s="20"/>
      <c r="DW32" s="20"/>
      <c r="DX32" s="20"/>
      <c r="DY32" s="20"/>
      <c r="DZ32" s="20"/>
      <c r="EA32" s="20"/>
      <c r="EB32" s="20"/>
      <c r="EC32" s="20"/>
      <c r="ED32" s="20"/>
      <c r="EE32" s="20"/>
      <c r="EF32" s="20"/>
      <c r="EG32" s="20"/>
      <c r="EH32" s="20"/>
    </row>
    <row r="33" spans="1:138" ht="15.75" customHeight="1">
      <c r="A33" s="238" t="s">
        <v>2518</v>
      </c>
      <c r="B33" s="574" t="s">
        <v>250</v>
      </c>
      <c r="C33" s="574" t="s">
        <v>250</v>
      </c>
      <c r="D33" s="574" t="s">
        <v>315</v>
      </c>
      <c r="E33" s="574" t="s">
        <v>39</v>
      </c>
      <c r="F33" s="574" t="s">
        <v>156</v>
      </c>
      <c r="G33" s="574" t="str">
        <f>VLOOKUP(WWWW[[#This Row],[Site Name]],SiteDB6[[Site Name]:[Location Type]],8,FALSE)</f>
        <v>Camp</v>
      </c>
      <c r="H33" s="574" t="s">
        <v>261</v>
      </c>
      <c r="I33" s="583">
        <v>2</v>
      </c>
      <c r="J33" s="583">
        <v>14</v>
      </c>
      <c r="K33" s="553">
        <v>43313</v>
      </c>
      <c r="L33" s="77">
        <v>44043</v>
      </c>
      <c r="M33" s="583"/>
      <c r="N33" s="583">
        <v>0</v>
      </c>
      <c r="O33" s="583"/>
      <c r="P33" s="583"/>
      <c r="Q33" s="574"/>
      <c r="R33" s="310"/>
      <c r="S33" s="310"/>
      <c r="T33" s="310"/>
      <c r="U33" s="310"/>
      <c r="V33" s="310"/>
      <c r="W33" s="310">
        <v>0</v>
      </c>
      <c r="X33" s="310"/>
      <c r="Y33" s="310"/>
      <c r="Z33" s="310"/>
      <c r="AA33" s="583"/>
      <c r="AB33" s="310"/>
      <c r="AC33" s="310"/>
      <c r="AD33" s="310"/>
      <c r="AE33" s="310"/>
      <c r="AF33" s="310"/>
      <c r="AG33" s="310"/>
      <c r="AH33" s="310"/>
      <c r="AI33" s="310"/>
      <c r="AJ33" s="310"/>
      <c r="AK33" s="310"/>
      <c r="AL33" s="310"/>
      <c r="AM33" s="310"/>
      <c r="AN33" s="310"/>
      <c r="AO33" s="207"/>
      <c r="AP33" s="310">
        <v>0</v>
      </c>
      <c r="AQ33" s="310"/>
      <c r="AR33" s="76"/>
      <c r="AS33" s="310"/>
      <c r="AT33" s="310"/>
      <c r="AU33" s="310"/>
      <c r="AV33" s="310"/>
      <c r="AW33" s="583">
        <v>0</v>
      </c>
      <c r="AX33" s="581"/>
      <c r="AY33" s="231"/>
      <c r="AZ33" s="310"/>
      <c r="BA33" s="310"/>
      <c r="BB33" s="310"/>
      <c r="BC33" s="207"/>
      <c r="BD33" s="310"/>
      <c r="BE33" s="310"/>
      <c r="BF33" s="310">
        <v>0</v>
      </c>
      <c r="BG33" s="310"/>
      <c r="BH33" s="310"/>
      <c r="BI33" s="310"/>
      <c r="BJ33" s="310"/>
      <c r="BK33" s="310"/>
      <c r="BL33" s="310"/>
      <c r="BM33" s="207"/>
      <c r="BN33" s="79"/>
      <c r="BO33" s="81"/>
      <c r="BP33" s="207"/>
      <c r="BQ33" s="78" t="str">
        <f>IFERROR(WWWW[[#This Row],['#_Water sources treated]]/WWWW[[#This Row],['#_Water sources tested for contamination]],"no test")</f>
        <v>no test</v>
      </c>
      <c r="BR33" s="81" t="str">
        <f>IFERROR(WWWW[[#This Row],['#_Household received remediation action due to contamination]]/WWWW[[#This Row],['#_Household water samples tested for contamination]],"no test")</f>
        <v>no test</v>
      </c>
      <c r="BS33" s="80" t="str">
        <f>IF(AND(WWWW[[#This Row],[% of water sources treated]]="no test",WWWW[[#This Row],[% Household received corrective actions]]="no test"),"No Test","Tested")</f>
        <v>No Test</v>
      </c>
      <c r="BT33" s="80">
        <f>WWWW[[#This Row],['#_Constructed/existing protected hand dug well]]-WWWW[[#This Row],['#_Non-functional protected hand dug well]]</f>
        <v>0</v>
      </c>
      <c r="BU33" s="80">
        <f>(WWWW[[#This Row],['#_Constructed/Existing tube wells/boreholes/handpumps_WASH_agency]]+WWWW[[#This Row],['#_Non-Cluster partner water tube-wells/boreholes/handpumps]])-WWWW[[#This Row],['#_Non-functional tube wells/boreholes/handpumps]]</f>
        <v>0</v>
      </c>
      <c r="BV33" s="80">
        <f>WWWW[[#This Row],['#_Constructed/Existingwater storage tank with gravity fed reticulation system]]-WWWW[[#This Row],['#_Non-functional storage tank gravity fed reticulation system]]</f>
        <v>0</v>
      </c>
      <c r="BW33" s="80">
        <f>WWWW[[#This Row],['#_Water boating or water trucking]]</f>
        <v>0</v>
      </c>
      <c r="BX33" s="80">
        <f>WWWW[[#This Row],['#_Constructed/Existing water distribution system from river or natural spring]]</f>
        <v>0</v>
      </c>
      <c r="BY3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 s="81">
        <f>IF(WWWW[[#This Row],[Location Type 1]]="Village",WWWW[[#This Row],[Access to safe drinking water for Village]],WWWW[[#This Row],[Access to safe drinking water for Camp]])</f>
        <v>0</v>
      </c>
      <c r="CB33" s="79">
        <f>WWWW[[#This Row],[%Equitable and continuous access to sufficient quantity of safe drinking water]]*WWWW[[#This Row],[Total PoP ]]</f>
        <v>0</v>
      </c>
      <c r="CC33" s="81">
        <f>IF((WWWW[[#This Row],['#_Constructed/Existing protected/fenced ponds]]*250)/WWWW[[#This Row],[Total PoP ]]&gt;1,1,(WWWW[[#This Row],['#_Constructed/Existing protected/fenced ponds]]*250)/WWWW[[#This Row],[Total PoP ]])</f>
        <v>0</v>
      </c>
      <c r="CD33" s="79">
        <f>WWWW[[#This Row],[% Access to unimproved water points]]*WWWW[[#This Row],[Total PoP ]]</f>
        <v>0</v>
      </c>
      <c r="CE3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 s="79">
        <f>WWWW[[#This Row],[HRP1]]/500</f>
        <v>0</v>
      </c>
      <c r="CH33" s="78">
        <f>1-WWWW[[#This Row],[% Equitable and continuous access to sufficient quantity of domestic water]]</f>
        <v>1</v>
      </c>
      <c r="CI33" s="79">
        <f>WWWW[[#This Row],[%equitable and continuous access to sufficient quantity of safe drinking and domestic water''s GAP]]*WWWW[[#This Row],[Total PoP ]]</f>
        <v>14</v>
      </c>
      <c r="CJ33" s="80">
        <f>IF(WWWW[[#This Row],[Total required water points]]-WWWW[[#This Row],['#Water points coverage]]&lt;0,0,WWWW[[#This Row],[Total required water points]]-WWWW[[#This Row],['#Water points coverage]])</f>
        <v>1</v>
      </c>
      <c r="CK33" s="80">
        <f>ROUND(IF(WWWW[[#This Row],[Total PoP ]]&lt;500,1,WWWW[[#This Row],[Total PoP ]]/500),0)</f>
        <v>1</v>
      </c>
      <c r="CL33" s="80">
        <f>(WWWW[[#This Row],['#_Constructed latrines_by_WASHAgencies]]+WWWW[[#This Row],['#_Non Cluster partner latrines]])-WWWW[[#This Row],['#_Non-functional latrines]]</f>
        <v>0</v>
      </c>
      <c r="CM3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3" s="80">
        <f>IF(WWWW[[#This Row],[Location Type 1]]="Village","NA",IF(WWWW[[#This Row],['#_Constructed/Existing latrines in TLS]]*50&gt;WWWW[[#This Row],['#_students at TLS_CFS]],WWWW[[#This Row],['#_students at TLS_CFS]],(WWWW[[#This Row],['#_Constructed/Existing latrines in TLS]]*50)))</f>
        <v>0</v>
      </c>
      <c r="CQ33" s="80">
        <f>ROUND(IF(WWWW[[#This Row],[Location Type 1]]="camp",WWWW[[#This Row],[Total PoP ]]/20,IF(WWWW[[#This Row],[Location Type 1]]="Temporary Location",WWWW[[#This Row],[Total PoP ]]/50,(WWWW[[#This Row],[Total PoP ]]/6))),0)</f>
        <v>1</v>
      </c>
      <c r="CR33" s="79">
        <f>IF(WWWW[[#This Row],[Total required Latrines]]-(WWWW[[#This Row],['#_Constructed latrines_by_WASHAgencies]]+WWWW[[#This Row],['#_Non Cluster partner latrines]])&lt;0,0,WWWW[[#This Row],[Total required Latrines]]-(WWWW[[#This Row],['#_Constructed latrines_by_WASHAgencies]]+WWWW[[#This Row],['#_Non Cluster partner latrines]]))</f>
        <v>1</v>
      </c>
      <c r="CS33" s="78">
        <f>1-WWWW[[#This Row],[% people access to functioning Latrine]]</f>
        <v>1</v>
      </c>
      <c r="CT33" s="82">
        <f>IF(OR(WWWW[[#This Row],['#_Non-functional latrines]]="",WWWW[[#This Row],['#_Non-functional latrines]]=0),0,WWWW[[#This Row],['#_Non-functional latrines]]/(WWWW[[#This Row],['#_Constructed latrines_by_WASHAgencies]]+WWWW[[#This Row],['#_Non Cluster partner latrines]]))</f>
        <v>0</v>
      </c>
      <c r="CU33" s="79">
        <f>IF(500*(WWWW[[#This Row],['#_male hygiene promoters]]+WWWW[[#This Row],['#_female hygiene promoters]])&gt;WWWW[[#This Row],[Total PoP ]],WWWW[[#This Row],[Total PoP ]],500*(WWWW[[#This Row],['#_male hygiene promoters]]+WWWW[[#This Row],['#_female hygiene promoters]]))</f>
        <v>0</v>
      </c>
      <c r="CV3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 s="80">
        <f>IF(WWWW[[#This Row],['# People with access to soap]]&gt;WWWW[[#This Row],['# People with access to Sanity Pads]],WWWW[[#This Row],['# People with access to soap]],WWWW[[#This Row],['# People with access to Sanity Pads]])</f>
        <v>0</v>
      </c>
      <c r="CY33"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 s="78">
        <f>IF(WWWW[[#This Row],[HRP3]]/WWWW[[#This Row],[Total PoP ]]&gt;100%,100%,WWWW[[#This Row],[HRP3]]/WWWW[[#This Row],[Total PoP ]])</f>
        <v>0</v>
      </c>
      <c r="DA33" s="82">
        <f>1-WWWW[[#This Row],[Hygiene Coverage%]]</f>
        <v>1</v>
      </c>
      <c r="DB33" s="81">
        <f>WWWW[[#This Row],['# people reached by regular dedicated hygiene promotion_5]]/WWWW[[#This Row],[Total PoP ]]</f>
        <v>0</v>
      </c>
      <c r="DC33" s="81">
        <f>IF(WWWW[[#This Row],['#_households that received standard amount of soap for this quarter]]/WWWW[[#This Row],[Total HH]]&gt;1,1,WWWW[[#This Row],['#_households that received standard amount of soap for this quarter]]/WWWW[[#This Row],[Total HH]])</f>
        <v>0</v>
      </c>
      <c r="DD33" s="81">
        <f>IF(WWWW[[#This Row],['#_households that received standard amount of sanitary pads for this quarter]]/WWWW[[#This Row],[Total HH]]&gt;1,1,WWWW[[#This Row],['#_households that received standard amount of sanitary pads for this quarter]]/WWWW[[#This Row],[Total HH]])</f>
        <v>0</v>
      </c>
      <c r="DE33" s="80">
        <f>WWWW[[#This Row],['#_Constructed/Existing hand washing stations]]-WWWW[[#This Row],['#_Non-Functional_hand_washing_stations]]</f>
        <v>0</v>
      </c>
      <c r="DF33" s="757">
        <f>IF(WWWW[[#This Row],['# Functional hand washing stations during reporting period]]*20&gt;WWWW[[#This Row],[Total HH]],WWWW[[#This Row],[Total HH]],WWWW[[#This Row],['# Functional hand washing stations during reporting period]]*20)</f>
        <v>0</v>
      </c>
      <c r="DG33" s="79">
        <f>IF(WWWW[[#This Row],[Is sufficient soap available for TLS? (Yes/No)]]="yes",WWWW[[#This Row],['#_Constructed/Existing hand washing stations at TLS]],0)</f>
        <v>0</v>
      </c>
      <c r="DH33" s="578">
        <f>IF(WWWW[[#This Row],['# Functional hand washing stations during reporting period]]*100&gt;WWWW[[#This Row],[Total PoP ]],WWWW[[#This Row],[Total PoP ]],WWWW[[#This Row],['# Functional hand washing stations during reporting period]]*100)</f>
        <v>0</v>
      </c>
      <c r="DI33" s="578" t="str">
        <f>IF(OR(WWWW[[#This Row],['#_students at TLS_CFS]]="",WWWW[[#This Row],['#_students at TLS_CFS]]=0),"No","Yes")</f>
        <v>No</v>
      </c>
      <c r="DJ33" s="231" t="str">
        <f>VLOOKUP(WWWW[[#This Row],[Site Name]],SiteDB6[[Site Name]:[CCCM Management]],6,FALSE)</f>
        <v>Yes</v>
      </c>
      <c r="DK33" s="231" t="str">
        <f>VLOOKUP(WWWW[[#This Row],[Site Name]],SiteDB6[[Site Name]:[CCCM Focal Agency]],7,FALSE)</f>
        <v>uncovered</v>
      </c>
      <c r="DL33" s="231" t="str">
        <f>VLOOKUP(WWWW[[#This Row],[Site Name]],SiteDB6[[Site Name]:[Location Type 1]],9,FALSE)</f>
        <v>Camp</v>
      </c>
      <c r="DM33" s="231" t="str">
        <f>VLOOKUP(WWWW[[#This Row],[Site Name]],SiteDB6[[Site Name]:[Type of Accommodation]],10,FALSE)</f>
        <v>Camp like setting</v>
      </c>
      <c r="DN33" s="231" t="str">
        <f>VLOOKUP(WWWW[[#This Row],[Site Name]],SiteDB6[[Site Name]:[Ethnic or GCA/NGCA]],11,FALSE)</f>
        <v>GCA</v>
      </c>
      <c r="DO33" s="231">
        <f>VLOOKUP(WWWW[[#This Row],[Site Name]],SiteDB6[[Site Name]:[Lat]],12,FALSE)</f>
        <v>25.615960999999999</v>
      </c>
      <c r="DP33" s="231">
        <f>VLOOKUP(WWWW[[#This Row],[Site Name]],SiteDB6[[Site Name]:[Long]],13,FALSE)</f>
        <v>96.316564</v>
      </c>
      <c r="DQ33" s="231" t="str">
        <f>VLOOKUP(WWWW[[#This Row],[Site Name]],SiteDB6[[Site Name]:[Pcode]],3,FALSE)</f>
        <v>MMR001CMP191</v>
      </c>
      <c r="DR33" s="207" t="str">
        <f t="shared" si="1"/>
        <v>Covered</v>
      </c>
      <c r="DS33" s="207"/>
      <c r="DT33" s="20"/>
      <c r="DU33" s="20"/>
      <c r="DV33" s="20"/>
      <c r="DW33" s="20"/>
      <c r="DX33" s="20"/>
      <c r="DY33" s="20"/>
      <c r="DZ33" s="20"/>
      <c r="EA33" s="20"/>
      <c r="EB33" s="20"/>
      <c r="EC33" s="20"/>
      <c r="ED33" s="20"/>
      <c r="EE33" s="20"/>
      <c r="EF33" s="20"/>
      <c r="EG33" s="20"/>
      <c r="EH33" s="20"/>
    </row>
    <row r="34" spans="1:138" ht="15.75" customHeight="1">
      <c r="A34" s="238" t="s">
        <v>2518</v>
      </c>
      <c r="B34" s="574" t="s">
        <v>250</v>
      </c>
      <c r="C34" s="574" t="s">
        <v>250</v>
      </c>
      <c r="D34" s="574" t="s">
        <v>315</v>
      </c>
      <c r="E34" s="574" t="s">
        <v>39</v>
      </c>
      <c r="F34" s="574" t="s">
        <v>156</v>
      </c>
      <c r="G34" s="574" t="str">
        <f>VLOOKUP(WWWW[[#This Row],[Site Name]],SiteDB6[[Site Name]:[Location Type]],8,FALSE)</f>
        <v>Camp</v>
      </c>
      <c r="H34" s="574" t="s">
        <v>262</v>
      </c>
      <c r="I34" s="583">
        <v>107</v>
      </c>
      <c r="J34" s="583">
        <v>519</v>
      </c>
      <c r="K34" s="553">
        <v>43313</v>
      </c>
      <c r="L34" s="77">
        <v>44043</v>
      </c>
      <c r="M34" s="583">
        <v>28</v>
      </c>
      <c r="N34" s="583">
        <v>1</v>
      </c>
      <c r="O34" s="583">
        <v>0</v>
      </c>
      <c r="P34" s="583">
        <v>0</v>
      </c>
      <c r="Q34" s="574" t="s">
        <v>43</v>
      </c>
      <c r="R34" s="310">
        <v>4</v>
      </c>
      <c r="S34" s="310">
        <v>1</v>
      </c>
      <c r="T34" s="310">
        <v>0</v>
      </c>
      <c r="U34" s="310">
        <v>0</v>
      </c>
      <c r="V34" s="310">
        <v>0</v>
      </c>
      <c r="W34" s="310">
        <v>0</v>
      </c>
      <c r="X34" s="310">
        <v>0</v>
      </c>
      <c r="Y34" s="310">
        <v>0</v>
      </c>
      <c r="Z34" s="310">
        <v>0</v>
      </c>
      <c r="AA34" s="583">
        <v>1</v>
      </c>
      <c r="AB34" s="310">
        <v>0</v>
      </c>
      <c r="AC34" s="310">
        <v>1</v>
      </c>
      <c r="AD34" s="310">
        <v>0</v>
      </c>
      <c r="AE34" s="310">
        <v>4</v>
      </c>
      <c r="AF34" s="310">
        <v>1</v>
      </c>
      <c r="AG34" s="310">
        <v>0</v>
      </c>
      <c r="AH34" s="310">
        <v>1</v>
      </c>
      <c r="AI34" s="310"/>
      <c r="AJ34" s="310"/>
      <c r="AK34" s="310"/>
      <c r="AL34" s="310"/>
      <c r="AM34" s="310">
        <v>0</v>
      </c>
      <c r="AN34" s="310">
        <v>0</v>
      </c>
      <c r="AO34" s="207"/>
      <c r="AP34" s="310">
        <v>34</v>
      </c>
      <c r="AQ34" s="310">
        <v>0</v>
      </c>
      <c r="AR34" s="76" t="s">
        <v>250</v>
      </c>
      <c r="AS34" s="310">
        <v>2</v>
      </c>
      <c r="AT34" s="310">
        <v>16</v>
      </c>
      <c r="AU34" s="310">
        <v>14</v>
      </c>
      <c r="AV34" s="310"/>
      <c r="AW34" s="583">
        <v>0</v>
      </c>
      <c r="AX34" s="581" t="s">
        <v>43</v>
      </c>
      <c r="AY34" s="231" t="s">
        <v>145</v>
      </c>
      <c r="AZ34" s="310">
        <v>0</v>
      </c>
      <c r="BA34" s="310">
        <v>0</v>
      </c>
      <c r="BB34" s="310">
        <v>2</v>
      </c>
      <c r="BC34" s="207"/>
      <c r="BD34" s="310">
        <v>5</v>
      </c>
      <c r="BE34" s="310">
        <v>0</v>
      </c>
      <c r="BF34" s="310">
        <v>0</v>
      </c>
      <c r="BG34" s="310">
        <v>5</v>
      </c>
      <c r="BH34" s="310">
        <v>0</v>
      </c>
      <c r="BI34" s="310">
        <v>4</v>
      </c>
      <c r="BJ34" s="310">
        <v>4</v>
      </c>
      <c r="BK34" s="310">
        <v>0</v>
      </c>
      <c r="BL34" s="310">
        <v>0</v>
      </c>
      <c r="BM34" s="207" t="s">
        <v>144</v>
      </c>
      <c r="BN34" s="79">
        <v>0</v>
      </c>
      <c r="BO34" s="81">
        <v>0.3</v>
      </c>
      <c r="BP34" s="207"/>
      <c r="BQ34" s="78" t="str">
        <f>IFERROR(WWWW[[#This Row],['#_Water sources treated]]/WWWW[[#This Row],['#_Water sources tested for contamination]],"no test")</f>
        <v>no test</v>
      </c>
      <c r="BR34" s="81" t="str">
        <f>IFERROR(WWWW[[#This Row],['#_Household received remediation action due to contamination]]/WWWW[[#This Row],['#_Household water samples tested for contamination]],"no test")</f>
        <v>no test</v>
      </c>
      <c r="BS34" s="80" t="str">
        <f>IF(AND(WWWW[[#This Row],[% of water sources treated]]="no test",WWWW[[#This Row],[% Household received corrective actions]]="no test"),"No Test","Tested")</f>
        <v>No Test</v>
      </c>
      <c r="BT34" s="80">
        <f>WWWW[[#This Row],['#_Constructed/existing protected hand dug well]]-WWWW[[#This Row],['#_Non-functional protected hand dug well]]</f>
        <v>0</v>
      </c>
      <c r="BU34" s="80">
        <f>(WWWW[[#This Row],['#_Constructed/Existing tube wells/boreholes/handpumps_WASH_agency]]+WWWW[[#This Row],['#_Non-Cluster partner water tube-wells/boreholes/handpumps]])-WWWW[[#This Row],['#_Non-functional tube wells/boreholes/handpumps]]</f>
        <v>0</v>
      </c>
      <c r="BV34" s="80">
        <f>WWWW[[#This Row],['#_Constructed/Existingwater storage tank with gravity fed reticulation system]]-WWWW[[#This Row],['#_Non-functional storage tank gravity fed reticulation system]]</f>
        <v>1</v>
      </c>
      <c r="BW34" s="80">
        <f>WWWW[[#This Row],['#_Water boating or water trucking]]</f>
        <v>0</v>
      </c>
      <c r="BX34" s="80">
        <f>WWWW[[#This Row],['#_Constructed/Existing water distribution system from river or natural spring]]</f>
        <v>1</v>
      </c>
      <c r="BY3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0.1285806037251124</v>
      </c>
      <c r="BZ3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0.1285806037251124</v>
      </c>
      <c r="CA34" s="81">
        <f>IF(WWWW[[#This Row],[Location Type 1]]="Village",WWWW[[#This Row],[Access to safe drinking water for Village]],WWWW[[#This Row],[Access to safe drinking water for Camp]])</f>
        <v>0.1285806037251124</v>
      </c>
      <c r="CB34" s="79">
        <f>WWWW[[#This Row],[%Equitable and continuous access to sufficient quantity of safe drinking water]]*WWWW[[#This Row],[Total PoP ]]</f>
        <v>66.733333333333334</v>
      </c>
      <c r="CC34" s="81">
        <f>IF((WWWW[[#This Row],['#_Constructed/Existing protected/fenced ponds]]*250)/WWWW[[#This Row],[Total PoP ]]&gt;1,1,(WWWW[[#This Row],['#_Constructed/Existing protected/fenced ponds]]*250)/WWWW[[#This Row],[Total PoP ]])</f>
        <v>1</v>
      </c>
      <c r="CD34" s="79">
        <f>WWWW[[#This Row],[% Access to unimproved water points]]*WWWW[[#This Row],[Total PoP ]]</f>
        <v>519</v>
      </c>
      <c r="CE3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G34" s="79">
        <f>WWWW[[#This Row],[HRP1]]/500</f>
        <v>1.038</v>
      </c>
      <c r="CH34" s="78">
        <f>1-WWWW[[#This Row],[% Equitable and continuous access to sufficient quantity of domestic water]]</f>
        <v>0</v>
      </c>
      <c r="CI34" s="79">
        <f>WWWW[[#This Row],[%equitable and continuous access to sufficient quantity of safe drinking and domestic water''s GAP]]*WWWW[[#This Row],[Total PoP ]]</f>
        <v>0</v>
      </c>
      <c r="CJ34" s="80">
        <f>IF(WWWW[[#This Row],[Total required water points]]-WWWW[[#This Row],['#Water points coverage]]&lt;0,0,WWWW[[#This Row],[Total required water points]]-WWWW[[#This Row],['#Water points coverage]])</f>
        <v>0</v>
      </c>
      <c r="CK34" s="80">
        <f>ROUND(IF(WWWW[[#This Row],[Total PoP ]]&lt;500,1,WWWW[[#This Row],[Total PoP ]]/500),0)</f>
        <v>1</v>
      </c>
      <c r="CL34" s="80">
        <f>(WWWW[[#This Row],['#_Constructed latrines_by_WASHAgencies]]+WWWW[[#This Row],['#_Non Cluster partner latrines]])-WWWW[[#This Row],['#_Non-functional latrines]]</f>
        <v>32</v>
      </c>
      <c r="CM3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519</v>
      </c>
      <c r="CO3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34" s="80">
        <f>IF(WWWW[[#This Row],[Location Type 1]]="Village","NA",IF(WWWW[[#This Row],['#_Constructed/Existing latrines in TLS]]*50&gt;WWWW[[#This Row],['#_students at TLS_CFS]],WWWW[[#This Row],['#_students at TLS_CFS]],(WWWW[[#This Row],['#_Constructed/Existing latrines in TLS]]*50)))</f>
        <v>28</v>
      </c>
      <c r="CQ34" s="80">
        <f>ROUND(IF(WWWW[[#This Row],[Location Type 1]]="camp",WWWW[[#This Row],[Total PoP ]]/20,IF(WWWW[[#This Row],[Location Type 1]]="Temporary Location",WWWW[[#This Row],[Total PoP ]]/50,(WWWW[[#This Row],[Total PoP ]]/6))),0)</f>
        <v>26</v>
      </c>
      <c r="CR34" s="79">
        <f>IF(WWWW[[#This Row],[Total required Latrines]]-(WWWW[[#This Row],['#_Constructed latrines_by_WASHAgencies]]+WWWW[[#This Row],['#_Non Cluster partner latrines]])&lt;0,0,WWWW[[#This Row],[Total required Latrines]]-(WWWW[[#This Row],['#_Constructed latrines_by_WASHAgencies]]+WWWW[[#This Row],['#_Non Cluster partner latrines]]))</f>
        <v>0</v>
      </c>
      <c r="CS34" s="78">
        <f>1-WWWW[[#This Row],[% people access to functioning Latrine]]</f>
        <v>0</v>
      </c>
      <c r="CT34" s="82">
        <f>IF(OR(WWWW[[#This Row],['#_Non-functional latrines]]="",WWWW[[#This Row],['#_Non-functional latrines]]=0),0,WWWW[[#This Row],['#_Non-functional latrines]]/(WWWW[[#This Row],['#_Constructed latrines_by_WASHAgencies]]+WWWW[[#This Row],['#_Non Cluster partner latrines]]))</f>
        <v>5.8823529411764705E-2</v>
      </c>
      <c r="CU34" s="79">
        <f>IF(500*(WWWW[[#This Row],['#_male hygiene promoters]]+WWWW[[#This Row],['#_female hygiene promoters]])&gt;WWWW[[#This Row],[Total PoP ]],WWWW[[#This Row],[Total PoP ]],500*(WWWW[[#This Row],['#_male hygiene promoters]]+WWWW[[#This Row],['#_female hygiene promoters]]))</f>
        <v>519</v>
      </c>
      <c r="CV3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 s="80">
        <f>IF(WWWW[[#This Row],['# People with access to soap]]&gt;WWWW[[#This Row],['# People with access to Sanity Pads]],WWWW[[#This Row],['# People with access to soap]],WWWW[[#This Row],['# People with access to Sanity Pads]])</f>
        <v>0</v>
      </c>
      <c r="CY34" s="80">
        <f>IF(WWWW[[#This Row],['# people reached by regular dedicated hygiene promotion_5]]&gt;WWWW[[#This Row],['# People received regular supply of hygiene items_6]],WWWW[[#This Row],['# people reached by regular dedicated hygiene promotion_5]],WWWW[[#This Row],['# People received regular supply of hygiene items_6]])</f>
        <v>519</v>
      </c>
      <c r="CZ34" s="78">
        <f>IF(WWWW[[#This Row],[HRP3]]/WWWW[[#This Row],[Total PoP ]]&gt;100%,100%,WWWW[[#This Row],[HRP3]]/WWWW[[#This Row],[Total PoP ]])</f>
        <v>1</v>
      </c>
      <c r="DA34" s="82">
        <f>1-WWWW[[#This Row],[Hygiene Coverage%]]</f>
        <v>0</v>
      </c>
      <c r="DB34" s="81">
        <f>WWWW[[#This Row],['# people reached by regular dedicated hygiene promotion_5]]/WWWW[[#This Row],[Total PoP ]]</f>
        <v>1</v>
      </c>
      <c r="DC34" s="81">
        <f>IF(WWWW[[#This Row],['#_households that received standard amount of soap for this quarter]]/WWWW[[#This Row],[Total HH]]&gt;1,1,WWWW[[#This Row],['#_households that received standard amount of soap for this quarter]]/WWWW[[#This Row],[Total HH]])</f>
        <v>0</v>
      </c>
      <c r="DD34" s="81">
        <f>IF(WWWW[[#This Row],['#_households that received standard amount of sanitary pads for this quarter]]/WWWW[[#This Row],[Total HH]]&gt;1,1,WWWW[[#This Row],['#_households that received standard amount of sanitary pads for this quarter]]/WWWW[[#This Row],[Total HH]])</f>
        <v>0</v>
      </c>
      <c r="DE34" s="80">
        <f>WWWW[[#This Row],['#_Constructed/Existing hand washing stations]]-WWWW[[#This Row],['#_Non-Functional_hand_washing_stations]]</f>
        <v>5</v>
      </c>
      <c r="DF34" s="757">
        <f>IF(WWWW[[#This Row],['# Functional hand washing stations during reporting period]]*20&gt;WWWW[[#This Row],[Total HH]],WWWW[[#This Row],[Total HH]],WWWW[[#This Row],['# Functional hand washing stations during reporting period]]*20)</f>
        <v>100</v>
      </c>
      <c r="DG34" s="79">
        <f>IF(WWWW[[#This Row],[Is sufficient soap available for TLS? (Yes/No)]]="yes",WWWW[[#This Row],['#_Constructed/Existing hand washing stations at TLS]],0)</f>
        <v>0</v>
      </c>
      <c r="DH34" s="578">
        <f>IF(WWWW[[#This Row],['# Functional hand washing stations during reporting period]]*100&gt;WWWW[[#This Row],[Total PoP ]],WWWW[[#This Row],[Total PoP ]],WWWW[[#This Row],['# Functional hand washing stations during reporting period]]*100)</f>
        <v>500</v>
      </c>
      <c r="DI34" s="578" t="str">
        <f>IF(OR(WWWW[[#This Row],['#_students at TLS_CFS]]="",WWWW[[#This Row],['#_students at TLS_CFS]]=0),"No","Yes")</f>
        <v>Yes</v>
      </c>
      <c r="DJ34" s="231" t="str">
        <f>VLOOKUP(WWWW[[#This Row],[Site Name]],SiteDB6[[Site Name]:[CCCM Management]],6,FALSE)</f>
        <v>Yes</v>
      </c>
      <c r="DK34" s="231" t="str">
        <f>VLOOKUP(WWWW[[#This Row],[Site Name]],SiteDB6[[Site Name]:[CCCM Focal Agency]],7,FALSE)</f>
        <v>KBC</v>
      </c>
      <c r="DL34" s="231" t="str">
        <f>VLOOKUP(WWWW[[#This Row],[Site Name]],SiteDB6[[Site Name]:[Location Type 1]],9,FALSE)</f>
        <v>Camp</v>
      </c>
      <c r="DM34" s="231" t="str">
        <f>VLOOKUP(WWWW[[#This Row],[Site Name]],SiteDB6[[Site Name]:[Type of Accommodation]],10,FALSE)</f>
        <v>Camp</v>
      </c>
      <c r="DN34" s="231" t="str">
        <f>VLOOKUP(WWWW[[#This Row],[Site Name]],SiteDB6[[Site Name]:[Ethnic or GCA/NGCA]],11,FALSE)</f>
        <v>GCA</v>
      </c>
      <c r="DO34" s="231">
        <f>VLOOKUP(WWWW[[#This Row],[Site Name]],SiteDB6[[Site Name]:[Lat]],12,FALSE)</f>
        <v>25.611160000000002</v>
      </c>
      <c r="DP34" s="231">
        <f>VLOOKUP(WWWW[[#This Row],[Site Name]],SiteDB6[[Site Name]:[Long]],13,FALSE)</f>
        <v>96.312790000000007</v>
      </c>
      <c r="DQ34" s="231" t="str">
        <f>VLOOKUP(WWWW[[#This Row],[Site Name]],SiteDB6[[Site Name]:[Pcode]],3,FALSE)</f>
        <v>MMR001CMP229</v>
      </c>
      <c r="DR34" s="207" t="str">
        <f t="shared" si="1"/>
        <v>Covered</v>
      </c>
      <c r="DS34" s="207"/>
      <c r="DT34" s="20"/>
      <c r="DU34" s="20"/>
      <c r="DV34" s="20"/>
      <c r="DW34" s="20"/>
      <c r="DX34" s="20"/>
      <c r="DY34" s="20"/>
      <c r="DZ34" s="20"/>
      <c r="EA34" s="20"/>
      <c r="EB34" s="20"/>
      <c r="EC34" s="20"/>
      <c r="ED34" s="20"/>
      <c r="EE34" s="20"/>
      <c r="EF34" s="20"/>
      <c r="EG34" s="20"/>
      <c r="EH34" s="20"/>
    </row>
    <row r="35" spans="1:138" ht="15.75" customHeight="1">
      <c r="A35" s="238" t="s">
        <v>2518</v>
      </c>
      <c r="B35" s="238" t="s">
        <v>149</v>
      </c>
      <c r="C35" s="574" t="s">
        <v>149</v>
      </c>
      <c r="D35" s="574" t="s">
        <v>158</v>
      </c>
      <c r="E35" s="574" t="s">
        <v>39</v>
      </c>
      <c r="F35" s="574" t="s">
        <v>156</v>
      </c>
      <c r="G35" s="574" t="str">
        <f>VLOOKUP(WWWW[[#This Row],[Site Name]],SiteDB6[[Site Name]:[Location Type]],8,FALSE)</f>
        <v>Camp</v>
      </c>
      <c r="H35" s="574" t="s">
        <v>157</v>
      </c>
      <c r="I35" s="583">
        <v>31</v>
      </c>
      <c r="J35" s="583">
        <v>132</v>
      </c>
      <c r="K35" s="553">
        <v>43556</v>
      </c>
      <c r="L35" s="77">
        <v>43677</v>
      </c>
      <c r="M35" s="583"/>
      <c r="N35" s="583"/>
      <c r="O35" s="583"/>
      <c r="P35" s="583"/>
      <c r="Q35" s="76" t="s">
        <v>43</v>
      </c>
      <c r="R35" s="310"/>
      <c r="S35" s="310"/>
      <c r="T35" s="583">
        <v>0</v>
      </c>
      <c r="U35" s="310"/>
      <c r="V35" s="310"/>
      <c r="W35" s="583">
        <v>1</v>
      </c>
      <c r="X35" s="310"/>
      <c r="Y35" s="310"/>
      <c r="Z35" s="310"/>
      <c r="AA35" s="310"/>
      <c r="AB35" s="310"/>
      <c r="AC35" s="310"/>
      <c r="AD35" s="310"/>
      <c r="AE35" s="310"/>
      <c r="AF35" s="310"/>
      <c r="AG35" s="310"/>
      <c r="AH35" s="583">
        <v>0</v>
      </c>
      <c r="AI35" s="310"/>
      <c r="AJ35" s="310"/>
      <c r="AK35" s="310"/>
      <c r="AL35" s="310"/>
      <c r="AM35" s="310"/>
      <c r="AN35" s="310"/>
      <c r="AO35" s="207"/>
      <c r="AP35" s="583">
        <v>9</v>
      </c>
      <c r="AQ35" s="310"/>
      <c r="AR35" s="76"/>
      <c r="AS35" s="310"/>
      <c r="AT35" s="310"/>
      <c r="AU35" s="310"/>
      <c r="AV35" s="310"/>
      <c r="AW35" s="583">
        <v>9</v>
      </c>
      <c r="AX35" s="231" t="s">
        <v>43</v>
      </c>
      <c r="AY35" s="231" t="s">
        <v>145</v>
      </c>
      <c r="AZ35" s="310"/>
      <c r="BA35" s="310"/>
      <c r="BB35" s="310"/>
      <c r="BC35" s="207"/>
      <c r="BD35" s="310"/>
      <c r="BE35" s="310"/>
      <c r="BF35" s="310"/>
      <c r="BG35" s="310">
        <v>2</v>
      </c>
      <c r="BH35" s="310"/>
      <c r="BI35" s="310"/>
      <c r="BJ35" s="310">
        <v>1</v>
      </c>
      <c r="BK35" s="310"/>
      <c r="BL35" s="310"/>
      <c r="BM35" s="207"/>
      <c r="BN35" s="79"/>
      <c r="BO35" s="81"/>
      <c r="BP35" s="207"/>
      <c r="BQ35" s="78" t="str">
        <f>IFERROR(WWWW[[#This Row],['#_Water sources treated]]/WWWW[[#This Row],['#_Water sources tested for contamination]],"no test")</f>
        <v>no test</v>
      </c>
      <c r="BR35" s="81" t="str">
        <f>IFERROR(WWWW[[#This Row],['#_Household received remediation action due to contamination]]/WWWW[[#This Row],['#_Household water samples tested for contamination]],"no test")</f>
        <v>no test</v>
      </c>
      <c r="BS35" s="80" t="str">
        <f>IF(AND(WWWW[[#This Row],[% of water sources treated]]="no test",WWWW[[#This Row],[% Household received corrective actions]]="no test"),"No Test","Tested")</f>
        <v>No Test</v>
      </c>
      <c r="BT35" s="80">
        <f>WWWW[[#This Row],['#_Constructed/existing protected hand dug well]]-WWWW[[#This Row],['#_Non-functional protected hand dug well]]</f>
        <v>0</v>
      </c>
      <c r="BU35" s="80">
        <f>(WWWW[[#This Row],['#_Constructed/Existing tube wells/boreholes/handpumps_WASH_agency]]+WWWW[[#This Row],['#_Non-Cluster partner water tube-wells/boreholes/handpumps]])-WWWW[[#This Row],['#_Non-functional tube wells/boreholes/handpumps]]</f>
        <v>1</v>
      </c>
      <c r="BV35" s="80">
        <f>WWWW[[#This Row],['#_Constructed/Existingwater storage tank with gravity fed reticulation system]]-WWWW[[#This Row],['#_Non-functional storage tank gravity fed reticulation system]]</f>
        <v>0</v>
      </c>
      <c r="BW35" s="80">
        <f>WWWW[[#This Row],['#_Water boating or water trucking]]</f>
        <v>0</v>
      </c>
      <c r="BX35" s="80">
        <f>WWWW[[#This Row],['#_Constructed/Existing water distribution system from river or natural spring]]</f>
        <v>0</v>
      </c>
      <c r="BY3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5" s="81">
        <f>IF(WWWW[[#This Row],[Location Type 1]]="Village",WWWW[[#This Row],[Access to safe drinking water for Village]],WWWW[[#This Row],[Access to safe drinking water for Camp]])</f>
        <v>1</v>
      </c>
      <c r="CB35" s="79">
        <f>WWWW[[#This Row],[%Equitable and continuous access to sufficient quantity of safe drinking water]]*WWWW[[#This Row],[Total PoP ]]</f>
        <v>132</v>
      </c>
      <c r="CC35" s="81">
        <f>IF((WWWW[[#This Row],['#_Constructed/Existing protected/fenced ponds]]*250)/WWWW[[#This Row],[Total PoP ]]&gt;1,1,(WWWW[[#This Row],['#_Constructed/Existing protected/fenced ponds]]*250)/WWWW[[#This Row],[Total PoP ]])</f>
        <v>0</v>
      </c>
      <c r="CD35" s="79">
        <f>WWWW[[#This Row],[% Access to unimproved water points]]*WWWW[[#This Row],[Total PoP ]]</f>
        <v>0</v>
      </c>
      <c r="CE3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G35" s="79">
        <f>WWWW[[#This Row],[HRP1]]/500</f>
        <v>0.26400000000000001</v>
      </c>
      <c r="CH35" s="78">
        <f>1-WWWW[[#This Row],[% Equitable and continuous access to sufficient quantity of domestic water]]</f>
        <v>0</v>
      </c>
      <c r="CI35" s="79">
        <f>WWWW[[#This Row],[%equitable and continuous access to sufficient quantity of safe drinking and domestic water''s GAP]]*WWWW[[#This Row],[Total PoP ]]</f>
        <v>0</v>
      </c>
      <c r="CJ35" s="80">
        <f>IF(WWWW[[#This Row],[Total required water points]]-WWWW[[#This Row],['#Water points coverage]]&lt;0,0,WWWW[[#This Row],[Total required water points]]-WWWW[[#This Row],['#Water points coverage]])</f>
        <v>0.73599999999999999</v>
      </c>
      <c r="CK35" s="80">
        <f>ROUND(IF(WWWW[[#This Row],[Total PoP ]]&lt;500,1,WWWW[[#This Row],[Total PoP ]]/500),0)</f>
        <v>1</v>
      </c>
      <c r="CL35" s="80">
        <f>(WWWW[[#This Row],['#_Constructed latrines_by_WASHAgencies]]+WWWW[[#This Row],['#_Non Cluster partner latrines]])-WWWW[[#This Row],['#_Non-functional latrines]]</f>
        <v>9</v>
      </c>
      <c r="CM3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132</v>
      </c>
      <c r="CO3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5" s="80">
        <f>IF(WWWW[[#This Row],[Location Type 1]]="Village","NA",IF(WWWW[[#This Row],['#_Constructed/Existing latrines in TLS]]*50&gt;WWWW[[#This Row],['#_students at TLS_CFS]],WWWW[[#This Row],['#_students at TLS_CFS]],(WWWW[[#This Row],['#_Constructed/Existing latrines in TLS]]*50)))</f>
        <v>0</v>
      </c>
      <c r="CQ35" s="80">
        <f>ROUND(IF(WWWW[[#This Row],[Location Type 1]]="camp",WWWW[[#This Row],[Total PoP ]]/20,IF(WWWW[[#This Row],[Location Type 1]]="Temporary Location",WWWW[[#This Row],[Total PoP ]]/50,(WWWW[[#This Row],[Total PoP ]]/6))),0)</f>
        <v>7</v>
      </c>
      <c r="CR35" s="79">
        <f>IF(WWWW[[#This Row],[Total required Latrines]]-(WWWW[[#This Row],['#_Constructed latrines_by_WASHAgencies]]+WWWW[[#This Row],['#_Non Cluster partner latrines]])&lt;0,0,WWWW[[#This Row],[Total required Latrines]]-(WWWW[[#This Row],['#_Constructed latrines_by_WASHAgencies]]+WWWW[[#This Row],['#_Non Cluster partner latrines]]))</f>
        <v>0</v>
      </c>
      <c r="CS35" s="78">
        <f>1-WWWW[[#This Row],[% people access to functioning Latrine]]</f>
        <v>0</v>
      </c>
      <c r="CT35" s="82">
        <f>IF(OR(WWWW[[#This Row],['#_Non-functional latrines]]="",WWWW[[#This Row],['#_Non-functional latrines]]=0),0,WWWW[[#This Row],['#_Non-functional latrines]]/(WWWW[[#This Row],['#_Constructed latrines_by_WASHAgencies]]+WWWW[[#This Row],['#_Non Cluster partner latrines]]))</f>
        <v>0</v>
      </c>
      <c r="CU35" s="79">
        <f>IF(500*(WWWW[[#This Row],['#_male hygiene promoters]]+WWWW[[#This Row],['#_female hygiene promoters]])&gt;WWWW[[#This Row],[Total PoP ]],WWWW[[#This Row],[Total PoP ]],500*(WWWW[[#This Row],['#_male hygiene promoters]]+WWWW[[#This Row],['#_female hygiene promoters]]))</f>
        <v>132</v>
      </c>
      <c r="CV3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 s="80">
        <f>IF(WWWW[[#This Row],['# People with access to soap]]&gt;WWWW[[#This Row],['# People with access to Sanity Pads]],WWWW[[#This Row],['# People with access to soap]],WWWW[[#This Row],['# People with access to Sanity Pads]])</f>
        <v>0</v>
      </c>
      <c r="CY35" s="80">
        <f>IF(WWWW[[#This Row],['# people reached by regular dedicated hygiene promotion_5]]&gt;WWWW[[#This Row],['# People received regular supply of hygiene items_6]],WWWW[[#This Row],['# people reached by regular dedicated hygiene promotion_5]],WWWW[[#This Row],['# People received regular supply of hygiene items_6]])</f>
        <v>132</v>
      </c>
      <c r="CZ35" s="78">
        <f>IF(WWWW[[#This Row],[HRP3]]/WWWW[[#This Row],[Total PoP ]]&gt;100%,100%,WWWW[[#This Row],[HRP3]]/WWWW[[#This Row],[Total PoP ]])</f>
        <v>1</v>
      </c>
      <c r="DA35" s="82">
        <f>1-WWWW[[#This Row],[Hygiene Coverage%]]</f>
        <v>0</v>
      </c>
      <c r="DB35" s="81">
        <f>WWWW[[#This Row],['# people reached by regular dedicated hygiene promotion_5]]/WWWW[[#This Row],[Total PoP ]]</f>
        <v>1</v>
      </c>
      <c r="DC35" s="81">
        <f>IF(WWWW[[#This Row],['#_households that received standard amount of soap for this quarter]]/WWWW[[#This Row],[Total HH]]&gt;1,1,WWWW[[#This Row],['#_households that received standard amount of soap for this quarter]]/WWWW[[#This Row],[Total HH]])</f>
        <v>0</v>
      </c>
      <c r="DD35" s="81">
        <f>IF(WWWW[[#This Row],['#_households that received standard amount of sanitary pads for this quarter]]/WWWW[[#This Row],[Total HH]]&gt;1,1,WWWW[[#This Row],['#_households that received standard amount of sanitary pads for this quarter]]/WWWW[[#This Row],[Total HH]])</f>
        <v>0</v>
      </c>
      <c r="DE35" s="80">
        <f>WWWW[[#This Row],['#_Constructed/Existing hand washing stations]]-WWWW[[#This Row],['#_Non-Functional_hand_washing_stations]]</f>
        <v>0</v>
      </c>
      <c r="DF35" s="757">
        <f>IF(WWWW[[#This Row],['# Functional hand washing stations during reporting period]]*20&gt;WWWW[[#This Row],[Total HH]],WWWW[[#This Row],[Total HH]],WWWW[[#This Row],['# Functional hand washing stations during reporting period]]*20)</f>
        <v>0</v>
      </c>
      <c r="DG35" s="79">
        <f>IF(WWWW[[#This Row],[Is sufficient soap available for TLS? (Yes/No)]]="yes",WWWW[[#This Row],['#_Constructed/Existing hand washing stations at TLS]],0)</f>
        <v>0</v>
      </c>
      <c r="DH35" s="578">
        <f>IF(WWWW[[#This Row],['# Functional hand washing stations during reporting period]]*100&gt;WWWW[[#This Row],[Total PoP ]],WWWW[[#This Row],[Total PoP ]],WWWW[[#This Row],['# Functional hand washing stations during reporting period]]*100)</f>
        <v>0</v>
      </c>
      <c r="DI35" s="578" t="str">
        <f>IF(OR(WWWW[[#This Row],['#_students at TLS_CFS]]="",WWWW[[#This Row],['#_students at TLS_CFS]]=0),"No","Yes")</f>
        <v>No</v>
      </c>
      <c r="DJ35" s="231" t="str">
        <f>VLOOKUP(WWWW[[#This Row],[Site Name]],SiteDB6[[Site Name]:[CCCM Management]],6,FALSE)</f>
        <v>Yes</v>
      </c>
      <c r="DK35" s="231" t="str">
        <f>VLOOKUP(WWWW[[#This Row],[Site Name]],SiteDB6[[Site Name]:[CCCM Focal Agency]],7,FALSE)</f>
        <v>KBC</v>
      </c>
      <c r="DL35" s="231" t="str">
        <f>VLOOKUP(WWWW[[#This Row],[Site Name]],SiteDB6[[Site Name]:[Location Type 1]],9,FALSE)</f>
        <v>Camp</v>
      </c>
      <c r="DM35" s="231" t="str">
        <f>VLOOKUP(WWWW[[#This Row],[Site Name]],SiteDB6[[Site Name]:[Type of Accommodation]],10,FALSE)</f>
        <v>Camp</v>
      </c>
      <c r="DN35" s="231" t="str">
        <f>VLOOKUP(WWWW[[#This Row],[Site Name]],SiteDB6[[Site Name]:[Ethnic or GCA/NGCA]],11,FALSE)</f>
        <v>GCA</v>
      </c>
      <c r="DO35" s="231">
        <f>VLOOKUP(WWWW[[#This Row],[Site Name]],SiteDB6[[Site Name]:[Lat]],12,FALSE)</f>
        <v>25.51352</v>
      </c>
      <c r="DP35" s="231">
        <f>VLOOKUP(WWWW[[#This Row],[Site Name]],SiteDB6[[Site Name]:[Long]],13,FALSE)</f>
        <v>96.705960000000005</v>
      </c>
      <c r="DQ35" s="231" t="str">
        <f>VLOOKUP(WWWW[[#This Row],[Site Name]],SiteDB6[[Site Name]:[Pcode]],3,FALSE)</f>
        <v>MMR001CMP148</v>
      </c>
      <c r="DR35" s="207" t="str">
        <f t="shared" si="1"/>
        <v>Covered</v>
      </c>
      <c r="DS35" s="207"/>
      <c r="DT35" s="20"/>
      <c r="DU35" s="20"/>
      <c r="DV35" s="20"/>
      <c r="DW35" s="20"/>
      <c r="DX35" s="20"/>
      <c r="DY35" s="20"/>
      <c r="DZ35" s="20"/>
      <c r="EA35" s="20"/>
      <c r="EB35" s="20"/>
      <c r="EC35" s="20"/>
      <c r="ED35" s="20"/>
      <c r="EE35" s="20"/>
      <c r="EF35" s="20"/>
      <c r="EG35" s="20"/>
      <c r="EH35" s="20"/>
    </row>
    <row r="36" spans="1:138" ht="15.75" customHeight="1">
      <c r="A36" s="238" t="s">
        <v>2518</v>
      </c>
      <c r="B36" s="574" t="s">
        <v>38</v>
      </c>
      <c r="C36" s="574" t="s">
        <v>38</v>
      </c>
      <c r="D36" s="574" t="s">
        <v>328</v>
      </c>
      <c r="E36" s="574" t="s">
        <v>39</v>
      </c>
      <c r="F36" s="574" t="s">
        <v>167</v>
      </c>
      <c r="G36" s="574" t="str">
        <f>VLOOKUP(WWWW[[#This Row],[Site Name]],SiteDB6[[Site Name]:[Location Type]],8,FALSE)</f>
        <v>Camp</v>
      </c>
      <c r="H36" s="574" t="s">
        <v>1116</v>
      </c>
      <c r="I36" s="583">
        <v>14</v>
      </c>
      <c r="J36" s="583">
        <v>39</v>
      </c>
      <c r="K36" s="553">
        <v>43374</v>
      </c>
      <c r="L36" s="77">
        <v>43830</v>
      </c>
      <c r="M36" s="583"/>
      <c r="N36" s="583"/>
      <c r="O36" s="583"/>
      <c r="P36" s="583"/>
      <c r="Q36" s="574"/>
      <c r="R36" s="583"/>
      <c r="S36" s="583"/>
      <c r="T36" s="583"/>
      <c r="U36" s="583"/>
      <c r="V36" s="583"/>
      <c r="W36" s="583">
        <v>1</v>
      </c>
      <c r="X36" s="583"/>
      <c r="Y36" s="583"/>
      <c r="Z36" s="583"/>
      <c r="AA36" s="583"/>
      <c r="AB36" s="583"/>
      <c r="AC36" s="583"/>
      <c r="AD36" s="583"/>
      <c r="AE36" s="583"/>
      <c r="AF36" s="583"/>
      <c r="AG36" s="583"/>
      <c r="AH36" s="583"/>
      <c r="AI36" s="583"/>
      <c r="AJ36" s="583"/>
      <c r="AK36" s="583"/>
      <c r="AL36" s="583"/>
      <c r="AM36" s="583"/>
      <c r="AN36" s="583"/>
      <c r="AO36" s="578"/>
      <c r="AP36" s="601">
        <v>4</v>
      </c>
      <c r="AQ36" s="603"/>
      <c r="AR36" s="603"/>
      <c r="AS36" s="601"/>
      <c r="AT36" s="603"/>
      <c r="AU36" s="578"/>
      <c r="AV36" s="578"/>
      <c r="AW36" s="80"/>
      <c r="AX36" s="80" t="s">
        <v>144</v>
      </c>
      <c r="AY36" s="80" t="s">
        <v>144</v>
      </c>
      <c r="AZ36" s="80"/>
      <c r="BA36" s="80"/>
      <c r="BB36" s="578"/>
      <c r="BC36" s="578"/>
      <c r="BD36" s="578"/>
      <c r="BE36" s="578"/>
      <c r="BF36" s="578"/>
      <c r="BG36" s="601">
        <v>2</v>
      </c>
      <c r="BH36" s="578"/>
      <c r="BI36" s="601"/>
      <c r="BJ36" s="601">
        <v>1</v>
      </c>
      <c r="BK36" s="601">
        <v>14</v>
      </c>
      <c r="BL36" s="601">
        <v>9</v>
      </c>
      <c r="BM36" s="578"/>
      <c r="BN36" s="578"/>
      <c r="BO36" s="81"/>
      <c r="BP36" s="578"/>
      <c r="BQ36" s="78" t="str">
        <f>IFERROR(WWWW[[#This Row],['#_Water sources treated]]/WWWW[[#This Row],['#_Water sources tested for contamination]],"no test")</f>
        <v>no test</v>
      </c>
      <c r="BR36" s="81" t="str">
        <f>IFERROR(WWWW[[#This Row],['#_Household received remediation action due to contamination]]/WWWW[[#This Row],['#_Household water samples tested for contamination]],"no test")</f>
        <v>no test</v>
      </c>
      <c r="BS36" s="80" t="str">
        <f>IF(AND(WWWW[[#This Row],[% of water sources treated]]="no test",WWWW[[#This Row],[% Household received corrective actions]]="no test"),"No Test","Tested")</f>
        <v>No Test</v>
      </c>
      <c r="BT36" s="80">
        <f>WWWW[[#This Row],['#_Constructed/existing protected hand dug well]]-WWWW[[#This Row],['#_Non-functional protected hand dug well]]</f>
        <v>0</v>
      </c>
      <c r="BU36" s="80">
        <f>(WWWW[[#This Row],['#_Constructed/Existing tube wells/boreholes/handpumps_WASH_agency]]+WWWW[[#This Row],['#_Non-Cluster partner water tube-wells/boreholes/handpumps]])-WWWW[[#This Row],['#_Non-functional tube wells/boreholes/handpumps]]</f>
        <v>1</v>
      </c>
      <c r="BV36" s="80">
        <f>WWWW[[#This Row],['#_Constructed/Existingwater storage tank with gravity fed reticulation system]]-WWWW[[#This Row],['#_Non-functional storage tank gravity fed reticulation system]]</f>
        <v>0</v>
      </c>
      <c r="BW36" s="80">
        <f>WWWW[[#This Row],['#_Water boating or water trucking]]</f>
        <v>0</v>
      </c>
      <c r="BX36" s="80">
        <f>WWWW[[#This Row],['#_Constructed/Existing water distribution system from river or natural spring]]</f>
        <v>0</v>
      </c>
      <c r="BY3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6" s="81">
        <f>IF(WWWW[[#This Row],[Location Type 1]]="Village",WWWW[[#This Row],[Access to safe drinking water for Village]],WWWW[[#This Row],[Access to safe drinking water for Camp]])</f>
        <v>1</v>
      </c>
      <c r="CB36" s="79">
        <f>WWWW[[#This Row],[%Equitable and continuous access to sufficient quantity of safe drinking water]]*WWWW[[#This Row],[Total PoP ]]</f>
        <v>39</v>
      </c>
      <c r="CC36" s="81">
        <f>IF((WWWW[[#This Row],['#_Constructed/Existing protected/fenced ponds]]*250)/WWWW[[#This Row],[Total PoP ]]&gt;1,1,(WWWW[[#This Row],['#_Constructed/Existing protected/fenced ponds]]*250)/WWWW[[#This Row],[Total PoP ]])</f>
        <v>0</v>
      </c>
      <c r="CD36" s="79">
        <f>WWWW[[#This Row],[% Access to unimproved water points]]*WWWW[[#This Row],[Total PoP ]]</f>
        <v>0</v>
      </c>
      <c r="CE3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G36" s="79">
        <f>WWWW[[#This Row],[HRP1]]/500</f>
        <v>7.8E-2</v>
      </c>
      <c r="CH36" s="78">
        <f>1-WWWW[[#This Row],[% Equitable and continuous access to sufficient quantity of domestic water]]</f>
        <v>0</v>
      </c>
      <c r="CI36" s="79">
        <f>WWWW[[#This Row],[%equitable and continuous access to sufficient quantity of safe drinking and domestic water''s GAP]]*WWWW[[#This Row],[Total PoP ]]</f>
        <v>0</v>
      </c>
      <c r="CJ36" s="80">
        <f>IF(WWWW[[#This Row],[Total required water points]]-WWWW[[#This Row],['#Water points coverage]]&lt;0,0,WWWW[[#This Row],[Total required water points]]-WWWW[[#This Row],['#Water points coverage]])</f>
        <v>0.92200000000000004</v>
      </c>
      <c r="CK36" s="80">
        <f>ROUND(IF(WWWW[[#This Row],[Total PoP ]]&lt;500,1,WWWW[[#This Row],[Total PoP ]]/500),0)</f>
        <v>1</v>
      </c>
      <c r="CL36" s="80">
        <f>(WWWW[[#This Row],['#_Constructed latrines_by_WASHAgencies]]+WWWW[[#This Row],['#_Non Cluster partner latrines]])-WWWW[[#This Row],['#_Non-functional latrines]]</f>
        <v>4</v>
      </c>
      <c r="CM3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39</v>
      </c>
      <c r="CO3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6" s="80">
        <f>IF(WWWW[[#This Row],[Location Type 1]]="Village","NA",IF(WWWW[[#This Row],['#_Constructed/Existing latrines in TLS]]*50&gt;WWWW[[#This Row],['#_students at TLS_CFS]],WWWW[[#This Row],['#_students at TLS_CFS]],(WWWW[[#This Row],['#_Constructed/Existing latrines in TLS]]*50)))</f>
        <v>0</v>
      </c>
      <c r="CQ36" s="80">
        <f>ROUND(IF(WWWW[[#This Row],[Location Type 1]]="camp",WWWW[[#This Row],[Total PoP ]]/20,IF(WWWW[[#This Row],[Location Type 1]]="Temporary Location",WWWW[[#This Row],[Total PoP ]]/50,(WWWW[[#This Row],[Total PoP ]]/6))),0)</f>
        <v>2</v>
      </c>
      <c r="CR36" s="79">
        <f>IF(WWWW[[#This Row],[Total required Latrines]]-(WWWW[[#This Row],['#_Constructed latrines_by_WASHAgencies]]+WWWW[[#This Row],['#_Non Cluster partner latrines]])&lt;0,0,WWWW[[#This Row],[Total required Latrines]]-(WWWW[[#This Row],['#_Constructed latrines_by_WASHAgencies]]+WWWW[[#This Row],['#_Non Cluster partner latrines]]))</f>
        <v>0</v>
      </c>
      <c r="CS36" s="78">
        <f>1-WWWW[[#This Row],[% people access to functioning Latrine]]</f>
        <v>0</v>
      </c>
      <c r="CT36" s="82">
        <f>IF(OR(WWWW[[#This Row],['#_Non-functional latrines]]="",WWWW[[#This Row],['#_Non-functional latrines]]=0),0,WWWW[[#This Row],['#_Non-functional latrines]]/(WWWW[[#This Row],['#_Constructed latrines_by_WASHAgencies]]+WWWW[[#This Row],['#_Non Cluster partner latrines]]))</f>
        <v>0</v>
      </c>
      <c r="CU36" s="79">
        <f>IF(500*(WWWW[[#This Row],['#_male hygiene promoters]]+WWWW[[#This Row],['#_female hygiene promoters]])&gt;WWWW[[#This Row],[Total PoP ]],WWWW[[#This Row],[Total PoP ]],500*(WWWW[[#This Row],['#_male hygiene promoters]]+WWWW[[#This Row],['#_female hygiene promoters]]))</f>
        <v>39</v>
      </c>
      <c r="CV3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v>
      </c>
      <c r="CW3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39</v>
      </c>
      <c r="CX36" s="80">
        <f>IF(WWWW[[#This Row],['# People with access to soap]]&gt;WWWW[[#This Row],['# People with access to Sanity Pads]],WWWW[[#This Row],['# People with access to soap]],WWWW[[#This Row],['# People with access to Sanity Pads]])</f>
        <v>39</v>
      </c>
      <c r="CY36" s="80">
        <f>IF(WWWW[[#This Row],['# people reached by regular dedicated hygiene promotion_5]]&gt;WWWW[[#This Row],['# People received regular supply of hygiene items_6]],WWWW[[#This Row],['# people reached by regular dedicated hygiene promotion_5]],WWWW[[#This Row],['# People received regular supply of hygiene items_6]])</f>
        <v>39</v>
      </c>
      <c r="CZ36" s="78">
        <f>IF(WWWW[[#This Row],[HRP3]]/WWWW[[#This Row],[Total PoP ]]&gt;100%,100%,WWWW[[#This Row],[HRP3]]/WWWW[[#This Row],[Total PoP ]])</f>
        <v>1</v>
      </c>
      <c r="DA36" s="82">
        <f>1-WWWW[[#This Row],[Hygiene Coverage%]]</f>
        <v>0</v>
      </c>
      <c r="DB36" s="81">
        <f>WWWW[[#This Row],['# people reached by regular dedicated hygiene promotion_5]]/WWWW[[#This Row],[Total PoP ]]</f>
        <v>1</v>
      </c>
      <c r="DC36" s="81">
        <f>IF(WWWW[[#This Row],['#_households that received standard amount of soap for this quarter]]/WWWW[[#This Row],[Total HH]]&gt;1,1,WWWW[[#This Row],['#_households that received standard amount of soap for this quarter]]/WWWW[[#This Row],[Total HH]])</f>
        <v>1</v>
      </c>
      <c r="DD36" s="81">
        <f>IF(WWWW[[#This Row],['#_households that received standard amount of sanitary pads for this quarter]]/WWWW[[#This Row],[Total HH]]&gt;1,1,WWWW[[#This Row],['#_households that received standard amount of sanitary pads for this quarter]]/WWWW[[#This Row],[Total HH]])</f>
        <v>0.6428571428571429</v>
      </c>
      <c r="DE36" s="80">
        <f>WWWW[[#This Row],['#_Constructed/Existing hand washing stations]]-WWWW[[#This Row],['#_Non-Functional_hand_washing_stations]]</f>
        <v>0</v>
      </c>
      <c r="DF36" s="757">
        <f>IF(WWWW[[#This Row],['# Functional hand washing stations during reporting period]]*20&gt;WWWW[[#This Row],[Total HH]],WWWW[[#This Row],[Total HH]],WWWW[[#This Row],['# Functional hand washing stations during reporting period]]*20)</f>
        <v>0</v>
      </c>
      <c r="DG36" s="79">
        <f>IF(WWWW[[#This Row],[Is sufficient soap available for TLS? (Yes/No)]]="yes",WWWW[[#This Row],['#_Constructed/Existing hand washing stations at TLS]],0)</f>
        <v>0</v>
      </c>
      <c r="DH36" s="578">
        <f>IF(WWWW[[#This Row],['# Functional hand washing stations during reporting period]]*100&gt;WWWW[[#This Row],[Total PoP ]],WWWW[[#This Row],[Total PoP ]],WWWW[[#This Row],['# Functional hand washing stations during reporting period]]*100)</f>
        <v>0</v>
      </c>
      <c r="DI36" s="578" t="str">
        <f>IF(OR(WWWW[[#This Row],['#_students at TLS_CFS]]="",WWWW[[#This Row],['#_students at TLS_CFS]]=0),"No","Yes")</f>
        <v>No</v>
      </c>
      <c r="DJ36" s="231">
        <f>VLOOKUP(WWWW[[#This Row],[Site Name]],SiteDB6[[Site Name]:[CCCM Management]],6,FALSE)</f>
        <v>0</v>
      </c>
      <c r="DK36" s="231" t="str">
        <f>VLOOKUP(WWWW[[#This Row],[Site Name]],SiteDB6[[Site Name]:[CCCM Focal Agency]],7,FALSE)</f>
        <v>KMSS-MYT</v>
      </c>
      <c r="DL36" s="231" t="str">
        <f>VLOOKUP(WWWW[[#This Row],[Site Name]],SiteDB6[[Site Name]:[Location Type 1]],9,FALSE)</f>
        <v>Camp</v>
      </c>
      <c r="DM36" s="231" t="str">
        <f>VLOOKUP(WWWW[[#This Row],[Site Name]],SiteDB6[[Site Name]:[Type of Accommodation]],10,FALSE)</f>
        <v>Camp</v>
      </c>
      <c r="DN36" s="231" t="str">
        <f>VLOOKUP(WWWW[[#This Row],[Site Name]],SiteDB6[[Site Name]:[Ethnic or GCA/NGCA]],11,FALSE)</f>
        <v>GCA</v>
      </c>
      <c r="DO36" s="231">
        <f>VLOOKUP(WWWW[[#This Row],[Site Name]],SiteDB6[[Site Name]:[Lat]],12,FALSE)</f>
        <v>0</v>
      </c>
      <c r="DP36" s="231">
        <f>VLOOKUP(WWWW[[#This Row],[Site Name]],SiteDB6[[Site Name]:[Long]],13,FALSE)</f>
        <v>0</v>
      </c>
      <c r="DQ36" s="231" t="str">
        <f>VLOOKUP(WWWW[[#This Row],[Site Name]],SiteDB6[[Site Name]:[Pcode]],3,FALSE)</f>
        <v>MMR001CMP256</v>
      </c>
      <c r="DR36" s="207" t="str">
        <f t="shared" si="1"/>
        <v>Covered</v>
      </c>
      <c r="DS36" s="207"/>
      <c r="DT36" s="20"/>
      <c r="DU36" s="20"/>
      <c r="DV36" s="20"/>
      <c r="DW36" s="20"/>
      <c r="DX36" s="20"/>
      <c r="DY36" s="20"/>
      <c r="DZ36" s="20"/>
      <c r="EA36" s="20"/>
      <c r="EB36" s="20"/>
      <c r="EC36" s="20"/>
      <c r="ED36" s="20"/>
      <c r="EE36" s="20"/>
      <c r="EF36" s="20"/>
      <c r="EG36" s="20"/>
      <c r="EH36" s="20"/>
    </row>
    <row r="37" spans="1:138" ht="15.75" customHeight="1">
      <c r="A37" s="238" t="s">
        <v>2518</v>
      </c>
      <c r="B37" s="574" t="s">
        <v>250</v>
      </c>
      <c r="C37" s="574" t="s">
        <v>250</v>
      </c>
      <c r="D37" s="574" t="s">
        <v>315</v>
      </c>
      <c r="E37" s="574" t="s">
        <v>39</v>
      </c>
      <c r="F37" s="574" t="s">
        <v>156</v>
      </c>
      <c r="G37" s="574" t="str">
        <f>VLOOKUP(WWWW[[#This Row],[Site Name]],SiteDB6[[Site Name]:[Location Type]],8,FALSE)</f>
        <v>Camp</v>
      </c>
      <c r="H37" s="574" t="s">
        <v>251</v>
      </c>
      <c r="I37" s="583">
        <v>123</v>
      </c>
      <c r="J37" s="583">
        <v>672</v>
      </c>
      <c r="K37" s="553">
        <v>43313</v>
      </c>
      <c r="L37" s="77">
        <v>44043</v>
      </c>
      <c r="M37" s="583">
        <v>23</v>
      </c>
      <c r="N37" s="583">
        <v>2</v>
      </c>
      <c r="O37" s="583">
        <v>0</v>
      </c>
      <c r="P37" s="583">
        <v>0</v>
      </c>
      <c r="Q37" s="574" t="s">
        <v>43</v>
      </c>
      <c r="R37" s="310">
        <v>1</v>
      </c>
      <c r="S37" s="310">
        <v>2</v>
      </c>
      <c r="T37" s="310">
        <v>0</v>
      </c>
      <c r="U37" s="310">
        <v>0</v>
      </c>
      <c r="V37" s="310">
        <v>0</v>
      </c>
      <c r="W37" s="310">
        <v>0</v>
      </c>
      <c r="X37" s="310">
        <v>0</v>
      </c>
      <c r="Y37" s="310">
        <v>0</v>
      </c>
      <c r="Z37" s="310">
        <v>0</v>
      </c>
      <c r="AA37" s="583">
        <v>1</v>
      </c>
      <c r="AB37" s="310">
        <v>0</v>
      </c>
      <c r="AC37" s="310">
        <v>1</v>
      </c>
      <c r="AD37" s="310">
        <v>0</v>
      </c>
      <c r="AE37" s="310">
        <v>1</v>
      </c>
      <c r="AF37" s="310">
        <v>1</v>
      </c>
      <c r="AG37" s="310">
        <v>0</v>
      </c>
      <c r="AH37" s="310">
        <v>0</v>
      </c>
      <c r="AI37" s="310"/>
      <c r="AJ37" s="310"/>
      <c r="AK37" s="310"/>
      <c r="AL37" s="310"/>
      <c r="AM37" s="310">
        <v>0</v>
      </c>
      <c r="AN37" s="310">
        <v>0</v>
      </c>
      <c r="AO37" s="207"/>
      <c r="AP37" s="310">
        <v>18</v>
      </c>
      <c r="AQ37" s="310">
        <v>1</v>
      </c>
      <c r="AR37" s="76" t="s">
        <v>3109</v>
      </c>
      <c r="AS37" s="310">
        <v>1</v>
      </c>
      <c r="AT37" s="310">
        <v>0</v>
      </c>
      <c r="AU37" s="310">
        <v>0</v>
      </c>
      <c r="AV37" s="310"/>
      <c r="AW37" s="583">
        <v>0</v>
      </c>
      <c r="AX37" s="581" t="s">
        <v>43</v>
      </c>
      <c r="AY37" s="231" t="s">
        <v>145</v>
      </c>
      <c r="AZ37" s="310">
        <v>0</v>
      </c>
      <c r="BA37" s="310">
        <v>0</v>
      </c>
      <c r="BB37" s="310">
        <v>0</v>
      </c>
      <c r="BC37" s="207"/>
      <c r="BD37" s="310">
        <v>3</v>
      </c>
      <c r="BE37" s="310">
        <v>5</v>
      </c>
      <c r="BF37" s="310">
        <v>0</v>
      </c>
      <c r="BG37" s="310">
        <v>4</v>
      </c>
      <c r="BH37" s="310"/>
      <c r="BI37" s="310">
        <v>1</v>
      </c>
      <c r="BJ37" s="310">
        <v>2</v>
      </c>
      <c r="BK37" s="310">
        <v>0</v>
      </c>
      <c r="BL37" s="310">
        <v>0</v>
      </c>
      <c r="BM37" s="207" t="s">
        <v>144</v>
      </c>
      <c r="BN37" s="79">
        <v>0</v>
      </c>
      <c r="BO37" s="81">
        <v>0.05</v>
      </c>
      <c r="BP37" s="207"/>
      <c r="BQ37" s="78" t="str">
        <f>IFERROR(WWWW[[#This Row],['#_Water sources treated]]/WWWW[[#This Row],['#_Water sources tested for contamination]],"no test")</f>
        <v>no test</v>
      </c>
      <c r="BR37" s="81" t="str">
        <f>IFERROR(WWWW[[#This Row],['#_Household received remediation action due to contamination]]/WWWW[[#This Row],['#_Household water samples tested for contamination]],"no test")</f>
        <v>no test</v>
      </c>
      <c r="BS37" s="80" t="str">
        <f>IF(AND(WWWW[[#This Row],[% of water sources treated]]="no test",WWWW[[#This Row],[% Household received corrective actions]]="no test"),"No Test","Tested")</f>
        <v>No Test</v>
      </c>
      <c r="BT37" s="80">
        <f>WWWW[[#This Row],['#_Constructed/existing protected hand dug well]]-WWWW[[#This Row],['#_Non-functional protected hand dug well]]</f>
        <v>0</v>
      </c>
      <c r="BU37" s="80">
        <f>(WWWW[[#This Row],['#_Constructed/Existing tube wells/boreholes/handpumps_WASH_agency]]+WWWW[[#This Row],['#_Non-Cluster partner water tube-wells/boreholes/handpumps]])-WWWW[[#This Row],['#_Non-functional tube wells/boreholes/handpumps]]</f>
        <v>0</v>
      </c>
      <c r="BV37" s="80">
        <f>WWWW[[#This Row],['#_Constructed/Existingwater storage tank with gravity fed reticulation system]]-WWWW[[#This Row],['#_Non-functional storage tank gravity fed reticulation system]]</f>
        <v>1</v>
      </c>
      <c r="BW37" s="80">
        <f>WWWW[[#This Row],['#_Water boating or water trucking]]</f>
        <v>0</v>
      </c>
      <c r="BX37" s="80">
        <f>WWWW[[#This Row],['#_Constructed/Existing water distribution system from river or natural spring]]</f>
        <v>1</v>
      </c>
      <c r="BY3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9.9305555555555564E-2</v>
      </c>
      <c r="BZ3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9.9305555555555564E-2</v>
      </c>
      <c r="CA37" s="81">
        <f>IF(WWWW[[#This Row],[Location Type 1]]="Village",WWWW[[#This Row],[Access to safe drinking water for Village]],WWWW[[#This Row],[Access to safe drinking water for Camp]])</f>
        <v>9.9305555555555564E-2</v>
      </c>
      <c r="CB37" s="79">
        <f>WWWW[[#This Row],[%Equitable and continuous access to sufficient quantity of safe drinking water]]*WWWW[[#This Row],[Total PoP ]]</f>
        <v>66.733333333333334</v>
      </c>
      <c r="CC37" s="81">
        <f>IF((WWWW[[#This Row],['#_Constructed/Existing protected/fenced ponds]]*250)/WWWW[[#This Row],[Total PoP ]]&gt;1,1,(WWWW[[#This Row],['#_Constructed/Existing protected/fenced ponds]]*250)/WWWW[[#This Row],[Total PoP ]])</f>
        <v>0.37202380952380953</v>
      </c>
      <c r="CD37" s="79">
        <f>WWWW[[#This Row],[% Access to unimproved water points]]*WWWW[[#This Row],[Total PoP ]]</f>
        <v>250</v>
      </c>
      <c r="CE3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0.47132936507936507</v>
      </c>
      <c r="CF3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316.73333333333335</v>
      </c>
      <c r="CG37" s="79">
        <f>WWWW[[#This Row],[HRP1]]/500</f>
        <v>0.63346666666666673</v>
      </c>
      <c r="CH37" s="78">
        <f>1-WWWW[[#This Row],[% Equitable and continuous access to sufficient quantity of domestic water]]</f>
        <v>0.52867063492063493</v>
      </c>
      <c r="CI37" s="79">
        <f>WWWW[[#This Row],[%equitable and continuous access to sufficient quantity of safe drinking and domestic water''s GAP]]*WWWW[[#This Row],[Total PoP ]]</f>
        <v>355.26666666666665</v>
      </c>
      <c r="CJ37" s="80">
        <f>IF(WWWW[[#This Row],[Total required water points]]-WWWW[[#This Row],['#Water points coverage]]&lt;0,0,WWWW[[#This Row],[Total required water points]]-WWWW[[#This Row],['#Water points coverage]])</f>
        <v>0.36653333333333327</v>
      </c>
      <c r="CK37" s="80">
        <f>ROUND(IF(WWWW[[#This Row],[Total PoP ]]&lt;500,1,WWWW[[#This Row],[Total PoP ]]/500),0)</f>
        <v>1</v>
      </c>
      <c r="CL37" s="80">
        <f>(WWWW[[#This Row],['#_Constructed latrines_by_WASHAgencies]]+WWWW[[#This Row],['#_Non Cluster partner latrines]])-WWWW[[#This Row],['#_Non-functional latrines]]</f>
        <v>18</v>
      </c>
      <c r="CM3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0.5357142857142857</v>
      </c>
      <c r="CN3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360</v>
      </c>
      <c r="CO3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7" s="80">
        <f>IF(WWWW[[#This Row],[Location Type 1]]="Village","NA",IF(WWWW[[#This Row],['#_Constructed/Existing latrines in TLS]]*50&gt;WWWW[[#This Row],['#_students at TLS_CFS]],WWWW[[#This Row],['#_students at TLS_CFS]],(WWWW[[#This Row],['#_Constructed/Existing latrines in TLS]]*50)))</f>
        <v>0</v>
      </c>
      <c r="CQ37" s="80">
        <f>ROUND(IF(WWWW[[#This Row],[Location Type 1]]="camp",WWWW[[#This Row],[Total PoP ]]/20,IF(WWWW[[#This Row],[Location Type 1]]="Temporary Location",WWWW[[#This Row],[Total PoP ]]/50,(WWWW[[#This Row],[Total PoP ]]/6))),0)</f>
        <v>34</v>
      </c>
      <c r="CR37" s="79">
        <f>IF(WWWW[[#This Row],[Total required Latrines]]-(WWWW[[#This Row],['#_Constructed latrines_by_WASHAgencies]]+WWWW[[#This Row],['#_Non Cluster partner latrines]])&lt;0,0,WWWW[[#This Row],[Total required Latrines]]-(WWWW[[#This Row],['#_Constructed latrines_by_WASHAgencies]]+WWWW[[#This Row],['#_Non Cluster partner latrines]]))</f>
        <v>15</v>
      </c>
      <c r="CS37" s="78">
        <f>1-WWWW[[#This Row],[% people access to functioning Latrine]]</f>
        <v>0.4642857142857143</v>
      </c>
      <c r="CT37" s="82">
        <f>IF(OR(WWWW[[#This Row],['#_Non-functional latrines]]="",WWWW[[#This Row],['#_Non-functional latrines]]=0),0,WWWW[[#This Row],['#_Non-functional latrines]]/(WWWW[[#This Row],['#_Constructed latrines_by_WASHAgencies]]+WWWW[[#This Row],['#_Non Cluster partner latrines]]))</f>
        <v>5.2631578947368418E-2</v>
      </c>
      <c r="CU37" s="79">
        <f>IF(500*(WWWW[[#This Row],['#_male hygiene promoters]]+WWWW[[#This Row],['#_female hygiene promoters]])&gt;WWWW[[#This Row],[Total PoP ]],WWWW[[#This Row],[Total PoP ]],500*(WWWW[[#This Row],['#_male hygiene promoters]]+WWWW[[#This Row],['#_female hygiene promoters]]))</f>
        <v>672</v>
      </c>
      <c r="CV3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 s="80">
        <f>IF(WWWW[[#This Row],['# People with access to soap]]&gt;WWWW[[#This Row],['# People with access to Sanity Pads]],WWWW[[#This Row],['# People with access to soap]],WWWW[[#This Row],['# People with access to Sanity Pads]])</f>
        <v>0</v>
      </c>
      <c r="CY37" s="80">
        <f>IF(WWWW[[#This Row],['# people reached by regular dedicated hygiene promotion_5]]&gt;WWWW[[#This Row],['# People received regular supply of hygiene items_6]],WWWW[[#This Row],['# people reached by regular dedicated hygiene promotion_5]],WWWW[[#This Row],['# People received regular supply of hygiene items_6]])</f>
        <v>672</v>
      </c>
      <c r="CZ37" s="78">
        <f>IF(WWWW[[#This Row],[HRP3]]/WWWW[[#This Row],[Total PoP ]]&gt;100%,100%,WWWW[[#This Row],[HRP3]]/WWWW[[#This Row],[Total PoP ]])</f>
        <v>1</v>
      </c>
      <c r="DA37" s="82">
        <f>1-WWWW[[#This Row],[Hygiene Coverage%]]</f>
        <v>0</v>
      </c>
      <c r="DB37" s="81">
        <f>WWWW[[#This Row],['# people reached by regular dedicated hygiene promotion_5]]/WWWW[[#This Row],[Total PoP ]]</f>
        <v>1</v>
      </c>
      <c r="DC37" s="81">
        <f>IF(WWWW[[#This Row],['#_households that received standard amount of soap for this quarter]]/WWWW[[#This Row],[Total HH]]&gt;1,1,WWWW[[#This Row],['#_households that received standard amount of soap for this quarter]]/WWWW[[#This Row],[Total HH]])</f>
        <v>0</v>
      </c>
      <c r="DD37" s="81">
        <f>IF(WWWW[[#This Row],['#_households that received standard amount of sanitary pads for this quarter]]/WWWW[[#This Row],[Total HH]]&gt;1,1,WWWW[[#This Row],['#_households that received standard amount of sanitary pads for this quarter]]/WWWW[[#This Row],[Total HH]])</f>
        <v>0</v>
      </c>
      <c r="DE37" s="80">
        <v>2</v>
      </c>
      <c r="DF37" s="757">
        <f>IF(WWWW[[#This Row],['# Functional hand washing stations during reporting period]]*20&gt;WWWW[[#This Row],[Total HH]],WWWW[[#This Row],[Total HH]],WWWW[[#This Row],['# Functional hand washing stations during reporting period]]*20)</f>
        <v>40</v>
      </c>
      <c r="DG37" s="79">
        <f>IF(WWWW[[#This Row],[Is sufficient soap available for TLS? (Yes/No)]]="yes",WWWW[[#This Row],['#_Constructed/Existing hand washing stations at TLS]],0)</f>
        <v>0</v>
      </c>
      <c r="DH37" s="578">
        <f>IF(WWWW[[#This Row],['# Functional hand washing stations during reporting period]]*100&gt;WWWW[[#This Row],[Total PoP ]],WWWW[[#This Row],[Total PoP ]],WWWW[[#This Row],['# Functional hand washing stations during reporting period]]*100)</f>
        <v>200</v>
      </c>
      <c r="DI37" s="578" t="str">
        <f>IF(OR(WWWW[[#This Row],['#_students at TLS_CFS]]="",WWWW[[#This Row],['#_students at TLS_CFS]]=0),"No","Yes")</f>
        <v>Yes</v>
      </c>
      <c r="DJ37" s="231" t="str">
        <f>VLOOKUP(WWWW[[#This Row],[Site Name]],SiteDB6[[Site Name]:[CCCM Management]],6,FALSE)</f>
        <v>Yes</v>
      </c>
      <c r="DK37" s="231" t="str">
        <f>VLOOKUP(WWWW[[#This Row],[Site Name]],SiteDB6[[Site Name]:[CCCM Focal Agency]],7,FALSE)</f>
        <v>KBC</v>
      </c>
      <c r="DL37" s="231" t="str">
        <f>VLOOKUP(WWWW[[#This Row],[Site Name]],SiteDB6[[Site Name]:[Location Type 1]],9,FALSE)</f>
        <v>Camp</v>
      </c>
      <c r="DM37" s="231" t="str">
        <f>VLOOKUP(WWWW[[#This Row],[Site Name]],SiteDB6[[Site Name]:[Type of Accommodation]],10,FALSE)</f>
        <v>camp</v>
      </c>
      <c r="DN37" s="231" t="str">
        <f>VLOOKUP(WWWW[[#This Row],[Site Name]],SiteDB6[[Site Name]:[Ethnic or GCA/NGCA]],11,FALSE)</f>
        <v>GCA</v>
      </c>
      <c r="DO37" s="231">
        <f>VLOOKUP(WWWW[[#This Row],[Site Name]],SiteDB6[[Site Name]:[Lat]],12,FALSE)</f>
        <v>0</v>
      </c>
      <c r="DP37" s="231">
        <f>VLOOKUP(WWWW[[#This Row],[Site Name]],SiteDB6[[Site Name]:[Long]],13,FALSE)</f>
        <v>0</v>
      </c>
      <c r="DQ37" s="231" t="str">
        <f>VLOOKUP(WWWW[[#This Row],[Site Name]],SiteDB6[[Site Name]:[Pcode]],3,FALSE)</f>
        <v>MMR001CMP250</v>
      </c>
      <c r="DR37" s="207" t="str">
        <f t="shared" si="1"/>
        <v>Covered</v>
      </c>
      <c r="DS37" s="207"/>
      <c r="DT37" s="20"/>
      <c r="DU37" s="20"/>
      <c r="DV37" s="20"/>
      <c r="DW37" s="20"/>
      <c r="DX37" s="20"/>
      <c r="DY37" s="20"/>
      <c r="DZ37" s="20"/>
      <c r="EA37" s="20"/>
      <c r="EB37" s="20"/>
      <c r="EC37" s="20"/>
      <c r="ED37" s="20"/>
      <c r="EE37" s="20"/>
      <c r="EF37" s="20"/>
      <c r="EG37" s="20"/>
      <c r="EH37" s="20"/>
    </row>
    <row r="38" spans="1:138" ht="15.75" customHeight="1">
      <c r="A38" s="238" t="s">
        <v>2518</v>
      </c>
      <c r="B38" s="574" t="s">
        <v>250</v>
      </c>
      <c r="C38" s="574" t="s">
        <v>250</v>
      </c>
      <c r="D38" s="574" t="s">
        <v>315</v>
      </c>
      <c r="E38" s="574" t="s">
        <v>39</v>
      </c>
      <c r="F38" s="574" t="s">
        <v>156</v>
      </c>
      <c r="G38" s="574" t="str">
        <f>VLOOKUP(WWWW[[#This Row],[Site Name]],SiteDB6[[Site Name]:[Location Type]],8,FALSE)</f>
        <v>Camp</v>
      </c>
      <c r="H38" s="574" t="s">
        <v>263</v>
      </c>
      <c r="I38" s="583">
        <v>18</v>
      </c>
      <c r="J38" s="583">
        <v>103</v>
      </c>
      <c r="K38" s="553">
        <v>43313</v>
      </c>
      <c r="L38" s="77">
        <v>44043</v>
      </c>
      <c r="M38" s="583">
        <v>0</v>
      </c>
      <c r="N38" s="583">
        <v>1</v>
      </c>
      <c r="O38" s="583">
        <v>0</v>
      </c>
      <c r="P38" s="583">
        <v>0</v>
      </c>
      <c r="Q38" s="574" t="s">
        <v>43</v>
      </c>
      <c r="R38" s="310">
        <v>1</v>
      </c>
      <c r="S38" s="310">
        <v>2</v>
      </c>
      <c r="T38" s="310">
        <v>0</v>
      </c>
      <c r="U38" s="310">
        <v>0</v>
      </c>
      <c r="V38" s="310">
        <v>0</v>
      </c>
      <c r="W38" s="310">
        <v>0</v>
      </c>
      <c r="X38" s="310">
        <v>0</v>
      </c>
      <c r="Y38" s="310">
        <v>0</v>
      </c>
      <c r="Z38" s="310">
        <v>0</v>
      </c>
      <c r="AA38" s="310">
        <v>2</v>
      </c>
      <c r="AB38" s="310">
        <v>0</v>
      </c>
      <c r="AC38" s="310">
        <v>1</v>
      </c>
      <c r="AD38" s="310">
        <v>0</v>
      </c>
      <c r="AE38" s="310">
        <v>2</v>
      </c>
      <c r="AF38" s="310">
        <v>1</v>
      </c>
      <c r="AG38" s="310">
        <v>1</v>
      </c>
      <c r="AH38" s="310">
        <v>0</v>
      </c>
      <c r="AI38" s="310"/>
      <c r="AJ38" s="310"/>
      <c r="AK38" s="310"/>
      <c r="AL38" s="310"/>
      <c r="AM38" s="310">
        <v>0</v>
      </c>
      <c r="AN38" s="310">
        <v>0</v>
      </c>
      <c r="AO38" s="207"/>
      <c r="AP38" s="310">
        <v>4</v>
      </c>
      <c r="AQ38" s="310">
        <v>0</v>
      </c>
      <c r="AR38" s="76" t="s">
        <v>250</v>
      </c>
      <c r="AS38" s="310">
        <v>0</v>
      </c>
      <c r="AT38" s="310">
        <v>0</v>
      </c>
      <c r="AU38" s="310">
        <v>0</v>
      </c>
      <c r="AV38" s="310"/>
      <c r="AW38" s="583">
        <v>0</v>
      </c>
      <c r="AX38" s="581" t="s">
        <v>43</v>
      </c>
      <c r="AY38" s="231" t="s">
        <v>144</v>
      </c>
      <c r="AZ38" s="310">
        <v>0</v>
      </c>
      <c r="BA38" s="310">
        <v>0</v>
      </c>
      <c r="BB38" s="310">
        <v>0</v>
      </c>
      <c r="BC38" s="207"/>
      <c r="BD38" s="310">
        <v>2</v>
      </c>
      <c r="BE38" s="310">
        <v>0</v>
      </c>
      <c r="BF38" s="310">
        <v>0</v>
      </c>
      <c r="BG38" s="310">
        <v>2</v>
      </c>
      <c r="BH38" s="310">
        <v>0</v>
      </c>
      <c r="BI38" s="310">
        <v>1</v>
      </c>
      <c r="BJ38" s="310">
        <v>2</v>
      </c>
      <c r="BK38" s="310">
        <v>0</v>
      </c>
      <c r="BL38" s="310">
        <v>0</v>
      </c>
      <c r="BM38" s="207" t="s">
        <v>144</v>
      </c>
      <c r="BN38" s="79">
        <v>0</v>
      </c>
      <c r="BO38" s="81">
        <v>0.3</v>
      </c>
      <c r="BP38" s="207"/>
      <c r="BQ38" s="78" t="str">
        <f>IFERROR(WWWW[[#This Row],['#_Water sources treated]]/WWWW[[#This Row],['#_Water sources tested for contamination]],"no test")</f>
        <v>no test</v>
      </c>
      <c r="BR38" s="81" t="str">
        <f>IFERROR(WWWW[[#This Row],['#_Household received remediation action due to contamination]]/WWWW[[#This Row],['#_Household water samples tested for contamination]],"no test")</f>
        <v>no test</v>
      </c>
      <c r="BS38" s="80" t="str">
        <f>IF(AND(WWWW[[#This Row],[% of water sources treated]]="no test",WWWW[[#This Row],[% Household received corrective actions]]="no test"),"No Test","Tested")</f>
        <v>No Test</v>
      </c>
      <c r="BT38" s="80">
        <f>WWWW[[#This Row],['#_Constructed/existing protected hand dug well]]-WWWW[[#This Row],['#_Non-functional protected hand dug well]]</f>
        <v>0</v>
      </c>
      <c r="BU38" s="80">
        <f>(WWWW[[#This Row],['#_Constructed/Existing tube wells/boreholes/handpumps_WASH_agency]]+WWWW[[#This Row],['#_Non-Cluster partner water tube-wells/boreholes/handpumps]])-WWWW[[#This Row],['#_Non-functional tube wells/boreholes/handpumps]]</f>
        <v>0</v>
      </c>
      <c r="BV38" s="80">
        <f>WWWW[[#This Row],['#_Constructed/Existingwater storage tank with gravity fed reticulation system]]-WWWW[[#This Row],['#_Non-functional storage tank gravity fed reticulation system]]</f>
        <v>2</v>
      </c>
      <c r="BW38" s="80">
        <f>WWWW[[#This Row],['#_Water boating or water trucking]]</f>
        <v>0</v>
      </c>
      <c r="BX38" s="80">
        <f>WWWW[[#This Row],['#_Constructed/Existing water distribution system from river or natural spring]]</f>
        <v>1</v>
      </c>
      <c r="BY3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8" s="81">
        <f>IF(WWWW[[#This Row],[Location Type 1]]="Village",WWWW[[#This Row],[Access to safe drinking water for Village]],WWWW[[#This Row],[Access to safe drinking water for Camp]])</f>
        <v>1</v>
      </c>
      <c r="CB38" s="79">
        <f>WWWW[[#This Row],[%Equitable and continuous access to sufficient quantity of safe drinking water]]*WWWW[[#This Row],[Total PoP ]]</f>
        <v>103</v>
      </c>
      <c r="CC38" s="81">
        <f>IF((WWWW[[#This Row],['#_Constructed/Existing protected/fenced ponds]]*250)/WWWW[[#This Row],[Total PoP ]]&gt;1,1,(WWWW[[#This Row],['#_Constructed/Existing protected/fenced ponds]]*250)/WWWW[[#This Row],[Total PoP ]])</f>
        <v>1</v>
      </c>
      <c r="CD38" s="79">
        <f>WWWW[[#This Row],[% Access to unimproved water points]]*WWWW[[#This Row],[Total PoP ]]</f>
        <v>103</v>
      </c>
      <c r="CE3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G38" s="79">
        <f>WWWW[[#This Row],[HRP1]]/500</f>
        <v>0.20599999999999999</v>
      </c>
      <c r="CH38" s="78">
        <f>1-WWWW[[#This Row],[% Equitable and continuous access to sufficient quantity of domestic water]]</f>
        <v>0</v>
      </c>
      <c r="CI38" s="79">
        <f>WWWW[[#This Row],[%equitable and continuous access to sufficient quantity of safe drinking and domestic water''s GAP]]*WWWW[[#This Row],[Total PoP ]]</f>
        <v>0</v>
      </c>
      <c r="CJ38" s="80">
        <f>IF(WWWW[[#This Row],[Total required water points]]-WWWW[[#This Row],['#Water points coverage]]&lt;0,0,WWWW[[#This Row],[Total required water points]]-WWWW[[#This Row],['#Water points coverage]])</f>
        <v>0.79400000000000004</v>
      </c>
      <c r="CK38" s="80">
        <f>ROUND(IF(WWWW[[#This Row],[Total PoP ]]&lt;500,1,WWWW[[#This Row],[Total PoP ]]/500),0)</f>
        <v>1</v>
      </c>
      <c r="CL38" s="80">
        <f>(WWWW[[#This Row],['#_Constructed latrines_by_WASHAgencies]]+WWWW[[#This Row],['#_Non Cluster partner latrines]])-WWWW[[#This Row],['#_Non-functional latrines]]</f>
        <v>4</v>
      </c>
      <c r="CM3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0.77669902912621358</v>
      </c>
      <c r="CN3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3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8" s="80">
        <f>IF(WWWW[[#This Row],[Location Type 1]]="Village","NA",IF(WWWW[[#This Row],['#_Constructed/Existing latrines in TLS]]*50&gt;WWWW[[#This Row],['#_students at TLS_CFS]],WWWW[[#This Row],['#_students at TLS_CFS]],(WWWW[[#This Row],['#_Constructed/Existing latrines in TLS]]*50)))</f>
        <v>0</v>
      </c>
      <c r="CQ38" s="80">
        <f>ROUND(IF(WWWW[[#This Row],[Location Type 1]]="camp",WWWW[[#This Row],[Total PoP ]]/20,IF(WWWW[[#This Row],[Location Type 1]]="Temporary Location",WWWW[[#This Row],[Total PoP ]]/50,(WWWW[[#This Row],[Total PoP ]]/6))),0)</f>
        <v>5</v>
      </c>
      <c r="CR38" s="79">
        <f>IF(WWWW[[#This Row],[Total required Latrines]]-(WWWW[[#This Row],['#_Constructed latrines_by_WASHAgencies]]+WWWW[[#This Row],['#_Non Cluster partner latrines]])&lt;0,0,WWWW[[#This Row],[Total required Latrines]]-(WWWW[[#This Row],['#_Constructed latrines_by_WASHAgencies]]+WWWW[[#This Row],['#_Non Cluster partner latrines]]))</f>
        <v>1</v>
      </c>
      <c r="CS38" s="78">
        <f>1-WWWW[[#This Row],[% people access to functioning Latrine]]</f>
        <v>0.22330097087378642</v>
      </c>
      <c r="CT38" s="82">
        <f>IF(OR(WWWW[[#This Row],['#_Non-functional latrines]]="",WWWW[[#This Row],['#_Non-functional latrines]]=0),0,WWWW[[#This Row],['#_Non-functional latrines]]/(WWWW[[#This Row],['#_Constructed latrines_by_WASHAgencies]]+WWWW[[#This Row],['#_Non Cluster partner latrines]]))</f>
        <v>0</v>
      </c>
      <c r="CU38" s="79">
        <f>IF(500*(WWWW[[#This Row],['#_male hygiene promoters]]+WWWW[[#This Row],['#_female hygiene promoters]])&gt;WWWW[[#This Row],[Total PoP ]],WWWW[[#This Row],[Total PoP ]],500*(WWWW[[#This Row],['#_male hygiene promoters]]+WWWW[[#This Row],['#_female hygiene promoters]]))</f>
        <v>103</v>
      </c>
      <c r="CV3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 s="80">
        <f>IF(WWWW[[#This Row],['# People with access to soap]]&gt;WWWW[[#This Row],['# People with access to Sanity Pads]],WWWW[[#This Row],['# People with access to soap]],WWWW[[#This Row],['# People with access to Sanity Pads]])</f>
        <v>0</v>
      </c>
      <c r="CY38" s="80">
        <f>IF(WWWW[[#This Row],['# people reached by regular dedicated hygiene promotion_5]]&gt;WWWW[[#This Row],['# People received regular supply of hygiene items_6]],WWWW[[#This Row],['# people reached by regular dedicated hygiene promotion_5]],WWWW[[#This Row],['# People received regular supply of hygiene items_6]])</f>
        <v>103</v>
      </c>
      <c r="CZ38" s="78">
        <f>IF(WWWW[[#This Row],[HRP3]]/WWWW[[#This Row],[Total PoP ]]&gt;100%,100%,WWWW[[#This Row],[HRP3]]/WWWW[[#This Row],[Total PoP ]])</f>
        <v>1</v>
      </c>
      <c r="DA38" s="82">
        <f>1-WWWW[[#This Row],[Hygiene Coverage%]]</f>
        <v>0</v>
      </c>
      <c r="DB38" s="81">
        <f>WWWW[[#This Row],['# people reached by regular dedicated hygiene promotion_5]]/WWWW[[#This Row],[Total PoP ]]</f>
        <v>1</v>
      </c>
      <c r="DC38" s="81">
        <f>IF(WWWW[[#This Row],['#_households that received standard amount of soap for this quarter]]/WWWW[[#This Row],[Total HH]]&gt;1,1,WWWW[[#This Row],['#_households that received standard amount of soap for this quarter]]/WWWW[[#This Row],[Total HH]])</f>
        <v>0</v>
      </c>
      <c r="DD38" s="81">
        <f>IF(WWWW[[#This Row],['#_households that received standard amount of sanitary pads for this quarter]]/WWWW[[#This Row],[Total HH]]&gt;1,1,WWWW[[#This Row],['#_households that received standard amount of sanitary pads for this quarter]]/WWWW[[#This Row],[Total HH]])</f>
        <v>0</v>
      </c>
      <c r="DE38" s="80">
        <f>WWWW[[#This Row],['#_Constructed/Existing hand washing stations]]-WWWW[[#This Row],['#_Non-Functional_hand_washing_stations]]</f>
        <v>2</v>
      </c>
      <c r="DF38" s="757">
        <f>IF(WWWW[[#This Row],['# Functional hand washing stations during reporting period]]*20&gt;WWWW[[#This Row],[Total HH]],WWWW[[#This Row],[Total HH]],WWWW[[#This Row],['# Functional hand washing stations during reporting period]]*20)</f>
        <v>18</v>
      </c>
      <c r="DG38" s="79">
        <f>IF(WWWW[[#This Row],[Is sufficient soap available for TLS? (Yes/No)]]="yes",WWWW[[#This Row],['#_Constructed/Existing hand washing stations at TLS]],0)</f>
        <v>0</v>
      </c>
      <c r="DH38" s="578">
        <f>IF(WWWW[[#This Row],['# Functional hand washing stations during reporting period]]*100&gt;WWWW[[#This Row],[Total PoP ]],WWWW[[#This Row],[Total PoP ]],WWWW[[#This Row],['# Functional hand washing stations during reporting period]]*100)</f>
        <v>103</v>
      </c>
      <c r="DI38" s="578" t="str">
        <f>IF(OR(WWWW[[#This Row],['#_students at TLS_CFS]]="",WWWW[[#This Row],['#_students at TLS_CFS]]=0),"No","Yes")</f>
        <v>No</v>
      </c>
      <c r="DJ38" s="231" t="str">
        <f>VLOOKUP(WWWW[[#This Row],[Site Name]],SiteDB6[[Site Name]:[CCCM Management]],6,FALSE)</f>
        <v>Yes</v>
      </c>
      <c r="DK38" s="231" t="str">
        <f>VLOOKUP(WWWW[[#This Row],[Site Name]],SiteDB6[[Site Name]:[CCCM Focal Agency]],7,FALSE)</f>
        <v>Shalom</v>
      </c>
      <c r="DL38" s="231" t="str">
        <f>VLOOKUP(WWWW[[#This Row],[Site Name]],SiteDB6[[Site Name]:[Location Type 1]],9,FALSE)</f>
        <v>Camp</v>
      </c>
      <c r="DM38" s="231" t="str">
        <f>VLOOKUP(WWWW[[#This Row],[Site Name]],SiteDB6[[Site Name]:[Type of Accommodation]],10,FALSE)</f>
        <v>Camp</v>
      </c>
      <c r="DN38" s="231" t="str">
        <f>VLOOKUP(WWWW[[#This Row],[Site Name]],SiteDB6[[Site Name]:[Ethnic or GCA/NGCA]],11,FALSE)</f>
        <v>GCA</v>
      </c>
      <c r="DO38" s="231">
        <f>VLOOKUP(WWWW[[#This Row],[Site Name]],SiteDB6[[Site Name]:[Lat]],12,FALSE)</f>
        <v>25.566510000000001</v>
      </c>
      <c r="DP38" s="231">
        <f>VLOOKUP(WWWW[[#This Row],[Site Name]],SiteDB6[[Site Name]:[Long]],13,FALSE)</f>
        <v>96.269199999999998</v>
      </c>
      <c r="DQ38" s="231" t="str">
        <f>VLOOKUP(WWWW[[#This Row],[Site Name]],SiteDB6[[Site Name]:[Pcode]],3,FALSE)</f>
        <v>MMR001CMP181</v>
      </c>
      <c r="DR38" s="207" t="str">
        <f t="shared" si="1"/>
        <v>Covered</v>
      </c>
      <c r="DS38" s="207"/>
      <c r="DT38" s="20"/>
      <c r="DU38" s="20"/>
      <c r="DV38" s="20"/>
      <c r="DW38" s="20"/>
      <c r="DX38" s="20"/>
      <c r="DY38" s="20"/>
      <c r="DZ38" s="20"/>
      <c r="EA38" s="20"/>
      <c r="EB38" s="20"/>
      <c r="EC38" s="20"/>
      <c r="ED38" s="20"/>
      <c r="EE38" s="20"/>
      <c r="EF38" s="20"/>
      <c r="EG38" s="20"/>
      <c r="EH38" s="20"/>
    </row>
    <row r="39" spans="1:138" ht="15.75" customHeight="1">
      <c r="A39" s="238" t="s">
        <v>2518</v>
      </c>
      <c r="B39" s="574" t="s">
        <v>250</v>
      </c>
      <c r="C39" s="574" t="s">
        <v>250</v>
      </c>
      <c r="D39" s="574" t="s">
        <v>315</v>
      </c>
      <c r="E39" s="574" t="s">
        <v>39</v>
      </c>
      <c r="F39" s="574" t="s">
        <v>156</v>
      </c>
      <c r="G39" s="574" t="str">
        <f>VLOOKUP(WWWW[[#This Row],[Site Name]],SiteDB6[[Site Name]:[Location Type]],8,FALSE)</f>
        <v>Camp</v>
      </c>
      <c r="H39" s="574" t="s">
        <v>264</v>
      </c>
      <c r="I39" s="583">
        <v>12</v>
      </c>
      <c r="J39" s="583">
        <v>60</v>
      </c>
      <c r="K39" s="553">
        <v>43313</v>
      </c>
      <c r="L39" s="77">
        <v>44043</v>
      </c>
      <c r="M39" s="583">
        <v>0</v>
      </c>
      <c r="N39" s="583">
        <v>1</v>
      </c>
      <c r="O39" s="583">
        <v>0</v>
      </c>
      <c r="P39" s="583">
        <v>0</v>
      </c>
      <c r="Q39" s="574" t="s">
        <v>43</v>
      </c>
      <c r="R39" s="310">
        <v>3</v>
      </c>
      <c r="S39" s="310">
        <v>4</v>
      </c>
      <c r="T39" s="310">
        <v>0</v>
      </c>
      <c r="U39" s="310">
        <v>0</v>
      </c>
      <c r="V39" s="310">
        <v>0</v>
      </c>
      <c r="W39" s="310">
        <v>0</v>
      </c>
      <c r="X39" s="310">
        <v>0</v>
      </c>
      <c r="Y39" s="310">
        <v>0</v>
      </c>
      <c r="Z39" s="310">
        <v>0</v>
      </c>
      <c r="AA39" s="310">
        <v>0</v>
      </c>
      <c r="AB39" s="310">
        <v>0</v>
      </c>
      <c r="AC39" s="310">
        <v>0</v>
      </c>
      <c r="AD39" s="310">
        <v>0</v>
      </c>
      <c r="AE39" s="310">
        <v>0</v>
      </c>
      <c r="AF39" s="310">
        <v>1</v>
      </c>
      <c r="AG39" s="310">
        <v>0</v>
      </c>
      <c r="AH39" s="310">
        <v>1</v>
      </c>
      <c r="AI39" s="310"/>
      <c r="AJ39" s="310"/>
      <c r="AK39" s="310"/>
      <c r="AL39" s="310"/>
      <c r="AM39" s="310">
        <v>0</v>
      </c>
      <c r="AN39" s="310">
        <v>0</v>
      </c>
      <c r="AO39" s="207"/>
      <c r="AP39" s="310">
        <v>2</v>
      </c>
      <c r="AQ39" s="310">
        <v>0</v>
      </c>
      <c r="AR39" s="76" t="s">
        <v>250</v>
      </c>
      <c r="AS39" s="310">
        <v>0</v>
      </c>
      <c r="AT39" s="310">
        <v>0</v>
      </c>
      <c r="AU39" s="310">
        <v>0</v>
      </c>
      <c r="AV39" s="310"/>
      <c r="AW39" s="583">
        <v>0</v>
      </c>
      <c r="AX39" s="581" t="s">
        <v>43</v>
      </c>
      <c r="AY39" s="231" t="s">
        <v>144</v>
      </c>
      <c r="AZ39" s="310">
        <v>0</v>
      </c>
      <c r="BA39" s="310">
        <v>0</v>
      </c>
      <c r="BB39" s="310">
        <v>0</v>
      </c>
      <c r="BC39" s="207"/>
      <c r="BD39" s="310">
        <v>1</v>
      </c>
      <c r="BE39" s="310">
        <v>0</v>
      </c>
      <c r="BF39" s="310">
        <v>0</v>
      </c>
      <c r="BG39" s="310">
        <v>2</v>
      </c>
      <c r="BH39" s="310">
        <v>0</v>
      </c>
      <c r="BI39" s="310">
        <v>3</v>
      </c>
      <c r="BJ39" s="310">
        <v>4</v>
      </c>
      <c r="BK39" s="310">
        <v>0</v>
      </c>
      <c r="BL39" s="310">
        <v>0</v>
      </c>
      <c r="BM39" s="207" t="s">
        <v>144</v>
      </c>
      <c r="BN39" s="79">
        <v>0</v>
      </c>
      <c r="BO39" s="81">
        <v>0.4</v>
      </c>
      <c r="BP39" s="207"/>
      <c r="BQ39" s="78" t="str">
        <f>IFERROR(WWWW[[#This Row],['#_Water sources treated]]/WWWW[[#This Row],['#_Water sources tested for contamination]],"no test")</f>
        <v>no test</v>
      </c>
      <c r="BR39" s="81" t="str">
        <f>IFERROR(WWWW[[#This Row],['#_Household received remediation action due to contamination]]/WWWW[[#This Row],['#_Household water samples tested for contamination]],"no test")</f>
        <v>no test</v>
      </c>
      <c r="BS39" s="80" t="str">
        <f>IF(AND(WWWW[[#This Row],[% of water sources treated]]="no test",WWWW[[#This Row],[% Household received corrective actions]]="no test"),"No Test","Tested")</f>
        <v>No Test</v>
      </c>
      <c r="BT39" s="80">
        <f>WWWW[[#This Row],['#_Constructed/existing protected hand dug well]]-WWWW[[#This Row],['#_Non-functional protected hand dug well]]</f>
        <v>0</v>
      </c>
      <c r="BU39" s="80">
        <f>(WWWW[[#This Row],['#_Constructed/Existing tube wells/boreholes/handpumps_WASH_agency]]+WWWW[[#This Row],['#_Non-Cluster partner water tube-wells/boreholes/handpumps]])-WWWW[[#This Row],['#_Non-functional tube wells/boreholes/handpumps]]</f>
        <v>0</v>
      </c>
      <c r="BV39" s="80">
        <f>WWWW[[#This Row],['#_Constructed/Existingwater storage tank with gravity fed reticulation system]]-WWWW[[#This Row],['#_Non-functional storage tank gravity fed reticulation system]]</f>
        <v>0</v>
      </c>
      <c r="BW39" s="80">
        <f>WWWW[[#This Row],['#_Water boating or water trucking]]</f>
        <v>0</v>
      </c>
      <c r="BX39" s="80">
        <f>WWWW[[#This Row],['#_Constructed/Existing water distribution system from river or natural spring]]</f>
        <v>1</v>
      </c>
      <c r="BY3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1.1111111111111111E-3</v>
      </c>
      <c r="BZ3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1.1111111111111111E-3</v>
      </c>
      <c r="CA39" s="81">
        <f>IF(WWWW[[#This Row],[Location Type 1]]="Village",WWWW[[#This Row],[Access to safe drinking water for Village]],WWWW[[#This Row],[Access to safe drinking water for Camp]])</f>
        <v>1.1111111111111111E-3</v>
      </c>
      <c r="CB39" s="79">
        <f>WWWW[[#This Row],[%Equitable and continuous access to sufficient quantity of safe drinking water]]*WWWW[[#This Row],[Total PoP ]]</f>
        <v>6.6666666666666666E-2</v>
      </c>
      <c r="CC39" s="81">
        <f>IF((WWWW[[#This Row],['#_Constructed/Existing protected/fenced ponds]]*250)/WWWW[[#This Row],[Total PoP ]]&gt;1,1,(WWWW[[#This Row],['#_Constructed/Existing protected/fenced ponds]]*250)/WWWW[[#This Row],[Total PoP ]])</f>
        <v>0</v>
      </c>
      <c r="CD39" s="79">
        <f>WWWW[[#This Row],[% Access to unimproved water points]]*WWWW[[#This Row],[Total PoP ]]</f>
        <v>0</v>
      </c>
      <c r="CE3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1.1111111111111111E-3</v>
      </c>
      <c r="CF3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6.6666666666666666E-2</v>
      </c>
      <c r="CG39" s="79">
        <f>WWWW[[#This Row],[HRP1]]/500</f>
        <v>1.3333333333333334E-4</v>
      </c>
      <c r="CH39" s="78">
        <f>1-WWWW[[#This Row],[% Equitable and continuous access to sufficient quantity of domestic water]]</f>
        <v>0.99888888888888894</v>
      </c>
      <c r="CI39" s="79">
        <f>WWWW[[#This Row],[%equitable and continuous access to sufficient quantity of safe drinking and domestic water''s GAP]]*WWWW[[#This Row],[Total PoP ]]</f>
        <v>59.933333333333337</v>
      </c>
      <c r="CJ39" s="80">
        <f>IF(WWWW[[#This Row],[Total required water points]]-WWWW[[#This Row],['#Water points coverage]]&lt;0,0,WWWW[[#This Row],[Total required water points]]-WWWW[[#This Row],['#Water points coverage]])</f>
        <v>0.99986666666666668</v>
      </c>
      <c r="CK39" s="80">
        <f>ROUND(IF(WWWW[[#This Row],[Total PoP ]]&lt;500,1,WWWW[[#This Row],[Total PoP ]]/500),0)</f>
        <v>1</v>
      </c>
      <c r="CL39" s="80">
        <f>(WWWW[[#This Row],['#_Constructed latrines_by_WASHAgencies]]+WWWW[[#This Row],['#_Non Cluster partner latrines]])-WWWW[[#This Row],['#_Non-functional latrines]]</f>
        <v>2</v>
      </c>
      <c r="CM3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0.66666666666666663</v>
      </c>
      <c r="CN3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3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 s="80">
        <f>IF(WWWW[[#This Row],[Location Type 1]]="Village","NA",IF(WWWW[[#This Row],['#_Constructed/Existing latrines in TLS]]*50&gt;WWWW[[#This Row],['#_students at TLS_CFS]],WWWW[[#This Row],['#_students at TLS_CFS]],(WWWW[[#This Row],['#_Constructed/Existing latrines in TLS]]*50)))</f>
        <v>0</v>
      </c>
      <c r="CQ39" s="80">
        <f>ROUND(IF(WWWW[[#This Row],[Location Type 1]]="camp",WWWW[[#This Row],[Total PoP ]]/20,IF(WWWW[[#This Row],[Location Type 1]]="Temporary Location",WWWW[[#This Row],[Total PoP ]]/50,(WWWW[[#This Row],[Total PoP ]]/6))),0)</f>
        <v>3</v>
      </c>
      <c r="CR39" s="79">
        <f>IF(WWWW[[#This Row],[Total required Latrines]]-(WWWW[[#This Row],['#_Constructed latrines_by_WASHAgencies]]+WWWW[[#This Row],['#_Non Cluster partner latrines]])&lt;0,0,WWWW[[#This Row],[Total required Latrines]]-(WWWW[[#This Row],['#_Constructed latrines_by_WASHAgencies]]+WWWW[[#This Row],['#_Non Cluster partner latrines]]))</f>
        <v>1</v>
      </c>
      <c r="CS39" s="78">
        <f>1-WWWW[[#This Row],[% people access to functioning Latrine]]</f>
        <v>0.33333333333333337</v>
      </c>
      <c r="CT39" s="82">
        <f>IF(OR(WWWW[[#This Row],['#_Non-functional latrines]]="",WWWW[[#This Row],['#_Non-functional latrines]]=0),0,WWWW[[#This Row],['#_Non-functional latrines]]/(WWWW[[#This Row],['#_Constructed latrines_by_WASHAgencies]]+WWWW[[#This Row],['#_Non Cluster partner latrines]]))</f>
        <v>0</v>
      </c>
      <c r="CU39" s="79">
        <f>IF(500*(WWWW[[#This Row],['#_male hygiene promoters]]+WWWW[[#This Row],['#_female hygiene promoters]])&gt;WWWW[[#This Row],[Total PoP ]],WWWW[[#This Row],[Total PoP ]],500*(WWWW[[#This Row],['#_male hygiene promoters]]+WWWW[[#This Row],['#_female hygiene promoters]]))</f>
        <v>60</v>
      </c>
      <c r="CV3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 s="80">
        <f>IF(WWWW[[#This Row],['# People with access to soap]]&gt;WWWW[[#This Row],['# People with access to Sanity Pads]],WWWW[[#This Row],['# People with access to soap]],WWWW[[#This Row],['# People with access to Sanity Pads]])</f>
        <v>0</v>
      </c>
      <c r="CY39" s="80">
        <f>IF(WWWW[[#This Row],['# people reached by regular dedicated hygiene promotion_5]]&gt;WWWW[[#This Row],['# People received regular supply of hygiene items_6]],WWWW[[#This Row],['# people reached by regular dedicated hygiene promotion_5]],WWWW[[#This Row],['# People received regular supply of hygiene items_6]])</f>
        <v>60</v>
      </c>
      <c r="CZ39" s="78">
        <f>IF(WWWW[[#This Row],[HRP3]]/WWWW[[#This Row],[Total PoP ]]&gt;100%,100%,WWWW[[#This Row],[HRP3]]/WWWW[[#This Row],[Total PoP ]])</f>
        <v>1</v>
      </c>
      <c r="DA39" s="82">
        <f>1-WWWW[[#This Row],[Hygiene Coverage%]]</f>
        <v>0</v>
      </c>
      <c r="DB39" s="81">
        <f>WWWW[[#This Row],['# people reached by regular dedicated hygiene promotion_5]]/WWWW[[#This Row],[Total PoP ]]</f>
        <v>1</v>
      </c>
      <c r="DC39" s="81">
        <f>IF(WWWW[[#This Row],['#_households that received standard amount of soap for this quarter]]/WWWW[[#This Row],[Total HH]]&gt;1,1,WWWW[[#This Row],['#_households that received standard amount of soap for this quarter]]/WWWW[[#This Row],[Total HH]])</f>
        <v>0</v>
      </c>
      <c r="DD39" s="81">
        <f>IF(WWWW[[#This Row],['#_households that received standard amount of sanitary pads for this quarter]]/WWWW[[#This Row],[Total HH]]&gt;1,1,WWWW[[#This Row],['#_households that received standard amount of sanitary pads for this quarter]]/WWWW[[#This Row],[Total HH]])</f>
        <v>0</v>
      </c>
      <c r="DE39" s="80">
        <f>WWWW[[#This Row],['#_Constructed/Existing hand washing stations]]-WWWW[[#This Row],['#_Non-Functional_hand_washing_stations]]</f>
        <v>1</v>
      </c>
      <c r="DF39" s="757">
        <f>IF(WWWW[[#This Row],['# Functional hand washing stations during reporting period]]*20&gt;WWWW[[#This Row],[Total HH]],WWWW[[#This Row],[Total HH]],WWWW[[#This Row],['# Functional hand washing stations during reporting period]]*20)</f>
        <v>12</v>
      </c>
      <c r="DG39" s="79">
        <f>IF(WWWW[[#This Row],[Is sufficient soap available for TLS? (Yes/No)]]="yes",WWWW[[#This Row],['#_Constructed/Existing hand washing stations at TLS]],0)</f>
        <v>0</v>
      </c>
      <c r="DH39" s="578">
        <f>IF(WWWW[[#This Row],['# Functional hand washing stations during reporting period]]*100&gt;WWWW[[#This Row],[Total PoP ]],WWWW[[#This Row],[Total PoP ]],WWWW[[#This Row],['# Functional hand washing stations during reporting period]]*100)</f>
        <v>60</v>
      </c>
      <c r="DI39" s="578" t="str">
        <f>IF(OR(WWWW[[#This Row],['#_students at TLS_CFS]]="",WWWW[[#This Row],['#_students at TLS_CFS]]=0),"No","Yes")</f>
        <v>No</v>
      </c>
      <c r="DJ39" s="231" t="str">
        <f>VLOOKUP(WWWW[[#This Row],[Site Name]],SiteDB6[[Site Name]:[CCCM Management]],6,FALSE)</f>
        <v>Yes</v>
      </c>
      <c r="DK39" s="231" t="str">
        <f>VLOOKUP(WWWW[[#This Row],[Site Name]],SiteDB6[[Site Name]:[CCCM Focal Agency]],7,FALSE)</f>
        <v>Shalom</v>
      </c>
      <c r="DL39" s="231" t="str">
        <f>VLOOKUP(WWWW[[#This Row],[Site Name]],SiteDB6[[Site Name]:[Location Type 1]],9,FALSE)</f>
        <v>Camp</v>
      </c>
      <c r="DM39" s="231" t="str">
        <f>VLOOKUP(WWWW[[#This Row],[Site Name]],SiteDB6[[Site Name]:[Type of Accommodation]],10,FALSE)</f>
        <v>Camp</v>
      </c>
      <c r="DN39" s="231" t="str">
        <f>VLOOKUP(WWWW[[#This Row],[Site Name]],SiteDB6[[Site Name]:[Ethnic or GCA/NGCA]],11,FALSE)</f>
        <v>GCA</v>
      </c>
      <c r="DO39" s="231">
        <f>VLOOKUP(WWWW[[#This Row],[Site Name]],SiteDB6[[Site Name]:[Lat]],12,FALSE)</f>
        <v>25.61842</v>
      </c>
      <c r="DP39" s="231">
        <f>VLOOKUP(WWWW[[#This Row],[Site Name]],SiteDB6[[Site Name]:[Long]],13,FALSE)</f>
        <v>96.316400000000002</v>
      </c>
      <c r="DQ39" s="231" t="str">
        <f>VLOOKUP(WWWW[[#This Row],[Site Name]],SiteDB6[[Site Name]:[Pcode]],3,FALSE)</f>
        <v>MMR001CMP167</v>
      </c>
      <c r="DR39" s="207" t="str">
        <f t="shared" si="1"/>
        <v>Covered</v>
      </c>
      <c r="DS39" s="207"/>
      <c r="DT39" s="20"/>
      <c r="DU39" s="20"/>
      <c r="DV39" s="20"/>
      <c r="DW39" s="20"/>
      <c r="DX39" s="20"/>
      <c r="DY39" s="20"/>
      <c r="DZ39" s="20"/>
      <c r="EA39" s="20"/>
      <c r="EB39" s="20"/>
      <c r="EC39" s="20"/>
      <c r="ED39" s="20"/>
      <c r="EE39" s="20"/>
      <c r="EF39" s="20"/>
      <c r="EG39" s="20"/>
      <c r="EH39" s="20"/>
    </row>
    <row r="40" spans="1:138" ht="15.75" customHeight="1">
      <c r="A40" s="238" t="s">
        <v>2518</v>
      </c>
      <c r="B40" s="574" t="s">
        <v>317</v>
      </c>
      <c r="C40" s="574" t="s">
        <v>317</v>
      </c>
      <c r="D40" s="574"/>
      <c r="E40" s="574" t="s">
        <v>39</v>
      </c>
      <c r="F40" s="574" t="s">
        <v>160</v>
      </c>
      <c r="G40" s="574" t="str">
        <f>VLOOKUP(WWWW[[#This Row],[Site Name]],SiteDB6[[Site Name]:[Location Type]],8,FALSE)</f>
        <v>Camp</v>
      </c>
      <c r="H40" s="76" t="s">
        <v>2015</v>
      </c>
      <c r="I40" s="583">
        <v>6</v>
      </c>
      <c r="J40" s="583">
        <v>32</v>
      </c>
      <c r="K40" s="553"/>
      <c r="L40" s="77"/>
      <c r="M40" s="583"/>
      <c r="N40" s="583"/>
      <c r="O40" s="583"/>
      <c r="P40" s="583"/>
      <c r="Q40" s="76"/>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207"/>
      <c r="AP40" s="310"/>
      <c r="AQ40" s="310"/>
      <c r="AR40" s="76"/>
      <c r="AS40" s="310"/>
      <c r="AT40" s="310"/>
      <c r="AU40" s="310"/>
      <c r="AV40" s="310"/>
      <c r="AW40" s="310"/>
      <c r="AX40" s="231"/>
      <c r="AY40" s="231"/>
      <c r="AZ40" s="310"/>
      <c r="BA40" s="310"/>
      <c r="BB40" s="310"/>
      <c r="BC40" s="207"/>
      <c r="BD40" s="310"/>
      <c r="BE40" s="310"/>
      <c r="BF40" s="310"/>
      <c r="BG40" s="310"/>
      <c r="BH40" s="310"/>
      <c r="BI40" s="310"/>
      <c r="BJ40" s="310"/>
      <c r="BK40" s="310"/>
      <c r="BL40" s="310"/>
      <c r="BM40" s="207"/>
      <c r="BN40" s="79"/>
      <c r="BO40" s="81"/>
      <c r="BP40" s="207"/>
      <c r="BQ40" s="78" t="str">
        <f>IFERROR(WWWW[[#This Row],['#_Water sources treated]]/WWWW[[#This Row],['#_Water sources tested for contamination]],"no test")</f>
        <v>no test</v>
      </c>
      <c r="BR40" s="81" t="str">
        <f>IFERROR(WWWW[[#This Row],['#_Household received remediation action due to contamination]]/WWWW[[#This Row],['#_Household water samples tested for contamination]],"no test")</f>
        <v>no test</v>
      </c>
      <c r="BS40" s="80" t="str">
        <f>IF(AND(WWWW[[#This Row],[% of water sources treated]]="no test",WWWW[[#This Row],[% Household received corrective actions]]="no test"),"No Test","Tested")</f>
        <v>No Test</v>
      </c>
      <c r="BT40" s="80">
        <f>WWWW[[#This Row],['#_Constructed/existing protected hand dug well]]-WWWW[[#This Row],['#_Non-functional protected hand dug well]]</f>
        <v>0</v>
      </c>
      <c r="BU40" s="80">
        <f>(WWWW[[#This Row],['#_Constructed/Existing tube wells/boreholes/handpumps_WASH_agency]]+WWWW[[#This Row],['#_Non-Cluster partner water tube-wells/boreholes/handpumps]])-WWWW[[#This Row],['#_Non-functional tube wells/boreholes/handpumps]]</f>
        <v>0</v>
      </c>
      <c r="BV40" s="80">
        <f>WWWW[[#This Row],['#_Constructed/Existingwater storage tank with gravity fed reticulation system]]-WWWW[[#This Row],['#_Non-functional storage tank gravity fed reticulation system]]</f>
        <v>0</v>
      </c>
      <c r="BW40" s="80">
        <f>WWWW[[#This Row],['#_Water boating or water trucking]]</f>
        <v>0</v>
      </c>
      <c r="BX40" s="80">
        <f>WWWW[[#This Row],['#_Constructed/Existing water distribution system from river or natural spring]]</f>
        <v>0</v>
      </c>
      <c r="BY4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 s="81">
        <f>IF(WWWW[[#This Row],[Location Type 1]]="Village",WWWW[[#This Row],[Access to safe drinking water for Village]],WWWW[[#This Row],[Access to safe drinking water for Camp]])</f>
        <v>0</v>
      </c>
      <c r="CB40" s="79">
        <f>WWWW[[#This Row],[%Equitable and continuous access to sufficient quantity of safe drinking water]]*WWWW[[#This Row],[Total PoP ]]</f>
        <v>0</v>
      </c>
      <c r="CC40" s="81">
        <f>IF((WWWW[[#This Row],['#_Constructed/Existing protected/fenced ponds]]*250)/WWWW[[#This Row],[Total PoP ]]&gt;1,1,(WWWW[[#This Row],['#_Constructed/Existing protected/fenced ponds]]*250)/WWWW[[#This Row],[Total PoP ]])</f>
        <v>0</v>
      </c>
      <c r="CD40" s="79">
        <f>WWWW[[#This Row],[% Access to unimproved water points]]*WWWW[[#This Row],[Total PoP ]]</f>
        <v>0</v>
      </c>
      <c r="CE4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 s="79">
        <f>WWWW[[#This Row],[HRP1]]/500</f>
        <v>0</v>
      </c>
      <c r="CH40" s="78">
        <f>1-WWWW[[#This Row],[% Equitable and continuous access to sufficient quantity of domestic water]]</f>
        <v>1</v>
      </c>
      <c r="CI40" s="79">
        <f>WWWW[[#This Row],[%equitable and continuous access to sufficient quantity of safe drinking and domestic water''s GAP]]*WWWW[[#This Row],[Total PoP ]]</f>
        <v>32</v>
      </c>
      <c r="CJ40" s="80">
        <f>IF(WWWW[[#This Row],[Total required water points]]-WWWW[[#This Row],['#Water points coverage]]&lt;0,0,WWWW[[#This Row],[Total required water points]]-WWWW[[#This Row],['#Water points coverage]])</f>
        <v>1</v>
      </c>
      <c r="CK40" s="80">
        <f>ROUND(IF(WWWW[[#This Row],[Total PoP ]]&lt;500,1,WWWW[[#This Row],[Total PoP ]]/500),0)</f>
        <v>1</v>
      </c>
      <c r="CL40" s="80">
        <f>(WWWW[[#This Row],['#_Constructed latrines_by_WASHAgencies]]+WWWW[[#This Row],['#_Non Cluster partner latrines]])-WWWW[[#This Row],['#_Non-functional latrines]]</f>
        <v>0</v>
      </c>
      <c r="CM4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 s="80">
        <f>IF(WWWW[[#This Row],[Location Type 1]]="Village","NA",IF(WWWW[[#This Row],['#_Constructed/Existing latrines in TLS]]*50&gt;WWWW[[#This Row],['#_students at TLS_CFS]],WWWW[[#This Row],['#_students at TLS_CFS]],(WWWW[[#This Row],['#_Constructed/Existing latrines in TLS]]*50)))</f>
        <v>0</v>
      </c>
      <c r="CQ40" s="80">
        <f>ROUND(IF(WWWW[[#This Row],[Location Type 1]]="camp",WWWW[[#This Row],[Total PoP ]]/20,IF(WWWW[[#This Row],[Location Type 1]]="Temporary Location",WWWW[[#This Row],[Total PoP ]]/50,(WWWW[[#This Row],[Total PoP ]]/6))),0)</f>
        <v>2</v>
      </c>
      <c r="CR40" s="79">
        <f>IF(WWWW[[#This Row],[Total required Latrines]]-(WWWW[[#This Row],['#_Constructed latrines_by_WASHAgencies]]+WWWW[[#This Row],['#_Non Cluster partner latrines]])&lt;0,0,WWWW[[#This Row],[Total required Latrines]]-(WWWW[[#This Row],['#_Constructed latrines_by_WASHAgencies]]+WWWW[[#This Row],['#_Non Cluster partner latrines]]))</f>
        <v>2</v>
      </c>
      <c r="CS40" s="78">
        <f>1-WWWW[[#This Row],[% people access to functioning Latrine]]</f>
        <v>1</v>
      </c>
      <c r="CT40" s="82">
        <f>IF(OR(WWWW[[#This Row],['#_Non-functional latrines]]="",WWWW[[#This Row],['#_Non-functional latrines]]=0),0,WWWW[[#This Row],['#_Non-functional latrines]]/(WWWW[[#This Row],['#_Constructed latrines_by_WASHAgencies]]+WWWW[[#This Row],['#_Non Cluster partner latrines]]))</f>
        <v>0</v>
      </c>
      <c r="CU40" s="79">
        <f>IF(500*(WWWW[[#This Row],['#_male hygiene promoters]]+WWWW[[#This Row],['#_female hygiene promoters]])&gt;WWWW[[#This Row],[Total PoP ]],WWWW[[#This Row],[Total PoP ]],500*(WWWW[[#This Row],['#_male hygiene promoters]]+WWWW[[#This Row],['#_female hygiene promoters]]))</f>
        <v>0</v>
      </c>
      <c r="CV4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0" s="80">
        <f>IF(WWWW[[#This Row],['# People with access to soap]]&gt;WWWW[[#This Row],['# People with access to Sanity Pads]],WWWW[[#This Row],['# People with access to soap]],WWWW[[#This Row],['# People with access to Sanity Pads]])</f>
        <v>0</v>
      </c>
      <c r="CY4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0" s="78">
        <f>IF(WWWW[[#This Row],[HRP3]]/WWWW[[#This Row],[Total PoP ]]&gt;100%,100%,WWWW[[#This Row],[HRP3]]/WWWW[[#This Row],[Total PoP ]])</f>
        <v>0</v>
      </c>
      <c r="DA40" s="82">
        <f>1-WWWW[[#This Row],[Hygiene Coverage%]]</f>
        <v>1</v>
      </c>
      <c r="DB40" s="81">
        <f>WWWW[[#This Row],['# people reached by regular dedicated hygiene promotion_5]]/WWWW[[#This Row],[Total PoP ]]</f>
        <v>0</v>
      </c>
      <c r="DC40" s="81">
        <f>IF(WWWW[[#This Row],['#_households that received standard amount of soap for this quarter]]/WWWW[[#This Row],[Total HH]]&gt;1,1,WWWW[[#This Row],['#_households that received standard amount of soap for this quarter]]/WWWW[[#This Row],[Total HH]])</f>
        <v>0</v>
      </c>
      <c r="DD40" s="81">
        <f>IF(WWWW[[#This Row],['#_households that received standard amount of sanitary pads for this quarter]]/WWWW[[#This Row],[Total HH]]&gt;1,1,WWWW[[#This Row],['#_households that received standard amount of sanitary pads for this quarter]]/WWWW[[#This Row],[Total HH]])</f>
        <v>0</v>
      </c>
      <c r="DE40" s="80">
        <f>WWWW[[#This Row],['#_Constructed/Existing hand washing stations]]-WWWW[[#This Row],['#_Non-Functional_hand_washing_stations]]</f>
        <v>0</v>
      </c>
      <c r="DF40" s="757">
        <f>IF(WWWW[[#This Row],['# Functional hand washing stations during reporting period]]*20&gt;WWWW[[#This Row],[Total HH]],WWWW[[#This Row],[Total HH]],WWWW[[#This Row],['# Functional hand washing stations during reporting period]]*20)</f>
        <v>0</v>
      </c>
      <c r="DG40" s="79">
        <f>IF(WWWW[[#This Row],[Is sufficient soap available for TLS? (Yes/No)]]="yes",WWWW[[#This Row],['#_Constructed/Existing hand washing stations at TLS]],0)</f>
        <v>0</v>
      </c>
      <c r="DH40" s="578">
        <f>IF(WWWW[[#This Row],['# Functional hand washing stations during reporting period]]*100&gt;WWWW[[#This Row],[Total PoP ]],WWWW[[#This Row],[Total PoP ]],WWWW[[#This Row],['# Functional hand washing stations during reporting period]]*100)</f>
        <v>0</v>
      </c>
      <c r="DI40" s="578" t="str">
        <f>IF(OR(WWWW[[#This Row],['#_students at TLS_CFS]]="",WWWW[[#This Row],['#_students at TLS_CFS]]=0),"No","Yes")</f>
        <v>No</v>
      </c>
      <c r="DJ40" s="231">
        <f>VLOOKUP(WWWW[[#This Row],[Site Name]],SiteDB6[[Site Name]:[CCCM Management]],6,FALSE)</f>
        <v>0</v>
      </c>
      <c r="DK40" s="231" t="str">
        <f>VLOOKUP(WWWW[[#This Row],[Site Name]],SiteDB6[[Site Name]:[CCCM Focal Agency]],7,FALSE)</f>
        <v>uncovered</v>
      </c>
      <c r="DL40" s="231" t="str">
        <f>VLOOKUP(WWWW[[#This Row],[Site Name]],SiteDB6[[Site Name]:[Location Type 1]],9,FALSE)</f>
        <v>Camp</v>
      </c>
      <c r="DM40" s="231" t="str">
        <f>VLOOKUP(WWWW[[#This Row],[Site Name]],SiteDB6[[Site Name]:[Type of Accommodation]],10,FALSE)</f>
        <v>Camp like setting</v>
      </c>
      <c r="DN40" s="231" t="str">
        <f>VLOOKUP(WWWW[[#This Row],[Site Name]],SiteDB6[[Site Name]:[Ethnic or GCA/NGCA]],11,FALSE)</f>
        <v>GCA</v>
      </c>
      <c r="DO40" s="231">
        <f>VLOOKUP(WWWW[[#This Row],[Site Name]],SiteDB6[[Site Name]:[Lat]],12,FALSE)</f>
        <v>0</v>
      </c>
      <c r="DP40" s="231">
        <f>VLOOKUP(WWWW[[#This Row],[Site Name]],SiteDB6[[Site Name]:[Long]],13,FALSE)</f>
        <v>0</v>
      </c>
      <c r="DQ40" s="231" t="str">
        <f>VLOOKUP(WWWW[[#This Row],[Site Name]],SiteDB6[[Site Name]:[Pcode]],3,FALSE)</f>
        <v>MMR001CMP262</v>
      </c>
      <c r="DR40" s="207" t="str">
        <f t="shared" si="1"/>
        <v>Notcovered</v>
      </c>
      <c r="DS40" s="207"/>
      <c r="DT40" s="20"/>
      <c r="DU40" s="20"/>
      <c r="DV40" s="20"/>
      <c r="DW40" s="20"/>
      <c r="DX40" s="20"/>
      <c r="DY40" s="20"/>
      <c r="DZ40" s="20"/>
      <c r="EA40" s="20"/>
      <c r="EB40" s="20"/>
      <c r="EC40" s="20"/>
      <c r="ED40" s="20"/>
      <c r="EE40" s="20"/>
      <c r="EF40" s="20"/>
      <c r="EG40" s="20"/>
      <c r="EH40" s="20"/>
    </row>
    <row r="41" spans="1:138" ht="15.75" customHeight="1">
      <c r="A41" s="238" t="s">
        <v>2518</v>
      </c>
      <c r="B41" s="574" t="s">
        <v>317</v>
      </c>
      <c r="C41" s="574" t="s">
        <v>317</v>
      </c>
      <c r="D41" s="574"/>
      <c r="E41" s="574" t="s">
        <v>39</v>
      </c>
      <c r="F41" s="574" t="s">
        <v>156</v>
      </c>
      <c r="G41" s="574" t="str">
        <f>VLOOKUP(WWWW[[#This Row],[Site Name]],SiteDB6[[Site Name]:[Location Type]],8,FALSE)</f>
        <v>Camp</v>
      </c>
      <c r="H41" s="694" t="s">
        <v>265</v>
      </c>
      <c r="I41" s="583">
        <v>3</v>
      </c>
      <c r="J41" s="583">
        <v>15</v>
      </c>
      <c r="K41" s="553"/>
      <c r="L41" s="77">
        <v>44043</v>
      </c>
      <c r="M41" s="583"/>
      <c r="N41" s="583">
        <v>0</v>
      </c>
      <c r="O41" s="583"/>
      <c r="P41" s="583"/>
      <c r="Q41" s="574" t="s">
        <v>43</v>
      </c>
      <c r="R41" s="310"/>
      <c r="S41" s="310"/>
      <c r="T41" s="310">
        <v>1</v>
      </c>
      <c r="U41" s="310"/>
      <c r="V41" s="310"/>
      <c r="W41" s="310">
        <v>1</v>
      </c>
      <c r="X41" s="310"/>
      <c r="Y41" s="310"/>
      <c r="Z41" s="310"/>
      <c r="AA41" s="310">
        <v>0</v>
      </c>
      <c r="AB41" s="310"/>
      <c r="AC41" s="310"/>
      <c r="AD41" s="310"/>
      <c r="AE41" s="310"/>
      <c r="AF41" s="310"/>
      <c r="AG41" s="310"/>
      <c r="AH41" s="310">
        <v>1</v>
      </c>
      <c r="AI41" s="310"/>
      <c r="AJ41" s="310"/>
      <c r="AK41" s="310"/>
      <c r="AL41" s="310"/>
      <c r="AM41" s="310"/>
      <c r="AN41" s="310"/>
      <c r="AO41" s="207"/>
      <c r="AP41" s="310">
        <v>0</v>
      </c>
      <c r="AQ41" s="310"/>
      <c r="AR41" s="76"/>
      <c r="AS41" s="310"/>
      <c r="AT41" s="310"/>
      <c r="AU41" s="310"/>
      <c r="AV41" s="310"/>
      <c r="AW41" s="583">
        <v>0</v>
      </c>
      <c r="AX41" s="581" t="s">
        <v>43</v>
      </c>
      <c r="AY41" s="231" t="s">
        <v>1200</v>
      </c>
      <c r="AZ41" s="310"/>
      <c r="BA41" s="310"/>
      <c r="BB41" s="310"/>
      <c r="BC41" s="207"/>
      <c r="BD41" s="310"/>
      <c r="BE41" s="310"/>
      <c r="BF41" s="310">
        <v>0</v>
      </c>
      <c r="BG41" s="310"/>
      <c r="BH41" s="310"/>
      <c r="BI41" s="310"/>
      <c r="BJ41" s="310"/>
      <c r="BK41" s="310"/>
      <c r="BL41" s="310"/>
      <c r="BM41" s="207"/>
      <c r="BN41" s="79"/>
      <c r="BO41" s="81"/>
      <c r="BP41" s="207"/>
      <c r="BQ41" s="78" t="str">
        <f>IFERROR(WWWW[[#This Row],['#_Water sources treated]]/WWWW[[#This Row],['#_Water sources tested for contamination]],"no test")</f>
        <v>no test</v>
      </c>
      <c r="BR41" s="81" t="str">
        <f>IFERROR(WWWW[[#This Row],['#_Household received remediation action due to contamination]]/WWWW[[#This Row],['#_Household water samples tested for contamination]],"no test")</f>
        <v>no test</v>
      </c>
      <c r="BS41" s="80" t="str">
        <f>IF(AND(WWWW[[#This Row],[% of water sources treated]]="no test",WWWW[[#This Row],[% Household received corrective actions]]="no test"),"No Test","Tested")</f>
        <v>No Test</v>
      </c>
      <c r="BT41" s="80">
        <f>WWWW[[#This Row],['#_Constructed/existing protected hand dug well]]-WWWW[[#This Row],['#_Non-functional protected hand dug well]]</f>
        <v>1</v>
      </c>
      <c r="BU41" s="80">
        <f>(WWWW[[#This Row],['#_Constructed/Existing tube wells/boreholes/handpumps_WASH_agency]]+WWWW[[#This Row],['#_Non-Cluster partner water tube-wells/boreholes/handpumps]])-WWWW[[#This Row],['#_Non-functional tube wells/boreholes/handpumps]]</f>
        <v>1</v>
      </c>
      <c r="BV41" s="80">
        <f>WWWW[[#This Row],['#_Constructed/Existingwater storage tank with gravity fed reticulation system]]-WWWW[[#This Row],['#_Non-functional storage tank gravity fed reticulation system]]</f>
        <v>0</v>
      </c>
      <c r="BW41" s="80">
        <f>WWWW[[#This Row],['#_Water boating or water trucking]]</f>
        <v>0</v>
      </c>
      <c r="BX41" s="80">
        <f>WWWW[[#This Row],['#_Constructed/Existing water distribution system from river or natural spring]]</f>
        <v>0</v>
      </c>
      <c r="BY4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1" s="81">
        <f>IF(WWWW[[#This Row],[Location Type 1]]="Village",WWWW[[#This Row],[Access to safe drinking water for Village]],WWWW[[#This Row],[Access to safe drinking water for Camp]])</f>
        <v>1</v>
      </c>
      <c r="CB41" s="79">
        <f>WWWW[[#This Row],[%Equitable and continuous access to sufficient quantity of safe drinking water]]*WWWW[[#This Row],[Total PoP ]]</f>
        <v>15</v>
      </c>
      <c r="CC41" s="81">
        <f>IF((WWWW[[#This Row],['#_Constructed/Existing protected/fenced ponds]]*250)/WWWW[[#This Row],[Total PoP ]]&gt;1,1,(WWWW[[#This Row],['#_Constructed/Existing protected/fenced ponds]]*250)/WWWW[[#This Row],[Total PoP ]])</f>
        <v>0</v>
      </c>
      <c r="CD41" s="79">
        <f>WWWW[[#This Row],[% Access to unimproved water points]]*WWWW[[#This Row],[Total PoP ]]</f>
        <v>0</v>
      </c>
      <c r="CE4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G41" s="79">
        <f>WWWW[[#This Row],[HRP1]]/500</f>
        <v>0.03</v>
      </c>
      <c r="CH41" s="78">
        <f>1-WWWW[[#This Row],[% Equitable and continuous access to sufficient quantity of domestic water]]</f>
        <v>0</v>
      </c>
      <c r="CI41" s="79">
        <f>WWWW[[#This Row],[%equitable and continuous access to sufficient quantity of safe drinking and domestic water''s GAP]]*WWWW[[#This Row],[Total PoP ]]</f>
        <v>0</v>
      </c>
      <c r="CJ41" s="80">
        <f>IF(WWWW[[#This Row],[Total required water points]]-WWWW[[#This Row],['#Water points coverage]]&lt;0,0,WWWW[[#This Row],[Total required water points]]-WWWW[[#This Row],['#Water points coverage]])</f>
        <v>0.97</v>
      </c>
      <c r="CK41" s="80">
        <f>ROUND(IF(WWWW[[#This Row],[Total PoP ]]&lt;500,1,WWWW[[#This Row],[Total PoP ]]/500),0)</f>
        <v>1</v>
      </c>
      <c r="CL41" s="80">
        <f>(WWWW[[#This Row],['#_Constructed latrines_by_WASHAgencies]]+WWWW[[#This Row],['#_Non Cluster partner latrines]])-WWWW[[#This Row],['#_Non-functional latrines]]</f>
        <v>0</v>
      </c>
      <c r="CM4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 s="80">
        <f>IF(WWWW[[#This Row],[Location Type 1]]="Village","NA",IF(WWWW[[#This Row],['#_Constructed/Existing latrines in TLS]]*50&gt;WWWW[[#This Row],['#_students at TLS_CFS]],WWWW[[#This Row],['#_students at TLS_CFS]],(WWWW[[#This Row],['#_Constructed/Existing latrines in TLS]]*50)))</f>
        <v>0</v>
      </c>
      <c r="CQ41" s="80">
        <f>ROUND(IF(WWWW[[#This Row],[Location Type 1]]="camp",WWWW[[#This Row],[Total PoP ]]/20,IF(WWWW[[#This Row],[Location Type 1]]="Temporary Location",WWWW[[#This Row],[Total PoP ]]/50,(WWWW[[#This Row],[Total PoP ]]/6))),0)</f>
        <v>1</v>
      </c>
      <c r="CR41" s="79">
        <f>IF(WWWW[[#This Row],[Total required Latrines]]-(WWWW[[#This Row],['#_Constructed latrines_by_WASHAgencies]]+WWWW[[#This Row],['#_Non Cluster partner latrines]])&lt;0,0,WWWW[[#This Row],[Total required Latrines]]-(WWWW[[#This Row],['#_Constructed latrines_by_WASHAgencies]]+WWWW[[#This Row],['#_Non Cluster partner latrines]]))</f>
        <v>1</v>
      </c>
      <c r="CS41" s="78">
        <f>1-WWWW[[#This Row],[% people access to functioning Latrine]]</f>
        <v>1</v>
      </c>
      <c r="CT41" s="82">
        <f>IF(OR(WWWW[[#This Row],['#_Non-functional latrines]]="",WWWW[[#This Row],['#_Non-functional latrines]]=0),0,WWWW[[#This Row],['#_Non-functional latrines]]/(WWWW[[#This Row],['#_Constructed latrines_by_WASHAgencies]]+WWWW[[#This Row],['#_Non Cluster partner latrines]]))</f>
        <v>0</v>
      </c>
      <c r="CU41" s="79">
        <f>IF(500*(WWWW[[#This Row],['#_male hygiene promoters]]+WWWW[[#This Row],['#_female hygiene promoters]])&gt;WWWW[[#This Row],[Total PoP ]],WWWW[[#This Row],[Total PoP ]],500*(WWWW[[#This Row],['#_male hygiene promoters]]+WWWW[[#This Row],['#_female hygiene promoters]]))</f>
        <v>0</v>
      </c>
      <c r="CV4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 s="80">
        <f>IF(WWWW[[#This Row],['# People with access to soap]]&gt;WWWW[[#This Row],['# People with access to Sanity Pads]],WWWW[[#This Row],['# People with access to soap]],WWWW[[#This Row],['# People with access to Sanity Pads]])</f>
        <v>0</v>
      </c>
      <c r="CY41"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 s="78">
        <f>IF(WWWW[[#This Row],[HRP3]]/WWWW[[#This Row],[Total PoP ]]&gt;100%,100%,WWWW[[#This Row],[HRP3]]/WWWW[[#This Row],[Total PoP ]])</f>
        <v>0</v>
      </c>
      <c r="DA41" s="82">
        <f>1-WWWW[[#This Row],[Hygiene Coverage%]]</f>
        <v>1</v>
      </c>
      <c r="DB41" s="81">
        <f>WWWW[[#This Row],['# people reached by regular dedicated hygiene promotion_5]]/WWWW[[#This Row],[Total PoP ]]</f>
        <v>0</v>
      </c>
      <c r="DC41" s="81">
        <f>IF(WWWW[[#This Row],['#_households that received standard amount of soap for this quarter]]/WWWW[[#This Row],[Total HH]]&gt;1,1,WWWW[[#This Row],['#_households that received standard amount of soap for this quarter]]/WWWW[[#This Row],[Total HH]])</f>
        <v>0</v>
      </c>
      <c r="DD41" s="81">
        <f>IF(WWWW[[#This Row],['#_households that received standard amount of sanitary pads for this quarter]]/WWWW[[#This Row],[Total HH]]&gt;1,1,WWWW[[#This Row],['#_households that received standard amount of sanitary pads for this quarter]]/WWWW[[#This Row],[Total HH]])</f>
        <v>0</v>
      </c>
      <c r="DE41" s="80">
        <f>WWWW[[#This Row],['#_Constructed/Existing hand washing stations]]-WWWW[[#This Row],['#_Non-Functional_hand_washing_stations]]</f>
        <v>0</v>
      </c>
      <c r="DF41" s="757">
        <f>IF(WWWW[[#This Row],['# Functional hand washing stations during reporting period]]*20&gt;WWWW[[#This Row],[Total HH]],WWWW[[#This Row],[Total HH]],WWWW[[#This Row],['# Functional hand washing stations during reporting period]]*20)</f>
        <v>0</v>
      </c>
      <c r="DG41" s="79">
        <f>IF(WWWW[[#This Row],[Is sufficient soap available for TLS? (Yes/No)]]="yes",WWWW[[#This Row],['#_Constructed/Existing hand washing stations at TLS]],0)</f>
        <v>0</v>
      </c>
      <c r="DH41" s="578">
        <f>IF(WWWW[[#This Row],['# Functional hand washing stations during reporting period]]*100&gt;WWWW[[#This Row],[Total PoP ]],WWWW[[#This Row],[Total PoP ]],WWWW[[#This Row],['# Functional hand washing stations during reporting period]]*100)</f>
        <v>0</v>
      </c>
      <c r="DI41" s="578" t="str">
        <f>IF(OR(WWWW[[#This Row],['#_students at TLS_CFS]]="",WWWW[[#This Row],['#_students at TLS_CFS]]=0),"No","Yes")</f>
        <v>No</v>
      </c>
      <c r="DJ41" s="231" t="str">
        <f>VLOOKUP(WWWW[[#This Row],[Site Name]],SiteDB6[[Site Name]:[CCCM Management]],6,FALSE)</f>
        <v>Yes</v>
      </c>
      <c r="DK41" s="231" t="str">
        <f>VLOOKUP(WWWW[[#This Row],[Site Name]],SiteDB6[[Site Name]:[CCCM Focal Agency]],7,FALSE)</f>
        <v>uncovered</v>
      </c>
      <c r="DL41" s="231" t="str">
        <f>VLOOKUP(WWWW[[#This Row],[Site Name]],SiteDB6[[Site Name]:[Location Type 1]],9,FALSE)</f>
        <v>Camp</v>
      </c>
      <c r="DM41" s="231" t="str">
        <f>VLOOKUP(WWWW[[#This Row],[Site Name]],SiteDB6[[Site Name]:[Type of Accommodation]],10,FALSE)</f>
        <v>Camp like setting</v>
      </c>
      <c r="DN41" s="231" t="str">
        <f>VLOOKUP(WWWW[[#This Row],[Site Name]],SiteDB6[[Site Name]:[Ethnic or GCA/NGCA]],11,FALSE)</f>
        <v>GCA</v>
      </c>
      <c r="DO41" s="231">
        <f>VLOOKUP(WWWW[[#This Row],[Site Name]],SiteDB6[[Site Name]:[Lat]],12,FALSE)</f>
        <v>25.6145</v>
      </c>
      <c r="DP41" s="231">
        <f>VLOOKUP(WWWW[[#This Row],[Site Name]],SiteDB6[[Site Name]:[Long]],13,FALSE)</f>
        <v>96.319829999999996</v>
      </c>
      <c r="DQ41" s="231" t="str">
        <f>VLOOKUP(WWWW[[#This Row],[Site Name]],SiteDB6[[Site Name]:[Pcode]],3,FALSE)</f>
        <v>MMR001CMP091</v>
      </c>
      <c r="DR41" s="207" t="str">
        <f t="shared" si="1"/>
        <v>Notcovered</v>
      </c>
      <c r="DS41" s="207"/>
      <c r="DT41" s="20"/>
      <c r="DU41" s="20"/>
      <c r="DV41" s="20"/>
      <c r="DW41" s="20"/>
      <c r="DX41" s="20"/>
      <c r="DY41" s="20"/>
      <c r="DZ41" s="20"/>
      <c r="EA41" s="20"/>
      <c r="EB41" s="20"/>
      <c r="EC41" s="20"/>
      <c r="ED41" s="20"/>
      <c r="EE41" s="20"/>
      <c r="EF41" s="20"/>
      <c r="EG41" s="20"/>
      <c r="EH41" s="20"/>
    </row>
    <row r="42" spans="1:138" ht="15.75" customHeight="1">
      <c r="A42" s="238" t="s">
        <v>2518</v>
      </c>
      <c r="B42" s="574" t="s">
        <v>317</v>
      </c>
      <c r="C42" s="574" t="s">
        <v>317</v>
      </c>
      <c r="D42" s="574" t="s">
        <v>158</v>
      </c>
      <c r="E42" s="574" t="s">
        <v>39</v>
      </c>
      <c r="F42" s="574" t="s">
        <v>156</v>
      </c>
      <c r="G42" s="574" t="str">
        <f>VLOOKUP(WWWW[[#This Row],[Site Name]],SiteDB6[[Site Name]:[Location Type]],8,FALSE)</f>
        <v>Camp</v>
      </c>
      <c r="H42" s="76" t="s">
        <v>198</v>
      </c>
      <c r="I42" s="583">
        <v>10</v>
      </c>
      <c r="J42" s="583">
        <v>18</v>
      </c>
      <c r="K42" s="553"/>
      <c r="L42" s="77">
        <v>43465</v>
      </c>
      <c r="M42" s="583"/>
      <c r="N42" s="583"/>
      <c r="O42" s="583"/>
      <c r="P42" s="583"/>
      <c r="Q42" s="76"/>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207"/>
      <c r="AP42" s="310"/>
      <c r="AQ42" s="310"/>
      <c r="AR42" s="76"/>
      <c r="AS42" s="310"/>
      <c r="AT42" s="310"/>
      <c r="AU42" s="310"/>
      <c r="AV42" s="310"/>
      <c r="AW42" s="310"/>
      <c r="AX42" s="231"/>
      <c r="AY42" s="231"/>
      <c r="AZ42" s="310"/>
      <c r="BA42" s="310"/>
      <c r="BB42" s="310"/>
      <c r="BC42" s="207"/>
      <c r="BD42" s="310"/>
      <c r="BE42" s="310"/>
      <c r="BF42" s="310"/>
      <c r="BG42" s="310"/>
      <c r="BH42" s="310"/>
      <c r="BI42" s="310"/>
      <c r="BJ42" s="310"/>
      <c r="BK42" s="310"/>
      <c r="BL42" s="310"/>
      <c r="BM42" s="207"/>
      <c r="BN42" s="79"/>
      <c r="BO42" s="81"/>
      <c r="BP42" s="207"/>
      <c r="BQ42" s="78" t="str">
        <f>IFERROR(WWWW[[#This Row],['#_Water sources treated]]/WWWW[[#This Row],['#_Water sources tested for contamination]],"no test")</f>
        <v>no test</v>
      </c>
      <c r="BR42" s="81" t="str">
        <f>IFERROR(WWWW[[#This Row],['#_Household received remediation action due to contamination]]/WWWW[[#This Row],['#_Household water samples tested for contamination]],"no test")</f>
        <v>no test</v>
      </c>
      <c r="BS42" s="80" t="str">
        <f>IF(AND(WWWW[[#This Row],[% of water sources treated]]="no test",WWWW[[#This Row],[% Household received corrective actions]]="no test"),"No Test","Tested")</f>
        <v>No Test</v>
      </c>
      <c r="BT42" s="80">
        <f>WWWW[[#This Row],['#_Constructed/existing protected hand dug well]]-WWWW[[#This Row],['#_Non-functional protected hand dug well]]</f>
        <v>0</v>
      </c>
      <c r="BU42" s="80">
        <f>(WWWW[[#This Row],['#_Constructed/Existing tube wells/boreholes/handpumps_WASH_agency]]+WWWW[[#This Row],['#_Non-Cluster partner water tube-wells/boreholes/handpumps]])-WWWW[[#This Row],['#_Non-functional tube wells/boreholes/handpumps]]</f>
        <v>0</v>
      </c>
      <c r="BV42" s="80">
        <f>WWWW[[#This Row],['#_Constructed/Existingwater storage tank with gravity fed reticulation system]]-WWWW[[#This Row],['#_Non-functional storage tank gravity fed reticulation system]]</f>
        <v>0</v>
      </c>
      <c r="BW42" s="80">
        <f>WWWW[[#This Row],['#_Water boating or water trucking]]</f>
        <v>0</v>
      </c>
      <c r="BX42" s="80">
        <f>WWWW[[#This Row],['#_Constructed/Existing water distribution system from river or natural spring]]</f>
        <v>0</v>
      </c>
      <c r="BY4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 s="81">
        <f>IF(WWWW[[#This Row],[Location Type 1]]="Village",WWWW[[#This Row],[Access to safe drinking water for Village]],WWWW[[#This Row],[Access to safe drinking water for Camp]])</f>
        <v>0</v>
      </c>
      <c r="CB42" s="79">
        <f>WWWW[[#This Row],[%Equitable and continuous access to sufficient quantity of safe drinking water]]*WWWW[[#This Row],[Total PoP ]]</f>
        <v>0</v>
      </c>
      <c r="CC42" s="81">
        <f>IF((WWWW[[#This Row],['#_Constructed/Existing protected/fenced ponds]]*250)/WWWW[[#This Row],[Total PoP ]]&gt;1,1,(WWWW[[#This Row],['#_Constructed/Existing protected/fenced ponds]]*250)/WWWW[[#This Row],[Total PoP ]])</f>
        <v>0</v>
      </c>
      <c r="CD42" s="79">
        <f>WWWW[[#This Row],[% Access to unimproved water points]]*WWWW[[#This Row],[Total PoP ]]</f>
        <v>0</v>
      </c>
      <c r="CE4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 s="79">
        <f>WWWW[[#This Row],[HRP1]]/500</f>
        <v>0</v>
      </c>
      <c r="CH42" s="78">
        <f>1-WWWW[[#This Row],[% Equitable and continuous access to sufficient quantity of domestic water]]</f>
        <v>1</v>
      </c>
      <c r="CI42" s="79">
        <f>WWWW[[#This Row],[%equitable and continuous access to sufficient quantity of safe drinking and domestic water''s GAP]]*WWWW[[#This Row],[Total PoP ]]</f>
        <v>18</v>
      </c>
      <c r="CJ42" s="80">
        <f>IF(WWWW[[#This Row],[Total required water points]]-WWWW[[#This Row],['#Water points coverage]]&lt;0,0,WWWW[[#This Row],[Total required water points]]-WWWW[[#This Row],['#Water points coverage]])</f>
        <v>1</v>
      </c>
      <c r="CK42" s="80">
        <f>ROUND(IF(WWWW[[#This Row],[Total PoP ]]&lt;500,1,WWWW[[#This Row],[Total PoP ]]/500),0)</f>
        <v>1</v>
      </c>
      <c r="CL42" s="80">
        <f>(WWWW[[#This Row],['#_Constructed latrines_by_WASHAgencies]]+WWWW[[#This Row],['#_Non Cluster partner latrines]])-WWWW[[#This Row],['#_Non-functional latrines]]</f>
        <v>0</v>
      </c>
      <c r="CM4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 s="80">
        <f>IF(WWWW[[#This Row],[Location Type 1]]="Village","NA",IF(WWWW[[#This Row],['#_Constructed/Existing latrines in TLS]]*50&gt;WWWW[[#This Row],['#_students at TLS_CFS]],WWWW[[#This Row],['#_students at TLS_CFS]],(WWWW[[#This Row],['#_Constructed/Existing latrines in TLS]]*50)))</f>
        <v>0</v>
      </c>
      <c r="CQ42" s="80">
        <f>ROUND(IF(WWWW[[#This Row],[Location Type 1]]="camp",WWWW[[#This Row],[Total PoP ]]/20,IF(WWWW[[#This Row],[Location Type 1]]="Temporary Location",WWWW[[#This Row],[Total PoP ]]/50,(WWWW[[#This Row],[Total PoP ]]/6))),0)</f>
        <v>1</v>
      </c>
      <c r="CR42" s="79">
        <f>IF(WWWW[[#This Row],[Total required Latrines]]-(WWWW[[#This Row],['#_Constructed latrines_by_WASHAgencies]]+WWWW[[#This Row],['#_Non Cluster partner latrines]])&lt;0,0,WWWW[[#This Row],[Total required Latrines]]-(WWWW[[#This Row],['#_Constructed latrines_by_WASHAgencies]]+WWWW[[#This Row],['#_Non Cluster partner latrines]]))</f>
        <v>1</v>
      </c>
      <c r="CS42" s="78">
        <f>1-WWWW[[#This Row],[% people access to functioning Latrine]]</f>
        <v>1</v>
      </c>
      <c r="CT42" s="82">
        <f>IF(OR(WWWW[[#This Row],['#_Non-functional latrines]]="",WWWW[[#This Row],['#_Non-functional latrines]]=0),0,WWWW[[#This Row],['#_Non-functional latrines]]/(WWWW[[#This Row],['#_Constructed latrines_by_WASHAgencies]]+WWWW[[#This Row],['#_Non Cluster partner latrines]]))</f>
        <v>0</v>
      </c>
      <c r="CU42" s="79">
        <f>IF(500*(WWWW[[#This Row],['#_male hygiene promoters]]+WWWW[[#This Row],['#_female hygiene promoters]])&gt;WWWW[[#This Row],[Total PoP ]],WWWW[[#This Row],[Total PoP ]],500*(WWWW[[#This Row],['#_male hygiene promoters]]+WWWW[[#This Row],['#_female hygiene promoters]]))</f>
        <v>0</v>
      </c>
      <c r="CV4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 s="80">
        <f>IF(WWWW[[#This Row],['# People with access to soap]]&gt;WWWW[[#This Row],['# People with access to Sanity Pads]],WWWW[[#This Row],['# People with access to soap]],WWWW[[#This Row],['# People with access to Sanity Pads]])</f>
        <v>0</v>
      </c>
      <c r="CY42"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 s="78">
        <f>IF(WWWW[[#This Row],[HRP3]]/WWWW[[#This Row],[Total PoP ]]&gt;100%,100%,WWWW[[#This Row],[HRP3]]/WWWW[[#This Row],[Total PoP ]])</f>
        <v>0</v>
      </c>
      <c r="DA42" s="82">
        <f>1-WWWW[[#This Row],[Hygiene Coverage%]]</f>
        <v>1</v>
      </c>
      <c r="DB42" s="81">
        <f>WWWW[[#This Row],['# people reached by regular dedicated hygiene promotion_5]]/WWWW[[#This Row],[Total PoP ]]</f>
        <v>0</v>
      </c>
      <c r="DC42" s="81">
        <f>IF(WWWW[[#This Row],['#_households that received standard amount of soap for this quarter]]/WWWW[[#This Row],[Total HH]]&gt;1,1,WWWW[[#This Row],['#_households that received standard amount of soap for this quarter]]/WWWW[[#This Row],[Total HH]])</f>
        <v>0</v>
      </c>
      <c r="DD42" s="81">
        <f>IF(WWWW[[#This Row],['#_households that received standard amount of sanitary pads for this quarter]]/WWWW[[#This Row],[Total HH]]&gt;1,1,WWWW[[#This Row],['#_households that received standard amount of sanitary pads for this quarter]]/WWWW[[#This Row],[Total HH]])</f>
        <v>0</v>
      </c>
      <c r="DE42" s="80">
        <f>WWWW[[#This Row],['#_Constructed/Existing hand washing stations]]-WWWW[[#This Row],['#_Non-Functional_hand_washing_stations]]</f>
        <v>0</v>
      </c>
      <c r="DF42" s="757">
        <f>IF(WWWW[[#This Row],['# Functional hand washing stations during reporting period]]*20&gt;WWWW[[#This Row],[Total HH]],WWWW[[#This Row],[Total HH]],WWWW[[#This Row],['# Functional hand washing stations during reporting period]]*20)</f>
        <v>0</v>
      </c>
      <c r="DG42" s="79">
        <f>IF(WWWW[[#This Row],[Is sufficient soap available for TLS? (Yes/No)]]="yes",WWWW[[#This Row],['#_Constructed/Existing hand washing stations at TLS]],0)</f>
        <v>0</v>
      </c>
      <c r="DH42" s="578">
        <f>IF(WWWW[[#This Row],['# Functional hand washing stations during reporting period]]*100&gt;WWWW[[#This Row],[Total PoP ]],WWWW[[#This Row],[Total PoP ]],WWWW[[#This Row],['# Functional hand washing stations during reporting period]]*100)</f>
        <v>0</v>
      </c>
      <c r="DI42" s="578" t="str">
        <f>IF(OR(WWWW[[#This Row],['#_students at TLS_CFS]]="",WWWW[[#This Row],['#_students at TLS_CFS]]=0),"No","Yes")</f>
        <v>No</v>
      </c>
      <c r="DJ42" s="231" t="str">
        <f>VLOOKUP(WWWW[[#This Row],[Site Name]],SiteDB6[[Site Name]:[CCCM Management]],6,FALSE)</f>
        <v>Yes</v>
      </c>
      <c r="DK42" s="231" t="str">
        <f>VLOOKUP(WWWW[[#This Row],[Site Name]],SiteDB6[[Site Name]:[CCCM Focal Agency]],7,FALSE)</f>
        <v>KMSS-MYT</v>
      </c>
      <c r="DL42" s="231" t="str">
        <f>VLOOKUP(WWWW[[#This Row],[Site Name]],SiteDB6[[Site Name]:[Location Type 1]],9,FALSE)</f>
        <v>Camp</v>
      </c>
      <c r="DM42" s="231" t="str">
        <f>VLOOKUP(WWWW[[#This Row],[Site Name]],SiteDB6[[Site Name]:[Type of Accommodation]],10,FALSE)</f>
        <v>Camp</v>
      </c>
      <c r="DN42" s="231" t="str">
        <f>VLOOKUP(WWWW[[#This Row],[Site Name]],SiteDB6[[Site Name]:[Ethnic or GCA/NGCA]],11,FALSE)</f>
        <v>GCA</v>
      </c>
      <c r="DO42" s="231">
        <f>VLOOKUP(WWWW[[#This Row],[Site Name]],SiteDB6[[Site Name]:[Lat]],12,FALSE)</f>
        <v>25.920006000000001</v>
      </c>
      <c r="DP42" s="231">
        <f>VLOOKUP(WWWW[[#This Row],[Site Name]],SiteDB6[[Site Name]:[Long]],13,FALSE)</f>
        <v>96.662092000000001</v>
      </c>
      <c r="DQ42" s="231" t="str">
        <f>VLOOKUP(WWWW[[#This Row],[Site Name]],SiteDB6[[Site Name]:[Pcode]],3,FALSE)</f>
        <v>MMR001CMP247</v>
      </c>
      <c r="DR42" s="207" t="str">
        <f t="shared" si="1"/>
        <v>Notcovered</v>
      </c>
      <c r="DS42" s="207"/>
      <c r="DT42" s="20"/>
      <c r="DU42" s="20"/>
      <c r="DV42" s="20"/>
      <c r="DW42" s="20"/>
      <c r="DX42" s="20"/>
      <c r="DY42" s="20"/>
      <c r="DZ42" s="20"/>
      <c r="EA42" s="20"/>
      <c r="EB42" s="20"/>
      <c r="EC42" s="20"/>
      <c r="ED42" s="20"/>
      <c r="EE42" s="20"/>
      <c r="EF42" s="20"/>
      <c r="EG42" s="20"/>
      <c r="EH42" s="20"/>
    </row>
    <row r="43" spans="1:138" ht="15.75" customHeight="1">
      <c r="A43" s="238" t="s">
        <v>2518</v>
      </c>
      <c r="B43" s="574" t="s">
        <v>250</v>
      </c>
      <c r="C43" s="574" t="s">
        <v>250</v>
      </c>
      <c r="D43" s="574" t="s">
        <v>315</v>
      </c>
      <c r="E43" s="574" t="s">
        <v>39</v>
      </c>
      <c r="F43" s="574" t="s">
        <v>156</v>
      </c>
      <c r="G43" s="574" t="str">
        <f>VLOOKUP(WWWW[[#This Row],[Site Name]],SiteDB6[[Site Name]:[Location Type]],8,FALSE)</f>
        <v>Camp</v>
      </c>
      <c r="H43" s="574" t="s">
        <v>266</v>
      </c>
      <c r="I43" s="583">
        <v>11</v>
      </c>
      <c r="J43" s="583">
        <v>42</v>
      </c>
      <c r="K43" s="553">
        <v>43313</v>
      </c>
      <c r="L43" s="77">
        <v>44043</v>
      </c>
      <c r="M43" s="583">
        <v>0</v>
      </c>
      <c r="N43" s="583">
        <v>1</v>
      </c>
      <c r="O43" s="583">
        <v>0</v>
      </c>
      <c r="P43" s="583">
        <v>0</v>
      </c>
      <c r="Q43" s="574" t="s">
        <v>43</v>
      </c>
      <c r="R43" s="310">
        <v>4</v>
      </c>
      <c r="S43" s="310">
        <v>2</v>
      </c>
      <c r="T43" s="310">
        <v>1</v>
      </c>
      <c r="U43" s="310">
        <v>0</v>
      </c>
      <c r="V43" s="310">
        <v>0</v>
      </c>
      <c r="W43" s="310">
        <v>0</v>
      </c>
      <c r="X43" s="310">
        <v>0</v>
      </c>
      <c r="Y43" s="310">
        <v>0</v>
      </c>
      <c r="Z43" s="310">
        <v>0</v>
      </c>
      <c r="AA43" s="310">
        <v>2</v>
      </c>
      <c r="AB43" s="310">
        <v>0</v>
      </c>
      <c r="AC43" s="310">
        <v>0</v>
      </c>
      <c r="AD43" s="310">
        <v>0</v>
      </c>
      <c r="AE43" s="310">
        <v>0</v>
      </c>
      <c r="AF43" s="310">
        <v>1</v>
      </c>
      <c r="AG43" s="310">
        <v>0</v>
      </c>
      <c r="AH43" s="310">
        <v>1</v>
      </c>
      <c r="AI43" s="310"/>
      <c r="AJ43" s="310"/>
      <c r="AK43" s="310"/>
      <c r="AL43" s="310"/>
      <c r="AM43" s="310">
        <v>0</v>
      </c>
      <c r="AN43" s="310">
        <v>0</v>
      </c>
      <c r="AO43" s="207"/>
      <c r="AP43" s="310">
        <v>4</v>
      </c>
      <c r="AQ43" s="310">
        <v>0</v>
      </c>
      <c r="AR43" s="76" t="s">
        <v>250</v>
      </c>
      <c r="AS43" s="310">
        <v>0</v>
      </c>
      <c r="AT43" s="310">
        <v>3</v>
      </c>
      <c r="AU43" s="310">
        <v>0</v>
      </c>
      <c r="AV43" s="310">
        <v>0</v>
      </c>
      <c r="AW43" s="583">
        <v>0</v>
      </c>
      <c r="AX43" s="581" t="s">
        <v>43</v>
      </c>
      <c r="AY43" s="231" t="s">
        <v>144</v>
      </c>
      <c r="AZ43" s="310">
        <v>0</v>
      </c>
      <c r="BA43" s="310">
        <v>0</v>
      </c>
      <c r="BB43" s="310">
        <v>0</v>
      </c>
      <c r="BC43" s="207">
        <v>0</v>
      </c>
      <c r="BD43" s="310">
        <v>0</v>
      </c>
      <c r="BE43" s="310">
        <v>0</v>
      </c>
      <c r="BF43" s="310">
        <v>0</v>
      </c>
      <c r="BG43" s="310">
        <v>2</v>
      </c>
      <c r="BH43" s="310">
        <v>0</v>
      </c>
      <c r="BI43" s="310">
        <v>4</v>
      </c>
      <c r="BJ43" s="310">
        <v>2</v>
      </c>
      <c r="BK43" s="310">
        <v>0</v>
      </c>
      <c r="BL43" s="310">
        <v>0</v>
      </c>
      <c r="BM43" s="207" t="s">
        <v>144</v>
      </c>
      <c r="BN43" s="79">
        <v>0</v>
      </c>
      <c r="BO43" s="81">
        <v>0.4</v>
      </c>
      <c r="BP43" s="207"/>
      <c r="BQ43" s="78" t="str">
        <f>IFERROR(WWWW[[#This Row],['#_Water sources treated]]/WWWW[[#This Row],['#_Water sources tested for contamination]],"no test")</f>
        <v>no test</v>
      </c>
      <c r="BR43" s="81" t="str">
        <f>IFERROR(WWWW[[#This Row],['#_Household received remediation action due to contamination]]/WWWW[[#This Row],['#_Household water samples tested for contamination]],"no test")</f>
        <v>no test</v>
      </c>
      <c r="BS43" s="80" t="str">
        <f>IF(AND(WWWW[[#This Row],[% of water sources treated]]="no test",WWWW[[#This Row],[% Household received corrective actions]]="no test"),"No Test","Tested")</f>
        <v>No Test</v>
      </c>
      <c r="BT43" s="80">
        <f>WWWW[[#This Row],['#_Constructed/existing protected hand dug well]]-WWWW[[#This Row],['#_Non-functional protected hand dug well]]</f>
        <v>1</v>
      </c>
      <c r="BU43" s="80">
        <f>(WWWW[[#This Row],['#_Constructed/Existing tube wells/boreholes/handpumps_WASH_agency]]+WWWW[[#This Row],['#_Non-Cluster partner water tube-wells/boreholes/handpumps]])-WWWW[[#This Row],['#_Non-functional tube wells/boreholes/handpumps]]</f>
        <v>0</v>
      </c>
      <c r="BV43" s="80">
        <f>WWWW[[#This Row],['#_Constructed/Existingwater storage tank with gravity fed reticulation system]]-WWWW[[#This Row],['#_Non-functional storage tank gravity fed reticulation system]]</f>
        <v>2</v>
      </c>
      <c r="BW43" s="80">
        <f>WWWW[[#This Row],['#_Water boating or water trucking]]</f>
        <v>0</v>
      </c>
      <c r="BX43" s="80">
        <f>WWWW[[#This Row],['#_Constructed/Existing water distribution system from river or natural spring]]</f>
        <v>1</v>
      </c>
      <c r="BY4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3" s="81">
        <f>IF(WWWW[[#This Row],[Location Type 1]]="Village",WWWW[[#This Row],[Access to safe drinking water for Village]],WWWW[[#This Row],[Access to safe drinking water for Camp]])</f>
        <v>1</v>
      </c>
      <c r="CB43" s="79">
        <f>WWWW[[#This Row],[%Equitable and continuous access to sufficient quantity of safe drinking water]]*WWWW[[#This Row],[Total PoP ]]</f>
        <v>42</v>
      </c>
      <c r="CC43" s="81">
        <f>IF((WWWW[[#This Row],['#_Constructed/Existing protected/fenced ponds]]*250)/WWWW[[#This Row],[Total PoP ]]&gt;1,1,(WWWW[[#This Row],['#_Constructed/Existing protected/fenced ponds]]*250)/WWWW[[#This Row],[Total PoP ]])</f>
        <v>0</v>
      </c>
      <c r="CD43" s="79">
        <f>WWWW[[#This Row],[% Access to unimproved water points]]*WWWW[[#This Row],[Total PoP ]]</f>
        <v>0</v>
      </c>
      <c r="CE4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G43" s="79">
        <f>WWWW[[#This Row],[HRP1]]/500</f>
        <v>8.4000000000000005E-2</v>
      </c>
      <c r="CH43" s="78">
        <f>1-WWWW[[#This Row],[% Equitable and continuous access to sufficient quantity of domestic water]]</f>
        <v>0</v>
      </c>
      <c r="CI43" s="79">
        <f>WWWW[[#This Row],[%equitable and continuous access to sufficient quantity of safe drinking and domestic water''s GAP]]*WWWW[[#This Row],[Total PoP ]]</f>
        <v>0</v>
      </c>
      <c r="CJ43" s="80">
        <f>IF(WWWW[[#This Row],[Total required water points]]-WWWW[[#This Row],['#Water points coverage]]&lt;0,0,WWWW[[#This Row],[Total required water points]]-WWWW[[#This Row],['#Water points coverage]])</f>
        <v>0.91600000000000004</v>
      </c>
      <c r="CK43" s="80">
        <f>ROUND(IF(WWWW[[#This Row],[Total PoP ]]&lt;500,1,WWWW[[#This Row],[Total PoP ]]/500),0)</f>
        <v>1</v>
      </c>
      <c r="CL43" s="80">
        <f>(WWWW[[#This Row],['#_Constructed latrines_by_WASHAgencies]]+WWWW[[#This Row],['#_Non Cluster partner latrines]])-WWWW[[#This Row],['#_Non-functional latrines]]</f>
        <v>4</v>
      </c>
      <c r="CM4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42</v>
      </c>
      <c r="CO4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 s="80">
        <f>IF(WWWW[[#This Row],[Location Type 1]]="Village","NA",IF(WWWW[[#This Row],['#_Constructed/Existing latrines in TLS]]*50&gt;WWWW[[#This Row],['#_students at TLS_CFS]],WWWW[[#This Row],['#_students at TLS_CFS]],(WWWW[[#This Row],['#_Constructed/Existing latrines in TLS]]*50)))</f>
        <v>0</v>
      </c>
      <c r="CQ43" s="80">
        <f>ROUND(IF(WWWW[[#This Row],[Location Type 1]]="camp",WWWW[[#This Row],[Total PoP ]]/20,IF(WWWW[[#This Row],[Location Type 1]]="Temporary Location",WWWW[[#This Row],[Total PoP ]]/50,(WWWW[[#This Row],[Total PoP ]]/6))),0)</f>
        <v>2</v>
      </c>
      <c r="CR43" s="79">
        <f>IF(WWWW[[#This Row],[Total required Latrines]]-(WWWW[[#This Row],['#_Constructed latrines_by_WASHAgencies]]+WWWW[[#This Row],['#_Non Cluster partner latrines]])&lt;0,0,WWWW[[#This Row],[Total required Latrines]]-(WWWW[[#This Row],['#_Constructed latrines_by_WASHAgencies]]+WWWW[[#This Row],['#_Non Cluster partner latrines]]))</f>
        <v>0</v>
      </c>
      <c r="CS43" s="78">
        <f>1-WWWW[[#This Row],[% people access to functioning Latrine]]</f>
        <v>0</v>
      </c>
      <c r="CT43" s="82">
        <f>IF(OR(WWWW[[#This Row],['#_Non-functional latrines]]="",WWWW[[#This Row],['#_Non-functional latrines]]=0),0,WWWW[[#This Row],['#_Non-functional latrines]]/(WWWW[[#This Row],['#_Constructed latrines_by_WASHAgencies]]+WWWW[[#This Row],['#_Non Cluster partner latrines]]))</f>
        <v>0</v>
      </c>
      <c r="CU43" s="79">
        <f>IF(500*(WWWW[[#This Row],['#_male hygiene promoters]]+WWWW[[#This Row],['#_female hygiene promoters]])&gt;WWWW[[#This Row],[Total PoP ]],WWWW[[#This Row],[Total PoP ]],500*(WWWW[[#This Row],['#_male hygiene promoters]]+WWWW[[#This Row],['#_female hygiene promoters]]))</f>
        <v>42</v>
      </c>
      <c r="CV4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 s="80">
        <f>IF(WWWW[[#This Row],['# People with access to soap]]&gt;WWWW[[#This Row],['# People with access to Sanity Pads]],WWWW[[#This Row],['# People with access to soap]],WWWW[[#This Row],['# People with access to Sanity Pads]])</f>
        <v>0</v>
      </c>
      <c r="CY43" s="80">
        <f>IF(WWWW[[#This Row],['# people reached by regular dedicated hygiene promotion_5]]&gt;WWWW[[#This Row],['# People received regular supply of hygiene items_6]],WWWW[[#This Row],['# people reached by regular dedicated hygiene promotion_5]],WWWW[[#This Row],['# People received regular supply of hygiene items_6]])</f>
        <v>42</v>
      </c>
      <c r="CZ43" s="78">
        <f>IF(WWWW[[#This Row],[HRP3]]/WWWW[[#This Row],[Total PoP ]]&gt;100%,100%,WWWW[[#This Row],[HRP3]]/WWWW[[#This Row],[Total PoP ]])</f>
        <v>1</v>
      </c>
      <c r="DA43" s="82">
        <f>1-WWWW[[#This Row],[Hygiene Coverage%]]</f>
        <v>0</v>
      </c>
      <c r="DB43" s="81">
        <f>WWWW[[#This Row],['# people reached by regular dedicated hygiene promotion_5]]/WWWW[[#This Row],[Total PoP ]]</f>
        <v>1</v>
      </c>
      <c r="DC43" s="81">
        <f>IF(WWWW[[#This Row],['#_households that received standard amount of soap for this quarter]]/WWWW[[#This Row],[Total HH]]&gt;1,1,WWWW[[#This Row],['#_households that received standard amount of soap for this quarter]]/WWWW[[#This Row],[Total HH]])</f>
        <v>0</v>
      </c>
      <c r="DD43" s="81">
        <f>IF(WWWW[[#This Row],['#_households that received standard amount of sanitary pads for this quarter]]/WWWW[[#This Row],[Total HH]]&gt;1,1,WWWW[[#This Row],['#_households that received standard amount of sanitary pads for this quarter]]/WWWW[[#This Row],[Total HH]])</f>
        <v>0</v>
      </c>
      <c r="DE43" s="80">
        <f>WWWW[[#This Row],['#_Constructed/Existing hand washing stations]]-WWWW[[#This Row],['#_Non-Functional_hand_washing_stations]]</f>
        <v>0</v>
      </c>
      <c r="DF43" s="757">
        <f>IF(WWWW[[#This Row],['# Functional hand washing stations during reporting period]]*20&gt;WWWW[[#This Row],[Total HH]],WWWW[[#This Row],[Total HH]],WWWW[[#This Row],['# Functional hand washing stations during reporting period]]*20)</f>
        <v>0</v>
      </c>
      <c r="DG43" s="79">
        <f>IF(WWWW[[#This Row],[Is sufficient soap available for TLS? (Yes/No)]]="yes",WWWW[[#This Row],['#_Constructed/Existing hand washing stations at TLS]],0)</f>
        <v>0</v>
      </c>
      <c r="DH43" s="578">
        <f>IF(WWWW[[#This Row],['# Functional hand washing stations during reporting period]]*100&gt;WWWW[[#This Row],[Total PoP ]],WWWW[[#This Row],[Total PoP ]],WWWW[[#This Row],['# Functional hand washing stations during reporting period]]*100)</f>
        <v>0</v>
      </c>
      <c r="DI43" s="578" t="str">
        <f>IF(OR(WWWW[[#This Row],['#_students at TLS_CFS]]="",WWWW[[#This Row],['#_students at TLS_CFS]]=0),"No","Yes")</f>
        <v>No</v>
      </c>
      <c r="DJ43" s="231" t="str">
        <f>VLOOKUP(WWWW[[#This Row],[Site Name]],SiteDB6[[Site Name]:[CCCM Management]],6,FALSE)</f>
        <v>Yes</v>
      </c>
      <c r="DK43" s="231" t="str">
        <f>VLOOKUP(WWWW[[#This Row],[Site Name]],SiteDB6[[Site Name]:[CCCM Focal Agency]],7,FALSE)</f>
        <v>uncovered</v>
      </c>
      <c r="DL43" s="231" t="str">
        <f>VLOOKUP(WWWW[[#This Row],[Site Name]],SiteDB6[[Site Name]:[Location Type 1]],9,FALSE)</f>
        <v>Camp</v>
      </c>
      <c r="DM43" s="231" t="str">
        <f>VLOOKUP(WWWW[[#This Row],[Site Name]],SiteDB6[[Site Name]:[Type of Accommodation]],10,FALSE)</f>
        <v>Camp like setting</v>
      </c>
      <c r="DN43" s="231" t="str">
        <f>VLOOKUP(WWWW[[#This Row],[Site Name]],SiteDB6[[Site Name]:[Ethnic or GCA/NGCA]],11,FALSE)</f>
        <v>GCA</v>
      </c>
      <c r="DO43" s="231">
        <f>VLOOKUP(WWWW[[#This Row],[Site Name]],SiteDB6[[Site Name]:[Lat]],12,FALSE)</f>
        <v>25.617998</v>
      </c>
      <c r="DP43" s="231">
        <f>VLOOKUP(WWWW[[#This Row],[Site Name]],SiteDB6[[Site Name]:[Long]],13,FALSE)</f>
        <v>96.339590000000001</v>
      </c>
      <c r="DQ43" s="231" t="str">
        <f>VLOOKUP(WWWW[[#This Row],[Site Name]],SiteDB6[[Site Name]:[Pcode]],3,FALSE)</f>
        <v>MMR001CMP192</v>
      </c>
      <c r="DR43" s="207" t="str">
        <f t="shared" si="1"/>
        <v>Covered</v>
      </c>
      <c r="DS43" s="207"/>
      <c r="DT43" s="20"/>
      <c r="DU43" s="20"/>
      <c r="DV43" s="20"/>
      <c r="DW43" s="20"/>
      <c r="DX43" s="20"/>
      <c r="DY43" s="20"/>
      <c r="DZ43" s="20"/>
      <c r="EA43" s="20"/>
      <c r="EB43" s="20"/>
      <c r="EC43" s="20"/>
      <c r="ED43" s="20"/>
      <c r="EE43" s="20"/>
      <c r="EF43" s="20"/>
      <c r="EG43" s="20"/>
      <c r="EH43" s="20"/>
    </row>
    <row r="44" spans="1:138" ht="15.75" customHeight="1">
      <c r="A44" s="238" t="s">
        <v>2518</v>
      </c>
      <c r="B44" s="574" t="s">
        <v>38</v>
      </c>
      <c r="C44" s="574" t="s">
        <v>38</v>
      </c>
      <c r="D44" s="574" t="s">
        <v>328</v>
      </c>
      <c r="E44" s="574" t="s">
        <v>39</v>
      </c>
      <c r="F44" s="574" t="s">
        <v>156</v>
      </c>
      <c r="G44" s="574" t="str">
        <f>VLOOKUP(WWWW[[#This Row],[Site Name]],SiteDB6[[Site Name]:[Location Type]],8,FALSE)</f>
        <v>Camp</v>
      </c>
      <c r="H44" s="574" t="s">
        <v>2032</v>
      </c>
      <c r="I44" s="583">
        <v>16</v>
      </c>
      <c r="J44" s="583">
        <v>63</v>
      </c>
      <c r="K44" s="553">
        <v>43374</v>
      </c>
      <c r="L44" s="77">
        <v>43830</v>
      </c>
      <c r="M44" s="583"/>
      <c r="N44" s="583"/>
      <c r="O44" s="583"/>
      <c r="P44" s="583"/>
      <c r="Q44" s="574"/>
      <c r="R44" s="583"/>
      <c r="S44" s="583"/>
      <c r="T44" s="583"/>
      <c r="U44" s="583"/>
      <c r="V44" s="583"/>
      <c r="W44" s="583"/>
      <c r="X44" s="583">
        <v>1</v>
      </c>
      <c r="Y44" s="583"/>
      <c r="Z44" s="583"/>
      <c r="AA44" s="583"/>
      <c r="AB44" s="583"/>
      <c r="AC44" s="583"/>
      <c r="AD44" s="583"/>
      <c r="AE44" s="583"/>
      <c r="AF44" s="583"/>
      <c r="AG44" s="583"/>
      <c r="AH44" s="583"/>
      <c r="AI44" s="583"/>
      <c r="AJ44" s="583"/>
      <c r="AK44" s="583"/>
      <c r="AL44" s="583"/>
      <c r="AM44" s="583"/>
      <c r="AN44" s="583"/>
      <c r="AO44" s="585"/>
      <c r="AP44" s="601">
        <v>2</v>
      </c>
      <c r="AQ44" s="603"/>
      <c r="AR44" s="603"/>
      <c r="AS44" s="601"/>
      <c r="AT44" s="603">
        <v>2</v>
      </c>
      <c r="AU44" s="578"/>
      <c r="AV44" s="578"/>
      <c r="AW44" s="80"/>
      <c r="AX44" s="80" t="s">
        <v>144</v>
      </c>
      <c r="AY44" s="80" t="s">
        <v>144</v>
      </c>
      <c r="AZ44" s="80"/>
      <c r="BA44" s="80"/>
      <c r="BB44" s="578"/>
      <c r="BC44" s="578"/>
      <c r="BD44" s="578"/>
      <c r="BE44" s="578"/>
      <c r="BF44" s="578"/>
      <c r="BG44" s="601">
        <v>2</v>
      </c>
      <c r="BH44" s="578"/>
      <c r="BI44" s="601"/>
      <c r="BJ44" s="601">
        <v>1</v>
      </c>
      <c r="BK44" s="601">
        <v>16</v>
      </c>
      <c r="BL44" s="601">
        <v>24</v>
      </c>
      <c r="BM44" s="578"/>
      <c r="BN44" s="578"/>
      <c r="BO44" s="81"/>
      <c r="BP44" s="578"/>
      <c r="BQ44" s="78" t="str">
        <f>IFERROR(WWWW[[#This Row],['#_Water sources treated]]/WWWW[[#This Row],['#_Water sources tested for contamination]],"no test")</f>
        <v>no test</v>
      </c>
      <c r="BR44" s="81" t="str">
        <f>IFERROR(WWWW[[#This Row],['#_Household received remediation action due to contamination]]/WWWW[[#This Row],['#_Household water samples tested for contamination]],"no test")</f>
        <v>no test</v>
      </c>
      <c r="BS44" s="80" t="str">
        <f>IF(AND(WWWW[[#This Row],[% of water sources treated]]="no test",WWWW[[#This Row],[% Household received corrective actions]]="no test"),"No Test","Tested")</f>
        <v>No Test</v>
      </c>
      <c r="BT44" s="80">
        <f>WWWW[[#This Row],['#_Constructed/existing protected hand dug well]]-WWWW[[#This Row],['#_Non-functional protected hand dug well]]</f>
        <v>0</v>
      </c>
      <c r="BU44" s="80">
        <f>(WWWW[[#This Row],['#_Constructed/Existing tube wells/boreholes/handpumps_WASH_agency]]+WWWW[[#This Row],['#_Non-Cluster partner water tube-wells/boreholes/handpumps]])-WWWW[[#This Row],['#_Non-functional tube wells/boreholes/handpumps]]</f>
        <v>1</v>
      </c>
      <c r="BV44" s="80">
        <f>WWWW[[#This Row],['#_Constructed/Existingwater storage tank with gravity fed reticulation system]]-WWWW[[#This Row],['#_Non-functional storage tank gravity fed reticulation system]]</f>
        <v>0</v>
      </c>
      <c r="BW44" s="80">
        <f>WWWW[[#This Row],['#_Water boating or water trucking]]</f>
        <v>0</v>
      </c>
      <c r="BX44" s="80">
        <f>WWWW[[#This Row],['#_Constructed/Existing water distribution system from river or natural spring]]</f>
        <v>0</v>
      </c>
      <c r="BY4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4" s="81">
        <f>IF(WWWW[[#This Row],[Location Type 1]]="Village",WWWW[[#This Row],[Access to safe drinking water for Village]],WWWW[[#This Row],[Access to safe drinking water for Camp]])</f>
        <v>1</v>
      </c>
      <c r="CB44" s="79">
        <f>WWWW[[#This Row],[%Equitable and continuous access to sufficient quantity of safe drinking water]]*WWWW[[#This Row],[Total PoP ]]</f>
        <v>63</v>
      </c>
      <c r="CC44" s="81">
        <f>IF((WWWW[[#This Row],['#_Constructed/Existing protected/fenced ponds]]*250)/WWWW[[#This Row],[Total PoP ]]&gt;1,1,(WWWW[[#This Row],['#_Constructed/Existing protected/fenced ponds]]*250)/WWWW[[#This Row],[Total PoP ]])</f>
        <v>0</v>
      </c>
      <c r="CD44" s="79">
        <f>WWWW[[#This Row],[% Access to unimproved water points]]*WWWW[[#This Row],[Total PoP ]]</f>
        <v>0</v>
      </c>
      <c r="CE4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G44" s="79">
        <f>WWWW[[#This Row],[HRP1]]/500</f>
        <v>0.126</v>
      </c>
      <c r="CH44" s="78">
        <f>1-WWWW[[#This Row],[% Equitable and continuous access to sufficient quantity of domestic water]]</f>
        <v>0</v>
      </c>
      <c r="CI44" s="79">
        <f>WWWW[[#This Row],[%equitable and continuous access to sufficient quantity of safe drinking and domestic water''s GAP]]*WWWW[[#This Row],[Total PoP ]]</f>
        <v>0</v>
      </c>
      <c r="CJ44" s="80">
        <f>IF(WWWW[[#This Row],[Total required water points]]-WWWW[[#This Row],['#Water points coverage]]&lt;0,0,WWWW[[#This Row],[Total required water points]]-WWWW[[#This Row],['#Water points coverage]])</f>
        <v>0.874</v>
      </c>
      <c r="CK44" s="80">
        <f>ROUND(IF(WWWW[[#This Row],[Total PoP ]]&lt;500,1,WWWW[[#This Row],[Total PoP ]]/500),0)</f>
        <v>1</v>
      </c>
      <c r="CL44" s="80">
        <f>(WWWW[[#This Row],['#_Constructed latrines_by_WASHAgencies]]+WWWW[[#This Row],['#_Non Cluster partner latrines]])-WWWW[[#This Row],['#_Non-functional latrines]]</f>
        <v>2</v>
      </c>
      <c r="CM4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0.63492063492063489</v>
      </c>
      <c r="CN4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4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 s="80">
        <f>IF(WWWW[[#This Row],[Location Type 1]]="Village","NA",IF(WWWW[[#This Row],['#_Constructed/Existing latrines in TLS]]*50&gt;WWWW[[#This Row],['#_students at TLS_CFS]],WWWW[[#This Row],['#_students at TLS_CFS]],(WWWW[[#This Row],['#_Constructed/Existing latrines in TLS]]*50)))</f>
        <v>0</v>
      </c>
      <c r="CQ44" s="80">
        <f>ROUND(IF(WWWW[[#This Row],[Location Type 1]]="camp",WWWW[[#This Row],[Total PoP ]]/20,IF(WWWW[[#This Row],[Location Type 1]]="Temporary Location",WWWW[[#This Row],[Total PoP ]]/50,(WWWW[[#This Row],[Total PoP ]]/6))),0)</f>
        <v>3</v>
      </c>
      <c r="CR44" s="79">
        <f>IF(WWWW[[#This Row],[Total required Latrines]]-(WWWW[[#This Row],['#_Constructed latrines_by_WASHAgencies]]+WWWW[[#This Row],['#_Non Cluster partner latrines]])&lt;0,0,WWWW[[#This Row],[Total required Latrines]]-(WWWW[[#This Row],['#_Constructed latrines_by_WASHAgencies]]+WWWW[[#This Row],['#_Non Cluster partner latrines]]))</f>
        <v>1</v>
      </c>
      <c r="CS44" s="78">
        <f>1-WWWW[[#This Row],[% people access to functioning Latrine]]</f>
        <v>0.36507936507936511</v>
      </c>
      <c r="CT44" s="82">
        <f>IF(OR(WWWW[[#This Row],['#_Non-functional latrines]]="",WWWW[[#This Row],['#_Non-functional latrines]]=0),0,WWWW[[#This Row],['#_Non-functional latrines]]/(WWWW[[#This Row],['#_Constructed latrines_by_WASHAgencies]]+WWWW[[#This Row],['#_Non Cluster partner latrines]]))</f>
        <v>0</v>
      </c>
      <c r="CU44" s="79">
        <f>IF(500*(WWWW[[#This Row],['#_male hygiene promoters]]+WWWW[[#This Row],['#_female hygiene promoters]])&gt;WWWW[[#This Row],[Total PoP ]],WWWW[[#This Row],[Total PoP ]],500*(WWWW[[#This Row],['#_male hygiene promoters]]+WWWW[[#This Row],['#_female hygiene promoters]]))</f>
        <v>63</v>
      </c>
      <c r="CV4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v>
      </c>
      <c r="CW4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63</v>
      </c>
      <c r="CX44" s="80">
        <f>IF(WWWW[[#This Row],['# People with access to soap]]&gt;WWWW[[#This Row],['# People with access to Sanity Pads]],WWWW[[#This Row],['# People with access to soap]],WWWW[[#This Row],['# People with access to Sanity Pads]])</f>
        <v>63</v>
      </c>
      <c r="CY44" s="80">
        <f>IF(WWWW[[#This Row],['# people reached by regular dedicated hygiene promotion_5]]&gt;WWWW[[#This Row],['# People received regular supply of hygiene items_6]],WWWW[[#This Row],['# people reached by regular dedicated hygiene promotion_5]],WWWW[[#This Row],['# People received regular supply of hygiene items_6]])</f>
        <v>63</v>
      </c>
      <c r="CZ44" s="78">
        <f>IF(WWWW[[#This Row],[HRP3]]/WWWW[[#This Row],[Total PoP ]]&gt;100%,100%,WWWW[[#This Row],[HRP3]]/WWWW[[#This Row],[Total PoP ]])</f>
        <v>1</v>
      </c>
      <c r="DA44" s="82">
        <f>1-WWWW[[#This Row],[Hygiene Coverage%]]</f>
        <v>0</v>
      </c>
      <c r="DB44" s="81">
        <f>WWWW[[#This Row],['# people reached by regular dedicated hygiene promotion_5]]/WWWW[[#This Row],[Total PoP ]]</f>
        <v>1</v>
      </c>
      <c r="DC44" s="81">
        <f>IF(WWWW[[#This Row],['#_households that received standard amount of soap for this quarter]]/WWWW[[#This Row],[Total HH]]&gt;1,1,WWWW[[#This Row],['#_households that received standard amount of soap for this quarter]]/WWWW[[#This Row],[Total HH]])</f>
        <v>1</v>
      </c>
      <c r="DD44" s="81">
        <f>IF(WWWW[[#This Row],['#_households that received standard amount of sanitary pads for this quarter]]/WWWW[[#This Row],[Total HH]]&gt;1,1,WWWW[[#This Row],['#_households that received standard amount of sanitary pads for this quarter]]/WWWW[[#This Row],[Total HH]])</f>
        <v>1</v>
      </c>
      <c r="DE44" s="80">
        <f>WWWW[[#This Row],['#_Constructed/Existing hand washing stations]]-WWWW[[#This Row],['#_Non-Functional_hand_washing_stations]]</f>
        <v>0</v>
      </c>
      <c r="DF44" s="757">
        <f>IF(WWWW[[#This Row],['# Functional hand washing stations during reporting period]]*20&gt;WWWW[[#This Row],[Total HH]],WWWW[[#This Row],[Total HH]],WWWW[[#This Row],['# Functional hand washing stations during reporting period]]*20)</f>
        <v>0</v>
      </c>
      <c r="DG44" s="79">
        <f>IF(WWWW[[#This Row],[Is sufficient soap available for TLS? (Yes/No)]]="yes",WWWW[[#This Row],['#_Constructed/Existing hand washing stations at TLS]],0)</f>
        <v>0</v>
      </c>
      <c r="DH44" s="578">
        <f>IF(WWWW[[#This Row],['# Functional hand washing stations during reporting period]]*100&gt;WWWW[[#This Row],[Total PoP ]],WWWW[[#This Row],[Total PoP ]],WWWW[[#This Row],['# Functional hand washing stations during reporting period]]*100)</f>
        <v>0</v>
      </c>
      <c r="DI44" s="578" t="str">
        <f>IF(OR(WWWW[[#This Row],['#_students at TLS_CFS]]="",WWWW[[#This Row],['#_students at TLS_CFS]]=0),"No","Yes")</f>
        <v>No</v>
      </c>
      <c r="DJ44" s="231">
        <f>VLOOKUP(WWWW[[#This Row],[Site Name]],SiteDB6[[Site Name]:[CCCM Management]],6,FALSE)</f>
        <v>0</v>
      </c>
      <c r="DK44" s="231" t="str">
        <f>VLOOKUP(WWWW[[#This Row],[Site Name]],SiteDB6[[Site Name]:[CCCM Focal Agency]],7,FALSE)</f>
        <v>KMSS-MYT</v>
      </c>
      <c r="DL44" s="231" t="str">
        <f>VLOOKUP(WWWW[[#This Row],[Site Name]],SiteDB6[[Site Name]:[Location Type 1]],9,FALSE)</f>
        <v>Camp</v>
      </c>
      <c r="DM44" s="231" t="str">
        <f>VLOOKUP(WWWW[[#This Row],[Site Name]],SiteDB6[[Site Name]:[Type of Accommodation]],10,FALSE)</f>
        <v>Camp</v>
      </c>
      <c r="DN44" s="231" t="str">
        <f>VLOOKUP(WWWW[[#This Row],[Site Name]],SiteDB6[[Site Name]:[Ethnic or GCA/NGCA]],11,FALSE)</f>
        <v>GCA</v>
      </c>
      <c r="DO44" s="231">
        <f>VLOOKUP(WWWW[[#This Row],[Site Name]],SiteDB6[[Site Name]:[Lat]],12,FALSE)</f>
        <v>0</v>
      </c>
      <c r="DP44" s="231">
        <f>VLOOKUP(WWWW[[#This Row],[Site Name]],SiteDB6[[Site Name]:[Long]],13,FALSE)</f>
        <v>0</v>
      </c>
      <c r="DQ44" s="231" t="str">
        <f>VLOOKUP(WWWW[[#This Row],[Site Name]],SiteDB6[[Site Name]:[Pcode]],3,FALSE)</f>
        <v>MMR001CMP270</v>
      </c>
      <c r="DR44" s="207" t="str">
        <f t="shared" si="1"/>
        <v>Covered</v>
      </c>
      <c r="DS44" s="207"/>
      <c r="DT44" s="20"/>
      <c r="DU44" s="20"/>
      <c r="DV44" s="20"/>
      <c r="DW44" s="20"/>
      <c r="DX44" s="20"/>
      <c r="DY44" s="20"/>
      <c r="DZ44" s="20"/>
      <c r="EA44" s="20"/>
      <c r="EB44" s="20"/>
      <c r="EC44" s="20"/>
      <c r="ED44" s="20"/>
      <c r="EE44" s="20"/>
      <c r="EF44" s="20"/>
      <c r="EG44" s="20"/>
      <c r="EH44" s="20"/>
    </row>
    <row r="45" spans="1:138" ht="15.75" customHeight="1">
      <c r="A45" s="238" t="s">
        <v>2518</v>
      </c>
      <c r="B45" s="574" t="s">
        <v>250</v>
      </c>
      <c r="C45" s="574" t="s">
        <v>250</v>
      </c>
      <c r="D45" s="574" t="s">
        <v>315</v>
      </c>
      <c r="E45" s="574" t="s">
        <v>39</v>
      </c>
      <c r="F45" s="574" t="s">
        <v>156</v>
      </c>
      <c r="G45" s="574" t="str">
        <f>VLOOKUP(WWWW[[#This Row],[Site Name]],SiteDB6[[Site Name]:[Location Type]],8,FALSE)</f>
        <v>Camp</v>
      </c>
      <c r="H45" s="574" t="s">
        <v>267</v>
      </c>
      <c r="I45" s="583">
        <v>10</v>
      </c>
      <c r="J45" s="583">
        <v>38</v>
      </c>
      <c r="K45" s="553">
        <v>43313</v>
      </c>
      <c r="L45" s="77">
        <v>44043</v>
      </c>
      <c r="M45" s="583">
        <v>0</v>
      </c>
      <c r="N45" s="583">
        <v>1</v>
      </c>
      <c r="O45" s="583">
        <v>0</v>
      </c>
      <c r="P45" s="583">
        <v>0</v>
      </c>
      <c r="Q45" s="574" t="s">
        <v>43</v>
      </c>
      <c r="R45" s="310">
        <v>2</v>
      </c>
      <c r="S45" s="310">
        <v>2</v>
      </c>
      <c r="T45" s="310">
        <v>1</v>
      </c>
      <c r="U45" s="310">
        <v>0</v>
      </c>
      <c r="V45" s="310">
        <v>0</v>
      </c>
      <c r="W45" s="310">
        <v>0</v>
      </c>
      <c r="X45" s="310">
        <v>0</v>
      </c>
      <c r="Y45" s="310">
        <v>0</v>
      </c>
      <c r="Z45" s="310">
        <v>0</v>
      </c>
      <c r="AA45" s="310">
        <v>2</v>
      </c>
      <c r="AB45" s="310">
        <v>0</v>
      </c>
      <c r="AC45" s="310">
        <v>1</v>
      </c>
      <c r="AD45" s="310">
        <v>0</v>
      </c>
      <c r="AE45" s="310">
        <v>1</v>
      </c>
      <c r="AF45" s="310">
        <v>1</v>
      </c>
      <c r="AG45" s="310">
        <v>0</v>
      </c>
      <c r="AH45" s="310">
        <v>1</v>
      </c>
      <c r="AI45" s="310"/>
      <c r="AJ45" s="310"/>
      <c r="AK45" s="310"/>
      <c r="AL45" s="310"/>
      <c r="AM45" s="310">
        <v>0</v>
      </c>
      <c r="AN45" s="310">
        <v>0</v>
      </c>
      <c r="AO45" s="207"/>
      <c r="AP45" s="310">
        <v>2</v>
      </c>
      <c r="AQ45" s="310">
        <v>0</v>
      </c>
      <c r="AR45" s="76" t="s">
        <v>250</v>
      </c>
      <c r="AS45" s="310">
        <v>0</v>
      </c>
      <c r="AT45" s="310">
        <v>0</v>
      </c>
      <c r="AU45" s="310">
        <v>0</v>
      </c>
      <c r="AV45" s="310"/>
      <c r="AW45" s="583">
        <v>0</v>
      </c>
      <c r="AX45" s="581" t="s">
        <v>43</v>
      </c>
      <c r="AY45" s="231" t="s">
        <v>145</v>
      </c>
      <c r="AZ45" s="310">
        <v>0</v>
      </c>
      <c r="BA45" s="310">
        <v>0</v>
      </c>
      <c r="BB45" s="310">
        <v>0</v>
      </c>
      <c r="BC45" s="207"/>
      <c r="BD45" s="310">
        <v>1</v>
      </c>
      <c r="BE45" s="310">
        <v>0</v>
      </c>
      <c r="BF45" s="310">
        <v>0</v>
      </c>
      <c r="BG45" s="310">
        <v>1</v>
      </c>
      <c r="BH45" s="310">
        <v>0</v>
      </c>
      <c r="BI45" s="310">
        <v>2</v>
      </c>
      <c r="BJ45" s="310">
        <v>2</v>
      </c>
      <c r="BK45" s="310">
        <v>0</v>
      </c>
      <c r="BL45" s="310">
        <v>0</v>
      </c>
      <c r="BM45" s="207" t="s">
        <v>144</v>
      </c>
      <c r="BN45" s="79">
        <v>0</v>
      </c>
      <c r="BO45" s="81">
        <v>0.4</v>
      </c>
      <c r="BP45" s="207"/>
      <c r="BQ45" s="78" t="str">
        <f>IFERROR(WWWW[[#This Row],['#_Water sources treated]]/WWWW[[#This Row],['#_Water sources tested for contamination]],"no test")</f>
        <v>no test</v>
      </c>
      <c r="BR45" s="81" t="str">
        <f>IFERROR(WWWW[[#This Row],['#_Household received remediation action due to contamination]]/WWWW[[#This Row],['#_Household water samples tested for contamination]],"no test")</f>
        <v>no test</v>
      </c>
      <c r="BS45" s="80" t="str">
        <f>IF(AND(WWWW[[#This Row],[% of water sources treated]]="no test",WWWW[[#This Row],[% Household received corrective actions]]="no test"),"No Test","Tested")</f>
        <v>No Test</v>
      </c>
      <c r="BT45" s="80">
        <f>WWWW[[#This Row],['#_Constructed/existing protected hand dug well]]-WWWW[[#This Row],['#_Non-functional protected hand dug well]]</f>
        <v>1</v>
      </c>
      <c r="BU45" s="80">
        <f>(WWWW[[#This Row],['#_Constructed/Existing tube wells/boreholes/handpumps_WASH_agency]]+WWWW[[#This Row],['#_Non-Cluster partner water tube-wells/boreholes/handpumps]])-WWWW[[#This Row],['#_Non-functional tube wells/boreholes/handpumps]]</f>
        <v>0</v>
      </c>
      <c r="BV45" s="80">
        <f>WWWW[[#This Row],['#_Constructed/Existingwater storage tank with gravity fed reticulation system]]-WWWW[[#This Row],['#_Non-functional storage tank gravity fed reticulation system]]</f>
        <v>2</v>
      </c>
      <c r="BW45" s="80">
        <f>WWWW[[#This Row],['#_Water boating or water trucking]]</f>
        <v>0</v>
      </c>
      <c r="BX45" s="80">
        <f>WWWW[[#This Row],['#_Constructed/Existing water distribution system from river or natural spring]]</f>
        <v>1</v>
      </c>
      <c r="BY4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5" s="81">
        <f>IF(WWWW[[#This Row],[Location Type 1]]="Village",WWWW[[#This Row],[Access to safe drinking water for Village]],WWWW[[#This Row],[Access to safe drinking water for Camp]])</f>
        <v>1</v>
      </c>
      <c r="CB45" s="79">
        <f>WWWW[[#This Row],[%Equitable and continuous access to sufficient quantity of safe drinking water]]*WWWW[[#This Row],[Total PoP ]]</f>
        <v>38</v>
      </c>
      <c r="CC45" s="81">
        <f>IF((WWWW[[#This Row],['#_Constructed/Existing protected/fenced ponds]]*250)/WWWW[[#This Row],[Total PoP ]]&gt;1,1,(WWWW[[#This Row],['#_Constructed/Existing protected/fenced ponds]]*250)/WWWW[[#This Row],[Total PoP ]])</f>
        <v>1</v>
      </c>
      <c r="CD45" s="79">
        <f>WWWW[[#This Row],[% Access to unimproved water points]]*WWWW[[#This Row],[Total PoP ]]</f>
        <v>38</v>
      </c>
      <c r="CE4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G45" s="79">
        <f>WWWW[[#This Row],[HRP1]]/500</f>
        <v>7.5999999999999998E-2</v>
      </c>
      <c r="CH45" s="78">
        <f>1-WWWW[[#This Row],[% Equitable and continuous access to sufficient quantity of domestic water]]</f>
        <v>0</v>
      </c>
      <c r="CI45" s="79">
        <f>WWWW[[#This Row],[%equitable and continuous access to sufficient quantity of safe drinking and domestic water''s GAP]]*WWWW[[#This Row],[Total PoP ]]</f>
        <v>0</v>
      </c>
      <c r="CJ45" s="80">
        <f>IF(WWWW[[#This Row],[Total required water points]]-WWWW[[#This Row],['#Water points coverage]]&lt;0,0,WWWW[[#This Row],[Total required water points]]-WWWW[[#This Row],['#Water points coverage]])</f>
        <v>0.92400000000000004</v>
      </c>
      <c r="CK45" s="80">
        <f>ROUND(IF(WWWW[[#This Row],[Total PoP ]]&lt;500,1,WWWW[[#This Row],[Total PoP ]]/500),0)</f>
        <v>1</v>
      </c>
      <c r="CL45" s="80">
        <f>(WWWW[[#This Row],['#_Constructed latrines_by_WASHAgencies]]+WWWW[[#This Row],['#_Non Cluster partner latrines]])-WWWW[[#This Row],['#_Non-functional latrines]]</f>
        <v>2</v>
      </c>
      <c r="CM4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38</v>
      </c>
      <c r="CO4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 s="80">
        <f>IF(WWWW[[#This Row],[Location Type 1]]="Village","NA",IF(WWWW[[#This Row],['#_Constructed/Existing latrines in TLS]]*50&gt;WWWW[[#This Row],['#_students at TLS_CFS]],WWWW[[#This Row],['#_students at TLS_CFS]],(WWWW[[#This Row],['#_Constructed/Existing latrines in TLS]]*50)))</f>
        <v>0</v>
      </c>
      <c r="CQ45" s="80">
        <f>ROUND(IF(WWWW[[#This Row],[Location Type 1]]="camp",WWWW[[#This Row],[Total PoP ]]/20,IF(WWWW[[#This Row],[Location Type 1]]="Temporary Location",WWWW[[#This Row],[Total PoP ]]/50,(WWWW[[#This Row],[Total PoP ]]/6))),0)</f>
        <v>2</v>
      </c>
      <c r="CR45" s="79">
        <f>IF(WWWW[[#This Row],[Total required Latrines]]-(WWWW[[#This Row],['#_Constructed latrines_by_WASHAgencies]]+WWWW[[#This Row],['#_Non Cluster partner latrines]])&lt;0,0,WWWW[[#This Row],[Total required Latrines]]-(WWWW[[#This Row],['#_Constructed latrines_by_WASHAgencies]]+WWWW[[#This Row],['#_Non Cluster partner latrines]]))</f>
        <v>0</v>
      </c>
      <c r="CS45" s="78">
        <f>1-WWWW[[#This Row],[% people access to functioning Latrine]]</f>
        <v>0</v>
      </c>
      <c r="CT45" s="82">
        <f>IF(OR(WWWW[[#This Row],['#_Non-functional latrines]]="",WWWW[[#This Row],['#_Non-functional latrines]]=0),0,WWWW[[#This Row],['#_Non-functional latrines]]/(WWWW[[#This Row],['#_Constructed latrines_by_WASHAgencies]]+WWWW[[#This Row],['#_Non Cluster partner latrines]]))</f>
        <v>0</v>
      </c>
      <c r="CU45" s="79">
        <f>IF(500*(WWWW[[#This Row],['#_male hygiene promoters]]+WWWW[[#This Row],['#_female hygiene promoters]])&gt;WWWW[[#This Row],[Total PoP ]],WWWW[[#This Row],[Total PoP ]],500*(WWWW[[#This Row],['#_male hygiene promoters]]+WWWW[[#This Row],['#_female hygiene promoters]]))</f>
        <v>38</v>
      </c>
      <c r="CV4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 s="80">
        <f>IF(WWWW[[#This Row],['# People with access to soap]]&gt;WWWW[[#This Row],['# People with access to Sanity Pads]],WWWW[[#This Row],['# People with access to soap]],WWWW[[#This Row],['# People with access to Sanity Pads]])</f>
        <v>0</v>
      </c>
      <c r="CY45" s="80">
        <f>IF(WWWW[[#This Row],['# people reached by regular dedicated hygiene promotion_5]]&gt;WWWW[[#This Row],['# People received regular supply of hygiene items_6]],WWWW[[#This Row],['# people reached by regular dedicated hygiene promotion_5]],WWWW[[#This Row],['# People received regular supply of hygiene items_6]])</f>
        <v>38</v>
      </c>
      <c r="CZ45" s="78">
        <f>IF(WWWW[[#This Row],[HRP3]]/WWWW[[#This Row],[Total PoP ]]&gt;100%,100%,WWWW[[#This Row],[HRP3]]/WWWW[[#This Row],[Total PoP ]])</f>
        <v>1</v>
      </c>
      <c r="DA45" s="82">
        <f>1-WWWW[[#This Row],[Hygiene Coverage%]]</f>
        <v>0</v>
      </c>
      <c r="DB45" s="81">
        <f>WWWW[[#This Row],['# people reached by regular dedicated hygiene promotion_5]]/WWWW[[#This Row],[Total PoP ]]</f>
        <v>1</v>
      </c>
      <c r="DC45" s="81">
        <f>IF(WWWW[[#This Row],['#_households that received standard amount of soap for this quarter]]/WWWW[[#This Row],[Total HH]]&gt;1,1,WWWW[[#This Row],['#_households that received standard amount of soap for this quarter]]/WWWW[[#This Row],[Total HH]])</f>
        <v>0</v>
      </c>
      <c r="DD45" s="81">
        <f>IF(WWWW[[#This Row],['#_households that received standard amount of sanitary pads for this quarter]]/WWWW[[#This Row],[Total HH]]&gt;1,1,WWWW[[#This Row],['#_households that received standard amount of sanitary pads for this quarter]]/WWWW[[#This Row],[Total HH]])</f>
        <v>0</v>
      </c>
      <c r="DE45" s="80">
        <f>WWWW[[#This Row],['#_Constructed/Existing hand washing stations]]-WWWW[[#This Row],['#_Non-Functional_hand_washing_stations]]</f>
        <v>1</v>
      </c>
      <c r="DF45" s="757">
        <f>IF(WWWW[[#This Row],['# Functional hand washing stations during reporting period]]*20&gt;WWWW[[#This Row],[Total HH]],WWWW[[#This Row],[Total HH]],WWWW[[#This Row],['# Functional hand washing stations during reporting period]]*20)</f>
        <v>10</v>
      </c>
      <c r="DG45" s="79">
        <f>IF(WWWW[[#This Row],[Is sufficient soap available for TLS? (Yes/No)]]="yes",WWWW[[#This Row],['#_Constructed/Existing hand washing stations at TLS]],0)</f>
        <v>0</v>
      </c>
      <c r="DH45" s="578">
        <f>IF(WWWW[[#This Row],['# Functional hand washing stations during reporting period]]*100&gt;WWWW[[#This Row],[Total PoP ]],WWWW[[#This Row],[Total PoP ]],WWWW[[#This Row],['# Functional hand washing stations during reporting period]]*100)</f>
        <v>38</v>
      </c>
      <c r="DI45" s="578" t="str">
        <f>IF(OR(WWWW[[#This Row],['#_students at TLS_CFS]]="",WWWW[[#This Row],['#_students at TLS_CFS]]=0),"No","Yes")</f>
        <v>No</v>
      </c>
      <c r="DJ45" s="231" t="str">
        <f>VLOOKUP(WWWW[[#This Row],[Site Name]],SiteDB6[[Site Name]:[CCCM Management]],6,FALSE)</f>
        <v>Yes</v>
      </c>
      <c r="DK45" s="231" t="str">
        <f>VLOOKUP(WWWW[[#This Row],[Site Name]],SiteDB6[[Site Name]:[CCCM Focal Agency]],7,FALSE)</f>
        <v>uncovered</v>
      </c>
      <c r="DL45" s="231" t="str">
        <f>VLOOKUP(WWWW[[#This Row],[Site Name]],SiteDB6[[Site Name]:[Location Type 1]],9,FALSE)</f>
        <v>Camp</v>
      </c>
      <c r="DM45" s="231" t="str">
        <f>VLOOKUP(WWWW[[#This Row],[Site Name]],SiteDB6[[Site Name]:[Type of Accommodation]],10,FALSE)</f>
        <v>Camp like setting</v>
      </c>
      <c r="DN45" s="231" t="str">
        <f>VLOOKUP(WWWW[[#This Row],[Site Name]],SiteDB6[[Site Name]:[Ethnic or GCA/NGCA]],11,FALSE)</f>
        <v>GCA</v>
      </c>
      <c r="DO45" s="231">
        <f>VLOOKUP(WWWW[[#This Row],[Site Name]],SiteDB6[[Site Name]:[Lat]],12,FALSE)</f>
        <v>25.56551</v>
      </c>
      <c r="DP45" s="231">
        <f>VLOOKUP(WWWW[[#This Row],[Site Name]],SiteDB6[[Site Name]:[Long]],13,FALSE)</f>
        <v>96.279200000000003</v>
      </c>
      <c r="DQ45" s="231" t="str">
        <f>VLOOKUP(WWWW[[#This Row],[Site Name]],SiteDB6[[Site Name]:[Pcode]],3,FALSE)</f>
        <v>MMR001CMP182</v>
      </c>
      <c r="DR45" s="207" t="str">
        <f t="shared" si="1"/>
        <v>Covered</v>
      </c>
      <c r="DS45" s="207"/>
      <c r="DT45" s="20"/>
      <c r="DU45" s="20"/>
      <c r="DV45" s="20"/>
      <c r="DW45" s="20"/>
      <c r="DX45" s="20"/>
      <c r="DY45" s="20"/>
      <c r="DZ45" s="20"/>
      <c r="EA45" s="20"/>
      <c r="EB45" s="20"/>
      <c r="EC45" s="20"/>
      <c r="ED45" s="20"/>
      <c r="EE45" s="20"/>
      <c r="EF45" s="20"/>
      <c r="EG45" s="20"/>
      <c r="EH45" s="20"/>
    </row>
    <row r="46" spans="1:138" ht="15.75" customHeight="1">
      <c r="A46" s="238" t="s">
        <v>2518</v>
      </c>
      <c r="B46" s="238" t="s">
        <v>149</v>
      </c>
      <c r="C46" s="574" t="s">
        <v>149</v>
      </c>
      <c r="D46" s="574" t="s">
        <v>152</v>
      </c>
      <c r="E46" s="574" t="s">
        <v>39</v>
      </c>
      <c r="F46" s="574" t="s">
        <v>154</v>
      </c>
      <c r="G46" s="574" t="str">
        <f>VLOOKUP(WWWW[[#This Row],[Site Name]],SiteDB6[[Site Name]:[Location Type]],8,FALSE)</f>
        <v>Camp</v>
      </c>
      <c r="H46" s="574" t="s">
        <v>155</v>
      </c>
      <c r="I46" s="583">
        <v>169</v>
      </c>
      <c r="J46" s="583">
        <v>837</v>
      </c>
      <c r="K46" s="553">
        <v>43556</v>
      </c>
      <c r="L46" s="77">
        <v>43677</v>
      </c>
      <c r="M46" s="583"/>
      <c r="N46" s="583"/>
      <c r="O46" s="583"/>
      <c r="P46" s="583"/>
      <c r="Q46" s="76" t="s">
        <v>43</v>
      </c>
      <c r="R46" s="310"/>
      <c r="S46" s="310"/>
      <c r="T46" s="583">
        <v>0</v>
      </c>
      <c r="U46" s="310"/>
      <c r="V46" s="310"/>
      <c r="W46" s="583">
        <v>0</v>
      </c>
      <c r="X46" s="310"/>
      <c r="Y46" s="310"/>
      <c r="Z46" s="310"/>
      <c r="AA46" s="310">
        <v>1</v>
      </c>
      <c r="AB46" s="310"/>
      <c r="AC46" s="310"/>
      <c r="AD46" s="310"/>
      <c r="AE46" s="310"/>
      <c r="AF46" s="310"/>
      <c r="AG46" s="310"/>
      <c r="AH46" s="583">
        <v>0</v>
      </c>
      <c r="AI46" s="310"/>
      <c r="AJ46" s="310"/>
      <c r="AK46" s="310"/>
      <c r="AL46" s="310"/>
      <c r="AM46" s="310"/>
      <c r="AN46" s="310"/>
      <c r="AO46" s="207"/>
      <c r="AP46" s="583">
        <v>32</v>
      </c>
      <c r="AQ46" s="310"/>
      <c r="AR46" s="76"/>
      <c r="AS46" s="310"/>
      <c r="AT46" s="310"/>
      <c r="AU46" s="310"/>
      <c r="AV46" s="310"/>
      <c r="AW46" s="583">
        <v>32</v>
      </c>
      <c r="AX46" s="231" t="s">
        <v>43</v>
      </c>
      <c r="AY46" s="231" t="s">
        <v>145</v>
      </c>
      <c r="AZ46" s="310"/>
      <c r="BA46" s="310"/>
      <c r="BB46" s="310">
        <v>5</v>
      </c>
      <c r="BC46" s="207"/>
      <c r="BD46" s="310"/>
      <c r="BE46" s="310"/>
      <c r="BF46" s="310"/>
      <c r="BG46" s="310">
        <v>4</v>
      </c>
      <c r="BH46" s="310"/>
      <c r="BI46" s="310"/>
      <c r="BJ46" s="310">
        <v>3</v>
      </c>
      <c r="BK46" s="310"/>
      <c r="BL46" s="310"/>
      <c r="BM46" s="207"/>
      <c r="BN46" s="79"/>
      <c r="BO46" s="81"/>
      <c r="BP46" s="207"/>
      <c r="BQ46" s="78" t="str">
        <f>IFERROR(WWWW[[#This Row],['#_Water sources treated]]/WWWW[[#This Row],['#_Water sources tested for contamination]],"no test")</f>
        <v>no test</v>
      </c>
      <c r="BR46" s="81" t="str">
        <f>IFERROR(WWWW[[#This Row],['#_Household received remediation action due to contamination]]/WWWW[[#This Row],['#_Household water samples tested for contamination]],"no test")</f>
        <v>no test</v>
      </c>
      <c r="BS46" s="80" t="str">
        <f>IF(AND(WWWW[[#This Row],[% of water sources treated]]="no test",WWWW[[#This Row],[% Household received corrective actions]]="no test"),"No Test","Tested")</f>
        <v>No Test</v>
      </c>
      <c r="BT46" s="80">
        <f>WWWW[[#This Row],['#_Constructed/existing protected hand dug well]]-WWWW[[#This Row],['#_Non-functional protected hand dug well]]</f>
        <v>0</v>
      </c>
      <c r="BU46" s="80">
        <f>(WWWW[[#This Row],['#_Constructed/Existing tube wells/boreholes/handpumps_WASH_agency]]+WWWW[[#This Row],['#_Non-Cluster partner water tube-wells/boreholes/handpumps]])-WWWW[[#This Row],['#_Non-functional tube wells/boreholes/handpumps]]</f>
        <v>0</v>
      </c>
      <c r="BV46" s="80">
        <f>WWWW[[#This Row],['#_Constructed/Existingwater storage tank with gravity fed reticulation system]]-WWWW[[#This Row],['#_Non-functional storage tank gravity fed reticulation system]]</f>
        <v>1</v>
      </c>
      <c r="BW46" s="80">
        <f>WWWW[[#This Row],['#_Water boating or water trucking]]</f>
        <v>0</v>
      </c>
      <c r="BX46" s="80">
        <f>WWWW[[#This Row],['#_Constructed/Existing water distribution system from river or natural spring]]</f>
        <v>0</v>
      </c>
      <c r="BY4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7.9649542015133412E-2</v>
      </c>
      <c r="BZ4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7.9649542015133412E-2</v>
      </c>
      <c r="CA46" s="81">
        <f>IF(WWWW[[#This Row],[Location Type 1]]="Village",WWWW[[#This Row],[Access to safe drinking water for Village]],WWWW[[#This Row],[Access to safe drinking water for Camp]])</f>
        <v>7.9649542015133412E-2</v>
      </c>
      <c r="CB46" s="79">
        <f>WWWW[[#This Row],[%Equitable and continuous access to sufficient quantity of safe drinking water]]*WWWW[[#This Row],[Total PoP ]]</f>
        <v>66.666666666666671</v>
      </c>
      <c r="CC46" s="81">
        <f>IF((WWWW[[#This Row],['#_Constructed/Existing protected/fenced ponds]]*250)/WWWW[[#This Row],[Total PoP ]]&gt;1,1,(WWWW[[#This Row],['#_Constructed/Existing protected/fenced ponds]]*250)/WWWW[[#This Row],[Total PoP ]])</f>
        <v>0</v>
      </c>
      <c r="CD46" s="79">
        <f>WWWW[[#This Row],[% Access to unimproved water points]]*WWWW[[#This Row],[Total PoP ]]</f>
        <v>0</v>
      </c>
      <c r="CE4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F4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46" s="79">
        <f>WWWW[[#This Row],[HRP1]]/500</f>
        <v>0.13333333333333333</v>
      </c>
      <c r="CH46" s="78">
        <f>1-WWWW[[#This Row],[% Equitable and continuous access to sufficient quantity of domestic water]]</f>
        <v>0.92035045798486659</v>
      </c>
      <c r="CI46" s="79">
        <f>WWWW[[#This Row],[%equitable and continuous access to sufficient quantity of safe drinking and domestic water''s GAP]]*WWWW[[#This Row],[Total PoP ]]</f>
        <v>770.33333333333337</v>
      </c>
      <c r="CJ46" s="80">
        <f>IF(WWWW[[#This Row],[Total required water points]]-WWWW[[#This Row],['#Water points coverage]]&lt;0,0,WWWW[[#This Row],[Total required water points]]-WWWW[[#This Row],['#Water points coverage]])</f>
        <v>1.8666666666666667</v>
      </c>
      <c r="CK46" s="80">
        <f>ROUND(IF(WWWW[[#This Row],[Total PoP ]]&lt;500,1,WWWW[[#This Row],[Total PoP ]]/500),0)</f>
        <v>2</v>
      </c>
      <c r="CL46" s="80">
        <f>(WWWW[[#This Row],['#_Constructed latrines_by_WASHAgencies]]+WWWW[[#This Row],['#_Non Cluster partner latrines]])-WWWW[[#This Row],['#_Non-functional latrines]]</f>
        <v>32</v>
      </c>
      <c r="CM4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0.7646356033452808</v>
      </c>
      <c r="CN4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640</v>
      </c>
      <c r="CO4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 s="80">
        <f>IF(WWWW[[#This Row],[Location Type 1]]="Village","NA",IF(WWWW[[#This Row],['#_Constructed/Existing latrines in TLS]]*50&gt;WWWW[[#This Row],['#_students at TLS_CFS]],WWWW[[#This Row],['#_students at TLS_CFS]],(WWWW[[#This Row],['#_Constructed/Existing latrines in TLS]]*50)))</f>
        <v>0</v>
      </c>
      <c r="CQ46" s="80">
        <f>ROUND(IF(WWWW[[#This Row],[Location Type 1]]="camp",WWWW[[#This Row],[Total PoP ]]/20,IF(WWWW[[#This Row],[Location Type 1]]="Temporary Location",WWWW[[#This Row],[Total PoP ]]/50,(WWWW[[#This Row],[Total PoP ]]/6))),0)</f>
        <v>42</v>
      </c>
      <c r="CR46" s="79">
        <f>IF(WWWW[[#This Row],[Total required Latrines]]-(WWWW[[#This Row],['#_Constructed latrines_by_WASHAgencies]]+WWWW[[#This Row],['#_Non Cluster partner latrines]])&lt;0,0,WWWW[[#This Row],[Total required Latrines]]-(WWWW[[#This Row],['#_Constructed latrines_by_WASHAgencies]]+WWWW[[#This Row],['#_Non Cluster partner latrines]]))</f>
        <v>10</v>
      </c>
      <c r="CS46" s="78">
        <f>1-WWWW[[#This Row],[% people access to functioning Latrine]]</f>
        <v>0.2353643966547192</v>
      </c>
      <c r="CT46" s="82">
        <f>IF(OR(WWWW[[#This Row],['#_Non-functional latrines]]="",WWWW[[#This Row],['#_Non-functional latrines]]=0),0,WWWW[[#This Row],['#_Non-functional latrines]]/(WWWW[[#This Row],['#_Constructed latrines_by_WASHAgencies]]+WWWW[[#This Row],['#_Non Cluster partner latrines]]))</f>
        <v>0</v>
      </c>
      <c r="CU46" s="79">
        <f>IF(500*(WWWW[[#This Row],['#_male hygiene promoters]]+WWWW[[#This Row],['#_female hygiene promoters]])&gt;WWWW[[#This Row],[Total PoP ]],WWWW[[#This Row],[Total PoP ]],500*(WWWW[[#This Row],['#_male hygiene promoters]]+WWWW[[#This Row],['#_female hygiene promoters]]))</f>
        <v>837</v>
      </c>
      <c r="CV4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 s="80">
        <f>IF(WWWW[[#This Row],['# People with access to soap]]&gt;WWWW[[#This Row],['# People with access to Sanity Pads]],WWWW[[#This Row],['# People with access to soap]],WWWW[[#This Row],['# People with access to Sanity Pads]])</f>
        <v>0</v>
      </c>
      <c r="CY46" s="80">
        <f>IF(WWWW[[#This Row],['# people reached by regular dedicated hygiene promotion_5]]&gt;WWWW[[#This Row],['# People received regular supply of hygiene items_6]],WWWW[[#This Row],['# people reached by regular dedicated hygiene promotion_5]],WWWW[[#This Row],['# People received regular supply of hygiene items_6]])</f>
        <v>837</v>
      </c>
      <c r="CZ46" s="78">
        <f>IF(WWWW[[#This Row],[HRP3]]/WWWW[[#This Row],[Total PoP ]]&gt;100%,100%,WWWW[[#This Row],[HRP3]]/WWWW[[#This Row],[Total PoP ]])</f>
        <v>1</v>
      </c>
      <c r="DA46" s="82">
        <f>1-WWWW[[#This Row],[Hygiene Coverage%]]</f>
        <v>0</v>
      </c>
      <c r="DB46" s="81">
        <f>WWWW[[#This Row],['# people reached by regular dedicated hygiene promotion_5]]/WWWW[[#This Row],[Total PoP ]]</f>
        <v>1</v>
      </c>
      <c r="DC46" s="81">
        <f>IF(WWWW[[#This Row],['#_households that received standard amount of soap for this quarter]]/WWWW[[#This Row],[Total HH]]&gt;1,1,WWWW[[#This Row],['#_households that received standard amount of soap for this quarter]]/WWWW[[#This Row],[Total HH]])</f>
        <v>0</v>
      </c>
      <c r="DD46" s="81">
        <f>IF(WWWW[[#This Row],['#_households that received standard amount of sanitary pads for this quarter]]/WWWW[[#This Row],[Total HH]]&gt;1,1,WWWW[[#This Row],['#_households that received standard amount of sanitary pads for this quarter]]/WWWW[[#This Row],[Total HH]])</f>
        <v>0</v>
      </c>
      <c r="DE46" s="80">
        <f>WWWW[[#This Row],['#_Constructed/Existing hand washing stations]]-WWWW[[#This Row],['#_Non-Functional_hand_washing_stations]]</f>
        <v>0</v>
      </c>
      <c r="DF46" s="757">
        <f>IF(WWWW[[#This Row],['# Functional hand washing stations during reporting period]]*20&gt;WWWW[[#This Row],[Total HH]],WWWW[[#This Row],[Total HH]],WWWW[[#This Row],['# Functional hand washing stations during reporting period]]*20)</f>
        <v>0</v>
      </c>
      <c r="DG46" s="79">
        <f>IF(WWWW[[#This Row],[Is sufficient soap available for TLS? (Yes/No)]]="yes",WWWW[[#This Row],['#_Constructed/Existing hand washing stations at TLS]],0)</f>
        <v>0</v>
      </c>
      <c r="DH46" s="578">
        <f>IF(WWWW[[#This Row],['# Functional hand washing stations during reporting period]]*100&gt;WWWW[[#This Row],[Total PoP ]],WWWW[[#This Row],[Total PoP ]],WWWW[[#This Row],['# Functional hand washing stations during reporting period]]*100)</f>
        <v>0</v>
      </c>
      <c r="DI46" s="578" t="str">
        <f>IF(OR(WWWW[[#This Row],['#_students at TLS_CFS]]="",WWWW[[#This Row],['#_students at TLS_CFS]]=0),"No","Yes")</f>
        <v>No</v>
      </c>
      <c r="DJ46" s="231" t="str">
        <f>VLOOKUP(WWWW[[#This Row],[Site Name]],SiteDB6[[Site Name]:[CCCM Management]],6,FALSE)</f>
        <v>Yes</v>
      </c>
      <c r="DK46" s="231" t="str">
        <f>VLOOKUP(WWWW[[#This Row],[Site Name]],SiteDB6[[Site Name]:[CCCM Focal Agency]],7,FALSE)</f>
        <v>KBC</v>
      </c>
      <c r="DL46" s="231" t="str">
        <f>VLOOKUP(WWWW[[#This Row],[Site Name]],SiteDB6[[Site Name]:[Location Type 1]],9,FALSE)</f>
        <v>Camp</v>
      </c>
      <c r="DM46" s="231" t="str">
        <f>VLOOKUP(WWWW[[#This Row],[Site Name]],SiteDB6[[Site Name]:[Type of Accommodation]],10,FALSE)</f>
        <v>Camp</v>
      </c>
      <c r="DN46" s="231" t="str">
        <f>VLOOKUP(WWWW[[#This Row],[Site Name]],SiteDB6[[Site Name]:[Ethnic or GCA/NGCA]],11,FALSE)</f>
        <v>NGCA</v>
      </c>
      <c r="DO46" s="231">
        <f>VLOOKUP(WWWW[[#This Row],[Site Name]],SiteDB6[[Site Name]:[Lat]],12,FALSE)</f>
        <v>25.754110000000001</v>
      </c>
      <c r="DP46" s="231">
        <f>VLOOKUP(WWWW[[#This Row],[Site Name]],SiteDB6[[Site Name]:[Long]],13,FALSE)</f>
        <v>98.475719999999995</v>
      </c>
      <c r="DQ46" s="231" t="str">
        <f>VLOOKUP(WWWW[[#This Row],[Site Name]],SiteDB6[[Site Name]:[Pcode]],3,FALSE)</f>
        <v>MMR001CMP043</v>
      </c>
      <c r="DR46" s="207" t="str">
        <f t="shared" ref="DR46:DR75" si="2">IF(C46="none","Notcovered","Covered")</f>
        <v>Covered</v>
      </c>
      <c r="DS46" s="207"/>
      <c r="DT46" s="20"/>
      <c r="DU46" s="20"/>
      <c r="DV46" s="20"/>
      <c r="DW46" s="20"/>
      <c r="DX46" s="20"/>
      <c r="DY46" s="20"/>
      <c r="DZ46" s="20"/>
      <c r="EA46" s="20"/>
      <c r="EB46" s="20"/>
      <c r="EC46" s="20"/>
      <c r="ED46" s="20"/>
      <c r="EE46" s="20"/>
      <c r="EF46" s="20"/>
      <c r="EG46" s="20"/>
      <c r="EH46" s="20"/>
    </row>
    <row r="47" spans="1:138" ht="15.75" customHeight="1">
      <c r="A47" s="238" t="s">
        <v>2518</v>
      </c>
      <c r="B47" s="574" t="s">
        <v>149</v>
      </c>
      <c r="C47" s="574" t="s">
        <v>149</v>
      </c>
      <c r="D47" s="574"/>
      <c r="E47" s="574" t="s">
        <v>39</v>
      </c>
      <c r="F47" s="574" t="s">
        <v>165</v>
      </c>
      <c r="G47" s="574" t="str">
        <f>VLOOKUP(WWWW[[#This Row],[Site Name]],SiteDB6[[Site Name]:[Location Type]],8,FALSE)</f>
        <v>Camp_not registered</v>
      </c>
      <c r="H47" s="574" t="s">
        <v>2094</v>
      </c>
      <c r="I47" s="583">
        <v>39</v>
      </c>
      <c r="J47" s="583">
        <v>121</v>
      </c>
      <c r="K47" s="553"/>
      <c r="L47" s="77"/>
      <c r="M47" s="583"/>
      <c r="N47" s="583"/>
      <c r="O47" s="583"/>
      <c r="P47" s="583"/>
      <c r="Q47" s="76"/>
      <c r="R47" s="310"/>
      <c r="S47" s="310"/>
      <c r="T47" s="583">
        <v>0</v>
      </c>
      <c r="U47" s="310"/>
      <c r="V47" s="310"/>
      <c r="W47" s="583">
        <v>0</v>
      </c>
      <c r="X47" s="310"/>
      <c r="Y47" s="310"/>
      <c r="Z47" s="310"/>
      <c r="AA47" s="310"/>
      <c r="AB47" s="310"/>
      <c r="AC47" s="310"/>
      <c r="AD47" s="310"/>
      <c r="AE47" s="310"/>
      <c r="AF47" s="310"/>
      <c r="AG47" s="310"/>
      <c r="AH47" s="583">
        <v>0</v>
      </c>
      <c r="AI47" s="310"/>
      <c r="AJ47" s="310"/>
      <c r="AK47" s="310"/>
      <c r="AL47" s="310"/>
      <c r="AM47" s="310"/>
      <c r="AN47" s="310"/>
      <c r="AO47" s="207"/>
      <c r="AP47" s="583">
        <v>0</v>
      </c>
      <c r="AQ47" s="310"/>
      <c r="AR47" s="76"/>
      <c r="AS47" s="310"/>
      <c r="AT47" s="310"/>
      <c r="AU47" s="310"/>
      <c r="AV47" s="310"/>
      <c r="AW47" s="583">
        <v>0</v>
      </c>
      <c r="AX47" s="581" t="s">
        <v>144</v>
      </c>
      <c r="AY47" s="581" t="s">
        <v>148</v>
      </c>
      <c r="AZ47" s="310"/>
      <c r="BA47" s="310"/>
      <c r="BB47" s="310"/>
      <c r="BC47" s="207"/>
      <c r="BD47" s="310"/>
      <c r="BE47" s="310"/>
      <c r="BF47" s="310"/>
      <c r="BG47" s="310"/>
      <c r="BH47" s="310"/>
      <c r="BI47" s="310"/>
      <c r="BJ47" s="310"/>
      <c r="BK47" s="310"/>
      <c r="BL47" s="310"/>
      <c r="BM47" s="207"/>
      <c r="BN47" s="79"/>
      <c r="BO47" s="81"/>
      <c r="BP47" s="207"/>
      <c r="BQ47" s="78" t="str">
        <f>IFERROR(WWWW[[#This Row],['#_Water sources treated]]/WWWW[[#This Row],['#_Water sources tested for contamination]],"no test")</f>
        <v>no test</v>
      </c>
      <c r="BR47" s="81" t="str">
        <f>IFERROR(WWWW[[#This Row],['#_Household received remediation action due to contamination]]/WWWW[[#This Row],['#_Household water samples tested for contamination]],"no test")</f>
        <v>no test</v>
      </c>
      <c r="BS47" s="80" t="str">
        <f>IF(AND(WWWW[[#This Row],[% of water sources treated]]="no test",WWWW[[#This Row],[% Household received corrective actions]]="no test"),"No Test","Tested")</f>
        <v>No Test</v>
      </c>
      <c r="BT47" s="80">
        <f>WWWW[[#This Row],['#_Constructed/existing protected hand dug well]]-WWWW[[#This Row],['#_Non-functional protected hand dug well]]</f>
        <v>0</v>
      </c>
      <c r="BU47" s="80">
        <f>(WWWW[[#This Row],['#_Constructed/Existing tube wells/boreholes/handpumps_WASH_agency]]+WWWW[[#This Row],['#_Non-Cluster partner water tube-wells/boreholes/handpumps]])-WWWW[[#This Row],['#_Non-functional tube wells/boreholes/handpumps]]</f>
        <v>0</v>
      </c>
      <c r="BV47" s="80">
        <f>WWWW[[#This Row],['#_Constructed/Existingwater storage tank with gravity fed reticulation system]]-WWWW[[#This Row],['#_Non-functional storage tank gravity fed reticulation system]]</f>
        <v>0</v>
      </c>
      <c r="BW47" s="80">
        <f>WWWW[[#This Row],['#_Water boating or water trucking]]</f>
        <v>0</v>
      </c>
      <c r="BX47" s="80">
        <f>WWWW[[#This Row],['#_Constructed/Existing water distribution system from river or natural spring]]</f>
        <v>0</v>
      </c>
      <c r="BY4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 s="81">
        <f>IF(WWWW[[#This Row],[Location Type 1]]="Village",WWWW[[#This Row],[Access to safe drinking water for Village]],WWWW[[#This Row],[Access to safe drinking water for Camp]])</f>
        <v>0</v>
      </c>
      <c r="CB47" s="79">
        <f>WWWW[[#This Row],[%Equitable and continuous access to sufficient quantity of safe drinking water]]*WWWW[[#This Row],[Total PoP ]]</f>
        <v>0</v>
      </c>
      <c r="CC47" s="81">
        <f>IF((WWWW[[#This Row],['#_Constructed/Existing protected/fenced ponds]]*250)/WWWW[[#This Row],[Total PoP ]]&gt;1,1,(WWWW[[#This Row],['#_Constructed/Existing protected/fenced ponds]]*250)/WWWW[[#This Row],[Total PoP ]])</f>
        <v>0</v>
      </c>
      <c r="CD47" s="79">
        <f>WWWW[[#This Row],[% Access to unimproved water points]]*WWWW[[#This Row],[Total PoP ]]</f>
        <v>0</v>
      </c>
      <c r="CE4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 s="79">
        <f>WWWW[[#This Row],[HRP1]]/500</f>
        <v>0</v>
      </c>
      <c r="CH47" s="78">
        <f>1-WWWW[[#This Row],[% Equitable and continuous access to sufficient quantity of domestic water]]</f>
        <v>1</v>
      </c>
      <c r="CI47" s="79">
        <f>WWWW[[#This Row],[%equitable and continuous access to sufficient quantity of safe drinking and domestic water''s GAP]]*WWWW[[#This Row],[Total PoP ]]</f>
        <v>121</v>
      </c>
      <c r="CJ47" s="80">
        <f>IF(WWWW[[#This Row],[Total required water points]]-WWWW[[#This Row],['#Water points coverage]]&lt;0,0,WWWW[[#This Row],[Total required water points]]-WWWW[[#This Row],['#Water points coverage]])</f>
        <v>1</v>
      </c>
      <c r="CK47" s="80">
        <f>ROUND(IF(WWWW[[#This Row],[Total PoP ]]&lt;500,1,WWWW[[#This Row],[Total PoP ]]/500),0)</f>
        <v>1</v>
      </c>
      <c r="CL47" s="80">
        <f>(WWWW[[#This Row],['#_Constructed latrines_by_WASHAgencies]]+WWWW[[#This Row],['#_Non Cluster partner latrines]])-WWWW[[#This Row],['#_Non-functional latrines]]</f>
        <v>0</v>
      </c>
      <c r="CM4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 s="80">
        <f>IF(WWWW[[#This Row],[Location Type 1]]="Village","NA",IF(WWWW[[#This Row],['#_Constructed/Existing latrines in TLS]]*50&gt;WWWW[[#This Row],['#_students at TLS_CFS]],WWWW[[#This Row],['#_students at TLS_CFS]],(WWWW[[#This Row],['#_Constructed/Existing latrines in TLS]]*50)))</f>
        <v>0</v>
      </c>
      <c r="CQ47" s="80">
        <f>ROUND(IF(WWWW[[#This Row],[Location Type 1]]="camp",WWWW[[#This Row],[Total PoP ]]/20,IF(WWWW[[#This Row],[Location Type 1]]="Temporary Location",WWWW[[#This Row],[Total PoP ]]/50,(WWWW[[#This Row],[Total PoP ]]/6))),0)</f>
        <v>6</v>
      </c>
      <c r="CR47" s="79">
        <f>IF(WWWW[[#This Row],[Total required Latrines]]-(WWWW[[#This Row],['#_Constructed latrines_by_WASHAgencies]]+WWWW[[#This Row],['#_Non Cluster partner latrines]])&lt;0,0,WWWW[[#This Row],[Total required Latrines]]-(WWWW[[#This Row],['#_Constructed latrines_by_WASHAgencies]]+WWWW[[#This Row],['#_Non Cluster partner latrines]]))</f>
        <v>6</v>
      </c>
      <c r="CS47" s="78">
        <f>1-WWWW[[#This Row],[% people access to functioning Latrine]]</f>
        <v>1</v>
      </c>
      <c r="CT47" s="82">
        <f>IF(OR(WWWW[[#This Row],['#_Non-functional latrines]]="",WWWW[[#This Row],['#_Non-functional latrines]]=0),0,WWWW[[#This Row],['#_Non-functional latrines]]/(WWWW[[#This Row],['#_Constructed latrines_by_WASHAgencies]]+WWWW[[#This Row],['#_Non Cluster partner latrines]]))</f>
        <v>0</v>
      </c>
      <c r="CU47" s="79">
        <f>IF(500*(WWWW[[#This Row],['#_male hygiene promoters]]+WWWW[[#This Row],['#_female hygiene promoters]])&gt;WWWW[[#This Row],[Total PoP ]],WWWW[[#This Row],[Total PoP ]],500*(WWWW[[#This Row],['#_male hygiene promoters]]+WWWW[[#This Row],['#_female hygiene promoters]]))</f>
        <v>0</v>
      </c>
      <c r="CV4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 s="80">
        <f>IF(WWWW[[#This Row],['# People with access to soap]]&gt;WWWW[[#This Row],['# People with access to Sanity Pads]],WWWW[[#This Row],['# People with access to soap]],WWWW[[#This Row],['# People with access to Sanity Pads]])</f>
        <v>0</v>
      </c>
      <c r="CY47"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 s="78">
        <f>IF(WWWW[[#This Row],[HRP3]]/WWWW[[#This Row],[Total PoP ]]&gt;100%,100%,WWWW[[#This Row],[HRP3]]/WWWW[[#This Row],[Total PoP ]])</f>
        <v>0</v>
      </c>
      <c r="DA47" s="82">
        <f>1-WWWW[[#This Row],[Hygiene Coverage%]]</f>
        <v>1</v>
      </c>
      <c r="DB47" s="81">
        <f>WWWW[[#This Row],['# people reached by regular dedicated hygiene promotion_5]]/WWWW[[#This Row],[Total PoP ]]</f>
        <v>0</v>
      </c>
      <c r="DC47" s="81">
        <f>IF(WWWW[[#This Row],['#_households that received standard amount of soap for this quarter]]/WWWW[[#This Row],[Total HH]]&gt;1,1,WWWW[[#This Row],['#_households that received standard amount of soap for this quarter]]/WWWW[[#This Row],[Total HH]])</f>
        <v>0</v>
      </c>
      <c r="DD47" s="81">
        <f>IF(WWWW[[#This Row],['#_households that received standard amount of sanitary pads for this quarter]]/WWWW[[#This Row],[Total HH]]&gt;1,1,WWWW[[#This Row],['#_households that received standard amount of sanitary pads for this quarter]]/WWWW[[#This Row],[Total HH]])</f>
        <v>0</v>
      </c>
      <c r="DE47" s="80">
        <f>WWWW[[#This Row],['#_Constructed/Existing hand washing stations]]-WWWW[[#This Row],['#_Non-Functional_hand_washing_stations]]</f>
        <v>0</v>
      </c>
      <c r="DF47" s="757">
        <f>IF(WWWW[[#This Row],['# Functional hand washing stations during reporting period]]*20&gt;WWWW[[#This Row],[Total HH]],WWWW[[#This Row],[Total HH]],WWWW[[#This Row],['# Functional hand washing stations during reporting period]]*20)</f>
        <v>0</v>
      </c>
      <c r="DG47" s="79">
        <f>IF(WWWW[[#This Row],[Is sufficient soap available for TLS? (Yes/No)]]="yes",WWWW[[#This Row],['#_Constructed/Existing hand washing stations at TLS]],0)</f>
        <v>0</v>
      </c>
      <c r="DH47" s="578">
        <f>IF(WWWW[[#This Row],['# Functional hand washing stations during reporting period]]*100&gt;WWWW[[#This Row],[Total PoP ]],WWWW[[#This Row],[Total PoP ]],WWWW[[#This Row],['# Functional hand washing stations during reporting period]]*100)</f>
        <v>0</v>
      </c>
      <c r="DI47" s="578" t="str">
        <f>IF(OR(WWWW[[#This Row],['#_students at TLS_CFS]]="",WWWW[[#This Row],['#_students at TLS_CFS]]=0),"No","Yes")</f>
        <v>No</v>
      </c>
      <c r="DJ47" s="231">
        <f>VLOOKUP(WWWW[[#This Row],[Site Name]],SiteDB6[[Site Name]:[CCCM Management]],6,FALSE)</f>
        <v>0</v>
      </c>
      <c r="DK47" s="231">
        <f>VLOOKUP(WWWW[[#This Row],[Site Name]],SiteDB6[[Site Name]:[CCCM Focal Agency]],7,FALSE)</f>
        <v>0</v>
      </c>
      <c r="DL47" s="231" t="str">
        <f>VLOOKUP(WWWW[[#This Row],[Site Name]],SiteDB6[[Site Name]:[Location Type 1]],9,FALSE)</f>
        <v>Camp</v>
      </c>
      <c r="DM47" s="231" t="str">
        <f>VLOOKUP(WWWW[[#This Row],[Site Name]],SiteDB6[[Site Name]:[Type of Accommodation]],10,FALSE)</f>
        <v>Camp like setting</v>
      </c>
      <c r="DN47" s="231" t="str">
        <f>VLOOKUP(WWWW[[#This Row],[Site Name]],SiteDB6[[Site Name]:[Ethnic or GCA/NGCA]],11,FALSE)</f>
        <v>NGCA</v>
      </c>
      <c r="DO47" s="231">
        <f>VLOOKUP(WWWW[[#This Row],[Site Name]],SiteDB6[[Site Name]:[Lat]],12,FALSE)</f>
        <v>0</v>
      </c>
      <c r="DP47" s="231">
        <f>VLOOKUP(WWWW[[#This Row],[Site Name]],SiteDB6[[Site Name]:[Long]],13,FALSE)</f>
        <v>0</v>
      </c>
      <c r="DQ47" s="231">
        <f>VLOOKUP(WWWW[[#This Row],[Site Name]],SiteDB6[[Site Name]:[Pcode]],3,FALSE)</f>
        <v>0</v>
      </c>
      <c r="DR47" s="207" t="str">
        <f t="shared" si="2"/>
        <v>Covered</v>
      </c>
      <c r="DS47" s="207"/>
      <c r="DT47" s="20"/>
      <c r="DU47" s="20"/>
      <c r="DV47" s="20"/>
      <c r="DW47" s="20"/>
      <c r="DX47" s="20"/>
      <c r="DY47" s="20"/>
      <c r="DZ47" s="20"/>
      <c r="EA47" s="20"/>
      <c r="EB47" s="20"/>
      <c r="EC47" s="20"/>
      <c r="ED47" s="20"/>
      <c r="EE47" s="20"/>
      <c r="EF47" s="20"/>
      <c r="EG47" s="20"/>
      <c r="EH47" s="20"/>
    </row>
    <row r="48" spans="1:138" ht="15.75" customHeight="1">
      <c r="A48" s="238" t="s">
        <v>2518</v>
      </c>
      <c r="B48" s="574" t="s">
        <v>38</v>
      </c>
      <c r="C48" s="574" t="s">
        <v>38</v>
      </c>
      <c r="D48" s="574" t="s">
        <v>328</v>
      </c>
      <c r="E48" s="574" t="s">
        <v>39</v>
      </c>
      <c r="F48" s="574" t="s">
        <v>160</v>
      </c>
      <c r="G48" s="574" t="str">
        <f>VLOOKUP(WWWW[[#This Row],[Site Name]],SiteDB6[[Site Name]:[Location Type]],8,FALSE)</f>
        <v>Camp</v>
      </c>
      <c r="H48" s="574" t="s">
        <v>2014</v>
      </c>
      <c r="I48" s="583">
        <v>79</v>
      </c>
      <c r="J48" s="583">
        <v>396</v>
      </c>
      <c r="K48" s="553">
        <v>43374</v>
      </c>
      <c r="L48" s="77">
        <v>43830</v>
      </c>
      <c r="M48" s="583"/>
      <c r="N48" s="583"/>
      <c r="O48" s="583"/>
      <c r="P48" s="583"/>
      <c r="Q48" s="574"/>
      <c r="R48" s="583"/>
      <c r="S48" s="583"/>
      <c r="T48" s="583"/>
      <c r="U48" s="583"/>
      <c r="V48" s="583"/>
      <c r="W48" s="583"/>
      <c r="X48" s="583">
        <v>1</v>
      </c>
      <c r="Y48" s="583"/>
      <c r="Z48" s="583"/>
      <c r="AA48" s="583"/>
      <c r="AB48" s="583"/>
      <c r="AC48" s="583"/>
      <c r="AD48" s="583"/>
      <c r="AE48" s="583"/>
      <c r="AF48" s="583"/>
      <c r="AG48" s="583"/>
      <c r="AH48" s="583"/>
      <c r="AI48" s="583"/>
      <c r="AJ48" s="583"/>
      <c r="AK48" s="583"/>
      <c r="AL48" s="583"/>
      <c r="AM48" s="583"/>
      <c r="AN48" s="583"/>
      <c r="AO48" s="578"/>
      <c r="AP48" s="601">
        <v>6</v>
      </c>
      <c r="AQ48" s="603"/>
      <c r="AR48" s="603"/>
      <c r="AS48" s="601">
        <v>4</v>
      </c>
      <c r="AT48" s="603"/>
      <c r="AU48" s="578"/>
      <c r="AV48" s="578"/>
      <c r="AW48" s="80"/>
      <c r="AX48" s="80" t="s">
        <v>43</v>
      </c>
      <c r="AY48" s="80" t="s">
        <v>1200</v>
      </c>
      <c r="AZ48" s="80"/>
      <c r="BA48" s="80"/>
      <c r="BB48" s="578"/>
      <c r="BC48" s="578"/>
      <c r="BD48" s="578"/>
      <c r="BE48" s="578"/>
      <c r="BF48" s="578"/>
      <c r="BG48" s="601">
        <v>2</v>
      </c>
      <c r="BH48" s="578"/>
      <c r="BI48" s="601"/>
      <c r="BJ48" s="601">
        <v>1</v>
      </c>
      <c r="BK48" s="601">
        <v>79</v>
      </c>
      <c r="BL48" s="601">
        <v>94</v>
      </c>
      <c r="BM48" s="578"/>
      <c r="BN48" s="578"/>
      <c r="BO48" s="81"/>
      <c r="BP48" s="578"/>
      <c r="BQ48" s="78" t="str">
        <f>IFERROR(WWWW[[#This Row],['#_Water sources treated]]/WWWW[[#This Row],['#_Water sources tested for contamination]],"no test")</f>
        <v>no test</v>
      </c>
      <c r="BR48" s="81" t="str">
        <f>IFERROR(WWWW[[#This Row],['#_Household received remediation action due to contamination]]/WWWW[[#This Row],['#_Household water samples tested for contamination]],"no test")</f>
        <v>no test</v>
      </c>
      <c r="BS48" s="80" t="str">
        <f>IF(AND(WWWW[[#This Row],[% of water sources treated]]="no test",WWWW[[#This Row],[% Household received corrective actions]]="no test"),"No Test","Tested")</f>
        <v>No Test</v>
      </c>
      <c r="BT48" s="80">
        <f>WWWW[[#This Row],['#_Constructed/existing protected hand dug well]]-WWWW[[#This Row],['#_Non-functional protected hand dug well]]</f>
        <v>0</v>
      </c>
      <c r="BU48" s="80">
        <f>(WWWW[[#This Row],['#_Constructed/Existing tube wells/boreholes/handpumps_WASH_agency]]+WWWW[[#This Row],['#_Non-Cluster partner water tube-wells/boreholes/handpumps]])-WWWW[[#This Row],['#_Non-functional tube wells/boreholes/handpumps]]</f>
        <v>1</v>
      </c>
      <c r="BV48" s="80">
        <f>WWWW[[#This Row],['#_Constructed/Existingwater storage tank with gravity fed reticulation system]]-WWWW[[#This Row],['#_Non-functional storage tank gravity fed reticulation system]]</f>
        <v>0</v>
      </c>
      <c r="BW48" s="80">
        <f>WWWW[[#This Row],['#_Water boating or water trucking]]</f>
        <v>0</v>
      </c>
      <c r="BX48" s="80">
        <f>WWWW[[#This Row],['#_Constructed/Existing water distribution system from river or natural spring]]</f>
        <v>0</v>
      </c>
      <c r="BY4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0.63131313131313127</v>
      </c>
      <c r="CA48" s="81">
        <f>IF(WWWW[[#This Row],[Location Type 1]]="Village",WWWW[[#This Row],[Access to safe drinking water for Village]],WWWW[[#This Row],[Access to safe drinking water for Camp]])</f>
        <v>1</v>
      </c>
      <c r="CB48" s="79">
        <f>WWWW[[#This Row],[%Equitable and continuous access to sufficient quantity of safe drinking water]]*WWWW[[#This Row],[Total PoP ]]</f>
        <v>396</v>
      </c>
      <c r="CC48" s="81">
        <f>IF((WWWW[[#This Row],['#_Constructed/Existing protected/fenced ponds]]*250)/WWWW[[#This Row],[Total PoP ]]&gt;1,1,(WWWW[[#This Row],['#_Constructed/Existing protected/fenced ponds]]*250)/WWWW[[#This Row],[Total PoP ]])</f>
        <v>0</v>
      </c>
      <c r="CD48" s="79">
        <f>WWWW[[#This Row],[% Access to unimproved water points]]*WWWW[[#This Row],[Total PoP ]]</f>
        <v>0</v>
      </c>
      <c r="CE4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G48" s="79">
        <f>WWWW[[#This Row],[HRP1]]/500</f>
        <v>0.79200000000000004</v>
      </c>
      <c r="CH48" s="78">
        <f>1-WWWW[[#This Row],[% Equitable and continuous access to sufficient quantity of domestic water]]</f>
        <v>0</v>
      </c>
      <c r="CI48" s="79">
        <f>WWWW[[#This Row],[%equitable and continuous access to sufficient quantity of safe drinking and domestic water''s GAP]]*WWWW[[#This Row],[Total PoP ]]</f>
        <v>0</v>
      </c>
      <c r="CJ48" s="80">
        <f>IF(WWWW[[#This Row],[Total required water points]]-WWWW[[#This Row],['#Water points coverage]]&lt;0,0,WWWW[[#This Row],[Total required water points]]-WWWW[[#This Row],['#Water points coverage]])</f>
        <v>0.20799999999999996</v>
      </c>
      <c r="CK48" s="80">
        <f>ROUND(IF(WWWW[[#This Row],[Total PoP ]]&lt;500,1,WWWW[[#This Row],[Total PoP ]]/500),0)</f>
        <v>1</v>
      </c>
      <c r="CL48" s="80">
        <f>(WWWW[[#This Row],['#_Constructed latrines_by_WASHAgencies]]+WWWW[[#This Row],['#_Non Cluster partner latrines]])-WWWW[[#This Row],['#_Non-functional latrines]]</f>
        <v>2</v>
      </c>
      <c r="CM4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0.10101010101010101</v>
      </c>
      <c r="CN4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4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 s="80">
        <f>IF(WWWW[[#This Row],[Location Type 1]]="Village","NA",IF(WWWW[[#This Row],['#_Constructed/Existing latrines in TLS]]*50&gt;WWWW[[#This Row],['#_students at TLS_CFS]],WWWW[[#This Row],['#_students at TLS_CFS]],(WWWW[[#This Row],['#_Constructed/Existing latrines in TLS]]*50)))</f>
        <v>0</v>
      </c>
      <c r="CQ48" s="80">
        <f>ROUND(IF(WWWW[[#This Row],[Location Type 1]]="camp",WWWW[[#This Row],[Total PoP ]]/20,IF(WWWW[[#This Row],[Location Type 1]]="Temporary Location",WWWW[[#This Row],[Total PoP ]]/50,(WWWW[[#This Row],[Total PoP ]]/6))),0)</f>
        <v>20</v>
      </c>
      <c r="CR48" s="79">
        <f>IF(WWWW[[#This Row],[Total required Latrines]]-(WWWW[[#This Row],['#_Constructed latrines_by_WASHAgencies]]+WWWW[[#This Row],['#_Non Cluster partner latrines]])&lt;0,0,WWWW[[#This Row],[Total required Latrines]]-(WWWW[[#This Row],['#_Constructed latrines_by_WASHAgencies]]+WWWW[[#This Row],['#_Non Cluster partner latrines]]))</f>
        <v>14</v>
      </c>
      <c r="CS48" s="78">
        <f>1-WWWW[[#This Row],[% people access to functioning Latrine]]</f>
        <v>0.89898989898989901</v>
      </c>
      <c r="CT48" s="82">
        <f>IF(OR(WWWW[[#This Row],['#_Non-functional latrines]]="",WWWW[[#This Row],['#_Non-functional latrines]]=0),0,WWWW[[#This Row],['#_Non-functional latrines]]/(WWWW[[#This Row],['#_Constructed latrines_by_WASHAgencies]]+WWWW[[#This Row],['#_Non Cluster partner latrines]]))</f>
        <v>0.66666666666666663</v>
      </c>
      <c r="CU48" s="79">
        <f>IF(500*(WWWW[[#This Row],['#_male hygiene promoters]]+WWWW[[#This Row],['#_female hygiene promoters]])&gt;WWWW[[#This Row],[Total PoP ]],WWWW[[#This Row],[Total PoP ]],500*(WWWW[[#This Row],['#_male hygiene promoters]]+WWWW[[#This Row],['#_female hygiene promoters]]))</f>
        <v>396</v>
      </c>
      <c r="CV4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396</v>
      </c>
      <c r="CW4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396</v>
      </c>
      <c r="CX48" s="80">
        <f>IF(WWWW[[#This Row],['# People with access to soap]]&gt;WWWW[[#This Row],['# People with access to Sanity Pads]],WWWW[[#This Row],['# People with access to soap]],WWWW[[#This Row],['# People with access to Sanity Pads]])</f>
        <v>396</v>
      </c>
      <c r="CY48" s="80">
        <f>IF(WWWW[[#This Row],['# people reached by regular dedicated hygiene promotion_5]]&gt;WWWW[[#This Row],['# People received regular supply of hygiene items_6]],WWWW[[#This Row],['# people reached by regular dedicated hygiene promotion_5]],WWWW[[#This Row],['# People received regular supply of hygiene items_6]])</f>
        <v>396</v>
      </c>
      <c r="CZ48" s="78">
        <f>IF(WWWW[[#This Row],[HRP3]]/WWWW[[#This Row],[Total PoP ]]&gt;100%,100%,WWWW[[#This Row],[HRP3]]/WWWW[[#This Row],[Total PoP ]])</f>
        <v>1</v>
      </c>
      <c r="DA48" s="82">
        <f>1-WWWW[[#This Row],[Hygiene Coverage%]]</f>
        <v>0</v>
      </c>
      <c r="DB48" s="81">
        <f>WWWW[[#This Row],['# people reached by regular dedicated hygiene promotion_5]]/WWWW[[#This Row],[Total PoP ]]</f>
        <v>1</v>
      </c>
      <c r="DC48" s="81">
        <f>IF(WWWW[[#This Row],['#_households that received standard amount of soap for this quarter]]/WWWW[[#This Row],[Total HH]]&gt;1,1,WWWW[[#This Row],['#_households that received standard amount of soap for this quarter]]/WWWW[[#This Row],[Total HH]])</f>
        <v>1</v>
      </c>
      <c r="DD48" s="81">
        <f>IF(WWWW[[#This Row],['#_households that received standard amount of sanitary pads for this quarter]]/WWWW[[#This Row],[Total HH]]&gt;1,1,WWWW[[#This Row],['#_households that received standard amount of sanitary pads for this quarter]]/WWWW[[#This Row],[Total HH]])</f>
        <v>1</v>
      </c>
      <c r="DE48" s="80">
        <f>WWWW[[#This Row],['#_Constructed/Existing hand washing stations]]-WWWW[[#This Row],['#_Non-Functional_hand_washing_stations]]</f>
        <v>0</v>
      </c>
      <c r="DF48" s="757">
        <f>IF(WWWW[[#This Row],['# Functional hand washing stations during reporting period]]*20&gt;WWWW[[#This Row],[Total HH]],WWWW[[#This Row],[Total HH]],WWWW[[#This Row],['# Functional hand washing stations during reporting period]]*20)</f>
        <v>0</v>
      </c>
      <c r="DG48" s="79">
        <f>IF(WWWW[[#This Row],[Is sufficient soap available for TLS? (Yes/No)]]="yes",WWWW[[#This Row],['#_Constructed/Existing hand washing stations at TLS]],0)</f>
        <v>0</v>
      </c>
      <c r="DH48" s="578">
        <f>IF(WWWW[[#This Row],['# Functional hand washing stations during reporting period]]*100&gt;WWWW[[#This Row],[Total PoP ]],WWWW[[#This Row],[Total PoP ]],WWWW[[#This Row],['# Functional hand washing stations during reporting period]]*100)</f>
        <v>0</v>
      </c>
      <c r="DI48" s="578" t="str">
        <f>IF(OR(WWWW[[#This Row],['#_students at TLS_CFS]]="",WWWW[[#This Row],['#_students at TLS_CFS]]=0),"No","Yes")</f>
        <v>No</v>
      </c>
      <c r="DJ48" s="231">
        <f>VLOOKUP(WWWW[[#This Row],[Site Name]],SiteDB6[[Site Name]:[CCCM Management]],6,FALSE)</f>
        <v>0</v>
      </c>
      <c r="DK48" s="231" t="str">
        <f>VLOOKUP(WWWW[[#This Row],[Site Name]],SiteDB6[[Site Name]:[CCCM Focal Agency]],7,FALSE)</f>
        <v>KMSS-MYT</v>
      </c>
      <c r="DL48" s="231" t="str">
        <f>VLOOKUP(WWWW[[#This Row],[Site Name]],SiteDB6[[Site Name]:[Location Type 1]],9,FALSE)</f>
        <v>Camp</v>
      </c>
      <c r="DM48" s="231" t="str">
        <f>VLOOKUP(WWWW[[#This Row],[Site Name]],SiteDB6[[Site Name]:[Type of Accommodation]],10,FALSE)</f>
        <v>Camp</v>
      </c>
      <c r="DN48" s="231" t="str">
        <f>VLOOKUP(WWWW[[#This Row],[Site Name]],SiteDB6[[Site Name]:[Ethnic or GCA/NGCA]],11,FALSE)</f>
        <v>GCA</v>
      </c>
      <c r="DO48" s="231">
        <f>VLOOKUP(WWWW[[#This Row],[Site Name]],SiteDB6[[Site Name]:[Lat]],12,FALSE)</f>
        <v>97.013800000000003</v>
      </c>
      <c r="DP48" s="231">
        <f>VLOOKUP(WWWW[[#This Row],[Site Name]],SiteDB6[[Site Name]:[Long]],13,FALSE)</f>
        <v>25.383465999999999</v>
      </c>
      <c r="DQ48" s="231" t="str">
        <f>VLOOKUP(WWWW[[#This Row],[Site Name]],SiteDB6[[Site Name]:[Pcode]],3,FALSE)</f>
        <v>MMR001CMP260</v>
      </c>
      <c r="DR48" s="207" t="str">
        <f t="shared" si="2"/>
        <v>Covered</v>
      </c>
      <c r="DS48" s="207"/>
      <c r="DT48" s="20"/>
      <c r="DU48" s="20"/>
      <c r="DV48" s="20"/>
      <c r="DW48" s="20"/>
      <c r="DX48" s="20"/>
      <c r="DY48" s="20"/>
      <c r="DZ48" s="20"/>
      <c r="EA48" s="20"/>
      <c r="EB48" s="20"/>
      <c r="EC48" s="20"/>
      <c r="ED48" s="20"/>
      <c r="EE48" s="20"/>
      <c r="EF48" s="20"/>
      <c r="EG48" s="20"/>
      <c r="EH48" s="20"/>
    </row>
    <row r="49" spans="1:138" ht="15.75" customHeight="1">
      <c r="A49" s="238" t="s">
        <v>2518</v>
      </c>
      <c r="B49" s="574" t="s">
        <v>250</v>
      </c>
      <c r="C49" s="574" t="s">
        <v>250</v>
      </c>
      <c r="D49" s="574" t="s">
        <v>315</v>
      </c>
      <c r="E49" s="574" t="s">
        <v>39</v>
      </c>
      <c r="F49" s="574" t="s">
        <v>156</v>
      </c>
      <c r="G49" s="574" t="str">
        <f>VLOOKUP(WWWW[[#This Row],[Site Name]],SiteDB6[[Site Name]:[Location Type]],8,FALSE)</f>
        <v>Camp</v>
      </c>
      <c r="H49" s="574" t="s">
        <v>269</v>
      </c>
      <c r="I49" s="583">
        <v>32</v>
      </c>
      <c r="J49" s="583">
        <v>172</v>
      </c>
      <c r="K49" s="553">
        <v>43313</v>
      </c>
      <c r="L49" s="77">
        <v>44043</v>
      </c>
      <c r="M49" s="583">
        <v>0</v>
      </c>
      <c r="N49" s="583">
        <v>1</v>
      </c>
      <c r="O49" s="583">
        <v>0</v>
      </c>
      <c r="P49" s="583">
        <v>0</v>
      </c>
      <c r="Q49" s="574" t="s">
        <v>43</v>
      </c>
      <c r="R49" s="310">
        <v>4</v>
      </c>
      <c r="S49" s="310">
        <v>1</v>
      </c>
      <c r="T49" s="310">
        <v>0</v>
      </c>
      <c r="U49" s="310">
        <v>0</v>
      </c>
      <c r="V49" s="310">
        <v>0</v>
      </c>
      <c r="W49" s="310">
        <v>0</v>
      </c>
      <c r="X49" s="310">
        <v>0</v>
      </c>
      <c r="Y49" s="310">
        <v>0</v>
      </c>
      <c r="Z49" s="310">
        <v>0</v>
      </c>
      <c r="AA49" s="310">
        <v>1</v>
      </c>
      <c r="AB49" s="310">
        <v>0</v>
      </c>
      <c r="AC49" s="310">
        <v>1</v>
      </c>
      <c r="AD49" s="310">
        <v>0</v>
      </c>
      <c r="AE49" s="310">
        <v>1</v>
      </c>
      <c r="AF49" s="310">
        <v>1</v>
      </c>
      <c r="AG49" s="310">
        <v>0</v>
      </c>
      <c r="AH49" s="310">
        <v>1</v>
      </c>
      <c r="AI49" s="310"/>
      <c r="AJ49" s="310"/>
      <c r="AK49" s="310"/>
      <c r="AL49" s="310"/>
      <c r="AM49" s="310">
        <v>0</v>
      </c>
      <c r="AN49" s="310">
        <v>0</v>
      </c>
      <c r="AO49" s="207"/>
      <c r="AP49" s="310">
        <v>10</v>
      </c>
      <c r="AQ49" s="310">
        <v>1</v>
      </c>
      <c r="AR49" s="76" t="s">
        <v>250</v>
      </c>
      <c r="AS49" s="310">
        <v>0</v>
      </c>
      <c r="AT49" s="310">
        <v>4</v>
      </c>
      <c r="AU49" s="310">
        <v>0</v>
      </c>
      <c r="AV49" s="310"/>
      <c r="AW49" s="583">
        <v>0</v>
      </c>
      <c r="AX49" s="581" t="s">
        <v>43</v>
      </c>
      <c r="AY49" s="231" t="s">
        <v>144</v>
      </c>
      <c r="AZ49" s="310">
        <v>0</v>
      </c>
      <c r="BA49" s="310">
        <v>0</v>
      </c>
      <c r="BB49" s="310">
        <v>0</v>
      </c>
      <c r="BC49" s="207"/>
      <c r="BD49" s="310">
        <v>2</v>
      </c>
      <c r="BE49" s="310">
        <v>0</v>
      </c>
      <c r="BF49" s="310">
        <v>2</v>
      </c>
      <c r="BG49" s="310">
        <v>0</v>
      </c>
      <c r="BH49" s="310">
        <v>1</v>
      </c>
      <c r="BI49" s="310">
        <v>1</v>
      </c>
      <c r="BJ49" s="310">
        <v>0</v>
      </c>
      <c r="BK49" s="310">
        <v>0</v>
      </c>
      <c r="BL49" s="310">
        <v>0</v>
      </c>
      <c r="BM49" s="207" t="s">
        <v>144</v>
      </c>
      <c r="BN49" s="79">
        <v>0</v>
      </c>
      <c r="BO49" s="81">
        <v>0.05</v>
      </c>
      <c r="BP49" s="207"/>
      <c r="BQ49" s="78" t="str">
        <f>IFERROR(WWWW[[#This Row],['#_Water sources treated]]/WWWW[[#This Row],['#_Water sources tested for contamination]],"no test")</f>
        <v>no test</v>
      </c>
      <c r="BR49" s="81" t="str">
        <f>IFERROR(WWWW[[#This Row],['#_Household received remediation action due to contamination]]/WWWW[[#This Row],['#_Household water samples tested for contamination]],"no test")</f>
        <v>no test</v>
      </c>
      <c r="BS49" s="80" t="str">
        <f>IF(AND(WWWW[[#This Row],[% of water sources treated]]="no test",WWWW[[#This Row],[% Household received corrective actions]]="no test"),"No Test","Tested")</f>
        <v>No Test</v>
      </c>
      <c r="BT49" s="80">
        <f>WWWW[[#This Row],['#_Constructed/existing protected hand dug well]]-WWWW[[#This Row],['#_Non-functional protected hand dug well]]</f>
        <v>0</v>
      </c>
      <c r="BU49" s="80">
        <f>(WWWW[[#This Row],['#_Constructed/Existing tube wells/boreholes/handpumps_WASH_agency]]+WWWW[[#This Row],['#_Non-Cluster partner water tube-wells/boreholes/handpumps]])-WWWW[[#This Row],['#_Non-functional tube wells/boreholes/handpumps]]</f>
        <v>0</v>
      </c>
      <c r="BV49" s="80">
        <f>WWWW[[#This Row],['#_Constructed/Existingwater storage tank with gravity fed reticulation system]]-WWWW[[#This Row],['#_Non-functional storage tank gravity fed reticulation system]]</f>
        <v>1</v>
      </c>
      <c r="BW49" s="80">
        <f>WWWW[[#This Row],['#_Water boating or water trucking]]</f>
        <v>0</v>
      </c>
      <c r="BX49" s="80">
        <f>WWWW[[#This Row],['#_Constructed/Existing water distribution system from river or natural spring]]</f>
        <v>1</v>
      </c>
      <c r="BY4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0.38798449612403102</v>
      </c>
      <c r="BZ4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0.38798449612403102</v>
      </c>
      <c r="CA49" s="81">
        <f>IF(WWWW[[#This Row],[Location Type 1]]="Village",WWWW[[#This Row],[Access to safe drinking water for Village]],WWWW[[#This Row],[Access to safe drinking water for Camp]])</f>
        <v>0.38798449612403102</v>
      </c>
      <c r="CB49" s="79">
        <f>WWWW[[#This Row],[%Equitable and continuous access to sufficient quantity of safe drinking water]]*WWWW[[#This Row],[Total PoP ]]</f>
        <v>66.733333333333334</v>
      </c>
      <c r="CC49" s="81">
        <f>IF((WWWW[[#This Row],['#_Constructed/Existing protected/fenced ponds]]*250)/WWWW[[#This Row],[Total PoP ]]&gt;1,1,(WWWW[[#This Row],['#_Constructed/Existing protected/fenced ponds]]*250)/WWWW[[#This Row],[Total PoP ]])</f>
        <v>1</v>
      </c>
      <c r="CD49" s="79">
        <f>WWWW[[#This Row],[% Access to unimproved water points]]*WWWW[[#This Row],[Total PoP ]]</f>
        <v>172</v>
      </c>
      <c r="CE4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G49" s="79">
        <f>WWWW[[#This Row],[HRP1]]/500</f>
        <v>0.34399999999999997</v>
      </c>
      <c r="CH49" s="78">
        <f>1-WWWW[[#This Row],[% Equitable and continuous access to sufficient quantity of domestic water]]</f>
        <v>0</v>
      </c>
      <c r="CI49" s="79">
        <f>WWWW[[#This Row],[%equitable and continuous access to sufficient quantity of safe drinking and domestic water''s GAP]]*WWWW[[#This Row],[Total PoP ]]</f>
        <v>0</v>
      </c>
      <c r="CJ49" s="80">
        <f>IF(WWWW[[#This Row],[Total required water points]]-WWWW[[#This Row],['#Water points coverage]]&lt;0,0,WWWW[[#This Row],[Total required water points]]-WWWW[[#This Row],['#Water points coverage]])</f>
        <v>0.65600000000000003</v>
      </c>
      <c r="CK49" s="80">
        <f>ROUND(IF(WWWW[[#This Row],[Total PoP ]]&lt;500,1,WWWW[[#This Row],[Total PoP ]]/500),0)</f>
        <v>1</v>
      </c>
      <c r="CL49" s="80">
        <f>(WWWW[[#This Row],['#_Constructed latrines_by_WASHAgencies]]+WWWW[[#This Row],['#_Non Cluster partner latrines]])-WWWW[[#This Row],['#_Non-functional latrines]]</f>
        <v>11</v>
      </c>
      <c r="CM4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v>
      </c>
      <c r="CO4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9" s="80">
        <f>IF(WWWW[[#This Row],[Location Type 1]]="Village","NA",IF(WWWW[[#This Row],['#_Constructed/Existing latrines in TLS]]*50&gt;WWWW[[#This Row],['#_students at TLS_CFS]],WWWW[[#This Row],['#_students at TLS_CFS]],(WWWW[[#This Row],['#_Constructed/Existing latrines in TLS]]*50)))</f>
        <v>0</v>
      </c>
      <c r="CQ49" s="80">
        <f>ROUND(IF(WWWW[[#This Row],[Location Type 1]]="camp",WWWW[[#This Row],[Total PoP ]]/20,IF(WWWW[[#This Row],[Location Type 1]]="Temporary Location",WWWW[[#This Row],[Total PoP ]]/50,(WWWW[[#This Row],[Total PoP ]]/6))),0)</f>
        <v>9</v>
      </c>
      <c r="CR49" s="79">
        <f>IF(WWWW[[#This Row],[Total required Latrines]]-(WWWW[[#This Row],['#_Constructed latrines_by_WASHAgencies]]+WWWW[[#This Row],['#_Non Cluster partner latrines]])&lt;0,0,WWWW[[#This Row],[Total required Latrines]]-(WWWW[[#This Row],['#_Constructed latrines_by_WASHAgencies]]+WWWW[[#This Row],['#_Non Cluster partner latrines]]))</f>
        <v>0</v>
      </c>
      <c r="CS49" s="78">
        <f>1-WWWW[[#This Row],[% people access to functioning Latrine]]</f>
        <v>0</v>
      </c>
      <c r="CT49" s="82">
        <f>IF(OR(WWWW[[#This Row],['#_Non-functional latrines]]="",WWWW[[#This Row],['#_Non-functional latrines]]=0),0,WWWW[[#This Row],['#_Non-functional latrines]]/(WWWW[[#This Row],['#_Constructed latrines_by_WASHAgencies]]+WWWW[[#This Row],['#_Non Cluster partner latrines]]))</f>
        <v>0</v>
      </c>
      <c r="CU49" s="79">
        <f>IF(500*(WWWW[[#This Row],['#_male hygiene promoters]]+WWWW[[#This Row],['#_female hygiene promoters]])&gt;WWWW[[#This Row],[Total PoP ]],WWWW[[#This Row],[Total PoP ]],500*(WWWW[[#This Row],['#_male hygiene promoters]]+WWWW[[#This Row],['#_female hygiene promoters]]))</f>
        <v>172</v>
      </c>
      <c r="CV4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 s="80">
        <f>IF(WWWW[[#This Row],['# People with access to soap]]&gt;WWWW[[#This Row],['# People with access to Sanity Pads]],WWWW[[#This Row],['# People with access to soap]],WWWW[[#This Row],['# People with access to Sanity Pads]])</f>
        <v>0</v>
      </c>
      <c r="CY49" s="80">
        <f>IF(WWWW[[#This Row],['# people reached by regular dedicated hygiene promotion_5]]&gt;WWWW[[#This Row],['# People received regular supply of hygiene items_6]],WWWW[[#This Row],['# people reached by regular dedicated hygiene promotion_5]],WWWW[[#This Row],['# People received regular supply of hygiene items_6]])</f>
        <v>172</v>
      </c>
      <c r="CZ49" s="78">
        <f>IF(WWWW[[#This Row],[HRP3]]/WWWW[[#This Row],[Total PoP ]]&gt;100%,100%,WWWW[[#This Row],[HRP3]]/WWWW[[#This Row],[Total PoP ]])</f>
        <v>1</v>
      </c>
      <c r="DA49" s="82">
        <f>1-WWWW[[#This Row],[Hygiene Coverage%]]</f>
        <v>0</v>
      </c>
      <c r="DB49" s="81">
        <f>WWWW[[#This Row],['# people reached by regular dedicated hygiene promotion_5]]/WWWW[[#This Row],[Total PoP ]]</f>
        <v>1</v>
      </c>
      <c r="DC49" s="81">
        <f>IF(WWWW[[#This Row],['#_households that received standard amount of soap for this quarter]]/WWWW[[#This Row],[Total HH]]&gt;1,1,WWWW[[#This Row],['#_households that received standard amount of soap for this quarter]]/WWWW[[#This Row],[Total HH]])</f>
        <v>0</v>
      </c>
      <c r="DD49" s="81">
        <f>IF(WWWW[[#This Row],['#_households that received standard amount of sanitary pads for this quarter]]/WWWW[[#This Row],[Total HH]]&gt;1,1,WWWW[[#This Row],['#_households that received standard amount of sanitary pads for this quarter]]/WWWW[[#This Row],[Total HH]])</f>
        <v>0</v>
      </c>
      <c r="DE49" s="80">
        <f>WWWW[[#This Row],['#_Constructed/Existing hand washing stations]]-WWWW[[#This Row],['#_Non-Functional_hand_washing_stations]]</f>
        <v>2</v>
      </c>
      <c r="DF49" s="757">
        <f>IF(WWWW[[#This Row],['# Functional hand washing stations during reporting period]]*20&gt;WWWW[[#This Row],[Total HH]],WWWW[[#This Row],[Total HH]],WWWW[[#This Row],['# Functional hand washing stations during reporting period]]*20)</f>
        <v>32</v>
      </c>
      <c r="DG49" s="79">
        <f>IF(WWWW[[#This Row],[Is sufficient soap available for TLS? (Yes/No)]]="yes",WWWW[[#This Row],['#_Constructed/Existing hand washing stations at TLS]],0)</f>
        <v>0</v>
      </c>
      <c r="DH49" s="578">
        <f>IF(WWWW[[#This Row],['# Functional hand washing stations during reporting period]]*100&gt;WWWW[[#This Row],[Total PoP ]],WWWW[[#This Row],[Total PoP ]],WWWW[[#This Row],['# Functional hand washing stations during reporting period]]*100)</f>
        <v>172</v>
      </c>
      <c r="DI49" s="578" t="str">
        <f>IF(OR(WWWW[[#This Row],['#_students at TLS_CFS]]="",WWWW[[#This Row],['#_students at TLS_CFS]]=0),"No","Yes")</f>
        <v>No</v>
      </c>
      <c r="DJ49" s="231" t="str">
        <f>VLOOKUP(WWWW[[#This Row],[Site Name]],SiteDB6[[Site Name]:[CCCM Management]],6,FALSE)</f>
        <v>Yes</v>
      </c>
      <c r="DK49" s="231" t="str">
        <f>VLOOKUP(WWWW[[#This Row],[Site Name]],SiteDB6[[Site Name]:[CCCM Focal Agency]],7,FALSE)</f>
        <v>KBC</v>
      </c>
      <c r="DL49" s="231" t="str">
        <f>VLOOKUP(WWWW[[#This Row],[Site Name]],SiteDB6[[Site Name]:[Location Type 1]],9,FALSE)</f>
        <v>Camp</v>
      </c>
      <c r="DM49" s="231" t="str">
        <f>VLOOKUP(WWWW[[#This Row],[Site Name]],SiteDB6[[Site Name]:[Type of Accommodation]],10,FALSE)</f>
        <v>Camp</v>
      </c>
      <c r="DN49" s="231" t="str">
        <f>VLOOKUP(WWWW[[#This Row],[Site Name]],SiteDB6[[Site Name]:[Ethnic or GCA/NGCA]],11,FALSE)</f>
        <v>GCA</v>
      </c>
      <c r="DO49" s="231">
        <f>VLOOKUP(WWWW[[#This Row],[Site Name]],SiteDB6[[Site Name]:[Lat]],12,FALSE)</f>
        <v>25.577559999999998</v>
      </c>
      <c r="DP49" s="231">
        <f>VLOOKUP(WWWW[[#This Row],[Site Name]],SiteDB6[[Site Name]:[Long]],13,FALSE)</f>
        <v>96.286680000000004</v>
      </c>
      <c r="DQ49" s="231" t="str">
        <f>VLOOKUP(WWWW[[#This Row],[Site Name]],SiteDB6[[Site Name]:[Pcode]],3,FALSE)</f>
        <v>MMR001CMP184</v>
      </c>
      <c r="DR49" s="207" t="str">
        <f t="shared" si="2"/>
        <v>Covered</v>
      </c>
      <c r="DS49" s="207"/>
      <c r="DT49" s="20"/>
      <c r="DU49" s="20"/>
      <c r="DV49" s="20"/>
      <c r="DW49" s="20"/>
      <c r="DX49" s="20"/>
      <c r="DY49" s="20"/>
      <c r="DZ49" s="20"/>
      <c r="EA49" s="20"/>
      <c r="EB49" s="20"/>
      <c r="EC49" s="20"/>
      <c r="ED49" s="20"/>
      <c r="EE49" s="20"/>
      <c r="EF49" s="20"/>
      <c r="EG49" s="20"/>
      <c r="EH49" s="20"/>
    </row>
    <row r="50" spans="1:138" ht="15.75" customHeight="1">
      <c r="A50" s="238" t="s">
        <v>2518</v>
      </c>
      <c r="B50" s="574" t="s">
        <v>250</v>
      </c>
      <c r="C50" s="574" t="s">
        <v>250</v>
      </c>
      <c r="D50" s="574" t="s">
        <v>315</v>
      </c>
      <c r="E50" s="574" t="s">
        <v>39</v>
      </c>
      <c r="F50" s="574" t="s">
        <v>156</v>
      </c>
      <c r="G50" s="574" t="str">
        <f>VLOOKUP(WWWW[[#This Row],[Site Name]],SiteDB6[[Site Name]:[Location Type]],8,FALSE)</f>
        <v>Camp</v>
      </c>
      <c r="H50" s="574" t="s">
        <v>270</v>
      </c>
      <c r="I50" s="583">
        <v>15</v>
      </c>
      <c r="J50" s="583">
        <v>67</v>
      </c>
      <c r="K50" s="553">
        <v>43313</v>
      </c>
      <c r="L50" s="77">
        <v>44043</v>
      </c>
      <c r="M50" s="583">
        <v>0</v>
      </c>
      <c r="N50" s="583">
        <v>1</v>
      </c>
      <c r="O50" s="583">
        <v>0</v>
      </c>
      <c r="P50" s="583">
        <v>0</v>
      </c>
      <c r="Q50" s="574" t="s">
        <v>43</v>
      </c>
      <c r="R50" s="310">
        <v>2</v>
      </c>
      <c r="S50" s="310">
        <v>2</v>
      </c>
      <c r="T50" s="310">
        <v>0</v>
      </c>
      <c r="U50" s="310">
        <v>0</v>
      </c>
      <c r="V50" s="310">
        <v>0</v>
      </c>
      <c r="W50" s="310">
        <v>0</v>
      </c>
      <c r="X50" s="310">
        <v>0</v>
      </c>
      <c r="Y50" s="310">
        <v>0</v>
      </c>
      <c r="Z50" s="310">
        <v>0</v>
      </c>
      <c r="AA50" s="310">
        <v>0</v>
      </c>
      <c r="AB50" s="310">
        <v>0</v>
      </c>
      <c r="AC50" s="310">
        <v>0</v>
      </c>
      <c r="AD50" s="310">
        <v>0</v>
      </c>
      <c r="AE50" s="310">
        <v>0</v>
      </c>
      <c r="AF50" s="310">
        <v>0</v>
      </c>
      <c r="AG50" s="310">
        <v>0</v>
      </c>
      <c r="AH50" s="310">
        <v>0</v>
      </c>
      <c r="AI50" s="310"/>
      <c r="AJ50" s="310"/>
      <c r="AK50" s="310"/>
      <c r="AL50" s="310"/>
      <c r="AM50" s="310">
        <v>0</v>
      </c>
      <c r="AN50" s="310">
        <v>0</v>
      </c>
      <c r="AO50" s="207"/>
      <c r="AP50" s="310">
        <v>4</v>
      </c>
      <c r="AQ50" s="310">
        <v>1</v>
      </c>
      <c r="AR50" s="76" t="s">
        <v>3110</v>
      </c>
      <c r="AS50" s="310">
        <v>0</v>
      </c>
      <c r="AT50" s="310">
        <v>0</v>
      </c>
      <c r="AU50" s="310">
        <v>0</v>
      </c>
      <c r="AV50" s="310"/>
      <c r="AW50" s="583">
        <v>0</v>
      </c>
      <c r="AX50" s="581" t="s">
        <v>43</v>
      </c>
      <c r="AY50" s="231" t="s">
        <v>144</v>
      </c>
      <c r="AZ50" s="310">
        <v>0</v>
      </c>
      <c r="BA50" s="310">
        <v>0</v>
      </c>
      <c r="BB50" s="310">
        <v>0</v>
      </c>
      <c r="BC50" s="207"/>
      <c r="BD50" s="310">
        <v>0</v>
      </c>
      <c r="BE50" s="310">
        <v>0</v>
      </c>
      <c r="BF50" s="310">
        <v>0</v>
      </c>
      <c r="BG50" s="310">
        <v>2</v>
      </c>
      <c r="BH50" s="310">
        <v>0</v>
      </c>
      <c r="BI50" s="310">
        <v>2</v>
      </c>
      <c r="BJ50" s="310">
        <v>0</v>
      </c>
      <c r="BK50" s="310">
        <v>0</v>
      </c>
      <c r="BL50" s="310">
        <v>0</v>
      </c>
      <c r="BM50" s="207" t="s">
        <v>144</v>
      </c>
      <c r="BN50" s="79">
        <v>0</v>
      </c>
      <c r="BO50" s="81">
        <v>0.65</v>
      </c>
      <c r="BP50" s="207"/>
      <c r="BQ50" s="78" t="str">
        <f>IFERROR(WWWW[[#This Row],['#_Water sources treated]]/WWWW[[#This Row],['#_Water sources tested for contamination]],"no test")</f>
        <v>no test</v>
      </c>
      <c r="BR50" s="81" t="str">
        <f>IFERROR(WWWW[[#This Row],['#_Household received remediation action due to contamination]]/WWWW[[#This Row],['#_Household water samples tested for contamination]],"no test")</f>
        <v>no test</v>
      </c>
      <c r="BS50" s="80" t="str">
        <f>IF(AND(WWWW[[#This Row],[% of water sources treated]]="no test",WWWW[[#This Row],[% Household received corrective actions]]="no test"),"No Test","Tested")</f>
        <v>No Test</v>
      </c>
      <c r="BT50" s="80">
        <f>WWWW[[#This Row],['#_Constructed/existing protected hand dug well]]-WWWW[[#This Row],['#_Non-functional protected hand dug well]]</f>
        <v>0</v>
      </c>
      <c r="BU50" s="80">
        <f>(WWWW[[#This Row],['#_Constructed/Existing tube wells/boreholes/handpumps_WASH_agency]]+WWWW[[#This Row],['#_Non-Cluster partner water tube-wells/boreholes/handpumps]])-WWWW[[#This Row],['#_Non-functional tube wells/boreholes/handpumps]]</f>
        <v>0</v>
      </c>
      <c r="BV50" s="80">
        <f>WWWW[[#This Row],['#_Constructed/Existingwater storage tank with gravity fed reticulation system]]-WWWW[[#This Row],['#_Non-functional storage tank gravity fed reticulation system]]</f>
        <v>0</v>
      </c>
      <c r="BW50" s="80">
        <f>WWWW[[#This Row],['#_Water boating or water trucking]]</f>
        <v>0</v>
      </c>
      <c r="BX50" s="80">
        <f>WWWW[[#This Row],['#_Constructed/Existing water distribution system from river or natural spring]]</f>
        <v>0</v>
      </c>
      <c r="BY5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0" s="81">
        <f>IF(WWWW[[#This Row],[Location Type 1]]="Village",WWWW[[#This Row],[Access to safe drinking water for Village]],WWWW[[#This Row],[Access to safe drinking water for Camp]])</f>
        <v>0</v>
      </c>
      <c r="CB50" s="79">
        <f>WWWW[[#This Row],[%Equitable and continuous access to sufficient quantity of safe drinking water]]*WWWW[[#This Row],[Total PoP ]]</f>
        <v>0</v>
      </c>
      <c r="CC50" s="81">
        <f>IF((WWWW[[#This Row],['#_Constructed/Existing protected/fenced ponds]]*250)/WWWW[[#This Row],[Total PoP ]]&gt;1,1,(WWWW[[#This Row],['#_Constructed/Existing protected/fenced ponds]]*250)/WWWW[[#This Row],[Total PoP ]])</f>
        <v>0</v>
      </c>
      <c r="CD50" s="79">
        <f>WWWW[[#This Row],[% Access to unimproved water points]]*WWWW[[#This Row],[Total PoP ]]</f>
        <v>0</v>
      </c>
      <c r="CE5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0" s="79">
        <f>WWWW[[#This Row],[HRP1]]/500</f>
        <v>0</v>
      </c>
      <c r="CH50" s="78">
        <f>1-WWWW[[#This Row],[% Equitable and continuous access to sufficient quantity of domestic water]]</f>
        <v>1</v>
      </c>
      <c r="CI50" s="79">
        <f>WWWW[[#This Row],[%equitable and continuous access to sufficient quantity of safe drinking and domestic water''s GAP]]*WWWW[[#This Row],[Total PoP ]]</f>
        <v>67</v>
      </c>
      <c r="CJ50" s="80">
        <f>IF(WWWW[[#This Row],[Total required water points]]-WWWW[[#This Row],['#Water points coverage]]&lt;0,0,WWWW[[#This Row],[Total required water points]]-WWWW[[#This Row],['#Water points coverage]])</f>
        <v>1</v>
      </c>
      <c r="CK50" s="80">
        <f>ROUND(IF(WWWW[[#This Row],[Total PoP ]]&lt;500,1,WWWW[[#This Row],[Total PoP ]]/500),0)</f>
        <v>1</v>
      </c>
      <c r="CL50" s="80">
        <f>(WWWW[[#This Row],['#_Constructed latrines_by_WASHAgencies]]+WWWW[[#This Row],['#_Non Cluster partner latrines]])-WWWW[[#This Row],['#_Non-functional latrines]]</f>
        <v>5</v>
      </c>
      <c r="CM5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67</v>
      </c>
      <c r="CO5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 s="80">
        <f>IF(WWWW[[#This Row],[Location Type 1]]="Village","NA",IF(WWWW[[#This Row],['#_Constructed/Existing latrines in TLS]]*50&gt;WWWW[[#This Row],['#_students at TLS_CFS]],WWWW[[#This Row],['#_students at TLS_CFS]],(WWWW[[#This Row],['#_Constructed/Existing latrines in TLS]]*50)))</f>
        <v>0</v>
      </c>
      <c r="CQ50" s="80">
        <f>ROUND(IF(WWWW[[#This Row],[Location Type 1]]="camp",WWWW[[#This Row],[Total PoP ]]/20,IF(WWWW[[#This Row],[Location Type 1]]="Temporary Location",WWWW[[#This Row],[Total PoP ]]/50,(WWWW[[#This Row],[Total PoP ]]/6))),0)</f>
        <v>3</v>
      </c>
      <c r="CR50" s="79">
        <f>IF(WWWW[[#This Row],[Total required Latrines]]-(WWWW[[#This Row],['#_Constructed latrines_by_WASHAgencies]]+WWWW[[#This Row],['#_Non Cluster partner latrines]])&lt;0,0,WWWW[[#This Row],[Total required Latrines]]-(WWWW[[#This Row],['#_Constructed latrines_by_WASHAgencies]]+WWWW[[#This Row],['#_Non Cluster partner latrines]]))</f>
        <v>0</v>
      </c>
      <c r="CS50" s="78">
        <f>1-WWWW[[#This Row],[% people access to functioning Latrine]]</f>
        <v>0</v>
      </c>
      <c r="CT50" s="82">
        <f>IF(OR(WWWW[[#This Row],['#_Non-functional latrines]]="",WWWW[[#This Row],['#_Non-functional latrines]]=0),0,WWWW[[#This Row],['#_Non-functional latrines]]/(WWWW[[#This Row],['#_Constructed latrines_by_WASHAgencies]]+WWWW[[#This Row],['#_Non Cluster partner latrines]]))</f>
        <v>0</v>
      </c>
      <c r="CU50" s="79">
        <f>IF(500*(WWWW[[#This Row],['#_male hygiene promoters]]+WWWW[[#This Row],['#_female hygiene promoters]])&gt;WWWW[[#This Row],[Total PoP ]],WWWW[[#This Row],[Total PoP ]],500*(WWWW[[#This Row],['#_male hygiene promoters]]+WWWW[[#This Row],['#_female hygiene promoters]]))</f>
        <v>67</v>
      </c>
      <c r="CV5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 s="80">
        <f>IF(WWWW[[#This Row],['# People with access to soap]]&gt;WWWW[[#This Row],['# People with access to Sanity Pads]],WWWW[[#This Row],['# People with access to soap]],WWWW[[#This Row],['# People with access to Sanity Pads]])</f>
        <v>0</v>
      </c>
      <c r="CY50" s="80">
        <f>IF(WWWW[[#This Row],['# people reached by regular dedicated hygiene promotion_5]]&gt;WWWW[[#This Row],['# People received regular supply of hygiene items_6]],WWWW[[#This Row],['# people reached by regular dedicated hygiene promotion_5]],WWWW[[#This Row],['# People received regular supply of hygiene items_6]])</f>
        <v>67</v>
      </c>
      <c r="CZ50" s="78">
        <f>IF(WWWW[[#This Row],[HRP3]]/WWWW[[#This Row],[Total PoP ]]&gt;100%,100%,WWWW[[#This Row],[HRP3]]/WWWW[[#This Row],[Total PoP ]])</f>
        <v>1</v>
      </c>
      <c r="DA50" s="82">
        <f>1-WWWW[[#This Row],[Hygiene Coverage%]]</f>
        <v>0</v>
      </c>
      <c r="DB50" s="81">
        <f>WWWW[[#This Row],['# people reached by regular dedicated hygiene promotion_5]]/WWWW[[#This Row],[Total PoP ]]</f>
        <v>1</v>
      </c>
      <c r="DC50" s="81">
        <f>IF(WWWW[[#This Row],['#_households that received standard amount of soap for this quarter]]/WWWW[[#This Row],[Total HH]]&gt;1,1,WWWW[[#This Row],['#_households that received standard amount of soap for this quarter]]/WWWW[[#This Row],[Total HH]])</f>
        <v>0</v>
      </c>
      <c r="DD50" s="81">
        <f>IF(WWWW[[#This Row],['#_households that received standard amount of sanitary pads for this quarter]]/WWWW[[#This Row],[Total HH]]&gt;1,1,WWWW[[#This Row],['#_households that received standard amount of sanitary pads for this quarter]]/WWWW[[#This Row],[Total HH]])</f>
        <v>0</v>
      </c>
      <c r="DE50" s="80">
        <f>WWWW[[#This Row],['#_Constructed/Existing hand washing stations]]-WWWW[[#This Row],['#_Non-Functional_hand_washing_stations]]</f>
        <v>0</v>
      </c>
      <c r="DF50" s="757">
        <f>IF(WWWW[[#This Row],['# Functional hand washing stations during reporting period]]*20&gt;WWWW[[#This Row],[Total HH]],WWWW[[#This Row],[Total HH]],WWWW[[#This Row],['# Functional hand washing stations during reporting period]]*20)</f>
        <v>0</v>
      </c>
      <c r="DG50" s="79">
        <f>IF(WWWW[[#This Row],[Is sufficient soap available for TLS? (Yes/No)]]="yes",WWWW[[#This Row],['#_Constructed/Existing hand washing stations at TLS]],0)</f>
        <v>0</v>
      </c>
      <c r="DH50" s="578">
        <f>IF(WWWW[[#This Row],['# Functional hand washing stations during reporting period]]*100&gt;WWWW[[#This Row],[Total PoP ]],WWWW[[#This Row],[Total PoP ]],WWWW[[#This Row],['# Functional hand washing stations during reporting period]]*100)</f>
        <v>0</v>
      </c>
      <c r="DI50" s="578" t="str">
        <f>IF(OR(WWWW[[#This Row],['#_students at TLS_CFS]]="",WWWW[[#This Row],['#_students at TLS_CFS]]=0),"No","Yes")</f>
        <v>No</v>
      </c>
      <c r="DJ50" s="231" t="str">
        <f>VLOOKUP(WWWW[[#This Row],[Site Name]],SiteDB6[[Site Name]:[CCCM Management]],6,FALSE)</f>
        <v>Yes</v>
      </c>
      <c r="DK50" s="231" t="str">
        <f>VLOOKUP(WWWW[[#This Row],[Site Name]],SiteDB6[[Site Name]:[CCCM Focal Agency]],7,FALSE)</f>
        <v>KBC</v>
      </c>
      <c r="DL50" s="231" t="str">
        <f>VLOOKUP(WWWW[[#This Row],[Site Name]],SiteDB6[[Site Name]:[Location Type 1]],9,FALSE)</f>
        <v>Camp</v>
      </c>
      <c r="DM50" s="231" t="str">
        <f>VLOOKUP(WWWW[[#This Row],[Site Name]],SiteDB6[[Site Name]:[Type of Accommodation]],10,FALSE)</f>
        <v>Camp</v>
      </c>
      <c r="DN50" s="231" t="str">
        <f>VLOOKUP(WWWW[[#This Row],[Site Name]],SiteDB6[[Site Name]:[Ethnic or GCA/NGCA]],11,FALSE)</f>
        <v>GCA</v>
      </c>
      <c r="DO50" s="231">
        <f>VLOOKUP(WWWW[[#This Row],[Site Name]],SiteDB6[[Site Name]:[Lat]],12,FALSE)</f>
        <v>25.599250000000001</v>
      </c>
      <c r="DP50" s="231">
        <f>VLOOKUP(WWWW[[#This Row],[Site Name]],SiteDB6[[Site Name]:[Long]],13,FALSE)</f>
        <v>96.306910999999999</v>
      </c>
      <c r="DQ50" s="231" t="str">
        <f>VLOOKUP(WWWW[[#This Row],[Site Name]],SiteDB6[[Site Name]:[Pcode]],3,FALSE)</f>
        <v>MMR001CMP105</v>
      </c>
      <c r="DR50" s="207" t="str">
        <f t="shared" si="2"/>
        <v>Covered</v>
      </c>
      <c r="DS50" s="207"/>
      <c r="DT50" s="20"/>
      <c r="DU50" s="20"/>
      <c r="DV50" s="20"/>
      <c r="DW50" s="20"/>
      <c r="DX50" s="20"/>
      <c r="DY50" s="20"/>
      <c r="DZ50" s="20"/>
      <c r="EA50" s="20"/>
      <c r="EB50" s="20"/>
      <c r="EC50" s="20"/>
      <c r="ED50" s="20"/>
      <c r="EE50" s="20"/>
      <c r="EF50" s="20"/>
      <c r="EG50" s="20"/>
      <c r="EH50" s="20"/>
    </row>
    <row r="51" spans="1:138" ht="15.75" customHeight="1">
      <c r="A51" s="238" t="s">
        <v>2518</v>
      </c>
      <c r="B51" s="574" t="s">
        <v>299</v>
      </c>
      <c r="C51" s="574" t="s">
        <v>299</v>
      </c>
      <c r="D51" s="574" t="s">
        <v>1922</v>
      </c>
      <c r="E51" s="574" t="s">
        <v>39</v>
      </c>
      <c r="F51" s="574" t="s">
        <v>40</v>
      </c>
      <c r="G51" s="574" t="str">
        <f>VLOOKUP(WWWW[[#This Row],[Site Name]],SiteDB6[[Site Name]:[Location Type]],8,FALSE)</f>
        <v>Camp</v>
      </c>
      <c r="H51" s="574" t="s">
        <v>1940</v>
      </c>
      <c r="I51" s="583">
        <v>358</v>
      </c>
      <c r="J51" s="583">
        <v>1661</v>
      </c>
      <c r="K51" s="553"/>
      <c r="L51" s="77">
        <v>43799</v>
      </c>
      <c r="M51" s="583"/>
      <c r="N51" s="583">
        <v>7</v>
      </c>
      <c r="O51" s="583">
        <v>15</v>
      </c>
      <c r="P51" s="583"/>
      <c r="Q51" s="76" t="s">
        <v>43</v>
      </c>
      <c r="R51" s="310"/>
      <c r="S51" s="310"/>
      <c r="T51" s="310">
        <v>4</v>
      </c>
      <c r="U51" s="310"/>
      <c r="V51" s="310"/>
      <c r="W51" s="310"/>
      <c r="X51" s="310"/>
      <c r="Y51" s="310"/>
      <c r="Z51" s="310"/>
      <c r="AA51" s="310"/>
      <c r="AB51" s="310"/>
      <c r="AC51" s="310"/>
      <c r="AD51" s="310"/>
      <c r="AE51" s="310">
        <v>5</v>
      </c>
      <c r="AF51" s="310"/>
      <c r="AG51" s="310"/>
      <c r="AH51" s="310">
        <v>5</v>
      </c>
      <c r="AI51" s="310"/>
      <c r="AJ51" s="310"/>
      <c r="AK51" s="310">
        <v>47</v>
      </c>
      <c r="AL51" s="310">
        <v>10</v>
      </c>
      <c r="AM51" s="310">
        <v>0</v>
      </c>
      <c r="AN51" s="310">
        <v>5</v>
      </c>
      <c r="AO51" s="207"/>
      <c r="AP51" s="310">
        <v>186</v>
      </c>
      <c r="AQ51" s="310"/>
      <c r="AR51" s="76"/>
      <c r="AS51" s="310">
        <v>56</v>
      </c>
      <c r="AT51" s="310"/>
      <c r="AU51" s="310">
        <v>0</v>
      </c>
      <c r="AV51" s="310"/>
      <c r="AW51" s="310"/>
      <c r="AX51" s="231" t="s">
        <v>144</v>
      </c>
      <c r="AY51" s="231" t="s">
        <v>1200</v>
      </c>
      <c r="AZ51" s="310"/>
      <c r="BA51" s="310"/>
      <c r="BB51" s="310"/>
      <c r="BC51" s="207"/>
      <c r="BD51" s="310"/>
      <c r="BE51" s="310"/>
      <c r="BF51" s="310"/>
      <c r="BG51" s="310">
        <v>14</v>
      </c>
      <c r="BH51" s="310"/>
      <c r="BI51" s="310"/>
      <c r="BJ51" s="310">
        <v>1</v>
      </c>
      <c r="BK51" s="310">
        <v>352</v>
      </c>
      <c r="BL51" s="310"/>
      <c r="BM51" s="207"/>
      <c r="BN51" s="79">
        <v>7</v>
      </c>
      <c r="BO51" s="81"/>
      <c r="BP51" s="207"/>
      <c r="BQ51" s="78" t="str">
        <f>IFERROR(WWWW[[#This Row],['#_Water sources treated]]/WWWW[[#This Row],['#_Water sources tested for contamination]],"no test")</f>
        <v>no test</v>
      </c>
      <c r="BR51" s="81">
        <f>IFERROR(WWWW[[#This Row],['#_Household received remediation action due to contamination]]/WWWW[[#This Row],['#_Household water samples tested for contamination]],"no test")</f>
        <v>0.21276595744680851</v>
      </c>
      <c r="BS51" s="80" t="str">
        <f>IF(AND(WWWW[[#This Row],[% of water sources treated]]="no test",WWWW[[#This Row],[% Household received corrective actions]]="no test"),"No Test","Tested")</f>
        <v>Tested</v>
      </c>
      <c r="BT51" s="80">
        <f>WWWW[[#This Row],['#_Constructed/existing protected hand dug well]]-WWWW[[#This Row],['#_Non-functional protected hand dug well]]</f>
        <v>4</v>
      </c>
      <c r="BU51" s="80">
        <f>(WWWW[[#This Row],['#_Constructed/Existing tube wells/boreholes/handpumps_WASH_agency]]+WWWW[[#This Row],['#_Non-Cluster partner water tube-wells/boreholes/handpumps]])-WWWW[[#This Row],['#_Non-functional tube wells/boreholes/handpumps]]</f>
        <v>0</v>
      </c>
      <c r="BV51" s="80">
        <f>WWWW[[#This Row],['#_Constructed/Existingwater storage tank with gravity fed reticulation system]]-WWWW[[#This Row],['#_Non-functional storage tank gravity fed reticulation system]]</f>
        <v>0</v>
      </c>
      <c r="BW51" s="80">
        <f>WWWW[[#This Row],['#_Water boating or water trucking]]</f>
        <v>0</v>
      </c>
      <c r="BX51" s="80">
        <f>WWWW[[#This Row],['#_Constructed/Existing water distribution system from river or natural spring]]</f>
        <v>0</v>
      </c>
      <c r="BY5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0.96327513546056598</v>
      </c>
      <c r="BZ5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0.60204695966285371</v>
      </c>
      <c r="CA51" s="81">
        <f>IF(WWWW[[#This Row],[Location Type 1]]="Village",WWWW[[#This Row],[Access to safe drinking water for Village]],WWWW[[#This Row],[Access to safe drinking water for Camp]])</f>
        <v>0.96327513546056598</v>
      </c>
      <c r="CB51" s="79">
        <f>WWWW[[#This Row],[%Equitable and continuous access to sufficient quantity of safe drinking water]]*WWWW[[#This Row],[Total PoP ]]</f>
        <v>1600</v>
      </c>
      <c r="CC51" s="81">
        <f>IF((WWWW[[#This Row],['#_Constructed/Existing protected/fenced ponds]]*250)/WWWW[[#This Row],[Total PoP ]]&gt;1,1,(WWWW[[#This Row],['#_Constructed/Existing protected/fenced ponds]]*250)/WWWW[[#This Row],[Total PoP ]])</f>
        <v>0.75255869957856714</v>
      </c>
      <c r="CD51" s="79">
        <f>WWWW[[#This Row],[% Access to unimproved water points]]*WWWW[[#This Row],[Total PoP ]]</f>
        <v>1250</v>
      </c>
      <c r="CE5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1661</v>
      </c>
      <c r="CG51" s="79">
        <f>WWWW[[#This Row],[HRP1]]/500</f>
        <v>3.3220000000000001</v>
      </c>
      <c r="CH51" s="78">
        <f>1-WWWW[[#This Row],[% Equitable and continuous access to sufficient quantity of domestic water]]</f>
        <v>0</v>
      </c>
      <c r="CI51" s="79">
        <f>WWWW[[#This Row],[%equitable and continuous access to sufficient quantity of safe drinking and domestic water''s GAP]]*WWWW[[#This Row],[Total PoP ]]</f>
        <v>0</v>
      </c>
      <c r="CJ51" s="80">
        <f>IF(WWWW[[#This Row],[Total required water points]]-WWWW[[#This Row],['#Water points coverage]]&lt;0,0,WWWW[[#This Row],[Total required water points]]-WWWW[[#This Row],['#Water points coverage]])</f>
        <v>0</v>
      </c>
      <c r="CK51" s="80">
        <f>ROUND(IF(WWWW[[#This Row],[Total PoP ]]&lt;500,1,WWWW[[#This Row],[Total PoP ]]/500),0)</f>
        <v>3</v>
      </c>
      <c r="CL51" s="80">
        <f>(WWWW[[#This Row],['#_Constructed latrines_by_WASHAgencies]]+WWWW[[#This Row],['#_Non Cluster partner latrines]])-WWWW[[#This Row],['#_Non-functional latrines]]</f>
        <v>130</v>
      </c>
      <c r="CM5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1661</v>
      </c>
      <c r="CO5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 s="80">
        <f>IF(WWWW[[#This Row],[Location Type 1]]="Village","NA",IF(WWWW[[#This Row],['#_Constructed/Existing latrines in TLS]]*50&gt;WWWW[[#This Row],['#_students at TLS_CFS]],WWWW[[#This Row],['#_students at TLS_CFS]],(WWWW[[#This Row],['#_Constructed/Existing latrines in TLS]]*50)))</f>
        <v>0</v>
      </c>
      <c r="CQ51" s="80">
        <f>ROUND(IF(WWWW[[#This Row],[Location Type 1]]="camp",WWWW[[#This Row],[Total PoP ]]/20,IF(WWWW[[#This Row],[Location Type 1]]="Temporary Location",WWWW[[#This Row],[Total PoP ]]/50,(WWWW[[#This Row],[Total PoP ]]/6))),0)</f>
        <v>83</v>
      </c>
      <c r="CR51" s="79">
        <f>IF(WWWW[[#This Row],[Total required Latrines]]-(WWWW[[#This Row],['#_Constructed latrines_by_WASHAgencies]]+WWWW[[#This Row],['#_Non Cluster partner latrines]])&lt;0,0,WWWW[[#This Row],[Total required Latrines]]-(WWWW[[#This Row],['#_Constructed latrines_by_WASHAgencies]]+WWWW[[#This Row],['#_Non Cluster partner latrines]]))</f>
        <v>0</v>
      </c>
      <c r="CS51" s="78">
        <f>1-WWWW[[#This Row],[% people access to functioning Latrine]]</f>
        <v>0</v>
      </c>
      <c r="CT51" s="82">
        <f>IF(OR(WWWW[[#This Row],['#_Non-functional latrines]]="",WWWW[[#This Row],['#_Non-functional latrines]]=0),0,WWWW[[#This Row],['#_Non-functional latrines]]/(WWWW[[#This Row],['#_Constructed latrines_by_WASHAgencies]]+WWWW[[#This Row],['#_Non Cluster partner latrines]]))</f>
        <v>0.30107526881720431</v>
      </c>
      <c r="CU51" s="79">
        <f>IF(500*(WWWW[[#This Row],['#_male hygiene promoters]]+WWWW[[#This Row],['#_female hygiene promoters]])&gt;WWWW[[#This Row],[Total PoP ]],WWWW[[#This Row],[Total PoP ]],500*(WWWW[[#This Row],['#_male hygiene promoters]]+WWWW[[#This Row],['#_female hygiene promoters]]))</f>
        <v>500</v>
      </c>
      <c r="CV5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1661</v>
      </c>
      <c r="CW5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 s="80">
        <f>IF(WWWW[[#This Row],['# People with access to soap]]&gt;WWWW[[#This Row],['# People with access to Sanity Pads]],WWWW[[#This Row],['# People with access to soap]],WWWW[[#This Row],['# People with access to Sanity Pads]])</f>
        <v>1661</v>
      </c>
      <c r="CY51" s="80">
        <f>IF(WWWW[[#This Row],['# people reached by regular dedicated hygiene promotion_5]]&gt;WWWW[[#This Row],['# People received regular supply of hygiene items_6]],WWWW[[#This Row],['# people reached by regular dedicated hygiene promotion_5]],WWWW[[#This Row],['# People received regular supply of hygiene items_6]])</f>
        <v>1661</v>
      </c>
      <c r="CZ51" s="78">
        <f>IF(WWWW[[#This Row],[HRP3]]/WWWW[[#This Row],[Total PoP ]]&gt;100%,100%,WWWW[[#This Row],[HRP3]]/WWWW[[#This Row],[Total PoP ]])</f>
        <v>1</v>
      </c>
      <c r="DA51" s="82">
        <f>1-WWWW[[#This Row],[Hygiene Coverage%]]</f>
        <v>0</v>
      </c>
      <c r="DB51" s="81">
        <f>WWWW[[#This Row],['# people reached by regular dedicated hygiene promotion_5]]/WWWW[[#This Row],[Total PoP ]]</f>
        <v>0.30102347983142685</v>
      </c>
      <c r="DC51" s="81">
        <f>IF(WWWW[[#This Row],['#_households that received standard amount of soap for this quarter]]/WWWW[[#This Row],[Total HH]]&gt;1,1,WWWW[[#This Row],['#_households that received standard amount of soap for this quarter]]/WWWW[[#This Row],[Total HH]])</f>
        <v>0.98324022346368711</v>
      </c>
      <c r="DD51" s="81">
        <f>IF(WWWW[[#This Row],['#_households that received standard amount of sanitary pads for this quarter]]/WWWW[[#This Row],[Total HH]]&gt;1,1,WWWW[[#This Row],['#_households that received standard amount of sanitary pads for this quarter]]/WWWW[[#This Row],[Total HH]])</f>
        <v>0</v>
      </c>
      <c r="DE51" s="80">
        <f>WWWW[[#This Row],['#_Constructed/Existing hand washing stations]]-WWWW[[#This Row],['#_Non-Functional_hand_washing_stations]]</f>
        <v>0</v>
      </c>
      <c r="DF51" s="757">
        <f>IF(WWWW[[#This Row],['# Functional hand washing stations during reporting period]]*20&gt;WWWW[[#This Row],[Total HH]],WWWW[[#This Row],[Total HH]],WWWW[[#This Row],['# Functional hand washing stations during reporting period]]*20)</f>
        <v>0</v>
      </c>
      <c r="DG51" s="79">
        <f>IF(WWWW[[#This Row],[Is sufficient soap available for TLS? (Yes/No)]]="yes",WWWW[[#This Row],['#_Constructed/Existing hand washing stations at TLS]],0)</f>
        <v>0</v>
      </c>
      <c r="DH51" s="578">
        <f>IF(WWWW[[#This Row],['# Functional hand washing stations during reporting period]]*100&gt;WWWW[[#This Row],[Total PoP ]],WWWW[[#This Row],[Total PoP ]],WWWW[[#This Row],['# Functional hand washing stations during reporting period]]*100)</f>
        <v>0</v>
      </c>
      <c r="DI51" s="578" t="str">
        <f>IF(OR(WWWW[[#This Row],['#_students at TLS_CFS]]="",WWWW[[#This Row],['#_students at TLS_CFS]]=0),"No","Yes")</f>
        <v>No</v>
      </c>
      <c r="DJ51" s="231" t="str">
        <f>VLOOKUP(WWWW[[#This Row],[Site Name]],SiteDB6[[Site Name]:[CCCM Management]],6,FALSE)</f>
        <v>Yes</v>
      </c>
      <c r="DK51" s="231" t="str">
        <f>VLOOKUP(WWWW[[#This Row],[Site Name]],SiteDB6[[Site Name]:[CCCM Focal Agency]],7,FALSE)</f>
        <v>KMSS-BMO</v>
      </c>
      <c r="DL51" s="231" t="str">
        <f>VLOOKUP(WWWW[[#This Row],[Site Name]],SiteDB6[[Site Name]:[Location Type 1]],9,FALSE)</f>
        <v>Camp</v>
      </c>
      <c r="DM51" s="231" t="str">
        <f>VLOOKUP(WWWW[[#This Row],[Site Name]],SiteDB6[[Site Name]:[Type of Accommodation]],10,FALSE)</f>
        <v>Camp</v>
      </c>
      <c r="DN51" s="231" t="str">
        <f>VLOOKUP(WWWW[[#This Row],[Site Name]],SiteDB6[[Site Name]:[Ethnic or GCA/NGCA]],11,FALSE)</f>
        <v>NGCA</v>
      </c>
      <c r="DO51" s="231">
        <f>VLOOKUP(WWWW[[#This Row],[Site Name]],SiteDB6[[Site Name]:[Lat]],12,FALSE)</f>
        <v>24.002433</v>
      </c>
      <c r="DP51" s="231">
        <f>VLOOKUP(WWWW[[#This Row],[Site Name]],SiteDB6[[Site Name]:[Long]],13,FALSE)</f>
        <v>97.609832999999995</v>
      </c>
      <c r="DQ51" s="231" t="str">
        <f>VLOOKUP(WWWW[[#This Row],[Site Name]],SiteDB6[[Site Name]:[Pcode]],3,FALSE)</f>
        <v>MMR001CMP129</v>
      </c>
      <c r="DR51" s="207" t="str">
        <f t="shared" si="2"/>
        <v>Covered</v>
      </c>
      <c r="DS51" s="207"/>
      <c r="DT51" s="20"/>
      <c r="DU51" s="20"/>
      <c r="DV51" s="20"/>
      <c r="DW51" s="20"/>
      <c r="DX51" s="20"/>
      <c r="DY51" s="20"/>
      <c r="DZ51" s="20"/>
      <c r="EA51" s="20"/>
      <c r="EB51" s="20"/>
      <c r="EC51" s="20"/>
      <c r="ED51" s="20"/>
      <c r="EE51" s="20"/>
      <c r="EF51" s="20"/>
      <c r="EG51" s="20"/>
      <c r="EH51" s="20"/>
    </row>
    <row r="52" spans="1:138" ht="15.75" customHeight="1">
      <c r="A52" s="238" t="s">
        <v>2518</v>
      </c>
      <c r="B52" s="574" t="s">
        <v>299</v>
      </c>
      <c r="C52" s="574" t="s">
        <v>299</v>
      </c>
      <c r="D52" s="574" t="s">
        <v>1922</v>
      </c>
      <c r="E52" s="574" t="s">
        <v>39</v>
      </c>
      <c r="F52" s="574" t="s">
        <v>40</v>
      </c>
      <c r="G52" s="574" t="str">
        <f>VLOOKUP(WWWW[[#This Row],[Site Name]],SiteDB6[[Site Name]:[Location Type]],8,FALSE)</f>
        <v>Camp</v>
      </c>
      <c r="H52" s="574" t="s">
        <v>302</v>
      </c>
      <c r="I52" s="583">
        <v>491</v>
      </c>
      <c r="J52" s="583">
        <v>2581</v>
      </c>
      <c r="K52" s="553"/>
      <c r="L52" s="77">
        <v>43799</v>
      </c>
      <c r="M52" s="583"/>
      <c r="N52" s="583">
        <v>13</v>
      </c>
      <c r="O52" s="583">
        <v>20</v>
      </c>
      <c r="P52" s="583"/>
      <c r="Q52" s="574" t="s">
        <v>43</v>
      </c>
      <c r="R52" s="310"/>
      <c r="S52" s="310"/>
      <c r="T52" s="310">
        <v>3</v>
      </c>
      <c r="U52" s="310"/>
      <c r="V52" s="310"/>
      <c r="W52" s="310"/>
      <c r="X52" s="310"/>
      <c r="Y52" s="310"/>
      <c r="Z52" s="310"/>
      <c r="AA52" s="310"/>
      <c r="AB52" s="310"/>
      <c r="AC52" s="310"/>
      <c r="AD52" s="310"/>
      <c r="AE52" s="310">
        <v>1</v>
      </c>
      <c r="AF52" s="310"/>
      <c r="AG52" s="310"/>
      <c r="AH52" s="310">
        <v>1</v>
      </c>
      <c r="AI52" s="310"/>
      <c r="AJ52" s="310"/>
      <c r="AK52" s="310">
        <v>32</v>
      </c>
      <c r="AL52" s="310">
        <v>5</v>
      </c>
      <c r="AM52" s="310">
        <v>5</v>
      </c>
      <c r="AN52" s="310">
        <v>2</v>
      </c>
      <c r="AO52" s="207"/>
      <c r="AP52" s="310">
        <v>136</v>
      </c>
      <c r="AQ52" s="310"/>
      <c r="AR52" s="76"/>
      <c r="AS52" s="310">
        <v>32</v>
      </c>
      <c r="AT52" s="310"/>
      <c r="AU52" s="310">
        <v>2</v>
      </c>
      <c r="AV52" s="310"/>
      <c r="AW52" s="310"/>
      <c r="AX52" s="581" t="s">
        <v>144</v>
      </c>
      <c r="AY52" s="581" t="s">
        <v>1200</v>
      </c>
      <c r="AZ52" s="310"/>
      <c r="BA52" s="310"/>
      <c r="BB52" s="310"/>
      <c r="BC52" s="207"/>
      <c r="BD52" s="310"/>
      <c r="BE52" s="310"/>
      <c r="BF52" s="310"/>
      <c r="BG52" s="310">
        <v>6</v>
      </c>
      <c r="BH52" s="310"/>
      <c r="BI52" s="310"/>
      <c r="BJ52" s="310"/>
      <c r="BK52" s="310">
        <v>476</v>
      </c>
      <c r="BL52" s="310"/>
      <c r="BM52" s="207"/>
      <c r="BN52" s="79">
        <v>13</v>
      </c>
      <c r="BO52" s="81"/>
      <c r="BP52" s="207"/>
      <c r="BQ52" s="78" t="str">
        <f>IFERROR(WWWW[[#This Row],['#_Water sources treated]]/WWWW[[#This Row],['#_Water sources tested for contamination]],"no test")</f>
        <v>no test</v>
      </c>
      <c r="BR52" s="81">
        <f>IFERROR(WWWW[[#This Row],['#_Household received remediation action due to contamination]]/WWWW[[#This Row],['#_Household water samples tested for contamination]],"no test")</f>
        <v>0.15625</v>
      </c>
      <c r="BS52" s="80" t="str">
        <f>IF(AND(WWWW[[#This Row],[% of water sources treated]]="no test",WWWW[[#This Row],[% Household received corrective actions]]="no test"),"No Test","Tested")</f>
        <v>Tested</v>
      </c>
      <c r="BT52" s="80">
        <f>WWWW[[#This Row],['#_Constructed/existing protected hand dug well]]-WWWW[[#This Row],['#_Non-functional protected hand dug well]]</f>
        <v>3</v>
      </c>
      <c r="BU52" s="80">
        <f>(WWWW[[#This Row],['#_Constructed/Existing tube wells/boreholes/handpumps_WASH_agency]]+WWWW[[#This Row],['#_Non-Cluster partner water tube-wells/boreholes/handpumps]])-WWWW[[#This Row],['#_Non-functional tube wells/boreholes/handpumps]]</f>
        <v>0</v>
      </c>
      <c r="BV52" s="80">
        <f>WWWW[[#This Row],['#_Constructed/Existingwater storage tank with gravity fed reticulation system]]-WWWW[[#This Row],['#_Non-functional storage tank gravity fed reticulation system]]</f>
        <v>0</v>
      </c>
      <c r="BW52" s="80">
        <f>WWWW[[#This Row],['#_Water boating or water trucking]]</f>
        <v>0</v>
      </c>
      <c r="BX52" s="80">
        <f>WWWW[[#This Row],['#_Constructed/Existing water distribution system from river or natural spring]]</f>
        <v>0</v>
      </c>
      <c r="BY5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0.46493607129019759</v>
      </c>
      <c r="BZ5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0.29058504455637352</v>
      </c>
      <c r="CA52" s="81">
        <f>IF(WWWW[[#This Row],[Location Type 1]]="Village",WWWW[[#This Row],[Access to safe drinking water for Village]],WWWW[[#This Row],[Access to safe drinking water for Camp]])</f>
        <v>0.46493607129019759</v>
      </c>
      <c r="CB52" s="79">
        <f>WWWW[[#This Row],[%Equitable and continuous access to sufficient quantity of safe drinking water]]*WWWW[[#This Row],[Total PoP ]]</f>
        <v>1200</v>
      </c>
      <c r="CC52" s="81">
        <f>IF((WWWW[[#This Row],['#_Constructed/Existing protected/fenced ponds]]*250)/WWWW[[#This Row],[Total PoP ]]&gt;1,1,(WWWW[[#This Row],['#_Constructed/Existing protected/fenced ponds]]*250)/WWWW[[#This Row],[Total PoP ]])</f>
        <v>9.6861681518791168E-2</v>
      </c>
      <c r="CD52" s="79">
        <f>WWWW[[#This Row],[% Access to unimproved water points]]*WWWW[[#This Row],[Total PoP ]]</f>
        <v>250</v>
      </c>
      <c r="CE5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0.5617977528089888</v>
      </c>
      <c r="CF5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1450</v>
      </c>
      <c r="CG52" s="79">
        <f>WWWW[[#This Row],[HRP1]]/500</f>
        <v>2.9</v>
      </c>
      <c r="CH52" s="78">
        <f>1-WWWW[[#This Row],[% Equitable and continuous access to sufficient quantity of domestic water]]</f>
        <v>0.4382022471910112</v>
      </c>
      <c r="CI52" s="79">
        <f>WWWW[[#This Row],[%equitable and continuous access to sufficient quantity of safe drinking and domestic water''s GAP]]*WWWW[[#This Row],[Total PoP ]]</f>
        <v>1131</v>
      </c>
      <c r="CJ52" s="80">
        <f>IF(WWWW[[#This Row],[Total required water points]]-WWWW[[#This Row],['#Water points coverage]]&lt;0,0,WWWW[[#This Row],[Total required water points]]-WWWW[[#This Row],['#Water points coverage]])</f>
        <v>2.1</v>
      </c>
      <c r="CK52" s="80">
        <f>ROUND(IF(WWWW[[#This Row],[Total PoP ]]&lt;500,1,WWWW[[#This Row],[Total PoP ]]/500),0)</f>
        <v>5</v>
      </c>
      <c r="CL52" s="80">
        <f>(WWWW[[#This Row],['#_Constructed latrines_by_WASHAgencies]]+WWWW[[#This Row],['#_Non Cluster partner latrines]])-WWWW[[#This Row],['#_Non-functional latrines]]</f>
        <v>104</v>
      </c>
      <c r="CM5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0.80588919023634253</v>
      </c>
      <c r="CN5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2080</v>
      </c>
      <c r="CO5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52" s="80">
        <f>IF(WWWW[[#This Row],[Location Type 1]]="Village","NA",IF(WWWW[[#This Row],['#_Constructed/Existing latrines in TLS]]*50&gt;WWWW[[#This Row],['#_students at TLS_CFS]],WWWW[[#This Row],['#_students at TLS_CFS]],(WWWW[[#This Row],['#_Constructed/Existing latrines in TLS]]*50)))</f>
        <v>0</v>
      </c>
      <c r="CQ52" s="80">
        <f>ROUND(IF(WWWW[[#This Row],[Location Type 1]]="camp",WWWW[[#This Row],[Total PoP ]]/20,IF(WWWW[[#This Row],[Location Type 1]]="Temporary Location",WWWW[[#This Row],[Total PoP ]]/50,(WWWW[[#This Row],[Total PoP ]]/6))),0)</f>
        <v>129</v>
      </c>
      <c r="CR52" s="79">
        <f>IF(WWWW[[#This Row],[Total required Latrines]]-(WWWW[[#This Row],['#_Constructed latrines_by_WASHAgencies]]+WWWW[[#This Row],['#_Non Cluster partner latrines]])&lt;0,0,WWWW[[#This Row],[Total required Latrines]]-(WWWW[[#This Row],['#_Constructed latrines_by_WASHAgencies]]+WWWW[[#This Row],['#_Non Cluster partner latrines]]))</f>
        <v>0</v>
      </c>
      <c r="CS52" s="78">
        <f>1-WWWW[[#This Row],[% people access to functioning Latrine]]</f>
        <v>0.19411080976365747</v>
      </c>
      <c r="CT52" s="82">
        <f>IF(OR(WWWW[[#This Row],['#_Non-functional latrines]]="",WWWW[[#This Row],['#_Non-functional latrines]]=0),0,WWWW[[#This Row],['#_Non-functional latrines]]/(WWWW[[#This Row],['#_Constructed latrines_by_WASHAgencies]]+WWWW[[#This Row],['#_Non Cluster partner latrines]]))</f>
        <v>0.23529411764705882</v>
      </c>
      <c r="CU52" s="79">
        <f>IF(500*(WWWW[[#This Row],['#_male hygiene promoters]]+WWWW[[#This Row],['#_female hygiene promoters]])&gt;WWWW[[#This Row],[Total PoP ]],WWWW[[#This Row],[Total PoP ]],500*(WWWW[[#This Row],['#_male hygiene promoters]]+WWWW[[#This Row],['#_female hygiene promoters]]))</f>
        <v>0</v>
      </c>
      <c r="CV5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2380</v>
      </c>
      <c r="CW5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 s="80">
        <f>IF(WWWW[[#This Row],['# People with access to soap]]&gt;WWWW[[#This Row],['# People with access to Sanity Pads]],WWWW[[#This Row],['# People with access to soap]],WWWW[[#This Row],['# People with access to Sanity Pads]])</f>
        <v>2380</v>
      </c>
      <c r="CY52" s="80">
        <f>IF(WWWW[[#This Row],['# people reached by regular dedicated hygiene promotion_5]]&gt;WWWW[[#This Row],['# People received regular supply of hygiene items_6]],WWWW[[#This Row],['# people reached by regular dedicated hygiene promotion_5]],WWWW[[#This Row],['# People received regular supply of hygiene items_6]])</f>
        <v>2380</v>
      </c>
      <c r="CZ52" s="78">
        <f>IF(WWWW[[#This Row],[HRP3]]/WWWW[[#This Row],[Total PoP ]]&gt;100%,100%,WWWW[[#This Row],[HRP3]]/WWWW[[#This Row],[Total PoP ]])</f>
        <v>0.92212320805889192</v>
      </c>
      <c r="DA52" s="82">
        <f>1-WWWW[[#This Row],[Hygiene Coverage%]]</f>
        <v>7.7876791941108081E-2</v>
      </c>
      <c r="DB52" s="81">
        <f>WWWW[[#This Row],['# people reached by regular dedicated hygiene promotion_5]]/WWWW[[#This Row],[Total PoP ]]</f>
        <v>0</v>
      </c>
      <c r="DC52" s="81">
        <f>IF(WWWW[[#This Row],['#_households that received standard amount of soap for this quarter]]/WWWW[[#This Row],[Total HH]]&gt;1,1,WWWW[[#This Row],['#_households that received standard amount of soap for this quarter]]/WWWW[[#This Row],[Total HH]])</f>
        <v>0.96945010183299385</v>
      </c>
      <c r="DD52" s="81">
        <f>IF(WWWW[[#This Row],['#_households that received standard amount of sanitary pads for this quarter]]/WWWW[[#This Row],[Total HH]]&gt;1,1,WWWW[[#This Row],['#_households that received standard amount of sanitary pads for this quarter]]/WWWW[[#This Row],[Total HH]])</f>
        <v>0</v>
      </c>
      <c r="DE52" s="80">
        <f>WWWW[[#This Row],['#_Constructed/Existing hand washing stations]]-WWWW[[#This Row],['#_Non-Functional_hand_washing_stations]]</f>
        <v>0</v>
      </c>
      <c r="DF52" s="757">
        <f>IF(WWWW[[#This Row],['# Functional hand washing stations during reporting period]]*20&gt;WWWW[[#This Row],[Total HH]],WWWW[[#This Row],[Total HH]],WWWW[[#This Row],['# Functional hand washing stations during reporting period]]*20)</f>
        <v>0</v>
      </c>
      <c r="DG52" s="79">
        <f>IF(WWWW[[#This Row],[Is sufficient soap available for TLS? (Yes/No)]]="yes",WWWW[[#This Row],['#_Constructed/Existing hand washing stations at TLS]],0)</f>
        <v>0</v>
      </c>
      <c r="DH52" s="578">
        <f>IF(WWWW[[#This Row],['# Functional hand washing stations during reporting period]]*100&gt;WWWW[[#This Row],[Total PoP ]],WWWW[[#This Row],[Total PoP ]],WWWW[[#This Row],['# Functional hand washing stations during reporting period]]*100)</f>
        <v>0</v>
      </c>
      <c r="DI52" s="578" t="str">
        <f>IF(OR(WWWW[[#This Row],['#_students at TLS_CFS]]="",WWWW[[#This Row],['#_students at TLS_CFS]]=0),"No","Yes")</f>
        <v>No</v>
      </c>
      <c r="DJ52" s="231" t="str">
        <f>VLOOKUP(WWWW[[#This Row],[Site Name]],SiteDB6[[Site Name]:[CCCM Management]],6,FALSE)</f>
        <v>Yes</v>
      </c>
      <c r="DK52" s="231" t="str">
        <f>VLOOKUP(WWWW[[#This Row],[Site Name]],SiteDB6[[Site Name]:[CCCM Focal Agency]],7,FALSE)</f>
        <v>KMSS-BMO</v>
      </c>
      <c r="DL52" s="231" t="str">
        <f>VLOOKUP(WWWW[[#This Row],[Site Name]],SiteDB6[[Site Name]:[Location Type 1]],9,FALSE)</f>
        <v>Camp</v>
      </c>
      <c r="DM52" s="231" t="str">
        <f>VLOOKUP(WWWW[[#This Row],[Site Name]],SiteDB6[[Site Name]:[Type of Accommodation]],10,FALSE)</f>
        <v>Camp</v>
      </c>
      <c r="DN52" s="231" t="str">
        <f>VLOOKUP(WWWW[[#This Row],[Site Name]],SiteDB6[[Site Name]:[Ethnic or GCA/NGCA]],11,FALSE)</f>
        <v>NGCA</v>
      </c>
      <c r="DO52" s="231">
        <f>VLOOKUP(WWWW[[#This Row],[Site Name]],SiteDB6[[Site Name]:[Lat]],12,FALSE)</f>
        <v>24.056132999999999</v>
      </c>
      <c r="DP52" s="231">
        <f>VLOOKUP(WWWW[[#This Row],[Site Name]],SiteDB6[[Site Name]:[Long]],13,FALSE)</f>
        <v>97.625617000000005</v>
      </c>
      <c r="DQ52" s="231" t="str">
        <f>VLOOKUP(WWWW[[#This Row],[Site Name]],SiteDB6[[Site Name]:[Pcode]],3,FALSE)</f>
        <v>MMR001CMP128</v>
      </c>
      <c r="DR52" s="207" t="str">
        <f t="shared" si="2"/>
        <v>Covered</v>
      </c>
      <c r="DS52" s="207"/>
      <c r="DT52" s="20"/>
      <c r="DU52" s="20"/>
      <c r="DV52" s="20"/>
      <c r="DW52" s="20"/>
      <c r="DX52" s="20"/>
      <c r="DY52" s="20"/>
      <c r="DZ52" s="20"/>
      <c r="EA52" s="20"/>
      <c r="EB52" s="20"/>
      <c r="EC52" s="20"/>
      <c r="ED52" s="20"/>
      <c r="EE52" s="20"/>
      <c r="EF52" s="20"/>
      <c r="EG52" s="20"/>
      <c r="EH52" s="20"/>
    </row>
    <row r="53" spans="1:138" ht="15.75" customHeight="1">
      <c r="A53" s="238" t="s">
        <v>2518</v>
      </c>
      <c r="B53" s="238" t="s">
        <v>149</v>
      </c>
      <c r="C53" s="574" t="s">
        <v>149</v>
      </c>
      <c r="D53" s="574" t="s">
        <v>152</v>
      </c>
      <c r="E53" s="574" t="s">
        <v>39</v>
      </c>
      <c r="F53" s="574" t="s">
        <v>167</v>
      </c>
      <c r="G53" s="574" t="str">
        <f>VLOOKUP(WWWW[[#This Row],[Site Name]],SiteDB6[[Site Name]:[Location Type]],8,FALSE)</f>
        <v>Camp</v>
      </c>
      <c r="H53" s="574" t="s">
        <v>169</v>
      </c>
      <c r="I53" s="583">
        <v>197</v>
      </c>
      <c r="J53" s="583">
        <v>1050</v>
      </c>
      <c r="K53" s="553">
        <v>43556</v>
      </c>
      <c r="L53" s="77">
        <v>43677</v>
      </c>
      <c r="M53" s="583"/>
      <c r="N53" s="583"/>
      <c r="O53" s="583"/>
      <c r="P53" s="583"/>
      <c r="Q53" s="76" t="s">
        <v>43</v>
      </c>
      <c r="R53" s="310"/>
      <c r="S53" s="310"/>
      <c r="T53" s="583">
        <v>1</v>
      </c>
      <c r="U53" s="310"/>
      <c r="V53" s="310"/>
      <c r="W53" s="583">
        <v>4</v>
      </c>
      <c r="X53" s="310"/>
      <c r="Y53" s="310"/>
      <c r="Z53" s="310"/>
      <c r="AA53" s="310"/>
      <c r="AB53" s="310"/>
      <c r="AC53" s="310"/>
      <c r="AD53" s="310"/>
      <c r="AE53" s="310"/>
      <c r="AF53" s="310"/>
      <c r="AG53" s="310"/>
      <c r="AH53" s="583">
        <v>5</v>
      </c>
      <c r="AI53" s="310"/>
      <c r="AJ53" s="310"/>
      <c r="AK53" s="310"/>
      <c r="AL53" s="310"/>
      <c r="AM53" s="310"/>
      <c r="AN53" s="310"/>
      <c r="AO53" s="207"/>
      <c r="AP53" s="583">
        <v>43</v>
      </c>
      <c r="AQ53" s="310"/>
      <c r="AR53" s="76"/>
      <c r="AS53" s="310"/>
      <c r="AT53" s="310"/>
      <c r="AU53" s="310">
        <v>41</v>
      </c>
      <c r="AV53" s="310"/>
      <c r="AW53" s="583">
        <v>43</v>
      </c>
      <c r="AX53" s="231" t="s">
        <v>43</v>
      </c>
      <c r="AY53" s="231" t="s">
        <v>145</v>
      </c>
      <c r="AZ53" s="310"/>
      <c r="BA53" s="310"/>
      <c r="BB53" s="310"/>
      <c r="BC53" s="207"/>
      <c r="BD53" s="310"/>
      <c r="BE53" s="310"/>
      <c r="BF53" s="310"/>
      <c r="BG53" s="310">
        <v>3</v>
      </c>
      <c r="BH53" s="310"/>
      <c r="BI53" s="310"/>
      <c r="BJ53" s="310">
        <v>5</v>
      </c>
      <c r="BK53" s="310"/>
      <c r="BL53" s="310"/>
      <c r="BM53" s="207"/>
      <c r="BN53" s="79"/>
      <c r="BO53" s="81"/>
      <c r="BP53" s="207"/>
      <c r="BQ53" s="78" t="str">
        <f>IFERROR(WWWW[[#This Row],['#_Water sources treated]]/WWWW[[#This Row],['#_Water sources tested for contamination]],"no test")</f>
        <v>no test</v>
      </c>
      <c r="BR53" s="81" t="str">
        <f>IFERROR(WWWW[[#This Row],['#_Household received remediation action due to contamination]]/WWWW[[#This Row],['#_Household water samples tested for contamination]],"no test")</f>
        <v>no test</v>
      </c>
      <c r="BS53" s="80" t="str">
        <f>IF(AND(WWWW[[#This Row],[% of water sources treated]]="no test",WWWW[[#This Row],[% Household received corrective actions]]="no test"),"No Test","Tested")</f>
        <v>No Test</v>
      </c>
      <c r="BT53" s="80">
        <f>WWWW[[#This Row],['#_Constructed/existing protected hand dug well]]-WWWW[[#This Row],['#_Non-functional protected hand dug well]]</f>
        <v>1</v>
      </c>
      <c r="BU53" s="80">
        <f>(WWWW[[#This Row],['#_Constructed/Existing tube wells/boreholes/handpumps_WASH_agency]]+WWWW[[#This Row],['#_Non-Cluster partner water tube-wells/boreholes/handpumps]])-WWWW[[#This Row],['#_Non-functional tube wells/boreholes/handpumps]]</f>
        <v>4</v>
      </c>
      <c r="BV53" s="80">
        <f>WWWW[[#This Row],['#_Constructed/Existingwater storage tank with gravity fed reticulation system]]-WWWW[[#This Row],['#_Non-functional storage tank gravity fed reticulation system]]</f>
        <v>0</v>
      </c>
      <c r="BW53" s="80">
        <f>WWWW[[#This Row],['#_Water boating or water trucking]]</f>
        <v>0</v>
      </c>
      <c r="BX53" s="80">
        <f>WWWW[[#This Row],['#_Constructed/Existing water distribution system from river or natural spring]]</f>
        <v>0</v>
      </c>
      <c r="BY5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 s="81">
        <f>IF(WWWW[[#This Row],[Location Type 1]]="Village",WWWW[[#This Row],[Access to safe drinking water for Village]],WWWW[[#This Row],[Access to safe drinking water for Camp]])</f>
        <v>1</v>
      </c>
      <c r="CB53" s="79">
        <f>WWWW[[#This Row],[%Equitable and continuous access to sufficient quantity of safe drinking water]]*WWWW[[#This Row],[Total PoP ]]</f>
        <v>1050</v>
      </c>
      <c r="CC53" s="81">
        <f>IF((WWWW[[#This Row],['#_Constructed/Existing protected/fenced ponds]]*250)/WWWW[[#This Row],[Total PoP ]]&gt;1,1,(WWWW[[#This Row],['#_Constructed/Existing protected/fenced ponds]]*250)/WWWW[[#This Row],[Total PoP ]])</f>
        <v>0</v>
      </c>
      <c r="CD53" s="79">
        <f>WWWW[[#This Row],[% Access to unimproved water points]]*WWWW[[#This Row],[Total PoP ]]</f>
        <v>0</v>
      </c>
      <c r="CE5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G53" s="79">
        <f>WWWW[[#This Row],[HRP1]]/500</f>
        <v>2.1</v>
      </c>
      <c r="CH53" s="78">
        <f>1-WWWW[[#This Row],[% Equitable and continuous access to sufficient quantity of domestic water]]</f>
        <v>0</v>
      </c>
      <c r="CI53" s="79">
        <f>WWWW[[#This Row],[%equitable and continuous access to sufficient quantity of safe drinking and domestic water''s GAP]]*WWWW[[#This Row],[Total PoP ]]</f>
        <v>0</v>
      </c>
      <c r="CJ53" s="80">
        <f>IF(WWWW[[#This Row],[Total required water points]]-WWWW[[#This Row],['#Water points coverage]]&lt;0,0,WWWW[[#This Row],[Total required water points]]-WWWW[[#This Row],['#Water points coverage]])</f>
        <v>0</v>
      </c>
      <c r="CK53" s="80">
        <f>ROUND(IF(WWWW[[#This Row],[Total PoP ]]&lt;500,1,WWWW[[#This Row],[Total PoP ]]/500),0)</f>
        <v>2</v>
      </c>
      <c r="CL53" s="80">
        <f>(WWWW[[#This Row],['#_Constructed latrines_by_WASHAgencies]]+WWWW[[#This Row],['#_Non Cluster partner latrines]])-WWWW[[#This Row],['#_Non-functional latrines]]</f>
        <v>43</v>
      </c>
      <c r="CM5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0.81904761904761902</v>
      </c>
      <c r="CN5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860</v>
      </c>
      <c r="CO5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820</v>
      </c>
      <c r="CP53" s="80">
        <f>IF(WWWW[[#This Row],[Location Type 1]]="Village","NA",IF(WWWW[[#This Row],['#_Constructed/Existing latrines in TLS]]*50&gt;WWWW[[#This Row],['#_students at TLS_CFS]],WWWW[[#This Row],['#_students at TLS_CFS]],(WWWW[[#This Row],['#_Constructed/Existing latrines in TLS]]*50)))</f>
        <v>0</v>
      </c>
      <c r="CQ53" s="80">
        <f>ROUND(IF(WWWW[[#This Row],[Location Type 1]]="camp",WWWW[[#This Row],[Total PoP ]]/20,IF(WWWW[[#This Row],[Location Type 1]]="Temporary Location",WWWW[[#This Row],[Total PoP ]]/50,(WWWW[[#This Row],[Total PoP ]]/6))),0)</f>
        <v>53</v>
      </c>
      <c r="CR53" s="79">
        <f>IF(WWWW[[#This Row],[Total required Latrines]]-(WWWW[[#This Row],['#_Constructed latrines_by_WASHAgencies]]+WWWW[[#This Row],['#_Non Cluster partner latrines]])&lt;0,0,WWWW[[#This Row],[Total required Latrines]]-(WWWW[[#This Row],['#_Constructed latrines_by_WASHAgencies]]+WWWW[[#This Row],['#_Non Cluster partner latrines]]))</f>
        <v>10</v>
      </c>
      <c r="CS53" s="78">
        <f>1-WWWW[[#This Row],[% people access to functioning Latrine]]</f>
        <v>0.18095238095238098</v>
      </c>
      <c r="CT53" s="82">
        <f>IF(OR(WWWW[[#This Row],['#_Non-functional latrines]]="",WWWW[[#This Row],['#_Non-functional latrines]]=0),0,WWWW[[#This Row],['#_Non-functional latrines]]/(WWWW[[#This Row],['#_Constructed latrines_by_WASHAgencies]]+WWWW[[#This Row],['#_Non Cluster partner latrines]]))</f>
        <v>0</v>
      </c>
      <c r="CU53" s="79">
        <f>IF(500*(WWWW[[#This Row],['#_male hygiene promoters]]+WWWW[[#This Row],['#_female hygiene promoters]])&gt;WWWW[[#This Row],[Total PoP ]],WWWW[[#This Row],[Total PoP ]],500*(WWWW[[#This Row],['#_male hygiene promoters]]+WWWW[[#This Row],['#_female hygiene promoters]]))</f>
        <v>1050</v>
      </c>
      <c r="CV5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 s="80">
        <f>IF(WWWW[[#This Row],['# People with access to soap]]&gt;WWWW[[#This Row],['# People with access to Sanity Pads]],WWWW[[#This Row],['# People with access to soap]],WWWW[[#This Row],['# People with access to Sanity Pads]])</f>
        <v>0</v>
      </c>
      <c r="CY53" s="80">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CZ53" s="78">
        <f>IF(WWWW[[#This Row],[HRP3]]/WWWW[[#This Row],[Total PoP ]]&gt;100%,100%,WWWW[[#This Row],[HRP3]]/WWWW[[#This Row],[Total PoP ]])</f>
        <v>1</v>
      </c>
      <c r="DA53" s="82">
        <f>1-WWWW[[#This Row],[Hygiene Coverage%]]</f>
        <v>0</v>
      </c>
      <c r="DB53" s="81">
        <f>WWWW[[#This Row],['# people reached by regular dedicated hygiene promotion_5]]/WWWW[[#This Row],[Total PoP ]]</f>
        <v>1</v>
      </c>
      <c r="DC53" s="81">
        <f>IF(WWWW[[#This Row],['#_households that received standard amount of soap for this quarter]]/WWWW[[#This Row],[Total HH]]&gt;1,1,WWWW[[#This Row],['#_households that received standard amount of soap for this quarter]]/WWWW[[#This Row],[Total HH]])</f>
        <v>0</v>
      </c>
      <c r="DD53" s="81">
        <f>IF(WWWW[[#This Row],['#_households that received standard amount of sanitary pads for this quarter]]/WWWW[[#This Row],[Total HH]]&gt;1,1,WWWW[[#This Row],['#_households that received standard amount of sanitary pads for this quarter]]/WWWW[[#This Row],[Total HH]])</f>
        <v>0</v>
      </c>
      <c r="DE53" s="80">
        <f>WWWW[[#This Row],['#_Constructed/Existing hand washing stations]]-WWWW[[#This Row],['#_Non-Functional_hand_washing_stations]]</f>
        <v>0</v>
      </c>
      <c r="DF53" s="757">
        <f>IF(WWWW[[#This Row],['# Functional hand washing stations during reporting period]]*20&gt;WWWW[[#This Row],[Total HH]],WWWW[[#This Row],[Total HH]],WWWW[[#This Row],['# Functional hand washing stations during reporting period]]*20)</f>
        <v>0</v>
      </c>
      <c r="DG53" s="79">
        <f>IF(WWWW[[#This Row],[Is sufficient soap available for TLS? (Yes/No)]]="yes",WWWW[[#This Row],['#_Constructed/Existing hand washing stations at TLS]],0)</f>
        <v>0</v>
      </c>
      <c r="DH53" s="578">
        <f>IF(WWWW[[#This Row],['# Functional hand washing stations during reporting period]]*100&gt;WWWW[[#This Row],[Total PoP ]],WWWW[[#This Row],[Total PoP ]],WWWW[[#This Row],['# Functional hand washing stations during reporting period]]*100)</f>
        <v>0</v>
      </c>
      <c r="DI53" s="578" t="str">
        <f>IF(OR(WWWW[[#This Row],['#_students at TLS_CFS]]="",WWWW[[#This Row],['#_students at TLS_CFS]]=0),"No","Yes")</f>
        <v>No</v>
      </c>
      <c r="DJ53" s="231" t="str">
        <f>VLOOKUP(WWWW[[#This Row],[Site Name]],SiteDB6[[Site Name]:[CCCM Management]],6,FALSE)</f>
        <v>Yes</v>
      </c>
      <c r="DK53" s="231" t="str">
        <f>VLOOKUP(WWWW[[#This Row],[Site Name]],SiteDB6[[Site Name]:[CCCM Focal Agency]],7,FALSE)</f>
        <v>KBC</v>
      </c>
      <c r="DL53" s="231" t="str">
        <f>VLOOKUP(WWWW[[#This Row],[Site Name]],SiteDB6[[Site Name]:[Location Type 1]],9,FALSE)</f>
        <v>Camp</v>
      </c>
      <c r="DM53" s="231" t="str">
        <f>VLOOKUP(WWWW[[#This Row],[Site Name]],SiteDB6[[Site Name]:[Type of Accommodation]],10,FALSE)</f>
        <v>Camp</v>
      </c>
      <c r="DN53" s="231" t="str">
        <f>VLOOKUP(WWWW[[#This Row],[Site Name]],SiteDB6[[Site Name]:[Ethnic or GCA/NGCA]],11,FALSE)</f>
        <v>GCA</v>
      </c>
      <c r="DO53" s="231">
        <f>VLOOKUP(WWWW[[#This Row],[Site Name]],SiteDB6[[Site Name]:[Lat]],12,FALSE)</f>
        <v>25.403476999999999</v>
      </c>
      <c r="DP53" s="231">
        <f>VLOOKUP(WWWW[[#This Row],[Site Name]],SiteDB6[[Site Name]:[Long]],13,FALSE)</f>
        <v>97.373361000000003</v>
      </c>
      <c r="DQ53" s="231" t="str">
        <f>VLOOKUP(WWWW[[#This Row],[Site Name]],SiteDB6[[Site Name]:[Pcode]],3,FALSE)</f>
        <v>MMR001CMP018</v>
      </c>
      <c r="DR53" s="207" t="str">
        <f t="shared" si="2"/>
        <v>Covered</v>
      </c>
      <c r="DS53" s="207"/>
      <c r="DT53" s="20"/>
      <c r="DU53" s="20"/>
      <c r="DV53" s="20"/>
      <c r="DW53" s="20"/>
      <c r="DX53" s="20"/>
      <c r="DY53" s="20"/>
      <c r="DZ53" s="20"/>
      <c r="EA53" s="20"/>
      <c r="EB53" s="20"/>
      <c r="EC53" s="20"/>
      <c r="ED53" s="20"/>
      <c r="EE53" s="20"/>
      <c r="EF53" s="20"/>
      <c r="EG53" s="20"/>
      <c r="EH53" s="20"/>
    </row>
    <row r="54" spans="1:138" ht="16.5" customHeight="1">
      <c r="A54" s="238" t="s">
        <v>2518</v>
      </c>
      <c r="B54" s="574" t="s">
        <v>38</v>
      </c>
      <c r="C54" s="574" t="s">
        <v>38</v>
      </c>
      <c r="D54" s="574" t="s">
        <v>328</v>
      </c>
      <c r="E54" s="574" t="s">
        <v>39</v>
      </c>
      <c r="F54" s="574" t="s">
        <v>156</v>
      </c>
      <c r="G54" s="574" t="str">
        <f>VLOOKUP(WWWW[[#This Row],[Site Name]],SiteDB6[[Site Name]:[Location Type]],8,FALSE)</f>
        <v>Camp</v>
      </c>
      <c r="H54" s="574" t="s">
        <v>2030</v>
      </c>
      <c r="I54" s="583">
        <v>48</v>
      </c>
      <c r="J54" s="583">
        <v>218</v>
      </c>
      <c r="K54" s="553">
        <v>43374</v>
      </c>
      <c r="L54" s="77">
        <v>43830</v>
      </c>
      <c r="M54" s="583"/>
      <c r="N54" s="583"/>
      <c r="O54" s="583"/>
      <c r="P54" s="583"/>
      <c r="Q54" s="574"/>
      <c r="R54" s="583"/>
      <c r="S54" s="583"/>
      <c r="T54" s="583"/>
      <c r="U54" s="583"/>
      <c r="V54" s="583"/>
      <c r="W54" s="583"/>
      <c r="X54" s="583"/>
      <c r="Y54" s="583"/>
      <c r="Z54" s="583"/>
      <c r="AA54" s="583">
        <v>1</v>
      </c>
      <c r="AB54" s="583"/>
      <c r="AC54" s="583"/>
      <c r="AD54" s="583"/>
      <c r="AE54" s="583"/>
      <c r="AF54" s="583"/>
      <c r="AG54" s="583"/>
      <c r="AH54" s="583"/>
      <c r="AI54" s="583"/>
      <c r="AJ54" s="583"/>
      <c r="AK54" s="583"/>
      <c r="AL54" s="583"/>
      <c r="AM54" s="583"/>
      <c r="AN54" s="583"/>
      <c r="AO54" s="578"/>
      <c r="AP54" s="601">
        <v>8</v>
      </c>
      <c r="AQ54" s="603">
        <v>4</v>
      </c>
      <c r="AR54" s="603"/>
      <c r="AS54" s="601">
        <v>4</v>
      </c>
      <c r="AT54" s="603"/>
      <c r="AU54" s="578"/>
      <c r="AV54" s="578"/>
      <c r="AW54" s="80"/>
      <c r="AX54" s="80" t="s">
        <v>144</v>
      </c>
      <c r="AY54" s="80" t="s">
        <v>144</v>
      </c>
      <c r="AZ54" s="80"/>
      <c r="BA54" s="80"/>
      <c r="BB54" s="578"/>
      <c r="BC54" s="578"/>
      <c r="BD54" s="578"/>
      <c r="BE54" s="578"/>
      <c r="BF54" s="578"/>
      <c r="BG54" s="601">
        <v>2</v>
      </c>
      <c r="BH54" s="578"/>
      <c r="BI54" s="601"/>
      <c r="BJ54" s="601">
        <v>1</v>
      </c>
      <c r="BK54" s="601">
        <v>42</v>
      </c>
      <c r="BL54" s="601">
        <v>42</v>
      </c>
      <c r="BM54" s="578"/>
      <c r="BN54" s="578"/>
      <c r="BO54" s="81"/>
      <c r="BP54" s="578"/>
      <c r="BQ54" s="78" t="str">
        <f>IFERROR(WWWW[[#This Row],['#_Water sources treated]]/WWWW[[#This Row],['#_Water sources tested for contamination]],"no test")</f>
        <v>no test</v>
      </c>
      <c r="BR54" s="81" t="str">
        <f>IFERROR(WWWW[[#This Row],['#_Household received remediation action due to contamination]]/WWWW[[#This Row],['#_Household water samples tested for contamination]],"no test")</f>
        <v>no test</v>
      </c>
      <c r="BS54" s="80" t="str">
        <f>IF(AND(WWWW[[#This Row],[% of water sources treated]]="no test",WWWW[[#This Row],[% Household received corrective actions]]="no test"),"No Test","Tested")</f>
        <v>No Test</v>
      </c>
      <c r="BT54" s="80">
        <f>WWWW[[#This Row],['#_Constructed/existing protected hand dug well]]-WWWW[[#This Row],['#_Non-functional protected hand dug well]]</f>
        <v>0</v>
      </c>
      <c r="BU54" s="80">
        <f>(WWWW[[#This Row],['#_Constructed/Existing tube wells/boreholes/handpumps_WASH_agency]]+WWWW[[#This Row],['#_Non-Cluster partner water tube-wells/boreholes/handpumps]])-WWWW[[#This Row],['#_Non-functional tube wells/boreholes/handpumps]]</f>
        <v>0</v>
      </c>
      <c r="BV54" s="80">
        <f>WWWW[[#This Row],['#_Constructed/Existingwater storage tank with gravity fed reticulation system]]-WWWW[[#This Row],['#_Non-functional storage tank gravity fed reticulation system]]</f>
        <v>1</v>
      </c>
      <c r="BW54" s="80">
        <f>WWWW[[#This Row],['#_Water boating or water trucking]]</f>
        <v>0</v>
      </c>
      <c r="BX54" s="80">
        <f>WWWW[[#This Row],['#_Constructed/Existing water distribution system from river or natural spring]]</f>
        <v>0</v>
      </c>
      <c r="BY5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0.30581039755351686</v>
      </c>
      <c r="BZ5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0.30581039755351686</v>
      </c>
      <c r="CA54" s="81">
        <f>IF(WWWW[[#This Row],[Location Type 1]]="Village",WWWW[[#This Row],[Access to safe drinking water for Village]],WWWW[[#This Row],[Access to safe drinking water for Camp]])</f>
        <v>0.30581039755351686</v>
      </c>
      <c r="CB54" s="79">
        <f>WWWW[[#This Row],[%Equitable and continuous access to sufficient quantity of safe drinking water]]*WWWW[[#This Row],[Total PoP ]]</f>
        <v>66.666666666666671</v>
      </c>
      <c r="CC54" s="81">
        <f>IF((WWWW[[#This Row],['#_Constructed/Existing protected/fenced ponds]]*250)/WWWW[[#This Row],[Total PoP ]]&gt;1,1,(WWWW[[#This Row],['#_Constructed/Existing protected/fenced ponds]]*250)/WWWW[[#This Row],[Total PoP ]])</f>
        <v>0</v>
      </c>
      <c r="CD54" s="79">
        <f>WWWW[[#This Row],[% Access to unimproved water points]]*WWWW[[#This Row],[Total PoP ]]</f>
        <v>0</v>
      </c>
      <c r="CE5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0.30581039755351686</v>
      </c>
      <c r="CF5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4" s="79">
        <f>WWWW[[#This Row],[HRP1]]/500</f>
        <v>0.13333333333333333</v>
      </c>
      <c r="CH54" s="78">
        <f>1-WWWW[[#This Row],[% Equitable and continuous access to sufficient quantity of domestic water]]</f>
        <v>0.69418960244648309</v>
      </c>
      <c r="CI54" s="79">
        <f>WWWW[[#This Row],[%equitable and continuous access to sufficient quantity of safe drinking and domestic water''s GAP]]*WWWW[[#This Row],[Total PoP ]]</f>
        <v>151.33333333333331</v>
      </c>
      <c r="CJ54" s="80">
        <f>IF(WWWW[[#This Row],[Total required water points]]-WWWW[[#This Row],['#Water points coverage]]&lt;0,0,WWWW[[#This Row],[Total required water points]]-WWWW[[#This Row],['#Water points coverage]])</f>
        <v>0.8666666666666667</v>
      </c>
      <c r="CK54" s="80">
        <f>ROUND(IF(WWWW[[#This Row],[Total PoP ]]&lt;500,1,WWWW[[#This Row],[Total PoP ]]/500),0)</f>
        <v>1</v>
      </c>
      <c r="CL54" s="80">
        <f>(WWWW[[#This Row],['#_Constructed latrines_by_WASHAgencies]]+WWWW[[#This Row],['#_Non Cluster partner latrines]])-WWWW[[#This Row],['#_Non-functional latrines]]</f>
        <v>8</v>
      </c>
      <c r="CM5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0.73394495412844041</v>
      </c>
      <c r="CN5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 s="80">
        <f>IF(WWWW[[#This Row],[Location Type 1]]="Village","NA",IF(WWWW[[#This Row],['#_Constructed/Existing latrines in TLS]]*50&gt;WWWW[[#This Row],['#_students at TLS_CFS]],WWWW[[#This Row],['#_students at TLS_CFS]],(WWWW[[#This Row],['#_Constructed/Existing latrines in TLS]]*50)))</f>
        <v>0</v>
      </c>
      <c r="CQ54" s="80">
        <f>ROUND(IF(WWWW[[#This Row],[Location Type 1]]="camp",WWWW[[#This Row],[Total PoP ]]/20,IF(WWWW[[#This Row],[Location Type 1]]="Temporary Location",WWWW[[#This Row],[Total PoP ]]/50,(WWWW[[#This Row],[Total PoP ]]/6))),0)</f>
        <v>11</v>
      </c>
      <c r="CR54" s="79">
        <f>IF(WWWW[[#This Row],[Total required Latrines]]-(WWWW[[#This Row],['#_Constructed latrines_by_WASHAgencies]]+WWWW[[#This Row],['#_Non Cluster partner latrines]])&lt;0,0,WWWW[[#This Row],[Total required Latrines]]-(WWWW[[#This Row],['#_Constructed latrines_by_WASHAgencies]]+WWWW[[#This Row],['#_Non Cluster partner latrines]]))</f>
        <v>0</v>
      </c>
      <c r="CS54" s="78">
        <f>1-WWWW[[#This Row],[% people access to functioning Latrine]]</f>
        <v>0.26605504587155959</v>
      </c>
      <c r="CT54" s="82">
        <f>IF(OR(WWWW[[#This Row],['#_Non-functional latrines]]="",WWWW[[#This Row],['#_Non-functional latrines]]=0),0,WWWW[[#This Row],['#_Non-functional latrines]]/(WWWW[[#This Row],['#_Constructed latrines_by_WASHAgencies]]+WWWW[[#This Row],['#_Non Cluster partner latrines]]))</f>
        <v>0.33333333333333331</v>
      </c>
      <c r="CU54" s="79">
        <f>IF(500*(WWWW[[#This Row],['#_male hygiene promoters]]+WWWW[[#This Row],['#_female hygiene promoters]])&gt;WWWW[[#This Row],[Total PoP ]],WWWW[[#This Row],[Total PoP ]],500*(WWWW[[#This Row],['#_male hygiene promoters]]+WWWW[[#This Row],['#_female hygiene promoters]]))</f>
        <v>218</v>
      </c>
      <c r="CV5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210</v>
      </c>
      <c r="CW5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210</v>
      </c>
      <c r="CX54" s="80">
        <f>IF(WWWW[[#This Row],['# People with access to soap]]&gt;WWWW[[#This Row],['# People with access to Sanity Pads]],WWWW[[#This Row],['# People with access to soap]],WWWW[[#This Row],['# People with access to Sanity Pads]])</f>
        <v>210</v>
      </c>
      <c r="CY54" s="80">
        <f>IF(WWWW[[#This Row],['# people reached by regular dedicated hygiene promotion_5]]&gt;WWWW[[#This Row],['# People received regular supply of hygiene items_6]],WWWW[[#This Row],['# people reached by regular dedicated hygiene promotion_5]],WWWW[[#This Row],['# People received regular supply of hygiene items_6]])</f>
        <v>218</v>
      </c>
      <c r="CZ54" s="78">
        <f>IF(WWWW[[#This Row],[HRP3]]/WWWW[[#This Row],[Total PoP ]]&gt;100%,100%,WWWW[[#This Row],[HRP3]]/WWWW[[#This Row],[Total PoP ]])</f>
        <v>1</v>
      </c>
      <c r="DA54" s="82">
        <f>1-WWWW[[#This Row],[Hygiene Coverage%]]</f>
        <v>0</v>
      </c>
      <c r="DB54" s="81">
        <f>WWWW[[#This Row],['# people reached by regular dedicated hygiene promotion_5]]/WWWW[[#This Row],[Total PoP ]]</f>
        <v>1</v>
      </c>
      <c r="DC54" s="81">
        <f>IF(WWWW[[#This Row],['#_households that received standard amount of soap for this quarter]]/WWWW[[#This Row],[Total HH]]&gt;1,1,WWWW[[#This Row],['#_households that received standard amount of soap for this quarter]]/WWWW[[#This Row],[Total HH]])</f>
        <v>0.875</v>
      </c>
      <c r="DD54" s="81">
        <f>IF(WWWW[[#This Row],['#_households that received standard amount of sanitary pads for this quarter]]/WWWW[[#This Row],[Total HH]]&gt;1,1,WWWW[[#This Row],['#_households that received standard amount of sanitary pads for this quarter]]/WWWW[[#This Row],[Total HH]])</f>
        <v>0.875</v>
      </c>
      <c r="DE54" s="80">
        <f>WWWW[[#This Row],['#_Constructed/Existing hand washing stations]]-WWWW[[#This Row],['#_Non-Functional_hand_washing_stations]]</f>
        <v>0</v>
      </c>
      <c r="DF54" s="757">
        <f>IF(WWWW[[#This Row],['# Functional hand washing stations during reporting period]]*20&gt;WWWW[[#This Row],[Total HH]],WWWW[[#This Row],[Total HH]],WWWW[[#This Row],['# Functional hand washing stations during reporting period]]*20)</f>
        <v>0</v>
      </c>
      <c r="DG54" s="79">
        <f>IF(WWWW[[#This Row],[Is sufficient soap available for TLS? (Yes/No)]]="yes",WWWW[[#This Row],['#_Constructed/Existing hand washing stations at TLS]],0)</f>
        <v>0</v>
      </c>
      <c r="DH54" s="578">
        <f>IF(WWWW[[#This Row],['# Functional hand washing stations during reporting period]]*100&gt;WWWW[[#This Row],[Total PoP ]],WWWW[[#This Row],[Total PoP ]],WWWW[[#This Row],['# Functional hand washing stations during reporting period]]*100)</f>
        <v>0</v>
      </c>
      <c r="DI54" s="578" t="str">
        <f>IF(OR(WWWW[[#This Row],['#_students at TLS_CFS]]="",WWWW[[#This Row],['#_students at TLS_CFS]]=0),"No","Yes")</f>
        <v>No</v>
      </c>
      <c r="DJ54" s="231">
        <f>VLOOKUP(WWWW[[#This Row],[Site Name]],SiteDB6[[Site Name]:[CCCM Management]],6,FALSE)</f>
        <v>0</v>
      </c>
      <c r="DK54" s="231" t="str">
        <f>VLOOKUP(WWWW[[#This Row],[Site Name]],SiteDB6[[Site Name]:[CCCM Focal Agency]],7,FALSE)</f>
        <v>KMSS-MYT</v>
      </c>
      <c r="DL54" s="231" t="str">
        <f>VLOOKUP(WWWW[[#This Row],[Site Name]],SiteDB6[[Site Name]:[Location Type 1]],9,FALSE)</f>
        <v>Camp</v>
      </c>
      <c r="DM54" s="231" t="str">
        <f>VLOOKUP(WWWW[[#This Row],[Site Name]],SiteDB6[[Site Name]:[Type of Accommodation]],10,FALSE)</f>
        <v>Camp</v>
      </c>
      <c r="DN54" s="231" t="str">
        <f>VLOOKUP(WWWW[[#This Row],[Site Name]],SiteDB6[[Site Name]:[Ethnic or GCA/NGCA]],11,FALSE)</f>
        <v>GCA</v>
      </c>
      <c r="DO54" s="231">
        <f>VLOOKUP(WWWW[[#This Row],[Site Name]],SiteDB6[[Site Name]:[Lat]],12,FALSE)</f>
        <v>0</v>
      </c>
      <c r="DP54" s="231">
        <f>VLOOKUP(WWWW[[#This Row],[Site Name]],SiteDB6[[Site Name]:[Long]],13,FALSE)</f>
        <v>0</v>
      </c>
      <c r="DQ54" s="231" t="str">
        <f>VLOOKUP(WWWW[[#This Row],[Site Name]],SiteDB6[[Site Name]:[Pcode]],3,FALSE)</f>
        <v>MMR001CMP268</v>
      </c>
      <c r="DR54" s="207" t="str">
        <f t="shared" si="2"/>
        <v>Covered</v>
      </c>
      <c r="DS54" s="207"/>
      <c r="DT54" s="20"/>
      <c r="DU54" s="20"/>
      <c r="DV54" s="20"/>
      <c r="DW54" s="20"/>
      <c r="DX54" s="20"/>
      <c r="DY54" s="20"/>
      <c r="DZ54" s="20"/>
      <c r="EA54" s="20"/>
      <c r="EB54" s="20"/>
      <c r="EC54" s="20"/>
      <c r="ED54" s="20"/>
      <c r="EE54" s="20"/>
      <c r="EF54" s="20"/>
      <c r="EG54" s="20"/>
      <c r="EH54" s="20"/>
    </row>
    <row r="55" spans="1:138" ht="15.75" customHeight="1">
      <c r="A55" s="238" t="s">
        <v>2518</v>
      </c>
      <c r="B55" s="574" t="s">
        <v>317</v>
      </c>
      <c r="C55" s="574" t="s">
        <v>317</v>
      </c>
      <c r="D55" s="574"/>
      <c r="E55" s="574" t="s">
        <v>39</v>
      </c>
      <c r="F55" s="574" t="s">
        <v>40</v>
      </c>
      <c r="G55" s="574" t="str">
        <f>VLOOKUP(WWWW[[#This Row],[Site Name]],SiteDB6[[Site Name]:[Location Type]],8,FALSE)</f>
        <v>Camp</v>
      </c>
      <c r="H55" s="76" t="s">
        <v>306</v>
      </c>
      <c r="I55" s="583">
        <v>127</v>
      </c>
      <c r="J55" s="583">
        <v>647</v>
      </c>
      <c r="K55" s="553"/>
      <c r="L55" s="77"/>
      <c r="M55" s="583"/>
      <c r="N55" s="583"/>
      <c r="O55" s="583"/>
      <c r="P55" s="583"/>
      <c r="Q55" s="76"/>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207"/>
      <c r="AP55" s="310"/>
      <c r="AQ55" s="310"/>
      <c r="AR55" s="76"/>
      <c r="AS55" s="310"/>
      <c r="AT55" s="310"/>
      <c r="AU55" s="310"/>
      <c r="AV55" s="310"/>
      <c r="AW55" s="310"/>
      <c r="AX55" s="231"/>
      <c r="AY55" s="231"/>
      <c r="AZ55" s="310"/>
      <c r="BA55" s="310"/>
      <c r="BB55" s="310"/>
      <c r="BC55" s="207"/>
      <c r="BD55" s="310"/>
      <c r="BE55" s="310"/>
      <c r="BF55" s="310"/>
      <c r="BG55" s="310"/>
      <c r="BH55" s="310"/>
      <c r="BI55" s="310"/>
      <c r="BJ55" s="310"/>
      <c r="BK55" s="310"/>
      <c r="BL55" s="310"/>
      <c r="BM55" s="207"/>
      <c r="BN55" s="79"/>
      <c r="BO55" s="81"/>
      <c r="BP55" s="207"/>
      <c r="BQ55" s="78" t="str">
        <f>IFERROR(WWWW[[#This Row],['#_Water sources treated]]/WWWW[[#This Row],['#_Water sources tested for contamination]],"no test")</f>
        <v>no test</v>
      </c>
      <c r="BR55" s="81" t="str">
        <f>IFERROR(WWWW[[#This Row],['#_Household received remediation action due to contamination]]/WWWW[[#This Row],['#_Household water samples tested for contamination]],"no test")</f>
        <v>no test</v>
      </c>
      <c r="BS55" s="80" t="str">
        <f>IF(AND(WWWW[[#This Row],[% of water sources treated]]="no test",WWWW[[#This Row],[% Household received corrective actions]]="no test"),"No Test","Tested")</f>
        <v>No Test</v>
      </c>
      <c r="BT55" s="80">
        <f>WWWW[[#This Row],['#_Constructed/existing protected hand dug well]]-WWWW[[#This Row],['#_Non-functional protected hand dug well]]</f>
        <v>0</v>
      </c>
      <c r="BU55" s="80">
        <f>(WWWW[[#This Row],['#_Constructed/Existing tube wells/boreholes/handpumps_WASH_agency]]+WWWW[[#This Row],['#_Non-Cluster partner water tube-wells/boreholes/handpumps]])-WWWW[[#This Row],['#_Non-functional tube wells/boreholes/handpumps]]</f>
        <v>0</v>
      </c>
      <c r="BV55" s="80">
        <f>WWWW[[#This Row],['#_Constructed/Existingwater storage tank with gravity fed reticulation system]]-WWWW[[#This Row],['#_Non-functional storage tank gravity fed reticulation system]]</f>
        <v>0</v>
      </c>
      <c r="BW55" s="80">
        <f>WWWW[[#This Row],['#_Water boating or water trucking]]</f>
        <v>0</v>
      </c>
      <c r="BX55" s="80">
        <f>WWWW[[#This Row],['#_Constructed/Existing water distribution system from river or natural spring]]</f>
        <v>0</v>
      </c>
      <c r="BY5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5" s="81">
        <f>IF(WWWW[[#This Row],[Location Type 1]]="Village",WWWW[[#This Row],[Access to safe drinking water for Village]],WWWW[[#This Row],[Access to safe drinking water for Camp]])</f>
        <v>0</v>
      </c>
      <c r="CB55" s="79">
        <f>WWWW[[#This Row],[%Equitable and continuous access to sufficient quantity of safe drinking water]]*WWWW[[#This Row],[Total PoP ]]</f>
        <v>0</v>
      </c>
      <c r="CC55" s="81">
        <f>IF((WWWW[[#This Row],['#_Constructed/Existing protected/fenced ponds]]*250)/WWWW[[#This Row],[Total PoP ]]&gt;1,1,(WWWW[[#This Row],['#_Constructed/Existing protected/fenced ponds]]*250)/WWWW[[#This Row],[Total PoP ]])</f>
        <v>0</v>
      </c>
      <c r="CD55" s="79">
        <f>WWWW[[#This Row],[% Access to unimproved water points]]*WWWW[[#This Row],[Total PoP ]]</f>
        <v>0</v>
      </c>
      <c r="CE5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5" s="79">
        <f>WWWW[[#This Row],[HRP1]]/500</f>
        <v>0</v>
      </c>
      <c r="CH55" s="78">
        <f>1-WWWW[[#This Row],[% Equitable and continuous access to sufficient quantity of domestic water]]</f>
        <v>1</v>
      </c>
      <c r="CI55" s="79">
        <f>WWWW[[#This Row],[%equitable and continuous access to sufficient quantity of safe drinking and domestic water''s GAP]]*WWWW[[#This Row],[Total PoP ]]</f>
        <v>647</v>
      </c>
      <c r="CJ55" s="80">
        <f>IF(WWWW[[#This Row],[Total required water points]]-WWWW[[#This Row],['#Water points coverage]]&lt;0,0,WWWW[[#This Row],[Total required water points]]-WWWW[[#This Row],['#Water points coverage]])</f>
        <v>1</v>
      </c>
      <c r="CK55" s="80">
        <f>ROUND(IF(WWWW[[#This Row],[Total PoP ]]&lt;500,1,WWWW[[#This Row],[Total PoP ]]/500),0)</f>
        <v>1</v>
      </c>
      <c r="CL55" s="80">
        <f>(WWWW[[#This Row],['#_Constructed latrines_by_WASHAgencies]]+WWWW[[#This Row],['#_Non Cluster partner latrines]])-WWWW[[#This Row],['#_Non-functional latrines]]</f>
        <v>0</v>
      </c>
      <c r="CM5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 s="80">
        <f>IF(WWWW[[#This Row],[Location Type 1]]="Village","NA",IF(WWWW[[#This Row],['#_Constructed/Existing latrines in TLS]]*50&gt;WWWW[[#This Row],['#_students at TLS_CFS]],WWWW[[#This Row],['#_students at TLS_CFS]],(WWWW[[#This Row],['#_Constructed/Existing latrines in TLS]]*50)))</f>
        <v>0</v>
      </c>
      <c r="CQ55" s="80">
        <f>ROUND(IF(WWWW[[#This Row],[Location Type 1]]="camp",WWWW[[#This Row],[Total PoP ]]/20,IF(WWWW[[#This Row],[Location Type 1]]="Temporary Location",WWWW[[#This Row],[Total PoP ]]/50,(WWWW[[#This Row],[Total PoP ]]/6))),0)</f>
        <v>32</v>
      </c>
      <c r="CR55" s="79">
        <f>IF(WWWW[[#This Row],[Total required Latrines]]-(WWWW[[#This Row],['#_Constructed latrines_by_WASHAgencies]]+WWWW[[#This Row],['#_Non Cluster partner latrines]])&lt;0,0,WWWW[[#This Row],[Total required Latrines]]-(WWWW[[#This Row],['#_Constructed latrines_by_WASHAgencies]]+WWWW[[#This Row],['#_Non Cluster partner latrines]]))</f>
        <v>32</v>
      </c>
      <c r="CS55" s="78">
        <f>1-WWWW[[#This Row],[% people access to functioning Latrine]]</f>
        <v>1</v>
      </c>
      <c r="CT55" s="82">
        <f>IF(OR(WWWW[[#This Row],['#_Non-functional latrines]]="",WWWW[[#This Row],['#_Non-functional latrines]]=0),0,WWWW[[#This Row],['#_Non-functional latrines]]/(WWWW[[#This Row],['#_Constructed latrines_by_WASHAgencies]]+WWWW[[#This Row],['#_Non Cluster partner latrines]]))</f>
        <v>0</v>
      </c>
      <c r="CU55" s="79">
        <f>IF(500*(WWWW[[#This Row],['#_male hygiene promoters]]+WWWW[[#This Row],['#_female hygiene promoters]])&gt;WWWW[[#This Row],[Total PoP ]],WWWW[[#This Row],[Total PoP ]],500*(WWWW[[#This Row],['#_male hygiene promoters]]+WWWW[[#This Row],['#_female hygiene promoters]]))</f>
        <v>0</v>
      </c>
      <c r="CV5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 s="80">
        <f>IF(WWWW[[#This Row],['# People with access to soap]]&gt;WWWW[[#This Row],['# People with access to Sanity Pads]],WWWW[[#This Row],['# People with access to soap]],WWWW[[#This Row],['# People with access to Sanity Pads]])</f>
        <v>0</v>
      </c>
      <c r="CY55"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5" s="78">
        <f>IF(WWWW[[#This Row],[HRP3]]/WWWW[[#This Row],[Total PoP ]]&gt;100%,100%,WWWW[[#This Row],[HRP3]]/WWWW[[#This Row],[Total PoP ]])</f>
        <v>0</v>
      </c>
      <c r="DA55" s="82">
        <f>1-WWWW[[#This Row],[Hygiene Coverage%]]</f>
        <v>1</v>
      </c>
      <c r="DB55" s="81">
        <f>WWWW[[#This Row],['# people reached by regular dedicated hygiene promotion_5]]/WWWW[[#This Row],[Total PoP ]]</f>
        <v>0</v>
      </c>
      <c r="DC55" s="81">
        <f>IF(WWWW[[#This Row],['#_households that received standard amount of soap for this quarter]]/WWWW[[#This Row],[Total HH]]&gt;1,1,WWWW[[#This Row],['#_households that received standard amount of soap for this quarter]]/WWWW[[#This Row],[Total HH]])</f>
        <v>0</v>
      </c>
      <c r="DD55" s="81">
        <f>IF(WWWW[[#This Row],['#_households that received standard amount of sanitary pads for this quarter]]/WWWW[[#This Row],[Total HH]]&gt;1,1,WWWW[[#This Row],['#_households that received standard amount of sanitary pads for this quarter]]/WWWW[[#This Row],[Total HH]])</f>
        <v>0</v>
      </c>
      <c r="DE55" s="80">
        <f>WWWW[[#This Row],['#_Constructed/Existing hand washing stations]]-WWWW[[#This Row],['#_Non-Functional_hand_washing_stations]]</f>
        <v>0</v>
      </c>
      <c r="DF55" s="757">
        <f>IF(WWWW[[#This Row],['# Functional hand washing stations during reporting period]]*20&gt;WWWW[[#This Row],[Total HH]],WWWW[[#This Row],[Total HH]],WWWW[[#This Row],['# Functional hand washing stations during reporting period]]*20)</f>
        <v>0</v>
      </c>
      <c r="DG55" s="79">
        <f>IF(WWWW[[#This Row],[Is sufficient soap available for TLS? (Yes/No)]]="yes",WWWW[[#This Row],['#_Constructed/Existing hand washing stations at TLS]],0)</f>
        <v>0</v>
      </c>
      <c r="DH55" s="578">
        <f>IF(WWWW[[#This Row],['# Functional hand washing stations during reporting period]]*100&gt;WWWW[[#This Row],[Total PoP ]],WWWW[[#This Row],[Total PoP ]],WWWW[[#This Row],['# Functional hand washing stations during reporting period]]*100)</f>
        <v>0</v>
      </c>
      <c r="DI55" s="578" t="str">
        <f>IF(OR(WWWW[[#This Row],['#_students at TLS_CFS]]="",WWWW[[#This Row],['#_students at TLS_CFS]]=0),"No","Yes")</f>
        <v>No</v>
      </c>
      <c r="DJ55" s="231" t="str">
        <f>VLOOKUP(WWWW[[#This Row],[Site Name]],SiteDB6[[Site Name]:[CCCM Management]],6,FALSE)</f>
        <v>Yes</v>
      </c>
      <c r="DK55" s="231" t="str">
        <f>VLOOKUP(WWWW[[#This Row],[Site Name]],SiteDB6[[Site Name]:[CCCM Focal Agency]],7,FALSE)</f>
        <v>KBC</v>
      </c>
      <c r="DL55" s="231" t="str">
        <f>VLOOKUP(WWWW[[#This Row],[Site Name]],SiteDB6[[Site Name]:[Location Type 1]],9,FALSE)</f>
        <v>Camp</v>
      </c>
      <c r="DM55" s="231" t="str">
        <f>VLOOKUP(WWWW[[#This Row],[Site Name]],SiteDB6[[Site Name]:[Type of Accommodation]],10,FALSE)</f>
        <v>Camp</v>
      </c>
      <c r="DN55" s="231" t="str">
        <f>VLOOKUP(WWWW[[#This Row],[Site Name]],SiteDB6[[Site Name]:[Ethnic or GCA/NGCA]],11,FALSE)</f>
        <v>GCA</v>
      </c>
      <c r="DO55" s="231">
        <f>VLOOKUP(WWWW[[#This Row],[Site Name]],SiteDB6[[Site Name]:[Lat]],12,FALSE)</f>
        <v>23.83013</v>
      </c>
      <c r="DP55" s="231">
        <f>VLOOKUP(WWWW[[#This Row],[Site Name]],SiteDB6[[Site Name]:[Long]],13,FALSE)</f>
        <v>97.589979999999997</v>
      </c>
      <c r="DQ55" s="231" t="str">
        <f>VLOOKUP(WWWW[[#This Row],[Site Name]],SiteDB6[[Site Name]:[Pcode]],3,FALSE)</f>
        <v>MMR001CMP133</v>
      </c>
      <c r="DR55" s="207" t="str">
        <f t="shared" si="2"/>
        <v>Notcovered</v>
      </c>
      <c r="DS55" s="207"/>
      <c r="DT55" s="20"/>
      <c r="DU55" s="20"/>
      <c r="DV55" s="20"/>
      <c r="DW55" s="20"/>
      <c r="DX55" s="20"/>
      <c r="DY55" s="20"/>
      <c r="DZ55" s="20"/>
      <c r="EA55" s="20"/>
      <c r="EB55" s="20"/>
      <c r="EC55" s="20"/>
      <c r="ED55" s="20"/>
      <c r="EE55" s="20"/>
      <c r="EF55" s="20"/>
      <c r="EG55" s="20"/>
      <c r="EH55" s="20"/>
    </row>
    <row r="56" spans="1:138" ht="15.75" customHeight="1">
      <c r="A56" s="238" t="s">
        <v>2518</v>
      </c>
      <c r="B56" s="574" t="s">
        <v>317</v>
      </c>
      <c r="C56" s="574" t="s">
        <v>317</v>
      </c>
      <c r="D56" s="574"/>
      <c r="E56" s="574" t="s">
        <v>39</v>
      </c>
      <c r="F56" s="574" t="s">
        <v>40</v>
      </c>
      <c r="G56" s="574" t="str">
        <f>VLOOKUP(WWWW[[#This Row],[Site Name]],SiteDB6[[Site Name]:[Location Type]],8,FALSE)</f>
        <v>Camp</v>
      </c>
      <c r="H56" s="76" t="s">
        <v>308</v>
      </c>
      <c r="I56" s="583">
        <v>117</v>
      </c>
      <c r="J56" s="583">
        <v>524</v>
      </c>
      <c r="K56" s="553"/>
      <c r="L56" s="77"/>
      <c r="M56" s="583"/>
      <c r="N56" s="583"/>
      <c r="O56" s="583"/>
      <c r="P56" s="583"/>
      <c r="Q56" s="76"/>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207"/>
      <c r="AP56" s="310"/>
      <c r="AQ56" s="310"/>
      <c r="AR56" s="76"/>
      <c r="AS56" s="310"/>
      <c r="AT56" s="310"/>
      <c r="AU56" s="310"/>
      <c r="AV56" s="310"/>
      <c r="AW56" s="310"/>
      <c r="AX56" s="231"/>
      <c r="AY56" s="231"/>
      <c r="AZ56" s="310"/>
      <c r="BA56" s="310"/>
      <c r="BB56" s="310"/>
      <c r="BC56" s="207"/>
      <c r="BD56" s="310"/>
      <c r="BE56" s="310"/>
      <c r="BF56" s="310"/>
      <c r="BG56" s="310"/>
      <c r="BH56" s="310"/>
      <c r="BI56" s="310"/>
      <c r="BJ56" s="310"/>
      <c r="BK56" s="310"/>
      <c r="BL56" s="310"/>
      <c r="BM56" s="207"/>
      <c r="BN56" s="79"/>
      <c r="BO56" s="81"/>
      <c r="BP56" s="207"/>
      <c r="BQ56" s="78" t="str">
        <f>IFERROR(WWWW[[#This Row],['#_Water sources treated]]/WWWW[[#This Row],['#_Water sources tested for contamination]],"no test")</f>
        <v>no test</v>
      </c>
      <c r="BR56" s="81" t="str">
        <f>IFERROR(WWWW[[#This Row],['#_Household received remediation action due to contamination]]/WWWW[[#This Row],['#_Household water samples tested for contamination]],"no test")</f>
        <v>no test</v>
      </c>
      <c r="BS56" s="80" t="str">
        <f>IF(AND(WWWW[[#This Row],[% of water sources treated]]="no test",WWWW[[#This Row],[% Household received corrective actions]]="no test"),"No Test","Tested")</f>
        <v>No Test</v>
      </c>
      <c r="BT56" s="80">
        <f>WWWW[[#This Row],['#_Constructed/existing protected hand dug well]]-WWWW[[#This Row],['#_Non-functional protected hand dug well]]</f>
        <v>0</v>
      </c>
      <c r="BU56" s="80">
        <f>(WWWW[[#This Row],['#_Constructed/Existing tube wells/boreholes/handpumps_WASH_agency]]+WWWW[[#This Row],['#_Non-Cluster partner water tube-wells/boreholes/handpumps]])-WWWW[[#This Row],['#_Non-functional tube wells/boreholes/handpumps]]</f>
        <v>0</v>
      </c>
      <c r="BV56" s="80">
        <f>WWWW[[#This Row],['#_Constructed/Existingwater storage tank with gravity fed reticulation system]]-WWWW[[#This Row],['#_Non-functional storage tank gravity fed reticulation system]]</f>
        <v>0</v>
      </c>
      <c r="BW56" s="80">
        <f>WWWW[[#This Row],['#_Water boating or water trucking]]</f>
        <v>0</v>
      </c>
      <c r="BX56" s="80">
        <f>WWWW[[#This Row],['#_Constructed/Existing water distribution system from river or natural spring]]</f>
        <v>0</v>
      </c>
      <c r="BY5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6" s="81">
        <f>IF(WWWW[[#This Row],[Location Type 1]]="Village",WWWW[[#This Row],[Access to safe drinking water for Village]],WWWW[[#This Row],[Access to safe drinking water for Camp]])</f>
        <v>0</v>
      </c>
      <c r="CB56" s="79">
        <f>WWWW[[#This Row],[%Equitable and continuous access to sufficient quantity of safe drinking water]]*WWWW[[#This Row],[Total PoP ]]</f>
        <v>0</v>
      </c>
      <c r="CC56" s="81">
        <f>IF((WWWW[[#This Row],['#_Constructed/Existing protected/fenced ponds]]*250)/WWWW[[#This Row],[Total PoP ]]&gt;1,1,(WWWW[[#This Row],['#_Constructed/Existing protected/fenced ponds]]*250)/WWWW[[#This Row],[Total PoP ]])</f>
        <v>0</v>
      </c>
      <c r="CD56" s="79">
        <f>WWWW[[#This Row],[% Access to unimproved water points]]*WWWW[[#This Row],[Total PoP ]]</f>
        <v>0</v>
      </c>
      <c r="CE5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6" s="79">
        <f>WWWW[[#This Row],[HRP1]]/500</f>
        <v>0</v>
      </c>
      <c r="CH56" s="78">
        <f>1-WWWW[[#This Row],[% Equitable and continuous access to sufficient quantity of domestic water]]</f>
        <v>1</v>
      </c>
      <c r="CI56" s="79">
        <f>WWWW[[#This Row],[%equitable and continuous access to sufficient quantity of safe drinking and domestic water''s GAP]]*WWWW[[#This Row],[Total PoP ]]</f>
        <v>524</v>
      </c>
      <c r="CJ56" s="80">
        <f>IF(WWWW[[#This Row],[Total required water points]]-WWWW[[#This Row],['#Water points coverage]]&lt;0,0,WWWW[[#This Row],[Total required water points]]-WWWW[[#This Row],['#Water points coverage]])</f>
        <v>1</v>
      </c>
      <c r="CK56" s="80">
        <f>ROUND(IF(WWWW[[#This Row],[Total PoP ]]&lt;500,1,WWWW[[#This Row],[Total PoP ]]/500),0)</f>
        <v>1</v>
      </c>
      <c r="CL56" s="80">
        <f>(WWWW[[#This Row],['#_Constructed latrines_by_WASHAgencies]]+WWWW[[#This Row],['#_Non Cluster partner latrines]])-WWWW[[#This Row],['#_Non-functional latrines]]</f>
        <v>0</v>
      </c>
      <c r="CM5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 s="80">
        <f>IF(WWWW[[#This Row],[Location Type 1]]="Village","NA",IF(WWWW[[#This Row],['#_Constructed/Existing latrines in TLS]]*50&gt;WWWW[[#This Row],['#_students at TLS_CFS]],WWWW[[#This Row],['#_students at TLS_CFS]],(WWWW[[#This Row],['#_Constructed/Existing latrines in TLS]]*50)))</f>
        <v>0</v>
      </c>
      <c r="CQ56" s="80">
        <f>ROUND(IF(WWWW[[#This Row],[Location Type 1]]="camp",WWWW[[#This Row],[Total PoP ]]/20,IF(WWWW[[#This Row],[Location Type 1]]="Temporary Location",WWWW[[#This Row],[Total PoP ]]/50,(WWWW[[#This Row],[Total PoP ]]/6))),0)</f>
        <v>26</v>
      </c>
      <c r="CR56" s="79">
        <f>IF(WWWW[[#This Row],[Total required Latrines]]-(WWWW[[#This Row],['#_Constructed latrines_by_WASHAgencies]]+WWWW[[#This Row],['#_Non Cluster partner latrines]])&lt;0,0,WWWW[[#This Row],[Total required Latrines]]-(WWWW[[#This Row],['#_Constructed latrines_by_WASHAgencies]]+WWWW[[#This Row],['#_Non Cluster partner latrines]]))</f>
        <v>26</v>
      </c>
      <c r="CS56" s="78">
        <f>1-WWWW[[#This Row],[% people access to functioning Latrine]]</f>
        <v>1</v>
      </c>
      <c r="CT56" s="82">
        <f>IF(OR(WWWW[[#This Row],['#_Non-functional latrines]]="",WWWW[[#This Row],['#_Non-functional latrines]]=0),0,WWWW[[#This Row],['#_Non-functional latrines]]/(WWWW[[#This Row],['#_Constructed latrines_by_WASHAgencies]]+WWWW[[#This Row],['#_Non Cluster partner latrines]]))</f>
        <v>0</v>
      </c>
      <c r="CU56" s="79">
        <f>IF(500*(WWWW[[#This Row],['#_male hygiene promoters]]+WWWW[[#This Row],['#_female hygiene promoters]])&gt;WWWW[[#This Row],[Total PoP ]],WWWW[[#This Row],[Total PoP ]],500*(WWWW[[#This Row],['#_male hygiene promoters]]+WWWW[[#This Row],['#_female hygiene promoters]]))</f>
        <v>0</v>
      </c>
      <c r="CV5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 s="80">
        <f>IF(WWWW[[#This Row],['# People with access to soap]]&gt;WWWW[[#This Row],['# People with access to Sanity Pads]],WWWW[[#This Row],['# People with access to soap]],WWWW[[#This Row],['# People with access to Sanity Pads]])</f>
        <v>0</v>
      </c>
      <c r="CY56"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6" s="78">
        <f>IF(WWWW[[#This Row],[HRP3]]/WWWW[[#This Row],[Total PoP ]]&gt;100%,100%,WWWW[[#This Row],[HRP3]]/WWWW[[#This Row],[Total PoP ]])</f>
        <v>0</v>
      </c>
      <c r="DA56" s="82">
        <f>1-WWWW[[#This Row],[Hygiene Coverage%]]</f>
        <v>1</v>
      </c>
      <c r="DB56" s="81">
        <f>WWWW[[#This Row],['# people reached by regular dedicated hygiene promotion_5]]/WWWW[[#This Row],[Total PoP ]]</f>
        <v>0</v>
      </c>
      <c r="DC56" s="81">
        <f>IF(WWWW[[#This Row],['#_households that received standard amount of soap for this quarter]]/WWWW[[#This Row],[Total HH]]&gt;1,1,WWWW[[#This Row],['#_households that received standard amount of soap for this quarter]]/WWWW[[#This Row],[Total HH]])</f>
        <v>0</v>
      </c>
      <c r="DD56" s="81">
        <f>IF(WWWW[[#This Row],['#_households that received standard amount of sanitary pads for this quarter]]/WWWW[[#This Row],[Total HH]]&gt;1,1,WWWW[[#This Row],['#_households that received standard amount of sanitary pads for this quarter]]/WWWW[[#This Row],[Total HH]])</f>
        <v>0</v>
      </c>
      <c r="DE56" s="80">
        <f>WWWW[[#This Row],['#_Constructed/Existing hand washing stations]]-WWWW[[#This Row],['#_Non-Functional_hand_washing_stations]]</f>
        <v>0</v>
      </c>
      <c r="DF56" s="757">
        <f>IF(WWWW[[#This Row],['# Functional hand washing stations during reporting period]]*20&gt;WWWW[[#This Row],[Total HH]],WWWW[[#This Row],[Total HH]],WWWW[[#This Row],['# Functional hand washing stations during reporting period]]*20)</f>
        <v>0</v>
      </c>
      <c r="DG56" s="79">
        <f>IF(WWWW[[#This Row],[Is sufficient soap available for TLS? (Yes/No)]]="yes",WWWW[[#This Row],['#_Constructed/Existing hand washing stations at TLS]],0)</f>
        <v>0</v>
      </c>
      <c r="DH56" s="578">
        <f>IF(WWWW[[#This Row],['# Functional hand washing stations during reporting period]]*100&gt;WWWW[[#This Row],[Total PoP ]],WWWW[[#This Row],[Total PoP ]],WWWW[[#This Row],['# Functional hand washing stations during reporting period]]*100)</f>
        <v>0</v>
      </c>
      <c r="DI56" s="578" t="str">
        <f>IF(OR(WWWW[[#This Row],['#_students at TLS_CFS]]="",WWWW[[#This Row],['#_students at TLS_CFS]]=0),"No","Yes")</f>
        <v>No</v>
      </c>
      <c r="DJ56" s="231" t="str">
        <f>VLOOKUP(WWWW[[#This Row],[Site Name]],SiteDB6[[Site Name]:[CCCM Management]],6,FALSE)</f>
        <v>Yes</v>
      </c>
      <c r="DK56" s="231" t="str">
        <f>VLOOKUP(WWWW[[#This Row],[Site Name]],SiteDB6[[Site Name]:[CCCM Focal Agency]],7,FALSE)</f>
        <v>KBC</v>
      </c>
      <c r="DL56" s="231" t="str">
        <f>VLOOKUP(WWWW[[#This Row],[Site Name]],SiteDB6[[Site Name]:[Location Type 1]],9,FALSE)</f>
        <v>Camp</v>
      </c>
      <c r="DM56" s="231" t="str">
        <f>VLOOKUP(WWWW[[#This Row],[Site Name]],SiteDB6[[Site Name]:[Type of Accommodation]],10,FALSE)</f>
        <v>Camp</v>
      </c>
      <c r="DN56" s="231" t="str">
        <f>VLOOKUP(WWWW[[#This Row],[Site Name]],SiteDB6[[Site Name]:[Ethnic or GCA/NGCA]],11,FALSE)</f>
        <v>GCA</v>
      </c>
      <c r="DO56" s="231">
        <f>VLOOKUP(WWWW[[#This Row],[Site Name]],SiteDB6[[Site Name]:[Lat]],12,FALSE)</f>
        <v>23.829599000000002</v>
      </c>
      <c r="DP56" s="231">
        <f>VLOOKUP(WWWW[[#This Row],[Site Name]],SiteDB6[[Site Name]:[Long]],13,FALSE)</f>
        <v>97.590767</v>
      </c>
      <c r="DQ56" s="231" t="str">
        <f>VLOOKUP(WWWW[[#This Row],[Site Name]],SiteDB6[[Site Name]:[Pcode]],3,FALSE)</f>
        <v>MMR001CMP230</v>
      </c>
      <c r="DR56" s="207" t="str">
        <f t="shared" si="2"/>
        <v>Notcovered</v>
      </c>
      <c r="DS56" s="207"/>
      <c r="DT56" s="20"/>
      <c r="DU56" s="20"/>
      <c r="DV56" s="20"/>
      <c r="DW56" s="20"/>
      <c r="DX56" s="20"/>
      <c r="DY56" s="20"/>
      <c r="DZ56" s="20"/>
      <c r="EA56" s="20"/>
      <c r="EB56" s="20"/>
      <c r="EC56" s="20"/>
      <c r="ED56" s="20"/>
      <c r="EE56" s="20"/>
      <c r="EF56" s="20"/>
      <c r="EG56" s="20"/>
      <c r="EH56" s="20"/>
    </row>
    <row r="57" spans="1:138" ht="15.75" customHeight="1">
      <c r="A57" s="238" t="s">
        <v>2518</v>
      </c>
      <c r="B57" s="574" t="s">
        <v>317</v>
      </c>
      <c r="C57" s="574" t="s">
        <v>317</v>
      </c>
      <c r="D57" s="574"/>
      <c r="E57" s="574" t="s">
        <v>39</v>
      </c>
      <c r="F57" s="574" t="s">
        <v>40</v>
      </c>
      <c r="G57" s="574" t="str">
        <f>VLOOKUP(WWWW[[#This Row],[Site Name]],SiteDB6[[Site Name]:[Location Type]],8,FALSE)</f>
        <v>Camp</v>
      </c>
      <c r="H57" s="76" t="s">
        <v>309</v>
      </c>
      <c r="I57" s="583">
        <v>443</v>
      </c>
      <c r="J57" s="583">
        <v>2338</v>
      </c>
      <c r="K57" s="553"/>
      <c r="L57" s="77"/>
      <c r="M57" s="583"/>
      <c r="N57" s="583"/>
      <c r="O57" s="583"/>
      <c r="P57" s="583"/>
      <c r="Q57" s="76"/>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207"/>
      <c r="AP57" s="310"/>
      <c r="AQ57" s="310"/>
      <c r="AR57" s="76"/>
      <c r="AS57" s="310"/>
      <c r="AT57" s="310"/>
      <c r="AU57" s="310"/>
      <c r="AV57" s="310"/>
      <c r="AW57" s="310"/>
      <c r="AX57" s="231"/>
      <c r="AY57" s="231"/>
      <c r="AZ57" s="310"/>
      <c r="BA57" s="310"/>
      <c r="BB57" s="310"/>
      <c r="BC57" s="207"/>
      <c r="BD57" s="310"/>
      <c r="BE57" s="310"/>
      <c r="BF57" s="310"/>
      <c r="BG57" s="310"/>
      <c r="BH57" s="310"/>
      <c r="BI57" s="310"/>
      <c r="BJ57" s="310"/>
      <c r="BK57" s="310"/>
      <c r="BL57" s="310"/>
      <c r="BM57" s="207"/>
      <c r="BN57" s="79"/>
      <c r="BO57" s="81"/>
      <c r="BP57" s="207"/>
      <c r="BQ57" s="78" t="str">
        <f>IFERROR(WWWW[[#This Row],['#_Water sources treated]]/WWWW[[#This Row],['#_Water sources tested for contamination]],"no test")</f>
        <v>no test</v>
      </c>
      <c r="BR57" s="81" t="str">
        <f>IFERROR(WWWW[[#This Row],['#_Household received remediation action due to contamination]]/WWWW[[#This Row],['#_Household water samples tested for contamination]],"no test")</f>
        <v>no test</v>
      </c>
      <c r="BS57" s="80" t="str">
        <f>IF(AND(WWWW[[#This Row],[% of water sources treated]]="no test",WWWW[[#This Row],[% Household received corrective actions]]="no test"),"No Test","Tested")</f>
        <v>No Test</v>
      </c>
      <c r="BT57" s="80">
        <f>WWWW[[#This Row],['#_Constructed/existing protected hand dug well]]-WWWW[[#This Row],['#_Non-functional protected hand dug well]]</f>
        <v>0</v>
      </c>
      <c r="BU57" s="80">
        <f>(WWWW[[#This Row],['#_Constructed/Existing tube wells/boreholes/handpumps_WASH_agency]]+WWWW[[#This Row],['#_Non-Cluster partner water tube-wells/boreholes/handpumps]])-WWWW[[#This Row],['#_Non-functional tube wells/boreholes/handpumps]]</f>
        <v>0</v>
      </c>
      <c r="BV57" s="80">
        <f>WWWW[[#This Row],['#_Constructed/Existingwater storage tank with gravity fed reticulation system]]-WWWW[[#This Row],['#_Non-functional storage tank gravity fed reticulation system]]</f>
        <v>0</v>
      </c>
      <c r="BW57" s="80">
        <f>WWWW[[#This Row],['#_Water boating or water trucking]]</f>
        <v>0</v>
      </c>
      <c r="BX57" s="80">
        <f>WWWW[[#This Row],['#_Constructed/Existing water distribution system from river or natural spring]]</f>
        <v>0</v>
      </c>
      <c r="BY5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7" s="81">
        <f>IF(WWWW[[#This Row],[Location Type 1]]="Village",WWWW[[#This Row],[Access to safe drinking water for Village]],WWWW[[#This Row],[Access to safe drinking water for Camp]])</f>
        <v>0</v>
      </c>
      <c r="CB57" s="79">
        <f>WWWW[[#This Row],[%Equitable and continuous access to sufficient quantity of safe drinking water]]*WWWW[[#This Row],[Total PoP ]]</f>
        <v>0</v>
      </c>
      <c r="CC57" s="81">
        <f>IF((WWWW[[#This Row],['#_Constructed/Existing protected/fenced ponds]]*250)/WWWW[[#This Row],[Total PoP ]]&gt;1,1,(WWWW[[#This Row],['#_Constructed/Existing protected/fenced ponds]]*250)/WWWW[[#This Row],[Total PoP ]])</f>
        <v>0</v>
      </c>
      <c r="CD57" s="79">
        <f>WWWW[[#This Row],[% Access to unimproved water points]]*WWWW[[#This Row],[Total PoP ]]</f>
        <v>0</v>
      </c>
      <c r="CE5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7" s="79">
        <f>WWWW[[#This Row],[HRP1]]/500</f>
        <v>0</v>
      </c>
      <c r="CH57" s="78">
        <f>1-WWWW[[#This Row],[% Equitable and continuous access to sufficient quantity of domestic water]]</f>
        <v>1</v>
      </c>
      <c r="CI57" s="79">
        <f>WWWW[[#This Row],[%equitable and continuous access to sufficient quantity of safe drinking and domestic water''s GAP]]*WWWW[[#This Row],[Total PoP ]]</f>
        <v>2338</v>
      </c>
      <c r="CJ57" s="80">
        <f>IF(WWWW[[#This Row],[Total required water points]]-WWWW[[#This Row],['#Water points coverage]]&lt;0,0,WWWW[[#This Row],[Total required water points]]-WWWW[[#This Row],['#Water points coverage]])</f>
        <v>5</v>
      </c>
      <c r="CK57" s="80">
        <f>ROUND(IF(WWWW[[#This Row],[Total PoP ]]&lt;500,1,WWWW[[#This Row],[Total PoP ]]/500),0)</f>
        <v>5</v>
      </c>
      <c r="CL57" s="80">
        <f>(WWWW[[#This Row],['#_Constructed latrines_by_WASHAgencies]]+WWWW[[#This Row],['#_Non Cluster partner latrines]])-WWWW[[#This Row],['#_Non-functional latrines]]</f>
        <v>0</v>
      </c>
      <c r="CM5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 s="80">
        <f>IF(WWWW[[#This Row],[Location Type 1]]="Village","NA",IF(WWWW[[#This Row],['#_Constructed/Existing latrines in TLS]]*50&gt;WWWW[[#This Row],['#_students at TLS_CFS]],WWWW[[#This Row],['#_students at TLS_CFS]],(WWWW[[#This Row],['#_Constructed/Existing latrines in TLS]]*50)))</f>
        <v>0</v>
      </c>
      <c r="CQ57" s="80">
        <f>ROUND(IF(WWWW[[#This Row],[Location Type 1]]="camp",WWWW[[#This Row],[Total PoP ]]/20,IF(WWWW[[#This Row],[Location Type 1]]="Temporary Location",WWWW[[#This Row],[Total PoP ]]/50,(WWWW[[#This Row],[Total PoP ]]/6))),0)</f>
        <v>117</v>
      </c>
      <c r="CR57" s="79">
        <f>IF(WWWW[[#This Row],[Total required Latrines]]-(WWWW[[#This Row],['#_Constructed latrines_by_WASHAgencies]]+WWWW[[#This Row],['#_Non Cluster partner latrines]])&lt;0,0,WWWW[[#This Row],[Total required Latrines]]-(WWWW[[#This Row],['#_Constructed latrines_by_WASHAgencies]]+WWWW[[#This Row],['#_Non Cluster partner latrines]]))</f>
        <v>117</v>
      </c>
      <c r="CS57" s="78">
        <f>1-WWWW[[#This Row],[% people access to functioning Latrine]]</f>
        <v>1</v>
      </c>
      <c r="CT57" s="82">
        <f>IF(OR(WWWW[[#This Row],['#_Non-functional latrines]]="",WWWW[[#This Row],['#_Non-functional latrines]]=0),0,WWWW[[#This Row],['#_Non-functional latrines]]/(WWWW[[#This Row],['#_Constructed latrines_by_WASHAgencies]]+WWWW[[#This Row],['#_Non Cluster partner latrines]]))</f>
        <v>0</v>
      </c>
      <c r="CU57" s="79">
        <f>IF(500*(WWWW[[#This Row],['#_male hygiene promoters]]+WWWW[[#This Row],['#_female hygiene promoters]])&gt;WWWW[[#This Row],[Total PoP ]],WWWW[[#This Row],[Total PoP ]],500*(WWWW[[#This Row],['#_male hygiene promoters]]+WWWW[[#This Row],['#_female hygiene promoters]]))</f>
        <v>0</v>
      </c>
      <c r="CV5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 s="80">
        <f>IF(WWWW[[#This Row],['# People with access to soap]]&gt;WWWW[[#This Row],['# People with access to Sanity Pads]],WWWW[[#This Row],['# People with access to soap]],WWWW[[#This Row],['# People with access to Sanity Pads]])</f>
        <v>0</v>
      </c>
      <c r="CY57"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7" s="78">
        <f>IF(WWWW[[#This Row],[HRP3]]/WWWW[[#This Row],[Total PoP ]]&gt;100%,100%,WWWW[[#This Row],[HRP3]]/WWWW[[#This Row],[Total PoP ]])</f>
        <v>0</v>
      </c>
      <c r="DA57" s="82">
        <f>1-WWWW[[#This Row],[Hygiene Coverage%]]</f>
        <v>1</v>
      </c>
      <c r="DB57" s="81">
        <f>WWWW[[#This Row],['# people reached by regular dedicated hygiene promotion_5]]/WWWW[[#This Row],[Total PoP ]]</f>
        <v>0</v>
      </c>
      <c r="DC57" s="81">
        <f>IF(WWWW[[#This Row],['#_households that received standard amount of soap for this quarter]]/WWWW[[#This Row],[Total HH]]&gt;1,1,WWWW[[#This Row],['#_households that received standard amount of soap for this quarter]]/WWWW[[#This Row],[Total HH]])</f>
        <v>0</v>
      </c>
      <c r="DD57" s="81">
        <f>IF(WWWW[[#This Row],['#_households that received standard amount of sanitary pads for this quarter]]/WWWW[[#This Row],[Total HH]]&gt;1,1,WWWW[[#This Row],['#_households that received standard amount of sanitary pads for this quarter]]/WWWW[[#This Row],[Total HH]])</f>
        <v>0</v>
      </c>
      <c r="DE57" s="80">
        <f>WWWW[[#This Row],['#_Constructed/Existing hand washing stations]]-WWWW[[#This Row],['#_Non-Functional_hand_washing_stations]]</f>
        <v>0</v>
      </c>
      <c r="DF57" s="757">
        <f>IF(WWWW[[#This Row],['# Functional hand washing stations during reporting period]]*20&gt;WWWW[[#This Row],[Total HH]],WWWW[[#This Row],[Total HH]],WWWW[[#This Row],['# Functional hand washing stations during reporting period]]*20)</f>
        <v>0</v>
      </c>
      <c r="DG57" s="79">
        <f>IF(WWWW[[#This Row],[Is sufficient soap available for TLS? (Yes/No)]]="yes",WWWW[[#This Row],['#_Constructed/Existing hand washing stations at TLS]],0)</f>
        <v>0</v>
      </c>
      <c r="DH57" s="578">
        <f>IF(WWWW[[#This Row],['# Functional hand washing stations during reporting period]]*100&gt;WWWW[[#This Row],[Total PoP ]],WWWW[[#This Row],[Total PoP ]],WWWW[[#This Row],['# Functional hand washing stations during reporting period]]*100)</f>
        <v>0</v>
      </c>
      <c r="DI57" s="578" t="str">
        <f>IF(OR(WWWW[[#This Row],['#_students at TLS_CFS]]="",WWWW[[#This Row],['#_students at TLS_CFS]]=0),"No","Yes")</f>
        <v>No</v>
      </c>
      <c r="DJ57" s="231" t="str">
        <f>VLOOKUP(WWWW[[#This Row],[Site Name]],SiteDB6[[Site Name]:[CCCM Management]],6,FALSE)</f>
        <v>Yes</v>
      </c>
      <c r="DK57" s="231" t="str">
        <f>VLOOKUP(WWWW[[#This Row],[Site Name]],SiteDB6[[Site Name]:[CCCM Focal Agency]],7,FALSE)</f>
        <v>KMSS-BMO</v>
      </c>
      <c r="DL57" s="231" t="str">
        <f>VLOOKUP(WWWW[[#This Row],[Site Name]],SiteDB6[[Site Name]:[Location Type 1]],9,FALSE)</f>
        <v>Camp</v>
      </c>
      <c r="DM57" s="231" t="str">
        <f>VLOOKUP(WWWW[[#This Row],[Site Name]],SiteDB6[[Site Name]:[Type of Accommodation]],10,FALSE)</f>
        <v>Camp</v>
      </c>
      <c r="DN57" s="231" t="str">
        <f>VLOOKUP(WWWW[[#This Row],[Site Name]],SiteDB6[[Site Name]:[Ethnic or GCA/NGCA]],11,FALSE)</f>
        <v>GCA</v>
      </c>
      <c r="DO57" s="231">
        <f>VLOOKUP(WWWW[[#This Row],[Site Name]],SiteDB6[[Site Name]:[Lat]],12,FALSE)</f>
        <v>23.835319999999999</v>
      </c>
      <c r="DP57" s="231">
        <f>VLOOKUP(WWWW[[#This Row],[Site Name]],SiteDB6[[Site Name]:[Long]],13,FALSE)</f>
        <v>97.578490000000002</v>
      </c>
      <c r="DQ57" s="231" t="str">
        <f>VLOOKUP(WWWW[[#This Row],[Site Name]],SiteDB6[[Site Name]:[Pcode]],3,FALSE)</f>
        <v>MMR001CMP132</v>
      </c>
      <c r="DR57" s="207" t="str">
        <f t="shared" si="2"/>
        <v>Notcovered</v>
      </c>
      <c r="DS57" s="207"/>
      <c r="DT57" s="20"/>
      <c r="DU57" s="20"/>
      <c r="DV57" s="20"/>
      <c r="DW57" s="20"/>
      <c r="DX57" s="20"/>
      <c r="DY57" s="20"/>
      <c r="DZ57" s="20"/>
      <c r="EA57" s="20"/>
      <c r="EB57" s="20"/>
      <c r="EC57" s="20"/>
      <c r="ED57" s="20"/>
      <c r="EE57" s="20"/>
      <c r="EF57" s="20"/>
      <c r="EG57" s="20"/>
      <c r="EH57" s="20"/>
    </row>
    <row r="58" spans="1:138" ht="15.75" customHeight="1">
      <c r="A58" s="238" t="s">
        <v>2518</v>
      </c>
      <c r="B58" s="574" t="s">
        <v>317</v>
      </c>
      <c r="C58" s="574" t="s">
        <v>317</v>
      </c>
      <c r="D58" s="574"/>
      <c r="E58" s="574" t="s">
        <v>39</v>
      </c>
      <c r="F58" s="574" t="s">
        <v>40</v>
      </c>
      <c r="G58" s="574" t="str">
        <f>VLOOKUP(WWWW[[#This Row],[Site Name]],SiteDB6[[Site Name]:[Location Type]],8,FALSE)</f>
        <v>Camp</v>
      </c>
      <c r="H58" s="76" t="s">
        <v>310</v>
      </c>
      <c r="I58" s="583">
        <v>119</v>
      </c>
      <c r="J58" s="583">
        <v>637</v>
      </c>
      <c r="K58" s="553"/>
      <c r="L58" s="77"/>
      <c r="M58" s="311"/>
      <c r="N58" s="583"/>
      <c r="O58" s="583"/>
      <c r="P58" s="583"/>
      <c r="Q58" s="76"/>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207"/>
      <c r="AP58" s="310"/>
      <c r="AQ58" s="310"/>
      <c r="AR58" s="76"/>
      <c r="AS58" s="310"/>
      <c r="AT58" s="310"/>
      <c r="AU58" s="310"/>
      <c r="AV58" s="310"/>
      <c r="AW58" s="310"/>
      <c r="AX58" s="231"/>
      <c r="AY58" s="231"/>
      <c r="AZ58" s="310"/>
      <c r="BA58" s="310"/>
      <c r="BB58" s="310"/>
      <c r="BC58" s="207"/>
      <c r="BD58" s="310"/>
      <c r="BE58" s="310"/>
      <c r="BF58" s="310"/>
      <c r="BG58" s="310"/>
      <c r="BH58" s="310"/>
      <c r="BI58" s="310"/>
      <c r="BJ58" s="310"/>
      <c r="BK58" s="310"/>
      <c r="BL58" s="310"/>
      <c r="BM58" s="207"/>
      <c r="BN58" s="79"/>
      <c r="BO58" s="81"/>
      <c r="BP58" s="207"/>
      <c r="BQ58" s="78" t="str">
        <f>IFERROR(WWWW[[#This Row],['#_Water sources treated]]/WWWW[[#This Row],['#_Water sources tested for contamination]],"no test")</f>
        <v>no test</v>
      </c>
      <c r="BR58" s="81" t="str">
        <f>IFERROR(WWWW[[#This Row],['#_Household received remediation action due to contamination]]/WWWW[[#This Row],['#_Household water samples tested for contamination]],"no test")</f>
        <v>no test</v>
      </c>
      <c r="BS58" s="80" t="str">
        <f>IF(AND(WWWW[[#This Row],[% of water sources treated]]="no test",WWWW[[#This Row],[% Household received corrective actions]]="no test"),"No Test","Tested")</f>
        <v>No Test</v>
      </c>
      <c r="BT58" s="80">
        <f>WWWW[[#This Row],['#_Constructed/existing protected hand dug well]]-WWWW[[#This Row],['#_Non-functional protected hand dug well]]</f>
        <v>0</v>
      </c>
      <c r="BU58" s="80">
        <f>(WWWW[[#This Row],['#_Constructed/Existing tube wells/boreholes/handpumps_WASH_agency]]+WWWW[[#This Row],['#_Non-Cluster partner water tube-wells/boreholes/handpumps]])-WWWW[[#This Row],['#_Non-functional tube wells/boreholes/handpumps]]</f>
        <v>0</v>
      </c>
      <c r="BV58" s="80">
        <f>WWWW[[#This Row],['#_Constructed/Existingwater storage tank with gravity fed reticulation system]]-WWWW[[#This Row],['#_Non-functional storage tank gravity fed reticulation system]]</f>
        <v>0</v>
      </c>
      <c r="BW58" s="80">
        <f>WWWW[[#This Row],['#_Water boating or water trucking]]</f>
        <v>0</v>
      </c>
      <c r="BX58" s="80">
        <f>WWWW[[#This Row],['#_Constructed/Existing water distribution system from river or natural spring]]</f>
        <v>0</v>
      </c>
      <c r="BY5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8" s="81">
        <f>IF(WWWW[[#This Row],[Location Type 1]]="Village",WWWW[[#This Row],[Access to safe drinking water for Village]],WWWW[[#This Row],[Access to safe drinking water for Camp]])</f>
        <v>0</v>
      </c>
      <c r="CB58" s="79">
        <f>WWWW[[#This Row],[%Equitable and continuous access to sufficient quantity of safe drinking water]]*WWWW[[#This Row],[Total PoP ]]</f>
        <v>0</v>
      </c>
      <c r="CC58" s="81">
        <f>IF((WWWW[[#This Row],['#_Constructed/Existing protected/fenced ponds]]*250)/WWWW[[#This Row],[Total PoP ]]&gt;1,1,(WWWW[[#This Row],['#_Constructed/Existing protected/fenced ponds]]*250)/WWWW[[#This Row],[Total PoP ]])</f>
        <v>0</v>
      </c>
      <c r="CD58" s="79">
        <f>WWWW[[#This Row],[% Access to unimproved water points]]*WWWW[[#This Row],[Total PoP ]]</f>
        <v>0</v>
      </c>
      <c r="CE5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8" s="79">
        <f>WWWW[[#This Row],[HRP1]]/500</f>
        <v>0</v>
      </c>
      <c r="CH58" s="78">
        <f>1-WWWW[[#This Row],[% Equitable and continuous access to sufficient quantity of domestic water]]</f>
        <v>1</v>
      </c>
      <c r="CI58" s="79">
        <f>WWWW[[#This Row],[%equitable and continuous access to sufficient quantity of safe drinking and domestic water''s GAP]]*WWWW[[#This Row],[Total PoP ]]</f>
        <v>637</v>
      </c>
      <c r="CJ58" s="80">
        <f>IF(WWWW[[#This Row],[Total required water points]]-WWWW[[#This Row],['#Water points coverage]]&lt;0,0,WWWW[[#This Row],[Total required water points]]-WWWW[[#This Row],['#Water points coverage]])</f>
        <v>1</v>
      </c>
      <c r="CK58" s="80">
        <f>ROUND(IF(WWWW[[#This Row],[Total PoP ]]&lt;500,1,WWWW[[#This Row],[Total PoP ]]/500),0)</f>
        <v>1</v>
      </c>
      <c r="CL58" s="80">
        <f>(WWWW[[#This Row],['#_Constructed latrines_by_WASHAgencies]]+WWWW[[#This Row],['#_Non Cluster partner latrines]])-WWWW[[#This Row],['#_Non-functional latrines]]</f>
        <v>0</v>
      </c>
      <c r="CM5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 s="80">
        <f>IF(WWWW[[#This Row],[Location Type 1]]="Village","NA",IF(WWWW[[#This Row],['#_Constructed/Existing latrines in TLS]]*50&gt;WWWW[[#This Row],['#_students at TLS_CFS]],WWWW[[#This Row],['#_students at TLS_CFS]],(WWWW[[#This Row],['#_Constructed/Existing latrines in TLS]]*50)))</f>
        <v>0</v>
      </c>
      <c r="CQ58" s="80">
        <f>ROUND(IF(WWWW[[#This Row],[Location Type 1]]="camp",WWWW[[#This Row],[Total PoP ]]/20,IF(WWWW[[#This Row],[Location Type 1]]="Temporary Location",WWWW[[#This Row],[Total PoP ]]/50,(WWWW[[#This Row],[Total PoP ]]/6))),0)</f>
        <v>32</v>
      </c>
      <c r="CR58" s="79">
        <f>IF(WWWW[[#This Row],[Total required Latrines]]-(WWWW[[#This Row],['#_Constructed latrines_by_WASHAgencies]]+WWWW[[#This Row],['#_Non Cluster partner latrines]])&lt;0,0,WWWW[[#This Row],[Total required Latrines]]-(WWWW[[#This Row],['#_Constructed latrines_by_WASHAgencies]]+WWWW[[#This Row],['#_Non Cluster partner latrines]]))</f>
        <v>32</v>
      </c>
      <c r="CS58" s="78">
        <f>1-WWWW[[#This Row],[% people access to functioning Latrine]]</f>
        <v>1</v>
      </c>
      <c r="CT58" s="82">
        <f>IF(OR(WWWW[[#This Row],['#_Non-functional latrines]]="",WWWW[[#This Row],['#_Non-functional latrines]]=0),0,WWWW[[#This Row],['#_Non-functional latrines]]/(WWWW[[#This Row],['#_Constructed latrines_by_WASHAgencies]]+WWWW[[#This Row],['#_Non Cluster partner latrines]]))</f>
        <v>0</v>
      </c>
      <c r="CU58" s="79">
        <f>IF(500*(WWWW[[#This Row],['#_male hygiene promoters]]+WWWW[[#This Row],['#_female hygiene promoters]])&gt;WWWW[[#This Row],[Total PoP ]],WWWW[[#This Row],[Total PoP ]],500*(WWWW[[#This Row],['#_male hygiene promoters]]+WWWW[[#This Row],['#_female hygiene promoters]]))</f>
        <v>0</v>
      </c>
      <c r="CV5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 s="80">
        <f>IF(WWWW[[#This Row],['# People with access to soap]]&gt;WWWW[[#This Row],['# People with access to Sanity Pads]],WWWW[[#This Row],['# People with access to soap]],WWWW[[#This Row],['# People with access to Sanity Pads]])</f>
        <v>0</v>
      </c>
      <c r="CY58"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8" s="78">
        <f>IF(WWWW[[#This Row],[HRP3]]/WWWW[[#This Row],[Total PoP ]]&gt;100%,100%,WWWW[[#This Row],[HRP3]]/WWWW[[#This Row],[Total PoP ]])</f>
        <v>0</v>
      </c>
      <c r="DA58" s="82">
        <f>1-WWWW[[#This Row],[Hygiene Coverage%]]</f>
        <v>1</v>
      </c>
      <c r="DB58" s="81">
        <f>WWWW[[#This Row],['# people reached by regular dedicated hygiene promotion_5]]/WWWW[[#This Row],[Total PoP ]]</f>
        <v>0</v>
      </c>
      <c r="DC58" s="81">
        <f>IF(WWWW[[#This Row],['#_households that received standard amount of soap for this quarter]]/WWWW[[#This Row],[Total HH]]&gt;1,1,WWWW[[#This Row],['#_households that received standard amount of soap for this quarter]]/WWWW[[#This Row],[Total HH]])</f>
        <v>0</v>
      </c>
      <c r="DD58" s="81">
        <f>IF(WWWW[[#This Row],['#_households that received standard amount of sanitary pads for this quarter]]/WWWW[[#This Row],[Total HH]]&gt;1,1,WWWW[[#This Row],['#_households that received standard amount of sanitary pads for this quarter]]/WWWW[[#This Row],[Total HH]])</f>
        <v>0</v>
      </c>
      <c r="DE58" s="80">
        <f>WWWW[[#This Row],['#_Constructed/Existing hand washing stations]]-WWWW[[#This Row],['#_Non-Functional_hand_washing_stations]]</f>
        <v>0</v>
      </c>
      <c r="DF58" s="757">
        <f>IF(WWWW[[#This Row],['# Functional hand washing stations during reporting period]]*20&gt;WWWW[[#This Row],[Total HH]],WWWW[[#This Row],[Total HH]],WWWW[[#This Row],['# Functional hand washing stations during reporting period]]*20)</f>
        <v>0</v>
      </c>
      <c r="DG58" s="79">
        <f>IF(WWWW[[#This Row],[Is sufficient soap available for TLS? (Yes/No)]]="yes",WWWW[[#This Row],['#_Constructed/Existing hand washing stations at TLS]],0)</f>
        <v>0</v>
      </c>
      <c r="DH58" s="578">
        <f>IF(WWWW[[#This Row],['# Functional hand washing stations during reporting period]]*100&gt;WWWW[[#This Row],[Total PoP ]],WWWW[[#This Row],[Total PoP ]],WWWW[[#This Row],['# Functional hand washing stations during reporting period]]*100)</f>
        <v>0</v>
      </c>
      <c r="DI58" s="578" t="str">
        <f>IF(OR(WWWW[[#This Row],['#_students at TLS_CFS]]="",WWWW[[#This Row],['#_students at TLS_CFS]]=0),"No","Yes")</f>
        <v>No</v>
      </c>
      <c r="DJ58" s="231" t="str">
        <f>VLOOKUP(WWWW[[#This Row],[Site Name]],SiteDB6[[Site Name]:[CCCM Management]],6,FALSE)</f>
        <v>Yes</v>
      </c>
      <c r="DK58" s="231" t="str">
        <f>VLOOKUP(WWWW[[#This Row],[Site Name]],SiteDB6[[Site Name]:[CCCM Focal Agency]],7,FALSE)</f>
        <v>KMSS-BMO</v>
      </c>
      <c r="DL58" s="231" t="str">
        <f>VLOOKUP(WWWW[[#This Row],[Site Name]],SiteDB6[[Site Name]:[Location Type 1]],9,FALSE)</f>
        <v>Camp</v>
      </c>
      <c r="DM58" s="231" t="str">
        <f>VLOOKUP(WWWW[[#This Row],[Site Name]],SiteDB6[[Site Name]:[Type of Accommodation]],10,FALSE)</f>
        <v>Camp</v>
      </c>
      <c r="DN58" s="231" t="str">
        <f>VLOOKUP(WWWW[[#This Row],[Site Name]],SiteDB6[[Site Name]:[Ethnic or GCA/NGCA]],11,FALSE)</f>
        <v>GCA</v>
      </c>
      <c r="DO58" s="231">
        <f>VLOOKUP(WWWW[[#This Row],[Site Name]],SiteDB6[[Site Name]:[Lat]],12,FALSE)</f>
        <v>23.833477999999999</v>
      </c>
      <c r="DP58" s="231">
        <f>VLOOKUP(WWWW[[#This Row],[Site Name]],SiteDB6[[Site Name]:[Long]],13,FALSE)</f>
        <v>97.578367</v>
      </c>
      <c r="DQ58" s="231" t="str">
        <f>VLOOKUP(WWWW[[#This Row],[Site Name]],SiteDB6[[Site Name]:[Pcode]],3,FALSE)</f>
        <v>MMR001CMP228</v>
      </c>
      <c r="DR58" s="207" t="str">
        <f t="shared" si="2"/>
        <v>Notcovered</v>
      </c>
      <c r="DS58" s="207"/>
      <c r="DT58" s="20"/>
      <c r="DU58" s="20"/>
      <c r="DV58" s="20"/>
      <c r="DW58" s="20"/>
      <c r="DX58" s="20"/>
      <c r="DY58" s="20"/>
      <c r="DZ58" s="20"/>
      <c r="EA58" s="20"/>
      <c r="EB58" s="20"/>
      <c r="EC58" s="20"/>
      <c r="ED58" s="20"/>
      <c r="EE58" s="20"/>
      <c r="EF58" s="20"/>
      <c r="EG58" s="20"/>
      <c r="EH58" s="20"/>
    </row>
    <row r="59" spans="1:138" ht="15.75" customHeight="1">
      <c r="A59" s="238" t="s">
        <v>2518</v>
      </c>
      <c r="B59" s="574" t="s">
        <v>317</v>
      </c>
      <c r="C59" s="574" t="s">
        <v>317</v>
      </c>
      <c r="D59" s="73"/>
      <c r="E59" s="574" t="s">
        <v>39</v>
      </c>
      <c r="F59" s="574" t="s">
        <v>40</v>
      </c>
      <c r="G59" s="574" t="str">
        <f>VLOOKUP(WWWW[[#This Row],[Site Name]],SiteDB6[[Site Name]:[Location Type]],8,FALSE)</f>
        <v>Camp</v>
      </c>
      <c r="H59" s="76" t="s">
        <v>991</v>
      </c>
      <c r="I59" s="583">
        <v>175</v>
      </c>
      <c r="J59" s="583">
        <v>834</v>
      </c>
      <c r="K59" s="553"/>
      <c r="L59" s="77"/>
      <c r="M59" s="311"/>
      <c r="N59" s="583"/>
      <c r="O59" s="583"/>
      <c r="P59" s="583"/>
      <c r="Q59" s="76"/>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207"/>
      <c r="AP59" s="310"/>
      <c r="AQ59" s="310"/>
      <c r="AR59" s="76"/>
      <c r="AS59" s="310"/>
      <c r="AT59" s="310"/>
      <c r="AU59" s="310"/>
      <c r="AV59" s="310"/>
      <c r="AW59" s="310"/>
      <c r="AX59" s="231"/>
      <c r="AY59" s="231"/>
      <c r="AZ59" s="310"/>
      <c r="BA59" s="310"/>
      <c r="BB59" s="310"/>
      <c r="BC59" s="207"/>
      <c r="BD59" s="310"/>
      <c r="BE59" s="310"/>
      <c r="BF59" s="310"/>
      <c r="BG59" s="310"/>
      <c r="BH59" s="310"/>
      <c r="BI59" s="310"/>
      <c r="BJ59" s="310"/>
      <c r="BK59" s="310"/>
      <c r="BL59" s="310"/>
      <c r="BM59" s="207"/>
      <c r="BN59" s="79"/>
      <c r="BO59" s="81"/>
      <c r="BP59" s="207"/>
      <c r="BQ59" s="78" t="str">
        <f>IFERROR(WWWW[[#This Row],['#_Water sources treated]]/WWWW[[#This Row],['#_Water sources tested for contamination]],"no test")</f>
        <v>no test</v>
      </c>
      <c r="BR59" s="81" t="str">
        <f>IFERROR(WWWW[[#This Row],['#_Household received remediation action due to contamination]]/WWWW[[#This Row],['#_Household water samples tested for contamination]],"no test")</f>
        <v>no test</v>
      </c>
      <c r="BS59" s="80" t="str">
        <f>IF(AND(WWWW[[#This Row],[% of water sources treated]]="no test",WWWW[[#This Row],[% Household received corrective actions]]="no test"),"No Test","Tested")</f>
        <v>No Test</v>
      </c>
      <c r="BT59" s="80">
        <f>WWWW[[#This Row],['#_Constructed/existing protected hand dug well]]-WWWW[[#This Row],['#_Non-functional protected hand dug well]]</f>
        <v>0</v>
      </c>
      <c r="BU59" s="80">
        <f>(WWWW[[#This Row],['#_Constructed/Existing tube wells/boreholes/handpumps_WASH_agency]]+WWWW[[#This Row],['#_Non-Cluster partner water tube-wells/boreholes/handpumps]])-WWWW[[#This Row],['#_Non-functional tube wells/boreholes/handpumps]]</f>
        <v>0</v>
      </c>
      <c r="BV59" s="80">
        <f>WWWW[[#This Row],['#_Constructed/Existingwater storage tank with gravity fed reticulation system]]-WWWW[[#This Row],['#_Non-functional storage tank gravity fed reticulation system]]</f>
        <v>0</v>
      </c>
      <c r="BW59" s="80">
        <f>WWWW[[#This Row],['#_Water boating or water trucking]]</f>
        <v>0</v>
      </c>
      <c r="BX59" s="80">
        <f>WWWW[[#This Row],['#_Constructed/Existing water distribution system from river or natural spring]]</f>
        <v>0</v>
      </c>
      <c r="BY5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9" s="81">
        <f>IF(WWWW[[#This Row],[Location Type 1]]="Village",WWWW[[#This Row],[Access to safe drinking water for Village]],WWWW[[#This Row],[Access to safe drinking water for Camp]])</f>
        <v>0</v>
      </c>
      <c r="CB59" s="79">
        <f>WWWW[[#This Row],[%Equitable and continuous access to sufficient quantity of safe drinking water]]*WWWW[[#This Row],[Total PoP ]]</f>
        <v>0</v>
      </c>
      <c r="CC59" s="81">
        <f>IF((WWWW[[#This Row],['#_Constructed/Existing protected/fenced ponds]]*250)/WWWW[[#This Row],[Total PoP ]]&gt;1,1,(WWWW[[#This Row],['#_Constructed/Existing protected/fenced ponds]]*250)/WWWW[[#This Row],[Total PoP ]])</f>
        <v>0</v>
      </c>
      <c r="CD59" s="79">
        <f>WWWW[[#This Row],[% Access to unimproved water points]]*WWWW[[#This Row],[Total PoP ]]</f>
        <v>0</v>
      </c>
      <c r="CE5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9" s="79">
        <f>WWWW[[#This Row],[HRP1]]/500</f>
        <v>0</v>
      </c>
      <c r="CH59" s="78">
        <f>1-WWWW[[#This Row],[% Equitable and continuous access to sufficient quantity of domestic water]]</f>
        <v>1</v>
      </c>
      <c r="CI59" s="79">
        <f>WWWW[[#This Row],[%equitable and continuous access to sufficient quantity of safe drinking and domestic water''s GAP]]*WWWW[[#This Row],[Total PoP ]]</f>
        <v>834</v>
      </c>
      <c r="CJ59" s="80">
        <f>IF(WWWW[[#This Row],[Total required water points]]-WWWW[[#This Row],['#Water points coverage]]&lt;0,0,WWWW[[#This Row],[Total required water points]]-WWWW[[#This Row],['#Water points coverage]])</f>
        <v>2</v>
      </c>
      <c r="CK59" s="80">
        <f>ROUND(IF(WWWW[[#This Row],[Total PoP ]]&lt;500,1,WWWW[[#This Row],[Total PoP ]]/500),0)</f>
        <v>2</v>
      </c>
      <c r="CL59" s="80">
        <f>(WWWW[[#This Row],['#_Constructed latrines_by_WASHAgencies]]+WWWW[[#This Row],['#_Non Cluster partner latrines]])-WWWW[[#This Row],['#_Non-functional latrines]]</f>
        <v>0</v>
      </c>
      <c r="CM5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 s="80">
        <f>IF(WWWW[[#This Row],[Location Type 1]]="Village","NA",IF(WWWW[[#This Row],['#_Constructed/Existing latrines in TLS]]*50&gt;WWWW[[#This Row],['#_students at TLS_CFS]],WWWW[[#This Row],['#_students at TLS_CFS]],(WWWW[[#This Row],['#_Constructed/Existing latrines in TLS]]*50)))</f>
        <v>0</v>
      </c>
      <c r="CQ59" s="80">
        <f>ROUND(IF(WWWW[[#This Row],[Location Type 1]]="camp",WWWW[[#This Row],[Total PoP ]]/20,IF(WWWW[[#This Row],[Location Type 1]]="Temporary Location",WWWW[[#This Row],[Total PoP ]]/50,(WWWW[[#This Row],[Total PoP ]]/6))),0)</f>
        <v>42</v>
      </c>
      <c r="CR59" s="79">
        <f>IF(WWWW[[#This Row],[Total required Latrines]]-(WWWW[[#This Row],['#_Constructed latrines_by_WASHAgencies]]+WWWW[[#This Row],['#_Non Cluster partner latrines]])&lt;0,0,WWWW[[#This Row],[Total required Latrines]]-(WWWW[[#This Row],['#_Constructed latrines_by_WASHAgencies]]+WWWW[[#This Row],['#_Non Cluster partner latrines]]))</f>
        <v>42</v>
      </c>
      <c r="CS59" s="78">
        <f>1-WWWW[[#This Row],[% people access to functioning Latrine]]</f>
        <v>1</v>
      </c>
      <c r="CT59" s="82">
        <f>IF(OR(WWWW[[#This Row],['#_Non-functional latrines]]="",WWWW[[#This Row],['#_Non-functional latrines]]=0),0,WWWW[[#This Row],['#_Non-functional latrines]]/(WWWW[[#This Row],['#_Constructed latrines_by_WASHAgencies]]+WWWW[[#This Row],['#_Non Cluster partner latrines]]))</f>
        <v>0</v>
      </c>
      <c r="CU59" s="79">
        <f>IF(500*(WWWW[[#This Row],['#_male hygiene promoters]]+WWWW[[#This Row],['#_female hygiene promoters]])&gt;WWWW[[#This Row],[Total PoP ]],WWWW[[#This Row],[Total PoP ]],500*(WWWW[[#This Row],['#_male hygiene promoters]]+WWWW[[#This Row],['#_female hygiene promoters]]))</f>
        <v>0</v>
      </c>
      <c r="CV5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 s="80">
        <f>IF(WWWW[[#This Row],['# People with access to soap]]&gt;WWWW[[#This Row],['# People with access to Sanity Pads]],WWWW[[#This Row],['# People with access to soap]],WWWW[[#This Row],['# People with access to Sanity Pads]])</f>
        <v>0</v>
      </c>
      <c r="CY59"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9" s="78">
        <f>IF(WWWW[[#This Row],[HRP3]]/WWWW[[#This Row],[Total PoP ]]&gt;100%,100%,WWWW[[#This Row],[HRP3]]/WWWW[[#This Row],[Total PoP ]])</f>
        <v>0</v>
      </c>
      <c r="DA59" s="82">
        <f>1-WWWW[[#This Row],[Hygiene Coverage%]]</f>
        <v>1</v>
      </c>
      <c r="DB59" s="81">
        <f>WWWW[[#This Row],['# people reached by regular dedicated hygiene promotion_5]]/WWWW[[#This Row],[Total PoP ]]</f>
        <v>0</v>
      </c>
      <c r="DC59" s="81">
        <f>IF(WWWW[[#This Row],['#_households that received standard amount of soap for this quarter]]/WWWW[[#This Row],[Total HH]]&gt;1,1,WWWW[[#This Row],['#_households that received standard amount of soap for this quarter]]/WWWW[[#This Row],[Total HH]])</f>
        <v>0</v>
      </c>
      <c r="DD59" s="81">
        <f>IF(WWWW[[#This Row],['#_households that received standard amount of sanitary pads for this quarter]]/WWWW[[#This Row],[Total HH]]&gt;1,1,WWWW[[#This Row],['#_households that received standard amount of sanitary pads for this quarter]]/WWWW[[#This Row],[Total HH]])</f>
        <v>0</v>
      </c>
      <c r="DE59" s="80">
        <f>WWWW[[#This Row],['#_Constructed/Existing hand washing stations]]-WWWW[[#This Row],['#_Non-Functional_hand_washing_stations]]</f>
        <v>0</v>
      </c>
      <c r="DF59" s="757">
        <f>IF(WWWW[[#This Row],['# Functional hand washing stations during reporting period]]*20&gt;WWWW[[#This Row],[Total HH]],WWWW[[#This Row],[Total HH]],WWWW[[#This Row],['# Functional hand washing stations during reporting period]]*20)</f>
        <v>0</v>
      </c>
      <c r="DG59" s="79">
        <f>IF(WWWW[[#This Row],[Is sufficient soap available for TLS? (Yes/No)]]="yes",WWWW[[#This Row],['#_Constructed/Existing hand washing stations at TLS]],0)</f>
        <v>0</v>
      </c>
      <c r="DH59" s="578">
        <f>IF(WWWW[[#This Row],['# Functional hand washing stations during reporting period]]*100&gt;WWWW[[#This Row],[Total PoP ]],WWWW[[#This Row],[Total PoP ]],WWWW[[#This Row],['# Functional hand washing stations during reporting period]]*100)</f>
        <v>0</v>
      </c>
      <c r="DI59" s="578" t="str">
        <f>IF(OR(WWWW[[#This Row],['#_students at TLS_CFS]]="",WWWW[[#This Row],['#_students at TLS_CFS]]=0),"No","Yes")</f>
        <v>No</v>
      </c>
      <c r="DJ59" s="231">
        <f>VLOOKUP(WWWW[[#This Row],[Site Name]],SiteDB6[[Site Name]:[CCCM Management]],6,FALSE)</f>
        <v>0</v>
      </c>
      <c r="DK59" s="231" t="str">
        <f>VLOOKUP(WWWW[[#This Row],[Site Name]],SiteDB6[[Site Name]:[CCCM Focal Agency]],7,FALSE)</f>
        <v>uncovered</v>
      </c>
      <c r="DL59" s="231" t="str">
        <f>VLOOKUP(WWWW[[#This Row],[Site Name]],SiteDB6[[Site Name]:[Location Type 1]],9,FALSE)</f>
        <v>Camp</v>
      </c>
      <c r="DM59" s="231" t="str">
        <f>VLOOKUP(WWWW[[#This Row],[Site Name]],SiteDB6[[Site Name]:[Type of Accommodation]],10,FALSE)</f>
        <v>Host Families</v>
      </c>
      <c r="DN59" s="231" t="str">
        <f>VLOOKUP(WWWW[[#This Row],[Site Name]],SiteDB6[[Site Name]:[Ethnic or GCA/NGCA]],11,FALSE)</f>
        <v>GCA</v>
      </c>
      <c r="DO59" s="231">
        <f>VLOOKUP(WWWW[[#This Row],[Site Name]],SiteDB6[[Site Name]:[Lat]],12,FALSE)</f>
        <v>23.827870999999998</v>
      </c>
      <c r="DP59" s="231">
        <f>VLOOKUP(WWWW[[#This Row],[Site Name]],SiteDB6[[Site Name]:[Long]],13,FALSE)</f>
        <v>97.588291999999996</v>
      </c>
      <c r="DQ59" s="231" t="str">
        <f>VLOOKUP(WWWW[[#This Row],[Site Name]],SiteDB6[[Site Name]:[Pcode]],3,FALSE)</f>
        <v>MMR001CMP134</v>
      </c>
      <c r="DR59" s="207" t="str">
        <f t="shared" si="2"/>
        <v>Notcovered</v>
      </c>
      <c r="DS59" s="207"/>
      <c r="DT59" s="20"/>
      <c r="DU59" s="20"/>
      <c r="DV59" s="20"/>
      <c r="DW59" s="20"/>
      <c r="DX59" s="20"/>
      <c r="DY59" s="20"/>
      <c r="DZ59" s="20"/>
      <c r="EA59" s="20"/>
      <c r="EB59" s="20"/>
      <c r="EC59" s="20"/>
      <c r="ED59" s="20"/>
      <c r="EE59" s="20"/>
      <c r="EF59" s="20"/>
      <c r="EG59" s="20"/>
      <c r="EH59" s="20"/>
    </row>
    <row r="60" spans="1:138" ht="15.75" customHeight="1">
      <c r="A60" s="238" t="s">
        <v>2518</v>
      </c>
      <c r="B60" s="574" t="s">
        <v>200</v>
      </c>
      <c r="C60" s="574" t="s">
        <v>200</v>
      </c>
      <c r="D60" s="574" t="s">
        <v>2960</v>
      </c>
      <c r="E60" s="574" t="s">
        <v>39</v>
      </c>
      <c r="F60" s="574" t="s">
        <v>213</v>
      </c>
      <c r="G60" s="574" t="str">
        <f>VLOOKUP(WWWW[[#This Row],[Site Name]],SiteDB6[[Site Name]:[Location Type]],8,FALSE)</f>
        <v>Camp_not registered</v>
      </c>
      <c r="H60" s="574" t="s">
        <v>217</v>
      </c>
      <c r="I60" s="312">
        <v>19</v>
      </c>
      <c r="J60" s="312">
        <v>94</v>
      </c>
      <c r="K60" s="553">
        <v>43466</v>
      </c>
      <c r="L60" s="77">
        <v>43830</v>
      </c>
      <c r="M60" s="311"/>
      <c r="N60" s="583"/>
      <c r="O60" s="583"/>
      <c r="P60" s="583"/>
      <c r="Q60" s="76" t="s">
        <v>144</v>
      </c>
      <c r="R60" s="310"/>
      <c r="S60" s="310"/>
      <c r="T60" s="310"/>
      <c r="U60" s="310"/>
      <c r="V60" s="310"/>
      <c r="W60" s="310"/>
      <c r="X60" s="310">
        <v>1</v>
      </c>
      <c r="Y60" s="310"/>
      <c r="Z60" s="310"/>
      <c r="AA60" s="310"/>
      <c r="AB60" s="310"/>
      <c r="AC60" s="310"/>
      <c r="AD60" s="310"/>
      <c r="AE60" s="310"/>
      <c r="AF60" s="310"/>
      <c r="AG60" s="310"/>
      <c r="AH60" s="310"/>
      <c r="AI60" s="310"/>
      <c r="AJ60" s="310"/>
      <c r="AK60" s="310"/>
      <c r="AL60" s="310"/>
      <c r="AM60" s="310"/>
      <c r="AN60" s="310"/>
      <c r="AO60" s="207"/>
      <c r="AP60" s="310">
        <v>5</v>
      </c>
      <c r="AQ60" s="310"/>
      <c r="AR60" s="76"/>
      <c r="AS60" s="310"/>
      <c r="AT60" s="310"/>
      <c r="AU60" s="310"/>
      <c r="AV60" s="310"/>
      <c r="AW60" s="310"/>
      <c r="AX60" s="581" t="s">
        <v>43</v>
      </c>
      <c r="AY60" s="581" t="s">
        <v>145</v>
      </c>
      <c r="AZ60" s="310"/>
      <c r="BA60" s="310"/>
      <c r="BB60" s="310"/>
      <c r="BC60" s="207"/>
      <c r="BD60" s="310">
        <v>2</v>
      </c>
      <c r="BE60" s="310"/>
      <c r="BF60" s="310"/>
      <c r="BG60" s="310">
        <v>1</v>
      </c>
      <c r="BH60" s="310"/>
      <c r="BI60" s="310"/>
      <c r="BJ60" s="310"/>
      <c r="BK60" s="310"/>
      <c r="BL60" s="310"/>
      <c r="BM60" s="207"/>
      <c r="BN60" s="79"/>
      <c r="BO60" s="81"/>
      <c r="BP60" s="207"/>
      <c r="BQ60" s="78" t="str">
        <f>IFERROR(WWWW[[#This Row],['#_Water sources treated]]/WWWW[[#This Row],['#_Water sources tested for contamination]],"no test")</f>
        <v>no test</v>
      </c>
      <c r="BR60" s="81" t="str">
        <f>IFERROR(WWWW[[#This Row],['#_Household received remediation action due to contamination]]/WWWW[[#This Row],['#_Household water samples tested for contamination]],"no test")</f>
        <v>no test</v>
      </c>
      <c r="BS60" s="80" t="str">
        <f>IF(AND(WWWW[[#This Row],[% of water sources treated]]="no test",WWWW[[#This Row],[% Household received corrective actions]]="no test"),"No Test","Tested")</f>
        <v>No Test</v>
      </c>
      <c r="BT60" s="80">
        <f>WWWW[[#This Row],['#_Constructed/existing protected hand dug well]]-WWWW[[#This Row],['#_Non-functional protected hand dug well]]</f>
        <v>0</v>
      </c>
      <c r="BU60" s="80">
        <f>(WWWW[[#This Row],['#_Constructed/Existing tube wells/boreholes/handpumps_WASH_agency]]+WWWW[[#This Row],['#_Non-Cluster partner water tube-wells/boreholes/handpumps]])-WWWW[[#This Row],['#_Non-functional tube wells/boreholes/handpumps]]</f>
        <v>1</v>
      </c>
      <c r="BV60" s="80">
        <f>WWWW[[#This Row],['#_Constructed/Existingwater storage tank with gravity fed reticulation system]]-WWWW[[#This Row],['#_Non-functional storage tank gravity fed reticulation system]]</f>
        <v>0</v>
      </c>
      <c r="BW60" s="80">
        <f>WWWW[[#This Row],['#_Water boating or water trucking]]</f>
        <v>0</v>
      </c>
      <c r="BX60" s="80">
        <f>WWWW[[#This Row],['#_Constructed/Existing water distribution system from river or natural spring]]</f>
        <v>0</v>
      </c>
      <c r="BY6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0" s="81">
        <f>IF(WWWW[[#This Row],[Location Type 1]]="Village",WWWW[[#This Row],[Access to safe drinking water for Village]],WWWW[[#This Row],[Access to safe drinking water for Camp]])</f>
        <v>1</v>
      </c>
      <c r="CB60" s="79">
        <f>WWWW[[#This Row],[%Equitable and continuous access to sufficient quantity of safe drinking water]]*WWWW[[#This Row],[Total PoP ]]</f>
        <v>94</v>
      </c>
      <c r="CC60" s="81">
        <f>IF((WWWW[[#This Row],['#_Constructed/Existing protected/fenced ponds]]*250)/WWWW[[#This Row],[Total PoP ]]&gt;1,1,(WWWW[[#This Row],['#_Constructed/Existing protected/fenced ponds]]*250)/WWWW[[#This Row],[Total PoP ]])</f>
        <v>0</v>
      </c>
      <c r="CD60" s="79">
        <f>WWWW[[#This Row],[% Access to unimproved water points]]*WWWW[[#This Row],[Total PoP ]]</f>
        <v>0</v>
      </c>
      <c r="CE6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G60" s="79">
        <f>WWWW[[#This Row],[HRP1]]/500</f>
        <v>0.188</v>
      </c>
      <c r="CH60" s="78">
        <f>1-WWWW[[#This Row],[% Equitable and continuous access to sufficient quantity of domestic water]]</f>
        <v>0</v>
      </c>
      <c r="CI60" s="79">
        <f>WWWW[[#This Row],[%equitable and continuous access to sufficient quantity of safe drinking and domestic water''s GAP]]*WWWW[[#This Row],[Total PoP ]]</f>
        <v>0</v>
      </c>
      <c r="CJ60" s="80">
        <f>IF(WWWW[[#This Row],[Total required water points]]-WWWW[[#This Row],['#Water points coverage]]&lt;0,0,WWWW[[#This Row],[Total required water points]]-WWWW[[#This Row],['#Water points coverage]])</f>
        <v>0.81200000000000006</v>
      </c>
      <c r="CK60" s="80">
        <f>ROUND(IF(WWWW[[#This Row],[Total PoP ]]&lt;500,1,WWWW[[#This Row],[Total PoP ]]/500),0)</f>
        <v>1</v>
      </c>
      <c r="CL60" s="80">
        <f>(WWWW[[#This Row],['#_Constructed latrines_by_WASHAgencies]]+WWWW[[#This Row],['#_Non Cluster partner latrines]])-WWWW[[#This Row],['#_Non-functional latrines]]</f>
        <v>5</v>
      </c>
      <c r="CM6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94</v>
      </c>
      <c r="CO6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 s="80">
        <f>IF(WWWW[[#This Row],[Location Type 1]]="Village","NA",IF(WWWW[[#This Row],['#_Constructed/Existing latrines in TLS]]*50&gt;WWWW[[#This Row],['#_students at TLS_CFS]],WWWW[[#This Row],['#_students at TLS_CFS]],(WWWW[[#This Row],['#_Constructed/Existing latrines in TLS]]*50)))</f>
        <v>0</v>
      </c>
      <c r="CQ60" s="80">
        <f>ROUND(IF(WWWW[[#This Row],[Location Type 1]]="camp",WWWW[[#This Row],[Total PoP ]]/20,IF(WWWW[[#This Row],[Location Type 1]]="Temporary Location",WWWW[[#This Row],[Total PoP ]]/50,(WWWW[[#This Row],[Total PoP ]]/6))),0)</f>
        <v>5</v>
      </c>
      <c r="CR60" s="79">
        <f>IF(WWWW[[#This Row],[Total required Latrines]]-(WWWW[[#This Row],['#_Constructed latrines_by_WASHAgencies]]+WWWW[[#This Row],['#_Non Cluster partner latrines]])&lt;0,0,WWWW[[#This Row],[Total required Latrines]]-(WWWW[[#This Row],['#_Constructed latrines_by_WASHAgencies]]+WWWW[[#This Row],['#_Non Cluster partner latrines]]))</f>
        <v>0</v>
      </c>
      <c r="CS60" s="78">
        <f>1-WWWW[[#This Row],[% people access to functioning Latrine]]</f>
        <v>0</v>
      </c>
      <c r="CT60" s="82">
        <f>IF(OR(WWWW[[#This Row],['#_Non-functional latrines]]="",WWWW[[#This Row],['#_Non-functional latrines]]=0),0,WWWW[[#This Row],['#_Non-functional latrines]]/(WWWW[[#This Row],['#_Constructed latrines_by_WASHAgencies]]+WWWW[[#This Row],['#_Non Cluster partner latrines]]))</f>
        <v>0</v>
      </c>
      <c r="CU60" s="79">
        <f>IF(500*(WWWW[[#This Row],['#_male hygiene promoters]]+WWWW[[#This Row],['#_female hygiene promoters]])&gt;WWWW[[#This Row],[Total PoP ]],WWWW[[#This Row],[Total PoP ]],500*(WWWW[[#This Row],['#_male hygiene promoters]]+WWWW[[#This Row],['#_female hygiene promoters]]))</f>
        <v>0</v>
      </c>
      <c r="CV6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 s="80">
        <f>IF(WWWW[[#This Row],['# People with access to soap]]&gt;WWWW[[#This Row],['# People with access to Sanity Pads]],WWWW[[#This Row],['# People with access to soap]],WWWW[[#This Row],['# People with access to Sanity Pads]])</f>
        <v>0</v>
      </c>
      <c r="CY6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0" s="78">
        <f>IF(WWWW[[#This Row],[HRP3]]/WWWW[[#This Row],[Total PoP ]]&gt;100%,100%,WWWW[[#This Row],[HRP3]]/WWWW[[#This Row],[Total PoP ]])</f>
        <v>0</v>
      </c>
      <c r="DA60" s="82">
        <f>1-WWWW[[#This Row],[Hygiene Coverage%]]</f>
        <v>1</v>
      </c>
      <c r="DB60" s="81">
        <f>WWWW[[#This Row],['# people reached by regular dedicated hygiene promotion_5]]/WWWW[[#This Row],[Total PoP ]]</f>
        <v>0</v>
      </c>
      <c r="DC60" s="81">
        <f>IF(WWWW[[#This Row],['#_households that received standard amount of soap for this quarter]]/WWWW[[#This Row],[Total HH]]&gt;1,1,WWWW[[#This Row],['#_households that received standard amount of soap for this quarter]]/WWWW[[#This Row],[Total HH]])</f>
        <v>0</v>
      </c>
      <c r="DD60" s="81">
        <f>IF(WWWW[[#This Row],['#_households that received standard amount of sanitary pads for this quarter]]/WWWW[[#This Row],[Total HH]]&gt;1,1,WWWW[[#This Row],['#_households that received standard amount of sanitary pads for this quarter]]/WWWW[[#This Row],[Total HH]])</f>
        <v>0</v>
      </c>
      <c r="DE60" s="80">
        <f>WWWW[[#This Row],['#_Constructed/Existing hand washing stations]]-WWWW[[#This Row],['#_Non-Functional_hand_washing_stations]]</f>
        <v>2</v>
      </c>
      <c r="DF60" s="757">
        <f>IF(WWWW[[#This Row],['# Functional hand washing stations during reporting period]]*20&gt;WWWW[[#This Row],[Total HH]],WWWW[[#This Row],[Total HH]],WWWW[[#This Row],['# Functional hand washing stations during reporting period]]*20)</f>
        <v>19</v>
      </c>
      <c r="DG60" s="79">
        <f>IF(WWWW[[#This Row],[Is sufficient soap available for TLS? (Yes/No)]]="yes",WWWW[[#This Row],['#_Constructed/Existing hand washing stations at TLS]],0)</f>
        <v>0</v>
      </c>
      <c r="DH60" s="578">
        <f>IF(WWWW[[#This Row],['# Functional hand washing stations during reporting period]]*100&gt;WWWW[[#This Row],[Total PoP ]],WWWW[[#This Row],[Total PoP ]],WWWW[[#This Row],['# Functional hand washing stations during reporting period]]*100)</f>
        <v>94</v>
      </c>
      <c r="DI60" s="578" t="str">
        <f>IF(OR(WWWW[[#This Row],['#_students at TLS_CFS]]="",WWWW[[#This Row],['#_students at TLS_CFS]]=0),"No","Yes")</f>
        <v>No</v>
      </c>
      <c r="DJ60" s="231">
        <f>VLOOKUP(WWWW[[#This Row],[Site Name]],SiteDB6[[Site Name]:[CCCM Management]],6,FALSE)</f>
        <v>0</v>
      </c>
      <c r="DK60" s="231">
        <f>VLOOKUP(WWWW[[#This Row],[Site Name]],SiteDB6[[Site Name]:[CCCM Focal Agency]],7,FALSE)</f>
        <v>0</v>
      </c>
      <c r="DL60" s="231" t="str">
        <f>VLOOKUP(WWWW[[#This Row],[Site Name]],SiteDB6[[Site Name]:[Location Type 1]],9,FALSE)</f>
        <v>Camp</v>
      </c>
      <c r="DM60" s="231" t="str">
        <f>VLOOKUP(WWWW[[#This Row],[Site Name]],SiteDB6[[Site Name]:[Type of Accommodation]],10,FALSE)</f>
        <v>Camp</v>
      </c>
      <c r="DN60" s="231" t="str">
        <f>VLOOKUP(WWWW[[#This Row],[Site Name]],SiteDB6[[Site Name]:[Ethnic or GCA/NGCA]],11,FALSE)</f>
        <v>GCA</v>
      </c>
      <c r="DO60" s="231">
        <f>VLOOKUP(WWWW[[#This Row],[Site Name]],SiteDB6[[Site Name]:[Lat]],12,FALSE)</f>
        <v>0</v>
      </c>
      <c r="DP60" s="231">
        <f>VLOOKUP(WWWW[[#This Row],[Site Name]],SiteDB6[[Site Name]:[Long]],13,FALSE)</f>
        <v>0</v>
      </c>
      <c r="DQ60" s="231">
        <f>VLOOKUP(WWWW[[#This Row],[Site Name]],SiteDB6[[Site Name]:[Pcode]],3,FALSE)</f>
        <v>0</v>
      </c>
      <c r="DR60" s="207" t="str">
        <f t="shared" si="2"/>
        <v>Covered</v>
      </c>
      <c r="DS60" s="207"/>
      <c r="DT60" s="20"/>
      <c r="DU60" s="20"/>
      <c r="DV60" s="20"/>
      <c r="DW60" s="20"/>
      <c r="DX60" s="20"/>
      <c r="DY60" s="20"/>
      <c r="DZ60" s="20"/>
      <c r="EA60" s="20"/>
      <c r="EB60" s="20"/>
      <c r="EC60" s="20"/>
      <c r="ED60" s="20"/>
      <c r="EE60" s="20"/>
      <c r="EF60" s="20"/>
      <c r="EG60" s="20"/>
      <c r="EH60" s="20"/>
    </row>
    <row r="61" spans="1:138" ht="15.75" customHeight="1">
      <c r="A61" s="238" t="s">
        <v>2518</v>
      </c>
      <c r="B61" s="574" t="s">
        <v>317</v>
      </c>
      <c r="C61" s="574" t="s">
        <v>317</v>
      </c>
      <c r="D61" s="73"/>
      <c r="E61" s="574" t="s">
        <v>39</v>
      </c>
      <c r="F61" s="574" t="s">
        <v>40</v>
      </c>
      <c r="G61" s="574" t="str">
        <f>VLOOKUP(WWWW[[#This Row],[Site Name]],SiteDB6[[Site Name]:[Location Type]],8,FALSE)</f>
        <v>Camp</v>
      </c>
      <c r="H61" s="76" t="s">
        <v>1009</v>
      </c>
      <c r="I61" s="583">
        <v>80</v>
      </c>
      <c r="J61" s="583">
        <v>290</v>
      </c>
      <c r="K61" s="553"/>
      <c r="L61" s="77"/>
      <c r="M61" s="311"/>
      <c r="N61" s="583"/>
      <c r="O61" s="583"/>
      <c r="P61" s="583"/>
      <c r="Q61" s="76"/>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207"/>
      <c r="AP61" s="310"/>
      <c r="AQ61" s="310"/>
      <c r="AR61" s="76"/>
      <c r="AS61" s="310"/>
      <c r="AT61" s="310"/>
      <c r="AU61" s="310"/>
      <c r="AV61" s="310"/>
      <c r="AW61" s="310"/>
      <c r="AX61" s="231"/>
      <c r="AY61" s="231"/>
      <c r="AZ61" s="310"/>
      <c r="BA61" s="310"/>
      <c r="BB61" s="310"/>
      <c r="BC61" s="207"/>
      <c r="BD61" s="310"/>
      <c r="BE61" s="310"/>
      <c r="BF61" s="310"/>
      <c r="BG61" s="310"/>
      <c r="BH61" s="310"/>
      <c r="BI61" s="310"/>
      <c r="BJ61" s="310"/>
      <c r="BK61" s="310"/>
      <c r="BL61" s="310"/>
      <c r="BM61" s="207"/>
      <c r="BN61" s="79"/>
      <c r="BO61" s="81"/>
      <c r="BP61" s="207"/>
      <c r="BQ61" s="78" t="str">
        <f>IFERROR(WWWW[[#This Row],['#_Water sources treated]]/WWWW[[#This Row],['#_Water sources tested for contamination]],"no test")</f>
        <v>no test</v>
      </c>
      <c r="BR61" s="81" t="str">
        <f>IFERROR(WWWW[[#This Row],['#_Household received remediation action due to contamination]]/WWWW[[#This Row],['#_Household water samples tested for contamination]],"no test")</f>
        <v>no test</v>
      </c>
      <c r="BS61" s="80" t="str">
        <f>IF(AND(WWWW[[#This Row],[% of water sources treated]]="no test",WWWW[[#This Row],[% Household received corrective actions]]="no test"),"No Test","Tested")</f>
        <v>No Test</v>
      </c>
      <c r="BT61" s="80">
        <f>WWWW[[#This Row],['#_Constructed/existing protected hand dug well]]-WWWW[[#This Row],['#_Non-functional protected hand dug well]]</f>
        <v>0</v>
      </c>
      <c r="BU61" s="80">
        <f>(WWWW[[#This Row],['#_Constructed/Existing tube wells/boreholes/handpumps_WASH_agency]]+WWWW[[#This Row],['#_Non-Cluster partner water tube-wells/boreholes/handpumps]])-WWWW[[#This Row],['#_Non-functional tube wells/boreholes/handpumps]]</f>
        <v>0</v>
      </c>
      <c r="BV61" s="80">
        <f>WWWW[[#This Row],['#_Constructed/Existingwater storage tank with gravity fed reticulation system]]-WWWW[[#This Row],['#_Non-functional storage tank gravity fed reticulation system]]</f>
        <v>0</v>
      </c>
      <c r="BW61" s="80">
        <f>WWWW[[#This Row],['#_Water boating or water trucking]]</f>
        <v>0</v>
      </c>
      <c r="BX61" s="80">
        <f>WWWW[[#This Row],['#_Constructed/Existing water distribution system from river or natural spring]]</f>
        <v>0</v>
      </c>
      <c r="BY6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1" s="81">
        <f>IF(WWWW[[#This Row],[Location Type 1]]="Village",WWWW[[#This Row],[Access to safe drinking water for Village]],WWWW[[#This Row],[Access to safe drinking water for Camp]])</f>
        <v>0</v>
      </c>
      <c r="CB61" s="79">
        <f>WWWW[[#This Row],[%Equitable and continuous access to sufficient quantity of safe drinking water]]*WWWW[[#This Row],[Total PoP ]]</f>
        <v>0</v>
      </c>
      <c r="CC61" s="81">
        <f>IF((WWWW[[#This Row],['#_Constructed/Existing protected/fenced ponds]]*250)/WWWW[[#This Row],[Total PoP ]]&gt;1,1,(WWWW[[#This Row],['#_Constructed/Existing protected/fenced ponds]]*250)/WWWW[[#This Row],[Total PoP ]])</f>
        <v>0</v>
      </c>
      <c r="CD61" s="79">
        <f>WWWW[[#This Row],[% Access to unimproved water points]]*WWWW[[#This Row],[Total PoP ]]</f>
        <v>0</v>
      </c>
      <c r="CE6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1" s="79">
        <f>WWWW[[#This Row],[HRP1]]/500</f>
        <v>0</v>
      </c>
      <c r="CH61" s="78">
        <f>1-WWWW[[#This Row],[% Equitable and continuous access to sufficient quantity of domestic water]]</f>
        <v>1</v>
      </c>
      <c r="CI61" s="79">
        <f>WWWW[[#This Row],[%equitable and continuous access to sufficient quantity of safe drinking and domestic water''s GAP]]*WWWW[[#This Row],[Total PoP ]]</f>
        <v>290</v>
      </c>
      <c r="CJ61" s="80">
        <f>IF(WWWW[[#This Row],[Total required water points]]-WWWW[[#This Row],['#Water points coverage]]&lt;0,0,WWWW[[#This Row],[Total required water points]]-WWWW[[#This Row],['#Water points coverage]])</f>
        <v>1</v>
      </c>
      <c r="CK61" s="80">
        <f>ROUND(IF(WWWW[[#This Row],[Total PoP ]]&lt;500,1,WWWW[[#This Row],[Total PoP ]]/500),0)</f>
        <v>1</v>
      </c>
      <c r="CL61" s="80">
        <f>(WWWW[[#This Row],['#_Constructed latrines_by_WASHAgencies]]+WWWW[[#This Row],['#_Non Cluster partner latrines]])-WWWW[[#This Row],['#_Non-functional latrines]]</f>
        <v>0</v>
      </c>
      <c r="CM6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 s="80">
        <f>IF(WWWW[[#This Row],[Location Type 1]]="Village","NA",IF(WWWW[[#This Row],['#_Constructed/Existing latrines in TLS]]*50&gt;WWWW[[#This Row],['#_students at TLS_CFS]],WWWW[[#This Row],['#_students at TLS_CFS]],(WWWW[[#This Row],['#_Constructed/Existing latrines in TLS]]*50)))</f>
        <v>0</v>
      </c>
      <c r="CQ61" s="80">
        <f>ROUND(IF(WWWW[[#This Row],[Location Type 1]]="camp",WWWW[[#This Row],[Total PoP ]]/20,IF(WWWW[[#This Row],[Location Type 1]]="Temporary Location",WWWW[[#This Row],[Total PoP ]]/50,(WWWW[[#This Row],[Total PoP ]]/6))),0)</f>
        <v>15</v>
      </c>
      <c r="CR61" s="79">
        <f>IF(WWWW[[#This Row],[Total required Latrines]]-(WWWW[[#This Row],['#_Constructed latrines_by_WASHAgencies]]+WWWW[[#This Row],['#_Non Cluster partner latrines]])&lt;0,0,WWWW[[#This Row],[Total required Latrines]]-(WWWW[[#This Row],['#_Constructed latrines_by_WASHAgencies]]+WWWW[[#This Row],['#_Non Cluster partner latrines]]))</f>
        <v>15</v>
      </c>
      <c r="CS61" s="78">
        <f>1-WWWW[[#This Row],[% people access to functioning Latrine]]</f>
        <v>1</v>
      </c>
      <c r="CT61" s="82">
        <f>IF(OR(WWWW[[#This Row],['#_Non-functional latrines]]="",WWWW[[#This Row],['#_Non-functional latrines]]=0),0,WWWW[[#This Row],['#_Non-functional latrines]]/(WWWW[[#This Row],['#_Constructed latrines_by_WASHAgencies]]+WWWW[[#This Row],['#_Non Cluster partner latrines]]))</f>
        <v>0</v>
      </c>
      <c r="CU61" s="79">
        <f>IF(500*(WWWW[[#This Row],['#_male hygiene promoters]]+WWWW[[#This Row],['#_female hygiene promoters]])&gt;WWWW[[#This Row],[Total PoP ]],WWWW[[#This Row],[Total PoP ]],500*(WWWW[[#This Row],['#_male hygiene promoters]]+WWWW[[#This Row],['#_female hygiene promoters]]))</f>
        <v>0</v>
      </c>
      <c r="CV6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 s="80">
        <f>IF(WWWW[[#This Row],['# People with access to soap]]&gt;WWWW[[#This Row],['# People with access to Sanity Pads]],WWWW[[#This Row],['# People with access to soap]],WWWW[[#This Row],['# People with access to Sanity Pads]])</f>
        <v>0</v>
      </c>
      <c r="CY61"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1" s="78">
        <f>IF(WWWW[[#This Row],[HRP3]]/WWWW[[#This Row],[Total PoP ]]&gt;100%,100%,WWWW[[#This Row],[HRP3]]/WWWW[[#This Row],[Total PoP ]])</f>
        <v>0</v>
      </c>
      <c r="DA61" s="82">
        <f>1-WWWW[[#This Row],[Hygiene Coverage%]]</f>
        <v>1</v>
      </c>
      <c r="DB61" s="81">
        <f>WWWW[[#This Row],['# people reached by regular dedicated hygiene promotion_5]]/WWWW[[#This Row],[Total PoP ]]</f>
        <v>0</v>
      </c>
      <c r="DC61" s="81">
        <f>IF(WWWW[[#This Row],['#_households that received standard amount of soap for this quarter]]/WWWW[[#This Row],[Total HH]]&gt;1,1,WWWW[[#This Row],['#_households that received standard amount of soap for this quarter]]/WWWW[[#This Row],[Total HH]])</f>
        <v>0</v>
      </c>
      <c r="DD61" s="81">
        <f>IF(WWWW[[#This Row],['#_households that received standard amount of sanitary pads for this quarter]]/WWWW[[#This Row],[Total HH]]&gt;1,1,WWWW[[#This Row],['#_households that received standard amount of sanitary pads for this quarter]]/WWWW[[#This Row],[Total HH]])</f>
        <v>0</v>
      </c>
      <c r="DE61" s="80">
        <f>WWWW[[#This Row],['#_Constructed/Existing hand washing stations]]-WWWW[[#This Row],['#_Non-Functional_hand_washing_stations]]</f>
        <v>0</v>
      </c>
      <c r="DF61" s="757">
        <f>IF(WWWW[[#This Row],['# Functional hand washing stations during reporting period]]*20&gt;WWWW[[#This Row],[Total HH]],WWWW[[#This Row],[Total HH]],WWWW[[#This Row],['# Functional hand washing stations during reporting period]]*20)</f>
        <v>0</v>
      </c>
      <c r="DG61" s="79">
        <f>IF(WWWW[[#This Row],[Is sufficient soap available for TLS? (Yes/No)]]="yes",WWWW[[#This Row],['#_Constructed/Existing hand washing stations at TLS]],0)</f>
        <v>0</v>
      </c>
      <c r="DH61" s="578">
        <f>IF(WWWW[[#This Row],['# Functional hand washing stations during reporting period]]*100&gt;WWWW[[#This Row],[Total PoP ]],WWWW[[#This Row],[Total PoP ]],WWWW[[#This Row],['# Functional hand washing stations during reporting period]]*100)</f>
        <v>0</v>
      </c>
      <c r="DI61" s="578" t="str">
        <f>IF(OR(WWWW[[#This Row],['#_students at TLS_CFS]]="",WWWW[[#This Row],['#_students at TLS_CFS]]=0),"No","Yes")</f>
        <v>No</v>
      </c>
      <c r="DJ61" s="231">
        <f>VLOOKUP(WWWW[[#This Row],[Site Name]],SiteDB6[[Site Name]:[CCCM Management]],6,FALSE)</f>
        <v>0</v>
      </c>
      <c r="DK61" s="231" t="str">
        <f>VLOOKUP(WWWW[[#This Row],[Site Name]],SiteDB6[[Site Name]:[CCCM Focal Agency]],7,FALSE)</f>
        <v>uncovered</v>
      </c>
      <c r="DL61" s="231" t="str">
        <f>VLOOKUP(WWWW[[#This Row],[Site Name]],SiteDB6[[Site Name]:[Location Type 1]],9,FALSE)</f>
        <v>Camp</v>
      </c>
      <c r="DM61" s="231" t="str">
        <f>VLOOKUP(WWWW[[#This Row],[Site Name]],SiteDB6[[Site Name]:[Type of Accommodation]],10,FALSE)</f>
        <v>Host Families</v>
      </c>
      <c r="DN61" s="231" t="str">
        <f>VLOOKUP(WWWW[[#This Row],[Site Name]],SiteDB6[[Site Name]:[Ethnic or GCA/NGCA]],11,FALSE)</f>
        <v>GCA</v>
      </c>
      <c r="DO61" s="231">
        <f>VLOOKUP(WWWW[[#This Row],[Site Name]],SiteDB6[[Site Name]:[Lat]],12,FALSE)</f>
        <v>24.118618999999999</v>
      </c>
      <c r="DP61" s="231">
        <f>VLOOKUP(WWWW[[#This Row],[Site Name]],SiteDB6[[Site Name]:[Long]],13,FALSE)</f>
        <v>97.298055000000005</v>
      </c>
      <c r="DQ61" s="231" t="str">
        <f>VLOOKUP(WWWW[[#This Row],[Site Name]],SiteDB6[[Site Name]:[Pcode]],3,FALSE)</f>
        <v>MMR001CMP196</v>
      </c>
      <c r="DR61" s="207" t="str">
        <f t="shared" si="2"/>
        <v>Notcovered</v>
      </c>
      <c r="DS61" s="207"/>
      <c r="DT61" s="20"/>
      <c r="DU61" s="20"/>
      <c r="DV61" s="20"/>
      <c r="DW61" s="20"/>
      <c r="DX61" s="20"/>
      <c r="DY61" s="20"/>
      <c r="DZ61" s="20"/>
      <c r="EA61" s="20"/>
      <c r="EB61" s="20"/>
      <c r="EC61" s="20"/>
      <c r="ED61" s="20"/>
      <c r="EE61" s="20"/>
      <c r="EF61" s="20"/>
      <c r="EG61" s="20"/>
      <c r="EH61" s="20"/>
    </row>
    <row r="62" spans="1:138" ht="15.75" customHeight="1">
      <c r="A62" s="238" t="s">
        <v>2518</v>
      </c>
      <c r="B62" s="574" t="s">
        <v>38</v>
      </c>
      <c r="C62" s="574" t="s">
        <v>38</v>
      </c>
      <c r="D62" s="574" t="s">
        <v>3101</v>
      </c>
      <c r="E62" s="574" t="s">
        <v>39</v>
      </c>
      <c r="F62" s="574" t="s">
        <v>156</v>
      </c>
      <c r="G62" s="574" t="str">
        <f>VLOOKUP(WWWW[[#This Row],[Site Name]],SiteDB6[[Site Name]:[Location Type]],8,FALSE)</f>
        <v>Camp_not registered</v>
      </c>
      <c r="H62" s="574" t="s">
        <v>2086</v>
      </c>
      <c r="I62" s="583">
        <v>72</v>
      </c>
      <c r="J62" s="583">
        <v>329</v>
      </c>
      <c r="K62" s="553">
        <v>43466</v>
      </c>
      <c r="L62" s="77" t="s">
        <v>2974</v>
      </c>
      <c r="M62" s="583"/>
      <c r="N62" s="583"/>
      <c r="O62" s="583"/>
      <c r="P62" s="583"/>
      <c r="Q62" s="574" t="s">
        <v>43</v>
      </c>
      <c r="R62" s="583"/>
      <c r="S62" s="583"/>
      <c r="T62" s="583">
        <v>2</v>
      </c>
      <c r="U62" s="583"/>
      <c r="V62" s="583"/>
      <c r="W62" s="583"/>
      <c r="X62" s="583"/>
      <c r="Y62" s="583"/>
      <c r="Z62" s="583"/>
      <c r="AA62" s="583">
        <v>1</v>
      </c>
      <c r="AB62" s="583"/>
      <c r="AC62" s="583"/>
      <c r="AD62" s="583"/>
      <c r="AE62" s="583"/>
      <c r="AF62" s="583"/>
      <c r="AG62" s="583"/>
      <c r="AH62" s="583"/>
      <c r="AI62" s="583"/>
      <c r="AJ62" s="583"/>
      <c r="AK62" s="583"/>
      <c r="AL62" s="583"/>
      <c r="AM62" s="583"/>
      <c r="AN62" s="583"/>
      <c r="AO62" s="578"/>
      <c r="AP62" s="601">
        <v>12</v>
      </c>
      <c r="AQ62" s="574"/>
      <c r="AR62" s="574"/>
      <c r="AS62" s="578"/>
      <c r="AT62" s="574"/>
      <c r="AU62" s="578"/>
      <c r="AV62" s="578"/>
      <c r="AW62" s="80"/>
      <c r="AX62" s="80" t="s">
        <v>43</v>
      </c>
      <c r="AY62" s="80" t="s">
        <v>145</v>
      </c>
      <c r="AZ62" s="80"/>
      <c r="BA62" s="80"/>
      <c r="BB62" s="578"/>
      <c r="BC62" s="578"/>
      <c r="BD62" s="578"/>
      <c r="BE62" s="578"/>
      <c r="BF62" s="578"/>
      <c r="BG62" s="602">
        <v>2</v>
      </c>
      <c r="BH62" s="578"/>
      <c r="BI62" s="583">
        <v>1</v>
      </c>
      <c r="BJ62" s="583">
        <v>1</v>
      </c>
      <c r="BK62" s="603">
        <v>40</v>
      </c>
      <c r="BL62" s="578"/>
      <c r="BM62" s="578"/>
      <c r="BN62" s="578"/>
      <c r="BO62" s="81"/>
      <c r="BP62" s="578"/>
      <c r="BQ62" s="78" t="str">
        <f>IFERROR(WWWW[[#This Row],['#_Water sources treated]]/WWWW[[#This Row],['#_Water sources tested for contamination]],"no test")</f>
        <v>no test</v>
      </c>
      <c r="BR62" s="81" t="str">
        <f>IFERROR(WWWW[[#This Row],['#_Household received remediation action due to contamination]]/WWWW[[#This Row],['#_Household water samples tested for contamination]],"no test")</f>
        <v>no test</v>
      </c>
      <c r="BS62" s="80" t="str">
        <f>IF(AND(WWWW[[#This Row],[% of water sources treated]]="no test",WWWW[[#This Row],[% Household received corrective actions]]="no test"),"No Test","Tested")</f>
        <v>No Test</v>
      </c>
      <c r="BT62" s="80">
        <f>WWWW[[#This Row],['#_Constructed/existing protected hand dug well]]-WWWW[[#This Row],['#_Non-functional protected hand dug well]]</f>
        <v>2</v>
      </c>
      <c r="BU62" s="80">
        <f>(WWWW[[#This Row],['#_Constructed/Existing tube wells/boreholes/handpumps_WASH_agency]]+WWWW[[#This Row],['#_Non-Cluster partner water tube-wells/boreholes/handpumps]])-WWWW[[#This Row],['#_Non-functional tube wells/boreholes/handpumps]]</f>
        <v>0</v>
      </c>
      <c r="BV62" s="80">
        <f>WWWW[[#This Row],['#_Constructed/Existingwater storage tank with gravity fed reticulation system]]-WWWW[[#This Row],['#_Non-functional storage tank gravity fed reticulation system]]</f>
        <v>1</v>
      </c>
      <c r="BW62" s="80">
        <f>WWWW[[#This Row],['#_Water boating or water trucking]]</f>
        <v>0</v>
      </c>
      <c r="BX62" s="80">
        <f>WWWW[[#This Row],['#_Constructed/Existing water distribution system from river or natural spring]]</f>
        <v>0</v>
      </c>
      <c r="BY6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 s="81">
        <f>IF(WWWW[[#This Row],[Location Type 1]]="Village",WWWW[[#This Row],[Access to safe drinking water for Village]],WWWW[[#This Row],[Access to safe drinking water for Camp]])</f>
        <v>1</v>
      </c>
      <c r="CB62" s="79">
        <f>WWWW[[#This Row],[%Equitable and continuous access to sufficient quantity of safe drinking water]]*WWWW[[#This Row],[Total PoP ]]</f>
        <v>329</v>
      </c>
      <c r="CC62" s="81">
        <f>IF((WWWW[[#This Row],['#_Constructed/Existing protected/fenced ponds]]*250)/WWWW[[#This Row],[Total PoP ]]&gt;1,1,(WWWW[[#This Row],['#_Constructed/Existing protected/fenced ponds]]*250)/WWWW[[#This Row],[Total PoP ]])</f>
        <v>0</v>
      </c>
      <c r="CD62" s="79">
        <f>WWWW[[#This Row],[% Access to unimproved water points]]*WWWW[[#This Row],[Total PoP ]]</f>
        <v>0</v>
      </c>
      <c r="CE6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G62" s="79">
        <f>WWWW[[#This Row],[HRP1]]/500</f>
        <v>0.65800000000000003</v>
      </c>
      <c r="CH62" s="78">
        <f>1-WWWW[[#This Row],[% Equitable and continuous access to sufficient quantity of domestic water]]</f>
        <v>0</v>
      </c>
      <c r="CI62" s="79">
        <f>WWWW[[#This Row],[%equitable and continuous access to sufficient quantity of safe drinking and domestic water''s GAP]]*WWWW[[#This Row],[Total PoP ]]</f>
        <v>0</v>
      </c>
      <c r="CJ62" s="80">
        <f>IF(WWWW[[#This Row],[Total required water points]]-WWWW[[#This Row],['#Water points coverage]]&lt;0,0,WWWW[[#This Row],[Total required water points]]-WWWW[[#This Row],['#Water points coverage]])</f>
        <v>0.34199999999999997</v>
      </c>
      <c r="CK62" s="80">
        <f>ROUND(IF(WWWW[[#This Row],[Total PoP ]]&lt;500,1,WWWW[[#This Row],[Total PoP ]]/500),0)</f>
        <v>1</v>
      </c>
      <c r="CL62" s="80">
        <f>(WWWW[[#This Row],['#_Constructed latrines_by_WASHAgencies]]+WWWW[[#This Row],['#_Non Cluster partner latrines]])-WWWW[[#This Row],['#_Non-functional latrines]]</f>
        <v>12</v>
      </c>
      <c r="CM6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0.72948328267477203</v>
      </c>
      <c r="CN6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6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 s="80">
        <f>IF(WWWW[[#This Row],[Location Type 1]]="Village","NA",IF(WWWW[[#This Row],['#_Constructed/Existing latrines in TLS]]*50&gt;WWWW[[#This Row],['#_students at TLS_CFS]],WWWW[[#This Row],['#_students at TLS_CFS]],(WWWW[[#This Row],['#_Constructed/Existing latrines in TLS]]*50)))</f>
        <v>0</v>
      </c>
      <c r="CQ62" s="80">
        <f>ROUND(IF(WWWW[[#This Row],[Location Type 1]]="camp",WWWW[[#This Row],[Total PoP ]]/20,IF(WWWW[[#This Row],[Location Type 1]]="Temporary Location",WWWW[[#This Row],[Total PoP ]]/50,(WWWW[[#This Row],[Total PoP ]]/6))),0)</f>
        <v>16</v>
      </c>
      <c r="CR62" s="79">
        <f>IF(WWWW[[#This Row],[Total required Latrines]]-(WWWW[[#This Row],['#_Constructed latrines_by_WASHAgencies]]+WWWW[[#This Row],['#_Non Cluster partner latrines]])&lt;0,0,WWWW[[#This Row],[Total required Latrines]]-(WWWW[[#This Row],['#_Constructed latrines_by_WASHAgencies]]+WWWW[[#This Row],['#_Non Cluster partner latrines]]))</f>
        <v>4</v>
      </c>
      <c r="CS62" s="78">
        <f>1-WWWW[[#This Row],[% people access to functioning Latrine]]</f>
        <v>0.27051671732522797</v>
      </c>
      <c r="CT62" s="82">
        <f>IF(OR(WWWW[[#This Row],['#_Non-functional latrines]]="",WWWW[[#This Row],['#_Non-functional latrines]]=0),0,WWWW[[#This Row],['#_Non-functional latrines]]/(WWWW[[#This Row],['#_Constructed latrines_by_WASHAgencies]]+WWWW[[#This Row],['#_Non Cluster partner latrines]]))</f>
        <v>0</v>
      </c>
      <c r="CU62" s="79">
        <f>IF(500*(WWWW[[#This Row],['#_male hygiene promoters]]+WWWW[[#This Row],['#_female hygiene promoters]])&gt;WWWW[[#This Row],[Total PoP ]],WWWW[[#This Row],[Total PoP ]],500*(WWWW[[#This Row],['#_male hygiene promoters]]+WWWW[[#This Row],['#_female hygiene promoters]]))</f>
        <v>329</v>
      </c>
      <c r="CV6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6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2" s="80">
        <f>IF(WWWW[[#This Row],['# People with access to soap]]&gt;WWWW[[#This Row],['# People with access to Sanity Pads]],WWWW[[#This Row],['# People with access to soap]],WWWW[[#This Row],['# People with access to Sanity Pads]])</f>
        <v>200</v>
      </c>
      <c r="CY62" s="80">
        <f>IF(WWWW[[#This Row],['# people reached by regular dedicated hygiene promotion_5]]&gt;WWWW[[#This Row],['# People received regular supply of hygiene items_6]],WWWW[[#This Row],['# people reached by regular dedicated hygiene promotion_5]],WWWW[[#This Row],['# People received regular supply of hygiene items_6]])</f>
        <v>329</v>
      </c>
      <c r="CZ62" s="78">
        <f>IF(WWWW[[#This Row],[HRP3]]/WWWW[[#This Row],[Total PoP ]]&gt;100%,100%,WWWW[[#This Row],[HRP3]]/WWWW[[#This Row],[Total PoP ]])</f>
        <v>1</v>
      </c>
      <c r="DA62" s="82">
        <f>1-WWWW[[#This Row],[Hygiene Coverage%]]</f>
        <v>0</v>
      </c>
      <c r="DB62" s="81">
        <f>WWWW[[#This Row],['# people reached by regular dedicated hygiene promotion_5]]/WWWW[[#This Row],[Total PoP ]]</f>
        <v>1</v>
      </c>
      <c r="DC62" s="81">
        <f>IF(WWWW[[#This Row],['#_households that received standard amount of soap for this quarter]]/WWWW[[#This Row],[Total HH]]&gt;1,1,WWWW[[#This Row],['#_households that received standard amount of soap for this quarter]]/WWWW[[#This Row],[Total HH]])</f>
        <v>0.55555555555555558</v>
      </c>
      <c r="DD62" s="81">
        <f>IF(WWWW[[#This Row],['#_households that received standard amount of sanitary pads for this quarter]]/WWWW[[#This Row],[Total HH]]&gt;1,1,WWWW[[#This Row],['#_households that received standard amount of sanitary pads for this quarter]]/WWWW[[#This Row],[Total HH]])</f>
        <v>0</v>
      </c>
      <c r="DE62" s="80">
        <f>WWWW[[#This Row],['#_Constructed/Existing hand washing stations]]-WWWW[[#This Row],['#_Non-Functional_hand_washing_stations]]</f>
        <v>0</v>
      </c>
      <c r="DF62" s="757">
        <f>IF(WWWW[[#This Row],['# Functional hand washing stations during reporting period]]*20&gt;WWWW[[#This Row],[Total HH]],WWWW[[#This Row],[Total HH]],WWWW[[#This Row],['# Functional hand washing stations during reporting period]]*20)</f>
        <v>0</v>
      </c>
      <c r="DG62" s="79">
        <f>IF(WWWW[[#This Row],[Is sufficient soap available for TLS? (Yes/No)]]="yes",WWWW[[#This Row],['#_Constructed/Existing hand washing stations at TLS]],0)</f>
        <v>0</v>
      </c>
      <c r="DH62" s="578">
        <f>IF(WWWW[[#This Row],['# Functional hand washing stations during reporting period]]*100&gt;WWWW[[#This Row],[Total PoP ]],WWWW[[#This Row],[Total PoP ]],WWWW[[#This Row],['# Functional hand washing stations during reporting period]]*100)</f>
        <v>0</v>
      </c>
      <c r="DI62" s="578" t="str">
        <f>IF(OR(WWWW[[#This Row],['#_students at TLS_CFS]]="",WWWW[[#This Row],['#_students at TLS_CFS]]=0),"No","Yes")</f>
        <v>No</v>
      </c>
      <c r="DJ62" s="231">
        <f>VLOOKUP(WWWW[[#This Row],[Site Name]],SiteDB6[[Site Name]:[CCCM Management]],6,FALSE)</f>
        <v>0</v>
      </c>
      <c r="DK62" s="231">
        <f>VLOOKUP(WWWW[[#This Row],[Site Name]],SiteDB6[[Site Name]:[CCCM Focal Agency]],7,FALSE)</f>
        <v>0</v>
      </c>
      <c r="DL62" s="231" t="str">
        <f>VLOOKUP(WWWW[[#This Row],[Site Name]],SiteDB6[[Site Name]:[Location Type 1]],9,FALSE)</f>
        <v>Camp</v>
      </c>
      <c r="DM62" s="231" t="str">
        <f>VLOOKUP(WWWW[[#This Row],[Site Name]],SiteDB6[[Site Name]:[Type of Accommodation]],10,FALSE)</f>
        <v>Camp like setting</v>
      </c>
      <c r="DN62" s="231" t="s">
        <v>46</v>
      </c>
      <c r="DO62" s="231">
        <f>VLOOKUP(WWWW[[#This Row],[Site Name]],SiteDB6[[Site Name]:[Lat]],12,FALSE)</f>
        <v>0</v>
      </c>
      <c r="DP62" s="231">
        <f>VLOOKUP(WWWW[[#This Row],[Site Name]],SiteDB6[[Site Name]:[Long]],13,FALSE)</f>
        <v>0</v>
      </c>
      <c r="DQ62" s="231">
        <f>VLOOKUP(WWWW[[#This Row],[Site Name]],SiteDB6[[Site Name]:[Pcode]],3,FALSE)</f>
        <v>0</v>
      </c>
      <c r="DR62" s="207" t="str">
        <f t="shared" si="2"/>
        <v>Covered</v>
      </c>
      <c r="DS62" s="207"/>
      <c r="DT62" s="20"/>
      <c r="DU62" s="20"/>
      <c r="DV62" s="20"/>
      <c r="DW62" s="20"/>
      <c r="DX62" s="20"/>
      <c r="DY62" s="20"/>
      <c r="DZ62" s="20"/>
      <c r="EA62" s="20"/>
      <c r="EB62" s="20"/>
      <c r="EC62" s="20"/>
      <c r="ED62" s="20"/>
      <c r="EE62" s="20"/>
      <c r="EF62" s="20"/>
      <c r="EG62" s="20"/>
      <c r="EH62" s="20"/>
    </row>
    <row r="63" spans="1:138" ht="15.75" customHeight="1">
      <c r="A63" s="238" t="s">
        <v>2518</v>
      </c>
      <c r="B63" s="238" t="s">
        <v>149</v>
      </c>
      <c r="C63" s="574" t="s">
        <v>149</v>
      </c>
      <c r="D63" s="73" t="s">
        <v>158</v>
      </c>
      <c r="E63" s="574" t="s">
        <v>39</v>
      </c>
      <c r="F63" s="574" t="s">
        <v>167</v>
      </c>
      <c r="G63" s="574" t="str">
        <f>VLOOKUP(WWWW[[#This Row],[Site Name]],SiteDB6[[Site Name]:[Location Type]],8,FALSE)</f>
        <v>Camp</v>
      </c>
      <c r="H63" s="574" t="s">
        <v>2184</v>
      </c>
      <c r="I63" s="583">
        <v>118</v>
      </c>
      <c r="J63" s="583">
        <v>489</v>
      </c>
      <c r="K63" s="553">
        <v>43556</v>
      </c>
      <c r="L63" s="77">
        <v>43677</v>
      </c>
      <c r="M63" s="311"/>
      <c r="N63" s="583"/>
      <c r="O63" s="583"/>
      <c r="P63" s="583"/>
      <c r="Q63" s="76" t="s">
        <v>43</v>
      </c>
      <c r="R63" s="310"/>
      <c r="S63" s="310"/>
      <c r="T63" s="583">
        <v>1</v>
      </c>
      <c r="U63" s="310"/>
      <c r="V63" s="310"/>
      <c r="W63" s="583">
        <v>7</v>
      </c>
      <c r="X63" s="310"/>
      <c r="Y63" s="310">
        <v>4</v>
      </c>
      <c r="Z63" s="310"/>
      <c r="AA63" s="310"/>
      <c r="AB63" s="310"/>
      <c r="AC63" s="310"/>
      <c r="AD63" s="310"/>
      <c r="AE63" s="310"/>
      <c r="AF63" s="310"/>
      <c r="AG63" s="310"/>
      <c r="AH63" s="583">
        <v>6</v>
      </c>
      <c r="AI63" s="310"/>
      <c r="AJ63" s="310"/>
      <c r="AK63" s="310"/>
      <c r="AL63" s="310"/>
      <c r="AM63" s="310"/>
      <c r="AN63" s="310"/>
      <c r="AO63" s="207"/>
      <c r="AP63" s="583">
        <v>16</v>
      </c>
      <c r="AQ63" s="310"/>
      <c r="AR63" s="76"/>
      <c r="AS63" s="310"/>
      <c r="AT63" s="310"/>
      <c r="AU63" s="310"/>
      <c r="AV63" s="310"/>
      <c r="AW63" s="583">
        <v>16</v>
      </c>
      <c r="AX63" s="231" t="s">
        <v>43</v>
      </c>
      <c r="AY63" s="231" t="s">
        <v>145</v>
      </c>
      <c r="AZ63" s="310"/>
      <c r="BA63" s="310"/>
      <c r="BB63" s="310"/>
      <c r="BC63" s="207"/>
      <c r="BD63" s="310"/>
      <c r="BE63" s="310"/>
      <c r="BF63" s="310"/>
      <c r="BG63" s="310">
        <v>0</v>
      </c>
      <c r="BH63" s="310"/>
      <c r="BI63" s="310"/>
      <c r="BJ63" s="310">
        <v>2</v>
      </c>
      <c r="BK63" s="310"/>
      <c r="BL63" s="310"/>
      <c r="BM63" s="207"/>
      <c r="BN63" s="79"/>
      <c r="BO63" s="81"/>
      <c r="BP63" s="207"/>
      <c r="BQ63" s="78" t="str">
        <f>IFERROR(WWWW[[#This Row],['#_Water sources treated]]/WWWW[[#This Row],['#_Water sources tested for contamination]],"no test")</f>
        <v>no test</v>
      </c>
      <c r="BR63" s="81" t="str">
        <f>IFERROR(WWWW[[#This Row],['#_Household received remediation action due to contamination]]/WWWW[[#This Row],['#_Household water samples tested for contamination]],"no test")</f>
        <v>no test</v>
      </c>
      <c r="BS63" s="80" t="str">
        <f>IF(AND(WWWW[[#This Row],[% of water sources treated]]="no test",WWWW[[#This Row],[% Household received corrective actions]]="no test"),"No Test","Tested")</f>
        <v>No Test</v>
      </c>
      <c r="BT63" s="80">
        <f>WWWW[[#This Row],['#_Constructed/existing protected hand dug well]]-WWWW[[#This Row],['#_Non-functional protected hand dug well]]</f>
        <v>1</v>
      </c>
      <c r="BU63" s="80">
        <f>(WWWW[[#This Row],['#_Constructed/Existing tube wells/boreholes/handpumps_WASH_agency]]+WWWW[[#This Row],['#_Non-Cluster partner water tube-wells/boreholes/handpumps]])-WWWW[[#This Row],['#_Non-functional tube wells/boreholes/handpumps]]</f>
        <v>3</v>
      </c>
      <c r="BV63" s="80">
        <f>WWWW[[#This Row],['#_Constructed/Existingwater storage tank with gravity fed reticulation system]]-WWWW[[#This Row],['#_Non-functional storage tank gravity fed reticulation system]]</f>
        <v>0</v>
      </c>
      <c r="BW63" s="80">
        <f>WWWW[[#This Row],['#_Water boating or water trucking]]</f>
        <v>0</v>
      </c>
      <c r="BX63" s="80">
        <f>WWWW[[#This Row],['#_Constructed/Existing water distribution system from river or natural spring]]</f>
        <v>0</v>
      </c>
      <c r="BY6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 s="81">
        <f>IF(WWWW[[#This Row],[Location Type 1]]="Village",WWWW[[#This Row],[Access to safe drinking water for Village]],WWWW[[#This Row],[Access to safe drinking water for Camp]])</f>
        <v>1</v>
      </c>
      <c r="CB63" s="79">
        <f>WWWW[[#This Row],[%Equitable and continuous access to sufficient quantity of safe drinking water]]*WWWW[[#This Row],[Total PoP ]]</f>
        <v>489</v>
      </c>
      <c r="CC63" s="81">
        <f>IF((WWWW[[#This Row],['#_Constructed/Existing protected/fenced ponds]]*250)/WWWW[[#This Row],[Total PoP ]]&gt;1,1,(WWWW[[#This Row],['#_Constructed/Existing protected/fenced ponds]]*250)/WWWW[[#This Row],[Total PoP ]])</f>
        <v>0</v>
      </c>
      <c r="CD63" s="79">
        <f>WWWW[[#This Row],[% Access to unimproved water points]]*WWWW[[#This Row],[Total PoP ]]</f>
        <v>0</v>
      </c>
      <c r="CE6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G63" s="79">
        <f>WWWW[[#This Row],[HRP1]]/500</f>
        <v>0.97799999999999998</v>
      </c>
      <c r="CH63" s="78">
        <f>1-WWWW[[#This Row],[% Equitable and continuous access to sufficient quantity of domestic water]]</f>
        <v>0</v>
      </c>
      <c r="CI63" s="79">
        <f>WWWW[[#This Row],[%equitable and continuous access to sufficient quantity of safe drinking and domestic water''s GAP]]*WWWW[[#This Row],[Total PoP ]]</f>
        <v>0</v>
      </c>
      <c r="CJ63" s="80">
        <f>IF(WWWW[[#This Row],[Total required water points]]-WWWW[[#This Row],['#Water points coverage]]&lt;0,0,WWWW[[#This Row],[Total required water points]]-WWWW[[#This Row],['#Water points coverage]])</f>
        <v>2.200000000000002E-2</v>
      </c>
      <c r="CK63" s="80">
        <f>ROUND(IF(WWWW[[#This Row],[Total PoP ]]&lt;500,1,WWWW[[#This Row],[Total PoP ]]/500),0)</f>
        <v>1</v>
      </c>
      <c r="CL63" s="80">
        <f>(WWWW[[#This Row],['#_Constructed latrines_by_WASHAgencies]]+WWWW[[#This Row],['#_Non Cluster partner latrines]])-WWWW[[#This Row],['#_Non-functional latrines]]</f>
        <v>16</v>
      </c>
      <c r="CM6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0.65439672801635995</v>
      </c>
      <c r="CN6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6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 s="80">
        <f>IF(WWWW[[#This Row],[Location Type 1]]="Village","NA",IF(WWWW[[#This Row],['#_Constructed/Existing latrines in TLS]]*50&gt;WWWW[[#This Row],['#_students at TLS_CFS]],WWWW[[#This Row],['#_students at TLS_CFS]],(WWWW[[#This Row],['#_Constructed/Existing latrines in TLS]]*50)))</f>
        <v>0</v>
      </c>
      <c r="CQ63" s="80">
        <f>ROUND(IF(WWWW[[#This Row],[Location Type 1]]="camp",WWWW[[#This Row],[Total PoP ]]/20,IF(WWWW[[#This Row],[Location Type 1]]="Temporary Location",WWWW[[#This Row],[Total PoP ]]/50,(WWWW[[#This Row],[Total PoP ]]/6))),0)</f>
        <v>24</v>
      </c>
      <c r="CR63" s="79">
        <f>IF(WWWW[[#This Row],[Total required Latrines]]-(WWWW[[#This Row],['#_Constructed latrines_by_WASHAgencies]]+WWWW[[#This Row],['#_Non Cluster partner latrines]])&lt;0,0,WWWW[[#This Row],[Total required Latrines]]-(WWWW[[#This Row],['#_Constructed latrines_by_WASHAgencies]]+WWWW[[#This Row],['#_Non Cluster partner latrines]]))</f>
        <v>8</v>
      </c>
      <c r="CS63" s="78">
        <f>1-WWWW[[#This Row],[% people access to functioning Latrine]]</f>
        <v>0.34560327198364005</v>
      </c>
      <c r="CT63" s="82">
        <f>IF(OR(WWWW[[#This Row],['#_Non-functional latrines]]="",WWWW[[#This Row],['#_Non-functional latrines]]=0),0,WWWW[[#This Row],['#_Non-functional latrines]]/(WWWW[[#This Row],['#_Constructed latrines_by_WASHAgencies]]+WWWW[[#This Row],['#_Non Cluster partner latrines]]))</f>
        <v>0</v>
      </c>
      <c r="CU63" s="79">
        <f>IF(500*(WWWW[[#This Row],['#_male hygiene promoters]]+WWWW[[#This Row],['#_female hygiene promoters]])&gt;WWWW[[#This Row],[Total PoP ]],WWWW[[#This Row],[Total PoP ]],500*(WWWW[[#This Row],['#_male hygiene promoters]]+WWWW[[#This Row],['#_female hygiene promoters]]))</f>
        <v>489</v>
      </c>
      <c r="CV6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 s="80">
        <f>IF(WWWW[[#This Row],['# People with access to soap]]&gt;WWWW[[#This Row],['# People with access to Sanity Pads]],WWWW[[#This Row],['# People with access to soap]],WWWW[[#This Row],['# People with access to Sanity Pads]])</f>
        <v>0</v>
      </c>
      <c r="CY63" s="80">
        <f>IF(WWWW[[#This Row],['# people reached by regular dedicated hygiene promotion_5]]&gt;WWWW[[#This Row],['# People received regular supply of hygiene items_6]],WWWW[[#This Row],['# people reached by regular dedicated hygiene promotion_5]],WWWW[[#This Row],['# People received regular supply of hygiene items_6]])</f>
        <v>489</v>
      </c>
      <c r="CZ63" s="78">
        <f>IF(WWWW[[#This Row],[HRP3]]/WWWW[[#This Row],[Total PoP ]]&gt;100%,100%,WWWW[[#This Row],[HRP3]]/WWWW[[#This Row],[Total PoP ]])</f>
        <v>1</v>
      </c>
      <c r="DA63" s="82">
        <f>1-WWWW[[#This Row],[Hygiene Coverage%]]</f>
        <v>0</v>
      </c>
      <c r="DB63" s="81">
        <f>WWWW[[#This Row],['# people reached by regular dedicated hygiene promotion_5]]/WWWW[[#This Row],[Total PoP ]]</f>
        <v>1</v>
      </c>
      <c r="DC63" s="81">
        <f>IF(WWWW[[#This Row],['#_households that received standard amount of soap for this quarter]]/WWWW[[#This Row],[Total HH]]&gt;1,1,WWWW[[#This Row],['#_households that received standard amount of soap for this quarter]]/WWWW[[#This Row],[Total HH]])</f>
        <v>0</v>
      </c>
      <c r="DD63" s="81">
        <f>IF(WWWW[[#This Row],['#_households that received standard amount of sanitary pads for this quarter]]/WWWW[[#This Row],[Total HH]]&gt;1,1,WWWW[[#This Row],['#_households that received standard amount of sanitary pads for this quarter]]/WWWW[[#This Row],[Total HH]])</f>
        <v>0</v>
      </c>
      <c r="DE63" s="80">
        <f>WWWW[[#This Row],['#_Constructed/Existing hand washing stations]]-WWWW[[#This Row],['#_Non-Functional_hand_washing_stations]]</f>
        <v>0</v>
      </c>
      <c r="DF63" s="757">
        <f>IF(WWWW[[#This Row],['# Functional hand washing stations during reporting period]]*20&gt;WWWW[[#This Row],[Total HH]],WWWW[[#This Row],[Total HH]],WWWW[[#This Row],['# Functional hand washing stations during reporting period]]*20)</f>
        <v>0</v>
      </c>
      <c r="DG63" s="79">
        <f>IF(WWWW[[#This Row],[Is sufficient soap available for TLS? (Yes/No)]]="yes",WWWW[[#This Row],['#_Constructed/Existing hand washing stations at TLS]],0)</f>
        <v>0</v>
      </c>
      <c r="DH63" s="578">
        <f>IF(WWWW[[#This Row],['# Functional hand washing stations during reporting period]]*100&gt;WWWW[[#This Row],[Total PoP ]],WWWW[[#This Row],[Total PoP ]],WWWW[[#This Row],['# Functional hand washing stations during reporting period]]*100)</f>
        <v>0</v>
      </c>
      <c r="DI63" s="578" t="str">
        <f>IF(OR(WWWW[[#This Row],['#_students at TLS_CFS]]="",WWWW[[#This Row],['#_students at TLS_CFS]]=0),"No","Yes")</f>
        <v>No</v>
      </c>
      <c r="DJ63" s="231">
        <f>VLOOKUP(WWWW[[#This Row],[Site Name]],SiteDB6[[Site Name]:[CCCM Management]],6,FALSE)</f>
        <v>0</v>
      </c>
      <c r="DK63" s="231" t="str">
        <f>VLOOKUP(WWWW[[#This Row],[Site Name]],SiteDB6[[Site Name]:[CCCM Focal Agency]],7,FALSE)</f>
        <v>KBC</v>
      </c>
      <c r="DL63" s="231" t="str">
        <f>VLOOKUP(WWWW[[#This Row],[Site Name]],SiteDB6[[Site Name]:[Location Type 1]],9,FALSE)</f>
        <v>Camp</v>
      </c>
      <c r="DM63" s="231" t="str">
        <f>VLOOKUP(WWWW[[#This Row],[Site Name]],SiteDB6[[Site Name]:[Type of Accommodation]],10,FALSE)</f>
        <v>Camp</v>
      </c>
      <c r="DN63" s="231" t="str">
        <f>VLOOKUP(WWWW[[#This Row],[Site Name]],SiteDB6[[Site Name]:[Ethnic or GCA/NGCA]],11,FALSE)</f>
        <v>GCA</v>
      </c>
      <c r="DO63" s="231">
        <f>VLOOKUP(WWWW[[#This Row],[Site Name]],SiteDB6[[Site Name]:[Lat]],12,FALSE)</f>
        <v>0</v>
      </c>
      <c r="DP63" s="231">
        <f>VLOOKUP(WWWW[[#This Row],[Site Name]],SiteDB6[[Site Name]:[Long]],13,FALSE)</f>
        <v>0</v>
      </c>
      <c r="DQ63" s="231" t="str">
        <f>VLOOKUP(WWWW[[#This Row],[Site Name]],SiteDB6[[Site Name]:[Pcode]],3,FALSE)</f>
        <v>MMR001CMP265</v>
      </c>
      <c r="DR63" s="207" t="str">
        <f t="shared" si="2"/>
        <v>Covered</v>
      </c>
      <c r="DS63" s="207"/>
      <c r="DT63" s="20"/>
      <c r="DU63" s="20"/>
      <c r="DV63" s="20"/>
      <c r="DW63" s="20"/>
      <c r="DX63" s="20"/>
      <c r="DY63" s="20"/>
      <c r="DZ63" s="20"/>
      <c r="EA63" s="20"/>
      <c r="EB63" s="20"/>
      <c r="EC63" s="20"/>
      <c r="ED63" s="20"/>
      <c r="EE63" s="20"/>
      <c r="EF63" s="20"/>
      <c r="EG63" s="20"/>
      <c r="EH63" s="20"/>
    </row>
    <row r="64" spans="1:138" ht="15.75" customHeight="1">
      <c r="A64" s="238" t="s">
        <v>2518</v>
      </c>
      <c r="B64" s="574" t="s">
        <v>38</v>
      </c>
      <c r="C64" s="574" t="s">
        <v>38</v>
      </c>
      <c r="D64" s="73" t="s">
        <v>249</v>
      </c>
      <c r="E64" s="574" t="s">
        <v>39</v>
      </c>
      <c r="F64" s="574" t="s">
        <v>213</v>
      </c>
      <c r="G64" s="574" t="str">
        <f>VLOOKUP(WWWW[[#This Row],[Site Name]],SiteDB6[[Site Name]:[Location Type]],8,FALSE)</f>
        <v>Camp</v>
      </c>
      <c r="H64" s="574" t="s">
        <v>298</v>
      </c>
      <c r="I64" s="583">
        <v>1490</v>
      </c>
      <c r="J64" s="583">
        <v>8486</v>
      </c>
      <c r="K64" s="553">
        <v>43435</v>
      </c>
      <c r="L64" s="77">
        <v>43799</v>
      </c>
      <c r="M64" s="311">
        <v>1140</v>
      </c>
      <c r="N64" s="583"/>
      <c r="O64" s="583"/>
      <c r="P64" s="583"/>
      <c r="Q64" s="76" t="s">
        <v>43</v>
      </c>
      <c r="R64" s="310"/>
      <c r="S64" s="310"/>
      <c r="T64" s="310">
        <v>1</v>
      </c>
      <c r="U64" s="310"/>
      <c r="V64" s="310"/>
      <c r="W64" s="310"/>
      <c r="X64" s="310"/>
      <c r="Y64" s="310"/>
      <c r="Z64" s="310"/>
      <c r="AA64" s="310"/>
      <c r="AB64" s="310"/>
      <c r="AC64" s="310"/>
      <c r="AD64" s="310"/>
      <c r="AE64" s="310"/>
      <c r="AF64" s="310"/>
      <c r="AG64" s="310"/>
      <c r="AH64" s="310"/>
      <c r="AI64" s="310"/>
      <c r="AJ64" s="310"/>
      <c r="AK64" s="310"/>
      <c r="AL64" s="310"/>
      <c r="AM64" s="310"/>
      <c r="AN64" s="310"/>
      <c r="AO64" s="207"/>
      <c r="AP64" s="310">
        <v>22</v>
      </c>
      <c r="AQ64" s="310"/>
      <c r="AR64" s="76"/>
      <c r="AS64" s="310"/>
      <c r="AT64" s="310"/>
      <c r="AU64" s="310"/>
      <c r="AV64" s="310"/>
      <c r="AW64" s="310"/>
      <c r="AX64" s="231" t="s">
        <v>43</v>
      </c>
      <c r="AY64" s="231" t="s">
        <v>145</v>
      </c>
      <c r="AZ64" s="310">
        <v>6</v>
      </c>
      <c r="BA64" s="310"/>
      <c r="BB64" s="310"/>
      <c r="BC64" s="207"/>
      <c r="BD64" s="310"/>
      <c r="BE64" s="310"/>
      <c r="BF64" s="310"/>
      <c r="BG64" s="310">
        <v>3</v>
      </c>
      <c r="BH64" s="310"/>
      <c r="BI64" s="310"/>
      <c r="BJ64" s="310">
        <v>2</v>
      </c>
      <c r="BK64" s="310">
        <v>40</v>
      </c>
      <c r="BL64" s="310"/>
      <c r="BM64" s="207" t="s">
        <v>144</v>
      </c>
      <c r="BN64" s="79"/>
      <c r="BO64" s="81"/>
      <c r="BP64" s="207"/>
      <c r="BQ64" s="78" t="str">
        <f>IFERROR(WWWW[[#This Row],['#_Water sources treated]]/WWWW[[#This Row],['#_Water sources tested for contamination]],"no test")</f>
        <v>no test</v>
      </c>
      <c r="BR64" s="81" t="str">
        <f>IFERROR(WWWW[[#This Row],['#_Household received remediation action due to contamination]]/WWWW[[#This Row],['#_Household water samples tested for contamination]],"no test")</f>
        <v>no test</v>
      </c>
      <c r="BS64" s="80" t="str">
        <f>IF(AND(WWWW[[#This Row],[% of water sources treated]]="no test",WWWW[[#This Row],[% Household received corrective actions]]="no test"),"No Test","Tested")</f>
        <v>No Test</v>
      </c>
      <c r="BT64" s="80">
        <f>WWWW[[#This Row],['#_Constructed/existing protected hand dug well]]-WWWW[[#This Row],['#_Non-functional protected hand dug well]]</f>
        <v>1</v>
      </c>
      <c r="BU64" s="80">
        <f>(WWWW[[#This Row],['#_Constructed/Existing tube wells/boreholes/handpumps_WASH_agency]]+WWWW[[#This Row],['#_Non-Cluster partner water tube-wells/boreholes/handpumps]])-WWWW[[#This Row],['#_Non-functional tube wells/boreholes/handpumps]]</f>
        <v>0</v>
      </c>
      <c r="BV64" s="80">
        <f>WWWW[[#This Row],['#_Constructed/Existingwater storage tank with gravity fed reticulation system]]-WWWW[[#This Row],['#_Non-functional storage tank gravity fed reticulation system]]</f>
        <v>0</v>
      </c>
      <c r="BW64" s="80">
        <f>WWWW[[#This Row],['#_Water boating or water trucking]]</f>
        <v>0</v>
      </c>
      <c r="BX64" s="80">
        <f>WWWW[[#This Row],['#_Constructed/Existing water distribution system from river or natural spring]]</f>
        <v>0</v>
      </c>
      <c r="BY6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4.7136460051850106E-2</v>
      </c>
      <c r="BZ6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2.9460287532406315E-2</v>
      </c>
      <c r="CA64" s="81">
        <f>IF(WWWW[[#This Row],[Location Type 1]]="Village",WWWW[[#This Row],[Access to safe drinking water for Village]],WWWW[[#This Row],[Access to safe drinking water for Camp]])</f>
        <v>4.7136460051850106E-2</v>
      </c>
      <c r="CB64" s="79">
        <f>WWWW[[#This Row],[%Equitable and continuous access to sufficient quantity of safe drinking water]]*WWWW[[#This Row],[Total PoP ]]</f>
        <v>400</v>
      </c>
      <c r="CC64" s="81">
        <f>IF((WWWW[[#This Row],['#_Constructed/Existing protected/fenced ponds]]*250)/WWWW[[#This Row],[Total PoP ]]&gt;1,1,(WWWW[[#This Row],['#_Constructed/Existing protected/fenced ponds]]*250)/WWWW[[#This Row],[Total PoP ]])</f>
        <v>0</v>
      </c>
      <c r="CD64" s="79">
        <f>WWWW[[#This Row],[% Access to unimproved water points]]*WWWW[[#This Row],[Total PoP ]]</f>
        <v>0</v>
      </c>
      <c r="CE6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F6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64" s="79">
        <f>WWWW[[#This Row],[HRP1]]/500</f>
        <v>0.8</v>
      </c>
      <c r="CH64" s="78">
        <f>1-WWWW[[#This Row],[% Equitable and continuous access to sufficient quantity of domestic water]]</f>
        <v>0.95286353994814987</v>
      </c>
      <c r="CI64" s="79">
        <f>WWWW[[#This Row],[%equitable and continuous access to sufficient quantity of safe drinking and domestic water''s GAP]]*WWWW[[#This Row],[Total PoP ]]</f>
        <v>8086</v>
      </c>
      <c r="CJ64" s="80">
        <f>IF(WWWW[[#This Row],[Total required water points]]-WWWW[[#This Row],['#Water points coverage]]&lt;0,0,WWWW[[#This Row],[Total required water points]]-WWWW[[#This Row],['#Water points coverage]])</f>
        <v>16.2</v>
      </c>
      <c r="CK64" s="80">
        <f>ROUND(IF(WWWW[[#This Row],[Total PoP ]]&lt;500,1,WWWW[[#This Row],[Total PoP ]]/500),0)</f>
        <v>17</v>
      </c>
      <c r="CL64" s="80">
        <f>(WWWW[[#This Row],['#_Constructed latrines_by_WASHAgencies]]+WWWW[[#This Row],['#_Non Cluster partner latrines]])-WWWW[[#This Row],['#_Non-functional latrines]]</f>
        <v>22</v>
      </c>
      <c r="CM6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5.185010605703512E-2</v>
      </c>
      <c r="CN6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440</v>
      </c>
      <c r="CO6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 s="80">
        <f>IF(WWWW[[#This Row],[Location Type 1]]="Village","NA",IF(WWWW[[#This Row],['#_Constructed/Existing latrines in TLS]]*50&gt;WWWW[[#This Row],['#_students at TLS_CFS]],WWWW[[#This Row],['#_students at TLS_CFS]],(WWWW[[#This Row],['#_Constructed/Existing latrines in TLS]]*50)))</f>
        <v>0</v>
      </c>
      <c r="CQ64" s="80">
        <f>ROUND(IF(WWWW[[#This Row],[Location Type 1]]="camp",WWWW[[#This Row],[Total PoP ]]/20,IF(WWWW[[#This Row],[Location Type 1]]="Temporary Location",WWWW[[#This Row],[Total PoP ]]/50,(WWWW[[#This Row],[Total PoP ]]/6))),0)</f>
        <v>424</v>
      </c>
      <c r="CR64" s="79">
        <f>IF(WWWW[[#This Row],[Total required Latrines]]-(WWWW[[#This Row],['#_Constructed latrines_by_WASHAgencies]]+WWWW[[#This Row],['#_Non Cluster partner latrines]])&lt;0,0,WWWW[[#This Row],[Total required Latrines]]-(WWWW[[#This Row],['#_Constructed latrines_by_WASHAgencies]]+WWWW[[#This Row],['#_Non Cluster partner latrines]]))</f>
        <v>402</v>
      </c>
      <c r="CS64" s="78">
        <f>1-WWWW[[#This Row],[% people access to functioning Latrine]]</f>
        <v>0.94814989394296489</v>
      </c>
      <c r="CT64" s="82">
        <f>IF(OR(WWWW[[#This Row],['#_Non-functional latrines]]="",WWWW[[#This Row],['#_Non-functional latrines]]=0),0,WWWW[[#This Row],['#_Non-functional latrines]]/(WWWW[[#This Row],['#_Constructed latrines_by_WASHAgencies]]+WWWW[[#This Row],['#_Non Cluster partner latrines]]))</f>
        <v>0</v>
      </c>
      <c r="CU64" s="79">
        <f>IF(500*(WWWW[[#This Row],['#_male hygiene promoters]]+WWWW[[#This Row],['#_female hygiene promoters]])&gt;WWWW[[#This Row],[Total PoP ]],WWWW[[#This Row],[Total PoP ]],500*(WWWW[[#This Row],['#_male hygiene promoters]]+WWWW[[#This Row],['#_female hygiene promoters]]))</f>
        <v>1000</v>
      </c>
      <c r="CV6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6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 s="80">
        <f>IF(WWWW[[#This Row],['# People with access to soap]]&gt;WWWW[[#This Row],['# People with access to Sanity Pads]],WWWW[[#This Row],['# People with access to soap]],WWWW[[#This Row],['# People with access to Sanity Pads]])</f>
        <v>200</v>
      </c>
      <c r="CY64" s="80">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CZ64" s="78">
        <f>IF(WWWW[[#This Row],[HRP3]]/WWWW[[#This Row],[Total PoP ]]&gt;100%,100%,WWWW[[#This Row],[HRP3]]/WWWW[[#This Row],[Total PoP ]])</f>
        <v>0.11784115012962526</v>
      </c>
      <c r="DA64" s="82">
        <f>1-WWWW[[#This Row],[Hygiene Coverage%]]</f>
        <v>0.88215884987037474</v>
      </c>
      <c r="DB64" s="81">
        <f>WWWW[[#This Row],['# people reached by regular dedicated hygiene promotion_5]]/WWWW[[#This Row],[Total PoP ]]</f>
        <v>0.11784115012962526</v>
      </c>
      <c r="DC64" s="81">
        <f>IF(WWWW[[#This Row],['#_households that received standard amount of soap for this quarter]]/WWWW[[#This Row],[Total HH]]&gt;1,1,WWWW[[#This Row],['#_households that received standard amount of soap for this quarter]]/WWWW[[#This Row],[Total HH]])</f>
        <v>2.6845637583892617E-2</v>
      </c>
      <c r="DD64" s="81">
        <f>IF(WWWW[[#This Row],['#_households that received standard amount of sanitary pads for this quarter]]/WWWW[[#This Row],[Total HH]]&gt;1,1,WWWW[[#This Row],['#_households that received standard amount of sanitary pads for this quarter]]/WWWW[[#This Row],[Total HH]])</f>
        <v>0</v>
      </c>
      <c r="DE64" s="80">
        <f>WWWW[[#This Row],['#_Constructed/Existing hand washing stations]]-WWWW[[#This Row],['#_Non-Functional_hand_washing_stations]]</f>
        <v>0</v>
      </c>
      <c r="DF64" s="757">
        <f>IF(WWWW[[#This Row],['# Functional hand washing stations during reporting period]]*20&gt;WWWW[[#This Row],[Total HH]],WWWW[[#This Row],[Total HH]],WWWW[[#This Row],['# Functional hand washing stations during reporting period]]*20)</f>
        <v>0</v>
      </c>
      <c r="DG64" s="79">
        <f>IF(WWWW[[#This Row],[Is sufficient soap available for TLS? (Yes/No)]]="yes",WWWW[[#This Row],['#_Constructed/Existing hand washing stations at TLS]],0)</f>
        <v>0</v>
      </c>
      <c r="DH64" s="578">
        <f>IF(WWWW[[#This Row],['# Functional hand washing stations during reporting period]]*100&gt;WWWW[[#This Row],[Total PoP ]],WWWW[[#This Row],[Total PoP ]],WWWW[[#This Row],['# Functional hand washing stations during reporting period]]*100)</f>
        <v>0</v>
      </c>
      <c r="DI64" s="578" t="str">
        <f>IF(OR(WWWW[[#This Row],['#_students at TLS_CFS]]="",WWWW[[#This Row],['#_students at TLS_CFS]]=0),"No","Yes")</f>
        <v>Yes</v>
      </c>
      <c r="DJ64" s="231" t="str">
        <f>VLOOKUP(WWWW[[#This Row],[Site Name]],SiteDB6[[Site Name]:[CCCM Management]],6,FALSE)</f>
        <v>Yes</v>
      </c>
      <c r="DK64" s="231" t="str">
        <f>VLOOKUP(WWWW[[#This Row],[Site Name]],SiteDB6[[Site Name]:[CCCM Focal Agency]],7,FALSE)</f>
        <v>KMSS-MYT</v>
      </c>
      <c r="DL64" s="231" t="str">
        <f>VLOOKUP(WWWW[[#This Row],[Site Name]],SiteDB6[[Site Name]:[Location Type 1]],9,FALSE)</f>
        <v>Camp</v>
      </c>
      <c r="DM64" s="231" t="str">
        <f>VLOOKUP(WWWW[[#This Row],[Site Name]],SiteDB6[[Site Name]:[Type of Accommodation]],10,FALSE)</f>
        <v>Camp</v>
      </c>
      <c r="DN64" s="231" t="str">
        <f>VLOOKUP(WWWW[[#This Row],[Site Name]],SiteDB6[[Site Name]:[Ethnic or GCA/NGCA]],11,FALSE)</f>
        <v>NGCA</v>
      </c>
      <c r="DO64" s="231">
        <f>VLOOKUP(WWWW[[#This Row],[Site Name]],SiteDB6[[Site Name]:[Lat]],12,FALSE)</f>
        <v>24.688338999999999</v>
      </c>
      <c r="DP64" s="231">
        <f>VLOOKUP(WWWW[[#This Row],[Site Name]],SiteDB6[[Site Name]:[Long]],13,FALSE)</f>
        <v>97.568331999999998</v>
      </c>
      <c r="DQ64" s="231" t="str">
        <f>VLOOKUP(WWWW[[#This Row],[Site Name]],SiteDB6[[Site Name]:[Pcode]],3,FALSE)</f>
        <v>MMR001CMP121</v>
      </c>
      <c r="DR64" s="207" t="str">
        <f t="shared" si="2"/>
        <v>Covered</v>
      </c>
      <c r="DS64" s="207"/>
      <c r="DT64" s="20"/>
      <c r="DU64" s="20"/>
      <c r="DV64" s="20"/>
      <c r="DW64" s="20"/>
      <c r="DX64" s="20"/>
      <c r="DY64" s="20"/>
      <c r="DZ64" s="20"/>
      <c r="EA64" s="20"/>
      <c r="EB64" s="20"/>
      <c r="EC64" s="20"/>
      <c r="ED64" s="20"/>
      <c r="EE64" s="20"/>
      <c r="EF64" s="20"/>
      <c r="EG64" s="20"/>
      <c r="EH64" s="20"/>
    </row>
    <row r="65" spans="1:138" ht="15.75" customHeight="1">
      <c r="A65" s="238" t="s">
        <v>2518</v>
      </c>
      <c r="B65" s="238" t="s">
        <v>149</v>
      </c>
      <c r="C65" s="574" t="s">
        <v>149</v>
      </c>
      <c r="D65" s="574" t="s">
        <v>152</v>
      </c>
      <c r="E65" s="574" t="s">
        <v>39</v>
      </c>
      <c r="F65" s="574" t="s">
        <v>167</v>
      </c>
      <c r="G65" s="574" t="str">
        <f>VLOOKUP(WWWW[[#This Row],[Site Name]],SiteDB6[[Site Name]:[Location Type]],8,FALSE)</f>
        <v>Camp</v>
      </c>
      <c r="H65" s="574" t="s">
        <v>170</v>
      </c>
      <c r="I65" s="583">
        <v>43</v>
      </c>
      <c r="J65" s="583">
        <v>194</v>
      </c>
      <c r="K65" s="553">
        <v>43556</v>
      </c>
      <c r="L65" s="77">
        <v>43677</v>
      </c>
      <c r="M65" s="583"/>
      <c r="N65" s="583"/>
      <c r="O65" s="583"/>
      <c r="P65" s="583"/>
      <c r="Q65" s="76" t="s">
        <v>43</v>
      </c>
      <c r="R65" s="310"/>
      <c r="S65" s="310"/>
      <c r="T65" s="583">
        <v>0</v>
      </c>
      <c r="U65" s="310"/>
      <c r="V65" s="310"/>
      <c r="W65" s="583">
        <v>1</v>
      </c>
      <c r="X65" s="310"/>
      <c r="Y65" s="310"/>
      <c r="Z65" s="310"/>
      <c r="AA65" s="310"/>
      <c r="AB65" s="310"/>
      <c r="AC65" s="310"/>
      <c r="AD65" s="310"/>
      <c r="AE65" s="310"/>
      <c r="AF65" s="310"/>
      <c r="AG65" s="310"/>
      <c r="AH65" s="583">
        <v>2</v>
      </c>
      <c r="AI65" s="310"/>
      <c r="AJ65" s="310"/>
      <c r="AK65" s="310"/>
      <c r="AL65" s="310"/>
      <c r="AM65" s="310"/>
      <c r="AN65" s="310"/>
      <c r="AO65" s="207"/>
      <c r="AP65" s="583">
        <v>4</v>
      </c>
      <c r="AQ65" s="310"/>
      <c r="AR65" s="76"/>
      <c r="AS65" s="310"/>
      <c r="AT65" s="310"/>
      <c r="AU65" s="310"/>
      <c r="AV65" s="310"/>
      <c r="AW65" s="583">
        <v>8</v>
      </c>
      <c r="AX65" s="231" t="s">
        <v>43</v>
      </c>
      <c r="AY65" s="231" t="s">
        <v>145</v>
      </c>
      <c r="AZ65" s="310"/>
      <c r="BA65" s="310"/>
      <c r="BB65" s="310"/>
      <c r="BC65" s="207"/>
      <c r="BD65" s="310"/>
      <c r="BE65" s="310"/>
      <c r="BF65" s="310"/>
      <c r="BG65" s="310">
        <v>1</v>
      </c>
      <c r="BH65" s="310"/>
      <c r="BI65" s="310"/>
      <c r="BJ65" s="310">
        <v>1</v>
      </c>
      <c r="BK65" s="310"/>
      <c r="BL65" s="310"/>
      <c r="BM65" s="207"/>
      <c r="BN65" s="79"/>
      <c r="BO65" s="81"/>
      <c r="BP65" s="207"/>
      <c r="BQ65" s="78" t="str">
        <f>IFERROR(WWWW[[#This Row],['#_Water sources treated]]/WWWW[[#This Row],['#_Water sources tested for contamination]],"no test")</f>
        <v>no test</v>
      </c>
      <c r="BR65" s="81" t="str">
        <f>IFERROR(WWWW[[#This Row],['#_Household received remediation action due to contamination]]/WWWW[[#This Row],['#_Household water samples tested for contamination]],"no test")</f>
        <v>no test</v>
      </c>
      <c r="BS65" s="80" t="str">
        <f>IF(AND(WWWW[[#This Row],[% of water sources treated]]="no test",WWWW[[#This Row],[% Household received corrective actions]]="no test"),"No Test","Tested")</f>
        <v>No Test</v>
      </c>
      <c r="BT65" s="80">
        <f>WWWW[[#This Row],['#_Constructed/existing protected hand dug well]]-WWWW[[#This Row],['#_Non-functional protected hand dug well]]</f>
        <v>0</v>
      </c>
      <c r="BU65" s="80">
        <f>(WWWW[[#This Row],['#_Constructed/Existing tube wells/boreholes/handpumps_WASH_agency]]+WWWW[[#This Row],['#_Non-Cluster partner water tube-wells/boreholes/handpumps]])-WWWW[[#This Row],['#_Non-functional tube wells/boreholes/handpumps]]</f>
        <v>1</v>
      </c>
      <c r="BV65" s="80">
        <f>WWWW[[#This Row],['#_Constructed/Existingwater storage tank with gravity fed reticulation system]]-WWWW[[#This Row],['#_Non-functional storage tank gravity fed reticulation system]]</f>
        <v>0</v>
      </c>
      <c r="BW65" s="80">
        <f>WWWW[[#This Row],['#_Water boating or water trucking]]</f>
        <v>0</v>
      </c>
      <c r="BX65" s="80">
        <f>WWWW[[#This Row],['#_Constructed/Existing water distribution system from river or natural spring]]</f>
        <v>0</v>
      </c>
      <c r="BY6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 s="81">
        <f>IF(WWWW[[#This Row],[Location Type 1]]="Village",WWWW[[#This Row],[Access to safe drinking water for Village]],WWWW[[#This Row],[Access to safe drinking water for Camp]])</f>
        <v>1</v>
      </c>
      <c r="CB65" s="79">
        <f>WWWW[[#This Row],[%Equitable and continuous access to sufficient quantity of safe drinking water]]*WWWW[[#This Row],[Total PoP ]]</f>
        <v>194</v>
      </c>
      <c r="CC65" s="81">
        <f>IF((WWWW[[#This Row],['#_Constructed/Existing protected/fenced ponds]]*250)/WWWW[[#This Row],[Total PoP ]]&gt;1,1,(WWWW[[#This Row],['#_Constructed/Existing protected/fenced ponds]]*250)/WWWW[[#This Row],[Total PoP ]])</f>
        <v>0</v>
      </c>
      <c r="CD65" s="79">
        <f>WWWW[[#This Row],[% Access to unimproved water points]]*WWWW[[#This Row],[Total PoP ]]</f>
        <v>0</v>
      </c>
      <c r="CE6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194</v>
      </c>
      <c r="CG65" s="79">
        <f>WWWW[[#This Row],[HRP1]]/500</f>
        <v>0.38800000000000001</v>
      </c>
      <c r="CH65" s="78">
        <f>1-WWWW[[#This Row],[% Equitable and continuous access to sufficient quantity of domestic water]]</f>
        <v>0</v>
      </c>
      <c r="CI65" s="79">
        <f>WWWW[[#This Row],[%equitable and continuous access to sufficient quantity of safe drinking and domestic water''s GAP]]*WWWW[[#This Row],[Total PoP ]]</f>
        <v>0</v>
      </c>
      <c r="CJ65" s="80">
        <f>IF(WWWW[[#This Row],[Total required water points]]-WWWW[[#This Row],['#Water points coverage]]&lt;0,0,WWWW[[#This Row],[Total required water points]]-WWWW[[#This Row],['#Water points coverage]])</f>
        <v>0.61199999999999999</v>
      </c>
      <c r="CK65" s="80">
        <f>ROUND(IF(WWWW[[#This Row],[Total PoP ]]&lt;500,1,WWWW[[#This Row],[Total PoP ]]/500),0)</f>
        <v>1</v>
      </c>
      <c r="CL65" s="80">
        <f>(WWWW[[#This Row],['#_Constructed latrines_by_WASHAgencies]]+WWWW[[#This Row],['#_Non Cluster partner latrines]])-WWWW[[#This Row],['#_Non-functional latrines]]</f>
        <v>4</v>
      </c>
      <c r="CM6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0.41237113402061853</v>
      </c>
      <c r="CN6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6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 s="80">
        <f>IF(WWWW[[#This Row],[Location Type 1]]="Village","NA",IF(WWWW[[#This Row],['#_Constructed/Existing latrines in TLS]]*50&gt;WWWW[[#This Row],['#_students at TLS_CFS]],WWWW[[#This Row],['#_students at TLS_CFS]],(WWWW[[#This Row],['#_Constructed/Existing latrines in TLS]]*50)))</f>
        <v>0</v>
      </c>
      <c r="CQ65" s="80">
        <f>ROUND(IF(WWWW[[#This Row],[Location Type 1]]="camp",WWWW[[#This Row],[Total PoP ]]/20,IF(WWWW[[#This Row],[Location Type 1]]="Temporary Location",WWWW[[#This Row],[Total PoP ]]/50,(WWWW[[#This Row],[Total PoP ]]/6))),0)</f>
        <v>10</v>
      </c>
      <c r="CR65" s="79">
        <f>IF(WWWW[[#This Row],[Total required Latrines]]-(WWWW[[#This Row],['#_Constructed latrines_by_WASHAgencies]]+WWWW[[#This Row],['#_Non Cluster partner latrines]])&lt;0,0,WWWW[[#This Row],[Total required Latrines]]-(WWWW[[#This Row],['#_Constructed latrines_by_WASHAgencies]]+WWWW[[#This Row],['#_Non Cluster partner latrines]]))</f>
        <v>6</v>
      </c>
      <c r="CS65" s="78">
        <f>1-WWWW[[#This Row],[% people access to functioning Latrine]]</f>
        <v>0.58762886597938147</v>
      </c>
      <c r="CT65" s="82">
        <f>IF(OR(WWWW[[#This Row],['#_Non-functional latrines]]="",WWWW[[#This Row],['#_Non-functional latrines]]=0),0,WWWW[[#This Row],['#_Non-functional latrines]]/(WWWW[[#This Row],['#_Constructed latrines_by_WASHAgencies]]+WWWW[[#This Row],['#_Non Cluster partner latrines]]))</f>
        <v>0</v>
      </c>
      <c r="CU65" s="79">
        <f>IF(500*(WWWW[[#This Row],['#_male hygiene promoters]]+WWWW[[#This Row],['#_female hygiene promoters]])&gt;WWWW[[#This Row],[Total PoP ]],WWWW[[#This Row],[Total PoP ]],500*(WWWW[[#This Row],['#_male hygiene promoters]]+WWWW[[#This Row],['#_female hygiene promoters]]))</f>
        <v>194</v>
      </c>
      <c r="CV6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 s="80">
        <f>IF(WWWW[[#This Row],['# People with access to soap]]&gt;WWWW[[#This Row],['# People with access to Sanity Pads]],WWWW[[#This Row],['# People with access to soap]],WWWW[[#This Row],['# People with access to Sanity Pads]])</f>
        <v>0</v>
      </c>
      <c r="CY65" s="80">
        <f>IF(WWWW[[#This Row],['# people reached by regular dedicated hygiene promotion_5]]&gt;WWWW[[#This Row],['# People received regular supply of hygiene items_6]],WWWW[[#This Row],['# people reached by regular dedicated hygiene promotion_5]],WWWW[[#This Row],['# People received regular supply of hygiene items_6]])</f>
        <v>194</v>
      </c>
      <c r="CZ65" s="78">
        <f>IF(WWWW[[#This Row],[HRP3]]/WWWW[[#This Row],[Total PoP ]]&gt;100%,100%,WWWW[[#This Row],[HRP3]]/WWWW[[#This Row],[Total PoP ]])</f>
        <v>1</v>
      </c>
      <c r="DA65" s="82">
        <f>1-WWWW[[#This Row],[Hygiene Coverage%]]</f>
        <v>0</v>
      </c>
      <c r="DB65" s="81">
        <f>WWWW[[#This Row],['# people reached by regular dedicated hygiene promotion_5]]/WWWW[[#This Row],[Total PoP ]]</f>
        <v>1</v>
      </c>
      <c r="DC65" s="81">
        <f>IF(WWWW[[#This Row],['#_households that received standard amount of soap for this quarter]]/WWWW[[#This Row],[Total HH]]&gt;1,1,WWWW[[#This Row],['#_households that received standard amount of soap for this quarter]]/WWWW[[#This Row],[Total HH]])</f>
        <v>0</v>
      </c>
      <c r="DD65" s="81">
        <f>IF(WWWW[[#This Row],['#_households that received standard amount of sanitary pads for this quarter]]/WWWW[[#This Row],[Total HH]]&gt;1,1,WWWW[[#This Row],['#_households that received standard amount of sanitary pads for this quarter]]/WWWW[[#This Row],[Total HH]])</f>
        <v>0</v>
      </c>
      <c r="DE65" s="80">
        <f>WWWW[[#This Row],['#_Constructed/Existing hand washing stations]]-WWWW[[#This Row],['#_Non-Functional_hand_washing_stations]]</f>
        <v>0</v>
      </c>
      <c r="DF65" s="757">
        <f>IF(WWWW[[#This Row],['# Functional hand washing stations during reporting period]]*20&gt;WWWW[[#This Row],[Total HH]],WWWW[[#This Row],[Total HH]],WWWW[[#This Row],['# Functional hand washing stations during reporting period]]*20)</f>
        <v>0</v>
      </c>
      <c r="DG65" s="79">
        <f>IF(WWWW[[#This Row],[Is sufficient soap available for TLS? (Yes/No)]]="yes",WWWW[[#This Row],['#_Constructed/Existing hand washing stations at TLS]],0)</f>
        <v>0</v>
      </c>
      <c r="DH65" s="578">
        <f>IF(WWWW[[#This Row],['# Functional hand washing stations during reporting period]]*100&gt;WWWW[[#This Row],[Total PoP ]],WWWW[[#This Row],[Total PoP ]],WWWW[[#This Row],['# Functional hand washing stations during reporting period]]*100)</f>
        <v>0</v>
      </c>
      <c r="DI65" s="578" t="str">
        <f>IF(OR(WWWW[[#This Row],['#_students at TLS_CFS]]="",WWWW[[#This Row],['#_students at TLS_CFS]]=0),"No","Yes")</f>
        <v>No</v>
      </c>
      <c r="DJ65" s="231" t="str">
        <f>VLOOKUP(WWWW[[#This Row],[Site Name]],SiteDB6[[Site Name]:[CCCM Management]],6,FALSE)</f>
        <v>Yes</v>
      </c>
      <c r="DK65" s="231" t="str">
        <f>VLOOKUP(WWWW[[#This Row],[Site Name]],SiteDB6[[Site Name]:[CCCM Focal Agency]],7,FALSE)</f>
        <v>KBC</v>
      </c>
      <c r="DL65" s="231" t="str">
        <f>VLOOKUP(WWWW[[#This Row],[Site Name]],SiteDB6[[Site Name]:[Location Type 1]],9,FALSE)</f>
        <v>Camp</v>
      </c>
      <c r="DM65" s="231" t="str">
        <f>VLOOKUP(WWWW[[#This Row],[Site Name]],SiteDB6[[Site Name]:[Type of Accommodation]],10,FALSE)</f>
        <v>Closed Camp</v>
      </c>
      <c r="DN65" s="231" t="str">
        <f>VLOOKUP(WWWW[[#This Row],[Site Name]],SiteDB6[[Site Name]:[Ethnic or GCA/NGCA]],11,FALSE)</f>
        <v>GCA</v>
      </c>
      <c r="DO65" s="231">
        <f>VLOOKUP(WWWW[[#This Row],[Site Name]],SiteDB6[[Site Name]:[Lat]],12,FALSE)</f>
        <v>25.36600361</v>
      </c>
      <c r="DP65" s="231">
        <f>VLOOKUP(WWWW[[#This Row],[Site Name]],SiteDB6[[Site Name]:[Long]],13,FALSE)</f>
        <v>97.405202779999996</v>
      </c>
      <c r="DQ65" s="231" t="str">
        <f>VLOOKUP(WWWW[[#This Row],[Site Name]],SiteDB6[[Site Name]:[Pcode]],3,FALSE)</f>
        <v>MMR001CMP013</v>
      </c>
      <c r="DR65" s="207" t="str">
        <f t="shared" si="2"/>
        <v>Covered</v>
      </c>
      <c r="DS65" s="207"/>
      <c r="DT65" s="20"/>
      <c r="DU65" s="20"/>
      <c r="DV65" s="20"/>
      <c r="DW65" s="20"/>
      <c r="DX65" s="20"/>
      <c r="DY65" s="20"/>
      <c r="DZ65" s="20"/>
      <c r="EA65" s="20"/>
      <c r="EB65" s="20"/>
      <c r="EC65" s="20"/>
      <c r="ED65" s="20"/>
      <c r="EE65" s="20"/>
      <c r="EF65" s="20"/>
      <c r="EG65" s="20"/>
      <c r="EH65" s="20"/>
    </row>
    <row r="66" spans="1:138" ht="15.75" customHeight="1">
      <c r="A66" s="238" t="s">
        <v>2518</v>
      </c>
      <c r="B66" s="574" t="s">
        <v>38</v>
      </c>
      <c r="C66" s="574" t="s">
        <v>38</v>
      </c>
      <c r="D66" s="574" t="s">
        <v>3100</v>
      </c>
      <c r="E66" s="574" t="s">
        <v>39</v>
      </c>
      <c r="F66" s="574" t="s">
        <v>150</v>
      </c>
      <c r="G66" s="574" t="str">
        <f>VLOOKUP(WWWW[[#This Row],[Site Name]],SiteDB6[[Site Name]:[Location Type]],8,FALSE)</f>
        <v>Camp</v>
      </c>
      <c r="H66" s="574" t="s">
        <v>245</v>
      </c>
      <c r="I66" s="583">
        <v>283</v>
      </c>
      <c r="J66" s="583">
        <v>1481</v>
      </c>
      <c r="K66" s="553" t="s">
        <v>2979</v>
      </c>
      <c r="L66" s="77" t="s">
        <v>2973</v>
      </c>
      <c r="M66" s="583">
        <v>85</v>
      </c>
      <c r="N66" s="583"/>
      <c r="O66" s="583"/>
      <c r="P66" s="583"/>
      <c r="Q66" s="574" t="s">
        <v>43</v>
      </c>
      <c r="R66" s="583"/>
      <c r="S66" s="583"/>
      <c r="T66" s="583">
        <v>10</v>
      </c>
      <c r="U66" s="583"/>
      <c r="V66" s="583">
        <v>1</v>
      </c>
      <c r="W66" s="583"/>
      <c r="X66" s="583"/>
      <c r="Y66" s="583"/>
      <c r="Z66" s="583"/>
      <c r="AA66" s="583"/>
      <c r="AB66" s="583"/>
      <c r="AC66" s="583"/>
      <c r="AD66" s="583"/>
      <c r="AE66" s="583"/>
      <c r="AF66" s="583"/>
      <c r="AG66" s="583"/>
      <c r="AH66" s="583"/>
      <c r="AI66" s="583"/>
      <c r="AJ66" s="583"/>
      <c r="AK66" s="583"/>
      <c r="AL66" s="583"/>
      <c r="AM66" s="583"/>
      <c r="AN66" s="583"/>
      <c r="AO66" s="578"/>
      <c r="AP66" s="601">
        <v>97</v>
      </c>
      <c r="AQ66" s="574"/>
      <c r="AR66" s="574"/>
      <c r="AS66" s="578"/>
      <c r="AT66" s="574"/>
      <c r="AU66" s="578"/>
      <c r="AV66" s="578"/>
      <c r="AW66" s="80"/>
      <c r="AX66" s="80" t="s">
        <v>43</v>
      </c>
      <c r="AY66" s="80" t="s">
        <v>145</v>
      </c>
      <c r="AZ66" s="80">
        <v>4</v>
      </c>
      <c r="BA66" s="80"/>
      <c r="BB66" s="578"/>
      <c r="BC66" s="578"/>
      <c r="BD66" s="578"/>
      <c r="BE66" s="578"/>
      <c r="BF66" s="578"/>
      <c r="BG66" s="602">
        <v>6</v>
      </c>
      <c r="BH66" s="578"/>
      <c r="BI66" s="583"/>
      <c r="BJ66" s="583">
        <v>4</v>
      </c>
      <c r="BK66" s="603">
        <v>40</v>
      </c>
      <c r="BL66" s="578"/>
      <c r="BM66" s="578" t="s">
        <v>144</v>
      </c>
      <c r="BN66" s="578"/>
      <c r="BO66" s="81"/>
      <c r="BP66" s="578"/>
      <c r="BQ66" s="78" t="str">
        <f>IFERROR(WWWW[[#This Row],['#_Water sources treated]]/WWWW[[#This Row],['#_Water sources tested for contamination]],"no test")</f>
        <v>no test</v>
      </c>
      <c r="BR66" s="81" t="str">
        <f>IFERROR(WWWW[[#This Row],['#_Household received remediation action due to contamination]]/WWWW[[#This Row],['#_Household water samples tested for contamination]],"no test")</f>
        <v>no test</v>
      </c>
      <c r="BS66" s="80" t="str">
        <f>IF(AND(WWWW[[#This Row],[% of water sources treated]]="no test",WWWW[[#This Row],[% Household received corrective actions]]="no test"),"No Test","Tested")</f>
        <v>No Test</v>
      </c>
      <c r="BT66" s="80">
        <f>WWWW[[#This Row],['#_Constructed/existing protected hand dug well]]-WWWW[[#This Row],['#_Non-functional protected hand dug well]]</f>
        <v>10</v>
      </c>
      <c r="BU66" s="80">
        <f>(WWWW[[#This Row],['#_Constructed/Existing tube wells/boreholes/handpumps_WASH_agency]]+WWWW[[#This Row],['#_Non-Cluster partner water tube-wells/boreholes/handpumps]])-WWWW[[#This Row],['#_Non-functional tube wells/boreholes/handpumps]]</f>
        <v>0</v>
      </c>
      <c r="BV66" s="80">
        <f>WWWW[[#This Row],['#_Constructed/Existingwater storage tank with gravity fed reticulation system]]-WWWW[[#This Row],['#_Non-functional storage tank gravity fed reticulation system]]</f>
        <v>0</v>
      </c>
      <c r="BW66" s="80">
        <f>WWWW[[#This Row],['#_Water boating or water trucking]]</f>
        <v>0</v>
      </c>
      <c r="BX66" s="80">
        <f>WWWW[[#This Row],['#_Constructed/Existing water distribution system from river or natural spring]]</f>
        <v>0</v>
      </c>
      <c r="BY6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6" s="81">
        <f>IF(WWWW[[#This Row],[Location Type 1]]="Village",WWWW[[#This Row],[Access to safe drinking water for Village]],WWWW[[#This Row],[Access to safe drinking water for Camp]])</f>
        <v>1</v>
      </c>
      <c r="CB66" s="79">
        <f>WWWW[[#This Row],[%Equitable and continuous access to sufficient quantity of safe drinking water]]*WWWW[[#This Row],[Total PoP ]]</f>
        <v>1481</v>
      </c>
      <c r="CC66" s="81">
        <f>IF((WWWW[[#This Row],['#_Constructed/Existing protected/fenced ponds]]*250)/WWWW[[#This Row],[Total PoP ]]&gt;1,1,(WWWW[[#This Row],['#_Constructed/Existing protected/fenced ponds]]*250)/WWWW[[#This Row],[Total PoP ]])</f>
        <v>0</v>
      </c>
      <c r="CD66" s="79">
        <f>WWWW[[#This Row],[% Access to unimproved water points]]*WWWW[[#This Row],[Total PoP ]]</f>
        <v>0</v>
      </c>
      <c r="CE6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G66" s="79">
        <f>WWWW[[#This Row],[HRP1]]/500</f>
        <v>2.9620000000000002</v>
      </c>
      <c r="CH66" s="78">
        <f>1-WWWW[[#This Row],[% Equitable and continuous access to sufficient quantity of domestic water]]</f>
        <v>0</v>
      </c>
      <c r="CI66" s="79">
        <f>WWWW[[#This Row],[%equitable and continuous access to sufficient quantity of safe drinking and domestic water''s GAP]]*WWWW[[#This Row],[Total PoP ]]</f>
        <v>0</v>
      </c>
      <c r="CJ66" s="80">
        <f>IF(WWWW[[#This Row],[Total required water points]]-WWWW[[#This Row],['#Water points coverage]]&lt;0,0,WWWW[[#This Row],[Total required water points]]-WWWW[[#This Row],['#Water points coverage]])</f>
        <v>3.7999999999999812E-2</v>
      </c>
      <c r="CK66" s="80">
        <f>ROUND(IF(WWWW[[#This Row],[Total PoP ]]&lt;500,1,WWWW[[#This Row],[Total PoP ]]/500),0)</f>
        <v>3</v>
      </c>
      <c r="CL66" s="80">
        <f>(WWWW[[#This Row],['#_Constructed latrines_by_WASHAgencies]]+WWWW[[#This Row],['#_Non Cluster partner latrines]])-WWWW[[#This Row],['#_Non-functional latrines]]</f>
        <v>97</v>
      </c>
      <c r="CM6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1481</v>
      </c>
      <c r="CO6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 s="80">
        <f>IF(WWWW[[#This Row],[Location Type 1]]="Village","NA",IF(WWWW[[#This Row],['#_Constructed/Existing latrines in TLS]]*50&gt;WWWW[[#This Row],['#_students at TLS_CFS]],WWWW[[#This Row],['#_students at TLS_CFS]],(WWWW[[#This Row],['#_Constructed/Existing latrines in TLS]]*50)))</f>
        <v>0</v>
      </c>
      <c r="CQ66" s="80">
        <f>ROUND(IF(WWWW[[#This Row],[Location Type 1]]="camp",WWWW[[#This Row],[Total PoP ]]/20,IF(WWWW[[#This Row],[Location Type 1]]="Temporary Location",WWWW[[#This Row],[Total PoP ]]/50,(WWWW[[#This Row],[Total PoP ]]/6))),0)</f>
        <v>74</v>
      </c>
      <c r="CR66" s="79">
        <f>IF(WWWW[[#This Row],[Total required Latrines]]-(WWWW[[#This Row],['#_Constructed latrines_by_WASHAgencies]]+WWWW[[#This Row],['#_Non Cluster partner latrines]])&lt;0,0,WWWW[[#This Row],[Total required Latrines]]-(WWWW[[#This Row],['#_Constructed latrines_by_WASHAgencies]]+WWWW[[#This Row],['#_Non Cluster partner latrines]]))</f>
        <v>0</v>
      </c>
      <c r="CS66" s="78">
        <f>1-WWWW[[#This Row],[% people access to functioning Latrine]]</f>
        <v>0</v>
      </c>
      <c r="CT66" s="82">
        <f>IF(OR(WWWW[[#This Row],['#_Non-functional latrines]]="",WWWW[[#This Row],['#_Non-functional latrines]]=0),0,WWWW[[#This Row],['#_Non-functional latrines]]/(WWWW[[#This Row],['#_Constructed latrines_by_WASHAgencies]]+WWWW[[#This Row],['#_Non Cluster partner latrines]]))</f>
        <v>0</v>
      </c>
      <c r="CU66" s="79">
        <f>IF(500*(WWWW[[#This Row],['#_male hygiene promoters]]+WWWW[[#This Row],['#_female hygiene promoters]])&gt;WWWW[[#This Row],[Total PoP ]],WWWW[[#This Row],[Total PoP ]],500*(WWWW[[#This Row],['#_male hygiene promoters]]+WWWW[[#This Row],['#_female hygiene promoters]]))</f>
        <v>1481</v>
      </c>
      <c r="CV6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CW6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 s="80">
        <f>IF(WWWW[[#This Row],['# People with access to soap]]&gt;WWWW[[#This Row],['# People with access to Sanity Pads]],WWWW[[#This Row],['# People with access to soap]],WWWW[[#This Row],['# People with access to Sanity Pads]])</f>
        <v>200</v>
      </c>
      <c r="CY66" s="80">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CZ66" s="78">
        <f>IF(WWWW[[#This Row],[HRP3]]/WWWW[[#This Row],[Total PoP ]]&gt;100%,100%,WWWW[[#This Row],[HRP3]]/WWWW[[#This Row],[Total PoP ]])</f>
        <v>1</v>
      </c>
      <c r="DA66" s="82">
        <f>1-WWWW[[#This Row],[Hygiene Coverage%]]</f>
        <v>0</v>
      </c>
      <c r="DB66" s="81">
        <f>WWWW[[#This Row],['# people reached by regular dedicated hygiene promotion_5]]/WWWW[[#This Row],[Total PoP ]]</f>
        <v>1</v>
      </c>
      <c r="DC66" s="81">
        <f>IF(WWWW[[#This Row],['#_households that received standard amount of soap for this quarter]]/WWWW[[#This Row],[Total HH]]&gt;1,1,WWWW[[#This Row],['#_households that received standard amount of soap for this quarter]]/WWWW[[#This Row],[Total HH]])</f>
        <v>0.14134275618374559</v>
      </c>
      <c r="DD66" s="81">
        <f>IF(WWWW[[#This Row],['#_households that received standard amount of sanitary pads for this quarter]]/WWWW[[#This Row],[Total HH]]&gt;1,1,WWWW[[#This Row],['#_households that received standard amount of sanitary pads for this quarter]]/WWWW[[#This Row],[Total HH]])</f>
        <v>0</v>
      </c>
      <c r="DE66" s="80">
        <f>WWWW[[#This Row],['#_Constructed/Existing hand washing stations]]-WWWW[[#This Row],['#_Non-Functional_hand_washing_stations]]</f>
        <v>0</v>
      </c>
      <c r="DF66" s="757">
        <f>IF(WWWW[[#This Row],['# Functional hand washing stations during reporting period]]*20&gt;WWWW[[#This Row],[Total HH]],WWWW[[#This Row],[Total HH]],WWWW[[#This Row],['# Functional hand washing stations during reporting period]]*20)</f>
        <v>0</v>
      </c>
      <c r="DG66" s="79">
        <f>IF(WWWW[[#This Row],[Is sufficient soap available for TLS? (Yes/No)]]="yes",WWWW[[#This Row],['#_Constructed/Existing hand washing stations at TLS]],0)</f>
        <v>0</v>
      </c>
      <c r="DH66" s="578">
        <f>IF(WWWW[[#This Row],['# Functional hand washing stations during reporting period]]*100&gt;WWWW[[#This Row],[Total PoP ]],WWWW[[#This Row],[Total PoP ]],WWWW[[#This Row],['# Functional hand washing stations during reporting period]]*100)</f>
        <v>0</v>
      </c>
      <c r="DI66" s="578" t="str">
        <f>IF(OR(WWWW[[#This Row],['#_students at TLS_CFS]]="",WWWW[[#This Row],['#_students at TLS_CFS]]=0),"No","Yes")</f>
        <v>Yes</v>
      </c>
      <c r="DJ66" s="231" t="str">
        <f>VLOOKUP(WWWW[[#This Row],[Site Name]],SiteDB6[[Site Name]:[CCCM Management]],6,FALSE)</f>
        <v>Yes</v>
      </c>
      <c r="DK66" s="231" t="str">
        <f>VLOOKUP(WWWW[[#This Row],[Site Name]],SiteDB6[[Site Name]:[CCCM Focal Agency]],7,FALSE)</f>
        <v>KMSS-MYT</v>
      </c>
      <c r="DL66" s="231" t="str">
        <f>VLOOKUP(WWWW[[#This Row],[Site Name]],SiteDB6[[Site Name]:[Location Type 1]],9,FALSE)</f>
        <v>Camp</v>
      </c>
      <c r="DM66" s="231" t="str">
        <f>VLOOKUP(WWWW[[#This Row],[Site Name]],SiteDB6[[Site Name]:[Type of Accommodation]],10,FALSE)</f>
        <v>Camp</v>
      </c>
      <c r="DN66" s="231" t="str">
        <f>VLOOKUP(WWWW[[#This Row],[Site Name]],SiteDB6[[Site Name]:[Ethnic or GCA/NGCA]],11,FALSE)</f>
        <v>GCA</v>
      </c>
      <c r="DO66" s="231">
        <f>VLOOKUP(WWWW[[#This Row],[Site Name]],SiteDB6[[Site Name]:[Lat]],12,FALSE)</f>
        <v>25.415667500000001</v>
      </c>
      <c r="DP66" s="231">
        <f>VLOOKUP(WWWW[[#This Row],[Site Name]],SiteDB6[[Site Name]:[Long]],13,FALSE)</f>
        <v>97.437782499999997</v>
      </c>
      <c r="DQ66" s="231" t="str">
        <f>VLOOKUP(WWWW[[#This Row],[Site Name]],SiteDB6[[Site Name]:[Pcode]],3,FALSE)</f>
        <v>MMR001CMP029</v>
      </c>
      <c r="DR66" s="207" t="str">
        <f t="shared" si="2"/>
        <v>Covered</v>
      </c>
      <c r="DS66" s="207"/>
      <c r="DT66" s="20"/>
      <c r="DU66" s="20"/>
      <c r="DV66" s="20"/>
      <c r="DW66" s="20"/>
      <c r="DX66" s="20"/>
      <c r="DY66" s="20"/>
      <c r="DZ66" s="20"/>
      <c r="EA66" s="20"/>
      <c r="EB66" s="20"/>
      <c r="EC66" s="20"/>
      <c r="ED66" s="20"/>
      <c r="EE66" s="20"/>
      <c r="EF66" s="20"/>
      <c r="EG66" s="20"/>
      <c r="EH66" s="20"/>
    </row>
    <row r="67" spans="1:138" ht="15.75" customHeight="1">
      <c r="A67" s="238" t="s">
        <v>2518</v>
      </c>
      <c r="B67" s="574" t="s">
        <v>38</v>
      </c>
      <c r="C67" s="574" t="s">
        <v>38</v>
      </c>
      <c r="D67" s="574" t="s">
        <v>42</v>
      </c>
      <c r="E67" s="574" t="s">
        <v>39</v>
      </c>
      <c r="F67" s="574" t="s">
        <v>40</v>
      </c>
      <c r="G67" s="574" t="str">
        <f>VLOOKUP(WWWW[[#This Row],[Site Name]],SiteDB6[[Site Name]:[Location Type]],8,FALSE)</f>
        <v>Camp</v>
      </c>
      <c r="H67" s="574" t="s">
        <v>41</v>
      </c>
      <c r="I67" s="583">
        <v>154</v>
      </c>
      <c r="J67" s="583">
        <v>694</v>
      </c>
      <c r="K67" s="553"/>
      <c r="L67" s="77">
        <v>44196</v>
      </c>
      <c r="M67" s="583"/>
      <c r="N67" s="583"/>
      <c r="O67" s="583"/>
      <c r="P67" s="583"/>
      <c r="Q67" s="76"/>
      <c r="R67" s="310"/>
      <c r="S67" s="310"/>
      <c r="T67" s="310">
        <v>1</v>
      </c>
      <c r="U67" s="310"/>
      <c r="V67" s="310"/>
      <c r="W67" s="310">
        <v>3</v>
      </c>
      <c r="X67" s="310">
        <v>2</v>
      </c>
      <c r="Y67" s="310"/>
      <c r="Z67" s="310"/>
      <c r="AA67" s="310"/>
      <c r="AB67" s="310"/>
      <c r="AC67" s="310"/>
      <c r="AD67" s="310"/>
      <c r="AE67" s="310"/>
      <c r="AF67" s="310"/>
      <c r="AG67" s="310"/>
      <c r="AH67" s="310"/>
      <c r="AI67" s="310"/>
      <c r="AJ67" s="310"/>
      <c r="AK67" s="310"/>
      <c r="AL67" s="310"/>
      <c r="AM67" s="310"/>
      <c r="AN67" s="310"/>
      <c r="AO67" s="207"/>
      <c r="AP67" s="310">
        <v>61</v>
      </c>
      <c r="AQ67" s="310"/>
      <c r="AR67" s="76"/>
      <c r="AS67" s="310">
        <v>13</v>
      </c>
      <c r="AT67" s="310">
        <v>10</v>
      </c>
      <c r="AU67" s="310"/>
      <c r="AV67" s="310"/>
      <c r="AW67" s="310"/>
      <c r="AX67" s="231" t="s">
        <v>43</v>
      </c>
      <c r="AY67" s="231" t="s">
        <v>145</v>
      </c>
      <c r="AZ67" s="310"/>
      <c r="BA67" s="310"/>
      <c r="BB67" s="310"/>
      <c r="BC67" s="207"/>
      <c r="BD67" s="310">
        <v>10</v>
      </c>
      <c r="BE67" s="310"/>
      <c r="BF67" s="310"/>
      <c r="BG67" s="310">
        <v>7</v>
      </c>
      <c r="BH67" s="310">
        <v>0</v>
      </c>
      <c r="BI67" s="310"/>
      <c r="BJ67" s="310">
        <v>2</v>
      </c>
      <c r="BK67" s="310">
        <v>694</v>
      </c>
      <c r="BL67" s="310"/>
      <c r="BM67" s="207"/>
      <c r="BN67" s="79"/>
      <c r="BO67" s="81"/>
      <c r="BP67" s="207" t="s">
        <v>2962</v>
      </c>
      <c r="BQ67" s="78" t="str">
        <f>IFERROR(WWWW[[#This Row],['#_Water sources treated]]/WWWW[[#This Row],['#_Water sources tested for contamination]],"no test")</f>
        <v>no test</v>
      </c>
      <c r="BR67" s="81" t="str">
        <f>IFERROR(WWWW[[#This Row],['#_Household received remediation action due to contamination]]/WWWW[[#This Row],['#_Household water samples tested for contamination]],"no test")</f>
        <v>no test</v>
      </c>
      <c r="BS67" s="80" t="str">
        <f>IF(AND(WWWW[[#This Row],[% of water sources treated]]="no test",WWWW[[#This Row],[% Household received corrective actions]]="no test"),"No Test","Tested")</f>
        <v>No Test</v>
      </c>
      <c r="BT67" s="80">
        <f>WWWW[[#This Row],['#_Constructed/existing protected hand dug well]]-WWWW[[#This Row],['#_Non-functional protected hand dug well]]</f>
        <v>1</v>
      </c>
      <c r="BU67" s="80">
        <f>(WWWW[[#This Row],['#_Constructed/Existing tube wells/boreholes/handpumps_WASH_agency]]+WWWW[[#This Row],['#_Non-Cluster partner water tube-wells/boreholes/handpumps]])-WWWW[[#This Row],['#_Non-functional tube wells/boreholes/handpumps]]</f>
        <v>5</v>
      </c>
      <c r="BV67" s="80">
        <f>WWWW[[#This Row],['#_Constructed/Existingwater storage tank with gravity fed reticulation system]]-WWWW[[#This Row],['#_Non-functional storage tank gravity fed reticulation system]]</f>
        <v>0</v>
      </c>
      <c r="BW67" s="80">
        <f>WWWW[[#This Row],['#_Water boating or water trucking]]</f>
        <v>0</v>
      </c>
      <c r="BX67" s="80">
        <f>WWWW[[#This Row],['#_Constructed/Existing water distribution system from river or natural spring]]</f>
        <v>0</v>
      </c>
      <c r="BY6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7" s="81">
        <f>IF(WWWW[[#This Row],[Location Type 1]]="Village",WWWW[[#This Row],[Access to safe drinking water for Village]],WWWW[[#This Row],[Access to safe drinking water for Camp]])</f>
        <v>1</v>
      </c>
      <c r="CB67" s="79">
        <f>WWWW[[#This Row],[%Equitable and continuous access to sufficient quantity of safe drinking water]]*WWWW[[#This Row],[Total PoP ]]</f>
        <v>694</v>
      </c>
      <c r="CC67" s="81">
        <f>IF((WWWW[[#This Row],['#_Constructed/Existing protected/fenced ponds]]*250)/WWWW[[#This Row],[Total PoP ]]&gt;1,1,(WWWW[[#This Row],['#_Constructed/Existing protected/fenced ponds]]*250)/WWWW[[#This Row],[Total PoP ]])</f>
        <v>0</v>
      </c>
      <c r="CD67" s="79">
        <f>WWWW[[#This Row],[% Access to unimproved water points]]*WWWW[[#This Row],[Total PoP ]]</f>
        <v>0</v>
      </c>
      <c r="CE6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G67" s="79">
        <f>WWWW[[#This Row],[HRP1]]/500</f>
        <v>1.3879999999999999</v>
      </c>
      <c r="CH67" s="78">
        <f>1-WWWW[[#This Row],[% Equitable and continuous access to sufficient quantity of domestic water]]</f>
        <v>0</v>
      </c>
      <c r="CI67" s="79">
        <f>WWWW[[#This Row],[%equitable and continuous access to sufficient quantity of safe drinking and domestic water''s GAP]]*WWWW[[#This Row],[Total PoP ]]</f>
        <v>0</v>
      </c>
      <c r="CJ67" s="80">
        <f>IF(WWWW[[#This Row],[Total required water points]]-WWWW[[#This Row],['#Water points coverage]]&lt;0,0,WWWW[[#This Row],[Total required water points]]-WWWW[[#This Row],['#Water points coverage]])</f>
        <v>0</v>
      </c>
      <c r="CK67" s="80">
        <f>ROUND(IF(WWWW[[#This Row],[Total PoP ]]&lt;500,1,WWWW[[#This Row],[Total PoP ]]/500),0)</f>
        <v>1</v>
      </c>
      <c r="CL67" s="80">
        <f>(WWWW[[#This Row],['#_Constructed latrines_by_WASHAgencies]]+WWWW[[#This Row],['#_Non Cluster partner latrines]])-WWWW[[#This Row],['#_Non-functional latrines]]</f>
        <v>48</v>
      </c>
      <c r="CM6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694</v>
      </c>
      <c r="CO6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 s="80">
        <f>IF(WWWW[[#This Row],[Location Type 1]]="Village","NA",IF(WWWW[[#This Row],['#_Constructed/Existing latrines in TLS]]*50&gt;WWWW[[#This Row],['#_students at TLS_CFS]],WWWW[[#This Row],['#_students at TLS_CFS]],(WWWW[[#This Row],['#_Constructed/Existing latrines in TLS]]*50)))</f>
        <v>0</v>
      </c>
      <c r="CQ67" s="80">
        <f>ROUND(IF(WWWW[[#This Row],[Location Type 1]]="camp",WWWW[[#This Row],[Total PoP ]]/20,IF(WWWW[[#This Row],[Location Type 1]]="Temporary Location",WWWW[[#This Row],[Total PoP ]]/50,(WWWW[[#This Row],[Total PoP ]]/6))),0)</f>
        <v>35</v>
      </c>
      <c r="CR67" s="79">
        <f>IF(WWWW[[#This Row],[Total required Latrines]]-(WWWW[[#This Row],['#_Constructed latrines_by_WASHAgencies]]+WWWW[[#This Row],['#_Non Cluster partner latrines]])&lt;0,0,WWWW[[#This Row],[Total required Latrines]]-(WWWW[[#This Row],['#_Constructed latrines_by_WASHAgencies]]+WWWW[[#This Row],['#_Non Cluster partner latrines]]))</f>
        <v>0</v>
      </c>
      <c r="CS67" s="78">
        <f>1-WWWW[[#This Row],[% people access to functioning Latrine]]</f>
        <v>0</v>
      </c>
      <c r="CT67" s="82">
        <f>IF(OR(WWWW[[#This Row],['#_Non-functional latrines]]="",WWWW[[#This Row],['#_Non-functional latrines]]=0),0,WWWW[[#This Row],['#_Non-functional latrines]]/(WWWW[[#This Row],['#_Constructed latrines_by_WASHAgencies]]+WWWW[[#This Row],['#_Non Cluster partner latrines]]))</f>
        <v>0.21311475409836064</v>
      </c>
      <c r="CU67" s="79">
        <f>IF(500*(WWWW[[#This Row],['#_male hygiene promoters]]+WWWW[[#This Row],['#_female hygiene promoters]])&gt;WWWW[[#This Row],[Total PoP ]],WWWW[[#This Row],[Total PoP ]],500*(WWWW[[#This Row],['#_male hygiene promoters]]+WWWW[[#This Row],['#_female hygiene promoters]]))</f>
        <v>694</v>
      </c>
      <c r="CV6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694</v>
      </c>
      <c r="CW6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 s="80">
        <f>IF(WWWW[[#This Row],['# People with access to soap]]&gt;WWWW[[#This Row],['# People with access to Sanity Pads]],WWWW[[#This Row],['# People with access to soap]],WWWW[[#This Row],['# People with access to Sanity Pads]])</f>
        <v>694</v>
      </c>
      <c r="CY67" s="80">
        <f>IF(WWWW[[#This Row],['# people reached by regular dedicated hygiene promotion_5]]&gt;WWWW[[#This Row],['# People received regular supply of hygiene items_6]],WWWW[[#This Row],['# people reached by regular dedicated hygiene promotion_5]],WWWW[[#This Row],['# People received regular supply of hygiene items_6]])</f>
        <v>694</v>
      </c>
      <c r="CZ67" s="78">
        <f>IF(WWWW[[#This Row],[HRP3]]/WWWW[[#This Row],[Total PoP ]]&gt;100%,100%,WWWW[[#This Row],[HRP3]]/WWWW[[#This Row],[Total PoP ]])</f>
        <v>1</v>
      </c>
      <c r="DA67" s="82">
        <f>1-WWWW[[#This Row],[Hygiene Coverage%]]</f>
        <v>0</v>
      </c>
      <c r="DB67" s="81">
        <f>WWWW[[#This Row],['# people reached by regular dedicated hygiene promotion_5]]/WWWW[[#This Row],[Total PoP ]]</f>
        <v>1</v>
      </c>
      <c r="DC67" s="81">
        <f>IF(WWWW[[#This Row],['#_households that received standard amount of soap for this quarter]]/WWWW[[#This Row],[Total HH]]&gt;1,1,WWWW[[#This Row],['#_households that received standard amount of soap for this quarter]]/WWWW[[#This Row],[Total HH]])</f>
        <v>1</v>
      </c>
      <c r="DD67" s="81">
        <f>IF(WWWW[[#This Row],['#_households that received standard amount of sanitary pads for this quarter]]/WWWW[[#This Row],[Total HH]]&gt;1,1,WWWW[[#This Row],['#_households that received standard amount of sanitary pads for this quarter]]/WWWW[[#This Row],[Total HH]])</f>
        <v>0</v>
      </c>
      <c r="DE67" s="80">
        <f>WWWW[[#This Row],['#_Constructed/Existing hand washing stations]]-WWWW[[#This Row],['#_Non-Functional_hand_washing_stations]]</f>
        <v>10</v>
      </c>
      <c r="DF67" s="757">
        <f>IF(WWWW[[#This Row],['# Functional hand washing stations during reporting period]]*20&gt;WWWW[[#This Row],[Total HH]],WWWW[[#This Row],[Total HH]],WWWW[[#This Row],['# Functional hand washing stations during reporting period]]*20)</f>
        <v>154</v>
      </c>
      <c r="DG67" s="79">
        <f>IF(WWWW[[#This Row],[Is sufficient soap available for TLS? (Yes/No)]]="yes",WWWW[[#This Row],['#_Constructed/Existing hand washing stations at TLS]],0)</f>
        <v>0</v>
      </c>
      <c r="DH67" s="578">
        <f>IF(WWWW[[#This Row],['# Functional hand washing stations during reporting period]]*100&gt;WWWW[[#This Row],[Total PoP ]],WWWW[[#This Row],[Total PoP ]],WWWW[[#This Row],['# Functional hand washing stations during reporting period]]*100)</f>
        <v>694</v>
      </c>
      <c r="DI67" s="578" t="str">
        <f>IF(OR(WWWW[[#This Row],['#_students at TLS_CFS]]="",WWWW[[#This Row],['#_students at TLS_CFS]]=0),"No","Yes")</f>
        <v>No</v>
      </c>
      <c r="DJ67" s="231" t="str">
        <f>VLOOKUP(WWWW[[#This Row],[Site Name]],SiteDB6[[Site Name]:[CCCM Management]],6,FALSE)</f>
        <v>Yes</v>
      </c>
      <c r="DK67" s="231" t="str">
        <f>VLOOKUP(WWWW[[#This Row],[Site Name]],SiteDB6[[Site Name]:[CCCM Focal Agency]],7,FALSE)</f>
        <v>KMSS-BMO</v>
      </c>
      <c r="DL67" s="231" t="str">
        <f>VLOOKUP(WWWW[[#This Row],[Site Name]],SiteDB6[[Site Name]:[Location Type 1]],9,FALSE)</f>
        <v>Camp</v>
      </c>
      <c r="DM67" s="231" t="str">
        <f>VLOOKUP(WWWW[[#This Row],[Site Name]],SiteDB6[[Site Name]:[Type of Accommodation]],10,FALSE)</f>
        <v>Camp</v>
      </c>
      <c r="DN67" s="231" t="str">
        <f>VLOOKUP(WWWW[[#This Row],[Site Name]],SiteDB6[[Site Name]:[Ethnic or GCA/NGCA]],11,FALSE)</f>
        <v>GCA</v>
      </c>
      <c r="DO67" s="231">
        <f>VLOOKUP(WWWW[[#This Row],[Site Name]],SiteDB6[[Site Name]:[Lat]],12,FALSE)</f>
        <v>23.976571</v>
      </c>
      <c r="DP67" s="231">
        <f>VLOOKUP(WWWW[[#This Row],[Site Name]],SiteDB6[[Site Name]:[Long]],13,FALSE)</f>
        <v>97.227057000000002</v>
      </c>
      <c r="DQ67" s="231" t="str">
        <f>VLOOKUP(WWWW[[#This Row],[Site Name]],SiteDB6[[Site Name]:[Pcode]],3,FALSE)</f>
        <v>MMR001CMP223</v>
      </c>
      <c r="DR67" s="207" t="str">
        <f t="shared" si="2"/>
        <v>Covered</v>
      </c>
      <c r="DS67" s="207"/>
      <c r="DT67" s="20"/>
      <c r="DU67" s="20"/>
      <c r="DV67" s="20"/>
      <c r="DW67" s="20"/>
      <c r="DX67" s="20"/>
      <c r="DY67" s="20"/>
      <c r="DZ67" s="20"/>
      <c r="EA67" s="20"/>
      <c r="EB67" s="20"/>
      <c r="EC67" s="20"/>
      <c r="ED67" s="20"/>
      <c r="EE67" s="20"/>
      <c r="EF67" s="20"/>
      <c r="EG67" s="20"/>
      <c r="EH67" s="20"/>
    </row>
    <row r="68" spans="1:138" ht="15.75" customHeight="1">
      <c r="A68" s="238" t="s">
        <v>2518</v>
      </c>
      <c r="B68" s="238" t="s">
        <v>149</v>
      </c>
      <c r="C68" s="574" t="s">
        <v>149</v>
      </c>
      <c r="D68" s="574" t="s">
        <v>158</v>
      </c>
      <c r="E68" s="574" t="s">
        <v>39</v>
      </c>
      <c r="F68" s="574" t="s">
        <v>160</v>
      </c>
      <c r="G68" s="574" t="str">
        <f>VLOOKUP(WWWW[[#This Row],[Site Name]],SiteDB6[[Site Name]:[Location Type]],8,FALSE)</f>
        <v>Camp</v>
      </c>
      <c r="H68" s="574" t="s">
        <v>161</v>
      </c>
      <c r="I68" s="583">
        <v>13</v>
      </c>
      <c r="J68" s="583">
        <v>66</v>
      </c>
      <c r="K68" s="553">
        <v>43556</v>
      </c>
      <c r="L68" s="77">
        <v>43677</v>
      </c>
      <c r="M68" s="583"/>
      <c r="N68" s="583"/>
      <c r="O68" s="583"/>
      <c r="P68" s="583"/>
      <c r="Q68" s="76" t="s">
        <v>43</v>
      </c>
      <c r="R68" s="310"/>
      <c r="S68" s="310"/>
      <c r="T68" s="583">
        <v>0</v>
      </c>
      <c r="U68" s="310"/>
      <c r="V68" s="310"/>
      <c r="W68" s="583">
        <v>1</v>
      </c>
      <c r="X68" s="310"/>
      <c r="Y68" s="310"/>
      <c r="Z68" s="310"/>
      <c r="AA68" s="310"/>
      <c r="AB68" s="310"/>
      <c r="AC68" s="310"/>
      <c r="AD68" s="310"/>
      <c r="AE68" s="310"/>
      <c r="AF68" s="310"/>
      <c r="AG68" s="310"/>
      <c r="AH68" s="583">
        <v>2</v>
      </c>
      <c r="AI68" s="310"/>
      <c r="AJ68" s="310"/>
      <c r="AK68" s="310"/>
      <c r="AL68" s="310"/>
      <c r="AM68" s="310"/>
      <c r="AN68" s="310"/>
      <c r="AO68" s="207"/>
      <c r="AP68" s="583">
        <v>6</v>
      </c>
      <c r="AQ68" s="310"/>
      <c r="AR68" s="76"/>
      <c r="AS68" s="310"/>
      <c r="AT68" s="310"/>
      <c r="AU68" s="310"/>
      <c r="AV68" s="310"/>
      <c r="AW68" s="583">
        <v>6</v>
      </c>
      <c r="AX68" s="231" t="s">
        <v>43</v>
      </c>
      <c r="AY68" s="231" t="s">
        <v>1200</v>
      </c>
      <c r="AZ68" s="310"/>
      <c r="BA68" s="310"/>
      <c r="BB68" s="310"/>
      <c r="BC68" s="207"/>
      <c r="BD68" s="310"/>
      <c r="BE68" s="310"/>
      <c r="BF68" s="310"/>
      <c r="BG68" s="310">
        <v>2</v>
      </c>
      <c r="BH68" s="310"/>
      <c r="BI68" s="310"/>
      <c r="BJ68" s="310">
        <v>1</v>
      </c>
      <c r="BK68" s="310"/>
      <c r="BL68" s="310"/>
      <c r="BM68" s="207"/>
      <c r="BN68" s="79"/>
      <c r="BO68" s="81"/>
      <c r="BP68" s="207"/>
      <c r="BQ68" s="78" t="str">
        <f>IFERROR(WWWW[[#This Row],['#_Water sources treated]]/WWWW[[#This Row],['#_Water sources tested for contamination]],"no test")</f>
        <v>no test</v>
      </c>
      <c r="BR68" s="81" t="str">
        <f>IFERROR(WWWW[[#This Row],['#_Household received remediation action due to contamination]]/WWWW[[#This Row],['#_Household water samples tested for contamination]],"no test")</f>
        <v>no test</v>
      </c>
      <c r="BS68" s="80" t="str">
        <f>IF(AND(WWWW[[#This Row],[% of water sources treated]]="no test",WWWW[[#This Row],[% Household received corrective actions]]="no test"),"No Test","Tested")</f>
        <v>No Test</v>
      </c>
      <c r="BT68" s="80">
        <f>WWWW[[#This Row],['#_Constructed/existing protected hand dug well]]-WWWW[[#This Row],['#_Non-functional protected hand dug well]]</f>
        <v>0</v>
      </c>
      <c r="BU68" s="80">
        <f>(WWWW[[#This Row],['#_Constructed/Existing tube wells/boreholes/handpumps_WASH_agency]]+WWWW[[#This Row],['#_Non-Cluster partner water tube-wells/boreholes/handpumps]])-WWWW[[#This Row],['#_Non-functional tube wells/boreholes/handpumps]]</f>
        <v>1</v>
      </c>
      <c r="BV68" s="80">
        <f>WWWW[[#This Row],['#_Constructed/Existingwater storage tank with gravity fed reticulation system]]-WWWW[[#This Row],['#_Non-functional storage tank gravity fed reticulation system]]</f>
        <v>0</v>
      </c>
      <c r="BW68" s="80">
        <f>WWWW[[#This Row],['#_Water boating or water trucking]]</f>
        <v>0</v>
      </c>
      <c r="BX68" s="80">
        <f>WWWW[[#This Row],['#_Constructed/Existing water distribution system from river or natural spring]]</f>
        <v>0</v>
      </c>
      <c r="BY6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 s="81">
        <f>IF(WWWW[[#This Row],[Location Type 1]]="Village",WWWW[[#This Row],[Access to safe drinking water for Village]],WWWW[[#This Row],[Access to safe drinking water for Camp]])</f>
        <v>1</v>
      </c>
      <c r="CB68" s="79">
        <f>WWWW[[#This Row],[%Equitable and continuous access to sufficient quantity of safe drinking water]]*WWWW[[#This Row],[Total PoP ]]</f>
        <v>66</v>
      </c>
      <c r="CC68" s="81">
        <f>IF((WWWW[[#This Row],['#_Constructed/Existing protected/fenced ponds]]*250)/WWWW[[#This Row],[Total PoP ]]&gt;1,1,(WWWW[[#This Row],['#_Constructed/Existing protected/fenced ponds]]*250)/WWWW[[#This Row],[Total PoP ]])</f>
        <v>0</v>
      </c>
      <c r="CD68" s="79">
        <f>WWWW[[#This Row],[% Access to unimproved water points]]*WWWW[[#This Row],[Total PoP ]]</f>
        <v>0</v>
      </c>
      <c r="CE6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G68" s="79">
        <f>WWWW[[#This Row],[HRP1]]/500</f>
        <v>0.13200000000000001</v>
      </c>
      <c r="CH68" s="78">
        <f>1-WWWW[[#This Row],[% Equitable and continuous access to sufficient quantity of domestic water]]</f>
        <v>0</v>
      </c>
      <c r="CI68" s="79">
        <f>WWWW[[#This Row],[%equitable and continuous access to sufficient quantity of safe drinking and domestic water''s GAP]]*WWWW[[#This Row],[Total PoP ]]</f>
        <v>0</v>
      </c>
      <c r="CJ68" s="80">
        <f>IF(WWWW[[#This Row],[Total required water points]]-WWWW[[#This Row],['#Water points coverage]]&lt;0,0,WWWW[[#This Row],[Total required water points]]-WWWW[[#This Row],['#Water points coverage]])</f>
        <v>0.86799999999999999</v>
      </c>
      <c r="CK68" s="80">
        <f>ROUND(IF(WWWW[[#This Row],[Total PoP ]]&lt;500,1,WWWW[[#This Row],[Total PoP ]]/500),0)</f>
        <v>1</v>
      </c>
      <c r="CL68" s="80">
        <f>(WWWW[[#This Row],['#_Constructed latrines_by_WASHAgencies]]+WWWW[[#This Row],['#_Non Cluster partner latrines]])-WWWW[[#This Row],['#_Non-functional latrines]]</f>
        <v>6</v>
      </c>
      <c r="CM6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66</v>
      </c>
      <c r="CO6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 s="80">
        <f>IF(WWWW[[#This Row],[Location Type 1]]="Village","NA",IF(WWWW[[#This Row],['#_Constructed/Existing latrines in TLS]]*50&gt;WWWW[[#This Row],['#_students at TLS_CFS]],WWWW[[#This Row],['#_students at TLS_CFS]],(WWWW[[#This Row],['#_Constructed/Existing latrines in TLS]]*50)))</f>
        <v>0</v>
      </c>
      <c r="CQ68" s="80">
        <f>ROUND(IF(WWWW[[#This Row],[Location Type 1]]="camp",WWWW[[#This Row],[Total PoP ]]/20,IF(WWWW[[#This Row],[Location Type 1]]="Temporary Location",WWWW[[#This Row],[Total PoP ]]/50,(WWWW[[#This Row],[Total PoP ]]/6))),0)</f>
        <v>3</v>
      </c>
      <c r="CR68" s="79">
        <f>IF(WWWW[[#This Row],[Total required Latrines]]-(WWWW[[#This Row],['#_Constructed latrines_by_WASHAgencies]]+WWWW[[#This Row],['#_Non Cluster partner latrines]])&lt;0,0,WWWW[[#This Row],[Total required Latrines]]-(WWWW[[#This Row],['#_Constructed latrines_by_WASHAgencies]]+WWWW[[#This Row],['#_Non Cluster partner latrines]]))</f>
        <v>0</v>
      </c>
      <c r="CS68" s="78">
        <f>1-WWWW[[#This Row],[% people access to functioning Latrine]]</f>
        <v>0</v>
      </c>
      <c r="CT68" s="82">
        <f>IF(OR(WWWW[[#This Row],['#_Non-functional latrines]]="",WWWW[[#This Row],['#_Non-functional latrines]]=0),0,WWWW[[#This Row],['#_Non-functional latrines]]/(WWWW[[#This Row],['#_Constructed latrines_by_WASHAgencies]]+WWWW[[#This Row],['#_Non Cluster partner latrines]]))</f>
        <v>0</v>
      </c>
      <c r="CU68" s="79">
        <f>IF(500*(WWWW[[#This Row],['#_male hygiene promoters]]+WWWW[[#This Row],['#_female hygiene promoters]])&gt;WWWW[[#This Row],[Total PoP ]],WWWW[[#This Row],[Total PoP ]],500*(WWWW[[#This Row],['#_male hygiene promoters]]+WWWW[[#This Row],['#_female hygiene promoters]]))</f>
        <v>66</v>
      </c>
      <c r="CV6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 s="80">
        <f>IF(WWWW[[#This Row],['# People with access to soap]]&gt;WWWW[[#This Row],['# People with access to Sanity Pads]],WWWW[[#This Row],['# People with access to soap]],WWWW[[#This Row],['# People with access to Sanity Pads]])</f>
        <v>0</v>
      </c>
      <c r="CY68" s="80">
        <f>IF(WWWW[[#This Row],['# people reached by regular dedicated hygiene promotion_5]]&gt;WWWW[[#This Row],['# People received regular supply of hygiene items_6]],WWWW[[#This Row],['# people reached by regular dedicated hygiene promotion_5]],WWWW[[#This Row],['# People received regular supply of hygiene items_6]])</f>
        <v>66</v>
      </c>
      <c r="CZ68" s="78">
        <f>IF(WWWW[[#This Row],[HRP3]]/WWWW[[#This Row],[Total PoP ]]&gt;100%,100%,WWWW[[#This Row],[HRP3]]/WWWW[[#This Row],[Total PoP ]])</f>
        <v>1</v>
      </c>
      <c r="DA68" s="82">
        <f>1-WWWW[[#This Row],[Hygiene Coverage%]]</f>
        <v>0</v>
      </c>
      <c r="DB68" s="81">
        <f>WWWW[[#This Row],['# people reached by regular dedicated hygiene promotion_5]]/WWWW[[#This Row],[Total PoP ]]</f>
        <v>1</v>
      </c>
      <c r="DC68" s="81">
        <f>IF(WWWW[[#This Row],['#_households that received standard amount of soap for this quarter]]/WWWW[[#This Row],[Total HH]]&gt;1,1,WWWW[[#This Row],['#_households that received standard amount of soap for this quarter]]/WWWW[[#This Row],[Total HH]])</f>
        <v>0</v>
      </c>
      <c r="DD68" s="81">
        <f>IF(WWWW[[#This Row],['#_households that received standard amount of sanitary pads for this quarter]]/WWWW[[#This Row],[Total HH]]&gt;1,1,WWWW[[#This Row],['#_households that received standard amount of sanitary pads for this quarter]]/WWWW[[#This Row],[Total HH]])</f>
        <v>0</v>
      </c>
      <c r="DE68" s="80">
        <f>WWWW[[#This Row],['#_Constructed/Existing hand washing stations]]-WWWW[[#This Row],['#_Non-Functional_hand_washing_stations]]</f>
        <v>0</v>
      </c>
      <c r="DF68" s="757">
        <f>IF(WWWW[[#This Row],['# Functional hand washing stations during reporting period]]*20&gt;WWWW[[#This Row],[Total HH]],WWWW[[#This Row],[Total HH]],WWWW[[#This Row],['# Functional hand washing stations during reporting period]]*20)</f>
        <v>0</v>
      </c>
      <c r="DG68" s="79">
        <f>IF(WWWW[[#This Row],[Is sufficient soap available for TLS? (Yes/No)]]="yes",WWWW[[#This Row],['#_Constructed/Existing hand washing stations at TLS]],0)</f>
        <v>0</v>
      </c>
      <c r="DH68" s="578">
        <f>IF(WWWW[[#This Row],['# Functional hand washing stations during reporting period]]*100&gt;WWWW[[#This Row],[Total PoP ]],WWWW[[#This Row],[Total PoP ]],WWWW[[#This Row],['# Functional hand washing stations during reporting period]]*100)</f>
        <v>0</v>
      </c>
      <c r="DI68" s="578" t="str">
        <f>IF(OR(WWWW[[#This Row],['#_students at TLS_CFS]]="",WWWW[[#This Row],['#_students at TLS_CFS]]=0),"No","Yes")</f>
        <v>No</v>
      </c>
      <c r="DJ68" s="231" t="str">
        <f>VLOOKUP(WWWW[[#This Row],[Site Name]],SiteDB6[[Site Name]:[CCCM Management]],6,FALSE)</f>
        <v>Yes</v>
      </c>
      <c r="DK68" s="231" t="str">
        <f>VLOOKUP(WWWW[[#This Row],[Site Name]],SiteDB6[[Site Name]:[CCCM Focal Agency]],7,FALSE)</f>
        <v>KBC</v>
      </c>
      <c r="DL68" s="231" t="str">
        <f>VLOOKUP(WWWW[[#This Row],[Site Name]],SiteDB6[[Site Name]:[Location Type 1]],9,FALSE)</f>
        <v>Camp</v>
      </c>
      <c r="DM68" s="231" t="str">
        <f>VLOOKUP(WWWW[[#This Row],[Site Name]],SiteDB6[[Site Name]:[Type of Accommodation]],10,FALSE)</f>
        <v>Camp</v>
      </c>
      <c r="DN68" s="231" t="str">
        <f>VLOOKUP(WWWW[[#This Row],[Site Name]],SiteDB6[[Site Name]:[Ethnic or GCA/NGCA]],11,FALSE)</f>
        <v>GCA</v>
      </c>
      <c r="DO68" s="231">
        <f>VLOOKUP(WWWW[[#This Row],[Site Name]],SiteDB6[[Site Name]:[Lat]],12,FALSE)</f>
        <v>25.305669999999999</v>
      </c>
      <c r="DP68" s="231">
        <f>VLOOKUP(WWWW[[#This Row],[Site Name]],SiteDB6[[Site Name]:[Long]],13,FALSE)</f>
        <v>96.922619999999995</v>
      </c>
      <c r="DQ68" s="231" t="str">
        <f>VLOOKUP(WWWW[[#This Row],[Site Name]],SiteDB6[[Site Name]:[Pcode]],3,FALSE)</f>
        <v>MMR001CMP078</v>
      </c>
      <c r="DR68" s="207" t="str">
        <f t="shared" si="2"/>
        <v>Covered</v>
      </c>
      <c r="DS68" s="207"/>
      <c r="DT68" s="20"/>
      <c r="DU68" s="20"/>
      <c r="DV68" s="20"/>
      <c r="DW68" s="20"/>
      <c r="DX68" s="20"/>
      <c r="DY68" s="20"/>
      <c r="DZ68" s="20"/>
      <c r="EA68" s="20"/>
      <c r="EB68" s="20"/>
      <c r="EC68" s="20"/>
      <c r="ED68" s="20"/>
      <c r="EE68" s="20"/>
      <c r="EF68" s="20"/>
      <c r="EG68" s="20"/>
      <c r="EH68" s="20"/>
    </row>
    <row r="69" spans="1:138" ht="15.75" customHeight="1">
      <c r="A69" s="238" t="s">
        <v>2518</v>
      </c>
      <c r="B69" s="238" t="s">
        <v>149</v>
      </c>
      <c r="C69" s="574" t="s">
        <v>149</v>
      </c>
      <c r="D69" s="574" t="s">
        <v>252</v>
      </c>
      <c r="E69" s="574" t="s">
        <v>39</v>
      </c>
      <c r="F69" s="574" t="s">
        <v>213</v>
      </c>
      <c r="G69" s="574" t="str">
        <f>VLOOKUP(WWWW[[#This Row],[Site Name]],SiteDB6[[Site Name]:[Location Type]],8,FALSE)</f>
        <v>Camp_not registered</v>
      </c>
      <c r="H69" s="574" t="s">
        <v>297</v>
      </c>
      <c r="I69" s="583">
        <v>440</v>
      </c>
      <c r="J69" s="583">
        <v>2199</v>
      </c>
      <c r="K69" s="553"/>
      <c r="L69" s="77" t="s">
        <v>2096</v>
      </c>
      <c r="M69" s="583"/>
      <c r="N69" s="583"/>
      <c r="O69" s="583"/>
      <c r="P69" s="583"/>
      <c r="Q69" s="76"/>
      <c r="R69" s="310"/>
      <c r="S69" s="310"/>
      <c r="T69" s="583">
        <v>0</v>
      </c>
      <c r="U69" s="310"/>
      <c r="V69" s="310"/>
      <c r="W69" s="583">
        <v>1</v>
      </c>
      <c r="X69" s="310"/>
      <c r="Y69" s="310"/>
      <c r="Z69" s="310"/>
      <c r="AA69" s="310"/>
      <c r="AB69" s="310"/>
      <c r="AC69" s="310"/>
      <c r="AD69" s="310"/>
      <c r="AE69" s="310"/>
      <c r="AF69" s="310"/>
      <c r="AG69" s="310"/>
      <c r="AH69" s="583">
        <v>0</v>
      </c>
      <c r="AI69" s="310"/>
      <c r="AJ69" s="310"/>
      <c r="AK69" s="310"/>
      <c r="AL69" s="310"/>
      <c r="AM69" s="310"/>
      <c r="AN69" s="310"/>
      <c r="AO69" s="207"/>
      <c r="AP69" s="583">
        <v>16</v>
      </c>
      <c r="AQ69" s="310"/>
      <c r="AR69" s="76"/>
      <c r="AS69" s="310"/>
      <c r="AT69" s="310"/>
      <c r="AU69" s="310"/>
      <c r="AV69" s="310"/>
      <c r="AW69" s="583">
        <v>0</v>
      </c>
      <c r="AX69" s="231" t="s">
        <v>43</v>
      </c>
      <c r="AY69" s="231" t="s">
        <v>148</v>
      </c>
      <c r="AZ69" s="310"/>
      <c r="BA69" s="310"/>
      <c r="BB69" s="310"/>
      <c r="BC69" s="207"/>
      <c r="BD69" s="310"/>
      <c r="BE69" s="310"/>
      <c r="BF69" s="310"/>
      <c r="BG69" s="310">
        <v>0</v>
      </c>
      <c r="BH69" s="310"/>
      <c r="BI69" s="310"/>
      <c r="BJ69" s="310"/>
      <c r="BK69" s="310"/>
      <c r="BL69" s="310"/>
      <c r="BM69" s="207"/>
      <c r="BN69" s="79"/>
      <c r="BO69" s="81"/>
      <c r="BP69" s="207"/>
      <c r="BQ69" s="78" t="str">
        <f>IFERROR(WWWW[[#This Row],['#_Water sources treated]]/WWWW[[#This Row],['#_Water sources tested for contamination]],"no test")</f>
        <v>no test</v>
      </c>
      <c r="BR69" s="81" t="str">
        <f>IFERROR(WWWW[[#This Row],['#_Household received remediation action due to contamination]]/WWWW[[#This Row],['#_Household water samples tested for contamination]],"no test")</f>
        <v>no test</v>
      </c>
      <c r="BS69" s="80" t="str">
        <f>IF(AND(WWWW[[#This Row],[% of water sources treated]]="no test",WWWW[[#This Row],[% Household received corrective actions]]="no test"),"No Test","Tested")</f>
        <v>No Test</v>
      </c>
      <c r="BT69" s="80">
        <f>WWWW[[#This Row],['#_Constructed/existing protected hand dug well]]-WWWW[[#This Row],['#_Non-functional protected hand dug well]]</f>
        <v>0</v>
      </c>
      <c r="BU69" s="80">
        <f>(WWWW[[#This Row],['#_Constructed/Existing tube wells/boreholes/handpumps_WASH_agency]]+WWWW[[#This Row],['#_Non-Cluster partner water tube-wells/boreholes/handpumps]])-WWWW[[#This Row],['#_Non-functional tube wells/boreholes/handpumps]]</f>
        <v>1</v>
      </c>
      <c r="BV69" s="80">
        <f>WWWW[[#This Row],['#_Constructed/Existingwater storage tank with gravity fed reticulation system]]-WWWW[[#This Row],['#_Non-functional storage tank gravity fed reticulation system]]</f>
        <v>0</v>
      </c>
      <c r="BW69" s="80">
        <f>WWWW[[#This Row],['#_Water boating or water trucking]]</f>
        <v>0</v>
      </c>
      <c r="BX69" s="80">
        <f>WWWW[[#This Row],['#_Constructed/Existing water distribution system from river or natural spring]]</f>
        <v>0</v>
      </c>
      <c r="BY6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0.22737608003638018</v>
      </c>
      <c r="BZ6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0.11368804001819009</v>
      </c>
      <c r="CA69" s="81">
        <f>IF(WWWW[[#This Row],[Location Type 1]]="Village",WWWW[[#This Row],[Access to safe drinking water for Village]],WWWW[[#This Row],[Access to safe drinking water for Camp]])</f>
        <v>0.22737608003638018</v>
      </c>
      <c r="CB69" s="79">
        <f>WWWW[[#This Row],[%Equitable and continuous access to sufficient quantity of safe drinking water]]*WWWW[[#This Row],[Total PoP ]]</f>
        <v>500</v>
      </c>
      <c r="CC69" s="81">
        <f>IF((WWWW[[#This Row],['#_Constructed/Existing protected/fenced ponds]]*250)/WWWW[[#This Row],[Total PoP ]]&gt;1,1,(WWWW[[#This Row],['#_Constructed/Existing protected/fenced ponds]]*250)/WWWW[[#This Row],[Total PoP ]])</f>
        <v>0</v>
      </c>
      <c r="CD69" s="79">
        <f>WWWW[[#This Row],[% Access to unimproved water points]]*WWWW[[#This Row],[Total PoP ]]</f>
        <v>0</v>
      </c>
      <c r="CE6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F6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69" s="79">
        <f>WWWW[[#This Row],[HRP1]]/500</f>
        <v>1</v>
      </c>
      <c r="CH69" s="78">
        <f>1-WWWW[[#This Row],[% Equitable and continuous access to sufficient quantity of domestic water]]</f>
        <v>0.77262391996361979</v>
      </c>
      <c r="CI69" s="79">
        <f>WWWW[[#This Row],[%equitable and continuous access to sufficient quantity of safe drinking and domestic water''s GAP]]*WWWW[[#This Row],[Total PoP ]]</f>
        <v>1699</v>
      </c>
      <c r="CJ69" s="80">
        <f>IF(WWWW[[#This Row],[Total required water points]]-WWWW[[#This Row],['#Water points coverage]]&lt;0,0,WWWW[[#This Row],[Total required water points]]-WWWW[[#This Row],['#Water points coverage]])</f>
        <v>3</v>
      </c>
      <c r="CK69" s="80">
        <f>ROUND(IF(WWWW[[#This Row],[Total PoP ]]&lt;500,1,WWWW[[#This Row],[Total PoP ]]/500),0)</f>
        <v>4</v>
      </c>
      <c r="CL69" s="80">
        <f>(WWWW[[#This Row],['#_Constructed latrines_by_WASHAgencies]]+WWWW[[#This Row],['#_Non Cluster partner latrines]])-WWWW[[#This Row],['#_Non-functional latrines]]</f>
        <v>16</v>
      </c>
      <c r="CM6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0.14552069122328332</v>
      </c>
      <c r="CN6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6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 s="80">
        <f>IF(WWWW[[#This Row],[Location Type 1]]="Village","NA",IF(WWWW[[#This Row],['#_Constructed/Existing latrines in TLS]]*50&gt;WWWW[[#This Row],['#_students at TLS_CFS]],WWWW[[#This Row],['#_students at TLS_CFS]],(WWWW[[#This Row],['#_Constructed/Existing latrines in TLS]]*50)))</f>
        <v>0</v>
      </c>
      <c r="CQ69" s="80">
        <f>ROUND(IF(WWWW[[#This Row],[Location Type 1]]="camp",WWWW[[#This Row],[Total PoP ]]/20,IF(WWWW[[#This Row],[Location Type 1]]="Temporary Location",WWWW[[#This Row],[Total PoP ]]/50,(WWWW[[#This Row],[Total PoP ]]/6))),0)</f>
        <v>110</v>
      </c>
      <c r="CR69" s="79">
        <f>IF(WWWW[[#This Row],[Total required Latrines]]-(WWWW[[#This Row],['#_Constructed latrines_by_WASHAgencies]]+WWWW[[#This Row],['#_Non Cluster partner latrines]])&lt;0,0,WWWW[[#This Row],[Total required Latrines]]-(WWWW[[#This Row],['#_Constructed latrines_by_WASHAgencies]]+WWWW[[#This Row],['#_Non Cluster partner latrines]]))</f>
        <v>94</v>
      </c>
      <c r="CS69" s="78">
        <f>1-WWWW[[#This Row],[% people access to functioning Latrine]]</f>
        <v>0.85447930877671663</v>
      </c>
      <c r="CT69" s="82">
        <f>IF(OR(WWWW[[#This Row],['#_Non-functional latrines]]="",WWWW[[#This Row],['#_Non-functional latrines]]=0),0,WWWW[[#This Row],['#_Non-functional latrines]]/(WWWW[[#This Row],['#_Constructed latrines_by_WASHAgencies]]+WWWW[[#This Row],['#_Non Cluster partner latrines]]))</f>
        <v>0</v>
      </c>
      <c r="CU69" s="79">
        <f>IF(500*(WWWW[[#This Row],['#_male hygiene promoters]]+WWWW[[#This Row],['#_female hygiene promoters]])&gt;WWWW[[#This Row],[Total PoP ]],WWWW[[#This Row],[Total PoP ]],500*(WWWW[[#This Row],['#_male hygiene promoters]]+WWWW[[#This Row],['#_female hygiene promoters]]))</f>
        <v>0</v>
      </c>
      <c r="CV6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 s="80">
        <f>IF(WWWW[[#This Row],['# People with access to soap]]&gt;WWWW[[#This Row],['# People with access to Sanity Pads]],WWWW[[#This Row],['# People with access to soap]],WWWW[[#This Row],['# People with access to Sanity Pads]])</f>
        <v>0</v>
      </c>
      <c r="CY69"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9" s="78">
        <f>IF(WWWW[[#This Row],[HRP3]]/WWWW[[#This Row],[Total PoP ]]&gt;100%,100%,WWWW[[#This Row],[HRP3]]/WWWW[[#This Row],[Total PoP ]])</f>
        <v>0</v>
      </c>
      <c r="DA69" s="82">
        <f>1-WWWW[[#This Row],[Hygiene Coverage%]]</f>
        <v>1</v>
      </c>
      <c r="DB69" s="81">
        <f>WWWW[[#This Row],['# people reached by regular dedicated hygiene promotion_5]]/WWWW[[#This Row],[Total PoP ]]</f>
        <v>0</v>
      </c>
      <c r="DC69" s="81">
        <f>IF(WWWW[[#This Row],['#_households that received standard amount of soap for this quarter]]/WWWW[[#This Row],[Total HH]]&gt;1,1,WWWW[[#This Row],['#_households that received standard amount of soap for this quarter]]/WWWW[[#This Row],[Total HH]])</f>
        <v>0</v>
      </c>
      <c r="DD69" s="81">
        <f>IF(WWWW[[#This Row],['#_households that received standard amount of sanitary pads for this quarter]]/WWWW[[#This Row],[Total HH]]&gt;1,1,WWWW[[#This Row],['#_households that received standard amount of sanitary pads for this quarter]]/WWWW[[#This Row],[Total HH]])</f>
        <v>0</v>
      </c>
      <c r="DE69" s="80">
        <f>WWWW[[#This Row],['#_Constructed/Existing hand washing stations]]-WWWW[[#This Row],['#_Non-Functional_hand_washing_stations]]</f>
        <v>0</v>
      </c>
      <c r="DF69" s="757">
        <f>IF(WWWW[[#This Row],['# Functional hand washing stations during reporting period]]*20&gt;WWWW[[#This Row],[Total HH]],WWWW[[#This Row],[Total HH]],WWWW[[#This Row],['# Functional hand washing stations during reporting period]]*20)</f>
        <v>0</v>
      </c>
      <c r="DG69" s="79">
        <f>IF(WWWW[[#This Row],[Is sufficient soap available for TLS? (Yes/No)]]="yes",WWWW[[#This Row],['#_Constructed/Existing hand washing stations at TLS]],0)</f>
        <v>0</v>
      </c>
      <c r="DH69" s="578">
        <f>IF(WWWW[[#This Row],['# Functional hand washing stations during reporting period]]*100&gt;WWWW[[#This Row],[Total PoP ]],WWWW[[#This Row],[Total PoP ]],WWWW[[#This Row],['# Functional hand washing stations during reporting period]]*100)</f>
        <v>0</v>
      </c>
      <c r="DI69" s="578" t="str">
        <f>IF(OR(WWWW[[#This Row],['#_students at TLS_CFS]]="",WWWW[[#This Row],['#_students at TLS_CFS]]=0),"No","Yes")</f>
        <v>No</v>
      </c>
      <c r="DJ69" s="231">
        <f>VLOOKUP(WWWW[[#This Row],[Site Name]],SiteDB6[[Site Name]:[CCCM Management]],6,FALSE)</f>
        <v>0</v>
      </c>
      <c r="DK69" s="231">
        <f>VLOOKUP(WWWW[[#This Row],[Site Name]],SiteDB6[[Site Name]:[CCCM Focal Agency]],7,FALSE)</f>
        <v>0</v>
      </c>
      <c r="DL69" s="231" t="str">
        <f>VLOOKUP(WWWW[[#This Row],[Site Name]],SiteDB6[[Site Name]:[Location Type 1]],9,FALSE)</f>
        <v>Camp</v>
      </c>
      <c r="DM69" s="231" t="str">
        <f>VLOOKUP(WWWW[[#This Row],[Site Name]],SiteDB6[[Site Name]:[Type of Accommodation]],10,FALSE)</f>
        <v>School</v>
      </c>
      <c r="DN69" s="231" t="str">
        <f>VLOOKUP(WWWW[[#This Row],[Site Name]],SiteDB6[[Site Name]:[Ethnic or GCA/NGCA]],11,FALSE)</f>
        <v>NGCA</v>
      </c>
      <c r="DO69" s="231">
        <f>VLOOKUP(WWWW[[#This Row],[Site Name]],SiteDB6[[Site Name]:[Lat]],12,FALSE)</f>
        <v>0</v>
      </c>
      <c r="DP69" s="231">
        <f>VLOOKUP(WWWW[[#This Row],[Site Name]],SiteDB6[[Site Name]:[Long]],13,FALSE)</f>
        <v>0</v>
      </c>
      <c r="DQ69" s="231">
        <f>VLOOKUP(WWWW[[#This Row],[Site Name]],SiteDB6[[Site Name]:[Pcode]],3,FALSE)</f>
        <v>0</v>
      </c>
      <c r="DR69" s="207" t="str">
        <f t="shared" si="2"/>
        <v>Covered</v>
      </c>
      <c r="DS69" s="207"/>
      <c r="DT69" s="20"/>
      <c r="DU69" s="20"/>
      <c r="DV69" s="20"/>
      <c r="DW69" s="20"/>
      <c r="DX69" s="20"/>
      <c r="DY69" s="20"/>
      <c r="DZ69" s="20"/>
      <c r="EA69" s="20"/>
      <c r="EB69" s="20"/>
      <c r="EC69" s="20"/>
      <c r="ED69" s="20"/>
      <c r="EE69" s="20"/>
      <c r="EF69" s="20"/>
      <c r="EG69" s="20"/>
      <c r="EH69" s="20"/>
    </row>
    <row r="70" spans="1:138" ht="15.75" customHeight="1">
      <c r="A70" s="238" t="s">
        <v>2518</v>
      </c>
      <c r="B70" s="574" t="s">
        <v>149</v>
      </c>
      <c r="C70" s="574" t="s">
        <v>149</v>
      </c>
      <c r="D70" s="574"/>
      <c r="E70" s="574" t="s">
        <v>39</v>
      </c>
      <c r="F70" s="574" t="s">
        <v>167</v>
      </c>
      <c r="G70" s="574" t="str">
        <f>VLOOKUP(WWWW[[#This Row],[Site Name]],SiteDB6[[Site Name]:[Location Type]],8,FALSE)</f>
        <v>Camp_not registered</v>
      </c>
      <c r="H70" s="76" t="s">
        <v>2095</v>
      </c>
      <c r="I70" s="583">
        <v>51</v>
      </c>
      <c r="J70" s="583">
        <v>252</v>
      </c>
      <c r="K70" s="553"/>
      <c r="L70" s="77"/>
      <c r="M70" s="583"/>
      <c r="N70" s="583"/>
      <c r="O70" s="583"/>
      <c r="P70" s="583"/>
      <c r="Q70" s="76"/>
      <c r="R70" s="310"/>
      <c r="S70" s="310"/>
      <c r="T70" s="583">
        <v>0</v>
      </c>
      <c r="U70" s="310"/>
      <c r="V70" s="310"/>
      <c r="W70" s="583">
        <v>0</v>
      </c>
      <c r="X70" s="310"/>
      <c r="Y70" s="310"/>
      <c r="Z70" s="310"/>
      <c r="AA70" s="310"/>
      <c r="AB70" s="310"/>
      <c r="AC70" s="310"/>
      <c r="AD70" s="310"/>
      <c r="AE70" s="310"/>
      <c r="AF70" s="310"/>
      <c r="AG70" s="310"/>
      <c r="AH70" s="583">
        <v>0</v>
      </c>
      <c r="AI70" s="310"/>
      <c r="AJ70" s="310"/>
      <c r="AK70" s="310"/>
      <c r="AL70" s="310"/>
      <c r="AM70" s="310"/>
      <c r="AN70" s="310"/>
      <c r="AO70" s="207"/>
      <c r="AP70" s="583">
        <v>0</v>
      </c>
      <c r="AQ70" s="310"/>
      <c r="AR70" s="76"/>
      <c r="AS70" s="310"/>
      <c r="AT70" s="310"/>
      <c r="AU70" s="310"/>
      <c r="AV70" s="310"/>
      <c r="AW70" s="583">
        <v>0</v>
      </c>
      <c r="AX70" s="581" t="s">
        <v>144</v>
      </c>
      <c r="AY70" s="581" t="s">
        <v>148</v>
      </c>
      <c r="AZ70" s="310"/>
      <c r="BA70" s="310"/>
      <c r="BB70" s="310"/>
      <c r="BC70" s="207"/>
      <c r="BD70" s="310"/>
      <c r="BE70" s="310"/>
      <c r="BF70" s="310"/>
      <c r="BG70" s="310">
        <v>0</v>
      </c>
      <c r="BH70" s="310"/>
      <c r="BI70" s="310"/>
      <c r="BJ70" s="310"/>
      <c r="BK70" s="310"/>
      <c r="BL70" s="310"/>
      <c r="BM70" s="207"/>
      <c r="BN70" s="79"/>
      <c r="BO70" s="81"/>
      <c r="BP70" s="207"/>
      <c r="BQ70" s="78" t="str">
        <f>IFERROR(WWWW[[#This Row],['#_Water sources treated]]/WWWW[[#This Row],['#_Water sources tested for contamination]],"no test")</f>
        <v>no test</v>
      </c>
      <c r="BR70" s="81" t="str">
        <f>IFERROR(WWWW[[#This Row],['#_Household received remediation action due to contamination]]/WWWW[[#This Row],['#_Household water samples tested for contamination]],"no test")</f>
        <v>no test</v>
      </c>
      <c r="BS70" s="80" t="str">
        <f>IF(AND(WWWW[[#This Row],[% of water sources treated]]="no test",WWWW[[#This Row],[% Household received corrective actions]]="no test"),"No Test","Tested")</f>
        <v>No Test</v>
      </c>
      <c r="BT70" s="80">
        <f>WWWW[[#This Row],['#_Constructed/existing protected hand dug well]]-WWWW[[#This Row],['#_Non-functional protected hand dug well]]</f>
        <v>0</v>
      </c>
      <c r="BU70" s="80">
        <f>(WWWW[[#This Row],['#_Constructed/Existing tube wells/boreholes/handpumps_WASH_agency]]+WWWW[[#This Row],['#_Non-Cluster partner water tube-wells/boreholes/handpumps]])-WWWW[[#This Row],['#_Non-functional tube wells/boreholes/handpumps]]</f>
        <v>0</v>
      </c>
      <c r="BV70" s="80">
        <f>WWWW[[#This Row],['#_Constructed/Existingwater storage tank with gravity fed reticulation system]]-WWWW[[#This Row],['#_Non-functional storage tank gravity fed reticulation system]]</f>
        <v>0</v>
      </c>
      <c r="BW70" s="80">
        <f>WWWW[[#This Row],['#_Water boating or water trucking]]</f>
        <v>0</v>
      </c>
      <c r="BX70" s="80">
        <f>WWWW[[#This Row],['#_Constructed/Existing water distribution system from river or natural spring]]</f>
        <v>0</v>
      </c>
      <c r="BY7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0" s="81">
        <f>IF(WWWW[[#This Row],[Location Type 1]]="Village",WWWW[[#This Row],[Access to safe drinking water for Village]],WWWW[[#This Row],[Access to safe drinking water for Camp]])</f>
        <v>0</v>
      </c>
      <c r="CB70" s="79">
        <f>WWWW[[#This Row],[%Equitable and continuous access to sufficient quantity of safe drinking water]]*WWWW[[#This Row],[Total PoP ]]</f>
        <v>0</v>
      </c>
      <c r="CC70" s="81">
        <f>IF((WWWW[[#This Row],['#_Constructed/Existing protected/fenced ponds]]*250)/WWWW[[#This Row],[Total PoP ]]&gt;1,1,(WWWW[[#This Row],['#_Constructed/Existing protected/fenced ponds]]*250)/WWWW[[#This Row],[Total PoP ]])</f>
        <v>0</v>
      </c>
      <c r="CD70" s="79">
        <f>WWWW[[#This Row],[% Access to unimproved water points]]*WWWW[[#This Row],[Total PoP ]]</f>
        <v>0</v>
      </c>
      <c r="CE7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0" s="79">
        <f>WWWW[[#This Row],[HRP1]]/500</f>
        <v>0</v>
      </c>
      <c r="CH70" s="78">
        <f>1-WWWW[[#This Row],[% Equitable and continuous access to sufficient quantity of domestic water]]</f>
        <v>1</v>
      </c>
      <c r="CI70" s="79">
        <f>WWWW[[#This Row],[%equitable and continuous access to sufficient quantity of safe drinking and domestic water''s GAP]]*WWWW[[#This Row],[Total PoP ]]</f>
        <v>252</v>
      </c>
      <c r="CJ70" s="80">
        <f>IF(WWWW[[#This Row],[Total required water points]]-WWWW[[#This Row],['#Water points coverage]]&lt;0,0,WWWW[[#This Row],[Total required water points]]-WWWW[[#This Row],['#Water points coverage]])</f>
        <v>1</v>
      </c>
      <c r="CK70" s="80">
        <f>ROUND(IF(WWWW[[#This Row],[Total PoP ]]&lt;500,1,WWWW[[#This Row],[Total PoP ]]/500),0)</f>
        <v>1</v>
      </c>
      <c r="CL70" s="80">
        <f>(WWWW[[#This Row],['#_Constructed latrines_by_WASHAgencies]]+WWWW[[#This Row],['#_Non Cluster partner latrines]])-WWWW[[#This Row],['#_Non-functional latrines]]</f>
        <v>0</v>
      </c>
      <c r="CM7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 s="80">
        <f>IF(WWWW[[#This Row],[Location Type 1]]="Village","NA",IF(WWWW[[#This Row],['#_Constructed/Existing latrines in TLS]]*50&gt;WWWW[[#This Row],['#_students at TLS_CFS]],WWWW[[#This Row],['#_students at TLS_CFS]],(WWWW[[#This Row],['#_Constructed/Existing latrines in TLS]]*50)))</f>
        <v>0</v>
      </c>
      <c r="CQ70" s="80">
        <f>ROUND(IF(WWWW[[#This Row],[Location Type 1]]="camp",WWWW[[#This Row],[Total PoP ]]/20,IF(WWWW[[#This Row],[Location Type 1]]="Temporary Location",WWWW[[#This Row],[Total PoP ]]/50,(WWWW[[#This Row],[Total PoP ]]/6))),0)</f>
        <v>13</v>
      </c>
      <c r="CR70" s="79">
        <f>IF(WWWW[[#This Row],[Total required Latrines]]-(WWWW[[#This Row],['#_Constructed latrines_by_WASHAgencies]]+WWWW[[#This Row],['#_Non Cluster partner latrines]])&lt;0,0,WWWW[[#This Row],[Total required Latrines]]-(WWWW[[#This Row],['#_Constructed latrines_by_WASHAgencies]]+WWWW[[#This Row],['#_Non Cluster partner latrines]]))</f>
        <v>13</v>
      </c>
      <c r="CS70" s="78">
        <f>1-WWWW[[#This Row],[% people access to functioning Latrine]]</f>
        <v>1</v>
      </c>
      <c r="CT70" s="82">
        <f>IF(OR(WWWW[[#This Row],['#_Non-functional latrines]]="",WWWW[[#This Row],['#_Non-functional latrines]]=0),0,WWWW[[#This Row],['#_Non-functional latrines]]/(WWWW[[#This Row],['#_Constructed latrines_by_WASHAgencies]]+WWWW[[#This Row],['#_Non Cluster partner latrines]]))</f>
        <v>0</v>
      </c>
      <c r="CU70" s="79">
        <f>IF(500*(WWWW[[#This Row],['#_male hygiene promoters]]+WWWW[[#This Row],['#_female hygiene promoters]])&gt;WWWW[[#This Row],[Total PoP ]],WWWW[[#This Row],[Total PoP ]],500*(WWWW[[#This Row],['#_male hygiene promoters]]+WWWW[[#This Row],['#_female hygiene promoters]]))</f>
        <v>0</v>
      </c>
      <c r="CV7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 s="80">
        <f>IF(WWWW[[#This Row],['# People with access to soap]]&gt;WWWW[[#This Row],['# People with access to Sanity Pads]],WWWW[[#This Row],['# People with access to soap]],WWWW[[#This Row],['# People with access to Sanity Pads]])</f>
        <v>0</v>
      </c>
      <c r="CY7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0" s="78">
        <f>IF(WWWW[[#This Row],[HRP3]]/WWWW[[#This Row],[Total PoP ]]&gt;100%,100%,WWWW[[#This Row],[HRP3]]/WWWW[[#This Row],[Total PoP ]])</f>
        <v>0</v>
      </c>
      <c r="DA70" s="82">
        <f>1-WWWW[[#This Row],[Hygiene Coverage%]]</f>
        <v>1</v>
      </c>
      <c r="DB70" s="81">
        <f>WWWW[[#This Row],['# people reached by regular dedicated hygiene promotion_5]]/WWWW[[#This Row],[Total PoP ]]</f>
        <v>0</v>
      </c>
      <c r="DC70" s="81">
        <f>IF(WWWW[[#This Row],['#_households that received standard amount of soap for this quarter]]/WWWW[[#This Row],[Total HH]]&gt;1,1,WWWW[[#This Row],['#_households that received standard amount of soap for this quarter]]/WWWW[[#This Row],[Total HH]])</f>
        <v>0</v>
      </c>
      <c r="DD70" s="81">
        <f>IF(WWWW[[#This Row],['#_households that received standard amount of sanitary pads for this quarter]]/WWWW[[#This Row],[Total HH]]&gt;1,1,WWWW[[#This Row],['#_households that received standard amount of sanitary pads for this quarter]]/WWWW[[#This Row],[Total HH]])</f>
        <v>0</v>
      </c>
      <c r="DE70" s="80">
        <f>WWWW[[#This Row],['#_Constructed/Existing hand washing stations]]-WWWW[[#This Row],['#_Non-Functional_hand_washing_stations]]</f>
        <v>0</v>
      </c>
      <c r="DF70" s="757">
        <f>IF(WWWW[[#This Row],['# Functional hand washing stations during reporting period]]*20&gt;WWWW[[#This Row],[Total HH]],WWWW[[#This Row],[Total HH]],WWWW[[#This Row],['# Functional hand washing stations during reporting period]]*20)</f>
        <v>0</v>
      </c>
      <c r="DG70" s="79">
        <f>IF(WWWW[[#This Row],[Is sufficient soap available for TLS? (Yes/No)]]="yes",WWWW[[#This Row],['#_Constructed/Existing hand washing stations at TLS]],0)</f>
        <v>0</v>
      </c>
      <c r="DH70" s="578">
        <f>IF(WWWW[[#This Row],['# Functional hand washing stations during reporting period]]*100&gt;WWWW[[#This Row],[Total PoP ]],WWWW[[#This Row],[Total PoP ]],WWWW[[#This Row],['# Functional hand washing stations during reporting period]]*100)</f>
        <v>0</v>
      </c>
      <c r="DI70" s="578" t="str">
        <f>IF(OR(WWWW[[#This Row],['#_students at TLS_CFS]]="",WWWW[[#This Row],['#_students at TLS_CFS]]=0),"No","Yes")</f>
        <v>No</v>
      </c>
      <c r="DJ70" s="231">
        <f>VLOOKUP(WWWW[[#This Row],[Site Name]],SiteDB6[[Site Name]:[CCCM Management]],6,FALSE)</f>
        <v>0</v>
      </c>
      <c r="DK70" s="231">
        <f>VLOOKUP(WWWW[[#This Row],[Site Name]],SiteDB6[[Site Name]:[CCCM Focal Agency]],7,FALSE)</f>
        <v>0</v>
      </c>
      <c r="DL70" s="231" t="str">
        <f>VLOOKUP(WWWW[[#This Row],[Site Name]],SiteDB6[[Site Name]:[Location Type 1]],9,FALSE)</f>
        <v>Camp</v>
      </c>
      <c r="DM70" s="231" t="str">
        <f>VLOOKUP(WWWW[[#This Row],[Site Name]],SiteDB6[[Site Name]:[Type of Accommodation]],10,FALSE)</f>
        <v>Camp like setting</v>
      </c>
      <c r="DN70" s="231" t="str">
        <f>VLOOKUP(WWWW[[#This Row],[Site Name]],SiteDB6[[Site Name]:[Ethnic or GCA/NGCA]],11,FALSE)</f>
        <v>NGCA</v>
      </c>
      <c r="DO70" s="231">
        <f>VLOOKUP(WWWW[[#This Row],[Site Name]],SiteDB6[[Site Name]:[Lat]],12,FALSE)</f>
        <v>0</v>
      </c>
      <c r="DP70" s="231">
        <f>VLOOKUP(WWWW[[#This Row],[Site Name]],SiteDB6[[Site Name]:[Long]],13,FALSE)</f>
        <v>0</v>
      </c>
      <c r="DQ70" s="231">
        <f>VLOOKUP(WWWW[[#This Row],[Site Name]],SiteDB6[[Site Name]:[Pcode]],3,FALSE)</f>
        <v>0</v>
      </c>
      <c r="DR70" s="207" t="str">
        <f t="shared" si="2"/>
        <v>Covered</v>
      </c>
      <c r="DS70" s="207"/>
      <c r="DT70" s="20"/>
      <c r="DU70" s="20"/>
      <c r="DV70" s="20"/>
      <c r="DW70" s="20"/>
      <c r="DX70" s="20"/>
      <c r="DY70" s="20"/>
      <c r="DZ70" s="20"/>
      <c r="EA70" s="20"/>
      <c r="EB70" s="20"/>
      <c r="EC70" s="20"/>
      <c r="ED70" s="20"/>
      <c r="EE70" s="20"/>
      <c r="EF70" s="20"/>
      <c r="EG70" s="20"/>
      <c r="EH70" s="20"/>
    </row>
    <row r="71" spans="1:138" ht="15.75" customHeight="1">
      <c r="A71" s="238" t="s">
        <v>2518</v>
      </c>
      <c r="B71" s="238" t="s">
        <v>149</v>
      </c>
      <c r="C71" s="574" t="s">
        <v>149</v>
      </c>
      <c r="D71" s="574" t="s">
        <v>152</v>
      </c>
      <c r="E71" s="574" t="s">
        <v>39</v>
      </c>
      <c r="F71" s="574" t="s">
        <v>167</v>
      </c>
      <c r="G71" s="574" t="str">
        <f>VLOOKUP(WWWW[[#This Row],[Site Name]],SiteDB6[[Site Name]:[Location Type]],8,FALSE)</f>
        <v>Camp</v>
      </c>
      <c r="H71" s="574" t="s">
        <v>171</v>
      </c>
      <c r="I71" s="583">
        <v>99</v>
      </c>
      <c r="J71" s="583">
        <v>547</v>
      </c>
      <c r="K71" s="553">
        <v>43556</v>
      </c>
      <c r="L71" s="77">
        <v>43677</v>
      </c>
      <c r="M71" s="583"/>
      <c r="N71" s="583"/>
      <c r="O71" s="583"/>
      <c r="P71" s="583"/>
      <c r="Q71" s="574" t="s">
        <v>43</v>
      </c>
      <c r="R71" s="310"/>
      <c r="S71" s="310"/>
      <c r="T71" s="583">
        <v>1</v>
      </c>
      <c r="U71" s="310"/>
      <c r="V71" s="310"/>
      <c r="W71" s="583">
        <v>0</v>
      </c>
      <c r="X71" s="310"/>
      <c r="Y71" s="310"/>
      <c r="Z71" s="310"/>
      <c r="AA71" s="310"/>
      <c r="AB71" s="310"/>
      <c r="AC71" s="310"/>
      <c r="AD71" s="310"/>
      <c r="AE71" s="310"/>
      <c r="AF71" s="310"/>
      <c r="AG71" s="310"/>
      <c r="AH71" s="583">
        <v>2</v>
      </c>
      <c r="AI71" s="310"/>
      <c r="AJ71" s="310"/>
      <c r="AK71" s="310"/>
      <c r="AL71" s="310"/>
      <c r="AM71" s="310"/>
      <c r="AN71" s="310"/>
      <c r="AO71" s="207"/>
      <c r="AP71" s="583">
        <v>8</v>
      </c>
      <c r="AQ71" s="310"/>
      <c r="AR71" s="76"/>
      <c r="AS71" s="310"/>
      <c r="AT71" s="310"/>
      <c r="AU71" s="310"/>
      <c r="AV71" s="310"/>
      <c r="AW71" s="583">
        <v>8</v>
      </c>
      <c r="AX71" s="231" t="s">
        <v>43</v>
      </c>
      <c r="AY71" s="231" t="s">
        <v>1200</v>
      </c>
      <c r="AZ71" s="310"/>
      <c r="BA71" s="310"/>
      <c r="BB71" s="310"/>
      <c r="BC71" s="207"/>
      <c r="BD71" s="310"/>
      <c r="BE71" s="310"/>
      <c r="BF71" s="310"/>
      <c r="BG71" s="310">
        <v>2</v>
      </c>
      <c r="BH71" s="310"/>
      <c r="BI71" s="310"/>
      <c r="BJ71" s="310">
        <v>1</v>
      </c>
      <c r="BK71" s="310"/>
      <c r="BL71" s="310"/>
      <c r="BM71" s="207"/>
      <c r="BN71" s="79"/>
      <c r="BO71" s="81"/>
      <c r="BP71" s="207"/>
      <c r="BQ71" s="78" t="str">
        <f>IFERROR(WWWW[[#This Row],['#_Water sources treated]]/WWWW[[#This Row],['#_Water sources tested for contamination]],"no test")</f>
        <v>no test</v>
      </c>
      <c r="BR71" s="81" t="str">
        <f>IFERROR(WWWW[[#This Row],['#_Household received remediation action due to contamination]]/WWWW[[#This Row],['#_Household water samples tested for contamination]],"no test")</f>
        <v>no test</v>
      </c>
      <c r="BS71" s="80" t="str">
        <f>IF(AND(WWWW[[#This Row],[% of water sources treated]]="no test",WWWW[[#This Row],[% Household received corrective actions]]="no test"),"No Test","Tested")</f>
        <v>No Test</v>
      </c>
      <c r="BT71" s="80">
        <f>WWWW[[#This Row],['#_Constructed/existing protected hand dug well]]-WWWW[[#This Row],['#_Non-functional protected hand dug well]]</f>
        <v>1</v>
      </c>
      <c r="BU71" s="80">
        <f>(WWWW[[#This Row],['#_Constructed/Existing tube wells/boreholes/handpumps_WASH_agency]]+WWWW[[#This Row],['#_Non-Cluster partner water tube-wells/boreholes/handpumps]])-WWWW[[#This Row],['#_Non-functional tube wells/boreholes/handpumps]]</f>
        <v>0</v>
      </c>
      <c r="BV71" s="80">
        <f>WWWW[[#This Row],['#_Constructed/Existingwater storage tank with gravity fed reticulation system]]-WWWW[[#This Row],['#_Non-functional storage tank gravity fed reticulation system]]</f>
        <v>0</v>
      </c>
      <c r="BW71" s="80">
        <f>WWWW[[#This Row],['#_Water boating or water trucking]]</f>
        <v>0</v>
      </c>
      <c r="BX71" s="80">
        <f>WWWW[[#This Row],['#_Constructed/Existing water distribution system from river or natural spring]]</f>
        <v>0</v>
      </c>
      <c r="BY7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0.73126142595978061</v>
      </c>
      <c r="BZ7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0.45703839122486289</v>
      </c>
      <c r="CA71" s="81">
        <f>IF(WWWW[[#This Row],[Location Type 1]]="Village",WWWW[[#This Row],[Access to safe drinking water for Village]],WWWW[[#This Row],[Access to safe drinking water for Camp]])</f>
        <v>0.73126142595978061</v>
      </c>
      <c r="CB71" s="79">
        <f>WWWW[[#This Row],[%Equitable and continuous access to sufficient quantity of safe drinking water]]*WWWW[[#This Row],[Total PoP ]]</f>
        <v>400</v>
      </c>
      <c r="CC71" s="81">
        <f>IF((WWWW[[#This Row],['#_Constructed/Existing protected/fenced ponds]]*250)/WWWW[[#This Row],[Total PoP ]]&gt;1,1,(WWWW[[#This Row],['#_Constructed/Existing protected/fenced ponds]]*250)/WWWW[[#This Row],[Total PoP ]])</f>
        <v>0</v>
      </c>
      <c r="CD71" s="79">
        <f>WWWW[[#This Row],[% Access to unimproved water points]]*WWWW[[#This Row],[Total PoP ]]</f>
        <v>0</v>
      </c>
      <c r="CE7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0.73126142595978061</v>
      </c>
      <c r="CF7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71" s="79">
        <f>WWWW[[#This Row],[HRP1]]/500</f>
        <v>0.8</v>
      </c>
      <c r="CH71" s="78">
        <f>1-WWWW[[#This Row],[% Equitable and continuous access to sufficient quantity of domestic water]]</f>
        <v>0.26873857404021939</v>
      </c>
      <c r="CI71" s="79">
        <f>WWWW[[#This Row],[%equitable and continuous access to sufficient quantity of safe drinking and domestic water''s GAP]]*WWWW[[#This Row],[Total PoP ]]</f>
        <v>147</v>
      </c>
      <c r="CJ71" s="80">
        <f>IF(WWWW[[#This Row],[Total required water points]]-WWWW[[#This Row],['#Water points coverage]]&lt;0,0,WWWW[[#This Row],[Total required water points]]-WWWW[[#This Row],['#Water points coverage]])</f>
        <v>0.19999999999999996</v>
      </c>
      <c r="CK71" s="80">
        <f>ROUND(IF(WWWW[[#This Row],[Total PoP ]]&lt;500,1,WWWW[[#This Row],[Total PoP ]]/500),0)</f>
        <v>1</v>
      </c>
      <c r="CL71" s="80">
        <f>(WWWW[[#This Row],['#_Constructed latrines_by_WASHAgencies]]+WWWW[[#This Row],['#_Non Cluster partner latrines]])-WWWW[[#This Row],['#_Non-functional latrines]]</f>
        <v>8</v>
      </c>
      <c r="CM7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0.29250457038391225</v>
      </c>
      <c r="CN7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7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 s="80">
        <f>IF(WWWW[[#This Row],[Location Type 1]]="Village","NA",IF(WWWW[[#This Row],['#_Constructed/Existing latrines in TLS]]*50&gt;WWWW[[#This Row],['#_students at TLS_CFS]],WWWW[[#This Row],['#_students at TLS_CFS]],(WWWW[[#This Row],['#_Constructed/Existing latrines in TLS]]*50)))</f>
        <v>0</v>
      </c>
      <c r="CQ71" s="80">
        <f>ROUND(IF(WWWW[[#This Row],[Location Type 1]]="camp",WWWW[[#This Row],[Total PoP ]]/20,IF(WWWW[[#This Row],[Location Type 1]]="Temporary Location",WWWW[[#This Row],[Total PoP ]]/50,(WWWW[[#This Row],[Total PoP ]]/6))),0)</f>
        <v>27</v>
      </c>
      <c r="CR71" s="79">
        <f>IF(WWWW[[#This Row],[Total required Latrines]]-(WWWW[[#This Row],['#_Constructed latrines_by_WASHAgencies]]+WWWW[[#This Row],['#_Non Cluster partner latrines]])&lt;0,0,WWWW[[#This Row],[Total required Latrines]]-(WWWW[[#This Row],['#_Constructed latrines_by_WASHAgencies]]+WWWW[[#This Row],['#_Non Cluster partner latrines]]))</f>
        <v>19</v>
      </c>
      <c r="CS71" s="78">
        <f>1-WWWW[[#This Row],[% people access to functioning Latrine]]</f>
        <v>0.7074954296160878</v>
      </c>
      <c r="CT71" s="82">
        <f>IF(OR(WWWW[[#This Row],['#_Non-functional latrines]]="",WWWW[[#This Row],['#_Non-functional latrines]]=0),0,WWWW[[#This Row],['#_Non-functional latrines]]/(WWWW[[#This Row],['#_Constructed latrines_by_WASHAgencies]]+WWWW[[#This Row],['#_Non Cluster partner latrines]]))</f>
        <v>0</v>
      </c>
      <c r="CU71" s="79">
        <f>IF(500*(WWWW[[#This Row],['#_male hygiene promoters]]+WWWW[[#This Row],['#_female hygiene promoters]])&gt;WWWW[[#This Row],[Total PoP ]],WWWW[[#This Row],[Total PoP ]],500*(WWWW[[#This Row],['#_male hygiene promoters]]+WWWW[[#This Row],['#_female hygiene promoters]]))</f>
        <v>500</v>
      </c>
      <c r="CV7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1" s="80">
        <f>IF(WWWW[[#This Row],['# People with access to soap]]&gt;WWWW[[#This Row],['# People with access to Sanity Pads]],WWWW[[#This Row],['# People with access to soap]],WWWW[[#This Row],['# People with access to Sanity Pads]])</f>
        <v>0</v>
      </c>
      <c r="CY71" s="8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71" s="78">
        <f>IF(WWWW[[#This Row],[HRP3]]/WWWW[[#This Row],[Total PoP ]]&gt;100%,100%,WWWW[[#This Row],[HRP3]]/WWWW[[#This Row],[Total PoP ]])</f>
        <v>0.91407678244972579</v>
      </c>
      <c r="DA71" s="82">
        <f>1-WWWW[[#This Row],[Hygiene Coverage%]]</f>
        <v>8.5923217550274211E-2</v>
      </c>
      <c r="DB71" s="81">
        <f>WWWW[[#This Row],['# people reached by regular dedicated hygiene promotion_5]]/WWWW[[#This Row],[Total PoP ]]</f>
        <v>0.91407678244972579</v>
      </c>
      <c r="DC71" s="81">
        <f>IF(WWWW[[#This Row],['#_households that received standard amount of soap for this quarter]]/WWWW[[#This Row],[Total HH]]&gt;1,1,WWWW[[#This Row],['#_households that received standard amount of soap for this quarter]]/WWWW[[#This Row],[Total HH]])</f>
        <v>0</v>
      </c>
      <c r="DD71" s="81">
        <f>IF(WWWW[[#This Row],['#_households that received standard amount of sanitary pads for this quarter]]/WWWW[[#This Row],[Total HH]]&gt;1,1,WWWW[[#This Row],['#_households that received standard amount of sanitary pads for this quarter]]/WWWW[[#This Row],[Total HH]])</f>
        <v>0</v>
      </c>
      <c r="DE71" s="80">
        <f>WWWW[[#This Row],['#_Constructed/Existing hand washing stations]]-WWWW[[#This Row],['#_Non-Functional_hand_washing_stations]]</f>
        <v>0</v>
      </c>
      <c r="DF71" s="757">
        <f>IF(WWWW[[#This Row],['# Functional hand washing stations during reporting period]]*20&gt;WWWW[[#This Row],[Total HH]],WWWW[[#This Row],[Total HH]],WWWW[[#This Row],['# Functional hand washing stations during reporting period]]*20)</f>
        <v>0</v>
      </c>
      <c r="DG71" s="79">
        <f>IF(WWWW[[#This Row],[Is sufficient soap available for TLS? (Yes/No)]]="yes",WWWW[[#This Row],['#_Constructed/Existing hand washing stations at TLS]],0)</f>
        <v>0</v>
      </c>
      <c r="DH71" s="578">
        <f>IF(WWWW[[#This Row],['# Functional hand washing stations during reporting period]]*100&gt;WWWW[[#This Row],[Total PoP ]],WWWW[[#This Row],[Total PoP ]],WWWW[[#This Row],['# Functional hand washing stations during reporting period]]*100)</f>
        <v>0</v>
      </c>
      <c r="DI71" s="578" t="str">
        <f>IF(OR(WWWW[[#This Row],['#_students at TLS_CFS]]="",WWWW[[#This Row],['#_students at TLS_CFS]]=0),"No","Yes")</f>
        <v>No</v>
      </c>
      <c r="DJ71" s="231" t="str">
        <f>VLOOKUP(WWWW[[#This Row],[Site Name]],SiteDB6[[Site Name]:[CCCM Management]],6,FALSE)</f>
        <v>Yes</v>
      </c>
      <c r="DK71" s="231" t="str">
        <f>VLOOKUP(WWWW[[#This Row],[Site Name]],SiteDB6[[Site Name]:[CCCM Focal Agency]],7,FALSE)</f>
        <v>KBC-MYT</v>
      </c>
      <c r="DL71" s="231" t="str">
        <f>VLOOKUP(WWWW[[#This Row],[Site Name]],SiteDB6[[Site Name]:[Location Type 1]],9,FALSE)</f>
        <v>Camp</v>
      </c>
      <c r="DM71" s="231" t="str">
        <f>VLOOKUP(WWWW[[#This Row],[Site Name]],SiteDB6[[Site Name]:[Type of Accommodation]],10,FALSE)</f>
        <v>Camp</v>
      </c>
      <c r="DN71" s="231" t="str">
        <f>VLOOKUP(WWWW[[#This Row],[Site Name]],SiteDB6[[Site Name]:[Ethnic or GCA/NGCA]],11,FALSE)</f>
        <v>GCA</v>
      </c>
      <c r="DO71" s="231">
        <f>VLOOKUP(WWWW[[#This Row],[Site Name]],SiteDB6[[Site Name]:[Lat]],12,FALSE)</f>
        <v>25.362420757575801</v>
      </c>
      <c r="DP71" s="231">
        <f>VLOOKUP(WWWW[[#This Row],[Site Name]],SiteDB6[[Site Name]:[Long]],13,FALSE)</f>
        <v>97.409035000000003</v>
      </c>
      <c r="DQ71" s="231" t="str">
        <f>VLOOKUP(WWWW[[#This Row],[Site Name]],SiteDB6[[Site Name]:[Pcode]],3,FALSE)</f>
        <v>MMR001CMP015</v>
      </c>
      <c r="DR71" s="207" t="str">
        <f t="shared" si="2"/>
        <v>Covered</v>
      </c>
      <c r="DS71" s="207"/>
      <c r="DT71" s="20"/>
      <c r="DU71" s="20"/>
      <c r="DV71" s="20"/>
      <c r="DW71" s="20"/>
      <c r="DX71" s="20"/>
      <c r="DY71" s="20"/>
      <c r="DZ71" s="20"/>
      <c r="EA71" s="20"/>
      <c r="EB71" s="20"/>
      <c r="EC71" s="20"/>
      <c r="ED71" s="20"/>
      <c r="EE71" s="20"/>
      <c r="EF71" s="20"/>
      <c r="EG71" s="20"/>
      <c r="EH71" s="20"/>
    </row>
    <row r="72" spans="1:138" ht="15.75" customHeight="1">
      <c r="A72" s="238" t="s">
        <v>2518</v>
      </c>
      <c r="B72" s="574" t="s">
        <v>317</v>
      </c>
      <c r="C72" s="574" t="s">
        <v>317</v>
      </c>
      <c r="D72" s="574"/>
      <c r="E72" s="574" t="s">
        <v>39</v>
      </c>
      <c r="F72" s="574" t="s">
        <v>165</v>
      </c>
      <c r="G72" s="574" t="str">
        <f>VLOOKUP(WWWW[[#This Row],[Site Name]],SiteDB6[[Site Name]:[Location Type]],8,FALSE)</f>
        <v>Camp</v>
      </c>
      <c r="H72" s="76" t="s">
        <v>1048</v>
      </c>
      <c r="I72" s="583">
        <v>27</v>
      </c>
      <c r="J72" s="583">
        <v>121</v>
      </c>
      <c r="K72" s="553"/>
      <c r="L72" s="77"/>
      <c r="M72" s="583"/>
      <c r="N72" s="583"/>
      <c r="O72" s="583"/>
      <c r="P72" s="583"/>
      <c r="Q72" s="76"/>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207"/>
      <c r="AP72" s="310"/>
      <c r="AQ72" s="310"/>
      <c r="AR72" s="76"/>
      <c r="AS72" s="310"/>
      <c r="AT72" s="310"/>
      <c r="AU72" s="310"/>
      <c r="AV72" s="310"/>
      <c r="AW72" s="310"/>
      <c r="AX72" s="231"/>
      <c r="AY72" s="231"/>
      <c r="AZ72" s="310"/>
      <c r="BA72" s="310"/>
      <c r="BB72" s="310"/>
      <c r="BC72" s="207"/>
      <c r="BD72" s="310"/>
      <c r="BE72" s="310"/>
      <c r="BF72" s="310"/>
      <c r="BG72" s="310"/>
      <c r="BH72" s="310"/>
      <c r="BI72" s="310"/>
      <c r="BJ72" s="310"/>
      <c r="BK72" s="310"/>
      <c r="BL72" s="310"/>
      <c r="BM72" s="207"/>
      <c r="BN72" s="79"/>
      <c r="BO72" s="81"/>
      <c r="BP72" s="207"/>
      <c r="BQ72" s="78" t="str">
        <f>IFERROR(WWWW[[#This Row],['#_Water sources treated]]/WWWW[[#This Row],['#_Water sources tested for contamination]],"no test")</f>
        <v>no test</v>
      </c>
      <c r="BR72" s="81" t="str">
        <f>IFERROR(WWWW[[#This Row],['#_Household received remediation action due to contamination]]/WWWW[[#This Row],['#_Household water samples tested for contamination]],"no test")</f>
        <v>no test</v>
      </c>
      <c r="BS72" s="80" t="str">
        <f>IF(AND(WWWW[[#This Row],[% of water sources treated]]="no test",WWWW[[#This Row],[% Household received corrective actions]]="no test"),"No Test","Tested")</f>
        <v>No Test</v>
      </c>
      <c r="BT72" s="80">
        <f>WWWW[[#This Row],['#_Constructed/existing protected hand dug well]]-WWWW[[#This Row],['#_Non-functional protected hand dug well]]</f>
        <v>0</v>
      </c>
      <c r="BU72" s="80">
        <f>(WWWW[[#This Row],['#_Constructed/Existing tube wells/boreholes/handpumps_WASH_agency]]+WWWW[[#This Row],['#_Non-Cluster partner water tube-wells/boreholes/handpumps]])-WWWW[[#This Row],['#_Non-functional tube wells/boreholes/handpumps]]</f>
        <v>0</v>
      </c>
      <c r="BV72" s="80">
        <f>WWWW[[#This Row],['#_Constructed/Existingwater storage tank with gravity fed reticulation system]]-WWWW[[#This Row],['#_Non-functional storage tank gravity fed reticulation system]]</f>
        <v>0</v>
      </c>
      <c r="BW72" s="80">
        <f>WWWW[[#This Row],['#_Water boating or water trucking]]</f>
        <v>0</v>
      </c>
      <c r="BX72" s="80">
        <f>WWWW[[#This Row],['#_Constructed/Existing water distribution system from river or natural spring]]</f>
        <v>0</v>
      </c>
      <c r="BY7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2" s="81">
        <f>IF(WWWW[[#This Row],[Location Type 1]]="Village",WWWW[[#This Row],[Access to safe drinking water for Village]],WWWW[[#This Row],[Access to safe drinking water for Camp]])</f>
        <v>0</v>
      </c>
      <c r="CB72" s="79">
        <f>WWWW[[#This Row],[%Equitable and continuous access to sufficient quantity of safe drinking water]]*WWWW[[#This Row],[Total PoP ]]</f>
        <v>0</v>
      </c>
      <c r="CC72" s="81">
        <f>IF((WWWW[[#This Row],['#_Constructed/Existing protected/fenced ponds]]*250)/WWWW[[#This Row],[Total PoP ]]&gt;1,1,(WWWW[[#This Row],['#_Constructed/Existing protected/fenced ponds]]*250)/WWWW[[#This Row],[Total PoP ]])</f>
        <v>0</v>
      </c>
      <c r="CD72" s="79">
        <f>WWWW[[#This Row],[% Access to unimproved water points]]*WWWW[[#This Row],[Total PoP ]]</f>
        <v>0</v>
      </c>
      <c r="CE7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2" s="79">
        <f>WWWW[[#This Row],[HRP1]]/500</f>
        <v>0</v>
      </c>
      <c r="CH72" s="78">
        <f>1-WWWW[[#This Row],[% Equitable and continuous access to sufficient quantity of domestic water]]</f>
        <v>1</v>
      </c>
      <c r="CI72" s="79">
        <f>WWWW[[#This Row],[%equitable and continuous access to sufficient quantity of safe drinking and domestic water''s GAP]]*WWWW[[#This Row],[Total PoP ]]</f>
        <v>121</v>
      </c>
      <c r="CJ72" s="80">
        <f>IF(WWWW[[#This Row],[Total required water points]]-WWWW[[#This Row],['#Water points coverage]]&lt;0,0,WWWW[[#This Row],[Total required water points]]-WWWW[[#This Row],['#Water points coverage]])</f>
        <v>1</v>
      </c>
      <c r="CK72" s="80">
        <f>ROUND(IF(WWWW[[#This Row],[Total PoP ]]&lt;500,1,WWWW[[#This Row],[Total PoP ]]/500),0)</f>
        <v>1</v>
      </c>
      <c r="CL72" s="80">
        <f>(WWWW[[#This Row],['#_Constructed latrines_by_WASHAgencies]]+WWWW[[#This Row],['#_Non Cluster partner latrines]])-WWWW[[#This Row],['#_Non-functional latrines]]</f>
        <v>0</v>
      </c>
      <c r="CM7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 s="80">
        <f>IF(WWWW[[#This Row],[Location Type 1]]="Village","NA",IF(WWWW[[#This Row],['#_Constructed/Existing latrines in TLS]]*50&gt;WWWW[[#This Row],['#_students at TLS_CFS]],WWWW[[#This Row],['#_students at TLS_CFS]],(WWWW[[#This Row],['#_Constructed/Existing latrines in TLS]]*50)))</f>
        <v>0</v>
      </c>
      <c r="CQ72" s="80">
        <f>ROUND(IF(WWWW[[#This Row],[Location Type 1]]="camp",WWWW[[#This Row],[Total PoP ]]/20,IF(WWWW[[#This Row],[Location Type 1]]="Temporary Location",WWWW[[#This Row],[Total PoP ]]/50,(WWWW[[#This Row],[Total PoP ]]/6))),0)</f>
        <v>6</v>
      </c>
      <c r="CR72" s="79">
        <f>IF(WWWW[[#This Row],[Total required Latrines]]-(WWWW[[#This Row],['#_Constructed latrines_by_WASHAgencies]]+WWWW[[#This Row],['#_Non Cluster partner latrines]])&lt;0,0,WWWW[[#This Row],[Total required Latrines]]-(WWWW[[#This Row],['#_Constructed latrines_by_WASHAgencies]]+WWWW[[#This Row],['#_Non Cluster partner latrines]]))</f>
        <v>6</v>
      </c>
      <c r="CS72" s="78">
        <f>1-WWWW[[#This Row],[% people access to functioning Latrine]]</f>
        <v>1</v>
      </c>
      <c r="CT72" s="82">
        <f>IF(OR(WWWW[[#This Row],['#_Non-functional latrines]]="",WWWW[[#This Row],['#_Non-functional latrines]]=0),0,WWWW[[#This Row],['#_Non-functional latrines]]/(WWWW[[#This Row],['#_Constructed latrines_by_WASHAgencies]]+WWWW[[#This Row],['#_Non Cluster partner latrines]]))</f>
        <v>0</v>
      </c>
      <c r="CU72" s="79">
        <f>IF(500*(WWWW[[#This Row],['#_male hygiene promoters]]+WWWW[[#This Row],['#_female hygiene promoters]])&gt;WWWW[[#This Row],[Total PoP ]],WWWW[[#This Row],[Total PoP ]],500*(WWWW[[#This Row],['#_male hygiene promoters]]+WWWW[[#This Row],['#_female hygiene promoters]]))</f>
        <v>0</v>
      </c>
      <c r="CV7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2" s="80">
        <f>IF(WWWW[[#This Row],['# People with access to soap]]&gt;WWWW[[#This Row],['# People with access to Sanity Pads]],WWWW[[#This Row],['# People with access to soap]],WWWW[[#This Row],['# People with access to Sanity Pads]])</f>
        <v>0</v>
      </c>
      <c r="CY72"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2" s="78">
        <f>IF(WWWW[[#This Row],[HRP3]]/WWWW[[#This Row],[Total PoP ]]&gt;100%,100%,WWWW[[#This Row],[HRP3]]/WWWW[[#This Row],[Total PoP ]])</f>
        <v>0</v>
      </c>
      <c r="DA72" s="82">
        <f>1-WWWW[[#This Row],[Hygiene Coverage%]]</f>
        <v>1</v>
      </c>
      <c r="DB72" s="81">
        <f>WWWW[[#This Row],['# people reached by regular dedicated hygiene promotion_5]]/WWWW[[#This Row],[Total PoP ]]</f>
        <v>0</v>
      </c>
      <c r="DC72" s="81">
        <f>IF(WWWW[[#This Row],['#_households that received standard amount of soap for this quarter]]/WWWW[[#This Row],[Total HH]]&gt;1,1,WWWW[[#This Row],['#_households that received standard amount of soap for this quarter]]/WWWW[[#This Row],[Total HH]])</f>
        <v>0</v>
      </c>
      <c r="DD72" s="81">
        <f>IF(WWWW[[#This Row],['#_households that received standard amount of sanitary pads for this quarter]]/WWWW[[#This Row],[Total HH]]&gt;1,1,WWWW[[#This Row],['#_households that received standard amount of sanitary pads for this quarter]]/WWWW[[#This Row],[Total HH]])</f>
        <v>0</v>
      </c>
      <c r="DE72" s="80">
        <f>WWWW[[#This Row],['#_Constructed/Existing hand washing stations]]-WWWW[[#This Row],['#_Non-Functional_hand_washing_stations]]</f>
        <v>0</v>
      </c>
      <c r="DF72" s="757">
        <f>IF(WWWW[[#This Row],['# Functional hand washing stations during reporting period]]*20&gt;WWWW[[#This Row],[Total HH]],WWWW[[#This Row],[Total HH]],WWWW[[#This Row],['# Functional hand washing stations during reporting period]]*20)</f>
        <v>0</v>
      </c>
      <c r="DG72" s="79">
        <f>IF(WWWW[[#This Row],[Is sufficient soap available for TLS? (Yes/No)]]="yes",WWWW[[#This Row],['#_Constructed/Existing hand washing stations at TLS]],0)</f>
        <v>0</v>
      </c>
      <c r="DH72" s="578">
        <f>IF(WWWW[[#This Row],['# Functional hand washing stations during reporting period]]*100&gt;WWWW[[#This Row],[Total PoP ]],WWWW[[#This Row],[Total PoP ]],WWWW[[#This Row],['# Functional hand washing stations during reporting period]]*100)</f>
        <v>0</v>
      </c>
      <c r="DI72" s="578" t="str">
        <f>IF(OR(WWWW[[#This Row],['#_students at TLS_CFS]]="",WWWW[[#This Row],['#_students at TLS_CFS]]=0),"No","Yes")</f>
        <v>No</v>
      </c>
      <c r="DJ72" s="231">
        <f>VLOOKUP(WWWW[[#This Row],[Site Name]],SiteDB6[[Site Name]:[CCCM Management]],6,FALSE)</f>
        <v>0</v>
      </c>
      <c r="DK72" s="231" t="str">
        <f>VLOOKUP(WWWW[[#This Row],[Site Name]],SiteDB6[[Site Name]:[CCCM Focal Agency]],7,FALSE)</f>
        <v>uncovered</v>
      </c>
      <c r="DL72" s="231" t="str">
        <f>VLOOKUP(WWWW[[#This Row],[Site Name]],SiteDB6[[Site Name]:[Location Type 1]],9,FALSE)</f>
        <v>Camp</v>
      </c>
      <c r="DM72" s="231" t="str">
        <f>VLOOKUP(WWWW[[#This Row],[Site Name]],SiteDB6[[Site Name]:[Type of Accommodation]],10,FALSE)</f>
        <v>Host Families</v>
      </c>
      <c r="DN72" s="231" t="str">
        <f>VLOOKUP(WWWW[[#This Row],[Site Name]],SiteDB6[[Site Name]:[Ethnic or GCA/NGCA]],11,FALSE)</f>
        <v>GCA</v>
      </c>
      <c r="DO72" s="231">
        <f>VLOOKUP(WWWW[[#This Row],[Site Name]],SiteDB6[[Site Name]:[Lat]],12,FALSE)</f>
        <v>24.996279999999999</v>
      </c>
      <c r="DP72" s="231">
        <f>VLOOKUP(WWWW[[#This Row],[Site Name]],SiteDB6[[Site Name]:[Long]],13,FALSE)</f>
        <v>96.52534</v>
      </c>
      <c r="DQ72" s="231" t="str">
        <f>VLOOKUP(WWWW[[#This Row],[Site Name]],SiteDB6[[Site Name]:[Pcode]],3,FALSE)</f>
        <v>MMR001CMP232</v>
      </c>
      <c r="DR72" s="207" t="str">
        <f t="shared" si="2"/>
        <v>Notcovered</v>
      </c>
      <c r="DS72" s="207"/>
      <c r="DT72" s="20"/>
      <c r="DU72" s="20"/>
      <c r="DV72" s="20"/>
      <c r="DW72" s="20"/>
      <c r="DX72" s="20"/>
      <c r="DY72" s="20"/>
      <c r="DZ72" s="20"/>
      <c r="EA72" s="20"/>
      <c r="EB72" s="20"/>
      <c r="EC72" s="20"/>
      <c r="ED72" s="20"/>
      <c r="EE72" s="20"/>
      <c r="EF72" s="20"/>
      <c r="EG72" s="20"/>
      <c r="EH72" s="20"/>
    </row>
    <row r="73" spans="1:138" ht="15.75" customHeight="1">
      <c r="A73" s="238" t="s">
        <v>2518</v>
      </c>
      <c r="B73" s="238" t="s">
        <v>149</v>
      </c>
      <c r="C73" s="574" t="s">
        <v>149</v>
      </c>
      <c r="D73" s="574" t="s">
        <v>152</v>
      </c>
      <c r="E73" s="574" t="s">
        <v>39</v>
      </c>
      <c r="F73" s="574" t="s">
        <v>167</v>
      </c>
      <c r="G73" s="574" t="str">
        <f>VLOOKUP(WWWW[[#This Row],[Site Name]],SiteDB6[[Site Name]:[Location Type]],8,FALSE)</f>
        <v>Camp</v>
      </c>
      <c r="H73" s="574" t="s">
        <v>172</v>
      </c>
      <c r="I73" s="583">
        <v>132</v>
      </c>
      <c r="J73" s="583">
        <v>676</v>
      </c>
      <c r="K73" s="553">
        <v>43556</v>
      </c>
      <c r="L73" s="77">
        <v>43677</v>
      </c>
      <c r="M73" s="583"/>
      <c r="N73" s="583"/>
      <c r="O73" s="583"/>
      <c r="P73" s="583"/>
      <c r="Q73" s="574" t="s">
        <v>43</v>
      </c>
      <c r="R73" s="310"/>
      <c r="S73" s="310"/>
      <c r="T73" s="583">
        <v>0</v>
      </c>
      <c r="U73" s="310"/>
      <c r="V73" s="310"/>
      <c r="W73" s="583">
        <v>3</v>
      </c>
      <c r="X73" s="310"/>
      <c r="Y73" s="310"/>
      <c r="Z73" s="310"/>
      <c r="AA73" s="310"/>
      <c r="AB73" s="310"/>
      <c r="AC73" s="310"/>
      <c r="AD73" s="310"/>
      <c r="AE73" s="310"/>
      <c r="AF73" s="310"/>
      <c r="AG73" s="310"/>
      <c r="AH73" s="583">
        <v>2</v>
      </c>
      <c r="AI73" s="310"/>
      <c r="AJ73" s="310"/>
      <c r="AK73" s="310"/>
      <c r="AL73" s="310"/>
      <c r="AM73" s="310"/>
      <c r="AN73" s="310"/>
      <c r="AO73" s="207"/>
      <c r="AP73" s="583">
        <v>32</v>
      </c>
      <c r="AQ73" s="310"/>
      <c r="AR73" s="76"/>
      <c r="AS73" s="310"/>
      <c r="AT73" s="310"/>
      <c r="AU73" s="310">
        <v>18</v>
      </c>
      <c r="AV73" s="310"/>
      <c r="AW73" s="583">
        <v>32</v>
      </c>
      <c r="AX73" s="231" t="s">
        <v>43</v>
      </c>
      <c r="AY73" s="231" t="s">
        <v>145</v>
      </c>
      <c r="AZ73" s="310"/>
      <c r="BA73" s="310"/>
      <c r="BB73" s="310"/>
      <c r="BC73" s="207"/>
      <c r="BD73" s="310"/>
      <c r="BE73" s="310"/>
      <c r="BF73" s="310"/>
      <c r="BG73" s="310">
        <v>2</v>
      </c>
      <c r="BH73" s="310"/>
      <c r="BI73" s="310"/>
      <c r="BJ73" s="310">
        <v>1</v>
      </c>
      <c r="BK73" s="310"/>
      <c r="BL73" s="310"/>
      <c r="BM73" s="207"/>
      <c r="BN73" s="79"/>
      <c r="BO73" s="81"/>
      <c r="BP73" s="207"/>
      <c r="BQ73" s="78" t="str">
        <f>IFERROR(WWWW[[#This Row],['#_Water sources treated]]/WWWW[[#This Row],['#_Water sources tested for contamination]],"no test")</f>
        <v>no test</v>
      </c>
      <c r="BR73" s="81" t="str">
        <f>IFERROR(WWWW[[#This Row],['#_Household received remediation action due to contamination]]/WWWW[[#This Row],['#_Household water samples tested for contamination]],"no test")</f>
        <v>no test</v>
      </c>
      <c r="BS73" s="80" t="str">
        <f>IF(AND(WWWW[[#This Row],[% of water sources treated]]="no test",WWWW[[#This Row],[% Household received corrective actions]]="no test"),"No Test","Tested")</f>
        <v>No Test</v>
      </c>
      <c r="BT73" s="80">
        <f>WWWW[[#This Row],['#_Constructed/existing protected hand dug well]]-WWWW[[#This Row],['#_Non-functional protected hand dug well]]</f>
        <v>0</v>
      </c>
      <c r="BU73" s="80">
        <f>(WWWW[[#This Row],['#_Constructed/Existing tube wells/boreholes/handpumps_WASH_agency]]+WWWW[[#This Row],['#_Non-Cluster partner water tube-wells/boreholes/handpumps]])-WWWW[[#This Row],['#_Non-functional tube wells/boreholes/handpumps]]</f>
        <v>3</v>
      </c>
      <c r="BV73" s="80">
        <f>WWWW[[#This Row],['#_Constructed/Existingwater storage tank with gravity fed reticulation system]]-WWWW[[#This Row],['#_Non-functional storage tank gravity fed reticulation system]]</f>
        <v>0</v>
      </c>
      <c r="BW73" s="80">
        <f>WWWW[[#This Row],['#_Water boating or water trucking]]</f>
        <v>0</v>
      </c>
      <c r="BX73" s="80">
        <f>WWWW[[#This Row],['#_Constructed/Existing water distribution system from river or natural spring]]</f>
        <v>0</v>
      </c>
      <c r="BY7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 s="81">
        <f>IF(WWWW[[#This Row],[Location Type 1]]="Village",WWWW[[#This Row],[Access to safe drinking water for Village]],WWWW[[#This Row],[Access to safe drinking water for Camp]])</f>
        <v>1</v>
      </c>
      <c r="CB73" s="79">
        <f>WWWW[[#This Row],[%Equitable and continuous access to sufficient quantity of safe drinking water]]*WWWW[[#This Row],[Total PoP ]]</f>
        <v>676</v>
      </c>
      <c r="CC73" s="81">
        <f>IF((WWWW[[#This Row],['#_Constructed/Existing protected/fenced ponds]]*250)/WWWW[[#This Row],[Total PoP ]]&gt;1,1,(WWWW[[#This Row],['#_Constructed/Existing protected/fenced ponds]]*250)/WWWW[[#This Row],[Total PoP ]])</f>
        <v>0</v>
      </c>
      <c r="CD73" s="79">
        <f>WWWW[[#This Row],[% Access to unimproved water points]]*WWWW[[#This Row],[Total PoP ]]</f>
        <v>0</v>
      </c>
      <c r="CE7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G73" s="79">
        <f>WWWW[[#This Row],[HRP1]]/500</f>
        <v>1.3520000000000001</v>
      </c>
      <c r="CH73" s="78">
        <f>1-WWWW[[#This Row],[% Equitable and continuous access to sufficient quantity of domestic water]]</f>
        <v>0</v>
      </c>
      <c r="CI73" s="79">
        <f>WWWW[[#This Row],[%equitable and continuous access to sufficient quantity of safe drinking and domestic water''s GAP]]*WWWW[[#This Row],[Total PoP ]]</f>
        <v>0</v>
      </c>
      <c r="CJ73" s="80">
        <f>IF(WWWW[[#This Row],[Total required water points]]-WWWW[[#This Row],['#Water points coverage]]&lt;0,0,WWWW[[#This Row],[Total required water points]]-WWWW[[#This Row],['#Water points coverage]])</f>
        <v>0</v>
      </c>
      <c r="CK73" s="80">
        <f>ROUND(IF(WWWW[[#This Row],[Total PoP ]]&lt;500,1,WWWW[[#This Row],[Total PoP ]]/500),0)</f>
        <v>1</v>
      </c>
      <c r="CL73" s="80">
        <f>(WWWW[[#This Row],['#_Constructed latrines_by_WASHAgencies]]+WWWW[[#This Row],['#_Non Cluster partner latrines]])-WWWW[[#This Row],['#_Non-functional latrines]]</f>
        <v>32</v>
      </c>
      <c r="CM7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0.94674556213017746</v>
      </c>
      <c r="CN7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640</v>
      </c>
      <c r="CO7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CP73" s="80">
        <f>IF(WWWW[[#This Row],[Location Type 1]]="Village","NA",IF(WWWW[[#This Row],['#_Constructed/Existing latrines in TLS]]*50&gt;WWWW[[#This Row],['#_students at TLS_CFS]],WWWW[[#This Row],['#_students at TLS_CFS]],(WWWW[[#This Row],['#_Constructed/Existing latrines in TLS]]*50)))</f>
        <v>0</v>
      </c>
      <c r="CQ73" s="80">
        <f>ROUND(IF(WWWW[[#This Row],[Location Type 1]]="camp",WWWW[[#This Row],[Total PoP ]]/20,IF(WWWW[[#This Row],[Location Type 1]]="Temporary Location",WWWW[[#This Row],[Total PoP ]]/50,(WWWW[[#This Row],[Total PoP ]]/6))),0)</f>
        <v>34</v>
      </c>
      <c r="CR73" s="79">
        <f>IF(WWWW[[#This Row],[Total required Latrines]]-(WWWW[[#This Row],['#_Constructed latrines_by_WASHAgencies]]+WWWW[[#This Row],['#_Non Cluster partner latrines]])&lt;0,0,WWWW[[#This Row],[Total required Latrines]]-(WWWW[[#This Row],['#_Constructed latrines_by_WASHAgencies]]+WWWW[[#This Row],['#_Non Cluster partner latrines]]))</f>
        <v>2</v>
      </c>
      <c r="CS73" s="78">
        <f>1-WWWW[[#This Row],[% people access to functioning Latrine]]</f>
        <v>5.3254437869822535E-2</v>
      </c>
      <c r="CT73" s="82">
        <f>IF(OR(WWWW[[#This Row],['#_Non-functional latrines]]="",WWWW[[#This Row],['#_Non-functional latrines]]=0),0,WWWW[[#This Row],['#_Non-functional latrines]]/(WWWW[[#This Row],['#_Constructed latrines_by_WASHAgencies]]+WWWW[[#This Row],['#_Non Cluster partner latrines]]))</f>
        <v>0</v>
      </c>
      <c r="CU73" s="79">
        <f>IF(500*(WWWW[[#This Row],['#_male hygiene promoters]]+WWWW[[#This Row],['#_female hygiene promoters]])&gt;WWWW[[#This Row],[Total PoP ]],WWWW[[#This Row],[Total PoP ]],500*(WWWW[[#This Row],['#_male hygiene promoters]]+WWWW[[#This Row],['#_female hygiene promoters]]))</f>
        <v>500</v>
      </c>
      <c r="CV7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3" s="80">
        <f>IF(WWWW[[#This Row],['# People with access to soap]]&gt;WWWW[[#This Row],['# People with access to Sanity Pads]],WWWW[[#This Row],['# People with access to soap]],WWWW[[#This Row],['# People with access to Sanity Pads]])</f>
        <v>0</v>
      </c>
      <c r="CY73" s="8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73" s="78">
        <f>IF(WWWW[[#This Row],[HRP3]]/WWWW[[#This Row],[Total PoP ]]&gt;100%,100%,WWWW[[#This Row],[HRP3]]/WWWW[[#This Row],[Total PoP ]])</f>
        <v>0.73964497041420119</v>
      </c>
      <c r="DA73" s="82">
        <f>1-WWWW[[#This Row],[Hygiene Coverage%]]</f>
        <v>0.26035502958579881</v>
      </c>
      <c r="DB73" s="81">
        <f>WWWW[[#This Row],['# people reached by regular dedicated hygiene promotion_5]]/WWWW[[#This Row],[Total PoP ]]</f>
        <v>0.73964497041420119</v>
      </c>
      <c r="DC73" s="81">
        <f>IF(WWWW[[#This Row],['#_households that received standard amount of soap for this quarter]]/WWWW[[#This Row],[Total HH]]&gt;1,1,WWWW[[#This Row],['#_households that received standard amount of soap for this quarter]]/WWWW[[#This Row],[Total HH]])</f>
        <v>0</v>
      </c>
      <c r="DD73" s="81">
        <f>IF(WWWW[[#This Row],['#_households that received standard amount of sanitary pads for this quarter]]/WWWW[[#This Row],[Total HH]]&gt;1,1,WWWW[[#This Row],['#_households that received standard amount of sanitary pads for this quarter]]/WWWW[[#This Row],[Total HH]])</f>
        <v>0</v>
      </c>
      <c r="DE73" s="80">
        <f>WWWW[[#This Row],['#_Constructed/Existing hand washing stations]]-WWWW[[#This Row],['#_Non-Functional_hand_washing_stations]]</f>
        <v>0</v>
      </c>
      <c r="DF73" s="757">
        <f>IF(WWWW[[#This Row],['# Functional hand washing stations during reporting period]]*20&gt;WWWW[[#This Row],[Total HH]],WWWW[[#This Row],[Total HH]],WWWW[[#This Row],['# Functional hand washing stations during reporting period]]*20)</f>
        <v>0</v>
      </c>
      <c r="DG73" s="79">
        <f>IF(WWWW[[#This Row],[Is sufficient soap available for TLS? (Yes/No)]]="yes",WWWW[[#This Row],['#_Constructed/Existing hand washing stations at TLS]],0)</f>
        <v>0</v>
      </c>
      <c r="DH73" s="578">
        <f>IF(WWWW[[#This Row],['# Functional hand washing stations during reporting period]]*100&gt;WWWW[[#This Row],[Total PoP ]],WWWW[[#This Row],[Total PoP ]],WWWW[[#This Row],['# Functional hand washing stations during reporting period]]*100)</f>
        <v>0</v>
      </c>
      <c r="DI73" s="578" t="str">
        <f>IF(OR(WWWW[[#This Row],['#_students at TLS_CFS]]="",WWWW[[#This Row],['#_students at TLS_CFS]]=0),"No","Yes")</f>
        <v>No</v>
      </c>
      <c r="DJ73" s="231" t="str">
        <f>VLOOKUP(WWWW[[#This Row],[Site Name]],SiteDB6[[Site Name]:[CCCM Management]],6,FALSE)</f>
        <v>Yes</v>
      </c>
      <c r="DK73" s="231" t="str">
        <f>VLOOKUP(WWWW[[#This Row],[Site Name]],SiteDB6[[Site Name]:[CCCM Focal Agency]],7,FALSE)</f>
        <v>KBC-MYT</v>
      </c>
      <c r="DL73" s="231" t="str">
        <f>VLOOKUP(WWWW[[#This Row],[Site Name]],SiteDB6[[Site Name]:[Location Type 1]],9,FALSE)</f>
        <v>Camp</v>
      </c>
      <c r="DM73" s="231" t="str">
        <f>VLOOKUP(WWWW[[#This Row],[Site Name]],SiteDB6[[Site Name]:[Type of Accommodation]],10,FALSE)</f>
        <v>Camp</v>
      </c>
      <c r="DN73" s="231" t="str">
        <f>VLOOKUP(WWWW[[#This Row],[Site Name]],SiteDB6[[Site Name]:[Ethnic or GCA/NGCA]],11,FALSE)</f>
        <v>GCA</v>
      </c>
      <c r="DO73" s="231">
        <f>VLOOKUP(WWWW[[#This Row],[Site Name]],SiteDB6[[Site Name]:[Lat]],12,FALSE)</f>
        <v>25.3510167948718</v>
      </c>
      <c r="DP73" s="231">
        <f>VLOOKUP(WWWW[[#This Row],[Site Name]],SiteDB6[[Site Name]:[Long]],13,FALSE)</f>
        <v>97.403402307692303</v>
      </c>
      <c r="DQ73" s="231" t="str">
        <f>VLOOKUP(WWWW[[#This Row],[Site Name]],SiteDB6[[Site Name]:[Pcode]],3,FALSE)</f>
        <v>MMR001CMP014</v>
      </c>
      <c r="DR73" s="207" t="str">
        <f t="shared" si="2"/>
        <v>Covered</v>
      </c>
      <c r="DS73" s="207"/>
      <c r="DT73" s="20"/>
      <c r="DU73" s="20"/>
      <c r="DV73" s="20"/>
      <c r="DW73" s="20"/>
      <c r="DX73" s="20"/>
      <c r="DY73" s="20"/>
      <c r="DZ73" s="20"/>
      <c r="EA73" s="20"/>
      <c r="EB73" s="20"/>
      <c r="EC73" s="20"/>
      <c r="ED73" s="20"/>
      <c r="EE73" s="20"/>
      <c r="EF73" s="20"/>
      <c r="EG73" s="20"/>
      <c r="EH73" s="20"/>
    </row>
    <row r="74" spans="1:138" ht="15.75" customHeight="1">
      <c r="A74" s="238" t="s">
        <v>2518</v>
      </c>
      <c r="B74" s="574" t="s">
        <v>317</v>
      </c>
      <c r="C74" s="574" t="s">
        <v>317</v>
      </c>
      <c r="D74" s="574"/>
      <c r="E74" s="574" t="s">
        <v>39</v>
      </c>
      <c r="F74" s="574" t="s">
        <v>165</v>
      </c>
      <c r="G74" s="574" t="str">
        <f>VLOOKUP(WWWW[[#This Row],[Site Name]],SiteDB6[[Site Name]:[Location Type]],8,FALSE)</f>
        <v>Camp</v>
      </c>
      <c r="H74" s="76" t="s">
        <v>1044</v>
      </c>
      <c r="I74" s="583">
        <v>14</v>
      </c>
      <c r="J74" s="583">
        <v>63</v>
      </c>
      <c r="K74" s="553"/>
      <c r="L74" s="77"/>
      <c r="M74" s="583"/>
      <c r="N74" s="583"/>
      <c r="O74" s="583"/>
      <c r="P74" s="583"/>
      <c r="Q74" s="76"/>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207"/>
      <c r="AP74" s="310"/>
      <c r="AQ74" s="310"/>
      <c r="AR74" s="76"/>
      <c r="AS74" s="310"/>
      <c r="AT74" s="310"/>
      <c r="AU74" s="310"/>
      <c r="AV74" s="310"/>
      <c r="AW74" s="310"/>
      <c r="AX74" s="231"/>
      <c r="AY74" s="231"/>
      <c r="AZ74" s="310"/>
      <c r="BA74" s="310"/>
      <c r="BB74" s="310"/>
      <c r="BC74" s="207"/>
      <c r="BD74" s="310"/>
      <c r="BE74" s="310"/>
      <c r="BF74" s="310"/>
      <c r="BG74" s="310"/>
      <c r="BH74" s="310"/>
      <c r="BI74" s="310"/>
      <c r="BJ74" s="310"/>
      <c r="BK74" s="310"/>
      <c r="BL74" s="310"/>
      <c r="BM74" s="207"/>
      <c r="BN74" s="79"/>
      <c r="BO74" s="81"/>
      <c r="BP74" s="207"/>
      <c r="BQ74" s="78" t="str">
        <f>IFERROR(WWWW[[#This Row],['#_Water sources treated]]/WWWW[[#This Row],['#_Water sources tested for contamination]],"no test")</f>
        <v>no test</v>
      </c>
      <c r="BR74" s="81" t="str">
        <f>IFERROR(WWWW[[#This Row],['#_Household received remediation action due to contamination]]/WWWW[[#This Row],['#_Household water samples tested for contamination]],"no test")</f>
        <v>no test</v>
      </c>
      <c r="BS74" s="80" t="str">
        <f>IF(AND(WWWW[[#This Row],[% of water sources treated]]="no test",WWWW[[#This Row],[% Household received corrective actions]]="no test"),"No Test","Tested")</f>
        <v>No Test</v>
      </c>
      <c r="BT74" s="80">
        <f>WWWW[[#This Row],['#_Constructed/existing protected hand dug well]]-WWWW[[#This Row],['#_Non-functional protected hand dug well]]</f>
        <v>0</v>
      </c>
      <c r="BU74" s="80">
        <f>(WWWW[[#This Row],['#_Constructed/Existing tube wells/boreholes/handpumps_WASH_agency]]+WWWW[[#This Row],['#_Non-Cluster partner water tube-wells/boreholes/handpumps]])-WWWW[[#This Row],['#_Non-functional tube wells/boreholes/handpumps]]</f>
        <v>0</v>
      </c>
      <c r="BV74" s="80">
        <f>WWWW[[#This Row],['#_Constructed/Existingwater storage tank with gravity fed reticulation system]]-WWWW[[#This Row],['#_Non-functional storage tank gravity fed reticulation system]]</f>
        <v>0</v>
      </c>
      <c r="BW74" s="80">
        <f>WWWW[[#This Row],['#_Water boating or water trucking]]</f>
        <v>0</v>
      </c>
      <c r="BX74" s="80">
        <f>WWWW[[#This Row],['#_Constructed/Existing water distribution system from river or natural spring]]</f>
        <v>0</v>
      </c>
      <c r="BY7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4" s="81">
        <f>IF(WWWW[[#This Row],[Location Type 1]]="Village",WWWW[[#This Row],[Access to safe drinking water for Village]],WWWW[[#This Row],[Access to safe drinking water for Camp]])</f>
        <v>0</v>
      </c>
      <c r="CB74" s="79">
        <f>WWWW[[#This Row],[%Equitable and continuous access to sufficient quantity of safe drinking water]]*WWWW[[#This Row],[Total PoP ]]</f>
        <v>0</v>
      </c>
      <c r="CC74" s="81">
        <f>IF((WWWW[[#This Row],['#_Constructed/Existing protected/fenced ponds]]*250)/WWWW[[#This Row],[Total PoP ]]&gt;1,1,(WWWW[[#This Row],['#_Constructed/Existing protected/fenced ponds]]*250)/WWWW[[#This Row],[Total PoP ]])</f>
        <v>0</v>
      </c>
      <c r="CD74" s="79">
        <f>WWWW[[#This Row],[% Access to unimproved water points]]*WWWW[[#This Row],[Total PoP ]]</f>
        <v>0</v>
      </c>
      <c r="CE7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4" s="79">
        <f>WWWW[[#This Row],[HRP1]]/500</f>
        <v>0</v>
      </c>
      <c r="CH74" s="78">
        <f>1-WWWW[[#This Row],[% Equitable and continuous access to sufficient quantity of domestic water]]</f>
        <v>1</v>
      </c>
      <c r="CI74" s="79">
        <f>WWWW[[#This Row],[%equitable and continuous access to sufficient quantity of safe drinking and domestic water''s GAP]]*WWWW[[#This Row],[Total PoP ]]</f>
        <v>63</v>
      </c>
      <c r="CJ74" s="80">
        <f>IF(WWWW[[#This Row],[Total required water points]]-WWWW[[#This Row],['#Water points coverage]]&lt;0,0,WWWW[[#This Row],[Total required water points]]-WWWW[[#This Row],['#Water points coverage]])</f>
        <v>1</v>
      </c>
      <c r="CK74" s="80">
        <f>ROUND(IF(WWWW[[#This Row],[Total PoP ]]&lt;500,1,WWWW[[#This Row],[Total PoP ]]/500),0)</f>
        <v>1</v>
      </c>
      <c r="CL74" s="80">
        <f>(WWWW[[#This Row],['#_Constructed latrines_by_WASHAgencies]]+WWWW[[#This Row],['#_Non Cluster partner latrines]])-WWWW[[#This Row],['#_Non-functional latrines]]</f>
        <v>0</v>
      </c>
      <c r="CM7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 s="80">
        <f>IF(WWWW[[#This Row],[Location Type 1]]="Village","NA",IF(WWWW[[#This Row],['#_Constructed/Existing latrines in TLS]]*50&gt;WWWW[[#This Row],['#_students at TLS_CFS]],WWWW[[#This Row],['#_students at TLS_CFS]],(WWWW[[#This Row],['#_Constructed/Existing latrines in TLS]]*50)))</f>
        <v>0</v>
      </c>
      <c r="CQ74" s="80">
        <f>ROUND(IF(WWWW[[#This Row],[Location Type 1]]="camp",WWWW[[#This Row],[Total PoP ]]/20,IF(WWWW[[#This Row],[Location Type 1]]="Temporary Location",WWWW[[#This Row],[Total PoP ]]/50,(WWWW[[#This Row],[Total PoP ]]/6))),0)</f>
        <v>3</v>
      </c>
      <c r="CR74" s="79">
        <f>IF(WWWW[[#This Row],[Total required Latrines]]-(WWWW[[#This Row],['#_Constructed latrines_by_WASHAgencies]]+WWWW[[#This Row],['#_Non Cluster partner latrines]])&lt;0,0,WWWW[[#This Row],[Total required Latrines]]-(WWWW[[#This Row],['#_Constructed latrines_by_WASHAgencies]]+WWWW[[#This Row],['#_Non Cluster partner latrines]]))</f>
        <v>3</v>
      </c>
      <c r="CS74" s="78">
        <f>1-WWWW[[#This Row],[% people access to functioning Latrine]]</f>
        <v>1</v>
      </c>
      <c r="CT74" s="82">
        <f>IF(OR(WWWW[[#This Row],['#_Non-functional latrines]]="",WWWW[[#This Row],['#_Non-functional latrines]]=0),0,WWWW[[#This Row],['#_Non-functional latrines]]/(WWWW[[#This Row],['#_Constructed latrines_by_WASHAgencies]]+WWWW[[#This Row],['#_Non Cluster partner latrines]]))</f>
        <v>0</v>
      </c>
      <c r="CU74" s="79">
        <f>IF(500*(WWWW[[#This Row],['#_male hygiene promoters]]+WWWW[[#This Row],['#_female hygiene promoters]])&gt;WWWW[[#This Row],[Total PoP ]],WWWW[[#This Row],[Total PoP ]],500*(WWWW[[#This Row],['#_male hygiene promoters]]+WWWW[[#This Row],['#_female hygiene promoters]]))</f>
        <v>0</v>
      </c>
      <c r="CV7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4" s="80">
        <f>IF(WWWW[[#This Row],['# People with access to soap]]&gt;WWWW[[#This Row],['# People with access to Sanity Pads]],WWWW[[#This Row],['# People with access to soap]],WWWW[[#This Row],['# People with access to Sanity Pads]])</f>
        <v>0</v>
      </c>
      <c r="CY7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4" s="78">
        <f>IF(WWWW[[#This Row],[HRP3]]/WWWW[[#This Row],[Total PoP ]]&gt;100%,100%,WWWW[[#This Row],[HRP3]]/WWWW[[#This Row],[Total PoP ]])</f>
        <v>0</v>
      </c>
      <c r="DA74" s="82">
        <f>1-WWWW[[#This Row],[Hygiene Coverage%]]</f>
        <v>1</v>
      </c>
      <c r="DB74" s="81">
        <f>WWWW[[#This Row],['# people reached by regular dedicated hygiene promotion_5]]/WWWW[[#This Row],[Total PoP ]]</f>
        <v>0</v>
      </c>
      <c r="DC74" s="81">
        <f>IF(WWWW[[#This Row],['#_households that received standard amount of soap for this quarter]]/WWWW[[#This Row],[Total HH]]&gt;1,1,WWWW[[#This Row],['#_households that received standard amount of soap for this quarter]]/WWWW[[#This Row],[Total HH]])</f>
        <v>0</v>
      </c>
      <c r="DD74" s="81">
        <f>IF(WWWW[[#This Row],['#_households that received standard amount of sanitary pads for this quarter]]/WWWW[[#This Row],[Total HH]]&gt;1,1,WWWW[[#This Row],['#_households that received standard amount of sanitary pads for this quarter]]/WWWW[[#This Row],[Total HH]])</f>
        <v>0</v>
      </c>
      <c r="DE74" s="80">
        <f>WWWW[[#This Row],['#_Constructed/Existing hand washing stations]]-WWWW[[#This Row],['#_Non-Functional_hand_washing_stations]]</f>
        <v>0</v>
      </c>
      <c r="DF74" s="757">
        <f>IF(WWWW[[#This Row],['# Functional hand washing stations during reporting period]]*20&gt;WWWW[[#This Row],[Total HH]],WWWW[[#This Row],[Total HH]],WWWW[[#This Row],['# Functional hand washing stations during reporting period]]*20)</f>
        <v>0</v>
      </c>
      <c r="DG74" s="79">
        <f>IF(WWWW[[#This Row],[Is sufficient soap available for TLS? (Yes/No)]]="yes",WWWW[[#This Row],['#_Constructed/Existing hand washing stations at TLS]],0)</f>
        <v>0</v>
      </c>
      <c r="DH74" s="578">
        <f>IF(WWWW[[#This Row],['# Functional hand washing stations during reporting period]]*100&gt;WWWW[[#This Row],[Total PoP ]],WWWW[[#This Row],[Total PoP ]],WWWW[[#This Row],['# Functional hand washing stations during reporting period]]*100)</f>
        <v>0</v>
      </c>
      <c r="DI74" s="578" t="str">
        <f>IF(OR(WWWW[[#This Row],['#_students at TLS_CFS]]="",WWWW[[#This Row],['#_students at TLS_CFS]]=0),"No","Yes")</f>
        <v>No</v>
      </c>
      <c r="DJ74" s="231">
        <f>VLOOKUP(WWWW[[#This Row],[Site Name]],SiteDB6[[Site Name]:[CCCM Management]],6,FALSE)</f>
        <v>0</v>
      </c>
      <c r="DK74" s="231" t="str">
        <f>VLOOKUP(WWWW[[#This Row],[Site Name]],SiteDB6[[Site Name]:[CCCM Focal Agency]],7,FALSE)</f>
        <v>uncovered</v>
      </c>
      <c r="DL74" s="231" t="str">
        <f>VLOOKUP(WWWW[[#This Row],[Site Name]],SiteDB6[[Site Name]:[Location Type 1]],9,FALSE)</f>
        <v>Camp</v>
      </c>
      <c r="DM74" s="231" t="str">
        <f>VLOOKUP(WWWW[[#This Row],[Site Name]],SiteDB6[[Site Name]:[Type of Accommodation]],10,FALSE)</f>
        <v>Host Families</v>
      </c>
      <c r="DN74" s="231" t="str">
        <f>VLOOKUP(WWWW[[#This Row],[Site Name]],SiteDB6[[Site Name]:[Ethnic or GCA/NGCA]],11,FALSE)</f>
        <v>GCA</v>
      </c>
      <c r="DO74" s="231">
        <f>VLOOKUP(WWWW[[#This Row],[Site Name]],SiteDB6[[Site Name]:[Lat]],12,FALSE)</f>
        <v>24.764959999999999</v>
      </c>
      <c r="DP74" s="231">
        <f>VLOOKUP(WWWW[[#This Row],[Site Name]],SiteDB6[[Site Name]:[Long]],13,FALSE)</f>
        <v>96.366919999999993</v>
      </c>
      <c r="DQ74" s="231" t="str">
        <f>VLOOKUP(WWWW[[#This Row],[Site Name]],SiteDB6[[Site Name]:[Pcode]],3,FALSE)</f>
        <v>MMR001CMP233</v>
      </c>
      <c r="DR74" s="207" t="str">
        <f t="shared" si="2"/>
        <v>Notcovered</v>
      </c>
      <c r="DS74" s="207"/>
      <c r="DT74" s="20"/>
      <c r="DU74" s="20"/>
      <c r="DV74" s="20"/>
      <c r="DW74" s="20"/>
      <c r="DX74" s="20"/>
      <c r="DY74" s="20"/>
      <c r="DZ74" s="20"/>
      <c r="EA74" s="20"/>
      <c r="EB74" s="20"/>
      <c r="EC74" s="20"/>
      <c r="ED74" s="20"/>
      <c r="EE74" s="20"/>
      <c r="EF74" s="20"/>
      <c r="EG74" s="20"/>
      <c r="EH74" s="20"/>
    </row>
    <row r="75" spans="1:138" ht="15.75" customHeight="1">
      <c r="A75" s="238" t="s">
        <v>2518</v>
      </c>
      <c r="B75" s="238" t="s">
        <v>149</v>
      </c>
      <c r="C75" s="574" t="s">
        <v>149</v>
      </c>
      <c r="D75" s="574" t="s">
        <v>158</v>
      </c>
      <c r="E75" s="574" t="s">
        <v>39</v>
      </c>
      <c r="F75" s="574" t="s">
        <v>181</v>
      </c>
      <c r="G75" s="574" t="str">
        <f>VLOOKUP(WWWW[[#This Row],[Site Name]],SiteDB6[[Site Name]:[Location Type]],8,FALSE)</f>
        <v>Camp</v>
      </c>
      <c r="H75" s="574" t="s">
        <v>182</v>
      </c>
      <c r="I75" s="583">
        <v>60</v>
      </c>
      <c r="J75" s="583">
        <v>289</v>
      </c>
      <c r="K75" s="553">
        <v>43556</v>
      </c>
      <c r="L75" s="77">
        <v>43677</v>
      </c>
      <c r="M75" s="583"/>
      <c r="N75" s="583"/>
      <c r="O75" s="583"/>
      <c r="P75" s="583"/>
      <c r="Q75" s="76" t="s">
        <v>43</v>
      </c>
      <c r="R75" s="310"/>
      <c r="S75" s="310"/>
      <c r="T75" s="583">
        <v>1</v>
      </c>
      <c r="U75" s="310"/>
      <c r="V75" s="310"/>
      <c r="W75" s="583">
        <v>1</v>
      </c>
      <c r="X75" s="310"/>
      <c r="Y75" s="310"/>
      <c r="Z75" s="310"/>
      <c r="AA75" s="310"/>
      <c r="AB75" s="310"/>
      <c r="AC75" s="310"/>
      <c r="AD75" s="310"/>
      <c r="AE75" s="310"/>
      <c r="AF75" s="310"/>
      <c r="AG75" s="310"/>
      <c r="AH75" s="583">
        <v>1</v>
      </c>
      <c r="AI75" s="310"/>
      <c r="AJ75" s="310"/>
      <c r="AK75" s="310"/>
      <c r="AL75" s="310"/>
      <c r="AM75" s="310"/>
      <c r="AN75" s="310"/>
      <c r="AO75" s="207"/>
      <c r="AP75" s="583">
        <v>12</v>
      </c>
      <c r="AQ75" s="310"/>
      <c r="AR75" s="76"/>
      <c r="AS75" s="310">
        <v>10</v>
      </c>
      <c r="AT75" s="310">
        <v>30</v>
      </c>
      <c r="AU75" s="310"/>
      <c r="AV75" s="310"/>
      <c r="AW75" s="583">
        <v>12</v>
      </c>
      <c r="AX75" s="231" t="s">
        <v>43</v>
      </c>
      <c r="AY75" s="231" t="s">
        <v>145</v>
      </c>
      <c r="AZ75" s="310"/>
      <c r="BA75" s="310"/>
      <c r="BB75" s="310"/>
      <c r="BC75" s="207"/>
      <c r="BD75" s="310"/>
      <c r="BE75" s="310"/>
      <c r="BF75" s="310"/>
      <c r="BG75" s="310">
        <v>2</v>
      </c>
      <c r="BH75" s="310"/>
      <c r="BI75" s="310"/>
      <c r="BJ75" s="310">
        <v>2</v>
      </c>
      <c r="BK75" s="310"/>
      <c r="BL75" s="310"/>
      <c r="BM75" s="207"/>
      <c r="BN75" s="79"/>
      <c r="BO75" s="81"/>
      <c r="BP75" s="207"/>
      <c r="BQ75" s="78" t="str">
        <f>IFERROR(WWWW[[#This Row],['#_Water sources treated]]/WWWW[[#This Row],['#_Water sources tested for contamination]],"no test")</f>
        <v>no test</v>
      </c>
      <c r="BR75" s="81" t="str">
        <f>IFERROR(WWWW[[#This Row],['#_Household received remediation action due to contamination]]/WWWW[[#This Row],['#_Household water samples tested for contamination]],"no test")</f>
        <v>no test</v>
      </c>
      <c r="BS75" s="80" t="str">
        <f>IF(AND(WWWW[[#This Row],[% of water sources treated]]="no test",WWWW[[#This Row],[% Household received corrective actions]]="no test"),"No Test","Tested")</f>
        <v>No Test</v>
      </c>
      <c r="BT75" s="80">
        <f>WWWW[[#This Row],['#_Constructed/existing protected hand dug well]]-WWWW[[#This Row],['#_Non-functional protected hand dug well]]</f>
        <v>1</v>
      </c>
      <c r="BU75" s="80">
        <f>(WWWW[[#This Row],['#_Constructed/Existing tube wells/boreholes/handpumps_WASH_agency]]+WWWW[[#This Row],['#_Non-Cluster partner water tube-wells/boreholes/handpumps]])-WWWW[[#This Row],['#_Non-functional tube wells/boreholes/handpumps]]</f>
        <v>1</v>
      </c>
      <c r="BV75" s="80">
        <f>WWWW[[#This Row],['#_Constructed/Existingwater storage tank with gravity fed reticulation system]]-WWWW[[#This Row],['#_Non-functional storage tank gravity fed reticulation system]]</f>
        <v>0</v>
      </c>
      <c r="BW75" s="80">
        <f>WWWW[[#This Row],['#_Water boating or water trucking]]</f>
        <v>0</v>
      </c>
      <c r="BX75" s="80">
        <f>WWWW[[#This Row],['#_Constructed/Existing water distribution system from river or natural spring]]</f>
        <v>0</v>
      </c>
      <c r="BY7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5" s="81">
        <f>IF(WWWW[[#This Row],[Location Type 1]]="Village",WWWW[[#This Row],[Access to safe drinking water for Village]],WWWW[[#This Row],[Access to safe drinking water for Camp]])</f>
        <v>1</v>
      </c>
      <c r="CB75" s="79">
        <f>WWWW[[#This Row],[%Equitable and continuous access to sufficient quantity of safe drinking water]]*WWWW[[#This Row],[Total PoP ]]</f>
        <v>289</v>
      </c>
      <c r="CC75" s="81">
        <f>IF((WWWW[[#This Row],['#_Constructed/Existing protected/fenced ponds]]*250)/WWWW[[#This Row],[Total PoP ]]&gt;1,1,(WWWW[[#This Row],['#_Constructed/Existing protected/fenced ponds]]*250)/WWWW[[#This Row],[Total PoP ]])</f>
        <v>0</v>
      </c>
      <c r="CD75" s="79">
        <f>WWWW[[#This Row],[% Access to unimproved water points]]*WWWW[[#This Row],[Total PoP ]]</f>
        <v>0</v>
      </c>
      <c r="CE7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G75" s="79">
        <f>WWWW[[#This Row],[HRP1]]/500</f>
        <v>0.57799999999999996</v>
      </c>
      <c r="CH75" s="78">
        <f>1-WWWW[[#This Row],[% Equitable and continuous access to sufficient quantity of domestic water]]</f>
        <v>0</v>
      </c>
      <c r="CI75" s="79">
        <f>WWWW[[#This Row],[%equitable and continuous access to sufficient quantity of safe drinking and domestic water''s GAP]]*WWWW[[#This Row],[Total PoP ]]</f>
        <v>0</v>
      </c>
      <c r="CJ75" s="80">
        <f>IF(WWWW[[#This Row],[Total required water points]]-WWWW[[#This Row],['#Water points coverage]]&lt;0,0,WWWW[[#This Row],[Total required water points]]-WWWW[[#This Row],['#Water points coverage]])</f>
        <v>0.42200000000000004</v>
      </c>
      <c r="CK75" s="80">
        <f>ROUND(IF(WWWW[[#This Row],[Total PoP ]]&lt;500,1,WWWW[[#This Row],[Total PoP ]]/500),0)</f>
        <v>1</v>
      </c>
      <c r="CL75" s="80">
        <f>(WWWW[[#This Row],['#_Constructed latrines_by_WASHAgencies]]+WWWW[[#This Row],['#_Non Cluster partner latrines]])-WWWW[[#This Row],['#_Non-functional latrines]]</f>
        <v>2</v>
      </c>
      <c r="CM7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0.13840830449826991</v>
      </c>
      <c r="CN7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7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5" s="80">
        <f>IF(WWWW[[#This Row],[Location Type 1]]="Village","NA",IF(WWWW[[#This Row],['#_Constructed/Existing latrines in TLS]]*50&gt;WWWW[[#This Row],['#_students at TLS_CFS]],WWWW[[#This Row],['#_students at TLS_CFS]],(WWWW[[#This Row],['#_Constructed/Existing latrines in TLS]]*50)))</f>
        <v>0</v>
      </c>
      <c r="CQ75" s="80">
        <f>ROUND(IF(WWWW[[#This Row],[Location Type 1]]="camp",WWWW[[#This Row],[Total PoP ]]/20,IF(WWWW[[#This Row],[Location Type 1]]="Temporary Location",WWWW[[#This Row],[Total PoP ]]/50,(WWWW[[#This Row],[Total PoP ]]/6))),0)</f>
        <v>14</v>
      </c>
      <c r="CR75" s="79">
        <f>IF(WWWW[[#This Row],[Total required Latrines]]-(WWWW[[#This Row],['#_Constructed latrines_by_WASHAgencies]]+WWWW[[#This Row],['#_Non Cluster partner latrines]])&lt;0,0,WWWW[[#This Row],[Total required Latrines]]-(WWWW[[#This Row],['#_Constructed latrines_by_WASHAgencies]]+WWWW[[#This Row],['#_Non Cluster partner latrines]]))</f>
        <v>2</v>
      </c>
      <c r="CS75" s="78">
        <f>1-WWWW[[#This Row],[% people access to functioning Latrine]]</f>
        <v>0.86159169550173009</v>
      </c>
      <c r="CT75" s="82">
        <f>IF(OR(WWWW[[#This Row],['#_Non-functional latrines]]="",WWWW[[#This Row],['#_Non-functional latrines]]=0),0,WWWW[[#This Row],['#_Non-functional latrines]]/(WWWW[[#This Row],['#_Constructed latrines_by_WASHAgencies]]+WWWW[[#This Row],['#_Non Cluster partner latrines]]))</f>
        <v>0.83333333333333337</v>
      </c>
      <c r="CU75" s="79">
        <f>IF(500*(WWWW[[#This Row],['#_male hygiene promoters]]+WWWW[[#This Row],['#_female hygiene promoters]])&gt;WWWW[[#This Row],[Total PoP ]],WWWW[[#This Row],[Total PoP ]],500*(WWWW[[#This Row],['#_male hygiene promoters]]+WWWW[[#This Row],['#_female hygiene promoters]]))</f>
        <v>289</v>
      </c>
      <c r="CV7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5" s="80">
        <f>IF(WWWW[[#This Row],['# People with access to soap]]&gt;WWWW[[#This Row],['# People with access to Sanity Pads]],WWWW[[#This Row],['# People with access to soap]],WWWW[[#This Row],['# People with access to Sanity Pads]])</f>
        <v>0</v>
      </c>
      <c r="CY75" s="80">
        <f>IF(WWWW[[#This Row],['# people reached by regular dedicated hygiene promotion_5]]&gt;WWWW[[#This Row],['# People received regular supply of hygiene items_6]],WWWW[[#This Row],['# people reached by regular dedicated hygiene promotion_5]],WWWW[[#This Row],['# People received regular supply of hygiene items_6]])</f>
        <v>289</v>
      </c>
      <c r="CZ75" s="78">
        <f>IF(WWWW[[#This Row],[HRP3]]/WWWW[[#This Row],[Total PoP ]]&gt;100%,100%,WWWW[[#This Row],[HRP3]]/WWWW[[#This Row],[Total PoP ]])</f>
        <v>1</v>
      </c>
      <c r="DA75" s="82">
        <f>1-WWWW[[#This Row],[Hygiene Coverage%]]</f>
        <v>0</v>
      </c>
      <c r="DB75" s="81">
        <f>WWWW[[#This Row],['# people reached by regular dedicated hygiene promotion_5]]/WWWW[[#This Row],[Total PoP ]]</f>
        <v>1</v>
      </c>
      <c r="DC75" s="81">
        <f>IF(WWWW[[#This Row],['#_households that received standard amount of soap for this quarter]]/WWWW[[#This Row],[Total HH]]&gt;1,1,WWWW[[#This Row],['#_households that received standard amount of soap for this quarter]]/WWWW[[#This Row],[Total HH]])</f>
        <v>0</v>
      </c>
      <c r="DD75" s="81">
        <f>IF(WWWW[[#This Row],['#_households that received standard amount of sanitary pads for this quarter]]/WWWW[[#This Row],[Total HH]]&gt;1,1,WWWW[[#This Row],['#_households that received standard amount of sanitary pads for this quarter]]/WWWW[[#This Row],[Total HH]])</f>
        <v>0</v>
      </c>
      <c r="DE75" s="80">
        <f>WWWW[[#This Row],['#_Constructed/Existing hand washing stations]]-WWWW[[#This Row],['#_Non-Functional_hand_washing_stations]]</f>
        <v>0</v>
      </c>
      <c r="DF75" s="757">
        <f>IF(WWWW[[#This Row],['# Functional hand washing stations during reporting period]]*20&gt;WWWW[[#This Row],[Total HH]],WWWW[[#This Row],[Total HH]],WWWW[[#This Row],['# Functional hand washing stations during reporting period]]*20)</f>
        <v>0</v>
      </c>
      <c r="DG75" s="79">
        <f>IF(WWWW[[#This Row],[Is sufficient soap available for TLS? (Yes/No)]]="yes",WWWW[[#This Row],['#_Constructed/Existing hand washing stations at TLS]],0)</f>
        <v>0</v>
      </c>
      <c r="DH75" s="578">
        <f>IF(WWWW[[#This Row],['# Functional hand washing stations during reporting period]]*100&gt;WWWW[[#This Row],[Total PoP ]],WWWW[[#This Row],[Total PoP ]],WWWW[[#This Row],['# Functional hand washing stations during reporting period]]*100)</f>
        <v>0</v>
      </c>
      <c r="DI75" s="578" t="str">
        <f>IF(OR(WWWW[[#This Row],['#_students at TLS_CFS]]="",WWWW[[#This Row],['#_students at TLS_CFS]]=0),"No","Yes")</f>
        <v>No</v>
      </c>
      <c r="DJ75" s="231" t="str">
        <f>VLOOKUP(WWWW[[#This Row],[Site Name]],SiteDB6[[Site Name]:[CCCM Management]],6,FALSE)</f>
        <v>Yes</v>
      </c>
      <c r="DK75" s="231" t="str">
        <f>VLOOKUP(WWWW[[#This Row],[Site Name]],SiteDB6[[Site Name]:[CCCM Focal Agency]],7,FALSE)</f>
        <v>KBC-MYT</v>
      </c>
      <c r="DL75" s="231" t="str">
        <f>VLOOKUP(WWWW[[#This Row],[Site Name]],SiteDB6[[Site Name]:[Location Type 1]],9,FALSE)</f>
        <v>Camp</v>
      </c>
      <c r="DM75" s="231" t="str">
        <f>VLOOKUP(WWWW[[#This Row],[Site Name]],SiteDB6[[Site Name]:[Type of Accommodation]],10,FALSE)</f>
        <v>Camp</v>
      </c>
      <c r="DN75" s="231" t="str">
        <f>VLOOKUP(WWWW[[#This Row],[Site Name]],SiteDB6[[Site Name]:[Ethnic or GCA/NGCA]],11,FALSE)</f>
        <v>GCA</v>
      </c>
      <c r="DO75" s="231">
        <f>VLOOKUP(WWWW[[#This Row],[Site Name]],SiteDB6[[Site Name]:[Lat]],12,FALSE)</f>
        <v>27.337499999999999</v>
      </c>
      <c r="DP75" s="231">
        <f>VLOOKUP(WWWW[[#This Row],[Site Name]],SiteDB6[[Site Name]:[Long]],13,FALSE)</f>
        <v>97.416121000000004</v>
      </c>
      <c r="DQ75" s="231" t="str">
        <f>VLOOKUP(WWWW[[#This Row],[Site Name]],SiteDB6[[Site Name]:[Pcode]],3,FALSE)</f>
        <v>MMR001CMP234</v>
      </c>
      <c r="DR75" s="207" t="str">
        <f t="shared" si="2"/>
        <v>Covered</v>
      </c>
      <c r="DS75" s="207"/>
      <c r="DT75" s="20"/>
      <c r="DU75" s="20"/>
      <c r="DV75" s="20"/>
      <c r="DW75" s="20"/>
      <c r="DX75" s="20"/>
      <c r="DY75" s="20"/>
      <c r="DZ75" s="20"/>
      <c r="EA75" s="20"/>
      <c r="EB75" s="20"/>
      <c r="EC75" s="20"/>
      <c r="ED75" s="20"/>
      <c r="EE75" s="20"/>
      <c r="EF75" s="20"/>
      <c r="EG75" s="20"/>
      <c r="EH75" s="20"/>
    </row>
    <row r="76" spans="1:138" ht="15.75" customHeight="1">
      <c r="A76" s="238" t="s">
        <v>2518</v>
      </c>
      <c r="B76" s="574" t="s">
        <v>38</v>
      </c>
      <c r="C76" s="574" t="s">
        <v>38</v>
      </c>
      <c r="D76" s="574" t="s">
        <v>328</v>
      </c>
      <c r="E76" s="574" t="s">
        <v>39</v>
      </c>
      <c r="F76" s="574" t="s">
        <v>160</v>
      </c>
      <c r="G76" s="574" t="str">
        <f>VLOOKUP(WWWW[[#This Row],[Site Name]],SiteDB6[[Site Name]:[Location Type]],8,FALSE)</f>
        <v>Camp</v>
      </c>
      <c r="H76" s="574" t="s">
        <v>2013</v>
      </c>
      <c r="I76" s="583">
        <v>45</v>
      </c>
      <c r="J76" s="583">
        <v>235</v>
      </c>
      <c r="K76" s="553">
        <v>43374</v>
      </c>
      <c r="L76" s="77">
        <v>43830</v>
      </c>
      <c r="M76" s="583"/>
      <c r="N76" s="583"/>
      <c r="O76" s="583"/>
      <c r="P76" s="583"/>
      <c r="Q76" s="574"/>
      <c r="R76" s="583"/>
      <c r="S76" s="583"/>
      <c r="T76" s="583"/>
      <c r="U76" s="583"/>
      <c r="V76" s="583"/>
      <c r="W76" s="583"/>
      <c r="X76" s="583">
        <v>2</v>
      </c>
      <c r="Y76" s="583"/>
      <c r="Z76" s="583">
        <v>1</v>
      </c>
      <c r="AA76" s="583"/>
      <c r="AB76" s="583"/>
      <c r="AC76" s="583"/>
      <c r="AD76" s="583"/>
      <c r="AE76" s="583"/>
      <c r="AF76" s="583"/>
      <c r="AG76" s="583"/>
      <c r="AH76" s="583"/>
      <c r="AI76" s="583"/>
      <c r="AJ76" s="583"/>
      <c r="AK76" s="583"/>
      <c r="AL76" s="583"/>
      <c r="AM76" s="583"/>
      <c r="AN76" s="583"/>
      <c r="AO76" s="578"/>
      <c r="AP76" s="601">
        <v>8</v>
      </c>
      <c r="AQ76" s="603"/>
      <c r="AR76" s="603"/>
      <c r="AS76" s="601"/>
      <c r="AT76" s="603"/>
      <c r="AU76" s="578"/>
      <c r="AV76" s="578"/>
      <c r="AW76" s="80"/>
      <c r="AX76" s="80" t="s">
        <v>43</v>
      </c>
      <c r="AY76" s="80" t="s">
        <v>1200</v>
      </c>
      <c r="AZ76" s="80"/>
      <c r="BA76" s="80"/>
      <c r="BB76" s="578"/>
      <c r="BC76" s="578"/>
      <c r="BD76" s="578"/>
      <c r="BE76" s="578"/>
      <c r="BF76" s="578"/>
      <c r="BG76" s="601">
        <v>2</v>
      </c>
      <c r="BH76" s="578"/>
      <c r="BI76" s="601"/>
      <c r="BJ76" s="601">
        <v>1</v>
      </c>
      <c r="BK76" s="601">
        <v>45</v>
      </c>
      <c r="BL76" s="601">
        <v>59</v>
      </c>
      <c r="BM76" s="578"/>
      <c r="BN76" s="578"/>
      <c r="BO76" s="81"/>
      <c r="BP76" s="578"/>
      <c r="BQ76" s="78" t="str">
        <f>IFERROR(WWWW[[#This Row],['#_Water sources treated]]/WWWW[[#This Row],['#_Water sources tested for contamination]],"no test")</f>
        <v>no test</v>
      </c>
      <c r="BR76" s="81" t="str">
        <f>IFERROR(WWWW[[#This Row],['#_Household received remediation action due to contamination]]/WWWW[[#This Row],['#_Household water samples tested for contamination]],"no test")</f>
        <v>no test</v>
      </c>
      <c r="BS76" s="80" t="str">
        <f>IF(AND(WWWW[[#This Row],[% of water sources treated]]="no test",WWWW[[#This Row],[% Household received corrective actions]]="no test"),"No Test","Tested")</f>
        <v>No Test</v>
      </c>
      <c r="BT76" s="80">
        <f>WWWW[[#This Row],['#_Constructed/existing protected hand dug well]]-WWWW[[#This Row],['#_Non-functional protected hand dug well]]</f>
        <v>0</v>
      </c>
      <c r="BU76" s="80">
        <f>(WWWW[[#This Row],['#_Constructed/Existing tube wells/boreholes/handpumps_WASH_agency]]+WWWW[[#This Row],['#_Non-Cluster partner water tube-wells/boreholes/handpumps]])-WWWW[[#This Row],['#_Non-functional tube wells/boreholes/handpumps]]</f>
        <v>2</v>
      </c>
      <c r="BV76" s="80">
        <f>WWWW[[#This Row],['#_Constructed/Existingwater storage tank with gravity fed reticulation system]]-WWWW[[#This Row],['#_Non-functional storage tank gravity fed reticulation system]]</f>
        <v>0</v>
      </c>
      <c r="BW76" s="80">
        <f>WWWW[[#This Row],['#_Water boating or water trucking]]</f>
        <v>0</v>
      </c>
      <c r="BX76" s="80">
        <f>WWWW[[#This Row],['#_Constructed/Existing water distribution system from river or natural spring]]</f>
        <v>0</v>
      </c>
      <c r="BY7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6" s="81">
        <f>IF(WWWW[[#This Row],[Location Type 1]]="Village",WWWW[[#This Row],[Access to safe drinking water for Village]],WWWW[[#This Row],[Access to safe drinking water for Camp]])</f>
        <v>1</v>
      </c>
      <c r="CB76" s="79">
        <f>WWWW[[#This Row],[%Equitable and continuous access to sufficient quantity of safe drinking water]]*WWWW[[#This Row],[Total PoP ]]</f>
        <v>235</v>
      </c>
      <c r="CC76" s="81">
        <f>IF((WWWW[[#This Row],['#_Constructed/Existing protected/fenced ponds]]*250)/WWWW[[#This Row],[Total PoP ]]&gt;1,1,(WWWW[[#This Row],['#_Constructed/Existing protected/fenced ponds]]*250)/WWWW[[#This Row],[Total PoP ]])</f>
        <v>0</v>
      </c>
      <c r="CD76" s="79">
        <f>WWWW[[#This Row],[% Access to unimproved water points]]*WWWW[[#This Row],[Total PoP ]]</f>
        <v>0</v>
      </c>
      <c r="CE7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G76" s="79">
        <f>WWWW[[#This Row],[HRP1]]/500</f>
        <v>0.47</v>
      </c>
      <c r="CH76" s="78">
        <f>1-WWWW[[#This Row],[% Equitable and continuous access to sufficient quantity of domestic water]]</f>
        <v>0</v>
      </c>
      <c r="CI76" s="79">
        <f>WWWW[[#This Row],[%equitable and continuous access to sufficient quantity of safe drinking and domestic water''s GAP]]*WWWW[[#This Row],[Total PoP ]]</f>
        <v>0</v>
      </c>
      <c r="CJ76" s="80">
        <f>IF(WWWW[[#This Row],[Total required water points]]-WWWW[[#This Row],['#Water points coverage]]&lt;0,0,WWWW[[#This Row],[Total required water points]]-WWWW[[#This Row],['#Water points coverage]])</f>
        <v>0.53</v>
      </c>
      <c r="CK76" s="80">
        <f>ROUND(IF(WWWW[[#This Row],[Total PoP ]]&lt;500,1,WWWW[[#This Row],[Total PoP ]]/500),0)</f>
        <v>1</v>
      </c>
      <c r="CL76" s="80">
        <f>(WWWW[[#This Row],['#_Constructed latrines_by_WASHAgencies]]+WWWW[[#This Row],['#_Non Cluster partner latrines]])-WWWW[[#This Row],['#_Non-functional latrines]]</f>
        <v>8</v>
      </c>
      <c r="CM7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0.68085106382978722</v>
      </c>
      <c r="CN7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7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6" s="80">
        <f>IF(WWWW[[#This Row],[Location Type 1]]="Village","NA",IF(WWWW[[#This Row],['#_Constructed/Existing latrines in TLS]]*50&gt;WWWW[[#This Row],['#_students at TLS_CFS]],WWWW[[#This Row],['#_students at TLS_CFS]],(WWWW[[#This Row],['#_Constructed/Existing latrines in TLS]]*50)))</f>
        <v>0</v>
      </c>
      <c r="CQ76" s="80">
        <f>ROUND(IF(WWWW[[#This Row],[Location Type 1]]="camp",WWWW[[#This Row],[Total PoP ]]/20,IF(WWWW[[#This Row],[Location Type 1]]="Temporary Location",WWWW[[#This Row],[Total PoP ]]/50,(WWWW[[#This Row],[Total PoP ]]/6))),0)</f>
        <v>12</v>
      </c>
      <c r="CR76" s="79">
        <f>IF(WWWW[[#This Row],[Total required Latrines]]-(WWWW[[#This Row],['#_Constructed latrines_by_WASHAgencies]]+WWWW[[#This Row],['#_Non Cluster partner latrines]])&lt;0,0,WWWW[[#This Row],[Total required Latrines]]-(WWWW[[#This Row],['#_Constructed latrines_by_WASHAgencies]]+WWWW[[#This Row],['#_Non Cluster partner latrines]]))</f>
        <v>4</v>
      </c>
      <c r="CS76" s="78">
        <f>1-WWWW[[#This Row],[% people access to functioning Latrine]]</f>
        <v>0.31914893617021278</v>
      </c>
      <c r="CT76" s="82">
        <f>IF(OR(WWWW[[#This Row],['#_Non-functional latrines]]="",WWWW[[#This Row],['#_Non-functional latrines]]=0),0,WWWW[[#This Row],['#_Non-functional latrines]]/(WWWW[[#This Row],['#_Constructed latrines_by_WASHAgencies]]+WWWW[[#This Row],['#_Non Cluster partner latrines]]))</f>
        <v>0</v>
      </c>
      <c r="CU76" s="79">
        <f>IF(500*(WWWW[[#This Row],['#_male hygiene promoters]]+WWWW[[#This Row],['#_female hygiene promoters]])&gt;WWWW[[#This Row],[Total PoP ]],WWWW[[#This Row],[Total PoP ]],500*(WWWW[[#This Row],['#_male hygiene promoters]]+WWWW[[#This Row],['#_female hygiene promoters]]))</f>
        <v>235</v>
      </c>
      <c r="CV7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v>
      </c>
      <c r="CW7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235</v>
      </c>
      <c r="CX76" s="80">
        <f>IF(WWWW[[#This Row],['# People with access to soap]]&gt;WWWW[[#This Row],['# People with access to Sanity Pads]],WWWW[[#This Row],['# People with access to soap]],WWWW[[#This Row],['# People with access to Sanity Pads]])</f>
        <v>235</v>
      </c>
      <c r="CY76" s="80">
        <f>IF(WWWW[[#This Row],['# people reached by regular dedicated hygiene promotion_5]]&gt;WWWW[[#This Row],['# People received regular supply of hygiene items_6]],WWWW[[#This Row],['# people reached by regular dedicated hygiene promotion_5]],WWWW[[#This Row],['# People received regular supply of hygiene items_6]])</f>
        <v>235</v>
      </c>
      <c r="CZ76" s="78">
        <f>IF(WWWW[[#This Row],[HRP3]]/WWWW[[#This Row],[Total PoP ]]&gt;100%,100%,WWWW[[#This Row],[HRP3]]/WWWW[[#This Row],[Total PoP ]])</f>
        <v>1</v>
      </c>
      <c r="DA76" s="82">
        <f>1-WWWW[[#This Row],[Hygiene Coverage%]]</f>
        <v>0</v>
      </c>
      <c r="DB76" s="81">
        <f>WWWW[[#This Row],['# people reached by regular dedicated hygiene promotion_5]]/WWWW[[#This Row],[Total PoP ]]</f>
        <v>1</v>
      </c>
      <c r="DC76" s="81">
        <f>IF(WWWW[[#This Row],['#_households that received standard amount of soap for this quarter]]/WWWW[[#This Row],[Total HH]]&gt;1,1,WWWW[[#This Row],['#_households that received standard amount of soap for this quarter]]/WWWW[[#This Row],[Total HH]])</f>
        <v>1</v>
      </c>
      <c r="DD76" s="81">
        <f>IF(WWWW[[#This Row],['#_households that received standard amount of sanitary pads for this quarter]]/WWWW[[#This Row],[Total HH]]&gt;1,1,WWWW[[#This Row],['#_households that received standard amount of sanitary pads for this quarter]]/WWWW[[#This Row],[Total HH]])</f>
        <v>1</v>
      </c>
      <c r="DE76" s="80">
        <f>WWWW[[#This Row],['#_Constructed/Existing hand washing stations]]-WWWW[[#This Row],['#_Non-Functional_hand_washing_stations]]</f>
        <v>0</v>
      </c>
      <c r="DF76" s="757">
        <f>IF(WWWW[[#This Row],['# Functional hand washing stations during reporting period]]*20&gt;WWWW[[#This Row],[Total HH]],WWWW[[#This Row],[Total HH]],WWWW[[#This Row],['# Functional hand washing stations during reporting period]]*20)</f>
        <v>0</v>
      </c>
      <c r="DG76" s="79">
        <f>IF(WWWW[[#This Row],[Is sufficient soap available for TLS? (Yes/No)]]="yes",WWWW[[#This Row],['#_Constructed/Existing hand washing stations at TLS]],0)</f>
        <v>0</v>
      </c>
      <c r="DH76" s="578">
        <f>IF(WWWW[[#This Row],['# Functional hand washing stations during reporting period]]*100&gt;WWWW[[#This Row],[Total PoP ]],WWWW[[#This Row],[Total PoP ]],WWWW[[#This Row],['# Functional hand washing stations during reporting period]]*100)</f>
        <v>0</v>
      </c>
      <c r="DI76" s="578" t="str">
        <f>IF(OR(WWWW[[#This Row],['#_students at TLS_CFS]]="",WWWW[[#This Row],['#_students at TLS_CFS]]=0),"No","Yes")</f>
        <v>No</v>
      </c>
      <c r="DJ76" s="231">
        <f>VLOOKUP(WWWW[[#This Row],[Site Name]],SiteDB6[[Site Name]:[CCCM Management]],6,FALSE)</f>
        <v>0</v>
      </c>
      <c r="DK76" s="231" t="str">
        <f>VLOOKUP(WWWW[[#This Row],[Site Name]],SiteDB6[[Site Name]:[CCCM Focal Agency]],7,FALSE)</f>
        <v>KMSS-MYT</v>
      </c>
      <c r="DL76" s="231" t="str">
        <f>VLOOKUP(WWWW[[#This Row],[Site Name]],SiteDB6[[Site Name]:[Location Type 1]],9,FALSE)</f>
        <v>Camp</v>
      </c>
      <c r="DM76" s="231" t="str">
        <f>VLOOKUP(WWWW[[#This Row],[Site Name]],SiteDB6[[Site Name]:[Type of Accommodation]],10,FALSE)</f>
        <v>Camp</v>
      </c>
      <c r="DN76" s="231" t="str">
        <f>VLOOKUP(WWWW[[#This Row],[Site Name]],SiteDB6[[Site Name]:[Ethnic or GCA/NGCA]],11,FALSE)</f>
        <v>GCA</v>
      </c>
      <c r="DO76" s="231">
        <f>VLOOKUP(WWWW[[#This Row],[Site Name]],SiteDB6[[Site Name]:[Lat]],12,FALSE)</f>
        <v>97.010629910000006</v>
      </c>
      <c r="DP76" s="231">
        <f>VLOOKUP(WWWW[[#This Row],[Site Name]],SiteDB6[[Site Name]:[Long]],13,FALSE)</f>
        <v>25.37033053</v>
      </c>
      <c r="DQ76" s="231" t="str">
        <f>VLOOKUP(WWWW[[#This Row],[Site Name]],SiteDB6[[Site Name]:[Pcode]],3,FALSE)</f>
        <v>MMR001CMP259</v>
      </c>
      <c r="DR76" s="207" t="str">
        <f t="shared" ref="DR76:DR107" si="3">IF(C76="none","Notcovered","Covered")</f>
        <v>Covered</v>
      </c>
      <c r="DS76" s="207"/>
      <c r="DT76" s="20"/>
      <c r="DU76" s="20"/>
      <c r="DV76" s="20"/>
      <c r="DW76" s="20"/>
      <c r="DX76" s="20"/>
      <c r="DY76" s="20"/>
      <c r="DZ76" s="20"/>
      <c r="EA76" s="20"/>
      <c r="EB76" s="20"/>
      <c r="EC76" s="20"/>
      <c r="ED76" s="20"/>
      <c r="EE76" s="20"/>
      <c r="EF76" s="20"/>
      <c r="EG76" s="20"/>
      <c r="EH76" s="20"/>
    </row>
    <row r="77" spans="1:138" ht="15.75" customHeight="1">
      <c r="A77" s="238" t="s">
        <v>2518</v>
      </c>
      <c r="B77" s="574" t="s">
        <v>200</v>
      </c>
      <c r="C77" s="574" t="s">
        <v>200</v>
      </c>
      <c r="D77" s="574" t="s">
        <v>2960</v>
      </c>
      <c r="E77" s="574" t="s">
        <v>39</v>
      </c>
      <c r="F77" s="574" t="s">
        <v>203</v>
      </c>
      <c r="G77" s="574" t="str">
        <f>VLOOKUP(WWWW[[#This Row],[Site Name]],SiteDB6[[Site Name]:[Location Type]],8,FALSE)</f>
        <v>Camp</v>
      </c>
      <c r="H77" s="574" t="s">
        <v>208</v>
      </c>
      <c r="I77" s="312">
        <v>141</v>
      </c>
      <c r="J77" s="312">
        <v>800</v>
      </c>
      <c r="K77" s="553">
        <v>43466</v>
      </c>
      <c r="L77" s="77">
        <v>43830</v>
      </c>
      <c r="M77" s="583"/>
      <c r="N77" s="583"/>
      <c r="O77" s="583"/>
      <c r="P77" s="583"/>
      <c r="Q77" s="76" t="s">
        <v>43</v>
      </c>
      <c r="R77" s="310">
        <v>2</v>
      </c>
      <c r="S77" s="310">
        <v>2</v>
      </c>
      <c r="T77" s="310">
        <v>1</v>
      </c>
      <c r="U77" s="310"/>
      <c r="V77" s="310"/>
      <c r="W77" s="310"/>
      <c r="X77" s="310">
        <v>1</v>
      </c>
      <c r="Y77" s="310"/>
      <c r="Z77" s="310"/>
      <c r="AA77" s="310"/>
      <c r="AB77" s="310"/>
      <c r="AC77" s="310"/>
      <c r="AD77" s="310"/>
      <c r="AE77" s="310"/>
      <c r="AF77" s="310"/>
      <c r="AG77" s="310"/>
      <c r="AH77" s="310"/>
      <c r="AI77" s="310"/>
      <c r="AJ77" s="310"/>
      <c r="AK77" s="310"/>
      <c r="AL77" s="310"/>
      <c r="AM77" s="310"/>
      <c r="AN77" s="310"/>
      <c r="AO77" s="207"/>
      <c r="AP77" s="310">
        <v>21</v>
      </c>
      <c r="AQ77" s="310"/>
      <c r="AR77" s="76"/>
      <c r="AS77" s="310">
        <v>2</v>
      </c>
      <c r="AT77" s="310"/>
      <c r="AU77" s="310"/>
      <c r="AV77" s="310"/>
      <c r="AW77" s="310"/>
      <c r="AX77" s="581" t="s">
        <v>43</v>
      </c>
      <c r="AY77" s="581" t="s">
        <v>145</v>
      </c>
      <c r="AZ77" s="310"/>
      <c r="BA77" s="310"/>
      <c r="BB77" s="310"/>
      <c r="BC77" s="207"/>
      <c r="BD77" s="310">
        <v>9</v>
      </c>
      <c r="BE77" s="310"/>
      <c r="BF77" s="310"/>
      <c r="BG77" s="310">
        <v>5</v>
      </c>
      <c r="BH77" s="310"/>
      <c r="BI77" s="310"/>
      <c r="BJ77" s="310"/>
      <c r="BK77" s="310">
        <v>141</v>
      </c>
      <c r="BL77" s="310">
        <v>16</v>
      </c>
      <c r="BM77" s="207"/>
      <c r="BN77" s="79"/>
      <c r="BO77" s="81"/>
      <c r="BP77" s="207"/>
      <c r="BQ77" s="78" t="str">
        <f>IFERROR(WWWW[[#This Row],['#_Water sources treated]]/WWWW[[#This Row],['#_Water sources tested for contamination]],"no test")</f>
        <v>no test</v>
      </c>
      <c r="BR77" s="81" t="str">
        <f>IFERROR(WWWW[[#This Row],['#_Household received remediation action due to contamination]]/WWWW[[#This Row],['#_Household water samples tested for contamination]],"no test")</f>
        <v>no test</v>
      </c>
      <c r="BS77" s="80" t="str">
        <f>IF(AND(WWWW[[#This Row],[% of water sources treated]]="no test",WWWW[[#This Row],[% Household received corrective actions]]="no test"),"No Test","Tested")</f>
        <v>No Test</v>
      </c>
      <c r="BT77" s="80">
        <f>WWWW[[#This Row],['#_Constructed/existing protected hand dug well]]-WWWW[[#This Row],['#_Non-functional protected hand dug well]]</f>
        <v>1</v>
      </c>
      <c r="BU77" s="80">
        <f>(WWWW[[#This Row],['#_Constructed/Existing tube wells/boreholes/handpumps_WASH_agency]]+WWWW[[#This Row],['#_Non-Cluster partner water tube-wells/boreholes/handpumps]])-WWWW[[#This Row],['#_Non-functional tube wells/boreholes/handpumps]]</f>
        <v>1</v>
      </c>
      <c r="BV77" s="80">
        <f>WWWW[[#This Row],['#_Constructed/Existingwater storage tank with gravity fed reticulation system]]-WWWW[[#This Row],['#_Non-functional storage tank gravity fed reticulation system]]</f>
        <v>0</v>
      </c>
      <c r="BW77" s="80">
        <f>WWWW[[#This Row],['#_Water boating or water trucking]]</f>
        <v>0</v>
      </c>
      <c r="BX77" s="80">
        <f>WWWW[[#This Row],['#_Constructed/Existing water distribution system from river or natural spring]]</f>
        <v>0</v>
      </c>
      <c r="BY7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0.625</v>
      </c>
      <c r="CA77" s="81">
        <f>IF(WWWW[[#This Row],[Location Type 1]]="Village",WWWW[[#This Row],[Access to safe drinking water for Village]],WWWW[[#This Row],[Access to safe drinking water for Camp]])</f>
        <v>1</v>
      </c>
      <c r="CB77" s="79">
        <f>WWWW[[#This Row],[%Equitable and continuous access to sufficient quantity of safe drinking water]]*WWWW[[#This Row],[Total PoP ]]</f>
        <v>800</v>
      </c>
      <c r="CC77" s="81">
        <f>IF((WWWW[[#This Row],['#_Constructed/Existing protected/fenced ponds]]*250)/WWWW[[#This Row],[Total PoP ]]&gt;1,1,(WWWW[[#This Row],['#_Constructed/Existing protected/fenced ponds]]*250)/WWWW[[#This Row],[Total PoP ]])</f>
        <v>0</v>
      </c>
      <c r="CD77" s="79">
        <f>WWWW[[#This Row],[% Access to unimproved water points]]*WWWW[[#This Row],[Total PoP ]]</f>
        <v>0</v>
      </c>
      <c r="CE7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G77" s="79">
        <f>WWWW[[#This Row],[HRP1]]/500</f>
        <v>1.6</v>
      </c>
      <c r="CH77" s="78">
        <f>1-WWWW[[#This Row],[% Equitable and continuous access to sufficient quantity of domestic water]]</f>
        <v>0</v>
      </c>
      <c r="CI77" s="79">
        <f>WWWW[[#This Row],[%equitable and continuous access to sufficient quantity of safe drinking and domestic water''s GAP]]*WWWW[[#This Row],[Total PoP ]]</f>
        <v>0</v>
      </c>
      <c r="CJ77" s="80">
        <f>IF(WWWW[[#This Row],[Total required water points]]-WWWW[[#This Row],['#Water points coverage]]&lt;0,0,WWWW[[#This Row],[Total required water points]]-WWWW[[#This Row],['#Water points coverage]])</f>
        <v>0.39999999999999991</v>
      </c>
      <c r="CK77" s="80">
        <f>ROUND(IF(WWWW[[#This Row],[Total PoP ]]&lt;500,1,WWWW[[#This Row],[Total PoP ]]/500),0)</f>
        <v>2</v>
      </c>
      <c r="CL77" s="80">
        <f>(WWWW[[#This Row],['#_Constructed latrines_by_WASHAgencies]]+WWWW[[#This Row],['#_Non Cluster partner latrines]])-WWWW[[#This Row],['#_Non-functional latrines]]</f>
        <v>19</v>
      </c>
      <c r="CM7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0.47499999999999998</v>
      </c>
      <c r="CN7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380</v>
      </c>
      <c r="CO7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7" s="80">
        <f>IF(WWWW[[#This Row],[Location Type 1]]="Village","NA",IF(WWWW[[#This Row],['#_Constructed/Existing latrines in TLS]]*50&gt;WWWW[[#This Row],['#_students at TLS_CFS]],WWWW[[#This Row],['#_students at TLS_CFS]],(WWWW[[#This Row],['#_Constructed/Existing latrines in TLS]]*50)))</f>
        <v>0</v>
      </c>
      <c r="CQ77" s="80">
        <f>ROUND(IF(WWWW[[#This Row],[Location Type 1]]="camp",WWWW[[#This Row],[Total PoP ]]/20,IF(WWWW[[#This Row],[Location Type 1]]="Temporary Location",WWWW[[#This Row],[Total PoP ]]/50,(WWWW[[#This Row],[Total PoP ]]/6))),0)</f>
        <v>40</v>
      </c>
      <c r="CR77" s="79">
        <f>IF(WWWW[[#This Row],[Total required Latrines]]-(WWWW[[#This Row],['#_Constructed latrines_by_WASHAgencies]]+WWWW[[#This Row],['#_Non Cluster partner latrines]])&lt;0,0,WWWW[[#This Row],[Total required Latrines]]-(WWWW[[#This Row],['#_Constructed latrines_by_WASHAgencies]]+WWWW[[#This Row],['#_Non Cluster partner latrines]]))</f>
        <v>19</v>
      </c>
      <c r="CS77" s="78">
        <f>1-WWWW[[#This Row],[% people access to functioning Latrine]]</f>
        <v>0.52500000000000002</v>
      </c>
      <c r="CT77" s="82">
        <f>IF(OR(WWWW[[#This Row],['#_Non-functional latrines]]="",WWWW[[#This Row],['#_Non-functional latrines]]=0),0,WWWW[[#This Row],['#_Non-functional latrines]]/(WWWW[[#This Row],['#_Constructed latrines_by_WASHAgencies]]+WWWW[[#This Row],['#_Non Cluster partner latrines]]))</f>
        <v>9.5238095238095233E-2</v>
      </c>
      <c r="CU77" s="79">
        <f>IF(500*(WWWW[[#This Row],['#_male hygiene promoters]]+WWWW[[#This Row],['#_female hygiene promoters]])&gt;WWWW[[#This Row],[Total PoP ]],WWWW[[#This Row],[Total PoP ]],500*(WWWW[[#This Row],['#_male hygiene promoters]]+WWWW[[#This Row],['#_female hygiene promoters]]))</f>
        <v>0</v>
      </c>
      <c r="CV7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800</v>
      </c>
      <c r="CW7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80</v>
      </c>
      <c r="CX77" s="80">
        <f>IF(WWWW[[#This Row],['# People with access to soap]]&gt;WWWW[[#This Row],['# People with access to Sanity Pads]],WWWW[[#This Row],['# People with access to soap]],WWWW[[#This Row],['# People with access to Sanity Pads]])</f>
        <v>800</v>
      </c>
      <c r="CY77" s="80">
        <f>IF(WWWW[[#This Row],['# people reached by regular dedicated hygiene promotion_5]]&gt;WWWW[[#This Row],['# People received regular supply of hygiene items_6]],WWWW[[#This Row],['# people reached by regular dedicated hygiene promotion_5]],WWWW[[#This Row],['# People received regular supply of hygiene items_6]])</f>
        <v>800</v>
      </c>
      <c r="CZ77" s="78">
        <f>IF(WWWW[[#This Row],[HRP3]]/WWWW[[#This Row],[Total PoP ]]&gt;100%,100%,WWWW[[#This Row],[HRP3]]/WWWW[[#This Row],[Total PoP ]])</f>
        <v>1</v>
      </c>
      <c r="DA77" s="82">
        <f>1-WWWW[[#This Row],[Hygiene Coverage%]]</f>
        <v>0</v>
      </c>
      <c r="DB77" s="81">
        <f>WWWW[[#This Row],['# people reached by regular dedicated hygiene promotion_5]]/WWWW[[#This Row],[Total PoP ]]</f>
        <v>0</v>
      </c>
      <c r="DC77" s="81">
        <f>IF(WWWW[[#This Row],['#_households that received standard amount of soap for this quarter]]/WWWW[[#This Row],[Total HH]]&gt;1,1,WWWW[[#This Row],['#_households that received standard amount of soap for this quarter]]/WWWW[[#This Row],[Total HH]])</f>
        <v>1</v>
      </c>
      <c r="DD77" s="81">
        <f>IF(WWWW[[#This Row],['#_households that received standard amount of sanitary pads for this quarter]]/WWWW[[#This Row],[Total HH]]&gt;1,1,WWWW[[#This Row],['#_households that received standard amount of sanitary pads for this quarter]]/WWWW[[#This Row],[Total HH]])</f>
        <v>0.11347517730496454</v>
      </c>
      <c r="DE77" s="80">
        <f>WWWW[[#This Row],['#_Constructed/Existing hand washing stations]]-WWWW[[#This Row],['#_Non-Functional_hand_washing_stations]]</f>
        <v>9</v>
      </c>
      <c r="DF77" s="757">
        <f>IF(WWWW[[#This Row],['# Functional hand washing stations during reporting period]]*20&gt;WWWW[[#This Row],[Total HH]],WWWW[[#This Row],[Total HH]],WWWW[[#This Row],['# Functional hand washing stations during reporting period]]*20)</f>
        <v>141</v>
      </c>
      <c r="DG77" s="79">
        <f>IF(WWWW[[#This Row],[Is sufficient soap available for TLS? (Yes/No)]]="yes",WWWW[[#This Row],['#_Constructed/Existing hand washing stations at TLS]],0)</f>
        <v>0</v>
      </c>
      <c r="DH77" s="578">
        <f>IF(WWWW[[#This Row],['# Functional hand washing stations during reporting period]]*100&gt;WWWW[[#This Row],[Total PoP ]],WWWW[[#This Row],[Total PoP ]],WWWW[[#This Row],['# Functional hand washing stations during reporting period]]*100)</f>
        <v>800</v>
      </c>
      <c r="DI77" s="578" t="str">
        <f>IF(OR(WWWW[[#This Row],['#_students at TLS_CFS]]="",WWWW[[#This Row],['#_students at TLS_CFS]]=0),"No","Yes")</f>
        <v>No</v>
      </c>
      <c r="DJ77" s="231" t="str">
        <f>VLOOKUP(WWWW[[#This Row],[Site Name]],SiteDB6[[Site Name]:[CCCM Management]],6,FALSE)</f>
        <v>Yes</v>
      </c>
      <c r="DK77" s="231" t="str">
        <f>VLOOKUP(WWWW[[#This Row],[Site Name]],SiteDB6[[Site Name]:[CCCM Focal Agency]],7,FALSE)</f>
        <v>Shalom</v>
      </c>
      <c r="DL77" s="231" t="str">
        <f>VLOOKUP(WWWW[[#This Row],[Site Name]],SiteDB6[[Site Name]:[Location Type 1]],9,FALSE)</f>
        <v>Camp</v>
      </c>
      <c r="DM77" s="231" t="str">
        <f>VLOOKUP(WWWW[[#This Row],[Site Name]],SiteDB6[[Site Name]:[Type of Accommodation]],10,FALSE)</f>
        <v>Camp</v>
      </c>
      <c r="DN77" s="231" t="str">
        <f>VLOOKUP(WWWW[[#This Row],[Site Name]],SiteDB6[[Site Name]:[Ethnic or GCA/NGCA]],11,FALSE)</f>
        <v>GCA</v>
      </c>
      <c r="DO77" s="231">
        <f>VLOOKUP(WWWW[[#This Row],[Site Name]],SiteDB6[[Site Name]:[Lat]],12,FALSE)</f>
        <v>24.263174360000001</v>
      </c>
      <c r="DP77" s="231">
        <f>VLOOKUP(WWWW[[#This Row],[Site Name]],SiteDB6[[Site Name]:[Long]],13,FALSE)</f>
        <v>97.240183459999997</v>
      </c>
      <c r="DQ77" s="231" t="str">
        <f>VLOOKUP(WWWW[[#This Row],[Site Name]],SiteDB6[[Site Name]:[Pcode]],3,FALSE)</f>
        <v>MMR001CMP049</v>
      </c>
      <c r="DR77" s="207" t="str">
        <f t="shared" si="3"/>
        <v>Covered</v>
      </c>
      <c r="DS77" s="207"/>
      <c r="DT77" s="20"/>
      <c r="DU77" s="20"/>
      <c r="DV77" s="20"/>
      <c r="DW77" s="20"/>
      <c r="DX77" s="20"/>
      <c r="DY77" s="20"/>
      <c r="DZ77" s="20"/>
      <c r="EA77" s="20"/>
      <c r="EB77" s="20"/>
      <c r="EC77" s="20"/>
      <c r="ED77" s="20"/>
      <c r="EE77" s="20"/>
      <c r="EF77" s="20"/>
      <c r="EG77" s="20"/>
      <c r="EH77" s="20"/>
    </row>
    <row r="78" spans="1:138" ht="15.75" customHeight="1">
      <c r="A78" s="238" t="s">
        <v>2518</v>
      </c>
      <c r="B78" s="574" t="s">
        <v>38</v>
      </c>
      <c r="C78" s="574" t="s">
        <v>38</v>
      </c>
      <c r="D78" s="574" t="s">
        <v>3101</v>
      </c>
      <c r="E78" s="574" t="s">
        <v>39</v>
      </c>
      <c r="F78" s="574" t="s">
        <v>167</v>
      </c>
      <c r="G78" s="574" t="str">
        <f>VLOOKUP(WWWW[[#This Row],[Site Name]],SiteDB6[[Site Name]:[Location Type]],8,FALSE)</f>
        <v>Camp</v>
      </c>
      <c r="H78" s="574" t="s">
        <v>242</v>
      </c>
      <c r="I78" s="583">
        <v>63</v>
      </c>
      <c r="J78" s="583">
        <v>309</v>
      </c>
      <c r="K78" s="553">
        <v>43466</v>
      </c>
      <c r="L78" s="77" t="s">
        <v>2974</v>
      </c>
      <c r="M78" s="583"/>
      <c r="N78" s="583"/>
      <c r="O78" s="583"/>
      <c r="P78" s="583"/>
      <c r="Q78" s="574" t="s">
        <v>43</v>
      </c>
      <c r="R78" s="583"/>
      <c r="S78" s="583"/>
      <c r="T78" s="583"/>
      <c r="U78" s="583"/>
      <c r="V78" s="583"/>
      <c r="W78" s="583">
        <v>4</v>
      </c>
      <c r="X78" s="583"/>
      <c r="Y78" s="583"/>
      <c r="Z78" s="583"/>
      <c r="AA78" s="583"/>
      <c r="AB78" s="583"/>
      <c r="AC78" s="583"/>
      <c r="AD78" s="583"/>
      <c r="AE78" s="583"/>
      <c r="AF78" s="583"/>
      <c r="AG78" s="583"/>
      <c r="AH78" s="583"/>
      <c r="AI78" s="583"/>
      <c r="AJ78" s="583"/>
      <c r="AK78" s="583"/>
      <c r="AL78" s="583"/>
      <c r="AM78" s="583"/>
      <c r="AN78" s="583"/>
      <c r="AO78" s="578"/>
      <c r="AP78" s="601">
        <v>20</v>
      </c>
      <c r="AQ78" s="574"/>
      <c r="AR78" s="574"/>
      <c r="AS78" s="578"/>
      <c r="AT78" s="574"/>
      <c r="AU78" s="578"/>
      <c r="AV78" s="578"/>
      <c r="AW78" s="80"/>
      <c r="AX78" s="80" t="s">
        <v>43</v>
      </c>
      <c r="AY78" s="80" t="s">
        <v>145</v>
      </c>
      <c r="AZ78" s="80"/>
      <c r="BA78" s="80"/>
      <c r="BB78" s="578"/>
      <c r="BC78" s="578"/>
      <c r="BD78" s="578"/>
      <c r="BE78" s="578"/>
      <c r="BF78" s="578"/>
      <c r="BG78" s="602">
        <v>2</v>
      </c>
      <c r="BH78" s="578"/>
      <c r="BI78" s="583">
        <v>1</v>
      </c>
      <c r="BJ78" s="583">
        <v>1</v>
      </c>
      <c r="BK78" s="604">
        <v>30</v>
      </c>
      <c r="BL78" s="578"/>
      <c r="BM78" s="578"/>
      <c r="BN78" s="578"/>
      <c r="BO78" s="81"/>
      <c r="BP78" s="578"/>
      <c r="BQ78" s="78" t="str">
        <f>IFERROR(WWWW[[#This Row],['#_Water sources treated]]/WWWW[[#This Row],['#_Water sources tested for contamination]],"no test")</f>
        <v>no test</v>
      </c>
      <c r="BR78" s="81" t="str">
        <f>IFERROR(WWWW[[#This Row],['#_Household received remediation action due to contamination]]/WWWW[[#This Row],['#_Household water samples tested for contamination]],"no test")</f>
        <v>no test</v>
      </c>
      <c r="BS78" s="80" t="str">
        <f>IF(AND(WWWW[[#This Row],[% of water sources treated]]="no test",WWWW[[#This Row],[% Household received corrective actions]]="no test"),"No Test","Tested")</f>
        <v>No Test</v>
      </c>
      <c r="BT78" s="80">
        <f>WWWW[[#This Row],['#_Constructed/existing protected hand dug well]]-WWWW[[#This Row],['#_Non-functional protected hand dug well]]</f>
        <v>0</v>
      </c>
      <c r="BU78" s="80">
        <f>(WWWW[[#This Row],['#_Constructed/Existing tube wells/boreholes/handpumps_WASH_agency]]+WWWW[[#This Row],['#_Non-Cluster partner water tube-wells/boreholes/handpumps]])-WWWW[[#This Row],['#_Non-functional tube wells/boreholes/handpumps]]</f>
        <v>4</v>
      </c>
      <c r="BV78" s="80">
        <f>WWWW[[#This Row],['#_Constructed/Existingwater storage tank with gravity fed reticulation system]]-WWWW[[#This Row],['#_Non-functional storage tank gravity fed reticulation system]]</f>
        <v>0</v>
      </c>
      <c r="BW78" s="80">
        <f>WWWW[[#This Row],['#_Water boating or water trucking]]</f>
        <v>0</v>
      </c>
      <c r="BX78" s="80">
        <f>WWWW[[#This Row],['#_Constructed/Existing water distribution system from river or natural spring]]</f>
        <v>0</v>
      </c>
      <c r="BY7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8" s="81">
        <f>IF(WWWW[[#This Row],[Location Type 1]]="Village",WWWW[[#This Row],[Access to safe drinking water for Village]],WWWW[[#This Row],[Access to safe drinking water for Camp]])</f>
        <v>1</v>
      </c>
      <c r="CB78" s="79">
        <f>WWWW[[#This Row],[%Equitable and continuous access to sufficient quantity of safe drinking water]]*WWWW[[#This Row],[Total PoP ]]</f>
        <v>309</v>
      </c>
      <c r="CC78" s="81">
        <f>IF((WWWW[[#This Row],['#_Constructed/Existing protected/fenced ponds]]*250)/WWWW[[#This Row],[Total PoP ]]&gt;1,1,(WWWW[[#This Row],['#_Constructed/Existing protected/fenced ponds]]*250)/WWWW[[#This Row],[Total PoP ]])</f>
        <v>0</v>
      </c>
      <c r="CD78" s="79">
        <f>WWWW[[#This Row],[% Access to unimproved water points]]*WWWW[[#This Row],[Total PoP ]]</f>
        <v>0</v>
      </c>
      <c r="CE7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G78" s="79">
        <f>WWWW[[#This Row],[HRP1]]/500</f>
        <v>0.61799999999999999</v>
      </c>
      <c r="CH78" s="78">
        <f>1-WWWW[[#This Row],[% Equitable and continuous access to sufficient quantity of domestic water]]</f>
        <v>0</v>
      </c>
      <c r="CI78" s="79">
        <f>WWWW[[#This Row],[%equitable and continuous access to sufficient quantity of safe drinking and domestic water''s GAP]]*WWWW[[#This Row],[Total PoP ]]</f>
        <v>0</v>
      </c>
      <c r="CJ78" s="80">
        <f>IF(WWWW[[#This Row],[Total required water points]]-WWWW[[#This Row],['#Water points coverage]]&lt;0,0,WWWW[[#This Row],[Total required water points]]-WWWW[[#This Row],['#Water points coverage]])</f>
        <v>0.38200000000000001</v>
      </c>
      <c r="CK78" s="80">
        <f>ROUND(IF(WWWW[[#This Row],[Total PoP ]]&lt;500,1,WWWW[[#This Row],[Total PoP ]]/500),0)</f>
        <v>1</v>
      </c>
      <c r="CL78" s="80">
        <f>(WWWW[[#This Row],['#_Constructed latrines_by_WASHAgencies]]+WWWW[[#This Row],['#_Non Cluster partner latrines]])-WWWW[[#This Row],['#_Non-functional latrines]]</f>
        <v>20</v>
      </c>
      <c r="CM7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309</v>
      </c>
      <c r="CO7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8" s="80">
        <f>IF(WWWW[[#This Row],[Location Type 1]]="Village","NA",IF(WWWW[[#This Row],['#_Constructed/Existing latrines in TLS]]*50&gt;WWWW[[#This Row],['#_students at TLS_CFS]],WWWW[[#This Row],['#_students at TLS_CFS]],(WWWW[[#This Row],['#_Constructed/Existing latrines in TLS]]*50)))</f>
        <v>0</v>
      </c>
      <c r="CQ78" s="80">
        <f>ROUND(IF(WWWW[[#This Row],[Location Type 1]]="camp",WWWW[[#This Row],[Total PoP ]]/20,IF(WWWW[[#This Row],[Location Type 1]]="Temporary Location",WWWW[[#This Row],[Total PoP ]]/50,(WWWW[[#This Row],[Total PoP ]]/6))),0)</f>
        <v>15</v>
      </c>
      <c r="CR78" s="79">
        <f>IF(WWWW[[#This Row],[Total required Latrines]]-(WWWW[[#This Row],['#_Constructed latrines_by_WASHAgencies]]+WWWW[[#This Row],['#_Non Cluster partner latrines]])&lt;0,0,WWWW[[#This Row],[Total required Latrines]]-(WWWW[[#This Row],['#_Constructed latrines_by_WASHAgencies]]+WWWW[[#This Row],['#_Non Cluster partner latrines]]))</f>
        <v>0</v>
      </c>
      <c r="CS78" s="78">
        <f>1-WWWW[[#This Row],[% people access to functioning Latrine]]</f>
        <v>0</v>
      </c>
      <c r="CT78" s="82">
        <f>IF(OR(WWWW[[#This Row],['#_Non-functional latrines]]="",WWWW[[#This Row],['#_Non-functional latrines]]=0),0,WWWW[[#This Row],['#_Non-functional latrines]]/(WWWW[[#This Row],['#_Constructed latrines_by_WASHAgencies]]+WWWW[[#This Row],['#_Non Cluster partner latrines]]))</f>
        <v>0</v>
      </c>
      <c r="CU78" s="79">
        <f>IF(500*(WWWW[[#This Row],['#_male hygiene promoters]]+WWWW[[#This Row],['#_female hygiene promoters]])&gt;WWWW[[#This Row],[Total PoP ]],WWWW[[#This Row],[Total PoP ]],500*(WWWW[[#This Row],['#_male hygiene promoters]]+WWWW[[#This Row],['#_female hygiene promoters]]))</f>
        <v>309</v>
      </c>
      <c r="CV7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7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8" s="80">
        <f>IF(WWWW[[#This Row],['# People with access to soap]]&gt;WWWW[[#This Row],['# People with access to Sanity Pads]],WWWW[[#This Row],['# People with access to soap]],WWWW[[#This Row],['# People with access to Sanity Pads]])</f>
        <v>150</v>
      </c>
      <c r="CY78" s="80">
        <f>IF(WWWW[[#This Row],['# people reached by regular dedicated hygiene promotion_5]]&gt;WWWW[[#This Row],['# People received regular supply of hygiene items_6]],WWWW[[#This Row],['# people reached by regular dedicated hygiene promotion_5]],WWWW[[#This Row],['# People received regular supply of hygiene items_6]])</f>
        <v>309</v>
      </c>
      <c r="CZ78" s="78">
        <f>IF(WWWW[[#This Row],[HRP3]]/WWWW[[#This Row],[Total PoP ]]&gt;100%,100%,WWWW[[#This Row],[HRP3]]/WWWW[[#This Row],[Total PoP ]])</f>
        <v>1</v>
      </c>
      <c r="DA78" s="82">
        <f>1-WWWW[[#This Row],[Hygiene Coverage%]]</f>
        <v>0</v>
      </c>
      <c r="DB78" s="81">
        <f>WWWW[[#This Row],['# people reached by regular dedicated hygiene promotion_5]]/WWWW[[#This Row],[Total PoP ]]</f>
        <v>1</v>
      </c>
      <c r="DC78" s="81">
        <f>IF(WWWW[[#This Row],['#_households that received standard amount of soap for this quarter]]/WWWW[[#This Row],[Total HH]]&gt;1,1,WWWW[[#This Row],['#_households that received standard amount of soap for this quarter]]/WWWW[[#This Row],[Total HH]])</f>
        <v>0.47619047619047616</v>
      </c>
      <c r="DD78" s="81">
        <f>IF(WWWW[[#This Row],['#_households that received standard amount of sanitary pads for this quarter]]/WWWW[[#This Row],[Total HH]]&gt;1,1,WWWW[[#This Row],['#_households that received standard amount of sanitary pads for this quarter]]/WWWW[[#This Row],[Total HH]])</f>
        <v>0</v>
      </c>
      <c r="DE78" s="80">
        <f>WWWW[[#This Row],['#_Constructed/Existing hand washing stations]]-WWWW[[#This Row],['#_Non-Functional_hand_washing_stations]]</f>
        <v>0</v>
      </c>
      <c r="DF78" s="757">
        <f>IF(WWWW[[#This Row],['# Functional hand washing stations during reporting period]]*20&gt;WWWW[[#This Row],[Total HH]],WWWW[[#This Row],[Total HH]],WWWW[[#This Row],['# Functional hand washing stations during reporting period]]*20)</f>
        <v>0</v>
      </c>
      <c r="DG78" s="79">
        <f>IF(WWWW[[#This Row],[Is sufficient soap available for TLS? (Yes/No)]]="yes",WWWW[[#This Row],['#_Constructed/Existing hand washing stations at TLS]],0)</f>
        <v>0</v>
      </c>
      <c r="DH78" s="578">
        <f>IF(WWWW[[#This Row],['# Functional hand washing stations during reporting period]]*100&gt;WWWW[[#This Row],[Total PoP ]],WWWW[[#This Row],[Total PoP ]],WWWW[[#This Row],['# Functional hand washing stations during reporting period]]*100)</f>
        <v>0</v>
      </c>
      <c r="DI78" s="578" t="str">
        <f>IF(OR(WWWW[[#This Row],['#_students at TLS_CFS]]="",WWWW[[#This Row],['#_students at TLS_CFS]]=0),"No","Yes")</f>
        <v>No</v>
      </c>
      <c r="DJ78" s="231" t="str">
        <f>VLOOKUP(WWWW[[#This Row],[Site Name]],SiteDB6[[Site Name]:[CCCM Management]],6,FALSE)</f>
        <v>Yes</v>
      </c>
      <c r="DK78" s="231" t="str">
        <f>VLOOKUP(WWWW[[#This Row],[Site Name]],SiteDB6[[Site Name]:[CCCM Focal Agency]],7,FALSE)</f>
        <v>KMSS-MYT</v>
      </c>
      <c r="DL78" s="231" t="str">
        <f>VLOOKUP(WWWW[[#This Row],[Site Name]],SiteDB6[[Site Name]:[Location Type 1]],9,FALSE)</f>
        <v>Camp</v>
      </c>
      <c r="DM78" s="231" t="str">
        <f>VLOOKUP(WWWW[[#This Row],[Site Name]],SiteDB6[[Site Name]:[Type of Accommodation]],10,FALSE)</f>
        <v>Camp</v>
      </c>
      <c r="DN78" s="231" t="str">
        <f>VLOOKUP(WWWW[[#This Row],[Site Name]],SiteDB6[[Site Name]:[Ethnic or GCA/NGCA]],11,FALSE)</f>
        <v>GCA</v>
      </c>
      <c r="DO78" s="231">
        <f>VLOOKUP(WWWW[[#This Row],[Site Name]],SiteDB6[[Site Name]:[Lat]],12,FALSE)</f>
        <v>25.410569299999999</v>
      </c>
      <c r="DP78" s="231">
        <f>VLOOKUP(WWWW[[#This Row],[Site Name]],SiteDB6[[Site Name]:[Long]],13,FALSE)</f>
        <v>97.359320179999997</v>
      </c>
      <c r="DQ78" s="231" t="str">
        <f>VLOOKUP(WWWW[[#This Row],[Site Name]],SiteDB6[[Site Name]:[Pcode]],3,FALSE)</f>
        <v>MMR001CMP024</v>
      </c>
      <c r="DR78" s="207" t="str">
        <f t="shared" si="3"/>
        <v>Covered</v>
      </c>
      <c r="DS78" s="207"/>
      <c r="DT78" s="20"/>
      <c r="DU78" s="20"/>
      <c r="DV78" s="20"/>
      <c r="DW78" s="20"/>
      <c r="DX78" s="20"/>
      <c r="DY78" s="20"/>
      <c r="DZ78" s="20"/>
      <c r="EA78" s="20"/>
      <c r="EB78" s="20"/>
      <c r="EC78" s="20"/>
      <c r="ED78" s="20"/>
      <c r="EE78" s="20"/>
      <c r="EF78" s="20"/>
      <c r="EG78" s="20"/>
      <c r="EH78" s="20"/>
    </row>
    <row r="79" spans="1:138" ht="15.75" customHeight="1">
      <c r="A79" s="238" t="s">
        <v>2518</v>
      </c>
      <c r="B79" s="574" t="s">
        <v>200</v>
      </c>
      <c r="C79" s="574" t="s">
        <v>200</v>
      </c>
      <c r="D79" s="574" t="s">
        <v>2960</v>
      </c>
      <c r="E79" s="574" t="s">
        <v>39</v>
      </c>
      <c r="F79" s="574" t="s">
        <v>213</v>
      </c>
      <c r="G79" s="574" t="str">
        <f>VLOOKUP(WWWW[[#This Row],[Site Name]],SiteDB6[[Site Name]:[Location Type]],8,FALSE)</f>
        <v>Camp</v>
      </c>
      <c r="H79" s="574" t="s">
        <v>218</v>
      </c>
      <c r="I79" s="312">
        <v>242</v>
      </c>
      <c r="J79" s="312">
        <v>1258</v>
      </c>
      <c r="K79" s="553">
        <v>43466</v>
      </c>
      <c r="L79" s="77">
        <v>43830</v>
      </c>
      <c r="M79" s="583"/>
      <c r="N79" s="583"/>
      <c r="O79" s="583"/>
      <c r="P79" s="583"/>
      <c r="Q79" s="76" t="s">
        <v>144</v>
      </c>
      <c r="R79" s="310"/>
      <c r="S79" s="310"/>
      <c r="T79" s="310"/>
      <c r="U79" s="310"/>
      <c r="V79" s="310"/>
      <c r="W79" s="310">
        <v>2</v>
      </c>
      <c r="X79" s="310">
        <v>1</v>
      </c>
      <c r="Y79" s="310"/>
      <c r="Z79" s="310"/>
      <c r="AA79" s="310"/>
      <c r="AB79" s="310"/>
      <c r="AC79" s="310"/>
      <c r="AD79" s="310"/>
      <c r="AE79" s="310"/>
      <c r="AF79" s="310"/>
      <c r="AG79" s="310"/>
      <c r="AH79" s="310"/>
      <c r="AI79" s="310"/>
      <c r="AJ79" s="310"/>
      <c r="AK79" s="310"/>
      <c r="AL79" s="310"/>
      <c r="AM79" s="310"/>
      <c r="AN79" s="310"/>
      <c r="AO79" s="207"/>
      <c r="AP79" s="310">
        <v>40</v>
      </c>
      <c r="AQ79" s="310"/>
      <c r="AR79" s="76"/>
      <c r="AS79" s="310">
        <v>2</v>
      </c>
      <c r="AT79" s="310"/>
      <c r="AU79" s="310"/>
      <c r="AV79" s="310"/>
      <c r="AW79" s="310"/>
      <c r="AX79" s="581" t="s">
        <v>43</v>
      </c>
      <c r="AY79" s="581" t="s">
        <v>145</v>
      </c>
      <c r="AZ79" s="310"/>
      <c r="BA79" s="310"/>
      <c r="BB79" s="310"/>
      <c r="BC79" s="207"/>
      <c r="BD79" s="310">
        <v>17</v>
      </c>
      <c r="BE79" s="310"/>
      <c r="BF79" s="310"/>
      <c r="BG79" s="310">
        <v>5</v>
      </c>
      <c r="BH79" s="310"/>
      <c r="BI79" s="310"/>
      <c r="BJ79" s="310"/>
      <c r="BK79" s="310">
        <v>242</v>
      </c>
      <c r="BL79" s="310">
        <v>38</v>
      </c>
      <c r="BM79" s="207"/>
      <c r="BN79" s="79"/>
      <c r="BO79" s="81"/>
      <c r="BP79" s="207"/>
      <c r="BQ79" s="78" t="str">
        <f>IFERROR(WWWW[[#This Row],['#_Water sources treated]]/WWWW[[#This Row],['#_Water sources tested for contamination]],"no test")</f>
        <v>no test</v>
      </c>
      <c r="BR79" s="81" t="str">
        <f>IFERROR(WWWW[[#This Row],['#_Household received remediation action due to contamination]]/WWWW[[#This Row],['#_Household water samples tested for contamination]],"no test")</f>
        <v>no test</v>
      </c>
      <c r="BS79" s="80" t="str">
        <f>IF(AND(WWWW[[#This Row],[% of water sources treated]]="no test",WWWW[[#This Row],[% Household received corrective actions]]="no test"),"No Test","Tested")</f>
        <v>No Test</v>
      </c>
      <c r="BT79" s="80">
        <f>WWWW[[#This Row],['#_Constructed/existing protected hand dug well]]-WWWW[[#This Row],['#_Non-functional protected hand dug well]]</f>
        <v>0</v>
      </c>
      <c r="BU79" s="80">
        <f>(WWWW[[#This Row],['#_Constructed/Existing tube wells/boreholes/handpumps_WASH_agency]]+WWWW[[#This Row],['#_Non-Cluster partner water tube-wells/boreholes/handpumps]])-WWWW[[#This Row],['#_Non-functional tube wells/boreholes/handpumps]]</f>
        <v>3</v>
      </c>
      <c r="BV79" s="80">
        <f>WWWW[[#This Row],['#_Constructed/Existingwater storage tank with gravity fed reticulation system]]-WWWW[[#This Row],['#_Non-functional storage tank gravity fed reticulation system]]</f>
        <v>0</v>
      </c>
      <c r="BW79" s="80">
        <f>WWWW[[#This Row],['#_Water boating or water trucking]]</f>
        <v>0</v>
      </c>
      <c r="BX79" s="80">
        <f>WWWW[[#This Row],['#_Constructed/Existing water distribution system from river or natural spring]]</f>
        <v>0</v>
      </c>
      <c r="BY7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0.59618441971383151</v>
      </c>
      <c r="CA79" s="81">
        <f>IF(WWWW[[#This Row],[Location Type 1]]="Village",WWWW[[#This Row],[Access to safe drinking water for Village]],WWWW[[#This Row],[Access to safe drinking water for Camp]])</f>
        <v>1</v>
      </c>
      <c r="CB79" s="79">
        <f>WWWW[[#This Row],[%Equitable and continuous access to sufficient quantity of safe drinking water]]*WWWW[[#This Row],[Total PoP ]]</f>
        <v>1258</v>
      </c>
      <c r="CC79" s="81">
        <f>IF((WWWW[[#This Row],['#_Constructed/Existing protected/fenced ponds]]*250)/WWWW[[#This Row],[Total PoP ]]&gt;1,1,(WWWW[[#This Row],['#_Constructed/Existing protected/fenced ponds]]*250)/WWWW[[#This Row],[Total PoP ]])</f>
        <v>0</v>
      </c>
      <c r="CD79" s="79">
        <f>WWWW[[#This Row],[% Access to unimproved water points]]*WWWW[[#This Row],[Total PoP ]]</f>
        <v>0</v>
      </c>
      <c r="CE7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1258</v>
      </c>
      <c r="CG79" s="79">
        <f>WWWW[[#This Row],[HRP1]]/500</f>
        <v>2.516</v>
      </c>
      <c r="CH79" s="78">
        <f>1-WWWW[[#This Row],[% Equitable and continuous access to sufficient quantity of domestic water]]</f>
        <v>0</v>
      </c>
      <c r="CI79" s="79">
        <f>WWWW[[#This Row],[%equitable and continuous access to sufficient quantity of safe drinking and domestic water''s GAP]]*WWWW[[#This Row],[Total PoP ]]</f>
        <v>0</v>
      </c>
      <c r="CJ79" s="80">
        <f>IF(WWWW[[#This Row],[Total required water points]]-WWWW[[#This Row],['#Water points coverage]]&lt;0,0,WWWW[[#This Row],[Total required water points]]-WWWW[[#This Row],['#Water points coverage]])</f>
        <v>0.48399999999999999</v>
      </c>
      <c r="CK79" s="80">
        <f>ROUND(IF(WWWW[[#This Row],[Total PoP ]]&lt;500,1,WWWW[[#This Row],[Total PoP ]]/500),0)</f>
        <v>3</v>
      </c>
      <c r="CL79" s="80">
        <f>(WWWW[[#This Row],['#_Constructed latrines_by_WASHAgencies]]+WWWW[[#This Row],['#_Non Cluster partner latrines]])-WWWW[[#This Row],['#_Non-functional latrines]]</f>
        <v>38</v>
      </c>
      <c r="CM7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0.60413354531001595</v>
      </c>
      <c r="CN7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7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9" s="80">
        <f>IF(WWWW[[#This Row],[Location Type 1]]="Village","NA",IF(WWWW[[#This Row],['#_Constructed/Existing latrines in TLS]]*50&gt;WWWW[[#This Row],['#_students at TLS_CFS]],WWWW[[#This Row],['#_students at TLS_CFS]],(WWWW[[#This Row],['#_Constructed/Existing latrines in TLS]]*50)))</f>
        <v>0</v>
      </c>
      <c r="CQ79" s="80">
        <f>ROUND(IF(WWWW[[#This Row],[Location Type 1]]="camp",WWWW[[#This Row],[Total PoP ]]/20,IF(WWWW[[#This Row],[Location Type 1]]="Temporary Location",WWWW[[#This Row],[Total PoP ]]/50,(WWWW[[#This Row],[Total PoP ]]/6))),0)</f>
        <v>63</v>
      </c>
      <c r="CR79" s="79">
        <f>IF(WWWW[[#This Row],[Total required Latrines]]-(WWWW[[#This Row],['#_Constructed latrines_by_WASHAgencies]]+WWWW[[#This Row],['#_Non Cluster partner latrines]])&lt;0,0,WWWW[[#This Row],[Total required Latrines]]-(WWWW[[#This Row],['#_Constructed latrines_by_WASHAgencies]]+WWWW[[#This Row],['#_Non Cluster partner latrines]]))</f>
        <v>23</v>
      </c>
      <c r="CS79" s="78">
        <f>1-WWWW[[#This Row],[% people access to functioning Latrine]]</f>
        <v>0.39586645468998405</v>
      </c>
      <c r="CT79" s="82">
        <f>IF(OR(WWWW[[#This Row],['#_Non-functional latrines]]="",WWWW[[#This Row],['#_Non-functional latrines]]=0),0,WWWW[[#This Row],['#_Non-functional latrines]]/(WWWW[[#This Row],['#_Constructed latrines_by_WASHAgencies]]+WWWW[[#This Row],['#_Non Cluster partner latrines]]))</f>
        <v>0.05</v>
      </c>
      <c r="CU79" s="79">
        <f>IF(500*(WWWW[[#This Row],['#_male hygiene promoters]]+WWWW[[#This Row],['#_female hygiene promoters]])&gt;WWWW[[#This Row],[Total PoP ]],WWWW[[#This Row],[Total PoP ]],500*(WWWW[[#This Row],['#_male hygiene promoters]]+WWWW[[#This Row],['#_female hygiene promoters]]))</f>
        <v>0</v>
      </c>
      <c r="CV7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1258</v>
      </c>
      <c r="CW7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190</v>
      </c>
      <c r="CX79" s="80">
        <f>IF(WWWW[[#This Row],['# People with access to soap]]&gt;WWWW[[#This Row],['# People with access to Sanity Pads]],WWWW[[#This Row],['# People with access to soap]],WWWW[[#This Row],['# People with access to Sanity Pads]])</f>
        <v>1258</v>
      </c>
      <c r="CY79" s="80">
        <f>IF(WWWW[[#This Row],['# people reached by regular dedicated hygiene promotion_5]]&gt;WWWW[[#This Row],['# People received regular supply of hygiene items_6]],WWWW[[#This Row],['# people reached by regular dedicated hygiene promotion_5]],WWWW[[#This Row],['# People received regular supply of hygiene items_6]])</f>
        <v>1258</v>
      </c>
      <c r="CZ79" s="78">
        <f>IF(WWWW[[#This Row],[HRP3]]/WWWW[[#This Row],[Total PoP ]]&gt;100%,100%,WWWW[[#This Row],[HRP3]]/WWWW[[#This Row],[Total PoP ]])</f>
        <v>1</v>
      </c>
      <c r="DA79" s="82">
        <f>1-WWWW[[#This Row],[Hygiene Coverage%]]</f>
        <v>0</v>
      </c>
      <c r="DB79" s="81">
        <f>WWWW[[#This Row],['# people reached by regular dedicated hygiene promotion_5]]/WWWW[[#This Row],[Total PoP ]]</f>
        <v>0</v>
      </c>
      <c r="DC79" s="81">
        <f>IF(WWWW[[#This Row],['#_households that received standard amount of soap for this quarter]]/WWWW[[#This Row],[Total HH]]&gt;1,1,WWWW[[#This Row],['#_households that received standard amount of soap for this quarter]]/WWWW[[#This Row],[Total HH]])</f>
        <v>1</v>
      </c>
      <c r="DD79" s="81">
        <f>IF(WWWW[[#This Row],['#_households that received standard amount of sanitary pads for this quarter]]/WWWW[[#This Row],[Total HH]]&gt;1,1,WWWW[[#This Row],['#_households that received standard amount of sanitary pads for this quarter]]/WWWW[[#This Row],[Total HH]])</f>
        <v>0.15702479338842976</v>
      </c>
      <c r="DE79" s="80">
        <f>WWWW[[#This Row],['#_Constructed/Existing hand washing stations]]-WWWW[[#This Row],['#_Non-Functional_hand_washing_stations]]</f>
        <v>17</v>
      </c>
      <c r="DF79" s="757">
        <f>IF(WWWW[[#This Row],['# Functional hand washing stations during reporting period]]*20&gt;WWWW[[#This Row],[Total HH]],WWWW[[#This Row],[Total HH]],WWWW[[#This Row],['# Functional hand washing stations during reporting period]]*20)</f>
        <v>242</v>
      </c>
      <c r="DG79" s="79">
        <f>IF(WWWW[[#This Row],[Is sufficient soap available for TLS? (Yes/No)]]="yes",WWWW[[#This Row],['#_Constructed/Existing hand washing stations at TLS]],0)</f>
        <v>0</v>
      </c>
      <c r="DH79" s="578">
        <f>IF(WWWW[[#This Row],['# Functional hand washing stations during reporting period]]*100&gt;WWWW[[#This Row],[Total PoP ]],WWWW[[#This Row],[Total PoP ]],WWWW[[#This Row],['# Functional hand washing stations during reporting period]]*100)</f>
        <v>1258</v>
      </c>
      <c r="DI79" s="578" t="str">
        <f>IF(OR(WWWW[[#This Row],['#_students at TLS_CFS]]="",WWWW[[#This Row],['#_students at TLS_CFS]]=0),"No","Yes")</f>
        <v>No</v>
      </c>
      <c r="DJ79" s="231" t="str">
        <f>VLOOKUP(WWWW[[#This Row],[Site Name]],SiteDB6[[Site Name]:[CCCM Management]],6,FALSE)</f>
        <v>Yes</v>
      </c>
      <c r="DK79" s="231" t="str">
        <f>VLOOKUP(WWWW[[#This Row],[Site Name]],SiteDB6[[Site Name]:[CCCM Focal Agency]],7,FALSE)</f>
        <v>KMSS-BMO</v>
      </c>
      <c r="DL79" s="231" t="str">
        <f>VLOOKUP(WWWW[[#This Row],[Site Name]],SiteDB6[[Site Name]:[Location Type 1]],9,FALSE)</f>
        <v>Camp</v>
      </c>
      <c r="DM79" s="231" t="str">
        <f>VLOOKUP(WWWW[[#This Row],[Site Name]],SiteDB6[[Site Name]:[Type of Accommodation]],10,FALSE)</f>
        <v>Camp</v>
      </c>
      <c r="DN79" s="231" t="str">
        <f>VLOOKUP(WWWW[[#This Row],[Site Name]],SiteDB6[[Site Name]:[Ethnic or GCA/NGCA]],11,FALSE)</f>
        <v>GCA</v>
      </c>
      <c r="DO79" s="231">
        <f>VLOOKUP(WWWW[[#This Row],[Site Name]],SiteDB6[[Site Name]:[Lat]],12,FALSE)</f>
        <v>24.245100000000001</v>
      </c>
      <c r="DP79" s="231">
        <f>VLOOKUP(WWWW[[#This Row],[Site Name]],SiteDB6[[Site Name]:[Long]],13,FALSE)</f>
        <v>97.325019999999995</v>
      </c>
      <c r="DQ79" s="231" t="str">
        <f>VLOOKUP(WWWW[[#This Row],[Site Name]],SiteDB6[[Site Name]:[Pcode]],3,FALSE)</f>
        <v>MMR001CMP062</v>
      </c>
      <c r="DR79" s="207" t="str">
        <f t="shared" si="3"/>
        <v>Covered</v>
      </c>
      <c r="DS79" s="207"/>
      <c r="DT79" s="20"/>
      <c r="DU79" s="20"/>
      <c r="DV79" s="20"/>
      <c r="DW79" s="20"/>
      <c r="DX79" s="20"/>
      <c r="DY79" s="20"/>
      <c r="DZ79" s="20"/>
      <c r="EA79" s="20"/>
      <c r="EB79" s="20"/>
      <c r="EC79" s="20"/>
      <c r="ED79" s="20"/>
      <c r="EE79" s="20"/>
      <c r="EF79" s="20"/>
      <c r="EG79" s="20"/>
      <c r="EH79" s="20"/>
    </row>
    <row r="80" spans="1:138" ht="15.75" customHeight="1">
      <c r="A80" s="238" t="s">
        <v>2518</v>
      </c>
      <c r="B80" s="574" t="s">
        <v>284</v>
      </c>
      <c r="C80" s="574" t="s">
        <v>284</v>
      </c>
      <c r="D80" s="574" t="s">
        <v>2955</v>
      </c>
      <c r="E80" s="574" t="s">
        <v>39</v>
      </c>
      <c r="F80" s="574" t="s">
        <v>213</v>
      </c>
      <c r="G80" s="574" t="str">
        <f>VLOOKUP(WWWW[[#This Row],[Site Name]],SiteDB6[[Site Name]:[Location Type]],8,FALSE)</f>
        <v>Camp</v>
      </c>
      <c r="H80" s="574" t="s">
        <v>290</v>
      </c>
      <c r="I80" s="583">
        <v>70</v>
      </c>
      <c r="J80" s="583">
        <v>405</v>
      </c>
      <c r="K80" s="553" t="s">
        <v>2956</v>
      </c>
      <c r="L80" s="77" t="s">
        <v>2957</v>
      </c>
      <c r="M80" s="583"/>
      <c r="N80" s="583"/>
      <c r="O80" s="583"/>
      <c r="P80" s="583">
        <v>0</v>
      </c>
      <c r="Q80" s="76" t="s">
        <v>43</v>
      </c>
      <c r="R80" s="310">
        <v>10</v>
      </c>
      <c r="S80" s="310">
        <v>12</v>
      </c>
      <c r="T80" s="310">
        <v>0</v>
      </c>
      <c r="U80" s="310">
        <v>0</v>
      </c>
      <c r="V80" s="310"/>
      <c r="W80" s="310">
        <v>1</v>
      </c>
      <c r="X80" s="310">
        <v>0</v>
      </c>
      <c r="Y80" s="310"/>
      <c r="Z80" s="310">
        <v>1</v>
      </c>
      <c r="AA80" s="310"/>
      <c r="AB80" s="310"/>
      <c r="AC80" s="310"/>
      <c r="AD80" s="310"/>
      <c r="AE80" s="310"/>
      <c r="AF80" s="310"/>
      <c r="AG80" s="310"/>
      <c r="AH80" s="310"/>
      <c r="AI80" s="310">
        <v>2</v>
      </c>
      <c r="AJ80" s="310">
        <v>2</v>
      </c>
      <c r="AK80" s="310">
        <v>8</v>
      </c>
      <c r="AL80" s="310">
        <v>0</v>
      </c>
      <c r="AM80" s="310"/>
      <c r="AN80" s="310"/>
      <c r="AO80" s="207"/>
      <c r="AP80" s="310">
        <v>18</v>
      </c>
      <c r="AQ80" s="310"/>
      <c r="AR80" s="76"/>
      <c r="AS80" s="310"/>
      <c r="AT80" s="310"/>
      <c r="AU80" s="310">
        <v>4</v>
      </c>
      <c r="AV80" s="310"/>
      <c r="AW80" s="310"/>
      <c r="AX80" s="231" t="s">
        <v>43</v>
      </c>
      <c r="AY80" s="231" t="s">
        <v>145</v>
      </c>
      <c r="AZ80" s="310">
        <v>0</v>
      </c>
      <c r="BA80" s="310">
        <v>0</v>
      </c>
      <c r="BB80" s="310"/>
      <c r="BC80" s="207"/>
      <c r="BD80" s="310">
        <v>5</v>
      </c>
      <c r="BE80" s="310">
        <v>0</v>
      </c>
      <c r="BF80" s="310"/>
      <c r="BG80" s="310">
        <v>3</v>
      </c>
      <c r="BH80" s="310"/>
      <c r="BI80" s="310">
        <v>0</v>
      </c>
      <c r="BJ80" s="310">
        <v>2</v>
      </c>
      <c r="BK80" s="310">
        <v>15</v>
      </c>
      <c r="BL80" s="310">
        <v>64</v>
      </c>
      <c r="BM80" s="207"/>
      <c r="BN80" s="79"/>
      <c r="BO80" s="81"/>
      <c r="BP80" s="207"/>
      <c r="BQ80" s="78">
        <f>IFERROR(WWWW[[#This Row],['#_Water sources treated]]/WWWW[[#This Row],['#_Water sources tested for contamination]],"no test")</f>
        <v>1</v>
      </c>
      <c r="BR80" s="81">
        <f>IFERROR(WWWW[[#This Row],['#_Household received remediation action due to contamination]]/WWWW[[#This Row],['#_Household water samples tested for contamination]],"no test")</f>
        <v>0</v>
      </c>
      <c r="BS80" s="80" t="str">
        <f>IF(AND(WWWW[[#This Row],[% of water sources treated]]="no test",WWWW[[#This Row],[% Household received corrective actions]]="no test"),"No Test","Tested")</f>
        <v>Tested</v>
      </c>
      <c r="BT80" s="80">
        <f>WWWW[[#This Row],['#_Constructed/existing protected hand dug well]]-WWWW[[#This Row],['#_Non-functional protected hand dug well]]</f>
        <v>0</v>
      </c>
      <c r="BU80" s="80">
        <f>(WWWW[[#This Row],['#_Constructed/Existing tube wells/boreholes/handpumps_WASH_agency]]+WWWW[[#This Row],['#_Non-Cluster partner water tube-wells/boreholes/handpumps]])-WWWW[[#This Row],['#_Non-functional tube wells/boreholes/handpumps]]</f>
        <v>1</v>
      </c>
      <c r="BV80" s="80">
        <f>WWWW[[#This Row],['#_Constructed/Existingwater storage tank with gravity fed reticulation system]]-WWWW[[#This Row],['#_Non-functional storage tank gravity fed reticulation system]]</f>
        <v>0</v>
      </c>
      <c r="BW80" s="80">
        <f>WWWW[[#This Row],['#_Water boating or water trucking]]</f>
        <v>0</v>
      </c>
      <c r="BX80" s="80">
        <f>WWWW[[#This Row],['#_Constructed/Existing water distribution system from river or natural spring]]</f>
        <v>0</v>
      </c>
      <c r="BY8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0.61728395061728392</v>
      </c>
      <c r="CA80" s="81">
        <f>IF(WWWW[[#This Row],[Location Type 1]]="Village",WWWW[[#This Row],[Access to safe drinking water for Village]],WWWW[[#This Row],[Access to safe drinking water for Camp]])</f>
        <v>1</v>
      </c>
      <c r="CB80" s="79">
        <f>WWWW[[#This Row],[%Equitable and continuous access to sufficient quantity of safe drinking water]]*WWWW[[#This Row],[Total PoP ]]</f>
        <v>405</v>
      </c>
      <c r="CC80" s="81">
        <f>IF((WWWW[[#This Row],['#_Constructed/Existing protected/fenced ponds]]*250)/WWWW[[#This Row],[Total PoP ]]&gt;1,1,(WWWW[[#This Row],['#_Constructed/Existing protected/fenced ponds]]*250)/WWWW[[#This Row],[Total PoP ]])</f>
        <v>0</v>
      </c>
      <c r="CD80" s="79">
        <f>WWWW[[#This Row],[% Access to unimproved water points]]*WWWW[[#This Row],[Total PoP ]]</f>
        <v>0</v>
      </c>
      <c r="CE8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405</v>
      </c>
      <c r="CG80" s="79">
        <f>WWWW[[#This Row],[HRP1]]/500</f>
        <v>0.81</v>
      </c>
      <c r="CH80" s="78">
        <f>1-WWWW[[#This Row],[% Equitable and continuous access to sufficient quantity of domestic water]]</f>
        <v>0</v>
      </c>
      <c r="CI80" s="79">
        <f>WWWW[[#This Row],[%equitable and continuous access to sufficient quantity of safe drinking and domestic water''s GAP]]*WWWW[[#This Row],[Total PoP ]]</f>
        <v>0</v>
      </c>
      <c r="CJ80" s="80">
        <f>IF(WWWW[[#This Row],[Total required water points]]-WWWW[[#This Row],['#Water points coverage]]&lt;0,0,WWWW[[#This Row],[Total required water points]]-WWWW[[#This Row],['#Water points coverage]])</f>
        <v>0.18999999999999995</v>
      </c>
      <c r="CK80" s="80">
        <f>ROUND(IF(WWWW[[#This Row],[Total PoP ]]&lt;500,1,WWWW[[#This Row],[Total PoP ]]/500),0)</f>
        <v>1</v>
      </c>
      <c r="CL80" s="80">
        <f>(WWWW[[#This Row],['#_Constructed latrines_by_WASHAgencies]]+WWWW[[#This Row],['#_Non Cluster partner latrines]])-WWWW[[#This Row],['#_Non-functional latrines]]</f>
        <v>18</v>
      </c>
      <c r="CM8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0.88888888888888884</v>
      </c>
      <c r="CN8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360</v>
      </c>
      <c r="CO8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P80" s="80">
        <f>IF(WWWW[[#This Row],[Location Type 1]]="Village","NA",IF(WWWW[[#This Row],['#_Constructed/Existing latrines in TLS]]*50&gt;WWWW[[#This Row],['#_students at TLS_CFS]],WWWW[[#This Row],['#_students at TLS_CFS]],(WWWW[[#This Row],['#_Constructed/Existing latrines in TLS]]*50)))</f>
        <v>0</v>
      </c>
      <c r="CQ80" s="80">
        <f>ROUND(IF(WWWW[[#This Row],[Location Type 1]]="camp",WWWW[[#This Row],[Total PoP ]]/20,IF(WWWW[[#This Row],[Location Type 1]]="Temporary Location",WWWW[[#This Row],[Total PoP ]]/50,(WWWW[[#This Row],[Total PoP ]]/6))),0)</f>
        <v>20</v>
      </c>
      <c r="CR80" s="79">
        <f>IF(WWWW[[#This Row],[Total required Latrines]]-(WWWW[[#This Row],['#_Constructed latrines_by_WASHAgencies]]+WWWW[[#This Row],['#_Non Cluster partner latrines]])&lt;0,0,WWWW[[#This Row],[Total required Latrines]]-(WWWW[[#This Row],['#_Constructed latrines_by_WASHAgencies]]+WWWW[[#This Row],['#_Non Cluster partner latrines]]))</f>
        <v>2</v>
      </c>
      <c r="CS80" s="78">
        <f>1-WWWW[[#This Row],[% people access to functioning Latrine]]</f>
        <v>0.11111111111111116</v>
      </c>
      <c r="CT80" s="82">
        <f>IF(OR(WWWW[[#This Row],['#_Non-functional latrines]]="",WWWW[[#This Row],['#_Non-functional latrines]]=0),0,WWWW[[#This Row],['#_Non-functional latrines]]/(WWWW[[#This Row],['#_Constructed latrines_by_WASHAgencies]]+WWWW[[#This Row],['#_Non Cluster partner latrines]]))</f>
        <v>0</v>
      </c>
      <c r="CU80" s="79">
        <f>IF(500*(WWWW[[#This Row],['#_male hygiene promoters]]+WWWW[[#This Row],['#_female hygiene promoters]])&gt;WWWW[[#This Row],[Total PoP ]],WWWW[[#This Row],[Total PoP ]],500*(WWWW[[#This Row],['#_male hygiene promoters]]+WWWW[[#This Row],['#_female hygiene promoters]]))</f>
        <v>405</v>
      </c>
      <c r="CV8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75</v>
      </c>
      <c r="CW8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320</v>
      </c>
      <c r="CX80" s="80">
        <f>IF(WWWW[[#This Row],['# People with access to soap]]&gt;WWWW[[#This Row],['# People with access to Sanity Pads]],WWWW[[#This Row],['# People with access to soap]],WWWW[[#This Row],['# People with access to Sanity Pads]])</f>
        <v>320</v>
      </c>
      <c r="CY80" s="80">
        <f>IF(WWWW[[#This Row],['# people reached by regular dedicated hygiene promotion_5]]&gt;WWWW[[#This Row],['# People received regular supply of hygiene items_6]],WWWW[[#This Row],['# people reached by regular dedicated hygiene promotion_5]],WWWW[[#This Row],['# People received regular supply of hygiene items_6]])</f>
        <v>405</v>
      </c>
      <c r="CZ80" s="78">
        <f>IF(WWWW[[#This Row],[HRP3]]/WWWW[[#This Row],[Total PoP ]]&gt;100%,100%,WWWW[[#This Row],[HRP3]]/WWWW[[#This Row],[Total PoP ]])</f>
        <v>1</v>
      </c>
      <c r="DA80" s="82">
        <f>1-WWWW[[#This Row],[Hygiene Coverage%]]</f>
        <v>0</v>
      </c>
      <c r="DB80" s="81">
        <f>WWWW[[#This Row],['# people reached by regular dedicated hygiene promotion_5]]/WWWW[[#This Row],[Total PoP ]]</f>
        <v>1</v>
      </c>
      <c r="DC80" s="81">
        <f>IF(WWWW[[#This Row],['#_households that received standard amount of soap for this quarter]]/WWWW[[#This Row],[Total HH]]&gt;1,1,WWWW[[#This Row],['#_households that received standard amount of soap for this quarter]]/WWWW[[#This Row],[Total HH]])</f>
        <v>0.21428571428571427</v>
      </c>
      <c r="DD80" s="81">
        <f>IF(WWWW[[#This Row],['#_households that received standard amount of sanitary pads for this quarter]]/WWWW[[#This Row],[Total HH]]&gt;1,1,WWWW[[#This Row],['#_households that received standard amount of sanitary pads for this quarter]]/WWWW[[#This Row],[Total HH]])</f>
        <v>0.91428571428571426</v>
      </c>
      <c r="DE80" s="80">
        <f>WWWW[[#This Row],['#_Constructed/Existing hand washing stations]]-WWWW[[#This Row],['#_Non-Functional_hand_washing_stations]]</f>
        <v>5</v>
      </c>
      <c r="DF80" s="757">
        <f>IF(WWWW[[#This Row],['# Functional hand washing stations during reporting period]]*20&gt;WWWW[[#This Row],[Total HH]],WWWW[[#This Row],[Total HH]],WWWW[[#This Row],['# Functional hand washing stations during reporting period]]*20)</f>
        <v>70</v>
      </c>
      <c r="DG80" s="79">
        <f>IF(WWWW[[#This Row],[Is sufficient soap available for TLS? (Yes/No)]]="yes",WWWW[[#This Row],['#_Constructed/Existing hand washing stations at TLS]],0)</f>
        <v>0</v>
      </c>
      <c r="DH80" s="578">
        <f>IF(WWWW[[#This Row],['# Functional hand washing stations during reporting period]]*100&gt;WWWW[[#This Row],[Total PoP ]],WWWW[[#This Row],[Total PoP ]],WWWW[[#This Row],['# Functional hand washing stations during reporting period]]*100)</f>
        <v>405</v>
      </c>
      <c r="DI80" s="578" t="str">
        <f>IF(OR(WWWW[[#This Row],['#_students at TLS_CFS]]="",WWWW[[#This Row],['#_students at TLS_CFS]]=0),"No","Yes")</f>
        <v>No</v>
      </c>
      <c r="DJ80" s="231" t="str">
        <f>VLOOKUP(WWWW[[#This Row],[Site Name]],SiteDB6[[Site Name]:[CCCM Management]],6,FALSE)</f>
        <v>Yes</v>
      </c>
      <c r="DK80" s="231" t="str">
        <f>VLOOKUP(WWWW[[#This Row],[Site Name]],SiteDB6[[Site Name]:[CCCM Focal Agency]],7,FALSE)</f>
        <v>KMSS-BMO</v>
      </c>
      <c r="DL80" s="231" t="str">
        <f>VLOOKUP(WWWW[[#This Row],[Site Name]],SiteDB6[[Site Name]:[Location Type 1]],9,FALSE)</f>
        <v>Camp</v>
      </c>
      <c r="DM80" s="231" t="str">
        <f>VLOOKUP(WWWW[[#This Row],[Site Name]],SiteDB6[[Site Name]:[Type of Accommodation]],10,FALSE)</f>
        <v>Camp</v>
      </c>
      <c r="DN80" s="231" t="str">
        <f>VLOOKUP(WWWW[[#This Row],[Site Name]],SiteDB6[[Site Name]:[Ethnic or GCA/NGCA]],11,FALSE)</f>
        <v>GCA</v>
      </c>
      <c r="DO80" s="231">
        <f>VLOOKUP(WWWW[[#This Row],[Site Name]],SiteDB6[[Site Name]:[Lat]],12,FALSE)</f>
        <v>24.205417000000001</v>
      </c>
      <c r="DP80" s="231">
        <f>VLOOKUP(WWWW[[#This Row],[Site Name]],SiteDB6[[Site Name]:[Long]],13,FALSE)</f>
        <v>97.724566999999993</v>
      </c>
      <c r="DQ80" s="231" t="str">
        <f>VLOOKUP(WWWW[[#This Row],[Site Name]],SiteDB6[[Site Name]:[Pcode]],3,FALSE)</f>
        <v>MMR001CMP069</v>
      </c>
      <c r="DR80" s="207" t="str">
        <f t="shared" si="3"/>
        <v>Covered</v>
      </c>
      <c r="DS80" s="207"/>
      <c r="DT80" s="20"/>
      <c r="DU80" s="20"/>
      <c r="DV80" s="20"/>
      <c r="DW80" s="20"/>
      <c r="DX80" s="20"/>
      <c r="DY80" s="20"/>
      <c r="DZ80" s="20"/>
      <c r="EA80" s="20"/>
      <c r="EB80" s="20"/>
      <c r="EC80" s="20"/>
      <c r="ED80" s="20"/>
      <c r="EE80" s="20"/>
      <c r="EF80" s="20"/>
      <c r="EG80" s="20"/>
      <c r="EH80" s="20"/>
    </row>
    <row r="81" spans="1:138" ht="15.75" customHeight="1">
      <c r="A81" s="238" t="s">
        <v>2518</v>
      </c>
      <c r="B81" s="574" t="s">
        <v>200</v>
      </c>
      <c r="C81" s="574" t="s">
        <v>200</v>
      </c>
      <c r="D81" s="574" t="s">
        <v>2960</v>
      </c>
      <c r="E81" s="574" t="s">
        <v>39</v>
      </c>
      <c r="F81" s="574" t="s">
        <v>213</v>
      </c>
      <c r="G81" s="574" t="str">
        <f>VLOOKUP(WWWW[[#This Row],[Site Name]],SiteDB6[[Site Name]:[Location Type]],8,FALSE)</f>
        <v>Camp</v>
      </c>
      <c r="H81" s="574" t="s">
        <v>219</v>
      </c>
      <c r="I81" s="312">
        <v>3</v>
      </c>
      <c r="J81" s="312">
        <v>13</v>
      </c>
      <c r="K81" s="553">
        <v>43466</v>
      </c>
      <c r="L81" s="77">
        <v>43830</v>
      </c>
      <c r="M81" s="583"/>
      <c r="N81" s="583"/>
      <c r="O81" s="583"/>
      <c r="P81" s="583"/>
      <c r="Q81" s="76" t="s">
        <v>144</v>
      </c>
      <c r="R81" s="310"/>
      <c r="S81" s="310"/>
      <c r="T81" s="310"/>
      <c r="U81" s="310"/>
      <c r="V81" s="310"/>
      <c r="W81" s="310"/>
      <c r="X81" s="310">
        <v>1</v>
      </c>
      <c r="Y81" s="310"/>
      <c r="Z81" s="310"/>
      <c r="AA81" s="310"/>
      <c r="AB81" s="310"/>
      <c r="AC81" s="310"/>
      <c r="AD81" s="310"/>
      <c r="AE81" s="310"/>
      <c r="AF81" s="310"/>
      <c r="AG81" s="310"/>
      <c r="AH81" s="310"/>
      <c r="AI81" s="310"/>
      <c r="AJ81" s="310"/>
      <c r="AK81" s="310"/>
      <c r="AL81" s="310"/>
      <c r="AM81" s="310"/>
      <c r="AN81" s="310"/>
      <c r="AO81" s="207"/>
      <c r="AP81" s="310">
        <v>1</v>
      </c>
      <c r="AQ81" s="310"/>
      <c r="AR81" s="76"/>
      <c r="AS81" s="310"/>
      <c r="AT81" s="310"/>
      <c r="AU81" s="310"/>
      <c r="AV81" s="310"/>
      <c r="AW81" s="310"/>
      <c r="AX81" s="581" t="s">
        <v>43</v>
      </c>
      <c r="AY81" s="581" t="s">
        <v>145</v>
      </c>
      <c r="AZ81" s="310"/>
      <c r="BA81" s="310"/>
      <c r="BB81" s="310"/>
      <c r="BC81" s="207"/>
      <c r="BD81" s="310">
        <v>0</v>
      </c>
      <c r="BE81" s="310"/>
      <c r="BF81" s="310"/>
      <c r="BG81" s="310">
        <v>1</v>
      </c>
      <c r="BH81" s="310"/>
      <c r="BI81" s="310"/>
      <c r="BJ81" s="310"/>
      <c r="BK81" s="310"/>
      <c r="BL81" s="310"/>
      <c r="BM81" s="207"/>
      <c r="BN81" s="79"/>
      <c r="BO81" s="81"/>
      <c r="BP81" s="207"/>
      <c r="BQ81" s="78" t="str">
        <f>IFERROR(WWWW[[#This Row],['#_Water sources treated]]/WWWW[[#This Row],['#_Water sources tested for contamination]],"no test")</f>
        <v>no test</v>
      </c>
      <c r="BR81" s="81" t="str">
        <f>IFERROR(WWWW[[#This Row],['#_Household received remediation action due to contamination]]/WWWW[[#This Row],['#_Household water samples tested for contamination]],"no test")</f>
        <v>no test</v>
      </c>
      <c r="BS81" s="80" t="str">
        <f>IF(AND(WWWW[[#This Row],[% of water sources treated]]="no test",WWWW[[#This Row],[% Household received corrective actions]]="no test"),"No Test","Tested")</f>
        <v>No Test</v>
      </c>
      <c r="BT81" s="80">
        <f>WWWW[[#This Row],['#_Constructed/existing protected hand dug well]]-WWWW[[#This Row],['#_Non-functional protected hand dug well]]</f>
        <v>0</v>
      </c>
      <c r="BU81" s="80">
        <f>(WWWW[[#This Row],['#_Constructed/Existing tube wells/boreholes/handpumps_WASH_agency]]+WWWW[[#This Row],['#_Non-Cluster partner water tube-wells/boreholes/handpumps]])-WWWW[[#This Row],['#_Non-functional tube wells/boreholes/handpumps]]</f>
        <v>1</v>
      </c>
      <c r="BV81" s="80">
        <f>WWWW[[#This Row],['#_Constructed/Existingwater storage tank with gravity fed reticulation system]]-WWWW[[#This Row],['#_Non-functional storage tank gravity fed reticulation system]]</f>
        <v>0</v>
      </c>
      <c r="BW81" s="80">
        <f>WWWW[[#This Row],['#_Water boating or water trucking]]</f>
        <v>0</v>
      </c>
      <c r="BX81" s="80">
        <f>WWWW[[#This Row],['#_Constructed/Existing water distribution system from river or natural spring]]</f>
        <v>0</v>
      </c>
      <c r="BY8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1" s="81">
        <f>IF(WWWW[[#This Row],[Location Type 1]]="Village",WWWW[[#This Row],[Access to safe drinking water for Village]],WWWW[[#This Row],[Access to safe drinking water for Camp]])</f>
        <v>1</v>
      </c>
      <c r="CB81" s="79">
        <f>WWWW[[#This Row],[%Equitable and continuous access to sufficient quantity of safe drinking water]]*WWWW[[#This Row],[Total PoP ]]</f>
        <v>13</v>
      </c>
      <c r="CC81" s="81">
        <f>IF((WWWW[[#This Row],['#_Constructed/Existing protected/fenced ponds]]*250)/WWWW[[#This Row],[Total PoP ]]&gt;1,1,(WWWW[[#This Row],['#_Constructed/Existing protected/fenced ponds]]*250)/WWWW[[#This Row],[Total PoP ]])</f>
        <v>0</v>
      </c>
      <c r="CD81" s="79">
        <f>WWWW[[#This Row],[% Access to unimproved water points]]*WWWW[[#This Row],[Total PoP ]]</f>
        <v>0</v>
      </c>
      <c r="CE8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v>
      </c>
      <c r="CG81" s="79">
        <f>WWWW[[#This Row],[HRP1]]/500</f>
        <v>2.5999999999999999E-2</v>
      </c>
      <c r="CH81" s="78">
        <f>1-WWWW[[#This Row],[% Equitable and continuous access to sufficient quantity of domestic water]]</f>
        <v>0</v>
      </c>
      <c r="CI81" s="79">
        <f>WWWW[[#This Row],[%equitable and continuous access to sufficient quantity of safe drinking and domestic water''s GAP]]*WWWW[[#This Row],[Total PoP ]]</f>
        <v>0</v>
      </c>
      <c r="CJ81" s="80">
        <f>IF(WWWW[[#This Row],[Total required water points]]-WWWW[[#This Row],['#Water points coverage]]&lt;0,0,WWWW[[#This Row],[Total required water points]]-WWWW[[#This Row],['#Water points coverage]])</f>
        <v>0.97399999999999998</v>
      </c>
      <c r="CK81" s="80">
        <f>ROUND(IF(WWWW[[#This Row],[Total PoP ]]&lt;500,1,WWWW[[#This Row],[Total PoP ]]/500),0)</f>
        <v>1</v>
      </c>
      <c r="CL81" s="80">
        <f>(WWWW[[#This Row],['#_Constructed latrines_by_WASHAgencies]]+WWWW[[#This Row],['#_Non Cluster partner latrines]])-WWWW[[#This Row],['#_Non-functional latrines]]</f>
        <v>1</v>
      </c>
      <c r="CM8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8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v>
      </c>
      <c r="CO8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1" s="80">
        <f>IF(WWWW[[#This Row],[Location Type 1]]="Village","NA",IF(WWWW[[#This Row],['#_Constructed/Existing latrines in TLS]]*50&gt;WWWW[[#This Row],['#_students at TLS_CFS]],WWWW[[#This Row],['#_students at TLS_CFS]],(WWWW[[#This Row],['#_Constructed/Existing latrines in TLS]]*50)))</f>
        <v>0</v>
      </c>
      <c r="CQ81" s="80">
        <f>ROUND(IF(WWWW[[#This Row],[Location Type 1]]="camp",WWWW[[#This Row],[Total PoP ]]/20,IF(WWWW[[#This Row],[Location Type 1]]="Temporary Location",WWWW[[#This Row],[Total PoP ]]/50,(WWWW[[#This Row],[Total PoP ]]/6))),0)</f>
        <v>1</v>
      </c>
      <c r="CR81" s="79">
        <f>IF(WWWW[[#This Row],[Total required Latrines]]-(WWWW[[#This Row],['#_Constructed latrines_by_WASHAgencies]]+WWWW[[#This Row],['#_Non Cluster partner latrines]])&lt;0,0,WWWW[[#This Row],[Total required Latrines]]-(WWWW[[#This Row],['#_Constructed latrines_by_WASHAgencies]]+WWWW[[#This Row],['#_Non Cluster partner latrines]]))</f>
        <v>0</v>
      </c>
      <c r="CS81" s="78">
        <f>1-WWWW[[#This Row],[% people access to functioning Latrine]]</f>
        <v>0</v>
      </c>
      <c r="CT81" s="82">
        <f>IF(OR(WWWW[[#This Row],['#_Non-functional latrines]]="",WWWW[[#This Row],['#_Non-functional latrines]]=0),0,WWWW[[#This Row],['#_Non-functional latrines]]/(WWWW[[#This Row],['#_Constructed latrines_by_WASHAgencies]]+WWWW[[#This Row],['#_Non Cluster partner latrines]]))</f>
        <v>0</v>
      </c>
      <c r="CU81" s="79">
        <f>IF(500*(WWWW[[#This Row],['#_male hygiene promoters]]+WWWW[[#This Row],['#_female hygiene promoters]])&gt;WWWW[[#This Row],[Total PoP ]],WWWW[[#This Row],[Total PoP ]],500*(WWWW[[#This Row],['#_male hygiene promoters]]+WWWW[[#This Row],['#_female hygiene promoters]]))</f>
        <v>0</v>
      </c>
      <c r="CV8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1" s="80">
        <f>IF(WWWW[[#This Row],['# People with access to soap]]&gt;WWWW[[#This Row],['# People with access to Sanity Pads]],WWWW[[#This Row],['# People with access to soap]],WWWW[[#This Row],['# People with access to Sanity Pads]])</f>
        <v>0</v>
      </c>
      <c r="CY81"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1" s="78">
        <f>IF(WWWW[[#This Row],[HRP3]]/WWWW[[#This Row],[Total PoP ]]&gt;100%,100%,WWWW[[#This Row],[HRP3]]/WWWW[[#This Row],[Total PoP ]])</f>
        <v>0</v>
      </c>
      <c r="DA81" s="82">
        <f>1-WWWW[[#This Row],[Hygiene Coverage%]]</f>
        <v>1</v>
      </c>
      <c r="DB81" s="81">
        <f>WWWW[[#This Row],['# people reached by regular dedicated hygiene promotion_5]]/WWWW[[#This Row],[Total PoP ]]</f>
        <v>0</v>
      </c>
      <c r="DC81" s="81">
        <f>IF(WWWW[[#This Row],['#_households that received standard amount of soap for this quarter]]/WWWW[[#This Row],[Total HH]]&gt;1,1,WWWW[[#This Row],['#_households that received standard amount of soap for this quarter]]/WWWW[[#This Row],[Total HH]])</f>
        <v>0</v>
      </c>
      <c r="DD81" s="81">
        <f>IF(WWWW[[#This Row],['#_households that received standard amount of sanitary pads for this quarter]]/WWWW[[#This Row],[Total HH]]&gt;1,1,WWWW[[#This Row],['#_households that received standard amount of sanitary pads for this quarter]]/WWWW[[#This Row],[Total HH]])</f>
        <v>0</v>
      </c>
      <c r="DE81" s="80">
        <f>WWWW[[#This Row],['#_Constructed/Existing hand washing stations]]-WWWW[[#This Row],['#_Non-Functional_hand_washing_stations]]</f>
        <v>0</v>
      </c>
      <c r="DF81" s="757">
        <f>IF(WWWW[[#This Row],['# Functional hand washing stations during reporting period]]*20&gt;WWWW[[#This Row],[Total HH]],WWWW[[#This Row],[Total HH]],WWWW[[#This Row],['# Functional hand washing stations during reporting period]]*20)</f>
        <v>0</v>
      </c>
      <c r="DG81" s="79">
        <f>IF(WWWW[[#This Row],[Is sufficient soap available for TLS? (Yes/No)]]="yes",WWWW[[#This Row],['#_Constructed/Existing hand washing stations at TLS]],0)</f>
        <v>0</v>
      </c>
      <c r="DH81" s="578">
        <f>IF(WWWW[[#This Row],['# Functional hand washing stations during reporting period]]*100&gt;WWWW[[#This Row],[Total PoP ]],WWWW[[#This Row],[Total PoP ]],WWWW[[#This Row],['# Functional hand washing stations during reporting period]]*100)</f>
        <v>0</v>
      </c>
      <c r="DI81" s="578" t="str">
        <f>IF(OR(WWWW[[#This Row],['#_students at TLS_CFS]]="",WWWW[[#This Row],['#_students at TLS_CFS]]=0),"No","Yes")</f>
        <v>No</v>
      </c>
      <c r="DJ81" s="231">
        <f>VLOOKUP(WWWW[[#This Row],[Site Name]],SiteDB6[[Site Name]:[CCCM Management]],6,FALSE)</f>
        <v>0</v>
      </c>
      <c r="DK81" s="231">
        <f>VLOOKUP(WWWW[[#This Row],[Site Name]],SiteDB6[[Site Name]:[CCCM Focal Agency]],7,FALSE)</f>
        <v>0</v>
      </c>
      <c r="DL81" s="231" t="str">
        <f>VLOOKUP(WWWW[[#This Row],[Site Name]],SiteDB6[[Site Name]:[Location Type 1]],9,FALSE)</f>
        <v>Camp</v>
      </c>
      <c r="DM81" s="231" t="str">
        <f>VLOOKUP(WWWW[[#This Row],[Site Name]],SiteDB6[[Site Name]:[Type of Accommodation]],10,FALSE)</f>
        <v>Closed Camp</v>
      </c>
      <c r="DN81" s="231" t="str">
        <f>VLOOKUP(WWWW[[#This Row],[Site Name]],SiteDB6[[Site Name]:[Ethnic or GCA/NGCA]],11,FALSE)</f>
        <v>GCA</v>
      </c>
      <c r="DO81" s="231">
        <f>VLOOKUP(WWWW[[#This Row],[Site Name]],SiteDB6[[Site Name]:[Lat]],12,FALSE)</f>
        <v>24.251860000000001</v>
      </c>
      <c r="DP81" s="231">
        <f>VLOOKUP(WWWW[[#This Row],[Site Name]],SiteDB6[[Site Name]:[Long]],13,FALSE)</f>
        <v>97.346940000000004</v>
      </c>
      <c r="DQ81" s="231" t="str">
        <f>VLOOKUP(WWWW[[#This Row],[Site Name]],SiteDB6[[Site Name]:[Pcode]],3,FALSE)</f>
        <v>MMR001CMP058</v>
      </c>
      <c r="DR81" s="207" t="str">
        <f t="shared" si="3"/>
        <v>Covered</v>
      </c>
      <c r="DS81" s="207"/>
      <c r="DT81" s="20"/>
      <c r="DU81" s="20"/>
      <c r="DV81" s="20"/>
      <c r="DW81" s="20"/>
      <c r="DX81" s="20"/>
      <c r="DY81" s="20"/>
      <c r="DZ81" s="20"/>
      <c r="EA81" s="20"/>
      <c r="EB81" s="20"/>
      <c r="EC81" s="20"/>
      <c r="ED81" s="20"/>
      <c r="EE81" s="20"/>
      <c r="EF81" s="20"/>
      <c r="EG81" s="20"/>
      <c r="EH81" s="20"/>
    </row>
    <row r="82" spans="1:138" ht="15.75" customHeight="1">
      <c r="A82" s="238" t="s">
        <v>2518</v>
      </c>
      <c r="B82" s="574" t="s">
        <v>200</v>
      </c>
      <c r="C82" s="574" t="s">
        <v>200</v>
      </c>
      <c r="D82" s="574" t="s">
        <v>2960</v>
      </c>
      <c r="E82" s="574" t="s">
        <v>39</v>
      </c>
      <c r="F82" s="574" t="s">
        <v>40</v>
      </c>
      <c r="G82" s="574" t="str">
        <f>VLOOKUP(WWWW[[#This Row],[Site Name]],SiteDB6[[Site Name]:[Location Type]],8,FALSE)</f>
        <v>Camp</v>
      </c>
      <c r="H82" s="574" t="s">
        <v>201</v>
      </c>
      <c r="I82" s="583">
        <v>175</v>
      </c>
      <c r="J82" s="583">
        <v>807</v>
      </c>
      <c r="K82" s="553">
        <v>43466</v>
      </c>
      <c r="L82" s="77">
        <v>43830</v>
      </c>
      <c r="M82" s="583"/>
      <c r="N82" s="583"/>
      <c r="O82" s="583"/>
      <c r="P82" s="583"/>
      <c r="Q82" s="76" t="s">
        <v>43</v>
      </c>
      <c r="R82" s="310">
        <v>2</v>
      </c>
      <c r="S82" s="310">
        <v>3</v>
      </c>
      <c r="T82" s="310">
        <v>2</v>
      </c>
      <c r="U82" s="310"/>
      <c r="V82" s="310"/>
      <c r="W82" s="310">
        <v>2</v>
      </c>
      <c r="X82" s="310">
        <v>3</v>
      </c>
      <c r="Y82" s="310"/>
      <c r="Z82" s="310"/>
      <c r="AA82" s="310"/>
      <c r="AB82" s="310"/>
      <c r="AC82" s="310"/>
      <c r="AD82" s="310"/>
      <c r="AE82" s="310"/>
      <c r="AF82" s="310"/>
      <c r="AG82" s="310"/>
      <c r="AH82" s="310"/>
      <c r="AI82" s="310"/>
      <c r="AJ82" s="310"/>
      <c r="AK82" s="310"/>
      <c r="AL82" s="310"/>
      <c r="AM82" s="310"/>
      <c r="AN82" s="310"/>
      <c r="AO82" s="207"/>
      <c r="AP82" s="310">
        <v>40</v>
      </c>
      <c r="AQ82" s="310"/>
      <c r="AR82" s="76"/>
      <c r="AS82" s="310"/>
      <c r="AT82" s="310"/>
      <c r="AU82" s="310"/>
      <c r="AV82" s="310"/>
      <c r="AW82" s="310"/>
      <c r="AX82" s="581" t="s">
        <v>43</v>
      </c>
      <c r="AY82" s="581" t="s">
        <v>145</v>
      </c>
      <c r="AZ82" s="310"/>
      <c r="BA82" s="310">
        <v>1</v>
      </c>
      <c r="BB82" s="310"/>
      <c r="BC82" s="207"/>
      <c r="BD82" s="310">
        <v>16</v>
      </c>
      <c r="BE82" s="310"/>
      <c r="BF82" s="310"/>
      <c r="BG82" s="310">
        <v>7</v>
      </c>
      <c r="BH82" s="310"/>
      <c r="BI82" s="310"/>
      <c r="BJ82" s="310"/>
      <c r="BK82" s="310">
        <v>175</v>
      </c>
      <c r="BL82" s="310">
        <v>50</v>
      </c>
      <c r="BM82" s="207"/>
      <c r="BN82" s="79"/>
      <c r="BO82" s="81"/>
      <c r="BP82" s="207"/>
      <c r="BQ82" s="78" t="str">
        <f>IFERROR(WWWW[[#This Row],['#_Water sources treated]]/WWWW[[#This Row],['#_Water sources tested for contamination]],"no test")</f>
        <v>no test</v>
      </c>
      <c r="BR82" s="81" t="str">
        <f>IFERROR(WWWW[[#This Row],['#_Household received remediation action due to contamination]]/WWWW[[#This Row],['#_Household water samples tested for contamination]],"no test")</f>
        <v>no test</v>
      </c>
      <c r="BS82" s="80" t="str">
        <f>IF(AND(WWWW[[#This Row],[% of water sources treated]]="no test",WWWW[[#This Row],[% Household received corrective actions]]="no test"),"No Test","Tested")</f>
        <v>No Test</v>
      </c>
      <c r="BT82" s="80">
        <f>WWWW[[#This Row],['#_Constructed/existing protected hand dug well]]-WWWW[[#This Row],['#_Non-functional protected hand dug well]]</f>
        <v>2</v>
      </c>
      <c r="BU82" s="80">
        <f>(WWWW[[#This Row],['#_Constructed/Existing tube wells/boreholes/handpumps_WASH_agency]]+WWWW[[#This Row],['#_Non-Cluster partner water tube-wells/boreholes/handpumps]])-WWWW[[#This Row],['#_Non-functional tube wells/boreholes/handpumps]]</f>
        <v>5</v>
      </c>
      <c r="BV82" s="80">
        <f>WWWW[[#This Row],['#_Constructed/Existingwater storage tank with gravity fed reticulation system]]-WWWW[[#This Row],['#_Non-functional storage tank gravity fed reticulation system]]</f>
        <v>0</v>
      </c>
      <c r="BW82" s="80">
        <f>WWWW[[#This Row],['#_Water boating or water trucking]]</f>
        <v>0</v>
      </c>
      <c r="BX82" s="80">
        <f>WWWW[[#This Row],['#_Constructed/Existing water distribution system from river or natural spring]]</f>
        <v>0</v>
      </c>
      <c r="BY8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2" s="81">
        <f>IF(WWWW[[#This Row],[Location Type 1]]="Village",WWWW[[#This Row],[Access to safe drinking water for Village]],WWWW[[#This Row],[Access to safe drinking water for Camp]])</f>
        <v>1</v>
      </c>
      <c r="CB82" s="79">
        <f>WWWW[[#This Row],[%Equitable and continuous access to sufficient quantity of safe drinking water]]*WWWW[[#This Row],[Total PoP ]]</f>
        <v>807</v>
      </c>
      <c r="CC82" s="81">
        <f>IF((WWWW[[#This Row],['#_Constructed/Existing protected/fenced ponds]]*250)/WWWW[[#This Row],[Total PoP ]]&gt;1,1,(WWWW[[#This Row],['#_Constructed/Existing protected/fenced ponds]]*250)/WWWW[[#This Row],[Total PoP ]])</f>
        <v>0</v>
      </c>
      <c r="CD82" s="79">
        <f>WWWW[[#This Row],[% Access to unimproved water points]]*WWWW[[#This Row],[Total PoP ]]</f>
        <v>0</v>
      </c>
      <c r="CE8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807</v>
      </c>
      <c r="CG82" s="79">
        <f>WWWW[[#This Row],[HRP1]]/500</f>
        <v>1.6140000000000001</v>
      </c>
      <c r="CH82" s="78">
        <f>1-WWWW[[#This Row],[% Equitable and continuous access to sufficient quantity of domestic water]]</f>
        <v>0</v>
      </c>
      <c r="CI82" s="79">
        <f>WWWW[[#This Row],[%equitable and continuous access to sufficient quantity of safe drinking and domestic water''s GAP]]*WWWW[[#This Row],[Total PoP ]]</f>
        <v>0</v>
      </c>
      <c r="CJ82" s="80">
        <f>IF(WWWW[[#This Row],[Total required water points]]-WWWW[[#This Row],['#Water points coverage]]&lt;0,0,WWWW[[#This Row],[Total required water points]]-WWWW[[#This Row],['#Water points coverage]])</f>
        <v>0.3859999999999999</v>
      </c>
      <c r="CK82" s="80">
        <f>ROUND(IF(WWWW[[#This Row],[Total PoP ]]&lt;500,1,WWWW[[#This Row],[Total PoP ]]/500),0)</f>
        <v>2</v>
      </c>
      <c r="CL82" s="80">
        <f>(WWWW[[#This Row],['#_Constructed latrines_by_WASHAgencies]]+WWWW[[#This Row],['#_Non Cluster partner latrines]])-WWWW[[#This Row],['#_Non-functional latrines]]</f>
        <v>40</v>
      </c>
      <c r="CM8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0.99132589838909546</v>
      </c>
      <c r="CN8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800</v>
      </c>
      <c r="CO8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2" s="80">
        <f>IF(WWWW[[#This Row],[Location Type 1]]="Village","NA",IF(WWWW[[#This Row],['#_Constructed/Existing latrines in TLS]]*50&gt;WWWW[[#This Row],['#_students at TLS_CFS]],WWWW[[#This Row],['#_students at TLS_CFS]],(WWWW[[#This Row],['#_Constructed/Existing latrines in TLS]]*50)))</f>
        <v>0</v>
      </c>
      <c r="CQ82" s="80">
        <f>ROUND(IF(WWWW[[#This Row],[Location Type 1]]="camp",WWWW[[#This Row],[Total PoP ]]/20,IF(WWWW[[#This Row],[Location Type 1]]="Temporary Location",WWWW[[#This Row],[Total PoP ]]/50,(WWWW[[#This Row],[Total PoP ]]/6))),0)</f>
        <v>40</v>
      </c>
      <c r="CR82" s="79">
        <f>IF(WWWW[[#This Row],[Total required Latrines]]-(WWWW[[#This Row],['#_Constructed latrines_by_WASHAgencies]]+WWWW[[#This Row],['#_Non Cluster partner latrines]])&lt;0,0,WWWW[[#This Row],[Total required Latrines]]-(WWWW[[#This Row],['#_Constructed latrines_by_WASHAgencies]]+WWWW[[#This Row],['#_Non Cluster partner latrines]]))</f>
        <v>0</v>
      </c>
      <c r="CS82" s="78">
        <f>1-WWWW[[#This Row],[% people access to functioning Latrine]]</f>
        <v>8.6741016109045388E-3</v>
      </c>
      <c r="CT82" s="82">
        <f>IF(OR(WWWW[[#This Row],['#_Non-functional latrines]]="",WWWW[[#This Row],['#_Non-functional latrines]]=0),0,WWWW[[#This Row],['#_Non-functional latrines]]/(WWWW[[#This Row],['#_Constructed latrines_by_WASHAgencies]]+WWWW[[#This Row],['#_Non Cluster partner latrines]]))</f>
        <v>0</v>
      </c>
      <c r="CU82" s="79">
        <f>IF(500*(WWWW[[#This Row],['#_male hygiene promoters]]+WWWW[[#This Row],['#_female hygiene promoters]])&gt;WWWW[[#This Row],[Total PoP ]],WWWW[[#This Row],[Total PoP ]],500*(WWWW[[#This Row],['#_male hygiene promoters]]+WWWW[[#This Row],['#_female hygiene promoters]]))</f>
        <v>0</v>
      </c>
      <c r="CV8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807</v>
      </c>
      <c r="CW8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250</v>
      </c>
      <c r="CX82" s="80">
        <f>IF(WWWW[[#This Row],['# People with access to soap]]&gt;WWWW[[#This Row],['# People with access to Sanity Pads]],WWWW[[#This Row],['# People with access to soap]],WWWW[[#This Row],['# People with access to Sanity Pads]])</f>
        <v>807</v>
      </c>
      <c r="CY82" s="80">
        <f>IF(WWWW[[#This Row],['# people reached by regular dedicated hygiene promotion_5]]&gt;WWWW[[#This Row],['# People received regular supply of hygiene items_6]],WWWW[[#This Row],['# people reached by regular dedicated hygiene promotion_5]],WWWW[[#This Row],['# People received regular supply of hygiene items_6]])</f>
        <v>807</v>
      </c>
      <c r="CZ82" s="78">
        <f>IF(WWWW[[#This Row],[HRP3]]/WWWW[[#This Row],[Total PoP ]]&gt;100%,100%,WWWW[[#This Row],[HRP3]]/WWWW[[#This Row],[Total PoP ]])</f>
        <v>1</v>
      </c>
      <c r="DA82" s="82">
        <f>1-WWWW[[#This Row],[Hygiene Coverage%]]</f>
        <v>0</v>
      </c>
      <c r="DB82" s="81">
        <f>WWWW[[#This Row],['# people reached by regular dedicated hygiene promotion_5]]/WWWW[[#This Row],[Total PoP ]]</f>
        <v>0</v>
      </c>
      <c r="DC82" s="81">
        <f>IF(WWWW[[#This Row],['#_households that received standard amount of soap for this quarter]]/WWWW[[#This Row],[Total HH]]&gt;1,1,WWWW[[#This Row],['#_households that received standard amount of soap for this quarter]]/WWWW[[#This Row],[Total HH]])</f>
        <v>1</v>
      </c>
      <c r="DD82" s="81">
        <f>IF(WWWW[[#This Row],['#_households that received standard amount of sanitary pads for this quarter]]/WWWW[[#This Row],[Total HH]]&gt;1,1,WWWW[[#This Row],['#_households that received standard amount of sanitary pads for this quarter]]/WWWW[[#This Row],[Total HH]])</f>
        <v>0.2857142857142857</v>
      </c>
      <c r="DE82" s="80">
        <f>WWWW[[#This Row],['#_Constructed/Existing hand washing stations]]-WWWW[[#This Row],['#_Non-Functional_hand_washing_stations]]</f>
        <v>16</v>
      </c>
      <c r="DF82" s="757">
        <f>IF(WWWW[[#This Row],['# Functional hand washing stations during reporting period]]*20&gt;WWWW[[#This Row],[Total HH]],WWWW[[#This Row],[Total HH]],WWWW[[#This Row],['# Functional hand washing stations during reporting period]]*20)</f>
        <v>175</v>
      </c>
      <c r="DG82" s="79">
        <f>IF(WWWW[[#This Row],[Is sufficient soap available for TLS? (Yes/No)]]="yes",WWWW[[#This Row],['#_Constructed/Existing hand washing stations at TLS]],0)</f>
        <v>0</v>
      </c>
      <c r="DH82" s="578">
        <f>IF(WWWW[[#This Row],['# Functional hand washing stations during reporting period]]*100&gt;WWWW[[#This Row],[Total PoP ]],WWWW[[#This Row],[Total PoP ]],WWWW[[#This Row],['# Functional hand washing stations during reporting period]]*100)</f>
        <v>807</v>
      </c>
      <c r="DI82" s="578" t="str">
        <f>IF(OR(WWWW[[#This Row],['#_students at TLS_CFS]]="",WWWW[[#This Row],['#_students at TLS_CFS]]=0),"No","Yes")</f>
        <v>No</v>
      </c>
      <c r="DJ82" s="231" t="str">
        <f>VLOOKUP(WWWW[[#This Row],[Site Name]],SiteDB6[[Site Name]:[CCCM Management]],6,FALSE)</f>
        <v>Yes</v>
      </c>
      <c r="DK82" s="231" t="str">
        <f>VLOOKUP(WWWW[[#This Row],[Site Name]],SiteDB6[[Site Name]:[CCCM Focal Agency]],7,FALSE)</f>
        <v>KBC</v>
      </c>
      <c r="DL82" s="231" t="str">
        <f>VLOOKUP(WWWW[[#This Row],[Site Name]],SiteDB6[[Site Name]:[Location Type 1]],9,FALSE)</f>
        <v>Camp</v>
      </c>
      <c r="DM82" s="231" t="str">
        <f>VLOOKUP(WWWW[[#This Row],[Site Name]],SiteDB6[[Site Name]:[Type of Accommodation]],10,FALSE)</f>
        <v>Camp</v>
      </c>
      <c r="DN82" s="231" t="str">
        <f>VLOOKUP(WWWW[[#This Row],[Site Name]],SiteDB6[[Site Name]:[Ethnic or GCA/NGCA]],11,FALSE)</f>
        <v>GCA</v>
      </c>
      <c r="DO82" s="231">
        <f>VLOOKUP(WWWW[[#This Row],[Site Name]],SiteDB6[[Site Name]:[Lat]],12,FALSE)</f>
        <v>24.129059999999999</v>
      </c>
      <c r="DP82" s="231">
        <f>VLOOKUP(WWWW[[#This Row],[Site Name]],SiteDB6[[Site Name]:[Long]],13,FALSE)</f>
        <v>97.291820000000001</v>
      </c>
      <c r="DQ82" s="231" t="str">
        <f>VLOOKUP(WWWW[[#This Row],[Site Name]],SiteDB6[[Site Name]:[Pcode]],3,FALSE)</f>
        <v>MMR001CMP066</v>
      </c>
      <c r="DR82" s="207" t="str">
        <f t="shared" si="3"/>
        <v>Covered</v>
      </c>
      <c r="DS82" s="207"/>
      <c r="DT82" s="20"/>
      <c r="DU82" s="20"/>
      <c r="DV82" s="20"/>
      <c r="DW82" s="20"/>
      <c r="DX82" s="20"/>
      <c r="DY82" s="20"/>
      <c r="DZ82" s="20"/>
      <c r="EA82" s="20"/>
      <c r="EB82" s="20"/>
      <c r="EC82" s="20"/>
      <c r="ED82" s="20"/>
      <c r="EE82" s="20"/>
      <c r="EF82" s="20"/>
      <c r="EG82" s="20"/>
      <c r="EH82" s="20"/>
    </row>
    <row r="83" spans="1:138" ht="15.75" customHeight="1">
      <c r="A83" s="238" t="s">
        <v>2518</v>
      </c>
      <c r="B83" s="574" t="s">
        <v>317</v>
      </c>
      <c r="C83" s="574" t="s">
        <v>317</v>
      </c>
      <c r="D83" s="574"/>
      <c r="E83" s="574" t="s">
        <v>39</v>
      </c>
      <c r="F83" s="574" t="s">
        <v>213</v>
      </c>
      <c r="G83" s="574" t="str">
        <f>VLOOKUP(WWWW[[#This Row],[Site Name]],SiteDB6[[Site Name]:[Location Type]],8,FALSE)</f>
        <v>Camp</v>
      </c>
      <c r="H83" s="76" t="s">
        <v>1026</v>
      </c>
      <c r="I83" s="583">
        <v>3</v>
      </c>
      <c r="J83" s="583">
        <v>18</v>
      </c>
      <c r="K83" s="553"/>
      <c r="L83" s="77"/>
      <c r="M83" s="583"/>
      <c r="N83" s="583"/>
      <c r="O83" s="583"/>
      <c r="P83" s="583"/>
      <c r="Q83" s="76"/>
      <c r="R83" s="310"/>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207"/>
      <c r="AP83" s="310"/>
      <c r="AQ83" s="310"/>
      <c r="AR83" s="76"/>
      <c r="AS83" s="310"/>
      <c r="AT83" s="310"/>
      <c r="AU83" s="310"/>
      <c r="AV83" s="310"/>
      <c r="AW83" s="310"/>
      <c r="AX83" s="231"/>
      <c r="AY83" s="231"/>
      <c r="AZ83" s="310"/>
      <c r="BA83" s="310"/>
      <c r="BB83" s="310"/>
      <c r="BC83" s="207"/>
      <c r="BD83" s="310"/>
      <c r="BE83" s="310"/>
      <c r="BF83" s="310"/>
      <c r="BG83" s="310"/>
      <c r="BH83" s="310"/>
      <c r="BI83" s="310"/>
      <c r="BJ83" s="310"/>
      <c r="BK83" s="310"/>
      <c r="BL83" s="310"/>
      <c r="BM83" s="207"/>
      <c r="BN83" s="79"/>
      <c r="BO83" s="81"/>
      <c r="BP83" s="207"/>
      <c r="BQ83" s="78" t="str">
        <f>IFERROR(WWWW[[#This Row],['#_Water sources treated]]/WWWW[[#This Row],['#_Water sources tested for contamination]],"no test")</f>
        <v>no test</v>
      </c>
      <c r="BR83" s="81" t="str">
        <f>IFERROR(WWWW[[#This Row],['#_Household received remediation action due to contamination]]/WWWW[[#This Row],['#_Household water samples tested for contamination]],"no test")</f>
        <v>no test</v>
      </c>
      <c r="BS83" s="80" t="str">
        <f>IF(AND(WWWW[[#This Row],[% of water sources treated]]="no test",WWWW[[#This Row],[% Household received corrective actions]]="no test"),"No Test","Tested")</f>
        <v>No Test</v>
      </c>
      <c r="BT83" s="80">
        <f>WWWW[[#This Row],['#_Constructed/existing protected hand dug well]]-WWWW[[#This Row],['#_Non-functional protected hand dug well]]</f>
        <v>0</v>
      </c>
      <c r="BU83" s="80">
        <f>(WWWW[[#This Row],['#_Constructed/Existing tube wells/boreholes/handpumps_WASH_agency]]+WWWW[[#This Row],['#_Non-Cluster partner water tube-wells/boreholes/handpumps]])-WWWW[[#This Row],['#_Non-functional tube wells/boreholes/handpumps]]</f>
        <v>0</v>
      </c>
      <c r="BV83" s="80">
        <f>WWWW[[#This Row],['#_Constructed/Existingwater storage tank with gravity fed reticulation system]]-WWWW[[#This Row],['#_Non-functional storage tank gravity fed reticulation system]]</f>
        <v>0</v>
      </c>
      <c r="BW83" s="80">
        <f>WWWW[[#This Row],['#_Water boating or water trucking]]</f>
        <v>0</v>
      </c>
      <c r="BX83" s="80">
        <f>WWWW[[#This Row],['#_Constructed/Existing water distribution system from river or natural spring]]</f>
        <v>0</v>
      </c>
      <c r="BY8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8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83" s="81">
        <f>IF(WWWW[[#This Row],[Location Type 1]]="Village",WWWW[[#This Row],[Access to safe drinking water for Village]],WWWW[[#This Row],[Access to safe drinking water for Camp]])</f>
        <v>0</v>
      </c>
      <c r="CB83" s="79">
        <f>WWWW[[#This Row],[%Equitable and continuous access to sufficient quantity of safe drinking water]]*WWWW[[#This Row],[Total PoP ]]</f>
        <v>0</v>
      </c>
      <c r="CC83" s="81">
        <f>IF((WWWW[[#This Row],['#_Constructed/Existing protected/fenced ponds]]*250)/WWWW[[#This Row],[Total PoP ]]&gt;1,1,(WWWW[[#This Row],['#_Constructed/Existing protected/fenced ponds]]*250)/WWWW[[#This Row],[Total PoP ]])</f>
        <v>0</v>
      </c>
      <c r="CD83" s="79">
        <f>WWWW[[#This Row],[% Access to unimproved water points]]*WWWW[[#This Row],[Total PoP ]]</f>
        <v>0</v>
      </c>
      <c r="CE8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8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83" s="79">
        <f>WWWW[[#This Row],[HRP1]]/500</f>
        <v>0</v>
      </c>
      <c r="CH83" s="78">
        <f>1-WWWW[[#This Row],[% Equitable and continuous access to sufficient quantity of domestic water]]</f>
        <v>1</v>
      </c>
      <c r="CI83" s="79">
        <f>WWWW[[#This Row],[%equitable and continuous access to sufficient quantity of safe drinking and domestic water''s GAP]]*WWWW[[#This Row],[Total PoP ]]</f>
        <v>18</v>
      </c>
      <c r="CJ83" s="80">
        <f>IF(WWWW[[#This Row],[Total required water points]]-WWWW[[#This Row],['#Water points coverage]]&lt;0,0,WWWW[[#This Row],[Total required water points]]-WWWW[[#This Row],['#Water points coverage]])</f>
        <v>1</v>
      </c>
      <c r="CK83" s="80">
        <f>ROUND(IF(WWWW[[#This Row],[Total PoP ]]&lt;500,1,WWWW[[#This Row],[Total PoP ]]/500),0)</f>
        <v>1</v>
      </c>
      <c r="CL83" s="80">
        <f>(WWWW[[#This Row],['#_Constructed latrines_by_WASHAgencies]]+WWWW[[#This Row],['#_Non Cluster partner latrines]])-WWWW[[#This Row],['#_Non-functional latrines]]</f>
        <v>0</v>
      </c>
      <c r="CM8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8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8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3" s="80">
        <f>IF(WWWW[[#This Row],[Location Type 1]]="Village","NA",IF(WWWW[[#This Row],['#_Constructed/Existing latrines in TLS]]*50&gt;WWWW[[#This Row],['#_students at TLS_CFS]],WWWW[[#This Row],['#_students at TLS_CFS]],(WWWW[[#This Row],['#_Constructed/Existing latrines in TLS]]*50)))</f>
        <v>0</v>
      </c>
      <c r="CQ83" s="80">
        <f>ROUND(IF(WWWW[[#This Row],[Location Type 1]]="camp",WWWW[[#This Row],[Total PoP ]]/20,IF(WWWW[[#This Row],[Location Type 1]]="Temporary Location",WWWW[[#This Row],[Total PoP ]]/50,(WWWW[[#This Row],[Total PoP ]]/6))),0)</f>
        <v>1</v>
      </c>
      <c r="CR83" s="79">
        <f>IF(WWWW[[#This Row],[Total required Latrines]]-(WWWW[[#This Row],['#_Constructed latrines_by_WASHAgencies]]+WWWW[[#This Row],['#_Non Cluster partner latrines]])&lt;0,0,WWWW[[#This Row],[Total required Latrines]]-(WWWW[[#This Row],['#_Constructed latrines_by_WASHAgencies]]+WWWW[[#This Row],['#_Non Cluster partner latrines]]))</f>
        <v>1</v>
      </c>
      <c r="CS83" s="78">
        <f>1-WWWW[[#This Row],[% people access to functioning Latrine]]</f>
        <v>1</v>
      </c>
      <c r="CT83" s="82">
        <f>IF(OR(WWWW[[#This Row],['#_Non-functional latrines]]="",WWWW[[#This Row],['#_Non-functional latrines]]=0),0,WWWW[[#This Row],['#_Non-functional latrines]]/(WWWW[[#This Row],['#_Constructed latrines_by_WASHAgencies]]+WWWW[[#This Row],['#_Non Cluster partner latrines]]))</f>
        <v>0</v>
      </c>
      <c r="CU83" s="79">
        <f>IF(500*(WWWW[[#This Row],['#_male hygiene promoters]]+WWWW[[#This Row],['#_female hygiene promoters]])&gt;WWWW[[#This Row],[Total PoP ]],WWWW[[#This Row],[Total PoP ]],500*(WWWW[[#This Row],['#_male hygiene promoters]]+WWWW[[#This Row],['#_female hygiene promoters]]))</f>
        <v>0</v>
      </c>
      <c r="CV8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3" s="80">
        <f>IF(WWWW[[#This Row],['# People with access to soap]]&gt;WWWW[[#This Row],['# People with access to Sanity Pads]],WWWW[[#This Row],['# People with access to soap]],WWWW[[#This Row],['# People with access to Sanity Pads]])</f>
        <v>0</v>
      </c>
      <c r="CY83"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3" s="78">
        <f>IF(WWWW[[#This Row],[HRP3]]/WWWW[[#This Row],[Total PoP ]]&gt;100%,100%,WWWW[[#This Row],[HRP3]]/WWWW[[#This Row],[Total PoP ]])</f>
        <v>0</v>
      </c>
      <c r="DA83" s="82">
        <f>1-WWWW[[#This Row],[Hygiene Coverage%]]</f>
        <v>1</v>
      </c>
      <c r="DB83" s="81">
        <f>WWWW[[#This Row],['# people reached by regular dedicated hygiene promotion_5]]/WWWW[[#This Row],[Total PoP ]]</f>
        <v>0</v>
      </c>
      <c r="DC83" s="81">
        <f>IF(WWWW[[#This Row],['#_households that received standard amount of soap for this quarter]]/WWWW[[#This Row],[Total HH]]&gt;1,1,WWWW[[#This Row],['#_households that received standard amount of soap for this quarter]]/WWWW[[#This Row],[Total HH]])</f>
        <v>0</v>
      </c>
      <c r="DD83" s="81">
        <f>IF(WWWW[[#This Row],['#_households that received standard amount of sanitary pads for this quarter]]/WWWW[[#This Row],[Total HH]]&gt;1,1,WWWW[[#This Row],['#_households that received standard amount of sanitary pads for this quarter]]/WWWW[[#This Row],[Total HH]])</f>
        <v>0</v>
      </c>
      <c r="DE83" s="80">
        <f>WWWW[[#This Row],['#_Constructed/Existing hand washing stations]]-WWWW[[#This Row],['#_Non-Functional_hand_washing_stations]]</f>
        <v>0</v>
      </c>
      <c r="DF83" s="757">
        <f>IF(WWWW[[#This Row],['# Functional hand washing stations during reporting period]]*20&gt;WWWW[[#This Row],[Total HH]],WWWW[[#This Row],[Total HH]],WWWW[[#This Row],['# Functional hand washing stations during reporting period]]*20)</f>
        <v>0</v>
      </c>
      <c r="DG83" s="79">
        <f>IF(WWWW[[#This Row],[Is sufficient soap available for TLS? (Yes/No)]]="yes",WWWW[[#This Row],['#_Constructed/Existing hand washing stations at TLS]],0)</f>
        <v>0</v>
      </c>
      <c r="DH83" s="578">
        <f>IF(WWWW[[#This Row],['# Functional hand washing stations during reporting period]]*100&gt;WWWW[[#This Row],[Total PoP ]],WWWW[[#This Row],[Total PoP ]],WWWW[[#This Row],['# Functional hand washing stations during reporting period]]*100)</f>
        <v>0</v>
      </c>
      <c r="DI83" s="578" t="str">
        <f>IF(OR(WWWW[[#This Row],['#_students at TLS_CFS]]="",WWWW[[#This Row],['#_students at TLS_CFS]]=0),"No","Yes")</f>
        <v>No</v>
      </c>
      <c r="DJ83" s="231">
        <f>VLOOKUP(WWWW[[#This Row],[Site Name]],SiteDB6[[Site Name]:[CCCM Management]],6,FALSE)</f>
        <v>0</v>
      </c>
      <c r="DK83" s="231" t="str">
        <f>VLOOKUP(WWWW[[#This Row],[Site Name]],SiteDB6[[Site Name]:[CCCM Focal Agency]],7,FALSE)</f>
        <v>uncovered</v>
      </c>
      <c r="DL83" s="231" t="str">
        <f>VLOOKUP(WWWW[[#This Row],[Site Name]],SiteDB6[[Site Name]:[Location Type 1]],9,FALSE)</f>
        <v>Camp</v>
      </c>
      <c r="DM83" s="231" t="str">
        <f>VLOOKUP(WWWW[[#This Row],[Site Name]],SiteDB6[[Site Name]:[Type of Accommodation]],10,FALSE)</f>
        <v>Host Families</v>
      </c>
      <c r="DN83" s="231" t="str">
        <f>VLOOKUP(WWWW[[#This Row],[Site Name]],SiteDB6[[Site Name]:[Ethnic or GCA/NGCA]],11,FALSE)</f>
        <v>GCA</v>
      </c>
      <c r="DO83" s="231">
        <f>VLOOKUP(WWWW[[#This Row],[Site Name]],SiteDB6[[Site Name]:[Lat]],12,FALSE)</f>
        <v>24.377054000000001</v>
      </c>
      <c r="DP83" s="231">
        <f>VLOOKUP(WWWW[[#This Row],[Site Name]],SiteDB6[[Site Name]:[Long]],13,FALSE)</f>
        <v>97.343406999999999</v>
      </c>
      <c r="DQ83" s="231" t="str">
        <f>VLOOKUP(WWWW[[#This Row],[Site Name]],SiteDB6[[Site Name]:[Pcode]],3,FALSE)</f>
        <v>MMR001CMP200</v>
      </c>
      <c r="DR83" s="207" t="str">
        <f t="shared" si="3"/>
        <v>Notcovered</v>
      </c>
      <c r="DS83" s="207"/>
      <c r="DT83" s="20"/>
      <c r="DU83" s="20"/>
      <c r="DV83" s="20"/>
      <c r="DW83" s="20"/>
      <c r="DX83" s="20"/>
      <c r="DY83" s="20"/>
      <c r="DZ83" s="20"/>
      <c r="EA83" s="20"/>
      <c r="EB83" s="20"/>
      <c r="EC83" s="20"/>
      <c r="ED83" s="20"/>
      <c r="EE83" s="20"/>
      <c r="EF83" s="20"/>
      <c r="EG83" s="20"/>
      <c r="EH83" s="20"/>
    </row>
    <row r="84" spans="1:138" ht="15.75" customHeight="1">
      <c r="A84" s="238" t="s">
        <v>2518</v>
      </c>
      <c r="B84" s="574" t="s">
        <v>284</v>
      </c>
      <c r="C84" s="574" t="s">
        <v>284</v>
      </c>
      <c r="D84" s="574" t="s">
        <v>2955</v>
      </c>
      <c r="E84" s="574" t="s">
        <v>39</v>
      </c>
      <c r="F84" s="574" t="s">
        <v>213</v>
      </c>
      <c r="G84" s="574" t="str">
        <f>VLOOKUP(WWWW[[#This Row],[Site Name]],SiteDB6[[Site Name]:[Location Type]],8,FALSE)</f>
        <v>Camp</v>
      </c>
      <c r="H84" s="574" t="s">
        <v>291</v>
      </c>
      <c r="I84" s="583">
        <v>203</v>
      </c>
      <c r="J84" s="583">
        <v>1138</v>
      </c>
      <c r="K84" s="553" t="s">
        <v>2956</v>
      </c>
      <c r="L84" s="77" t="s">
        <v>2957</v>
      </c>
      <c r="M84" s="583"/>
      <c r="N84" s="583">
        <v>0</v>
      </c>
      <c r="O84" s="583">
        <v>0</v>
      </c>
      <c r="P84" s="583">
        <v>0</v>
      </c>
      <c r="Q84" s="76" t="s">
        <v>43</v>
      </c>
      <c r="R84" s="310">
        <v>6</v>
      </c>
      <c r="S84" s="310">
        <v>9</v>
      </c>
      <c r="T84" s="310">
        <v>5</v>
      </c>
      <c r="U84" s="310">
        <v>0</v>
      </c>
      <c r="V84" s="310">
        <v>0</v>
      </c>
      <c r="W84" s="310">
        <v>1</v>
      </c>
      <c r="X84" s="310">
        <v>0</v>
      </c>
      <c r="Y84" s="310">
        <v>0</v>
      </c>
      <c r="Z84" s="310"/>
      <c r="AA84" s="310"/>
      <c r="AB84" s="310"/>
      <c r="AC84" s="310"/>
      <c r="AD84" s="310"/>
      <c r="AE84" s="310"/>
      <c r="AF84" s="310"/>
      <c r="AG84" s="310"/>
      <c r="AH84" s="310"/>
      <c r="AI84" s="310">
        <v>4</v>
      </c>
      <c r="AJ84" s="310">
        <v>4</v>
      </c>
      <c r="AK84" s="310">
        <v>22</v>
      </c>
      <c r="AL84" s="310">
        <v>0</v>
      </c>
      <c r="AM84" s="310"/>
      <c r="AN84" s="310"/>
      <c r="AO84" s="207"/>
      <c r="AP84" s="310">
        <v>38</v>
      </c>
      <c r="AQ84" s="310">
        <v>0</v>
      </c>
      <c r="AR84" s="76">
        <v>0</v>
      </c>
      <c r="AS84" s="310"/>
      <c r="AT84" s="310"/>
      <c r="AU84" s="310">
        <v>32</v>
      </c>
      <c r="AV84" s="310"/>
      <c r="AW84" s="310"/>
      <c r="AX84" s="581" t="s">
        <v>43</v>
      </c>
      <c r="AY84" s="581" t="s">
        <v>145</v>
      </c>
      <c r="AZ84" s="310"/>
      <c r="BA84" s="310"/>
      <c r="BB84" s="310"/>
      <c r="BC84" s="578" t="s">
        <v>2959</v>
      </c>
      <c r="BD84" s="310">
        <v>12</v>
      </c>
      <c r="BE84" s="310">
        <v>1</v>
      </c>
      <c r="BF84" s="310"/>
      <c r="BG84" s="310">
        <v>5</v>
      </c>
      <c r="BH84" s="310"/>
      <c r="BI84" s="310"/>
      <c r="BJ84" s="310">
        <v>4</v>
      </c>
      <c r="BK84" s="310">
        <v>71</v>
      </c>
      <c r="BL84" s="310">
        <v>218</v>
      </c>
      <c r="BM84" s="207"/>
      <c r="BN84" s="79"/>
      <c r="BO84" s="81"/>
      <c r="BP84" s="578" t="s">
        <v>2958</v>
      </c>
      <c r="BQ84" s="78">
        <f>IFERROR(WWWW[[#This Row],['#_Water sources treated]]/WWWW[[#This Row],['#_Water sources tested for contamination]],"no test")</f>
        <v>1</v>
      </c>
      <c r="BR84" s="81">
        <f>IFERROR(WWWW[[#This Row],['#_Household received remediation action due to contamination]]/WWWW[[#This Row],['#_Household water samples tested for contamination]],"no test")</f>
        <v>0</v>
      </c>
      <c r="BS84" s="80" t="str">
        <f>IF(AND(WWWW[[#This Row],[% of water sources treated]]="no test",WWWW[[#This Row],[% Household received corrective actions]]="no test"),"No Test","Tested")</f>
        <v>Tested</v>
      </c>
      <c r="BT84" s="80">
        <f>WWWW[[#This Row],['#_Constructed/existing protected hand dug well]]-WWWW[[#This Row],['#_Non-functional protected hand dug well]]</f>
        <v>5</v>
      </c>
      <c r="BU84" s="80">
        <f>(WWWW[[#This Row],['#_Constructed/Existing tube wells/boreholes/handpumps_WASH_agency]]+WWWW[[#This Row],['#_Non-Cluster partner water tube-wells/boreholes/handpumps]])-WWWW[[#This Row],['#_Non-functional tube wells/boreholes/handpumps]]</f>
        <v>1</v>
      </c>
      <c r="BV84" s="80">
        <f>WWWW[[#This Row],['#_Constructed/Existingwater storage tank with gravity fed reticulation system]]-WWWW[[#This Row],['#_Non-functional storage tank gravity fed reticulation system]]</f>
        <v>0</v>
      </c>
      <c r="BW84" s="80">
        <f>WWWW[[#This Row],['#_Water boating or water trucking]]</f>
        <v>0</v>
      </c>
      <c r="BX84" s="80">
        <f>WWWW[[#This Row],['#_Constructed/Existing water distribution system from river or natural spring]]</f>
        <v>0</v>
      </c>
      <c r="BY8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4" s="81">
        <f>IF(WWWW[[#This Row],[Location Type 1]]="Village",WWWW[[#This Row],[Access to safe drinking water for Village]],WWWW[[#This Row],[Access to safe drinking water for Camp]])</f>
        <v>1</v>
      </c>
      <c r="CB84" s="79">
        <f>WWWW[[#This Row],[%Equitable and continuous access to sufficient quantity of safe drinking water]]*WWWW[[#This Row],[Total PoP ]]</f>
        <v>1138</v>
      </c>
      <c r="CC84" s="81">
        <f>IF((WWWW[[#This Row],['#_Constructed/Existing protected/fenced ponds]]*250)/WWWW[[#This Row],[Total PoP ]]&gt;1,1,(WWWW[[#This Row],['#_Constructed/Existing protected/fenced ponds]]*250)/WWWW[[#This Row],[Total PoP ]])</f>
        <v>0</v>
      </c>
      <c r="CD84" s="79">
        <f>WWWW[[#This Row],[% Access to unimproved water points]]*WWWW[[#This Row],[Total PoP ]]</f>
        <v>0</v>
      </c>
      <c r="CE8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1138</v>
      </c>
      <c r="CG84" s="79">
        <f>WWWW[[#This Row],[HRP1]]/500</f>
        <v>2.2759999999999998</v>
      </c>
      <c r="CH84" s="78">
        <f>1-WWWW[[#This Row],[% Equitable and continuous access to sufficient quantity of domestic water]]</f>
        <v>0</v>
      </c>
      <c r="CI84" s="79">
        <f>WWWW[[#This Row],[%equitable and continuous access to sufficient quantity of safe drinking and domestic water''s GAP]]*WWWW[[#This Row],[Total PoP ]]</f>
        <v>0</v>
      </c>
      <c r="CJ84" s="80">
        <f>IF(WWWW[[#This Row],[Total required water points]]-WWWW[[#This Row],['#Water points coverage]]&lt;0,0,WWWW[[#This Row],[Total required water points]]-WWWW[[#This Row],['#Water points coverage]])</f>
        <v>0</v>
      </c>
      <c r="CK84" s="80">
        <f>ROUND(IF(WWWW[[#This Row],[Total PoP ]]&lt;500,1,WWWW[[#This Row],[Total PoP ]]/500),0)</f>
        <v>2</v>
      </c>
      <c r="CL84" s="80">
        <f>(WWWW[[#This Row],['#_Constructed latrines_by_WASHAgencies]]+WWWW[[#This Row],['#_Non Cluster partner latrines]])-WWWW[[#This Row],['#_Non-functional latrines]]</f>
        <v>38</v>
      </c>
      <c r="CM8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0.66783831282952544</v>
      </c>
      <c r="CN8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8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640</v>
      </c>
      <c r="CP84" s="80">
        <f>IF(WWWW[[#This Row],[Location Type 1]]="Village","NA",IF(WWWW[[#This Row],['#_Constructed/Existing latrines in TLS]]*50&gt;WWWW[[#This Row],['#_students at TLS_CFS]],WWWW[[#This Row],['#_students at TLS_CFS]],(WWWW[[#This Row],['#_Constructed/Existing latrines in TLS]]*50)))</f>
        <v>0</v>
      </c>
      <c r="CQ84" s="80">
        <f>ROUND(IF(WWWW[[#This Row],[Location Type 1]]="camp",WWWW[[#This Row],[Total PoP ]]/20,IF(WWWW[[#This Row],[Location Type 1]]="Temporary Location",WWWW[[#This Row],[Total PoP ]]/50,(WWWW[[#This Row],[Total PoP ]]/6))),0)</f>
        <v>57</v>
      </c>
      <c r="CR84" s="79">
        <f>IF(WWWW[[#This Row],[Total required Latrines]]-(WWWW[[#This Row],['#_Constructed latrines_by_WASHAgencies]]+WWWW[[#This Row],['#_Non Cluster partner latrines]])&lt;0,0,WWWW[[#This Row],[Total required Latrines]]-(WWWW[[#This Row],['#_Constructed latrines_by_WASHAgencies]]+WWWW[[#This Row],['#_Non Cluster partner latrines]]))</f>
        <v>19</v>
      </c>
      <c r="CS84" s="78">
        <f>1-WWWW[[#This Row],[% people access to functioning Latrine]]</f>
        <v>0.33216168717047456</v>
      </c>
      <c r="CT84" s="82">
        <f>IF(OR(WWWW[[#This Row],['#_Non-functional latrines]]="",WWWW[[#This Row],['#_Non-functional latrines]]=0),0,WWWW[[#This Row],['#_Non-functional latrines]]/(WWWW[[#This Row],['#_Constructed latrines_by_WASHAgencies]]+WWWW[[#This Row],['#_Non Cluster partner latrines]]))</f>
        <v>0</v>
      </c>
      <c r="CU84" s="79">
        <f>IF(500*(WWWW[[#This Row],['#_male hygiene promoters]]+WWWW[[#This Row],['#_female hygiene promoters]])&gt;WWWW[[#This Row],[Total PoP ]],WWWW[[#This Row],[Total PoP ]],500*(WWWW[[#This Row],['#_male hygiene promoters]]+WWWW[[#This Row],['#_female hygiene promoters]]))</f>
        <v>1138</v>
      </c>
      <c r="CV8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355</v>
      </c>
      <c r="CW8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1090</v>
      </c>
      <c r="CX84" s="80">
        <f>IF(WWWW[[#This Row],['# People with access to soap]]&gt;WWWW[[#This Row],['# People with access to Sanity Pads]],WWWW[[#This Row],['# People with access to soap]],WWWW[[#This Row],['# People with access to Sanity Pads]])</f>
        <v>1090</v>
      </c>
      <c r="CY84" s="80">
        <f>IF(WWWW[[#This Row],['# people reached by regular dedicated hygiene promotion_5]]&gt;WWWW[[#This Row],['# People received regular supply of hygiene items_6]],WWWW[[#This Row],['# people reached by regular dedicated hygiene promotion_5]],WWWW[[#This Row],['# People received regular supply of hygiene items_6]])</f>
        <v>1138</v>
      </c>
      <c r="CZ84" s="78">
        <f>IF(WWWW[[#This Row],[HRP3]]/WWWW[[#This Row],[Total PoP ]]&gt;100%,100%,WWWW[[#This Row],[HRP3]]/WWWW[[#This Row],[Total PoP ]])</f>
        <v>1</v>
      </c>
      <c r="DA84" s="82">
        <f>1-WWWW[[#This Row],[Hygiene Coverage%]]</f>
        <v>0</v>
      </c>
      <c r="DB84" s="81">
        <f>WWWW[[#This Row],['# people reached by regular dedicated hygiene promotion_5]]/WWWW[[#This Row],[Total PoP ]]</f>
        <v>1</v>
      </c>
      <c r="DC84" s="81">
        <f>IF(WWWW[[#This Row],['#_households that received standard amount of soap for this quarter]]/WWWW[[#This Row],[Total HH]]&gt;1,1,WWWW[[#This Row],['#_households that received standard amount of soap for this quarter]]/WWWW[[#This Row],[Total HH]])</f>
        <v>0.34975369458128081</v>
      </c>
      <c r="DD84" s="81">
        <f>IF(WWWW[[#This Row],['#_households that received standard amount of sanitary pads for this quarter]]/WWWW[[#This Row],[Total HH]]&gt;1,1,WWWW[[#This Row],['#_households that received standard amount of sanitary pads for this quarter]]/WWWW[[#This Row],[Total HH]])</f>
        <v>1</v>
      </c>
      <c r="DE84" s="80">
        <f>WWWW[[#This Row],['#_Constructed/Existing hand washing stations]]-WWWW[[#This Row],['#_Non-Functional_hand_washing_stations]]</f>
        <v>11</v>
      </c>
      <c r="DF84" s="757">
        <f>IF(WWWW[[#This Row],['# Functional hand washing stations during reporting period]]*20&gt;WWWW[[#This Row],[Total HH]],WWWW[[#This Row],[Total HH]],WWWW[[#This Row],['# Functional hand washing stations during reporting period]]*20)</f>
        <v>203</v>
      </c>
      <c r="DG84" s="79">
        <f>IF(WWWW[[#This Row],[Is sufficient soap available for TLS? (Yes/No)]]="yes",WWWW[[#This Row],['#_Constructed/Existing hand washing stations at TLS]],0)</f>
        <v>0</v>
      </c>
      <c r="DH84" s="578">
        <f>IF(WWWW[[#This Row],['# Functional hand washing stations during reporting period]]*100&gt;WWWW[[#This Row],[Total PoP ]],WWWW[[#This Row],[Total PoP ]],WWWW[[#This Row],['# Functional hand washing stations during reporting period]]*100)</f>
        <v>1100</v>
      </c>
      <c r="DI84" s="578" t="str">
        <f>IF(OR(WWWW[[#This Row],['#_students at TLS_CFS]]="",WWWW[[#This Row],['#_students at TLS_CFS]]=0),"No","Yes")</f>
        <v>No</v>
      </c>
      <c r="DJ84" s="231" t="str">
        <f>VLOOKUP(WWWW[[#This Row],[Site Name]],SiteDB6[[Site Name]:[CCCM Management]],6,FALSE)</f>
        <v>Yes</v>
      </c>
      <c r="DK84" s="231" t="str">
        <f>VLOOKUP(WWWW[[#This Row],[Site Name]],SiteDB6[[Site Name]:[CCCM Focal Agency]],7,FALSE)</f>
        <v>KBC</v>
      </c>
      <c r="DL84" s="231" t="str">
        <f>VLOOKUP(WWWW[[#This Row],[Site Name]],SiteDB6[[Site Name]:[Location Type 1]],9,FALSE)</f>
        <v>Camp</v>
      </c>
      <c r="DM84" s="231" t="str">
        <f>VLOOKUP(WWWW[[#This Row],[Site Name]],SiteDB6[[Site Name]:[Type of Accommodation]],10,FALSE)</f>
        <v>Camp</v>
      </c>
      <c r="DN84" s="231" t="str">
        <f>VLOOKUP(WWWW[[#This Row],[Site Name]],SiteDB6[[Site Name]:[Ethnic or GCA/NGCA]],11,FALSE)</f>
        <v>GCA</v>
      </c>
      <c r="DO84" s="231">
        <f>VLOOKUP(WWWW[[#This Row],[Site Name]],SiteDB6[[Site Name]:[Lat]],12,FALSE)</f>
        <v>24.200433</v>
      </c>
      <c r="DP84" s="231">
        <f>VLOOKUP(WWWW[[#This Row],[Site Name]],SiteDB6[[Site Name]:[Long]],13,FALSE)</f>
        <v>97.717133000000004</v>
      </c>
      <c r="DQ84" s="231" t="str">
        <f>VLOOKUP(WWWW[[#This Row],[Site Name]],SiteDB6[[Site Name]:[Pcode]],3,FALSE)</f>
        <v>MMR001CMP070</v>
      </c>
      <c r="DR84" s="207" t="str">
        <f t="shared" si="3"/>
        <v>Covered</v>
      </c>
      <c r="DS84" s="207"/>
      <c r="DT84" s="20"/>
      <c r="DU84" s="20"/>
      <c r="DV84" s="20"/>
      <c r="DW84" s="20"/>
      <c r="DX84" s="20"/>
      <c r="DY84" s="20"/>
      <c r="DZ84" s="20"/>
      <c r="EA84" s="20"/>
      <c r="EB84" s="20"/>
      <c r="EC84" s="20"/>
      <c r="ED84" s="20"/>
      <c r="EE84" s="20"/>
      <c r="EF84" s="20"/>
      <c r="EG84" s="20"/>
      <c r="EH84" s="20"/>
    </row>
    <row r="85" spans="1:138" ht="15.75" customHeight="1">
      <c r="A85" s="238" t="s">
        <v>2518</v>
      </c>
      <c r="B85" s="574" t="s">
        <v>284</v>
      </c>
      <c r="C85" s="574" t="s">
        <v>284</v>
      </c>
      <c r="D85" s="574" t="s">
        <v>252</v>
      </c>
      <c r="E85" s="574" t="s">
        <v>39</v>
      </c>
      <c r="F85" s="574" t="s">
        <v>213</v>
      </c>
      <c r="G85" s="574" t="str">
        <f>VLOOKUP(WWWW[[#This Row],[Site Name]],SiteDB6[[Site Name]:[Location Type]],8,FALSE)</f>
        <v>Camp_not registered</v>
      </c>
      <c r="H85" s="574" t="s">
        <v>296</v>
      </c>
      <c r="I85" s="583">
        <v>470</v>
      </c>
      <c r="J85" s="583">
        <v>2350</v>
      </c>
      <c r="K85" s="553">
        <v>43282</v>
      </c>
      <c r="L85" s="77">
        <v>43646</v>
      </c>
      <c r="M85" s="583">
        <v>2350</v>
      </c>
      <c r="N85" s="583">
        <v>0</v>
      </c>
      <c r="O85" s="583">
        <v>0</v>
      </c>
      <c r="P85" s="583">
        <v>0</v>
      </c>
      <c r="Q85" s="76"/>
      <c r="R85" s="310"/>
      <c r="S85" s="310"/>
      <c r="T85" s="310">
        <v>0</v>
      </c>
      <c r="U85" s="310">
        <v>0</v>
      </c>
      <c r="V85" s="310"/>
      <c r="W85" s="310"/>
      <c r="X85" s="310">
        <v>0</v>
      </c>
      <c r="Y85" s="310"/>
      <c r="Z85" s="310"/>
      <c r="AA85" s="310"/>
      <c r="AB85" s="310"/>
      <c r="AC85" s="310"/>
      <c r="AD85" s="310"/>
      <c r="AE85" s="310"/>
      <c r="AF85" s="310"/>
      <c r="AG85" s="310"/>
      <c r="AH85" s="310"/>
      <c r="AI85" s="310"/>
      <c r="AJ85" s="310"/>
      <c r="AK85" s="310"/>
      <c r="AL85" s="310"/>
      <c r="AM85" s="310"/>
      <c r="AN85" s="310">
        <v>1</v>
      </c>
      <c r="AO85" s="207"/>
      <c r="AP85" s="310"/>
      <c r="AQ85" s="310"/>
      <c r="AR85" s="76"/>
      <c r="AS85" s="310"/>
      <c r="AT85" s="310"/>
      <c r="AU85" s="310"/>
      <c r="AV85" s="310"/>
      <c r="AW85" s="310"/>
      <c r="AX85" s="231" t="s">
        <v>43</v>
      </c>
      <c r="AY85" s="231" t="s">
        <v>145</v>
      </c>
      <c r="AZ85" s="310">
        <v>0</v>
      </c>
      <c r="BA85" s="310">
        <v>0</v>
      </c>
      <c r="BB85" s="310">
        <v>52</v>
      </c>
      <c r="BC85" s="207"/>
      <c r="BD85" s="310"/>
      <c r="BE85" s="310"/>
      <c r="BF85" s="310"/>
      <c r="BG85" s="310">
        <v>0</v>
      </c>
      <c r="BH85" s="310"/>
      <c r="BI85" s="310">
        <v>0</v>
      </c>
      <c r="BJ85" s="310">
        <v>0</v>
      </c>
      <c r="BK85" s="310">
        <v>0</v>
      </c>
      <c r="BL85" s="310"/>
      <c r="BM85" s="207" t="s">
        <v>43</v>
      </c>
      <c r="BN85" s="79">
        <v>0</v>
      </c>
      <c r="BO85" s="81">
        <v>0</v>
      </c>
      <c r="BP85" s="207"/>
      <c r="BQ85" s="78" t="str">
        <f>IFERROR(WWWW[[#This Row],['#_Water sources treated]]/WWWW[[#This Row],['#_Water sources tested for contamination]],"no test")</f>
        <v>no test</v>
      </c>
      <c r="BR85" s="81" t="str">
        <f>IFERROR(WWWW[[#This Row],['#_Household received remediation action due to contamination]]/WWWW[[#This Row],['#_Household water samples tested for contamination]],"no test")</f>
        <v>no test</v>
      </c>
      <c r="BS85" s="80" t="str">
        <f>IF(AND(WWWW[[#This Row],[% of water sources treated]]="no test",WWWW[[#This Row],[% Household received corrective actions]]="no test"),"No Test","Tested")</f>
        <v>No Test</v>
      </c>
      <c r="BT85" s="80">
        <f>WWWW[[#This Row],['#_Constructed/existing protected hand dug well]]-WWWW[[#This Row],['#_Non-functional protected hand dug well]]</f>
        <v>0</v>
      </c>
      <c r="BU85" s="80">
        <f>(WWWW[[#This Row],['#_Constructed/Existing tube wells/boreholes/handpumps_WASH_agency]]+WWWW[[#This Row],['#_Non-Cluster partner water tube-wells/boreholes/handpumps]])-WWWW[[#This Row],['#_Non-functional tube wells/boreholes/handpumps]]</f>
        <v>0</v>
      </c>
      <c r="BV85" s="80">
        <f>WWWW[[#This Row],['#_Constructed/Existingwater storage tank with gravity fed reticulation system]]-WWWW[[#This Row],['#_Non-functional storage tank gravity fed reticulation system]]</f>
        <v>0</v>
      </c>
      <c r="BW85" s="80">
        <f>WWWW[[#This Row],['#_Water boating or water trucking]]</f>
        <v>0</v>
      </c>
      <c r="BX85" s="80">
        <f>WWWW[[#This Row],['#_Constructed/Existing water distribution system from river or natural spring]]</f>
        <v>0</v>
      </c>
      <c r="BY8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8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85" s="81">
        <f>IF(WWWW[[#This Row],[Location Type 1]]="Village",WWWW[[#This Row],[Access to safe drinking water for Village]],WWWW[[#This Row],[Access to safe drinking water for Camp]])</f>
        <v>0</v>
      </c>
      <c r="CB85" s="79">
        <f>WWWW[[#This Row],[%Equitable and continuous access to sufficient quantity of safe drinking water]]*WWWW[[#This Row],[Total PoP ]]</f>
        <v>0</v>
      </c>
      <c r="CC85" s="81">
        <f>IF((WWWW[[#This Row],['#_Constructed/Existing protected/fenced ponds]]*250)/WWWW[[#This Row],[Total PoP ]]&gt;1,1,(WWWW[[#This Row],['#_Constructed/Existing protected/fenced ponds]]*250)/WWWW[[#This Row],[Total PoP ]])</f>
        <v>0</v>
      </c>
      <c r="CD85" s="79">
        <f>WWWW[[#This Row],[% Access to unimproved water points]]*WWWW[[#This Row],[Total PoP ]]</f>
        <v>0</v>
      </c>
      <c r="CE8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8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85" s="79">
        <f>WWWW[[#This Row],[HRP1]]/500</f>
        <v>0</v>
      </c>
      <c r="CH85" s="78">
        <f>1-WWWW[[#This Row],[% Equitable and continuous access to sufficient quantity of domestic water]]</f>
        <v>1</v>
      </c>
      <c r="CI85" s="79">
        <f>WWWW[[#This Row],[%equitable and continuous access to sufficient quantity of safe drinking and domestic water''s GAP]]*WWWW[[#This Row],[Total PoP ]]</f>
        <v>2350</v>
      </c>
      <c r="CJ85" s="80">
        <f>IF(WWWW[[#This Row],[Total required water points]]-WWWW[[#This Row],['#Water points coverage]]&lt;0,0,WWWW[[#This Row],[Total required water points]]-WWWW[[#This Row],['#Water points coverage]])</f>
        <v>5</v>
      </c>
      <c r="CK85" s="80">
        <f>ROUND(IF(WWWW[[#This Row],[Total PoP ]]&lt;500,1,WWWW[[#This Row],[Total PoP ]]/500),0)</f>
        <v>5</v>
      </c>
      <c r="CL85" s="80">
        <f>(WWWW[[#This Row],['#_Constructed latrines_by_WASHAgencies]]+WWWW[[#This Row],['#_Non Cluster partner latrines]])-WWWW[[#This Row],['#_Non-functional latrines]]</f>
        <v>0</v>
      </c>
      <c r="CM8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8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8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5" s="80">
        <f>IF(WWWW[[#This Row],[Location Type 1]]="Village","NA",IF(WWWW[[#This Row],['#_Constructed/Existing latrines in TLS]]*50&gt;WWWW[[#This Row],['#_students at TLS_CFS]],WWWW[[#This Row],['#_students at TLS_CFS]],(WWWW[[#This Row],['#_Constructed/Existing latrines in TLS]]*50)))</f>
        <v>2350</v>
      </c>
      <c r="CQ85" s="80">
        <f>ROUND(IF(WWWW[[#This Row],[Location Type 1]]="camp",WWWW[[#This Row],[Total PoP ]]/20,IF(WWWW[[#This Row],[Location Type 1]]="Temporary Location",WWWW[[#This Row],[Total PoP ]]/50,(WWWW[[#This Row],[Total PoP ]]/6))),0)</f>
        <v>118</v>
      </c>
      <c r="CR85" s="79">
        <f>IF(WWWW[[#This Row],[Total required Latrines]]-(WWWW[[#This Row],['#_Constructed latrines_by_WASHAgencies]]+WWWW[[#This Row],['#_Non Cluster partner latrines]])&lt;0,0,WWWW[[#This Row],[Total required Latrines]]-(WWWW[[#This Row],['#_Constructed latrines_by_WASHAgencies]]+WWWW[[#This Row],['#_Non Cluster partner latrines]]))</f>
        <v>118</v>
      </c>
      <c r="CS85" s="78">
        <f>1-WWWW[[#This Row],[% people access to functioning Latrine]]</f>
        <v>1</v>
      </c>
      <c r="CT85" s="82">
        <f>IF(OR(WWWW[[#This Row],['#_Non-functional latrines]]="",WWWW[[#This Row],['#_Non-functional latrines]]=0),0,WWWW[[#This Row],['#_Non-functional latrines]]/(WWWW[[#This Row],['#_Constructed latrines_by_WASHAgencies]]+WWWW[[#This Row],['#_Non Cluster partner latrines]]))</f>
        <v>0</v>
      </c>
      <c r="CU85" s="79">
        <f>IF(500*(WWWW[[#This Row],['#_male hygiene promoters]]+WWWW[[#This Row],['#_female hygiene promoters]])&gt;WWWW[[#This Row],[Total PoP ]],WWWW[[#This Row],[Total PoP ]],500*(WWWW[[#This Row],['#_male hygiene promoters]]+WWWW[[#This Row],['#_female hygiene promoters]]))</f>
        <v>0</v>
      </c>
      <c r="CV8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5" s="80">
        <f>IF(WWWW[[#This Row],['# People with access to soap]]&gt;WWWW[[#This Row],['# People with access to Sanity Pads]],WWWW[[#This Row],['# People with access to soap]],WWWW[[#This Row],['# People with access to Sanity Pads]])</f>
        <v>0</v>
      </c>
      <c r="CY85"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5" s="78">
        <f>IF(WWWW[[#This Row],[HRP3]]/WWWW[[#This Row],[Total PoP ]]&gt;100%,100%,WWWW[[#This Row],[HRP3]]/WWWW[[#This Row],[Total PoP ]])</f>
        <v>0</v>
      </c>
      <c r="DA85" s="82">
        <f>1-WWWW[[#This Row],[Hygiene Coverage%]]</f>
        <v>1</v>
      </c>
      <c r="DB85" s="81">
        <f>WWWW[[#This Row],['# people reached by regular dedicated hygiene promotion_5]]/WWWW[[#This Row],[Total PoP ]]</f>
        <v>0</v>
      </c>
      <c r="DC85" s="81">
        <f>IF(WWWW[[#This Row],['#_households that received standard amount of soap for this quarter]]/WWWW[[#This Row],[Total HH]]&gt;1,1,WWWW[[#This Row],['#_households that received standard amount of soap for this quarter]]/WWWW[[#This Row],[Total HH]])</f>
        <v>0</v>
      </c>
      <c r="DD85" s="81">
        <f>IF(WWWW[[#This Row],['#_households that received standard amount of sanitary pads for this quarter]]/WWWW[[#This Row],[Total HH]]&gt;1,1,WWWW[[#This Row],['#_households that received standard amount of sanitary pads for this quarter]]/WWWW[[#This Row],[Total HH]])</f>
        <v>0</v>
      </c>
      <c r="DE85" s="80">
        <f>WWWW[[#This Row],['#_Constructed/Existing hand washing stations]]-WWWW[[#This Row],['#_Non-Functional_hand_washing_stations]]</f>
        <v>0</v>
      </c>
      <c r="DF85" s="757">
        <f>IF(WWWW[[#This Row],['# Functional hand washing stations during reporting period]]*20&gt;WWWW[[#This Row],[Total HH]],WWWW[[#This Row],[Total HH]],WWWW[[#This Row],['# Functional hand washing stations during reporting period]]*20)</f>
        <v>0</v>
      </c>
      <c r="DG85" s="79">
        <f>IF(WWWW[[#This Row],[Is sufficient soap available for TLS? (Yes/No)]]="yes",WWWW[[#This Row],['#_Constructed/Existing hand washing stations at TLS]],0)</f>
        <v>0</v>
      </c>
      <c r="DH85" s="578">
        <f>IF(WWWW[[#This Row],['# Functional hand washing stations during reporting period]]*100&gt;WWWW[[#This Row],[Total PoP ]],WWWW[[#This Row],[Total PoP ]],WWWW[[#This Row],['# Functional hand washing stations during reporting period]]*100)</f>
        <v>0</v>
      </c>
      <c r="DI85" s="578" t="str">
        <f>IF(OR(WWWW[[#This Row],['#_students at TLS_CFS]]="",WWWW[[#This Row],['#_students at TLS_CFS]]=0),"No","Yes")</f>
        <v>Yes</v>
      </c>
      <c r="DJ85" s="231">
        <f>VLOOKUP(WWWW[[#This Row],[Site Name]],SiteDB6[[Site Name]:[CCCM Management]],6,FALSE)</f>
        <v>0</v>
      </c>
      <c r="DK85" s="231">
        <f>VLOOKUP(WWWW[[#This Row],[Site Name]],SiteDB6[[Site Name]:[CCCM Focal Agency]],7,FALSE)</f>
        <v>0</v>
      </c>
      <c r="DL85" s="231" t="str">
        <f>VLOOKUP(WWWW[[#This Row],[Site Name]],SiteDB6[[Site Name]:[Location Type 1]],9,FALSE)</f>
        <v>Camp</v>
      </c>
      <c r="DM85" s="231" t="str">
        <f>VLOOKUP(WWWW[[#This Row],[Site Name]],SiteDB6[[Site Name]:[Type of Accommodation]],10,FALSE)</f>
        <v>School</v>
      </c>
      <c r="DN85" s="231" t="str">
        <f>VLOOKUP(WWWW[[#This Row],[Site Name]],SiteDB6[[Site Name]:[Ethnic or GCA/NGCA]],11,FALSE)</f>
        <v>GCA</v>
      </c>
      <c r="DO85" s="231">
        <f>VLOOKUP(WWWW[[#This Row],[Site Name]],SiteDB6[[Site Name]:[Lat]],12,FALSE)</f>
        <v>0</v>
      </c>
      <c r="DP85" s="231">
        <f>VLOOKUP(WWWW[[#This Row],[Site Name]],SiteDB6[[Site Name]:[Long]],13,FALSE)</f>
        <v>0</v>
      </c>
      <c r="DQ85" s="231">
        <f>VLOOKUP(WWWW[[#This Row],[Site Name]],SiteDB6[[Site Name]:[Pcode]],3,FALSE)</f>
        <v>0</v>
      </c>
      <c r="DR85" s="207" t="str">
        <f t="shared" si="3"/>
        <v>Covered</v>
      </c>
      <c r="DS85" s="207"/>
      <c r="DT85" s="20"/>
      <c r="DU85" s="20"/>
      <c r="DV85" s="20"/>
      <c r="DW85" s="20"/>
      <c r="DX85" s="20"/>
      <c r="DY85" s="20"/>
      <c r="DZ85" s="20"/>
      <c r="EA85" s="20"/>
      <c r="EB85" s="20"/>
      <c r="EC85" s="20"/>
      <c r="ED85" s="20"/>
      <c r="EE85" s="20"/>
      <c r="EF85" s="20"/>
      <c r="EG85" s="20"/>
      <c r="EH85" s="20"/>
    </row>
    <row r="86" spans="1:138" ht="15.75" customHeight="1">
      <c r="A86" s="238" t="s">
        <v>2518</v>
      </c>
      <c r="B86" s="574" t="s">
        <v>284</v>
      </c>
      <c r="C86" s="574" t="s">
        <v>284</v>
      </c>
      <c r="D86" s="574" t="s">
        <v>2955</v>
      </c>
      <c r="E86" s="574" t="s">
        <v>39</v>
      </c>
      <c r="F86" s="574" t="s">
        <v>213</v>
      </c>
      <c r="G86" s="574" t="str">
        <f>VLOOKUP(WWWW[[#This Row],[Site Name]],SiteDB6[[Site Name]:[Location Type]],8,FALSE)</f>
        <v>Camp_not registered</v>
      </c>
      <c r="H86" s="574" t="s">
        <v>295</v>
      </c>
      <c r="I86" s="583">
        <v>117</v>
      </c>
      <c r="J86" s="583">
        <v>650</v>
      </c>
      <c r="K86" s="553" t="s">
        <v>2956</v>
      </c>
      <c r="L86" s="77" t="s">
        <v>2957</v>
      </c>
      <c r="M86" s="583"/>
      <c r="N86" s="583">
        <v>0</v>
      </c>
      <c r="O86" s="583">
        <v>0</v>
      </c>
      <c r="P86" s="583">
        <v>0</v>
      </c>
      <c r="Q86" s="76" t="s">
        <v>43</v>
      </c>
      <c r="R86" s="310">
        <v>5</v>
      </c>
      <c r="S86" s="310">
        <v>10</v>
      </c>
      <c r="T86" s="310">
        <v>1</v>
      </c>
      <c r="U86" s="310">
        <v>0</v>
      </c>
      <c r="V86" s="310"/>
      <c r="W86" s="310">
        <v>1</v>
      </c>
      <c r="X86" s="310">
        <v>0</v>
      </c>
      <c r="Y86" s="310"/>
      <c r="Z86" s="310"/>
      <c r="AA86" s="310"/>
      <c r="AB86" s="310"/>
      <c r="AC86" s="310"/>
      <c r="AD86" s="310"/>
      <c r="AE86" s="310"/>
      <c r="AF86" s="310"/>
      <c r="AG86" s="310"/>
      <c r="AH86" s="310"/>
      <c r="AI86" s="310">
        <v>1</v>
      </c>
      <c r="AJ86" s="310">
        <v>1</v>
      </c>
      <c r="AK86" s="310">
        <v>8</v>
      </c>
      <c r="AL86" s="310">
        <v>0</v>
      </c>
      <c r="AM86" s="310"/>
      <c r="AN86" s="310"/>
      <c r="AO86" s="207"/>
      <c r="AP86" s="310">
        <v>28</v>
      </c>
      <c r="AQ86" s="310"/>
      <c r="AR86" s="76"/>
      <c r="AS86" s="310"/>
      <c r="AT86" s="310"/>
      <c r="AU86" s="310">
        <v>31</v>
      </c>
      <c r="AV86" s="310"/>
      <c r="AW86" s="310"/>
      <c r="AX86" s="231" t="s">
        <v>43</v>
      </c>
      <c r="AY86" s="231" t="s">
        <v>145</v>
      </c>
      <c r="AZ86" s="310">
        <v>0</v>
      </c>
      <c r="BA86" s="310">
        <v>0</v>
      </c>
      <c r="BB86" s="310"/>
      <c r="BC86" s="207"/>
      <c r="BD86" s="310">
        <v>9</v>
      </c>
      <c r="BE86" s="310">
        <v>0</v>
      </c>
      <c r="BF86" s="310"/>
      <c r="BG86" s="310">
        <v>4</v>
      </c>
      <c r="BH86" s="310"/>
      <c r="BI86" s="310">
        <v>0</v>
      </c>
      <c r="BJ86" s="310">
        <v>2</v>
      </c>
      <c r="BK86" s="310">
        <v>45</v>
      </c>
      <c r="BL86" s="310">
        <v>135</v>
      </c>
      <c r="BM86" s="207"/>
      <c r="BN86" s="79"/>
      <c r="BO86" s="81"/>
      <c r="BP86" s="207"/>
      <c r="BQ86" s="78">
        <f>IFERROR(WWWW[[#This Row],['#_Water sources treated]]/WWWW[[#This Row],['#_Water sources tested for contamination]],"no test")</f>
        <v>1</v>
      </c>
      <c r="BR86" s="81">
        <f>IFERROR(WWWW[[#This Row],['#_Household received remediation action due to contamination]]/WWWW[[#This Row],['#_Household water samples tested for contamination]],"no test")</f>
        <v>0</v>
      </c>
      <c r="BS86" s="80" t="str">
        <f>IF(AND(WWWW[[#This Row],[% of water sources treated]]="no test",WWWW[[#This Row],[% Household received corrective actions]]="no test"),"No Test","Tested")</f>
        <v>Tested</v>
      </c>
      <c r="BT86" s="80">
        <f>WWWW[[#This Row],['#_Constructed/existing protected hand dug well]]-WWWW[[#This Row],['#_Non-functional protected hand dug well]]</f>
        <v>1</v>
      </c>
      <c r="BU86" s="80">
        <f>(WWWW[[#This Row],['#_Constructed/Existing tube wells/boreholes/handpumps_WASH_agency]]+WWWW[[#This Row],['#_Non-Cluster partner water tube-wells/boreholes/handpumps]])-WWWW[[#This Row],['#_Non-functional tube wells/boreholes/handpumps]]</f>
        <v>1</v>
      </c>
      <c r="BV86" s="80">
        <f>WWWW[[#This Row],['#_Constructed/Existingwater storage tank with gravity fed reticulation system]]-WWWW[[#This Row],['#_Non-functional storage tank gravity fed reticulation system]]</f>
        <v>0</v>
      </c>
      <c r="BW86" s="80">
        <f>WWWW[[#This Row],['#_Water boating or water trucking]]</f>
        <v>0</v>
      </c>
      <c r="BX86" s="80">
        <f>WWWW[[#This Row],['#_Constructed/Existing water distribution system from river or natural spring]]</f>
        <v>0</v>
      </c>
      <c r="BY8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0.76923076923076927</v>
      </c>
      <c r="CA86" s="81">
        <f>IF(WWWW[[#This Row],[Location Type 1]]="Village",WWWW[[#This Row],[Access to safe drinking water for Village]],WWWW[[#This Row],[Access to safe drinking water for Camp]])</f>
        <v>1</v>
      </c>
      <c r="CB86" s="79">
        <f>WWWW[[#This Row],[%Equitable and continuous access to sufficient quantity of safe drinking water]]*WWWW[[#This Row],[Total PoP ]]</f>
        <v>650</v>
      </c>
      <c r="CC86" s="81">
        <f>IF((WWWW[[#This Row],['#_Constructed/Existing protected/fenced ponds]]*250)/WWWW[[#This Row],[Total PoP ]]&gt;1,1,(WWWW[[#This Row],['#_Constructed/Existing protected/fenced ponds]]*250)/WWWW[[#This Row],[Total PoP ]])</f>
        <v>0</v>
      </c>
      <c r="CD86" s="79">
        <f>WWWW[[#This Row],[% Access to unimproved water points]]*WWWW[[#This Row],[Total PoP ]]</f>
        <v>0</v>
      </c>
      <c r="CE8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650</v>
      </c>
      <c r="CG86" s="79">
        <f>WWWW[[#This Row],[HRP1]]/500</f>
        <v>1.3</v>
      </c>
      <c r="CH86" s="78">
        <f>1-WWWW[[#This Row],[% Equitable and continuous access to sufficient quantity of domestic water]]</f>
        <v>0</v>
      </c>
      <c r="CI86" s="79">
        <f>WWWW[[#This Row],[%equitable and continuous access to sufficient quantity of safe drinking and domestic water''s GAP]]*WWWW[[#This Row],[Total PoP ]]</f>
        <v>0</v>
      </c>
      <c r="CJ86" s="80">
        <f>IF(WWWW[[#This Row],[Total required water points]]-WWWW[[#This Row],['#Water points coverage]]&lt;0,0,WWWW[[#This Row],[Total required water points]]-WWWW[[#This Row],['#Water points coverage]])</f>
        <v>0</v>
      </c>
      <c r="CK86" s="80">
        <f>ROUND(IF(WWWW[[#This Row],[Total PoP ]]&lt;500,1,WWWW[[#This Row],[Total PoP ]]/500),0)</f>
        <v>1</v>
      </c>
      <c r="CL86" s="80">
        <f>(WWWW[[#This Row],['#_Constructed latrines_by_WASHAgencies]]+WWWW[[#This Row],['#_Non Cluster partner latrines]])-WWWW[[#This Row],['#_Non-functional latrines]]</f>
        <v>28</v>
      </c>
      <c r="CM8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0.86153846153846159</v>
      </c>
      <c r="CN8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8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620</v>
      </c>
      <c r="CP86" s="80">
        <f>IF(WWWW[[#This Row],[Location Type 1]]="Village","NA",IF(WWWW[[#This Row],['#_Constructed/Existing latrines in TLS]]*50&gt;WWWW[[#This Row],['#_students at TLS_CFS]],WWWW[[#This Row],['#_students at TLS_CFS]],(WWWW[[#This Row],['#_Constructed/Existing latrines in TLS]]*50)))</f>
        <v>0</v>
      </c>
      <c r="CQ86" s="80">
        <f>ROUND(IF(WWWW[[#This Row],[Location Type 1]]="camp",WWWW[[#This Row],[Total PoP ]]/20,IF(WWWW[[#This Row],[Location Type 1]]="Temporary Location",WWWW[[#This Row],[Total PoP ]]/50,(WWWW[[#This Row],[Total PoP ]]/6))),0)</f>
        <v>33</v>
      </c>
      <c r="CR86" s="79">
        <f>IF(WWWW[[#This Row],[Total required Latrines]]-(WWWW[[#This Row],['#_Constructed latrines_by_WASHAgencies]]+WWWW[[#This Row],['#_Non Cluster partner latrines]])&lt;0,0,WWWW[[#This Row],[Total required Latrines]]-(WWWW[[#This Row],['#_Constructed latrines_by_WASHAgencies]]+WWWW[[#This Row],['#_Non Cluster partner latrines]]))</f>
        <v>5</v>
      </c>
      <c r="CS86" s="78">
        <f>1-WWWW[[#This Row],[% people access to functioning Latrine]]</f>
        <v>0.13846153846153841</v>
      </c>
      <c r="CT86" s="82">
        <f>IF(OR(WWWW[[#This Row],['#_Non-functional latrines]]="",WWWW[[#This Row],['#_Non-functional latrines]]=0),0,WWWW[[#This Row],['#_Non-functional latrines]]/(WWWW[[#This Row],['#_Constructed latrines_by_WASHAgencies]]+WWWW[[#This Row],['#_Non Cluster partner latrines]]))</f>
        <v>0</v>
      </c>
      <c r="CU86" s="79">
        <f>IF(500*(WWWW[[#This Row],['#_male hygiene promoters]]+WWWW[[#This Row],['#_female hygiene promoters]])&gt;WWWW[[#This Row],[Total PoP ]],WWWW[[#This Row],[Total PoP ]],500*(WWWW[[#This Row],['#_male hygiene promoters]]+WWWW[[#This Row],['#_female hygiene promoters]]))</f>
        <v>650</v>
      </c>
      <c r="CV8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225</v>
      </c>
      <c r="CW8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650</v>
      </c>
      <c r="CX86" s="80">
        <f>IF(WWWW[[#This Row],['# People with access to soap]]&gt;WWWW[[#This Row],['# People with access to Sanity Pads]],WWWW[[#This Row],['# People with access to soap]],WWWW[[#This Row],['# People with access to Sanity Pads]])</f>
        <v>650</v>
      </c>
      <c r="CY86" s="80">
        <f>IF(WWWW[[#This Row],['# people reached by regular dedicated hygiene promotion_5]]&gt;WWWW[[#This Row],['# People received regular supply of hygiene items_6]],WWWW[[#This Row],['# people reached by regular dedicated hygiene promotion_5]],WWWW[[#This Row],['# People received regular supply of hygiene items_6]])</f>
        <v>650</v>
      </c>
      <c r="CZ86" s="78">
        <f>IF(WWWW[[#This Row],[HRP3]]/WWWW[[#This Row],[Total PoP ]]&gt;100%,100%,WWWW[[#This Row],[HRP3]]/WWWW[[#This Row],[Total PoP ]])</f>
        <v>1</v>
      </c>
      <c r="DA86" s="82">
        <f>1-WWWW[[#This Row],[Hygiene Coverage%]]</f>
        <v>0</v>
      </c>
      <c r="DB86" s="81">
        <f>WWWW[[#This Row],['# people reached by regular dedicated hygiene promotion_5]]/WWWW[[#This Row],[Total PoP ]]</f>
        <v>1</v>
      </c>
      <c r="DC86" s="81">
        <f>IF(WWWW[[#This Row],['#_households that received standard amount of soap for this quarter]]/WWWW[[#This Row],[Total HH]]&gt;1,1,WWWW[[#This Row],['#_households that received standard amount of soap for this quarter]]/WWWW[[#This Row],[Total HH]])</f>
        <v>0.38461538461538464</v>
      </c>
      <c r="DD86" s="81">
        <f>IF(WWWW[[#This Row],['#_households that received standard amount of sanitary pads for this quarter]]/WWWW[[#This Row],[Total HH]]&gt;1,1,WWWW[[#This Row],['#_households that received standard amount of sanitary pads for this quarter]]/WWWW[[#This Row],[Total HH]])</f>
        <v>1</v>
      </c>
      <c r="DE86" s="80">
        <f>WWWW[[#This Row],['#_Constructed/Existing hand washing stations]]-WWWW[[#This Row],['#_Non-Functional_hand_washing_stations]]</f>
        <v>9</v>
      </c>
      <c r="DF86" s="757">
        <f>IF(WWWW[[#This Row],['# Functional hand washing stations during reporting period]]*20&gt;WWWW[[#This Row],[Total HH]],WWWW[[#This Row],[Total HH]],WWWW[[#This Row],['# Functional hand washing stations during reporting period]]*20)</f>
        <v>117</v>
      </c>
      <c r="DG86" s="79">
        <f>IF(WWWW[[#This Row],[Is sufficient soap available for TLS? (Yes/No)]]="yes",WWWW[[#This Row],['#_Constructed/Existing hand washing stations at TLS]],0)</f>
        <v>0</v>
      </c>
      <c r="DH86" s="578">
        <f>IF(WWWW[[#This Row],['# Functional hand washing stations during reporting period]]*100&gt;WWWW[[#This Row],[Total PoP ]],WWWW[[#This Row],[Total PoP ]],WWWW[[#This Row],['# Functional hand washing stations during reporting period]]*100)</f>
        <v>650</v>
      </c>
      <c r="DI86" s="578" t="str">
        <f>IF(OR(WWWW[[#This Row],['#_students at TLS_CFS]]="",WWWW[[#This Row],['#_students at TLS_CFS]]=0),"No","Yes")</f>
        <v>No</v>
      </c>
      <c r="DJ86" s="231">
        <f>VLOOKUP(WWWW[[#This Row],[Site Name]],SiteDB6[[Site Name]:[CCCM Management]],6,FALSE)</f>
        <v>0</v>
      </c>
      <c r="DK86" s="231">
        <f>VLOOKUP(WWWW[[#This Row],[Site Name]],SiteDB6[[Site Name]:[CCCM Focal Agency]],7,FALSE)</f>
        <v>0</v>
      </c>
      <c r="DL86" s="231" t="str">
        <f>VLOOKUP(WWWW[[#This Row],[Site Name]],SiteDB6[[Site Name]:[Location Type 1]],9,FALSE)</f>
        <v>Camp</v>
      </c>
      <c r="DM86" s="231" t="str">
        <f>VLOOKUP(WWWW[[#This Row],[Site Name]],SiteDB6[[Site Name]:[Type of Accommodation]],10,FALSE)</f>
        <v>Camp</v>
      </c>
      <c r="DN86" s="231" t="str">
        <f>VLOOKUP(WWWW[[#This Row],[Site Name]],SiteDB6[[Site Name]:[Ethnic or GCA/NGCA]],11,FALSE)</f>
        <v>GCA</v>
      </c>
      <c r="DO86" s="231">
        <f>VLOOKUP(WWWW[[#This Row],[Site Name]],SiteDB6[[Site Name]:[Lat]],12,FALSE)</f>
        <v>0</v>
      </c>
      <c r="DP86" s="231">
        <f>VLOOKUP(WWWW[[#This Row],[Site Name]],SiteDB6[[Site Name]:[Long]],13,FALSE)</f>
        <v>0</v>
      </c>
      <c r="DQ86" s="231">
        <f>VLOOKUP(WWWW[[#This Row],[Site Name]],SiteDB6[[Site Name]:[Pcode]],3,FALSE)</f>
        <v>0</v>
      </c>
      <c r="DR86" s="207" t="str">
        <f t="shared" si="3"/>
        <v>Covered</v>
      </c>
      <c r="DS86" s="207"/>
      <c r="DT86" s="20"/>
      <c r="DU86" s="20"/>
      <c r="DV86" s="20"/>
      <c r="DW86" s="20"/>
      <c r="DX86" s="20"/>
      <c r="DY86" s="20"/>
      <c r="DZ86" s="20"/>
      <c r="EA86" s="20"/>
      <c r="EB86" s="20"/>
      <c r="EC86" s="20"/>
      <c r="ED86" s="20"/>
      <c r="EE86" s="20"/>
      <c r="EF86" s="20"/>
      <c r="EG86" s="20"/>
      <c r="EH86" s="20"/>
    </row>
    <row r="87" spans="1:138" ht="15.75" customHeight="1">
      <c r="A87" s="238" t="s">
        <v>2518</v>
      </c>
      <c r="B87" s="574" t="s">
        <v>284</v>
      </c>
      <c r="C87" s="574" t="s">
        <v>284</v>
      </c>
      <c r="D87" s="574" t="s">
        <v>2955</v>
      </c>
      <c r="E87" s="574" t="s">
        <v>39</v>
      </c>
      <c r="F87" s="574" t="s">
        <v>213</v>
      </c>
      <c r="G87" s="574" t="str">
        <f>VLOOKUP(WWWW[[#This Row],[Site Name]],SiteDB6[[Site Name]:[Location Type]],8,FALSE)</f>
        <v>Camp</v>
      </c>
      <c r="H87" s="574" t="s">
        <v>292</v>
      </c>
      <c r="I87" s="583">
        <v>49</v>
      </c>
      <c r="J87" s="583">
        <v>300</v>
      </c>
      <c r="K87" s="553" t="s">
        <v>2956</v>
      </c>
      <c r="L87" s="77" t="s">
        <v>2957</v>
      </c>
      <c r="M87" s="583"/>
      <c r="N87" s="583">
        <v>0</v>
      </c>
      <c r="O87" s="583">
        <v>0</v>
      </c>
      <c r="P87" s="583">
        <v>0</v>
      </c>
      <c r="Q87" s="76" t="s">
        <v>43</v>
      </c>
      <c r="R87" s="310">
        <v>4</v>
      </c>
      <c r="S87" s="310">
        <v>7</v>
      </c>
      <c r="T87" s="310">
        <v>3</v>
      </c>
      <c r="U87" s="310">
        <v>0</v>
      </c>
      <c r="V87" s="310"/>
      <c r="W87" s="310">
        <v>0</v>
      </c>
      <c r="X87" s="310">
        <v>0</v>
      </c>
      <c r="Y87" s="310"/>
      <c r="Z87" s="310"/>
      <c r="AA87" s="310"/>
      <c r="AB87" s="310"/>
      <c r="AC87" s="310"/>
      <c r="AD87" s="310"/>
      <c r="AE87" s="310"/>
      <c r="AF87" s="310"/>
      <c r="AG87" s="310"/>
      <c r="AH87" s="310"/>
      <c r="AI87" s="310">
        <v>1</v>
      </c>
      <c r="AJ87" s="310">
        <v>1</v>
      </c>
      <c r="AK87" s="310">
        <v>6</v>
      </c>
      <c r="AL87" s="310">
        <v>0</v>
      </c>
      <c r="AM87" s="310"/>
      <c r="AN87" s="310"/>
      <c r="AO87" s="207"/>
      <c r="AP87" s="310">
        <v>18</v>
      </c>
      <c r="AQ87" s="310"/>
      <c r="AR87" s="76"/>
      <c r="AS87" s="310"/>
      <c r="AT87" s="310"/>
      <c r="AU87" s="310">
        <v>16</v>
      </c>
      <c r="AV87" s="310"/>
      <c r="AW87" s="310"/>
      <c r="AX87" s="231" t="s">
        <v>43</v>
      </c>
      <c r="AY87" s="231" t="s">
        <v>145</v>
      </c>
      <c r="AZ87" s="310">
        <v>0</v>
      </c>
      <c r="BA87" s="310">
        <v>0</v>
      </c>
      <c r="BB87" s="310"/>
      <c r="BC87" s="207"/>
      <c r="BD87" s="310">
        <v>5</v>
      </c>
      <c r="BE87" s="310">
        <v>1</v>
      </c>
      <c r="BF87" s="310"/>
      <c r="BG87" s="310">
        <v>3</v>
      </c>
      <c r="BH87" s="310"/>
      <c r="BI87" s="310">
        <v>0</v>
      </c>
      <c r="BJ87" s="310">
        <v>1</v>
      </c>
      <c r="BK87" s="310">
        <v>14</v>
      </c>
      <c r="BL87" s="310">
        <v>41</v>
      </c>
      <c r="BM87" s="207"/>
      <c r="BN87" s="79"/>
      <c r="BO87" s="81"/>
      <c r="BP87" s="207"/>
      <c r="BQ87" s="78">
        <f>IFERROR(WWWW[[#This Row],['#_Water sources treated]]/WWWW[[#This Row],['#_Water sources tested for contamination]],"no test")</f>
        <v>1</v>
      </c>
      <c r="BR87" s="81">
        <f>IFERROR(WWWW[[#This Row],['#_Household received remediation action due to contamination]]/WWWW[[#This Row],['#_Household water samples tested for contamination]],"no test")</f>
        <v>0</v>
      </c>
      <c r="BS87" s="80" t="str">
        <f>IF(AND(WWWW[[#This Row],[% of water sources treated]]="no test",WWWW[[#This Row],[% Household received corrective actions]]="no test"),"No Test","Tested")</f>
        <v>Tested</v>
      </c>
      <c r="BT87" s="80">
        <f>WWWW[[#This Row],['#_Constructed/existing protected hand dug well]]-WWWW[[#This Row],['#_Non-functional protected hand dug well]]</f>
        <v>3</v>
      </c>
      <c r="BU87" s="80">
        <f>(WWWW[[#This Row],['#_Constructed/Existing tube wells/boreholes/handpumps_WASH_agency]]+WWWW[[#This Row],['#_Non-Cluster partner water tube-wells/boreholes/handpumps]])-WWWW[[#This Row],['#_Non-functional tube wells/boreholes/handpumps]]</f>
        <v>0</v>
      </c>
      <c r="BV87" s="80">
        <f>WWWW[[#This Row],['#_Constructed/Existingwater storage tank with gravity fed reticulation system]]-WWWW[[#This Row],['#_Non-functional storage tank gravity fed reticulation system]]</f>
        <v>0</v>
      </c>
      <c r="BW87" s="80">
        <f>WWWW[[#This Row],['#_Water boating or water trucking]]</f>
        <v>0</v>
      </c>
      <c r="BX87" s="80">
        <f>WWWW[[#This Row],['#_Constructed/Existing water distribution system from river or natural spring]]</f>
        <v>0</v>
      </c>
      <c r="BY8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7" s="81">
        <f>IF(WWWW[[#This Row],[Location Type 1]]="Village",WWWW[[#This Row],[Access to safe drinking water for Village]],WWWW[[#This Row],[Access to safe drinking water for Camp]])</f>
        <v>1</v>
      </c>
      <c r="CB87" s="79">
        <f>WWWW[[#This Row],[%Equitable and continuous access to sufficient quantity of safe drinking water]]*WWWW[[#This Row],[Total PoP ]]</f>
        <v>300</v>
      </c>
      <c r="CC87" s="81">
        <f>IF((WWWW[[#This Row],['#_Constructed/Existing protected/fenced ponds]]*250)/WWWW[[#This Row],[Total PoP ]]&gt;1,1,(WWWW[[#This Row],['#_Constructed/Existing protected/fenced ponds]]*250)/WWWW[[#This Row],[Total PoP ]])</f>
        <v>0</v>
      </c>
      <c r="CD87" s="79">
        <f>WWWW[[#This Row],[% Access to unimproved water points]]*WWWW[[#This Row],[Total PoP ]]</f>
        <v>0</v>
      </c>
      <c r="CE8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G87" s="79">
        <f>WWWW[[#This Row],[HRP1]]/500</f>
        <v>0.6</v>
      </c>
      <c r="CH87" s="78">
        <f>1-WWWW[[#This Row],[% Equitable and continuous access to sufficient quantity of domestic water]]</f>
        <v>0</v>
      </c>
      <c r="CI87" s="79">
        <f>WWWW[[#This Row],[%equitable and continuous access to sufficient quantity of safe drinking and domestic water''s GAP]]*WWWW[[#This Row],[Total PoP ]]</f>
        <v>0</v>
      </c>
      <c r="CJ87" s="80">
        <f>IF(WWWW[[#This Row],[Total required water points]]-WWWW[[#This Row],['#Water points coverage]]&lt;0,0,WWWW[[#This Row],[Total required water points]]-WWWW[[#This Row],['#Water points coverage]])</f>
        <v>0.4</v>
      </c>
      <c r="CK87" s="80">
        <f>ROUND(IF(WWWW[[#This Row],[Total PoP ]]&lt;500,1,WWWW[[#This Row],[Total PoP ]]/500),0)</f>
        <v>1</v>
      </c>
      <c r="CL87" s="80">
        <f>(WWWW[[#This Row],['#_Constructed latrines_by_WASHAgencies]]+WWWW[[#This Row],['#_Non Cluster partner latrines]])-WWWW[[#This Row],['#_Non-functional latrines]]</f>
        <v>18</v>
      </c>
      <c r="CM8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8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8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P87" s="80">
        <f>IF(WWWW[[#This Row],[Location Type 1]]="Village","NA",IF(WWWW[[#This Row],['#_Constructed/Existing latrines in TLS]]*50&gt;WWWW[[#This Row],['#_students at TLS_CFS]],WWWW[[#This Row],['#_students at TLS_CFS]],(WWWW[[#This Row],['#_Constructed/Existing latrines in TLS]]*50)))</f>
        <v>0</v>
      </c>
      <c r="CQ87" s="80">
        <f>ROUND(IF(WWWW[[#This Row],[Location Type 1]]="camp",WWWW[[#This Row],[Total PoP ]]/20,IF(WWWW[[#This Row],[Location Type 1]]="Temporary Location",WWWW[[#This Row],[Total PoP ]]/50,(WWWW[[#This Row],[Total PoP ]]/6))),0)</f>
        <v>15</v>
      </c>
      <c r="CR87" s="79">
        <f>IF(WWWW[[#This Row],[Total required Latrines]]-(WWWW[[#This Row],['#_Constructed latrines_by_WASHAgencies]]+WWWW[[#This Row],['#_Non Cluster partner latrines]])&lt;0,0,WWWW[[#This Row],[Total required Latrines]]-(WWWW[[#This Row],['#_Constructed latrines_by_WASHAgencies]]+WWWW[[#This Row],['#_Non Cluster partner latrines]]))</f>
        <v>0</v>
      </c>
      <c r="CS87" s="78">
        <f>1-WWWW[[#This Row],[% people access to functioning Latrine]]</f>
        <v>0</v>
      </c>
      <c r="CT87" s="82">
        <f>IF(OR(WWWW[[#This Row],['#_Non-functional latrines]]="",WWWW[[#This Row],['#_Non-functional latrines]]=0),0,WWWW[[#This Row],['#_Non-functional latrines]]/(WWWW[[#This Row],['#_Constructed latrines_by_WASHAgencies]]+WWWW[[#This Row],['#_Non Cluster partner latrines]]))</f>
        <v>0</v>
      </c>
      <c r="CU87" s="79">
        <f>IF(500*(WWWW[[#This Row],['#_male hygiene promoters]]+WWWW[[#This Row],['#_female hygiene promoters]])&gt;WWWW[[#This Row],[Total PoP ]],WWWW[[#This Row],[Total PoP ]],500*(WWWW[[#This Row],['#_male hygiene promoters]]+WWWW[[#This Row],['#_female hygiene promoters]]))</f>
        <v>300</v>
      </c>
      <c r="CV8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CW8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205</v>
      </c>
      <c r="CX87" s="80">
        <f>IF(WWWW[[#This Row],['# People with access to soap]]&gt;WWWW[[#This Row],['# People with access to Sanity Pads]],WWWW[[#This Row],['# People with access to soap]],WWWW[[#This Row],['# People with access to Sanity Pads]])</f>
        <v>205</v>
      </c>
      <c r="CY87" s="80">
        <f>IF(WWWW[[#This Row],['# people reached by regular dedicated hygiene promotion_5]]&gt;WWWW[[#This Row],['# People received regular supply of hygiene items_6]],WWWW[[#This Row],['# people reached by regular dedicated hygiene promotion_5]],WWWW[[#This Row],['# People received regular supply of hygiene items_6]])</f>
        <v>300</v>
      </c>
      <c r="CZ87" s="78">
        <f>IF(WWWW[[#This Row],[HRP3]]/WWWW[[#This Row],[Total PoP ]]&gt;100%,100%,WWWW[[#This Row],[HRP3]]/WWWW[[#This Row],[Total PoP ]])</f>
        <v>1</v>
      </c>
      <c r="DA87" s="82">
        <f>1-WWWW[[#This Row],[Hygiene Coverage%]]</f>
        <v>0</v>
      </c>
      <c r="DB87" s="81">
        <f>WWWW[[#This Row],['# people reached by regular dedicated hygiene promotion_5]]/WWWW[[#This Row],[Total PoP ]]</f>
        <v>1</v>
      </c>
      <c r="DC87" s="81">
        <f>IF(WWWW[[#This Row],['#_households that received standard amount of soap for this quarter]]/WWWW[[#This Row],[Total HH]]&gt;1,1,WWWW[[#This Row],['#_households that received standard amount of soap for this quarter]]/WWWW[[#This Row],[Total HH]])</f>
        <v>0.2857142857142857</v>
      </c>
      <c r="DD87" s="81">
        <f>IF(WWWW[[#This Row],['#_households that received standard amount of sanitary pads for this quarter]]/WWWW[[#This Row],[Total HH]]&gt;1,1,WWWW[[#This Row],['#_households that received standard amount of sanitary pads for this quarter]]/WWWW[[#This Row],[Total HH]])</f>
        <v>0.83673469387755106</v>
      </c>
      <c r="DE87" s="80">
        <f>WWWW[[#This Row],['#_Constructed/Existing hand washing stations]]-WWWW[[#This Row],['#_Non-Functional_hand_washing_stations]]</f>
        <v>4</v>
      </c>
      <c r="DF87" s="757">
        <f>IF(WWWW[[#This Row],['# Functional hand washing stations during reporting period]]*20&gt;WWWW[[#This Row],[Total HH]],WWWW[[#This Row],[Total HH]],WWWW[[#This Row],['# Functional hand washing stations during reporting period]]*20)</f>
        <v>49</v>
      </c>
      <c r="DG87" s="79">
        <f>IF(WWWW[[#This Row],[Is sufficient soap available for TLS? (Yes/No)]]="yes",WWWW[[#This Row],['#_Constructed/Existing hand washing stations at TLS]],0)</f>
        <v>0</v>
      </c>
      <c r="DH87" s="578">
        <f>IF(WWWW[[#This Row],['# Functional hand washing stations during reporting period]]*100&gt;WWWW[[#This Row],[Total PoP ]],WWWW[[#This Row],[Total PoP ]],WWWW[[#This Row],['# Functional hand washing stations during reporting period]]*100)</f>
        <v>300</v>
      </c>
      <c r="DI87" s="578" t="str">
        <f>IF(OR(WWWW[[#This Row],['#_students at TLS_CFS]]="",WWWW[[#This Row],['#_students at TLS_CFS]]=0),"No","Yes")</f>
        <v>No</v>
      </c>
      <c r="DJ87" s="231" t="str">
        <f>VLOOKUP(WWWW[[#This Row],[Site Name]],SiteDB6[[Site Name]:[CCCM Management]],6,FALSE)</f>
        <v>Yes</v>
      </c>
      <c r="DK87" s="231" t="str">
        <f>VLOOKUP(WWWW[[#This Row],[Site Name]],SiteDB6[[Site Name]:[CCCM Focal Agency]],7,FALSE)</f>
        <v>KBC</v>
      </c>
      <c r="DL87" s="231" t="str">
        <f>VLOOKUP(WWWW[[#This Row],[Site Name]],SiteDB6[[Site Name]:[Location Type 1]],9,FALSE)</f>
        <v>Camp</v>
      </c>
      <c r="DM87" s="231" t="str">
        <f>VLOOKUP(WWWW[[#This Row],[Site Name]],SiteDB6[[Site Name]:[Type of Accommodation]],10,FALSE)</f>
        <v>Camp</v>
      </c>
      <c r="DN87" s="231" t="str">
        <f>VLOOKUP(WWWW[[#This Row],[Site Name]],SiteDB6[[Site Name]:[Ethnic or GCA/NGCA]],11,FALSE)</f>
        <v>GCA</v>
      </c>
      <c r="DO87" s="231">
        <f>VLOOKUP(WWWW[[#This Row],[Site Name]],SiteDB6[[Site Name]:[Lat]],12,FALSE)</f>
        <v>24.205417000000001</v>
      </c>
      <c r="DP87" s="231">
        <f>VLOOKUP(WWWW[[#This Row],[Site Name]],SiteDB6[[Site Name]:[Long]],13,FALSE)</f>
        <v>97.724483000000006</v>
      </c>
      <c r="DQ87" s="231" t="str">
        <f>VLOOKUP(WWWW[[#This Row],[Site Name]],SiteDB6[[Site Name]:[Pcode]],3,FALSE)</f>
        <v>MMR001CMP072</v>
      </c>
      <c r="DR87" s="207" t="str">
        <f t="shared" si="3"/>
        <v>Covered</v>
      </c>
      <c r="DS87" s="207"/>
      <c r="DT87" s="20"/>
      <c r="DU87" s="20"/>
      <c r="DV87" s="20"/>
      <c r="DW87" s="20"/>
      <c r="DX87" s="20"/>
      <c r="DY87" s="20"/>
      <c r="DZ87" s="20"/>
      <c r="EA87" s="20"/>
      <c r="EB87" s="20"/>
      <c r="EC87" s="20"/>
      <c r="ED87" s="20"/>
      <c r="EE87" s="20"/>
      <c r="EF87" s="20"/>
      <c r="EG87" s="20"/>
      <c r="EH87" s="20"/>
    </row>
    <row r="88" spans="1:138" ht="15.75" customHeight="1">
      <c r="A88" s="238" t="s">
        <v>2518</v>
      </c>
      <c r="B88" s="574" t="s">
        <v>284</v>
      </c>
      <c r="C88" s="574" t="s">
        <v>284</v>
      </c>
      <c r="D88" s="574" t="s">
        <v>2955</v>
      </c>
      <c r="E88" s="574" t="s">
        <v>39</v>
      </c>
      <c r="F88" s="574" t="s">
        <v>203</v>
      </c>
      <c r="G88" s="574" t="str">
        <f>VLOOKUP(WWWW[[#This Row],[Site Name]],SiteDB6[[Site Name]:[Location Type]],8,FALSE)</f>
        <v>Camp</v>
      </c>
      <c r="H88" s="574" t="s">
        <v>287</v>
      </c>
      <c r="I88" s="583">
        <v>148</v>
      </c>
      <c r="J88" s="583">
        <v>778</v>
      </c>
      <c r="K88" s="553" t="s">
        <v>2956</v>
      </c>
      <c r="L88" s="77" t="s">
        <v>2957</v>
      </c>
      <c r="M88" s="583"/>
      <c r="N88" s="583">
        <v>0</v>
      </c>
      <c r="O88" s="583">
        <v>0</v>
      </c>
      <c r="P88" s="583">
        <v>0</v>
      </c>
      <c r="Q88" s="76" t="s">
        <v>43</v>
      </c>
      <c r="R88" s="310">
        <v>7</v>
      </c>
      <c r="S88" s="310">
        <v>15</v>
      </c>
      <c r="T88" s="310">
        <v>1</v>
      </c>
      <c r="U88" s="310">
        <v>0</v>
      </c>
      <c r="V88" s="310"/>
      <c r="W88" s="310">
        <v>3</v>
      </c>
      <c r="X88" s="310">
        <v>0</v>
      </c>
      <c r="Y88" s="310"/>
      <c r="Z88" s="310"/>
      <c r="AA88" s="310"/>
      <c r="AB88" s="310"/>
      <c r="AC88" s="310"/>
      <c r="AD88" s="310"/>
      <c r="AE88" s="310"/>
      <c r="AF88" s="310"/>
      <c r="AG88" s="310"/>
      <c r="AH88" s="310"/>
      <c r="AI88" s="310">
        <v>3</v>
      </c>
      <c r="AJ88" s="310">
        <v>3</v>
      </c>
      <c r="AK88" s="310">
        <v>10</v>
      </c>
      <c r="AL88" s="310">
        <v>0</v>
      </c>
      <c r="AM88" s="310"/>
      <c r="AN88" s="310"/>
      <c r="AO88" s="207"/>
      <c r="AP88" s="310">
        <v>48</v>
      </c>
      <c r="AQ88" s="310"/>
      <c r="AR88" s="76"/>
      <c r="AS88" s="310"/>
      <c r="AT88" s="310"/>
      <c r="AU88" s="310">
        <v>34</v>
      </c>
      <c r="AV88" s="310"/>
      <c r="AW88" s="310"/>
      <c r="AX88" s="231" t="s">
        <v>43</v>
      </c>
      <c r="AY88" s="231" t="s">
        <v>145</v>
      </c>
      <c r="AZ88" s="310">
        <v>0</v>
      </c>
      <c r="BA88" s="310">
        <v>0</v>
      </c>
      <c r="BB88" s="310"/>
      <c r="BC88" s="207"/>
      <c r="BD88" s="310">
        <v>18</v>
      </c>
      <c r="BE88" s="310">
        <v>5</v>
      </c>
      <c r="BF88" s="310"/>
      <c r="BG88" s="310">
        <v>10</v>
      </c>
      <c r="BH88" s="310"/>
      <c r="BI88" s="310">
        <v>0</v>
      </c>
      <c r="BJ88" s="310">
        <v>3</v>
      </c>
      <c r="BK88" s="310">
        <v>63</v>
      </c>
      <c r="BL88" s="310">
        <v>200</v>
      </c>
      <c r="BM88" s="207"/>
      <c r="BN88" s="79"/>
      <c r="BO88" s="81"/>
      <c r="BP88" s="207"/>
      <c r="BQ88" s="78">
        <f>IFERROR(WWWW[[#This Row],['#_Water sources treated]]/WWWW[[#This Row],['#_Water sources tested for contamination]],"no test")</f>
        <v>1</v>
      </c>
      <c r="BR88" s="81">
        <f>IFERROR(WWWW[[#This Row],['#_Household received remediation action due to contamination]]/WWWW[[#This Row],['#_Household water samples tested for contamination]],"no test")</f>
        <v>0</v>
      </c>
      <c r="BS88" s="80" t="str">
        <f>IF(AND(WWWW[[#This Row],[% of water sources treated]]="no test",WWWW[[#This Row],[% Household received corrective actions]]="no test"),"No Test","Tested")</f>
        <v>Tested</v>
      </c>
      <c r="BT88" s="80">
        <f>WWWW[[#This Row],['#_Constructed/existing protected hand dug well]]-WWWW[[#This Row],['#_Non-functional protected hand dug well]]</f>
        <v>1</v>
      </c>
      <c r="BU88" s="80">
        <f>(WWWW[[#This Row],['#_Constructed/Existing tube wells/boreholes/handpumps_WASH_agency]]+WWWW[[#This Row],['#_Non-Cluster partner water tube-wells/boreholes/handpumps]])-WWWW[[#This Row],['#_Non-functional tube wells/boreholes/handpumps]]</f>
        <v>3</v>
      </c>
      <c r="BV88" s="80">
        <f>WWWW[[#This Row],['#_Constructed/Existingwater storage tank with gravity fed reticulation system]]-WWWW[[#This Row],['#_Non-functional storage tank gravity fed reticulation system]]</f>
        <v>0</v>
      </c>
      <c r="BW88" s="80">
        <f>WWWW[[#This Row],['#_Water boating or water trucking]]</f>
        <v>0</v>
      </c>
      <c r="BX88" s="80">
        <f>WWWW[[#This Row],['#_Constructed/Existing water distribution system from river or natural spring]]</f>
        <v>0</v>
      </c>
      <c r="BY8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8" s="81">
        <f>IF(WWWW[[#This Row],[Location Type 1]]="Village",WWWW[[#This Row],[Access to safe drinking water for Village]],WWWW[[#This Row],[Access to safe drinking water for Camp]])</f>
        <v>1</v>
      </c>
      <c r="CB88" s="79">
        <f>WWWW[[#This Row],[%Equitable and continuous access to sufficient quantity of safe drinking water]]*WWWW[[#This Row],[Total PoP ]]</f>
        <v>778</v>
      </c>
      <c r="CC88" s="81">
        <f>IF((WWWW[[#This Row],['#_Constructed/Existing protected/fenced ponds]]*250)/WWWW[[#This Row],[Total PoP ]]&gt;1,1,(WWWW[[#This Row],['#_Constructed/Existing protected/fenced ponds]]*250)/WWWW[[#This Row],[Total PoP ]])</f>
        <v>0</v>
      </c>
      <c r="CD88" s="79">
        <f>WWWW[[#This Row],[% Access to unimproved water points]]*WWWW[[#This Row],[Total PoP ]]</f>
        <v>0</v>
      </c>
      <c r="CE8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778</v>
      </c>
      <c r="CG88" s="79">
        <f>WWWW[[#This Row],[HRP1]]/500</f>
        <v>1.556</v>
      </c>
      <c r="CH88" s="78">
        <f>1-WWWW[[#This Row],[% Equitable and continuous access to sufficient quantity of domestic water]]</f>
        <v>0</v>
      </c>
      <c r="CI88" s="79">
        <f>WWWW[[#This Row],[%equitable and continuous access to sufficient quantity of safe drinking and domestic water''s GAP]]*WWWW[[#This Row],[Total PoP ]]</f>
        <v>0</v>
      </c>
      <c r="CJ88" s="80">
        <f>IF(WWWW[[#This Row],[Total required water points]]-WWWW[[#This Row],['#Water points coverage]]&lt;0,0,WWWW[[#This Row],[Total required water points]]-WWWW[[#This Row],['#Water points coverage]])</f>
        <v>0.44399999999999995</v>
      </c>
      <c r="CK88" s="80">
        <f>ROUND(IF(WWWW[[#This Row],[Total PoP ]]&lt;500,1,WWWW[[#This Row],[Total PoP ]]/500),0)</f>
        <v>2</v>
      </c>
      <c r="CL88" s="80">
        <f>(WWWW[[#This Row],['#_Constructed latrines_by_WASHAgencies]]+WWWW[[#This Row],['#_Non Cluster partner latrines]])-WWWW[[#This Row],['#_Non-functional latrines]]</f>
        <v>48</v>
      </c>
      <c r="CM8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8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778</v>
      </c>
      <c r="CO8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680</v>
      </c>
      <c r="CP88" s="80">
        <f>IF(WWWW[[#This Row],[Location Type 1]]="Village","NA",IF(WWWW[[#This Row],['#_Constructed/Existing latrines in TLS]]*50&gt;WWWW[[#This Row],['#_students at TLS_CFS]],WWWW[[#This Row],['#_students at TLS_CFS]],(WWWW[[#This Row],['#_Constructed/Existing latrines in TLS]]*50)))</f>
        <v>0</v>
      </c>
      <c r="CQ88" s="80">
        <f>ROUND(IF(WWWW[[#This Row],[Location Type 1]]="camp",WWWW[[#This Row],[Total PoP ]]/20,IF(WWWW[[#This Row],[Location Type 1]]="Temporary Location",WWWW[[#This Row],[Total PoP ]]/50,(WWWW[[#This Row],[Total PoP ]]/6))),0)</f>
        <v>39</v>
      </c>
      <c r="CR88" s="79">
        <f>IF(WWWW[[#This Row],[Total required Latrines]]-(WWWW[[#This Row],['#_Constructed latrines_by_WASHAgencies]]+WWWW[[#This Row],['#_Non Cluster partner latrines]])&lt;0,0,WWWW[[#This Row],[Total required Latrines]]-(WWWW[[#This Row],['#_Constructed latrines_by_WASHAgencies]]+WWWW[[#This Row],['#_Non Cluster partner latrines]]))</f>
        <v>0</v>
      </c>
      <c r="CS88" s="78">
        <f>1-WWWW[[#This Row],[% people access to functioning Latrine]]</f>
        <v>0</v>
      </c>
      <c r="CT88" s="82">
        <f>IF(OR(WWWW[[#This Row],['#_Non-functional latrines]]="",WWWW[[#This Row],['#_Non-functional latrines]]=0),0,WWWW[[#This Row],['#_Non-functional latrines]]/(WWWW[[#This Row],['#_Constructed latrines_by_WASHAgencies]]+WWWW[[#This Row],['#_Non Cluster partner latrines]]))</f>
        <v>0</v>
      </c>
      <c r="CU88" s="79">
        <f>IF(500*(WWWW[[#This Row],['#_male hygiene promoters]]+WWWW[[#This Row],['#_female hygiene promoters]])&gt;WWWW[[#This Row],[Total PoP ]],WWWW[[#This Row],[Total PoP ]],500*(WWWW[[#This Row],['#_male hygiene promoters]]+WWWW[[#This Row],['#_female hygiene promoters]]))</f>
        <v>778</v>
      </c>
      <c r="CV8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315</v>
      </c>
      <c r="CW8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778</v>
      </c>
      <c r="CX88" s="80">
        <f>IF(WWWW[[#This Row],['# People with access to soap]]&gt;WWWW[[#This Row],['# People with access to Sanity Pads]],WWWW[[#This Row],['# People with access to soap]],WWWW[[#This Row],['# People with access to Sanity Pads]])</f>
        <v>778</v>
      </c>
      <c r="CY88" s="80">
        <f>IF(WWWW[[#This Row],['# people reached by regular dedicated hygiene promotion_5]]&gt;WWWW[[#This Row],['# People received regular supply of hygiene items_6]],WWWW[[#This Row],['# people reached by regular dedicated hygiene promotion_5]],WWWW[[#This Row],['# People received regular supply of hygiene items_6]])</f>
        <v>778</v>
      </c>
      <c r="CZ88" s="78">
        <f>IF(WWWW[[#This Row],[HRP3]]/WWWW[[#This Row],[Total PoP ]]&gt;100%,100%,WWWW[[#This Row],[HRP3]]/WWWW[[#This Row],[Total PoP ]])</f>
        <v>1</v>
      </c>
      <c r="DA88" s="82">
        <f>1-WWWW[[#This Row],[Hygiene Coverage%]]</f>
        <v>0</v>
      </c>
      <c r="DB88" s="81">
        <f>WWWW[[#This Row],['# people reached by regular dedicated hygiene promotion_5]]/WWWW[[#This Row],[Total PoP ]]</f>
        <v>1</v>
      </c>
      <c r="DC88" s="81">
        <f>IF(WWWW[[#This Row],['#_households that received standard amount of soap for this quarter]]/WWWW[[#This Row],[Total HH]]&gt;1,1,WWWW[[#This Row],['#_households that received standard amount of soap for this quarter]]/WWWW[[#This Row],[Total HH]])</f>
        <v>0.42567567567567566</v>
      </c>
      <c r="DD88" s="81">
        <f>IF(WWWW[[#This Row],['#_households that received standard amount of sanitary pads for this quarter]]/WWWW[[#This Row],[Total HH]]&gt;1,1,WWWW[[#This Row],['#_households that received standard amount of sanitary pads for this quarter]]/WWWW[[#This Row],[Total HH]])</f>
        <v>1</v>
      </c>
      <c r="DE88" s="80">
        <f>WWWW[[#This Row],['#_Constructed/Existing hand washing stations]]-WWWW[[#This Row],['#_Non-Functional_hand_washing_stations]]</f>
        <v>13</v>
      </c>
      <c r="DF88" s="757">
        <f>IF(WWWW[[#This Row],['# Functional hand washing stations during reporting period]]*20&gt;WWWW[[#This Row],[Total HH]],WWWW[[#This Row],[Total HH]],WWWW[[#This Row],['# Functional hand washing stations during reporting period]]*20)</f>
        <v>148</v>
      </c>
      <c r="DG88" s="79">
        <f>IF(WWWW[[#This Row],[Is sufficient soap available for TLS? (Yes/No)]]="yes",WWWW[[#This Row],['#_Constructed/Existing hand washing stations at TLS]],0)</f>
        <v>0</v>
      </c>
      <c r="DH88" s="578">
        <f>IF(WWWW[[#This Row],['# Functional hand washing stations during reporting period]]*100&gt;WWWW[[#This Row],[Total PoP ]],WWWW[[#This Row],[Total PoP ]],WWWW[[#This Row],['# Functional hand washing stations during reporting period]]*100)</f>
        <v>778</v>
      </c>
      <c r="DI88" s="578" t="str">
        <f>IF(OR(WWWW[[#This Row],['#_students at TLS_CFS]]="",WWWW[[#This Row],['#_students at TLS_CFS]]=0),"No","Yes")</f>
        <v>No</v>
      </c>
      <c r="DJ88" s="231" t="str">
        <f>VLOOKUP(WWWW[[#This Row],[Site Name]],SiteDB6[[Site Name]:[CCCM Management]],6,FALSE)</f>
        <v>Yes</v>
      </c>
      <c r="DK88" s="231" t="str">
        <f>VLOOKUP(WWWW[[#This Row],[Site Name]],SiteDB6[[Site Name]:[CCCM Focal Agency]],7,FALSE)</f>
        <v>KBC</v>
      </c>
      <c r="DL88" s="231" t="str">
        <f>VLOOKUP(WWWW[[#This Row],[Site Name]],SiteDB6[[Site Name]:[Location Type 1]],9,FALSE)</f>
        <v>Camp</v>
      </c>
      <c r="DM88" s="231" t="str">
        <f>VLOOKUP(WWWW[[#This Row],[Site Name]],SiteDB6[[Site Name]:[Type of Accommodation]],10,FALSE)</f>
        <v>Camp</v>
      </c>
      <c r="DN88" s="231" t="str">
        <f>VLOOKUP(WWWW[[#This Row],[Site Name]],SiteDB6[[Site Name]:[Ethnic or GCA/NGCA]],11,FALSE)</f>
        <v>GCA</v>
      </c>
      <c r="DO88" s="231">
        <f>VLOOKUP(WWWW[[#This Row],[Site Name]],SiteDB6[[Site Name]:[Lat]],12,FALSE)</f>
        <v>24.222349999999999</v>
      </c>
      <c r="DP88" s="231">
        <f>VLOOKUP(WWWW[[#This Row],[Site Name]],SiteDB6[[Site Name]:[Long]],13,FALSE)</f>
        <v>97.252650000000003</v>
      </c>
      <c r="DQ88" s="231" t="str">
        <f>VLOOKUP(WWWW[[#This Row],[Site Name]],SiteDB6[[Site Name]:[Pcode]],3,FALSE)</f>
        <v>MMR001CMP193</v>
      </c>
      <c r="DR88" s="207" t="str">
        <f t="shared" si="3"/>
        <v>Covered</v>
      </c>
      <c r="DS88" s="207"/>
      <c r="DT88" s="20"/>
      <c r="DU88" s="20"/>
      <c r="DV88" s="20"/>
      <c r="DW88" s="20"/>
      <c r="DX88" s="20"/>
      <c r="DY88" s="20"/>
      <c r="DZ88" s="20"/>
      <c r="EA88" s="20"/>
      <c r="EB88" s="20"/>
      <c r="EC88" s="20"/>
      <c r="ED88" s="20"/>
      <c r="EE88" s="20"/>
      <c r="EF88" s="20"/>
      <c r="EG88" s="20"/>
      <c r="EH88" s="20"/>
    </row>
    <row r="89" spans="1:138" ht="15.75" customHeight="1">
      <c r="A89" s="238" t="s">
        <v>2518</v>
      </c>
      <c r="B89" s="574" t="s">
        <v>200</v>
      </c>
      <c r="C89" s="574" t="s">
        <v>200</v>
      </c>
      <c r="D89" s="574" t="s">
        <v>2960</v>
      </c>
      <c r="E89" s="574" t="s">
        <v>39</v>
      </c>
      <c r="F89" s="574" t="s">
        <v>213</v>
      </c>
      <c r="G89" s="574" t="str">
        <f>VLOOKUP(WWWW[[#This Row],[Site Name]],SiteDB6[[Site Name]:[Location Type]],8,FALSE)</f>
        <v>Camp</v>
      </c>
      <c r="H89" s="574" t="s">
        <v>221</v>
      </c>
      <c r="I89" s="583">
        <v>109</v>
      </c>
      <c r="J89" s="583">
        <v>453</v>
      </c>
      <c r="K89" s="553">
        <v>43466</v>
      </c>
      <c r="L89" s="77">
        <v>43830</v>
      </c>
      <c r="M89" s="583"/>
      <c r="N89" s="583"/>
      <c r="O89" s="583"/>
      <c r="P89" s="583"/>
      <c r="Q89" s="76" t="s">
        <v>43</v>
      </c>
      <c r="R89" s="310">
        <v>1</v>
      </c>
      <c r="S89" s="310">
        <v>1</v>
      </c>
      <c r="T89" s="310">
        <v>2</v>
      </c>
      <c r="U89" s="310"/>
      <c r="V89" s="310"/>
      <c r="W89" s="310">
        <v>1</v>
      </c>
      <c r="X89" s="310">
        <v>1</v>
      </c>
      <c r="Y89" s="310"/>
      <c r="Z89" s="310"/>
      <c r="AA89" s="310"/>
      <c r="AB89" s="310"/>
      <c r="AC89" s="310"/>
      <c r="AD89" s="310"/>
      <c r="AE89" s="310"/>
      <c r="AF89" s="310"/>
      <c r="AG89" s="310"/>
      <c r="AH89" s="310"/>
      <c r="AI89" s="310"/>
      <c r="AJ89" s="310"/>
      <c r="AK89" s="310"/>
      <c r="AL89" s="310"/>
      <c r="AM89" s="310"/>
      <c r="AN89" s="310"/>
      <c r="AO89" s="207"/>
      <c r="AP89" s="310">
        <v>14</v>
      </c>
      <c r="AQ89" s="310"/>
      <c r="AR89" s="76"/>
      <c r="AS89" s="310">
        <v>6</v>
      </c>
      <c r="AT89" s="310"/>
      <c r="AU89" s="310"/>
      <c r="AV89" s="310"/>
      <c r="AW89" s="310"/>
      <c r="AX89" s="581" t="s">
        <v>43</v>
      </c>
      <c r="AY89" s="581" t="s">
        <v>145</v>
      </c>
      <c r="AZ89" s="310"/>
      <c r="BA89" s="310"/>
      <c r="BB89" s="310"/>
      <c r="BC89" s="207"/>
      <c r="BD89" s="310">
        <v>6</v>
      </c>
      <c r="BE89" s="310"/>
      <c r="BF89" s="310"/>
      <c r="BG89" s="310">
        <v>4</v>
      </c>
      <c r="BH89" s="310"/>
      <c r="BI89" s="310"/>
      <c r="BJ89" s="310"/>
      <c r="BK89" s="310"/>
      <c r="BL89" s="310"/>
      <c r="BM89" s="207"/>
      <c r="BN89" s="79"/>
      <c r="BO89" s="81"/>
      <c r="BP89" s="207"/>
      <c r="BQ89" s="78" t="str">
        <f>IFERROR(WWWW[[#This Row],['#_Water sources treated]]/WWWW[[#This Row],['#_Water sources tested for contamination]],"no test")</f>
        <v>no test</v>
      </c>
      <c r="BR89" s="81" t="str">
        <f>IFERROR(WWWW[[#This Row],['#_Household received remediation action due to contamination]]/WWWW[[#This Row],['#_Household water samples tested for contamination]],"no test")</f>
        <v>no test</v>
      </c>
      <c r="BS89" s="80" t="str">
        <f>IF(AND(WWWW[[#This Row],[% of water sources treated]]="no test",WWWW[[#This Row],[% Household received corrective actions]]="no test"),"No Test","Tested")</f>
        <v>No Test</v>
      </c>
      <c r="BT89" s="80">
        <f>WWWW[[#This Row],['#_Constructed/existing protected hand dug well]]-WWWW[[#This Row],['#_Non-functional protected hand dug well]]</f>
        <v>2</v>
      </c>
      <c r="BU89" s="80">
        <f>(WWWW[[#This Row],['#_Constructed/Existing tube wells/boreholes/handpumps_WASH_agency]]+WWWW[[#This Row],['#_Non-Cluster partner water tube-wells/boreholes/handpumps]])-WWWW[[#This Row],['#_Non-functional tube wells/boreholes/handpumps]]</f>
        <v>2</v>
      </c>
      <c r="BV89" s="80">
        <f>WWWW[[#This Row],['#_Constructed/Existingwater storage tank with gravity fed reticulation system]]-WWWW[[#This Row],['#_Non-functional storage tank gravity fed reticulation system]]</f>
        <v>0</v>
      </c>
      <c r="BW89" s="80">
        <f>WWWW[[#This Row],['#_Water boating or water trucking]]</f>
        <v>0</v>
      </c>
      <c r="BX89" s="80">
        <f>WWWW[[#This Row],['#_Constructed/Existing water distribution system from river or natural spring]]</f>
        <v>0</v>
      </c>
      <c r="BY8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8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89" s="81">
        <f>IF(WWWW[[#This Row],[Location Type 1]]="Village",WWWW[[#This Row],[Access to safe drinking water for Village]],WWWW[[#This Row],[Access to safe drinking water for Camp]])</f>
        <v>1</v>
      </c>
      <c r="CB89" s="79">
        <f>WWWW[[#This Row],[%Equitable and continuous access to sufficient quantity of safe drinking water]]*WWWW[[#This Row],[Total PoP ]]</f>
        <v>453</v>
      </c>
      <c r="CC89" s="81">
        <f>IF((WWWW[[#This Row],['#_Constructed/Existing protected/fenced ponds]]*250)/WWWW[[#This Row],[Total PoP ]]&gt;1,1,(WWWW[[#This Row],['#_Constructed/Existing protected/fenced ponds]]*250)/WWWW[[#This Row],[Total PoP ]])</f>
        <v>0</v>
      </c>
      <c r="CD89" s="79">
        <f>WWWW[[#This Row],[% Access to unimproved water points]]*WWWW[[#This Row],[Total PoP ]]</f>
        <v>0</v>
      </c>
      <c r="CE8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8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453</v>
      </c>
      <c r="CG89" s="79">
        <f>WWWW[[#This Row],[HRP1]]/500</f>
        <v>0.90600000000000003</v>
      </c>
      <c r="CH89" s="78">
        <f>1-WWWW[[#This Row],[% Equitable and continuous access to sufficient quantity of domestic water]]</f>
        <v>0</v>
      </c>
      <c r="CI89" s="79">
        <f>WWWW[[#This Row],[%equitable and continuous access to sufficient quantity of safe drinking and domestic water''s GAP]]*WWWW[[#This Row],[Total PoP ]]</f>
        <v>0</v>
      </c>
      <c r="CJ89" s="80">
        <f>IF(WWWW[[#This Row],[Total required water points]]-WWWW[[#This Row],['#Water points coverage]]&lt;0,0,WWWW[[#This Row],[Total required water points]]-WWWW[[#This Row],['#Water points coverage]])</f>
        <v>9.3999999999999972E-2</v>
      </c>
      <c r="CK89" s="80">
        <f>ROUND(IF(WWWW[[#This Row],[Total PoP ]]&lt;500,1,WWWW[[#This Row],[Total PoP ]]/500),0)</f>
        <v>1</v>
      </c>
      <c r="CL89" s="80">
        <f>(WWWW[[#This Row],['#_Constructed latrines_by_WASHAgencies]]+WWWW[[#This Row],['#_Non Cluster partner latrines]])-WWWW[[#This Row],['#_Non-functional latrines]]</f>
        <v>8</v>
      </c>
      <c r="CM8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0.35320088300220753</v>
      </c>
      <c r="CN8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8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89" s="80">
        <f>IF(WWWW[[#This Row],[Location Type 1]]="Village","NA",IF(WWWW[[#This Row],['#_Constructed/Existing latrines in TLS]]*50&gt;WWWW[[#This Row],['#_students at TLS_CFS]],WWWW[[#This Row],['#_students at TLS_CFS]],(WWWW[[#This Row],['#_Constructed/Existing latrines in TLS]]*50)))</f>
        <v>0</v>
      </c>
      <c r="CQ89" s="80">
        <f>ROUND(IF(WWWW[[#This Row],[Location Type 1]]="camp",WWWW[[#This Row],[Total PoP ]]/20,IF(WWWW[[#This Row],[Location Type 1]]="Temporary Location",WWWW[[#This Row],[Total PoP ]]/50,(WWWW[[#This Row],[Total PoP ]]/6))),0)</f>
        <v>23</v>
      </c>
      <c r="CR89" s="79">
        <f>IF(WWWW[[#This Row],[Total required Latrines]]-(WWWW[[#This Row],['#_Constructed latrines_by_WASHAgencies]]+WWWW[[#This Row],['#_Non Cluster partner latrines]])&lt;0,0,WWWW[[#This Row],[Total required Latrines]]-(WWWW[[#This Row],['#_Constructed latrines_by_WASHAgencies]]+WWWW[[#This Row],['#_Non Cluster partner latrines]]))</f>
        <v>9</v>
      </c>
      <c r="CS89" s="78">
        <f>1-WWWW[[#This Row],[% people access to functioning Latrine]]</f>
        <v>0.64679911699779247</v>
      </c>
      <c r="CT89" s="82">
        <f>IF(OR(WWWW[[#This Row],['#_Non-functional latrines]]="",WWWW[[#This Row],['#_Non-functional latrines]]=0),0,WWWW[[#This Row],['#_Non-functional latrines]]/(WWWW[[#This Row],['#_Constructed latrines_by_WASHAgencies]]+WWWW[[#This Row],['#_Non Cluster partner latrines]]))</f>
        <v>0.42857142857142855</v>
      </c>
      <c r="CU89" s="79">
        <f>IF(500*(WWWW[[#This Row],['#_male hygiene promoters]]+WWWW[[#This Row],['#_female hygiene promoters]])&gt;WWWW[[#This Row],[Total PoP ]],WWWW[[#This Row],[Total PoP ]],500*(WWWW[[#This Row],['#_male hygiene promoters]]+WWWW[[#This Row],['#_female hygiene promoters]]))</f>
        <v>0</v>
      </c>
      <c r="CV8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8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89" s="80">
        <f>IF(WWWW[[#This Row],['# People with access to soap]]&gt;WWWW[[#This Row],['# People with access to Sanity Pads]],WWWW[[#This Row],['# People with access to soap]],WWWW[[#This Row],['# People with access to Sanity Pads]])</f>
        <v>0</v>
      </c>
      <c r="CY89"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89" s="78">
        <f>IF(WWWW[[#This Row],[HRP3]]/WWWW[[#This Row],[Total PoP ]]&gt;100%,100%,WWWW[[#This Row],[HRP3]]/WWWW[[#This Row],[Total PoP ]])</f>
        <v>0</v>
      </c>
      <c r="DA89" s="82">
        <f>1-WWWW[[#This Row],[Hygiene Coverage%]]</f>
        <v>1</v>
      </c>
      <c r="DB89" s="81">
        <f>WWWW[[#This Row],['# people reached by regular dedicated hygiene promotion_5]]/WWWW[[#This Row],[Total PoP ]]</f>
        <v>0</v>
      </c>
      <c r="DC89" s="81">
        <f>IF(WWWW[[#This Row],['#_households that received standard amount of soap for this quarter]]/WWWW[[#This Row],[Total HH]]&gt;1,1,WWWW[[#This Row],['#_households that received standard amount of soap for this quarter]]/WWWW[[#This Row],[Total HH]])</f>
        <v>0</v>
      </c>
      <c r="DD89" s="81">
        <f>IF(WWWW[[#This Row],['#_households that received standard amount of sanitary pads for this quarter]]/WWWW[[#This Row],[Total HH]]&gt;1,1,WWWW[[#This Row],['#_households that received standard amount of sanitary pads for this quarter]]/WWWW[[#This Row],[Total HH]])</f>
        <v>0</v>
      </c>
      <c r="DE89" s="80">
        <f>WWWW[[#This Row],['#_Constructed/Existing hand washing stations]]-WWWW[[#This Row],['#_Non-Functional_hand_washing_stations]]</f>
        <v>6</v>
      </c>
      <c r="DF89" s="757">
        <f>IF(WWWW[[#This Row],['# Functional hand washing stations during reporting period]]*20&gt;WWWW[[#This Row],[Total HH]],WWWW[[#This Row],[Total HH]],WWWW[[#This Row],['# Functional hand washing stations during reporting period]]*20)</f>
        <v>109</v>
      </c>
      <c r="DG89" s="79">
        <f>IF(WWWW[[#This Row],[Is sufficient soap available for TLS? (Yes/No)]]="yes",WWWW[[#This Row],['#_Constructed/Existing hand washing stations at TLS]],0)</f>
        <v>0</v>
      </c>
      <c r="DH89" s="578">
        <f>IF(WWWW[[#This Row],['# Functional hand washing stations during reporting period]]*100&gt;WWWW[[#This Row],[Total PoP ]],WWWW[[#This Row],[Total PoP ]],WWWW[[#This Row],['# Functional hand washing stations during reporting period]]*100)</f>
        <v>453</v>
      </c>
      <c r="DI89" s="578" t="str">
        <f>IF(OR(WWWW[[#This Row],['#_students at TLS_CFS]]="",WWWW[[#This Row],['#_students at TLS_CFS]]=0),"No","Yes")</f>
        <v>No</v>
      </c>
      <c r="DJ89" s="231" t="str">
        <f>VLOOKUP(WWWW[[#This Row],[Site Name]],SiteDB6[[Site Name]:[CCCM Management]],6,FALSE)</f>
        <v>Yes</v>
      </c>
      <c r="DK89" s="231" t="str">
        <f>VLOOKUP(WWWW[[#This Row],[Site Name]],SiteDB6[[Site Name]:[CCCM Focal Agency]],7,FALSE)</f>
        <v>KBC</v>
      </c>
      <c r="DL89" s="231" t="str">
        <f>VLOOKUP(WWWW[[#This Row],[Site Name]],SiteDB6[[Site Name]:[Location Type 1]],9,FALSE)</f>
        <v>Camp</v>
      </c>
      <c r="DM89" s="231" t="str">
        <f>VLOOKUP(WWWW[[#This Row],[Site Name]],SiteDB6[[Site Name]:[Type of Accommodation]],10,FALSE)</f>
        <v>Camp</v>
      </c>
      <c r="DN89" s="231" t="str">
        <f>VLOOKUP(WWWW[[#This Row],[Site Name]],SiteDB6[[Site Name]:[Ethnic or GCA/NGCA]],11,FALSE)</f>
        <v>GCA</v>
      </c>
      <c r="DO89" s="231">
        <f>VLOOKUP(WWWW[[#This Row],[Site Name]],SiteDB6[[Site Name]:[Lat]],12,FALSE)</f>
        <v>24.250689999999999</v>
      </c>
      <c r="DP89" s="231">
        <f>VLOOKUP(WWWW[[#This Row],[Site Name]],SiteDB6[[Site Name]:[Long]],13,FALSE)</f>
        <v>97.344359999999995</v>
      </c>
      <c r="DQ89" s="231" t="str">
        <f>VLOOKUP(WWWW[[#This Row],[Site Name]],SiteDB6[[Site Name]:[Pcode]],3,FALSE)</f>
        <v>MMR001CMP056</v>
      </c>
      <c r="DR89" s="207" t="str">
        <f t="shared" si="3"/>
        <v>Covered</v>
      </c>
      <c r="DS89" s="207"/>
      <c r="DT89" s="20"/>
      <c r="DU89" s="20"/>
      <c r="DV89" s="20"/>
      <c r="DW89" s="20"/>
      <c r="DX89" s="20"/>
      <c r="DY89" s="20"/>
      <c r="DZ89" s="20"/>
      <c r="EA89" s="20"/>
      <c r="EB89" s="20"/>
      <c r="EC89" s="20"/>
      <c r="ED89" s="20"/>
      <c r="EE89" s="20"/>
      <c r="EF89" s="20"/>
      <c r="EG89" s="20"/>
      <c r="EH89" s="20"/>
    </row>
    <row r="90" spans="1:138" ht="15.75" customHeight="1">
      <c r="A90" s="238" t="s">
        <v>2518</v>
      </c>
      <c r="B90" s="574" t="s">
        <v>284</v>
      </c>
      <c r="C90" s="574" t="s">
        <v>284</v>
      </c>
      <c r="D90" s="574" t="s">
        <v>2955</v>
      </c>
      <c r="E90" s="574" t="s">
        <v>39</v>
      </c>
      <c r="F90" s="574" t="s">
        <v>203</v>
      </c>
      <c r="G90" s="574" t="str">
        <f>VLOOKUP(WWWW[[#This Row],[Site Name]],SiteDB6[[Site Name]:[Location Type]],8,FALSE)</f>
        <v>Camp</v>
      </c>
      <c r="H90" s="574" t="s">
        <v>288</v>
      </c>
      <c r="I90" s="583">
        <v>638</v>
      </c>
      <c r="J90" s="583">
        <v>4010</v>
      </c>
      <c r="K90" s="553" t="s">
        <v>2956</v>
      </c>
      <c r="L90" s="77" t="s">
        <v>2957</v>
      </c>
      <c r="M90" s="583"/>
      <c r="N90" s="583">
        <v>0</v>
      </c>
      <c r="O90" s="583">
        <v>0</v>
      </c>
      <c r="P90" s="583">
        <v>0</v>
      </c>
      <c r="Q90" s="76" t="s">
        <v>43</v>
      </c>
      <c r="R90" s="310">
        <v>13</v>
      </c>
      <c r="S90" s="310">
        <v>10</v>
      </c>
      <c r="T90" s="310">
        <v>2</v>
      </c>
      <c r="U90" s="310">
        <v>0</v>
      </c>
      <c r="V90" s="310"/>
      <c r="W90" s="310">
        <v>20</v>
      </c>
      <c r="X90" s="310">
        <v>0</v>
      </c>
      <c r="Y90" s="310"/>
      <c r="Z90" s="310"/>
      <c r="AA90" s="310"/>
      <c r="AB90" s="310"/>
      <c r="AC90" s="310"/>
      <c r="AD90" s="310"/>
      <c r="AE90" s="310"/>
      <c r="AF90" s="310"/>
      <c r="AG90" s="310"/>
      <c r="AH90" s="310"/>
      <c r="AI90" s="310">
        <v>13</v>
      </c>
      <c r="AJ90" s="310">
        <v>13</v>
      </c>
      <c r="AK90" s="310">
        <v>14</v>
      </c>
      <c r="AL90" s="310">
        <v>1</v>
      </c>
      <c r="AM90" s="310"/>
      <c r="AN90" s="310"/>
      <c r="AO90" s="207"/>
      <c r="AP90" s="310">
        <v>150</v>
      </c>
      <c r="AQ90" s="310"/>
      <c r="AR90" s="76"/>
      <c r="AS90" s="310"/>
      <c r="AT90" s="310"/>
      <c r="AU90" s="310">
        <v>110</v>
      </c>
      <c r="AV90" s="310"/>
      <c r="AW90" s="310"/>
      <c r="AX90" s="231" t="s">
        <v>43</v>
      </c>
      <c r="AY90" s="231" t="s">
        <v>145</v>
      </c>
      <c r="AZ90" s="310">
        <v>0</v>
      </c>
      <c r="BA90" s="310">
        <v>0</v>
      </c>
      <c r="BB90" s="310"/>
      <c r="BC90" s="207"/>
      <c r="BD90" s="310">
        <v>20</v>
      </c>
      <c r="BE90" s="310">
        <v>10</v>
      </c>
      <c r="BF90" s="310"/>
      <c r="BG90" s="310">
        <v>13</v>
      </c>
      <c r="BH90" s="310"/>
      <c r="BI90" s="310">
        <v>0</v>
      </c>
      <c r="BJ90" s="310">
        <v>5</v>
      </c>
      <c r="BK90" s="310">
        <v>226</v>
      </c>
      <c r="BL90" s="310">
        <v>695</v>
      </c>
      <c r="BM90" s="207"/>
      <c r="BN90" s="79"/>
      <c r="BO90" s="81"/>
      <c r="BP90" s="207"/>
      <c r="BQ90" s="78">
        <f>IFERROR(WWWW[[#This Row],['#_Water sources treated]]/WWWW[[#This Row],['#_Water sources tested for contamination]],"no test")</f>
        <v>1</v>
      </c>
      <c r="BR90" s="81">
        <f>IFERROR(WWWW[[#This Row],['#_Household received remediation action due to contamination]]/WWWW[[#This Row],['#_Household water samples tested for contamination]],"no test")</f>
        <v>7.1428571428571425E-2</v>
      </c>
      <c r="BS90" s="80" t="str">
        <f>IF(AND(WWWW[[#This Row],[% of water sources treated]]="no test",WWWW[[#This Row],[% Household received corrective actions]]="no test"),"No Test","Tested")</f>
        <v>Tested</v>
      </c>
      <c r="BT90" s="80">
        <f>WWWW[[#This Row],['#_Constructed/existing protected hand dug well]]-WWWW[[#This Row],['#_Non-functional protected hand dug well]]</f>
        <v>2</v>
      </c>
      <c r="BU90" s="80">
        <f>(WWWW[[#This Row],['#_Constructed/Existing tube wells/boreholes/handpumps_WASH_agency]]+WWWW[[#This Row],['#_Non-Cluster partner water tube-wells/boreholes/handpumps]])-WWWW[[#This Row],['#_Non-functional tube wells/boreholes/handpumps]]</f>
        <v>20</v>
      </c>
      <c r="BV90" s="80">
        <f>WWWW[[#This Row],['#_Constructed/Existingwater storage tank with gravity fed reticulation system]]-WWWW[[#This Row],['#_Non-functional storage tank gravity fed reticulation system]]</f>
        <v>0</v>
      </c>
      <c r="BW90" s="80">
        <f>WWWW[[#This Row],['#_Water boating or water trucking]]</f>
        <v>0</v>
      </c>
      <c r="BX90" s="80">
        <f>WWWW[[#This Row],['#_Constructed/Existing water distribution system from river or natural spring]]</f>
        <v>0</v>
      </c>
      <c r="BY9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0" s="81">
        <f>IF(WWWW[[#This Row],[Location Type 1]]="Village",WWWW[[#This Row],[Access to safe drinking water for Village]],WWWW[[#This Row],[Access to safe drinking water for Camp]])</f>
        <v>1</v>
      </c>
      <c r="CB90" s="79">
        <f>WWWW[[#This Row],[%Equitable and continuous access to sufficient quantity of safe drinking water]]*WWWW[[#This Row],[Total PoP ]]</f>
        <v>4010</v>
      </c>
      <c r="CC90" s="81">
        <f>IF((WWWW[[#This Row],['#_Constructed/Existing protected/fenced ponds]]*250)/WWWW[[#This Row],[Total PoP ]]&gt;1,1,(WWWW[[#This Row],['#_Constructed/Existing protected/fenced ponds]]*250)/WWWW[[#This Row],[Total PoP ]])</f>
        <v>0</v>
      </c>
      <c r="CD90" s="79">
        <f>WWWW[[#This Row],[% Access to unimproved water points]]*WWWW[[#This Row],[Total PoP ]]</f>
        <v>0</v>
      </c>
      <c r="CE9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4010</v>
      </c>
      <c r="CG90" s="79">
        <f>WWWW[[#This Row],[HRP1]]/500</f>
        <v>8.02</v>
      </c>
      <c r="CH90" s="78">
        <f>1-WWWW[[#This Row],[% Equitable and continuous access to sufficient quantity of domestic water]]</f>
        <v>0</v>
      </c>
      <c r="CI90" s="79">
        <f>WWWW[[#This Row],[%equitable and continuous access to sufficient quantity of safe drinking and domestic water''s GAP]]*WWWW[[#This Row],[Total PoP ]]</f>
        <v>0</v>
      </c>
      <c r="CJ90" s="80">
        <f>IF(WWWW[[#This Row],[Total required water points]]-WWWW[[#This Row],['#Water points coverage]]&lt;0,0,WWWW[[#This Row],[Total required water points]]-WWWW[[#This Row],['#Water points coverage]])</f>
        <v>0</v>
      </c>
      <c r="CK90" s="80">
        <f>ROUND(IF(WWWW[[#This Row],[Total PoP ]]&lt;500,1,WWWW[[#This Row],[Total PoP ]]/500),0)</f>
        <v>8</v>
      </c>
      <c r="CL90" s="80">
        <f>(WWWW[[#This Row],['#_Constructed latrines_by_WASHAgencies]]+WWWW[[#This Row],['#_Non Cluster partner latrines]])-WWWW[[#This Row],['#_Non-functional latrines]]</f>
        <v>150</v>
      </c>
      <c r="CM9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0.74812967581047385</v>
      </c>
      <c r="CN9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3000</v>
      </c>
      <c r="CO9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2200</v>
      </c>
      <c r="CP90" s="80">
        <f>IF(WWWW[[#This Row],[Location Type 1]]="Village","NA",IF(WWWW[[#This Row],['#_Constructed/Existing latrines in TLS]]*50&gt;WWWW[[#This Row],['#_students at TLS_CFS]],WWWW[[#This Row],['#_students at TLS_CFS]],(WWWW[[#This Row],['#_Constructed/Existing latrines in TLS]]*50)))</f>
        <v>0</v>
      </c>
      <c r="CQ90" s="80">
        <f>ROUND(IF(WWWW[[#This Row],[Location Type 1]]="camp",WWWW[[#This Row],[Total PoP ]]/20,IF(WWWW[[#This Row],[Location Type 1]]="Temporary Location",WWWW[[#This Row],[Total PoP ]]/50,(WWWW[[#This Row],[Total PoP ]]/6))),0)</f>
        <v>201</v>
      </c>
      <c r="CR90" s="79">
        <f>IF(WWWW[[#This Row],[Total required Latrines]]-(WWWW[[#This Row],['#_Constructed latrines_by_WASHAgencies]]+WWWW[[#This Row],['#_Non Cluster partner latrines]])&lt;0,0,WWWW[[#This Row],[Total required Latrines]]-(WWWW[[#This Row],['#_Constructed latrines_by_WASHAgencies]]+WWWW[[#This Row],['#_Non Cluster partner latrines]]))</f>
        <v>51</v>
      </c>
      <c r="CS90" s="78">
        <f>1-WWWW[[#This Row],[% people access to functioning Latrine]]</f>
        <v>0.25187032418952615</v>
      </c>
      <c r="CT90" s="82">
        <f>IF(OR(WWWW[[#This Row],['#_Non-functional latrines]]="",WWWW[[#This Row],['#_Non-functional latrines]]=0),0,WWWW[[#This Row],['#_Non-functional latrines]]/(WWWW[[#This Row],['#_Constructed latrines_by_WASHAgencies]]+WWWW[[#This Row],['#_Non Cluster partner latrines]]))</f>
        <v>0</v>
      </c>
      <c r="CU90" s="79">
        <f>IF(500*(WWWW[[#This Row],['#_male hygiene promoters]]+WWWW[[#This Row],['#_female hygiene promoters]])&gt;WWWW[[#This Row],[Total PoP ]],WWWW[[#This Row],[Total PoP ]],500*(WWWW[[#This Row],['#_male hygiene promoters]]+WWWW[[#This Row],['#_female hygiene promoters]]))</f>
        <v>2500</v>
      </c>
      <c r="CV9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1130</v>
      </c>
      <c r="CW9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3475</v>
      </c>
      <c r="CX90" s="80">
        <f>IF(WWWW[[#This Row],['# People with access to soap]]&gt;WWWW[[#This Row],['# People with access to Sanity Pads]],WWWW[[#This Row],['# People with access to soap]],WWWW[[#This Row],['# People with access to Sanity Pads]])</f>
        <v>3475</v>
      </c>
      <c r="CY90" s="80">
        <f>IF(WWWW[[#This Row],['# people reached by regular dedicated hygiene promotion_5]]&gt;WWWW[[#This Row],['# People received regular supply of hygiene items_6]],WWWW[[#This Row],['# people reached by regular dedicated hygiene promotion_5]],WWWW[[#This Row],['# People received regular supply of hygiene items_6]])</f>
        <v>3475</v>
      </c>
      <c r="CZ90" s="78">
        <f>IF(WWWW[[#This Row],[HRP3]]/WWWW[[#This Row],[Total PoP ]]&gt;100%,100%,WWWW[[#This Row],[HRP3]]/WWWW[[#This Row],[Total PoP ]])</f>
        <v>0.86658354114713221</v>
      </c>
      <c r="DA90" s="82">
        <f>1-WWWW[[#This Row],[Hygiene Coverage%]]</f>
        <v>0.13341645885286779</v>
      </c>
      <c r="DB90" s="81">
        <f>WWWW[[#This Row],['# people reached by regular dedicated hygiene promotion_5]]/WWWW[[#This Row],[Total PoP ]]</f>
        <v>0.62344139650872821</v>
      </c>
      <c r="DC90" s="81">
        <f>IF(WWWW[[#This Row],['#_households that received standard amount of soap for this quarter]]/WWWW[[#This Row],[Total HH]]&gt;1,1,WWWW[[#This Row],['#_households that received standard amount of soap for this quarter]]/WWWW[[#This Row],[Total HH]])</f>
        <v>0.35423197492163011</v>
      </c>
      <c r="DD90" s="81">
        <f>IF(WWWW[[#This Row],['#_households that received standard amount of sanitary pads for this quarter]]/WWWW[[#This Row],[Total HH]]&gt;1,1,WWWW[[#This Row],['#_households that received standard amount of sanitary pads for this quarter]]/WWWW[[#This Row],[Total HH]])</f>
        <v>1</v>
      </c>
      <c r="DE90" s="80">
        <f>WWWW[[#This Row],['#_Constructed/Existing hand washing stations]]-WWWW[[#This Row],['#_Non-Functional_hand_washing_stations]]</f>
        <v>10</v>
      </c>
      <c r="DF90" s="757">
        <f>IF(WWWW[[#This Row],['# Functional hand washing stations during reporting period]]*20&gt;WWWW[[#This Row],[Total HH]],WWWW[[#This Row],[Total HH]],WWWW[[#This Row],['# Functional hand washing stations during reporting period]]*20)</f>
        <v>200</v>
      </c>
      <c r="DG90" s="79">
        <f>IF(WWWW[[#This Row],[Is sufficient soap available for TLS? (Yes/No)]]="yes",WWWW[[#This Row],['#_Constructed/Existing hand washing stations at TLS]],0)</f>
        <v>0</v>
      </c>
      <c r="DH90" s="578">
        <f>IF(WWWW[[#This Row],['# Functional hand washing stations during reporting period]]*100&gt;WWWW[[#This Row],[Total PoP ]],WWWW[[#This Row],[Total PoP ]],WWWW[[#This Row],['# Functional hand washing stations during reporting period]]*100)</f>
        <v>1000</v>
      </c>
      <c r="DI90" s="578" t="str">
        <f>IF(OR(WWWW[[#This Row],['#_students at TLS_CFS]]="",WWWW[[#This Row],['#_students at TLS_CFS]]=0),"No","Yes")</f>
        <v>No</v>
      </c>
      <c r="DJ90" s="231" t="str">
        <f>VLOOKUP(WWWW[[#This Row],[Site Name]],SiteDB6[[Site Name]:[CCCM Management]],6,FALSE)</f>
        <v>Yes</v>
      </c>
      <c r="DK90" s="231" t="str">
        <f>VLOOKUP(WWWW[[#This Row],[Site Name]],SiteDB6[[Site Name]:[CCCM Focal Agency]],7,FALSE)</f>
        <v>KBC</v>
      </c>
      <c r="DL90" s="231" t="str">
        <f>VLOOKUP(WWWW[[#This Row],[Site Name]],SiteDB6[[Site Name]:[Location Type 1]],9,FALSE)</f>
        <v>Camp</v>
      </c>
      <c r="DM90" s="231" t="str">
        <f>VLOOKUP(WWWW[[#This Row],[Site Name]],SiteDB6[[Site Name]:[Type of Accommodation]],10,FALSE)</f>
        <v>Camp</v>
      </c>
      <c r="DN90" s="231" t="str">
        <f>VLOOKUP(WWWW[[#This Row],[Site Name]],SiteDB6[[Site Name]:[Ethnic or GCA/NGCA]],11,FALSE)</f>
        <v>GCA</v>
      </c>
      <c r="DO90" s="231">
        <f>VLOOKUP(WWWW[[#This Row],[Site Name]],SiteDB6[[Site Name]:[Lat]],12,FALSE)</f>
        <v>24.26829283</v>
      </c>
      <c r="DP90" s="231">
        <f>VLOOKUP(WWWW[[#This Row],[Site Name]],SiteDB6[[Site Name]:[Long]],13,FALSE)</f>
        <v>97.229116809999994</v>
      </c>
      <c r="DQ90" s="231" t="str">
        <f>VLOOKUP(WWWW[[#This Row],[Site Name]],SiteDB6[[Site Name]:[Pcode]],3,FALSE)</f>
        <v>MMR001CMP047</v>
      </c>
      <c r="DR90" s="207" t="str">
        <f t="shared" si="3"/>
        <v>Covered</v>
      </c>
      <c r="DS90" s="207"/>
      <c r="DT90" s="20"/>
      <c r="DU90" s="20"/>
      <c r="DV90" s="20"/>
      <c r="DW90" s="20"/>
      <c r="DX90" s="20"/>
      <c r="DY90" s="20"/>
      <c r="DZ90" s="20"/>
      <c r="EA90" s="20"/>
      <c r="EB90" s="20"/>
      <c r="EC90" s="20"/>
      <c r="ED90" s="20"/>
      <c r="EE90" s="20"/>
      <c r="EF90" s="20"/>
      <c r="EG90" s="20"/>
      <c r="EH90" s="20"/>
    </row>
    <row r="91" spans="1:138" ht="15.75" customHeight="1">
      <c r="A91" s="238" t="s">
        <v>2518</v>
      </c>
      <c r="B91" s="574" t="s">
        <v>200</v>
      </c>
      <c r="C91" s="574" t="s">
        <v>200</v>
      </c>
      <c r="D91" s="574" t="s">
        <v>2960</v>
      </c>
      <c r="E91" s="574" t="s">
        <v>39</v>
      </c>
      <c r="F91" s="574" t="s">
        <v>203</v>
      </c>
      <c r="G91" s="574" t="str">
        <f>VLOOKUP(WWWW[[#This Row],[Site Name]],SiteDB6[[Site Name]:[Location Type]],8,FALSE)</f>
        <v>Camp</v>
      </c>
      <c r="H91" s="574" t="s">
        <v>209</v>
      </c>
      <c r="I91" s="583">
        <v>11</v>
      </c>
      <c r="J91" s="583">
        <v>49</v>
      </c>
      <c r="K91" s="553">
        <v>43466</v>
      </c>
      <c r="L91" s="77">
        <v>43830</v>
      </c>
      <c r="M91" s="583"/>
      <c r="N91" s="583"/>
      <c r="O91" s="583"/>
      <c r="P91" s="583"/>
      <c r="Q91" s="76" t="s">
        <v>144</v>
      </c>
      <c r="R91" s="310"/>
      <c r="S91" s="310"/>
      <c r="T91" s="310"/>
      <c r="U91" s="310"/>
      <c r="V91" s="310"/>
      <c r="W91" s="310">
        <v>1</v>
      </c>
      <c r="X91" s="310">
        <v>1</v>
      </c>
      <c r="Y91" s="310"/>
      <c r="Z91" s="310"/>
      <c r="AA91" s="310"/>
      <c r="AB91" s="310"/>
      <c r="AC91" s="310"/>
      <c r="AD91" s="310"/>
      <c r="AE91" s="310"/>
      <c r="AF91" s="310"/>
      <c r="AG91" s="310"/>
      <c r="AH91" s="310"/>
      <c r="AI91" s="310"/>
      <c r="AJ91" s="310"/>
      <c r="AK91" s="310"/>
      <c r="AL91" s="310"/>
      <c r="AM91" s="310"/>
      <c r="AN91" s="310"/>
      <c r="AO91" s="207"/>
      <c r="AP91" s="310">
        <v>4</v>
      </c>
      <c r="AQ91" s="310"/>
      <c r="AR91" s="76"/>
      <c r="AS91" s="310">
        <v>2</v>
      </c>
      <c r="AT91" s="310"/>
      <c r="AU91" s="310"/>
      <c r="AV91" s="310"/>
      <c r="AW91" s="310"/>
      <c r="AX91" s="581" t="s">
        <v>43</v>
      </c>
      <c r="AY91" s="581" t="s">
        <v>145</v>
      </c>
      <c r="AZ91" s="310"/>
      <c r="BA91" s="310"/>
      <c r="BB91" s="310"/>
      <c r="BC91" s="207"/>
      <c r="BD91" s="310">
        <v>2</v>
      </c>
      <c r="BE91" s="310"/>
      <c r="BF91" s="310"/>
      <c r="BG91" s="310">
        <v>2</v>
      </c>
      <c r="BH91" s="310"/>
      <c r="BI91" s="310"/>
      <c r="BJ91" s="310"/>
      <c r="BK91" s="310">
        <v>11</v>
      </c>
      <c r="BL91" s="310">
        <v>5</v>
      </c>
      <c r="BM91" s="207"/>
      <c r="BN91" s="79"/>
      <c r="BO91" s="81"/>
      <c r="BP91" s="207"/>
      <c r="BQ91" s="78" t="str">
        <f>IFERROR(WWWW[[#This Row],['#_Water sources treated]]/WWWW[[#This Row],['#_Water sources tested for contamination]],"no test")</f>
        <v>no test</v>
      </c>
      <c r="BR91" s="81" t="str">
        <f>IFERROR(WWWW[[#This Row],['#_Household received remediation action due to contamination]]/WWWW[[#This Row],['#_Household water samples tested for contamination]],"no test")</f>
        <v>no test</v>
      </c>
      <c r="BS91" s="80" t="str">
        <f>IF(AND(WWWW[[#This Row],[% of water sources treated]]="no test",WWWW[[#This Row],[% Household received corrective actions]]="no test"),"No Test","Tested")</f>
        <v>No Test</v>
      </c>
      <c r="BT91" s="80">
        <f>WWWW[[#This Row],['#_Constructed/existing protected hand dug well]]-WWWW[[#This Row],['#_Non-functional protected hand dug well]]</f>
        <v>0</v>
      </c>
      <c r="BU91" s="80">
        <f>(WWWW[[#This Row],['#_Constructed/Existing tube wells/boreholes/handpumps_WASH_agency]]+WWWW[[#This Row],['#_Non-Cluster partner water tube-wells/boreholes/handpumps]])-WWWW[[#This Row],['#_Non-functional tube wells/boreholes/handpumps]]</f>
        <v>2</v>
      </c>
      <c r="BV91" s="80">
        <f>WWWW[[#This Row],['#_Constructed/Existingwater storage tank with gravity fed reticulation system]]-WWWW[[#This Row],['#_Non-functional storage tank gravity fed reticulation system]]</f>
        <v>0</v>
      </c>
      <c r="BW91" s="80">
        <f>WWWW[[#This Row],['#_Water boating or water trucking]]</f>
        <v>0</v>
      </c>
      <c r="BX91" s="80">
        <f>WWWW[[#This Row],['#_Constructed/Existing water distribution system from river or natural spring]]</f>
        <v>0</v>
      </c>
      <c r="BY9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1" s="81">
        <f>IF(WWWW[[#This Row],[Location Type 1]]="Village",WWWW[[#This Row],[Access to safe drinking water for Village]],WWWW[[#This Row],[Access to safe drinking water for Camp]])</f>
        <v>1</v>
      </c>
      <c r="CB91" s="79">
        <f>WWWW[[#This Row],[%Equitable and continuous access to sufficient quantity of safe drinking water]]*WWWW[[#This Row],[Total PoP ]]</f>
        <v>49</v>
      </c>
      <c r="CC91" s="81">
        <f>IF((WWWW[[#This Row],['#_Constructed/Existing protected/fenced ponds]]*250)/WWWW[[#This Row],[Total PoP ]]&gt;1,1,(WWWW[[#This Row],['#_Constructed/Existing protected/fenced ponds]]*250)/WWWW[[#This Row],[Total PoP ]])</f>
        <v>0</v>
      </c>
      <c r="CD91" s="79">
        <f>WWWW[[#This Row],[% Access to unimproved water points]]*WWWW[[#This Row],[Total PoP ]]</f>
        <v>0</v>
      </c>
      <c r="CE9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v>
      </c>
      <c r="CG91" s="79">
        <f>WWWW[[#This Row],[HRP1]]/500</f>
        <v>9.8000000000000004E-2</v>
      </c>
      <c r="CH91" s="78">
        <f>1-WWWW[[#This Row],[% Equitable and continuous access to sufficient quantity of domestic water]]</f>
        <v>0</v>
      </c>
      <c r="CI91" s="79">
        <f>WWWW[[#This Row],[%equitable and continuous access to sufficient quantity of safe drinking and domestic water''s GAP]]*WWWW[[#This Row],[Total PoP ]]</f>
        <v>0</v>
      </c>
      <c r="CJ91" s="80">
        <f>IF(WWWW[[#This Row],[Total required water points]]-WWWW[[#This Row],['#Water points coverage]]&lt;0,0,WWWW[[#This Row],[Total required water points]]-WWWW[[#This Row],['#Water points coverage]])</f>
        <v>0.90200000000000002</v>
      </c>
      <c r="CK91" s="80">
        <f>ROUND(IF(WWWW[[#This Row],[Total PoP ]]&lt;500,1,WWWW[[#This Row],[Total PoP ]]/500),0)</f>
        <v>1</v>
      </c>
      <c r="CL91" s="80">
        <f>(WWWW[[#This Row],['#_Constructed latrines_by_WASHAgencies]]+WWWW[[#This Row],['#_Non Cluster partner latrines]])-WWWW[[#This Row],['#_Non-functional latrines]]</f>
        <v>2</v>
      </c>
      <c r="CM9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0.81632653061224492</v>
      </c>
      <c r="CN9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9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1" s="80">
        <f>IF(WWWW[[#This Row],[Location Type 1]]="Village","NA",IF(WWWW[[#This Row],['#_Constructed/Existing latrines in TLS]]*50&gt;WWWW[[#This Row],['#_students at TLS_CFS]],WWWW[[#This Row],['#_students at TLS_CFS]],(WWWW[[#This Row],['#_Constructed/Existing latrines in TLS]]*50)))</f>
        <v>0</v>
      </c>
      <c r="CQ91" s="80">
        <f>ROUND(IF(WWWW[[#This Row],[Location Type 1]]="camp",WWWW[[#This Row],[Total PoP ]]/20,IF(WWWW[[#This Row],[Location Type 1]]="Temporary Location",WWWW[[#This Row],[Total PoP ]]/50,(WWWW[[#This Row],[Total PoP ]]/6))),0)</f>
        <v>2</v>
      </c>
      <c r="CR91" s="79">
        <f>IF(WWWW[[#This Row],[Total required Latrines]]-(WWWW[[#This Row],['#_Constructed latrines_by_WASHAgencies]]+WWWW[[#This Row],['#_Non Cluster partner latrines]])&lt;0,0,WWWW[[#This Row],[Total required Latrines]]-(WWWW[[#This Row],['#_Constructed latrines_by_WASHAgencies]]+WWWW[[#This Row],['#_Non Cluster partner latrines]]))</f>
        <v>0</v>
      </c>
      <c r="CS91" s="78">
        <f>1-WWWW[[#This Row],[% people access to functioning Latrine]]</f>
        <v>0.18367346938775508</v>
      </c>
      <c r="CT91" s="82">
        <f>IF(OR(WWWW[[#This Row],['#_Non-functional latrines]]="",WWWW[[#This Row],['#_Non-functional latrines]]=0),0,WWWW[[#This Row],['#_Non-functional latrines]]/(WWWW[[#This Row],['#_Constructed latrines_by_WASHAgencies]]+WWWW[[#This Row],['#_Non Cluster partner latrines]]))</f>
        <v>0.5</v>
      </c>
      <c r="CU91" s="79">
        <f>IF(500*(WWWW[[#This Row],['#_male hygiene promoters]]+WWWW[[#This Row],['#_female hygiene promoters]])&gt;WWWW[[#This Row],[Total PoP ]],WWWW[[#This Row],[Total PoP ]],500*(WWWW[[#This Row],['#_male hygiene promoters]]+WWWW[[#This Row],['#_female hygiene promoters]]))</f>
        <v>0</v>
      </c>
      <c r="CV9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49</v>
      </c>
      <c r="CW9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v>
      </c>
      <c r="CX91" s="80">
        <f>IF(WWWW[[#This Row],['# People with access to soap]]&gt;WWWW[[#This Row],['# People with access to Sanity Pads]],WWWW[[#This Row],['# People with access to soap]],WWWW[[#This Row],['# People with access to Sanity Pads]])</f>
        <v>49</v>
      </c>
      <c r="CY91" s="80">
        <f>IF(WWWW[[#This Row],['# people reached by regular dedicated hygiene promotion_5]]&gt;WWWW[[#This Row],['# People received regular supply of hygiene items_6]],WWWW[[#This Row],['# people reached by regular dedicated hygiene promotion_5]],WWWW[[#This Row],['# People received regular supply of hygiene items_6]])</f>
        <v>49</v>
      </c>
      <c r="CZ91" s="78">
        <f>IF(WWWW[[#This Row],[HRP3]]/WWWW[[#This Row],[Total PoP ]]&gt;100%,100%,WWWW[[#This Row],[HRP3]]/WWWW[[#This Row],[Total PoP ]])</f>
        <v>1</v>
      </c>
      <c r="DA91" s="82">
        <f>1-WWWW[[#This Row],[Hygiene Coverage%]]</f>
        <v>0</v>
      </c>
      <c r="DB91" s="81">
        <f>WWWW[[#This Row],['# people reached by regular dedicated hygiene promotion_5]]/WWWW[[#This Row],[Total PoP ]]</f>
        <v>0</v>
      </c>
      <c r="DC91" s="81">
        <f>IF(WWWW[[#This Row],['#_households that received standard amount of soap for this quarter]]/WWWW[[#This Row],[Total HH]]&gt;1,1,WWWW[[#This Row],['#_households that received standard amount of soap for this quarter]]/WWWW[[#This Row],[Total HH]])</f>
        <v>1</v>
      </c>
      <c r="DD91" s="81">
        <f>IF(WWWW[[#This Row],['#_households that received standard amount of sanitary pads for this quarter]]/WWWW[[#This Row],[Total HH]]&gt;1,1,WWWW[[#This Row],['#_households that received standard amount of sanitary pads for this quarter]]/WWWW[[#This Row],[Total HH]])</f>
        <v>0.45454545454545453</v>
      </c>
      <c r="DE91" s="80">
        <f>WWWW[[#This Row],['#_Constructed/Existing hand washing stations]]-WWWW[[#This Row],['#_Non-Functional_hand_washing_stations]]</f>
        <v>2</v>
      </c>
      <c r="DF91" s="757">
        <f>IF(WWWW[[#This Row],['# Functional hand washing stations during reporting period]]*20&gt;WWWW[[#This Row],[Total HH]],WWWW[[#This Row],[Total HH]],WWWW[[#This Row],['# Functional hand washing stations during reporting period]]*20)</f>
        <v>11</v>
      </c>
      <c r="DG91" s="79">
        <f>IF(WWWW[[#This Row],[Is sufficient soap available for TLS? (Yes/No)]]="yes",WWWW[[#This Row],['#_Constructed/Existing hand washing stations at TLS]],0)</f>
        <v>0</v>
      </c>
      <c r="DH91" s="578">
        <f>IF(WWWW[[#This Row],['# Functional hand washing stations during reporting period]]*100&gt;WWWW[[#This Row],[Total PoP ]],WWWW[[#This Row],[Total PoP ]],WWWW[[#This Row],['# Functional hand washing stations during reporting period]]*100)</f>
        <v>49</v>
      </c>
      <c r="DI91" s="578" t="str">
        <f>IF(OR(WWWW[[#This Row],['#_students at TLS_CFS]]="",WWWW[[#This Row],['#_students at TLS_CFS]]=0),"No","Yes")</f>
        <v>No</v>
      </c>
      <c r="DJ91" s="231" t="str">
        <f>VLOOKUP(WWWW[[#This Row],[Site Name]],SiteDB6[[Site Name]:[CCCM Management]],6,FALSE)</f>
        <v>Yes</v>
      </c>
      <c r="DK91" s="231" t="str">
        <f>VLOOKUP(WWWW[[#This Row],[Site Name]],SiteDB6[[Site Name]:[CCCM Focal Agency]],7,FALSE)</f>
        <v>Shalom</v>
      </c>
      <c r="DL91" s="231" t="str">
        <f>VLOOKUP(WWWW[[#This Row],[Site Name]],SiteDB6[[Site Name]:[Location Type 1]],9,FALSE)</f>
        <v>Camp</v>
      </c>
      <c r="DM91" s="231" t="str">
        <f>VLOOKUP(WWWW[[#This Row],[Site Name]],SiteDB6[[Site Name]:[Type of Accommodation]],10,FALSE)</f>
        <v>Camp</v>
      </c>
      <c r="DN91" s="231" t="str">
        <f>VLOOKUP(WWWW[[#This Row],[Site Name]],SiteDB6[[Site Name]:[Ethnic or GCA/NGCA]],11,FALSE)</f>
        <v>GCA</v>
      </c>
      <c r="DO91" s="231">
        <f>VLOOKUP(WWWW[[#This Row],[Site Name]],SiteDB6[[Site Name]:[Lat]],12,FALSE)</f>
        <v>24.253067000000001</v>
      </c>
      <c r="DP91" s="231">
        <f>VLOOKUP(WWWW[[#This Row],[Site Name]],SiteDB6[[Site Name]:[Long]],13,FALSE)</f>
        <v>97.234200000000001</v>
      </c>
      <c r="DQ91" s="231" t="str">
        <f>VLOOKUP(WWWW[[#This Row],[Site Name]],SiteDB6[[Site Name]:[Pcode]],3,FALSE)</f>
        <v>MMR001CMP051</v>
      </c>
      <c r="DR91" s="207" t="str">
        <f t="shared" si="3"/>
        <v>Covered</v>
      </c>
      <c r="DS91" s="207"/>
      <c r="DT91" s="20"/>
      <c r="DU91" s="20"/>
      <c r="DV91" s="20"/>
      <c r="DW91" s="20"/>
      <c r="DX91" s="20"/>
      <c r="DY91" s="20"/>
      <c r="DZ91" s="20"/>
      <c r="EA91" s="20"/>
      <c r="EB91" s="20"/>
      <c r="EC91" s="20"/>
      <c r="ED91" s="20"/>
      <c r="EE91" s="20"/>
      <c r="EF91" s="20"/>
      <c r="EG91" s="20"/>
      <c r="EH91" s="20"/>
    </row>
    <row r="92" spans="1:138" ht="15.75" customHeight="1">
      <c r="A92" s="238" t="s">
        <v>2518</v>
      </c>
      <c r="B92" s="574" t="s">
        <v>200</v>
      </c>
      <c r="C92" s="574" t="s">
        <v>200</v>
      </c>
      <c r="D92" s="574" t="s">
        <v>2960</v>
      </c>
      <c r="E92" s="574" t="s">
        <v>39</v>
      </c>
      <c r="F92" s="574" t="s">
        <v>203</v>
      </c>
      <c r="G92" s="574" t="str">
        <f>VLOOKUP(WWWW[[#This Row],[Site Name]],SiteDB6[[Site Name]:[Location Type]],8,FALSE)</f>
        <v>Camp</v>
      </c>
      <c r="H92" s="574" t="s">
        <v>211</v>
      </c>
      <c r="I92" s="583">
        <v>17</v>
      </c>
      <c r="J92" s="583">
        <v>76</v>
      </c>
      <c r="K92" s="553">
        <v>43466</v>
      </c>
      <c r="L92" s="77">
        <v>43830</v>
      </c>
      <c r="M92" s="583"/>
      <c r="N92" s="583"/>
      <c r="O92" s="583"/>
      <c r="P92" s="583"/>
      <c r="Q92" s="76" t="s">
        <v>144</v>
      </c>
      <c r="R92" s="310"/>
      <c r="S92" s="310"/>
      <c r="T92" s="310"/>
      <c r="U92" s="310"/>
      <c r="V92" s="310"/>
      <c r="W92" s="310"/>
      <c r="X92" s="310">
        <v>1</v>
      </c>
      <c r="Y92" s="310"/>
      <c r="Z92" s="310"/>
      <c r="AA92" s="310"/>
      <c r="AB92" s="310"/>
      <c r="AC92" s="310"/>
      <c r="AD92" s="310"/>
      <c r="AE92" s="310"/>
      <c r="AF92" s="310"/>
      <c r="AG92" s="310"/>
      <c r="AH92" s="310"/>
      <c r="AI92" s="310"/>
      <c r="AJ92" s="310"/>
      <c r="AK92" s="310"/>
      <c r="AL92" s="310"/>
      <c r="AM92" s="310"/>
      <c r="AN92" s="310"/>
      <c r="AO92" s="207"/>
      <c r="AP92" s="310">
        <v>4</v>
      </c>
      <c r="AQ92" s="310"/>
      <c r="AR92" s="76"/>
      <c r="AS92" s="310"/>
      <c r="AT92" s="310"/>
      <c r="AU92" s="310"/>
      <c r="AV92" s="310"/>
      <c r="AW92" s="310"/>
      <c r="AX92" s="581" t="s">
        <v>43</v>
      </c>
      <c r="AY92" s="581" t="s">
        <v>145</v>
      </c>
      <c r="AZ92" s="310"/>
      <c r="BA92" s="310"/>
      <c r="BB92" s="310"/>
      <c r="BC92" s="207"/>
      <c r="BD92" s="310">
        <v>2</v>
      </c>
      <c r="BE92" s="310"/>
      <c r="BF92" s="310"/>
      <c r="BG92" s="310">
        <v>2</v>
      </c>
      <c r="BH92" s="310"/>
      <c r="BI92" s="310"/>
      <c r="BJ92" s="310"/>
      <c r="BK92" s="310">
        <v>17</v>
      </c>
      <c r="BL92" s="310">
        <v>2</v>
      </c>
      <c r="BM92" s="207"/>
      <c r="BN92" s="79"/>
      <c r="BO92" s="81"/>
      <c r="BP92" s="207"/>
      <c r="BQ92" s="78" t="str">
        <f>IFERROR(WWWW[[#This Row],['#_Water sources treated]]/WWWW[[#This Row],['#_Water sources tested for contamination]],"no test")</f>
        <v>no test</v>
      </c>
      <c r="BR92" s="81" t="str">
        <f>IFERROR(WWWW[[#This Row],['#_Household received remediation action due to contamination]]/WWWW[[#This Row],['#_Household water samples tested for contamination]],"no test")</f>
        <v>no test</v>
      </c>
      <c r="BS92" s="80" t="str">
        <f>IF(AND(WWWW[[#This Row],[% of water sources treated]]="no test",WWWW[[#This Row],[% Household received corrective actions]]="no test"),"No Test","Tested")</f>
        <v>No Test</v>
      </c>
      <c r="BT92" s="80">
        <f>WWWW[[#This Row],['#_Constructed/existing protected hand dug well]]-WWWW[[#This Row],['#_Non-functional protected hand dug well]]</f>
        <v>0</v>
      </c>
      <c r="BU92" s="80">
        <f>(WWWW[[#This Row],['#_Constructed/Existing tube wells/boreholes/handpumps_WASH_agency]]+WWWW[[#This Row],['#_Non-Cluster partner water tube-wells/boreholes/handpumps]])-WWWW[[#This Row],['#_Non-functional tube wells/boreholes/handpumps]]</f>
        <v>1</v>
      </c>
      <c r="BV92" s="80">
        <f>WWWW[[#This Row],['#_Constructed/Existingwater storage tank with gravity fed reticulation system]]-WWWW[[#This Row],['#_Non-functional storage tank gravity fed reticulation system]]</f>
        <v>0</v>
      </c>
      <c r="BW92" s="80">
        <f>WWWW[[#This Row],['#_Water boating or water trucking]]</f>
        <v>0</v>
      </c>
      <c r="BX92" s="80">
        <f>WWWW[[#This Row],['#_Constructed/Existing water distribution system from river or natural spring]]</f>
        <v>0</v>
      </c>
      <c r="BY9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2" s="81">
        <f>IF(WWWW[[#This Row],[Location Type 1]]="Village",WWWW[[#This Row],[Access to safe drinking water for Village]],WWWW[[#This Row],[Access to safe drinking water for Camp]])</f>
        <v>1</v>
      </c>
      <c r="CB92" s="79">
        <f>WWWW[[#This Row],[%Equitable and continuous access to sufficient quantity of safe drinking water]]*WWWW[[#This Row],[Total PoP ]]</f>
        <v>76</v>
      </c>
      <c r="CC92" s="81">
        <f>IF((WWWW[[#This Row],['#_Constructed/Existing protected/fenced ponds]]*250)/WWWW[[#This Row],[Total PoP ]]&gt;1,1,(WWWW[[#This Row],['#_Constructed/Existing protected/fenced ponds]]*250)/WWWW[[#This Row],[Total PoP ]])</f>
        <v>0</v>
      </c>
      <c r="CD92" s="79">
        <f>WWWW[[#This Row],[% Access to unimproved water points]]*WWWW[[#This Row],[Total PoP ]]</f>
        <v>0</v>
      </c>
      <c r="CE9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G92" s="79">
        <f>WWWW[[#This Row],[HRP1]]/500</f>
        <v>0.152</v>
      </c>
      <c r="CH92" s="78">
        <f>1-WWWW[[#This Row],[% Equitable and continuous access to sufficient quantity of domestic water]]</f>
        <v>0</v>
      </c>
      <c r="CI92" s="79">
        <f>WWWW[[#This Row],[%equitable and continuous access to sufficient quantity of safe drinking and domestic water''s GAP]]*WWWW[[#This Row],[Total PoP ]]</f>
        <v>0</v>
      </c>
      <c r="CJ92" s="80">
        <f>IF(WWWW[[#This Row],[Total required water points]]-WWWW[[#This Row],['#Water points coverage]]&lt;0,0,WWWW[[#This Row],[Total required water points]]-WWWW[[#This Row],['#Water points coverage]])</f>
        <v>0.84799999999999998</v>
      </c>
      <c r="CK92" s="80">
        <f>ROUND(IF(WWWW[[#This Row],[Total PoP ]]&lt;500,1,WWWW[[#This Row],[Total PoP ]]/500),0)</f>
        <v>1</v>
      </c>
      <c r="CL92" s="80">
        <f>(WWWW[[#This Row],['#_Constructed latrines_by_WASHAgencies]]+WWWW[[#This Row],['#_Non Cluster partner latrines]])-WWWW[[#This Row],['#_Non-functional latrines]]</f>
        <v>4</v>
      </c>
      <c r="CM9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v>
      </c>
      <c r="CO9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2" s="80">
        <f>IF(WWWW[[#This Row],[Location Type 1]]="Village","NA",IF(WWWW[[#This Row],['#_Constructed/Existing latrines in TLS]]*50&gt;WWWW[[#This Row],['#_students at TLS_CFS]],WWWW[[#This Row],['#_students at TLS_CFS]],(WWWW[[#This Row],['#_Constructed/Existing latrines in TLS]]*50)))</f>
        <v>0</v>
      </c>
      <c r="CQ92" s="80">
        <f>ROUND(IF(WWWW[[#This Row],[Location Type 1]]="camp",WWWW[[#This Row],[Total PoP ]]/20,IF(WWWW[[#This Row],[Location Type 1]]="Temporary Location",WWWW[[#This Row],[Total PoP ]]/50,(WWWW[[#This Row],[Total PoP ]]/6))),0)</f>
        <v>4</v>
      </c>
      <c r="CR92" s="79">
        <f>IF(WWWW[[#This Row],[Total required Latrines]]-(WWWW[[#This Row],['#_Constructed latrines_by_WASHAgencies]]+WWWW[[#This Row],['#_Non Cluster partner latrines]])&lt;0,0,WWWW[[#This Row],[Total required Latrines]]-(WWWW[[#This Row],['#_Constructed latrines_by_WASHAgencies]]+WWWW[[#This Row],['#_Non Cluster partner latrines]]))</f>
        <v>0</v>
      </c>
      <c r="CS92" s="78">
        <f>1-WWWW[[#This Row],[% people access to functioning Latrine]]</f>
        <v>0</v>
      </c>
      <c r="CT92" s="82">
        <f>IF(OR(WWWW[[#This Row],['#_Non-functional latrines]]="",WWWW[[#This Row],['#_Non-functional latrines]]=0),0,WWWW[[#This Row],['#_Non-functional latrines]]/(WWWW[[#This Row],['#_Constructed latrines_by_WASHAgencies]]+WWWW[[#This Row],['#_Non Cluster partner latrines]]))</f>
        <v>0</v>
      </c>
      <c r="CU92" s="79">
        <f>IF(500*(WWWW[[#This Row],['#_male hygiene promoters]]+WWWW[[#This Row],['#_female hygiene promoters]])&gt;WWWW[[#This Row],[Total PoP ]],WWWW[[#This Row],[Total PoP ]],500*(WWWW[[#This Row],['#_male hygiene promoters]]+WWWW[[#This Row],['#_female hygiene promoters]]))</f>
        <v>0</v>
      </c>
      <c r="CV9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76</v>
      </c>
      <c r="CW9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92" s="80">
        <f>IF(WWWW[[#This Row],['# People with access to soap]]&gt;WWWW[[#This Row],['# People with access to Sanity Pads]],WWWW[[#This Row],['# People with access to soap]],WWWW[[#This Row],['# People with access to Sanity Pads]])</f>
        <v>76</v>
      </c>
      <c r="CY92" s="80">
        <f>IF(WWWW[[#This Row],['# people reached by regular dedicated hygiene promotion_5]]&gt;WWWW[[#This Row],['# People received regular supply of hygiene items_6]],WWWW[[#This Row],['# people reached by regular dedicated hygiene promotion_5]],WWWW[[#This Row],['# People received regular supply of hygiene items_6]])</f>
        <v>76</v>
      </c>
      <c r="CZ92" s="78">
        <f>IF(WWWW[[#This Row],[HRP3]]/WWWW[[#This Row],[Total PoP ]]&gt;100%,100%,WWWW[[#This Row],[HRP3]]/WWWW[[#This Row],[Total PoP ]])</f>
        <v>1</v>
      </c>
      <c r="DA92" s="82">
        <f>1-WWWW[[#This Row],[Hygiene Coverage%]]</f>
        <v>0</v>
      </c>
      <c r="DB92" s="81">
        <f>WWWW[[#This Row],['# people reached by regular dedicated hygiene promotion_5]]/WWWW[[#This Row],[Total PoP ]]</f>
        <v>0</v>
      </c>
      <c r="DC92" s="81">
        <f>IF(WWWW[[#This Row],['#_households that received standard amount of soap for this quarter]]/WWWW[[#This Row],[Total HH]]&gt;1,1,WWWW[[#This Row],['#_households that received standard amount of soap for this quarter]]/WWWW[[#This Row],[Total HH]])</f>
        <v>1</v>
      </c>
      <c r="DD92" s="81">
        <f>IF(WWWW[[#This Row],['#_households that received standard amount of sanitary pads for this quarter]]/WWWW[[#This Row],[Total HH]]&gt;1,1,WWWW[[#This Row],['#_households that received standard amount of sanitary pads for this quarter]]/WWWW[[#This Row],[Total HH]])</f>
        <v>0.11764705882352941</v>
      </c>
      <c r="DE92" s="80">
        <f>WWWW[[#This Row],['#_Constructed/Existing hand washing stations]]-WWWW[[#This Row],['#_Non-Functional_hand_washing_stations]]</f>
        <v>2</v>
      </c>
      <c r="DF92" s="757">
        <f>IF(WWWW[[#This Row],['# Functional hand washing stations during reporting period]]*20&gt;WWWW[[#This Row],[Total HH]],WWWW[[#This Row],[Total HH]],WWWW[[#This Row],['# Functional hand washing stations during reporting period]]*20)</f>
        <v>17</v>
      </c>
      <c r="DG92" s="79">
        <f>IF(WWWW[[#This Row],[Is sufficient soap available for TLS? (Yes/No)]]="yes",WWWW[[#This Row],['#_Constructed/Existing hand washing stations at TLS]],0)</f>
        <v>0</v>
      </c>
      <c r="DH92" s="578">
        <f>IF(WWWW[[#This Row],['# Functional hand washing stations during reporting period]]*100&gt;WWWW[[#This Row],[Total PoP ]],WWWW[[#This Row],[Total PoP ]],WWWW[[#This Row],['# Functional hand washing stations during reporting period]]*100)</f>
        <v>76</v>
      </c>
      <c r="DI92" s="578" t="str">
        <f>IF(OR(WWWW[[#This Row],['#_students at TLS_CFS]]="",WWWW[[#This Row],['#_students at TLS_CFS]]=0),"No","Yes")</f>
        <v>No</v>
      </c>
      <c r="DJ92" s="231" t="str">
        <f>VLOOKUP(WWWW[[#This Row],[Site Name]],SiteDB6[[Site Name]:[CCCM Management]],6,FALSE)</f>
        <v>Yes</v>
      </c>
      <c r="DK92" s="231" t="str">
        <f>VLOOKUP(WWWW[[#This Row],[Site Name]],SiteDB6[[Site Name]:[CCCM Focal Agency]],7,FALSE)</f>
        <v>KMSS-BMO</v>
      </c>
      <c r="DL92" s="231" t="str">
        <f>VLOOKUP(WWWW[[#This Row],[Site Name]],SiteDB6[[Site Name]:[Location Type 1]],9,FALSE)</f>
        <v>Camp</v>
      </c>
      <c r="DM92" s="231" t="str">
        <f>VLOOKUP(WWWW[[#This Row],[Site Name]],SiteDB6[[Site Name]:[Type of Accommodation]],10,FALSE)</f>
        <v>Closed Camp</v>
      </c>
      <c r="DN92" s="231" t="str">
        <f>VLOOKUP(WWWW[[#This Row],[Site Name]],SiteDB6[[Site Name]:[Ethnic or GCA/NGCA]],11,FALSE)</f>
        <v>GCA</v>
      </c>
      <c r="DO92" s="231">
        <f>VLOOKUP(WWWW[[#This Row],[Site Name]],SiteDB6[[Site Name]:[Lat]],12,FALSE)</f>
        <v>24.32638</v>
      </c>
      <c r="DP92" s="231">
        <f>VLOOKUP(WWWW[[#This Row],[Site Name]],SiteDB6[[Site Name]:[Long]],13,FALSE)</f>
        <v>97.315860000000001</v>
      </c>
      <c r="DQ92" s="231" t="str">
        <f>VLOOKUP(WWWW[[#This Row],[Site Name]],SiteDB6[[Site Name]:[Pcode]],3,FALSE)</f>
        <v>MMR001CMP054</v>
      </c>
      <c r="DR92" s="207" t="str">
        <f t="shared" si="3"/>
        <v>Covered</v>
      </c>
      <c r="DS92" s="207"/>
      <c r="DT92" s="20"/>
      <c r="DU92" s="20"/>
      <c r="DV92" s="20"/>
      <c r="DW92" s="20"/>
      <c r="DX92" s="20"/>
      <c r="DY92" s="20"/>
      <c r="DZ92" s="20"/>
      <c r="EA92" s="20"/>
      <c r="EB92" s="20"/>
      <c r="EC92" s="20"/>
      <c r="ED92" s="20"/>
      <c r="EE92" s="20"/>
      <c r="EF92" s="20"/>
      <c r="EG92" s="20"/>
      <c r="EH92" s="20"/>
    </row>
    <row r="93" spans="1:138" ht="15.75" customHeight="1">
      <c r="A93" s="238" t="s">
        <v>2518</v>
      </c>
      <c r="B93" s="574" t="s">
        <v>317</v>
      </c>
      <c r="C93" s="574" t="s">
        <v>317</v>
      </c>
      <c r="D93" s="574"/>
      <c r="E93" s="574" t="s">
        <v>39</v>
      </c>
      <c r="F93" s="574" t="s">
        <v>213</v>
      </c>
      <c r="G93" s="574" t="str">
        <f>VLOOKUP(WWWW[[#This Row],[Site Name]],SiteDB6[[Site Name]:[Location Type]],8,FALSE)</f>
        <v>Camp</v>
      </c>
      <c r="H93" s="76" t="s">
        <v>1018</v>
      </c>
      <c r="I93" s="583">
        <v>223</v>
      </c>
      <c r="J93" s="583">
        <v>1067</v>
      </c>
      <c r="K93" s="553"/>
      <c r="L93" s="77"/>
      <c r="M93" s="583"/>
      <c r="N93" s="583"/>
      <c r="O93" s="583"/>
      <c r="P93" s="583"/>
      <c r="Q93" s="76"/>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207"/>
      <c r="AP93" s="310"/>
      <c r="AQ93" s="310"/>
      <c r="AR93" s="76"/>
      <c r="AS93" s="310"/>
      <c r="AT93" s="310"/>
      <c r="AU93" s="310"/>
      <c r="AV93" s="310"/>
      <c r="AW93" s="310"/>
      <c r="AX93" s="231"/>
      <c r="AY93" s="231"/>
      <c r="AZ93" s="310"/>
      <c r="BA93" s="310"/>
      <c r="BB93" s="310"/>
      <c r="BC93" s="207"/>
      <c r="BD93" s="310"/>
      <c r="BE93" s="310"/>
      <c r="BF93" s="310"/>
      <c r="BG93" s="310"/>
      <c r="BH93" s="310"/>
      <c r="BI93" s="310"/>
      <c r="BJ93" s="310"/>
      <c r="BK93" s="310"/>
      <c r="BL93" s="310"/>
      <c r="BM93" s="207"/>
      <c r="BN93" s="79"/>
      <c r="BO93" s="81"/>
      <c r="BP93" s="207"/>
      <c r="BQ93" s="78" t="str">
        <f>IFERROR(WWWW[[#This Row],['#_Water sources treated]]/WWWW[[#This Row],['#_Water sources tested for contamination]],"no test")</f>
        <v>no test</v>
      </c>
      <c r="BR93" s="81" t="str">
        <f>IFERROR(WWWW[[#This Row],['#_Household received remediation action due to contamination]]/WWWW[[#This Row],['#_Household water samples tested for contamination]],"no test")</f>
        <v>no test</v>
      </c>
      <c r="BS93" s="80" t="str">
        <f>IF(AND(WWWW[[#This Row],[% of water sources treated]]="no test",WWWW[[#This Row],[% Household received corrective actions]]="no test"),"No Test","Tested")</f>
        <v>No Test</v>
      </c>
      <c r="BT93" s="80">
        <f>WWWW[[#This Row],['#_Constructed/existing protected hand dug well]]-WWWW[[#This Row],['#_Non-functional protected hand dug well]]</f>
        <v>0</v>
      </c>
      <c r="BU93" s="80">
        <f>(WWWW[[#This Row],['#_Constructed/Existing tube wells/boreholes/handpumps_WASH_agency]]+WWWW[[#This Row],['#_Non-Cluster partner water tube-wells/boreholes/handpumps]])-WWWW[[#This Row],['#_Non-functional tube wells/boreholes/handpumps]]</f>
        <v>0</v>
      </c>
      <c r="BV93" s="80">
        <f>WWWW[[#This Row],['#_Constructed/Existingwater storage tank with gravity fed reticulation system]]-WWWW[[#This Row],['#_Non-functional storage tank gravity fed reticulation system]]</f>
        <v>0</v>
      </c>
      <c r="BW93" s="80">
        <f>WWWW[[#This Row],['#_Water boating or water trucking]]</f>
        <v>0</v>
      </c>
      <c r="BX93" s="80">
        <f>WWWW[[#This Row],['#_Constructed/Existing water distribution system from river or natural spring]]</f>
        <v>0</v>
      </c>
      <c r="BY9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9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93" s="81">
        <f>IF(WWWW[[#This Row],[Location Type 1]]="Village",WWWW[[#This Row],[Access to safe drinking water for Village]],WWWW[[#This Row],[Access to safe drinking water for Camp]])</f>
        <v>0</v>
      </c>
      <c r="CB93" s="79">
        <f>WWWW[[#This Row],[%Equitable and continuous access to sufficient quantity of safe drinking water]]*WWWW[[#This Row],[Total PoP ]]</f>
        <v>0</v>
      </c>
      <c r="CC93" s="81">
        <f>IF((WWWW[[#This Row],['#_Constructed/Existing protected/fenced ponds]]*250)/WWWW[[#This Row],[Total PoP ]]&gt;1,1,(WWWW[[#This Row],['#_Constructed/Existing protected/fenced ponds]]*250)/WWWW[[#This Row],[Total PoP ]])</f>
        <v>0</v>
      </c>
      <c r="CD93" s="79">
        <f>WWWW[[#This Row],[% Access to unimproved water points]]*WWWW[[#This Row],[Total PoP ]]</f>
        <v>0</v>
      </c>
      <c r="CE9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9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93" s="79">
        <f>WWWW[[#This Row],[HRP1]]/500</f>
        <v>0</v>
      </c>
      <c r="CH93" s="78">
        <f>1-WWWW[[#This Row],[% Equitable and continuous access to sufficient quantity of domestic water]]</f>
        <v>1</v>
      </c>
      <c r="CI93" s="79">
        <f>WWWW[[#This Row],[%equitable and continuous access to sufficient quantity of safe drinking and domestic water''s GAP]]*WWWW[[#This Row],[Total PoP ]]</f>
        <v>1067</v>
      </c>
      <c r="CJ93" s="80">
        <f>IF(WWWW[[#This Row],[Total required water points]]-WWWW[[#This Row],['#Water points coverage]]&lt;0,0,WWWW[[#This Row],[Total required water points]]-WWWW[[#This Row],['#Water points coverage]])</f>
        <v>2</v>
      </c>
      <c r="CK93" s="80">
        <f>ROUND(IF(WWWW[[#This Row],[Total PoP ]]&lt;500,1,WWWW[[#This Row],[Total PoP ]]/500),0)</f>
        <v>2</v>
      </c>
      <c r="CL93" s="80">
        <f>(WWWW[[#This Row],['#_Constructed latrines_by_WASHAgencies]]+WWWW[[#This Row],['#_Non Cluster partner latrines]])-WWWW[[#This Row],['#_Non-functional latrines]]</f>
        <v>0</v>
      </c>
      <c r="CM9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9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9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3" s="80">
        <f>IF(WWWW[[#This Row],[Location Type 1]]="Village","NA",IF(WWWW[[#This Row],['#_Constructed/Existing latrines in TLS]]*50&gt;WWWW[[#This Row],['#_students at TLS_CFS]],WWWW[[#This Row],['#_students at TLS_CFS]],(WWWW[[#This Row],['#_Constructed/Existing latrines in TLS]]*50)))</f>
        <v>0</v>
      </c>
      <c r="CQ93" s="80">
        <f>ROUND(IF(WWWW[[#This Row],[Location Type 1]]="camp",WWWW[[#This Row],[Total PoP ]]/20,IF(WWWW[[#This Row],[Location Type 1]]="Temporary Location",WWWW[[#This Row],[Total PoP ]]/50,(WWWW[[#This Row],[Total PoP ]]/6))),0)</f>
        <v>53</v>
      </c>
      <c r="CR93" s="79">
        <f>IF(WWWW[[#This Row],[Total required Latrines]]-(WWWW[[#This Row],['#_Constructed latrines_by_WASHAgencies]]+WWWW[[#This Row],['#_Non Cluster partner latrines]])&lt;0,0,WWWW[[#This Row],[Total required Latrines]]-(WWWW[[#This Row],['#_Constructed latrines_by_WASHAgencies]]+WWWW[[#This Row],['#_Non Cluster partner latrines]]))</f>
        <v>53</v>
      </c>
      <c r="CS93" s="78">
        <f>1-WWWW[[#This Row],[% people access to functioning Latrine]]</f>
        <v>1</v>
      </c>
      <c r="CT93" s="82">
        <f>IF(OR(WWWW[[#This Row],['#_Non-functional latrines]]="",WWWW[[#This Row],['#_Non-functional latrines]]=0),0,WWWW[[#This Row],['#_Non-functional latrines]]/(WWWW[[#This Row],['#_Constructed latrines_by_WASHAgencies]]+WWWW[[#This Row],['#_Non Cluster partner latrines]]))</f>
        <v>0</v>
      </c>
      <c r="CU93" s="79">
        <f>IF(500*(WWWW[[#This Row],['#_male hygiene promoters]]+WWWW[[#This Row],['#_female hygiene promoters]])&gt;WWWW[[#This Row],[Total PoP ]],WWWW[[#This Row],[Total PoP ]],500*(WWWW[[#This Row],['#_male hygiene promoters]]+WWWW[[#This Row],['#_female hygiene promoters]]))</f>
        <v>0</v>
      </c>
      <c r="CV9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3" s="80">
        <f>IF(WWWW[[#This Row],['# People with access to soap]]&gt;WWWW[[#This Row],['# People with access to Sanity Pads]],WWWW[[#This Row],['# People with access to soap]],WWWW[[#This Row],['# People with access to Sanity Pads]])</f>
        <v>0</v>
      </c>
      <c r="CY93"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93" s="78">
        <f>IF(WWWW[[#This Row],[HRP3]]/WWWW[[#This Row],[Total PoP ]]&gt;100%,100%,WWWW[[#This Row],[HRP3]]/WWWW[[#This Row],[Total PoP ]])</f>
        <v>0</v>
      </c>
      <c r="DA93" s="82">
        <f>1-WWWW[[#This Row],[Hygiene Coverage%]]</f>
        <v>1</v>
      </c>
      <c r="DB93" s="81">
        <f>WWWW[[#This Row],['# people reached by regular dedicated hygiene promotion_5]]/WWWW[[#This Row],[Total PoP ]]</f>
        <v>0</v>
      </c>
      <c r="DC93" s="81">
        <f>IF(WWWW[[#This Row],['#_households that received standard amount of soap for this quarter]]/WWWW[[#This Row],[Total HH]]&gt;1,1,WWWW[[#This Row],['#_households that received standard amount of soap for this quarter]]/WWWW[[#This Row],[Total HH]])</f>
        <v>0</v>
      </c>
      <c r="DD93" s="81">
        <f>IF(WWWW[[#This Row],['#_households that received standard amount of sanitary pads for this quarter]]/WWWW[[#This Row],[Total HH]]&gt;1,1,WWWW[[#This Row],['#_households that received standard amount of sanitary pads for this quarter]]/WWWW[[#This Row],[Total HH]])</f>
        <v>0</v>
      </c>
      <c r="DE93" s="80">
        <f>WWWW[[#This Row],['#_Constructed/Existing hand washing stations]]-WWWW[[#This Row],['#_Non-Functional_hand_washing_stations]]</f>
        <v>0</v>
      </c>
      <c r="DF93" s="757">
        <f>IF(WWWW[[#This Row],['# Functional hand washing stations during reporting period]]*20&gt;WWWW[[#This Row],[Total HH]],WWWW[[#This Row],[Total HH]],WWWW[[#This Row],['# Functional hand washing stations during reporting period]]*20)</f>
        <v>0</v>
      </c>
      <c r="DG93" s="79">
        <f>IF(WWWW[[#This Row],[Is sufficient soap available for TLS? (Yes/No)]]="yes",WWWW[[#This Row],['#_Constructed/Existing hand washing stations at TLS]],0)</f>
        <v>0</v>
      </c>
      <c r="DH93" s="578">
        <f>IF(WWWW[[#This Row],['# Functional hand washing stations during reporting period]]*100&gt;WWWW[[#This Row],[Total PoP ]],WWWW[[#This Row],[Total PoP ]],WWWW[[#This Row],['# Functional hand washing stations during reporting period]]*100)</f>
        <v>0</v>
      </c>
      <c r="DI93" s="578" t="str">
        <f>IF(OR(WWWW[[#This Row],['#_students at TLS_CFS]]="",WWWW[[#This Row],['#_students at TLS_CFS]]=0),"No","Yes")</f>
        <v>No</v>
      </c>
      <c r="DJ93" s="231">
        <f>VLOOKUP(WWWW[[#This Row],[Site Name]],SiteDB6[[Site Name]:[CCCM Management]],6,FALSE)</f>
        <v>0</v>
      </c>
      <c r="DK93" s="231" t="str">
        <f>VLOOKUP(WWWW[[#This Row],[Site Name]],SiteDB6[[Site Name]:[CCCM Focal Agency]],7,FALSE)</f>
        <v>uncovered</v>
      </c>
      <c r="DL93" s="231" t="str">
        <f>VLOOKUP(WWWW[[#This Row],[Site Name]],SiteDB6[[Site Name]:[Location Type 1]],9,FALSE)</f>
        <v>Camp</v>
      </c>
      <c r="DM93" s="231" t="str">
        <f>VLOOKUP(WWWW[[#This Row],[Site Name]],SiteDB6[[Site Name]:[Type of Accommodation]],10,FALSE)</f>
        <v>Host Families</v>
      </c>
      <c r="DN93" s="231" t="str">
        <f>VLOOKUP(WWWW[[#This Row],[Site Name]],SiteDB6[[Site Name]:[Ethnic or GCA/NGCA]],11,FALSE)</f>
        <v>GCA</v>
      </c>
      <c r="DO93" s="231">
        <f>VLOOKUP(WWWW[[#This Row],[Site Name]],SiteDB6[[Site Name]:[Lat]],12,FALSE)</f>
        <v>24.251232000000002</v>
      </c>
      <c r="DP93" s="231">
        <f>VLOOKUP(WWWW[[#This Row],[Site Name]],SiteDB6[[Site Name]:[Long]],13,FALSE)</f>
        <v>97.348405</v>
      </c>
      <c r="DQ93" s="231" t="str">
        <f>VLOOKUP(WWWW[[#This Row],[Site Name]],SiteDB6[[Site Name]:[Pcode]],3,FALSE)</f>
        <v>MMR001CMP197</v>
      </c>
      <c r="DR93" s="207" t="str">
        <f t="shared" si="3"/>
        <v>Notcovered</v>
      </c>
      <c r="DS93" s="207"/>
      <c r="DT93" s="20"/>
      <c r="DU93" s="20"/>
      <c r="DV93" s="20"/>
      <c r="DW93" s="20"/>
      <c r="DX93" s="20"/>
      <c r="DY93" s="20"/>
      <c r="DZ93" s="20"/>
      <c r="EA93" s="20"/>
      <c r="EB93" s="20"/>
      <c r="EC93" s="20"/>
      <c r="ED93" s="20"/>
      <c r="EE93" s="20"/>
      <c r="EF93" s="20"/>
      <c r="EG93" s="20"/>
      <c r="EH93" s="20"/>
    </row>
    <row r="94" spans="1:138" ht="15.75" customHeight="1">
      <c r="A94" s="238" t="s">
        <v>2518</v>
      </c>
      <c r="B94" s="574" t="s">
        <v>317</v>
      </c>
      <c r="C94" s="574" t="s">
        <v>317</v>
      </c>
      <c r="D94" s="574"/>
      <c r="E94" s="574" t="s">
        <v>39</v>
      </c>
      <c r="F94" s="574" t="s">
        <v>213</v>
      </c>
      <c r="G94" s="574" t="str">
        <f>VLOOKUP(WWWW[[#This Row],[Site Name]],SiteDB6[[Site Name]:[Location Type]],8,FALSE)</f>
        <v>Camp</v>
      </c>
      <c r="H94" s="76" t="s">
        <v>1028</v>
      </c>
      <c r="I94" s="583">
        <v>47</v>
      </c>
      <c r="J94" s="583">
        <v>153</v>
      </c>
      <c r="K94" s="553"/>
      <c r="L94" s="77"/>
      <c r="M94" s="583"/>
      <c r="N94" s="583"/>
      <c r="O94" s="583"/>
      <c r="P94" s="583"/>
      <c r="Q94" s="76"/>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207"/>
      <c r="AP94" s="310"/>
      <c r="AQ94" s="310"/>
      <c r="AR94" s="76"/>
      <c r="AS94" s="310"/>
      <c r="AT94" s="310"/>
      <c r="AU94" s="310"/>
      <c r="AV94" s="310"/>
      <c r="AW94" s="310"/>
      <c r="AX94" s="231"/>
      <c r="AY94" s="231"/>
      <c r="AZ94" s="310"/>
      <c r="BA94" s="310"/>
      <c r="BB94" s="310"/>
      <c r="BC94" s="207"/>
      <c r="BD94" s="310"/>
      <c r="BE94" s="310"/>
      <c r="BF94" s="310"/>
      <c r="BG94" s="310"/>
      <c r="BH94" s="310"/>
      <c r="BI94" s="310"/>
      <c r="BJ94" s="310"/>
      <c r="BK94" s="310"/>
      <c r="BL94" s="310"/>
      <c r="BM94" s="207"/>
      <c r="BN94" s="79"/>
      <c r="BO94" s="81"/>
      <c r="BP94" s="207"/>
      <c r="BQ94" s="78" t="str">
        <f>IFERROR(WWWW[[#This Row],['#_Water sources treated]]/WWWW[[#This Row],['#_Water sources tested for contamination]],"no test")</f>
        <v>no test</v>
      </c>
      <c r="BR94" s="81" t="str">
        <f>IFERROR(WWWW[[#This Row],['#_Household received remediation action due to contamination]]/WWWW[[#This Row],['#_Household water samples tested for contamination]],"no test")</f>
        <v>no test</v>
      </c>
      <c r="BS94" s="80" t="str">
        <f>IF(AND(WWWW[[#This Row],[% of water sources treated]]="no test",WWWW[[#This Row],[% Household received corrective actions]]="no test"),"No Test","Tested")</f>
        <v>No Test</v>
      </c>
      <c r="BT94" s="80">
        <f>WWWW[[#This Row],['#_Constructed/existing protected hand dug well]]-WWWW[[#This Row],['#_Non-functional protected hand dug well]]</f>
        <v>0</v>
      </c>
      <c r="BU94" s="80">
        <f>(WWWW[[#This Row],['#_Constructed/Existing tube wells/boreholes/handpumps_WASH_agency]]+WWWW[[#This Row],['#_Non-Cluster partner water tube-wells/boreholes/handpumps]])-WWWW[[#This Row],['#_Non-functional tube wells/boreholes/handpumps]]</f>
        <v>0</v>
      </c>
      <c r="BV94" s="80">
        <f>WWWW[[#This Row],['#_Constructed/Existingwater storage tank with gravity fed reticulation system]]-WWWW[[#This Row],['#_Non-functional storage tank gravity fed reticulation system]]</f>
        <v>0</v>
      </c>
      <c r="BW94" s="80">
        <f>WWWW[[#This Row],['#_Water boating or water trucking]]</f>
        <v>0</v>
      </c>
      <c r="BX94" s="80">
        <f>WWWW[[#This Row],['#_Constructed/Existing water distribution system from river or natural spring]]</f>
        <v>0</v>
      </c>
      <c r="BY9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9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94" s="81">
        <f>IF(WWWW[[#This Row],[Location Type 1]]="Village",WWWW[[#This Row],[Access to safe drinking water for Village]],WWWW[[#This Row],[Access to safe drinking water for Camp]])</f>
        <v>0</v>
      </c>
      <c r="CB94" s="79">
        <f>WWWW[[#This Row],[%Equitable and continuous access to sufficient quantity of safe drinking water]]*WWWW[[#This Row],[Total PoP ]]</f>
        <v>0</v>
      </c>
      <c r="CC94" s="81">
        <f>IF((WWWW[[#This Row],['#_Constructed/Existing protected/fenced ponds]]*250)/WWWW[[#This Row],[Total PoP ]]&gt;1,1,(WWWW[[#This Row],['#_Constructed/Existing protected/fenced ponds]]*250)/WWWW[[#This Row],[Total PoP ]])</f>
        <v>0</v>
      </c>
      <c r="CD94" s="79">
        <f>WWWW[[#This Row],[% Access to unimproved water points]]*WWWW[[#This Row],[Total PoP ]]</f>
        <v>0</v>
      </c>
      <c r="CE9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9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94" s="79">
        <f>WWWW[[#This Row],[HRP1]]/500</f>
        <v>0</v>
      </c>
      <c r="CH94" s="78">
        <f>1-WWWW[[#This Row],[% Equitable and continuous access to sufficient quantity of domestic water]]</f>
        <v>1</v>
      </c>
      <c r="CI94" s="79">
        <f>WWWW[[#This Row],[%equitable and continuous access to sufficient quantity of safe drinking and domestic water''s GAP]]*WWWW[[#This Row],[Total PoP ]]</f>
        <v>153</v>
      </c>
      <c r="CJ94" s="80">
        <f>IF(WWWW[[#This Row],[Total required water points]]-WWWW[[#This Row],['#Water points coverage]]&lt;0,0,WWWW[[#This Row],[Total required water points]]-WWWW[[#This Row],['#Water points coverage]])</f>
        <v>1</v>
      </c>
      <c r="CK94" s="80">
        <f>ROUND(IF(WWWW[[#This Row],[Total PoP ]]&lt;500,1,WWWW[[#This Row],[Total PoP ]]/500),0)</f>
        <v>1</v>
      </c>
      <c r="CL94" s="80">
        <f>(WWWW[[#This Row],['#_Constructed latrines_by_WASHAgencies]]+WWWW[[#This Row],['#_Non Cluster partner latrines]])-WWWW[[#This Row],['#_Non-functional latrines]]</f>
        <v>0</v>
      </c>
      <c r="CM9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9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9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4" s="80">
        <f>IF(WWWW[[#This Row],[Location Type 1]]="Village","NA",IF(WWWW[[#This Row],['#_Constructed/Existing latrines in TLS]]*50&gt;WWWW[[#This Row],['#_students at TLS_CFS]],WWWW[[#This Row],['#_students at TLS_CFS]],(WWWW[[#This Row],['#_Constructed/Existing latrines in TLS]]*50)))</f>
        <v>0</v>
      </c>
      <c r="CQ94" s="80">
        <f>ROUND(IF(WWWW[[#This Row],[Location Type 1]]="camp",WWWW[[#This Row],[Total PoP ]]/20,IF(WWWW[[#This Row],[Location Type 1]]="Temporary Location",WWWW[[#This Row],[Total PoP ]]/50,(WWWW[[#This Row],[Total PoP ]]/6))),0)</f>
        <v>8</v>
      </c>
      <c r="CR94" s="79">
        <f>IF(WWWW[[#This Row],[Total required Latrines]]-(WWWW[[#This Row],['#_Constructed latrines_by_WASHAgencies]]+WWWW[[#This Row],['#_Non Cluster partner latrines]])&lt;0,0,WWWW[[#This Row],[Total required Latrines]]-(WWWW[[#This Row],['#_Constructed latrines_by_WASHAgencies]]+WWWW[[#This Row],['#_Non Cluster partner latrines]]))</f>
        <v>8</v>
      </c>
      <c r="CS94" s="78">
        <f>1-WWWW[[#This Row],[% people access to functioning Latrine]]</f>
        <v>1</v>
      </c>
      <c r="CT94" s="82">
        <f>IF(OR(WWWW[[#This Row],['#_Non-functional latrines]]="",WWWW[[#This Row],['#_Non-functional latrines]]=0),0,WWWW[[#This Row],['#_Non-functional latrines]]/(WWWW[[#This Row],['#_Constructed latrines_by_WASHAgencies]]+WWWW[[#This Row],['#_Non Cluster partner latrines]]))</f>
        <v>0</v>
      </c>
      <c r="CU94" s="79">
        <f>IF(500*(WWWW[[#This Row],['#_male hygiene promoters]]+WWWW[[#This Row],['#_female hygiene promoters]])&gt;WWWW[[#This Row],[Total PoP ]],WWWW[[#This Row],[Total PoP ]],500*(WWWW[[#This Row],['#_male hygiene promoters]]+WWWW[[#This Row],['#_female hygiene promoters]]))</f>
        <v>0</v>
      </c>
      <c r="CV9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4" s="80">
        <f>IF(WWWW[[#This Row],['# People with access to soap]]&gt;WWWW[[#This Row],['# People with access to Sanity Pads]],WWWW[[#This Row],['# People with access to soap]],WWWW[[#This Row],['# People with access to Sanity Pads]])</f>
        <v>0</v>
      </c>
      <c r="CY9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94" s="78">
        <f>IF(WWWW[[#This Row],[HRP3]]/WWWW[[#This Row],[Total PoP ]]&gt;100%,100%,WWWW[[#This Row],[HRP3]]/WWWW[[#This Row],[Total PoP ]])</f>
        <v>0</v>
      </c>
      <c r="DA94" s="82">
        <f>1-WWWW[[#This Row],[Hygiene Coverage%]]</f>
        <v>1</v>
      </c>
      <c r="DB94" s="81">
        <f>WWWW[[#This Row],['# people reached by regular dedicated hygiene promotion_5]]/WWWW[[#This Row],[Total PoP ]]</f>
        <v>0</v>
      </c>
      <c r="DC94" s="81">
        <f>IF(WWWW[[#This Row],['#_households that received standard amount of soap for this quarter]]/WWWW[[#This Row],[Total HH]]&gt;1,1,WWWW[[#This Row],['#_households that received standard amount of soap for this quarter]]/WWWW[[#This Row],[Total HH]])</f>
        <v>0</v>
      </c>
      <c r="DD94" s="81">
        <f>IF(WWWW[[#This Row],['#_households that received standard amount of sanitary pads for this quarter]]/WWWW[[#This Row],[Total HH]]&gt;1,1,WWWW[[#This Row],['#_households that received standard amount of sanitary pads for this quarter]]/WWWW[[#This Row],[Total HH]])</f>
        <v>0</v>
      </c>
      <c r="DE94" s="80">
        <f>WWWW[[#This Row],['#_Constructed/Existing hand washing stations]]-WWWW[[#This Row],['#_Non-Functional_hand_washing_stations]]</f>
        <v>0</v>
      </c>
      <c r="DF94" s="757">
        <f>IF(WWWW[[#This Row],['# Functional hand washing stations during reporting period]]*20&gt;WWWW[[#This Row],[Total HH]],WWWW[[#This Row],[Total HH]],WWWW[[#This Row],['# Functional hand washing stations during reporting period]]*20)</f>
        <v>0</v>
      </c>
      <c r="DG94" s="79">
        <f>IF(WWWW[[#This Row],[Is sufficient soap available for TLS? (Yes/No)]]="yes",WWWW[[#This Row],['#_Constructed/Existing hand washing stations at TLS]],0)</f>
        <v>0</v>
      </c>
      <c r="DH94" s="578">
        <f>IF(WWWW[[#This Row],['# Functional hand washing stations during reporting period]]*100&gt;WWWW[[#This Row],[Total PoP ]],WWWW[[#This Row],[Total PoP ]],WWWW[[#This Row],['# Functional hand washing stations during reporting period]]*100)</f>
        <v>0</v>
      </c>
      <c r="DI94" s="578" t="str">
        <f>IF(OR(WWWW[[#This Row],['#_students at TLS_CFS]]="",WWWW[[#This Row],['#_students at TLS_CFS]]=0),"No","Yes")</f>
        <v>No</v>
      </c>
      <c r="DJ94" s="231">
        <f>VLOOKUP(WWWW[[#This Row],[Site Name]],SiteDB6[[Site Name]:[CCCM Management]],6,FALSE)</f>
        <v>0</v>
      </c>
      <c r="DK94" s="231" t="str">
        <f>VLOOKUP(WWWW[[#This Row],[Site Name]],SiteDB6[[Site Name]:[CCCM Focal Agency]],7,FALSE)</f>
        <v>uncovered</v>
      </c>
      <c r="DL94" s="231" t="str">
        <f>VLOOKUP(WWWW[[#This Row],[Site Name]],SiteDB6[[Site Name]:[Location Type 1]],9,FALSE)</f>
        <v>Camp</v>
      </c>
      <c r="DM94" s="231" t="str">
        <f>VLOOKUP(WWWW[[#This Row],[Site Name]],SiteDB6[[Site Name]:[Type of Accommodation]],10,FALSE)</f>
        <v>Host Families</v>
      </c>
      <c r="DN94" s="231" t="str">
        <f>VLOOKUP(WWWW[[#This Row],[Site Name]],SiteDB6[[Site Name]:[Ethnic or GCA/NGCA]],11,FALSE)</f>
        <v>GCA</v>
      </c>
      <c r="DO94" s="231">
        <f>VLOOKUP(WWWW[[#This Row],[Site Name]],SiteDB6[[Site Name]:[Lat]],12,FALSE)</f>
        <v>24.404876999999999</v>
      </c>
      <c r="DP94" s="231">
        <f>VLOOKUP(WWWW[[#This Row],[Site Name]],SiteDB6[[Site Name]:[Long]],13,FALSE)</f>
        <v>97.407787999999996</v>
      </c>
      <c r="DQ94" s="231" t="str">
        <f>VLOOKUP(WWWW[[#This Row],[Site Name]],SiteDB6[[Site Name]:[Pcode]],3,FALSE)</f>
        <v>MMR001CMP061</v>
      </c>
      <c r="DR94" s="207" t="str">
        <f t="shared" si="3"/>
        <v>Notcovered</v>
      </c>
      <c r="DS94" s="207"/>
      <c r="DT94" s="20"/>
      <c r="DU94" s="20"/>
      <c r="DV94" s="20"/>
      <c r="DW94" s="20"/>
      <c r="DX94" s="20"/>
      <c r="DY94" s="20"/>
      <c r="DZ94" s="20"/>
      <c r="EA94" s="20"/>
      <c r="EB94" s="20"/>
      <c r="EC94" s="20"/>
      <c r="ED94" s="20"/>
      <c r="EE94" s="20"/>
      <c r="EF94" s="20"/>
      <c r="EG94" s="20"/>
      <c r="EH94" s="20"/>
    </row>
    <row r="95" spans="1:138" ht="15.75" customHeight="1">
      <c r="A95" s="238" t="s">
        <v>2518</v>
      </c>
      <c r="B95" s="574" t="s">
        <v>299</v>
      </c>
      <c r="C95" s="574" t="s">
        <v>299</v>
      </c>
      <c r="D95" s="574" t="s">
        <v>1922</v>
      </c>
      <c r="E95" s="574" t="s">
        <v>39</v>
      </c>
      <c r="F95" s="574" t="s">
        <v>213</v>
      </c>
      <c r="G95" s="574" t="str">
        <f>VLOOKUP(WWWW[[#This Row],[Site Name]],SiteDB6[[Site Name]:[Location Type]],8,FALSE)</f>
        <v>Camp</v>
      </c>
      <c r="H95" s="574" t="s">
        <v>303</v>
      </c>
      <c r="I95" s="583">
        <v>336</v>
      </c>
      <c r="J95" s="583">
        <v>1722</v>
      </c>
      <c r="K95" s="553"/>
      <c r="L95" s="77">
        <v>43799</v>
      </c>
      <c r="M95" s="583"/>
      <c r="N95" s="583">
        <v>9</v>
      </c>
      <c r="O95" s="583">
        <v>10</v>
      </c>
      <c r="P95" s="583"/>
      <c r="Q95" s="574" t="s">
        <v>43</v>
      </c>
      <c r="R95" s="310"/>
      <c r="S95" s="310"/>
      <c r="T95" s="310">
        <v>2</v>
      </c>
      <c r="U95" s="310"/>
      <c r="V95" s="310"/>
      <c r="W95" s="310"/>
      <c r="X95" s="310"/>
      <c r="Y95" s="310"/>
      <c r="Z95" s="310"/>
      <c r="AA95" s="310"/>
      <c r="AB95" s="310"/>
      <c r="AC95" s="310"/>
      <c r="AD95" s="310"/>
      <c r="AE95" s="310">
        <v>6</v>
      </c>
      <c r="AF95" s="310"/>
      <c r="AG95" s="310"/>
      <c r="AH95" s="310">
        <v>6</v>
      </c>
      <c r="AI95" s="310"/>
      <c r="AJ95" s="310"/>
      <c r="AK95" s="310">
        <v>60</v>
      </c>
      <c r="AL95" s="310">
        <v>8</v>
      </c>
      <c r="AM95" s="310">
        <v>4</v>
      </c>
      <c r="AN95" s="310">
        <v>2</v>
      </c>
      <c r="AO95" s="207"/>
      <c r="AP95" s="310">
        <v>123</v>
      </c>
      <c r="AQ95" s="310"/>
      <c r="AR95" s="76"/>
      <c r="AS95" s="310">
        <v>25</v>
      </c>
      <c r="AT95" s="310"/>
      <c r="AU95" s="310">
        <v>2</v>
      </c>
      <c r="AV95" s="310"/>
      <c r="AW95" s="310"/>
      <c r="AX95" s="581" t="s">
        <v>144</v>
      </c>
      <c r="AY95" s="581" t="s">
        <v>1200</v>
      </c>
      <c r="AZ95" s="310"/>
      <c r="BA95" s="310"/>
      <c r="BB95" s="310"/>
      <c r="BC95" s="207"/>
      <c r="BD95" s="310"/>
      <c r="BE95" s="310"/>
      <c r="BF95" s="310"/>
      <c r="BG95" s="310">
        <v>16</v>
      </c>
      <c r="BH95" s="310"/>
      <c r="BI95" s="310"/>
      <c r="BJ95" s="310"/>
      <c r="BK95" s="310">
        <v>276</v>
      </c>
      <c r="BL95" s="310"/>
      <c r="BM95" s="207"/>
      <c r="BN95" s="79">
        <v>9</v>
      </c>
      <c r="BO95" s="81"/>
      <c r="BP95" s="207"/>
      <c r="BQ95" s="78" t="str">
        <f>IFERROR(WWWW[[#This Row],['#_Water sources treated]]/WWWW[[#This Row],['#_Water sources tested for contamination]],"no test")</f>
        <v>no test</v>
      </c>
      <c r="BR95" s="81">
        <f>IFERROR(WWWW[[#This Row],['#_Household received remediation action due to contamination]]/WWWW[[#This Row],['#_Household water samples tested for contamination]],"no test")</f>
        <v>0.13333333333333333</v>
      </c>
      <c r="BS95" s="80" t="str">
        <f>IF(AND(WWWW[[#This Row],[% of water sources treated]]="no test",WWWW[[#This Row],[% Household received corrective actions]]="no test"),"No Test","Tested")</f>
        <v>Tested</v>
      </c>
      <c r="BT95" s="80">
        <f>WWWW[[#This Row],['#_Constructed/existing protected hand dug well]]-WWWW[[#This Row],['#_Non-functional protected hand dug well]]</f>
        <v>2</v>
      </c>
      <c r="BU95" s="80">
        <f>(WWWW[[#This Row],['#_Constructed/Existing tube wells/boreholes/handpumps_WASH_agency]]+WWWW[[#This Row],['#_Non-Cluster partner water tube-wells/boreholes/handpumps]])-WWWW[[#This Row],['#_Non-functional tube wells/boreholes/handpumps]]</f>
        <v>0</v>
      </c>
      <c r="BV95" s="80">
        <f>WWWW[[#This Row],['#_Constructed/Existingwater storage tank with gravity fed reticulation system]]-WWWW[[#This Row],['#_Non-functional storage tank gravity fed reticulation system]]</f>
        <v>0</v>
      </c>
      <c r="BW95" s="80">
        <f>WWWW[[#This Row],['#_Water boating or water trucking]]</f>
        <v>0</v>
      </c>
      <c r="BX95" s="80">
        <f>WWWW[[#This Row],['#_Constructed/Existing water distribution system from river or natural spring]]</f>
        <v>0</v>
      </c>
      <c r="BY9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0.46457607433217191</v>
      </c>
      <c r="BZ9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0.29036004645760743</v>
      </c>
      <c r="CA95" s="81">
        <f>IF(WWWW[[#This Row],[Location Type 1]]="Village",WWWW[[#This Row],[Access to safe drinking water for Village]],WWWW[[#This Row],[Access to safe drinking water for Camp]])</f>
        <v>0.46457607433217191</v>
      </c>
      <c r="CB95" s="79">
        <f>WWWW[[#This Row],[%Equitable and continuous access to sufficient quantity of safe drinking water]]*WWWW[[#This Row],[Total PoP ]]</f>
        <v>800</v>
      </c>
      <c r="CC95" s="81">
        <f>IF((WWWW[[#This Row],['#_Constructed/Existing protected/fenced ponds]]*250)/WWWW[[#This Row],[Total PoP ]]&gt;1,1,(WWWW[[#This Row],['#_Constructed/Existing protected/fenced ponds]]*250)/WWWW[[#This Row],[Total PoP ]])</f>
        <v>0.87108013937282225</v>
      </c>
      <c r="CD95" s="79">
        <f>WWWW[[#This Row],[% Access to unimproved water points]]*WWWW[[#This Row],[Total PoP ]]</f>
        <v>1500</v>
      </c>
      <c r="CE9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1722</v>
      </c>
      <c r="CG95" s="79">
        <f>WWWW[[#This Row],[HRP1]]/500</f>
        <v>3.444</v>
      </c>
      <c r="CH95" s="78">
        <f>1-WWWW[[#This Row],[% Equitable and continuous access to sufficient quantity of domestic water]]</f>
        <v>0</v>
      </c>
      <c r="CI95" s="79">
        <f>WWWW[[#This Row],[%equitable and continuous access to sufficient quantity of safe drinking and domestic water''s GAP]]*WWWW[[#This Row],[Total PoP ]]</f>
        <v>0</v>
      </c>
      <c r="CJ95" s="80">
        <f>IF(WWWW[[#This Row],[Total required water points]]-WWWW[[#This Row],['#Water points coverage]]&lt;0,0,WWWW[[#This Row],[Total required water points]]-WWWW[[#This Row],['#Water points coverage]])</f>
        <v>0</v>
      </c>
      <c r="CK95" s="80">
        <f>ROUND(IF(WWWW[[#This Row],[Total PoP ]]&lt;500,1,WWWW[[#This Row],[Total PoP ]]/500),0)</f>
        <v>3</v>
      </c>
      <c r="CL95" s="80">
        <f>(WWWW[[#This Row],['#_Constructed latrines_by_WASHAgencies]]+WWWW[[#This Row],['#_Non Cluster partner latrines]])-WWWW[[#This Row],['#_Non-functional latrines]]</f>
        <v>98</v>
      </c>
      <c r="CM9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1722</v>
      </c>
      <c r="CO9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95" s="80">
        <f>IF(WWWW[[#This Row],[Location Type 1]]="Village","NA",IF(WWWW[[#This Row],['#_Constructed/Existing latrines in TLS]]*50&gt;WWWW[[#This Row],['#_students at TLS_CFS]],WWWW[[#This Row],['#_students at TLS_CFS]],(WWWW[[#This Row],['#_Constructed/Existing latrines in TLS]]*50)))</f>
        <v>0</v>
      </c>
      <c r="CQ95" s="80">
        <f>ROUND(IF(WWWW[[#This Row],[Location Type 1]]="camp",WWWW[[#This Row],[Total PoP ]]/20,IF(WWWW[[#This Row],[Location Type 1]]="Temporary Location",WWWW[[#This Row],[Total PoP ]]/50,(WWWW[[#This Row],[Total PoP ]]/6))),0)</f>
        <v>86</v>
      </c>
      <c r="CR95" s="79">
        <f>IF(WWWW[[#This Row],[Total required Latrines]]-(WWWW[[#This Row],['#_Constructed latrines_by_WASHAgencies]]+WWWW[[#This Row],['#_Non Cluster partner latrines]])&lt;0,0,WWWW[[#This Row],[Total required Latrines]]-(WWWW[[#This Row],['#_Constructed latrines_by_WASHAgencies]]+WWWW[[#This Row],['#_Non Cluster partner latrines]]))</f>
        <v>0</v>
      </c>
      <c r="CS95" s="78">
        <f>1-WWWW[[#This Row],[% people access to functioning Latrine]]</f>
        <v>0</v>
      </c>
      <c r="CT95" s="82">
        <f>IF(OR(WWWW[[#This Row],['#_Non-functional latrines]]="",WWWW[[#This Row],['#_Non-functional latrines]]=0),0,WWWW[[#This Row],['#_Non-functional latrines]]/(WWWW[[#This Row],['#_Constructed latrines_by_WASHAgencies]]+WWWW[[#This Row],['#_Non Cluster partner latrines]]))</f>
        <v>0.2032520325203252</v>
      </c>
      <c r="CU95" s="79">
        <f>IF(500*(WWWW[[#This Row],['#_male hygiene promoters]]+WWWW[[#This Row],['#_female hygiene promoters]])&gt;WWWW[[#This Row],[Total PoP ]],WWWW[[#This Row],[Total PoP ]],500*(WWWW[[#This Row],['#_male hygiene promoters]]+WWWW[[#This Row],['#_female hygiene promoters]]))</f>
        <v>0</v>
      </c>
      <c r="CV9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1380</v>
      </c>
      <c r="CW9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5" s="80">
        <f>IF(WWWW[[#This Row],['# People with access to soap]]&gt;WWWW[[#This Row],['# People with access to Sanity Pads]],WWWW[[#This Row],['# People with access to soap]],WWWW[[#This Row],['# People with access to Sanity Pads]])</f>
        <v>1380</v>
      </c>
      <c r="CY95" s="80">
        <f>IF(WWWW[[#This Row],['# people reached by regular dedicated hygiene promotion_5]]&gt;WWWW[[#This Row],['# People received regular supply of hygiene items_6]],WWWW[[#This Row],['# people reached by regular dedicated hygiene promotion_5]],WWWW[[#This Row],['# People received regular supply of hygiene items_6]])</f>
        <v>1380</v>
      </c>
      <c r="CZ95" s="78">
        <f>IF(WWWW[[#This Row],[HRP3]]/WWWW[[#This Row],[Total PoP ]]&gt;100%,100%,WWWW[[#This Row],[HRP3]]/WWWW[[#This Row],[Total PoP ]])</f>
        <v>0.80139372822299648</v>
      </c>
      <c r="DA95" s="82">
        <f>1-WWWW[[#This Row],[Hygiene Coverage%]]</f>
        <v>0.19860627177700352</v>
      </c>
      <c r="DB95" s="81">
        <f>WWWW[[#This Row],['# people reached by regular dedicated hygiene promotion_5]]/WWWW[[#This Row],[Total PoP ]]</f>
        <v>0</v>
      </c>
      <c r="DC95" s="81">
        <f>IF(WWWW[[#This Row],['#_households that received standard amount of soap for this quarter]]/WWWW[[#This Row],[Total HH]]&gt;1,1,WWWW[[#This Row],['#_households that received standard amount of soap for this quarter]]/WWWW[[#This Row],[Total HH]])</f>
        <v>0.8214285714285714</v>
      </c>
      <c r="DD95" s="81">
        <f>IF(WWWW[[#This Row],['#_households that received standard amount of sanitary pads for this quarter]]/WWWW[[#This Row],[Total HH]]&gt;1,1,WWWW[[#This Row],['#_households that received standard amount of sanitary pads for this quarter]]/WWWW[[#This Row],[Total HH]])</f>
        <v>0</v>
      </c>
      <c r="DE95" s="80">
        <f>WWWW[[#This Row],['#_Constructed/Existing hand washing stations]]-WWWW[[#This Row],['#_Non-Functional_hand_washing_stations]]</f>
        <v>0</v>
      </c>
      <c r="DF95" s="757">
        <f>IF(WWWW[[#This Row],['# Functional hand washing stations during reporting period]]*20&gt;WWWW[[#This Row],[Total HH]],WWWW[[#This Row],[Total HH]],WWWW[[#This Row],['# Functional hand washing stations during reporting period]]*20)</f>
        <v>0</v>
      </c>
      <c r="DG95" s="79">
        <f>IF(WWWW[[#This Row],[Is sufficient soap available for TLS? (Yes/No)]]="yes",WWWW[[#This Row],['#_Constructed/Existing hand washing stations at TLS]],0)</f>
        <v>0</v>
      </c>
      <c r="DH95" s="578">
        <f>IF(WWWW[[#This Row],['# Functional hand washing stations during reporting period]]*100&gt;WWWW[[#This Row],[Total PoP ]],WWWW[[#This Row],[Total PoP ]],WWWW[[#This Row],['# Functional hand washing stations during reporting period]]*100)</f>
        <v>0</v>
      </c>
      <c r="DI95" s="578" t="str">
        <f>IF(OR(WWWW[[#This Row],['#_students at TLS_CFS]]="",WWWW[[#This Row],['#_students at TLS_CFS]]=0),"No","Yes")</f>
        <v>No</v>
      </c>
      <c r="DJ95" s="231" t="str">
        <f>VLOOKUP(WWWW[[#This Row],[Site Name]],SiteDB6[[Site Name]:[CCCM Management]],6,FALSE)</f>
        <v>Yes</v>
      </c>
      <c r="DK95" s="231" t="str">
        <f>VLOOKUP(WWWW[[#This Row],[Site Name]],SiteDB6[[Site Name]:[CCCM Focal Agency]],7,FALSE)</f>
        <v>KMSS-BMO</v>
      </c>
      <c r="DL95" s="231" t="str">
        <f>VLOOKUP(WWWW[[#This Row],[Site Name]],SiteDB6[[Site Name]:[Location Type 1]],9,FALSE)</f>
        <v>Camp</v>
      </c>
      <c r="DM95" s="231" t="str">
        <f>VLOOKUP(WWWW[[#This Row],[Site Name]],SiteDB6[[Site Name]:[Type of Accommodation]],10,FALSE)</f>
        <v>Camp</v>
      </c>
      <c r="DN95" s="231" t="str">
        <f>VLOOKUP(WWWW[[#This Row],[Site Name]],SiteDB6[[Site Name]:[Ethnic or GCA/NGCA]],11,FALSE)</f>
        <v>NGCA</v>
      </c>
      <c r="DO95" s="231">
        <f>VLOOKUP(WWWW[[#This Row],[Site Name]],SiteDB6[[Site Name]:[Lat]],12,FALSE)</f>
        <v>24.378167000000001</v>
      </c>
      <c r="DP95" s="231">
        <f>VLOOKUP(WWWW[[#This Row],[Site Name]],SiteDB6[[Site Name]:[Long]],13,FALSE)</f>
        <v>97.669366999999994</v>
      </c>
      <c r="DQ95" s="231" t="str">
        <f>VLOOKUP(WWWW[[#This Row],[Site Name]],SiteDB6[[Site Name]:[Pcode]],3,FALSE)</f>
        <v>MMR001CMP131</v>
      </c>
      <c r="DR95" s="207" t="str">
        <f t="shared" si="3"/>
        <v>Covered</v>
      </c>
      <c r="DS95" s="207"/>
      <c r="DT95" s="20"/>
      <c r="DU95" s="20"/>
      <c r="DV95" s="20"/>
      <c r="DW95" s="20"/>
      <c r="DX95" s="20"/>
      <c r="DY95" s="20"/>
      <c r="DZ95" s="20"/>
      <c r="EA95" s="20"/>
      <c r="EB95" s="20"/>
      <c r="EC95" s="20"/>
      <c r="ED95" s="20"/>
      <c r="EE95" s="20"/>
      <c r="EF95" s="20"/>
      <c r="EG95" s="20"/>
      <c r="EH95" s="20"/>
    </row>
    <row r="96" spans="1:138" ht="15.75" customHeight="1">
      <c r="A96" s="238" t="s">
        <v>2518</v>
      </c>
      <c r="B96" s="574" t="s">
        <v>284</v>
      </c>
      <c r="C96" s="574" t="s">
        <v>284</v>
      </c>
      <c r="D96" s="574" t="s">
        <v>252</v>
      </c>
      <c r="E96" s="574" t="s">
        <v>39</v>
      </c>
      <c r="F96" s="574" t="s">
        <v>203</v>
      </c>
      <c r="G96" s="574" t="str">
        <f>VLOOKUP(WWWW[[#This Row],[Site Name]],SiteDB6[[Site Name]:[Location Type]],8,FALSE)</f>
        <v>Camp_not registered</v>
      </c>
      <c r="H96" s="574" t="s">
        <v>1685</v>
      </c>
      <c r="I96" s="583">
        <v>281</v>
      </c>
      <c r="J96" s="583">
        <v>1409</v>
      </c>
      <c r="K96" s="553">
        <v>43282</v>
      </c>
      <c r="L96" s="77">
        <v>43646</v>
      </c>
      <c r="M96" s="583">
        <v>1409</v>
      </c>
      <c r="N96" s="583">
        <v>0</v>
      </c>
      <c r="O96" s="583">
        <v>0</v>
      </c>
      <c r="P96" s="583">
        <v>0</v>
      </c>
      <c r="Q96" s="76"/>
      <c r="R96" s="310"/>
      <c r="S96" s="310"/>
      <c r="T96" s="310">
        <v>0</v>
      </c>
      <c r="U96" s="310">
        <v>0</v>
      </c>
      <c r="V96" s="310"/>
      <c r="W96" s="310"/>
      <c r="X96" s="310">
        <v>0</v>
      </c>
      <c r="Y96" s="310"/>
      <c r="Z96" s="310"/>
      <c r="AA96" s="310"/>
      <c r="AB96" s="310"/>
      <c r="AC96" s="310"/>
      <c r="AD96" s="310"/>
      <c r="AE96" s="310"/>
      <c r="AF96" s="310"/>
      <c r="AG96" s="310"/>
      <c r="AH96" s="310"/>
      <c r="AI96" s="310"/>
      <c r="AJ96" s="310"/>
      <c r="AK96" s="310"/>
      <c r="AL96" s="310"/>
      <c r="AM96" s="310"/>
      <c r="AN96" s="310">
        <v>2</v>
      </c>
      <c r="AO96" s="207"/>
      <c r="AP96" s="310"/>
      <c r="AQ96" s="310"/>
      <c r="AR96" s="76"/>
      <c r="AS96" s="310"/>
      <c r="AT96" s="310"/>
      <c r="AU96" s="310"/>
      <c r="AV96" s="310"/>
      <c r="AW96" s="310"/>
      <c r="AX96" s="231" t="s">
        <v>43</v>
      </c>
      <c r="AY96" s="231" t="s">
        <v>145</v>
      </c>
      <c r="AZ96" s="310">
        <v>0</v>
      </c>
      <c r="BA96" s="310">
        <v>0</v>
      </c>
      <c r="BB96" s="310">
        <v>22</v>
      </c>
      <c r="BC96" s="207"/>
      <c r="BD96" s="310"/>
      <c r="BE96" s="310"/>
      <c r="BF96" s="310"/>
      <c r="BG96" s="310">
        <v>0</v>
      </c>
      <c r="BH96" s="310"/>
      <c r="BI96" s="310">
        <v>0</v>
      </c>
      <c r="BJ96" s="310">
        <v>0</v>
      </c>
      <c r="BK96" s="310">
        <v>0</v>
      </c>
      <c r="BL96" s="310"/>
      <c r="BM96" s="207" t="s">
        <v>43</v>
      </c>
      <c r="BN96" s="79">
        <v>0</v>
      </c>
      <c r="BO96" s="81">
        <v>0</v>
      </c>
      <c r="BP96" s="207"/>
      <c r="BQ96" s="78" t="str">
        <f>IFERROR(WWWW[[#This Row],['#_Water sources treated]]/WWWW[[#This Row],['#_Water sources tested for contamination]],"no test")</f>
        <v>no test</v>
      </c>
      <c r="BR96" s="81" t="str">
        <f>IFERROR(WWWW[[#This Row],['#_Household received remediation action due to contamination]]/WWWW[[#This Row],['#_Household water samples tested for contamination]],"no test")</f>
        <v>no test</v>
      </c>
      <c r="BS96" s="80" t="str">
        <f>IF(AND(WWWW[[#This Row],[% of water sources treated]]="no test",WWWW[[#This Row],[% Household received corrective actions]]="no test"),"No Test","Tested")</f>
        <v>No Test</v>
      </c>
      <c r="BT96" s="80">
        <f>WWWW[[#This Row],['#_Constructed/existing protected hand dug well]]-WWWW[[#This Row],['#_Non-functional protected hand dug well]]</f>
        <v>0</v>
      </c>
      <c r="BU96" s="80">
        <f>(WWWW[[#This Row],['#_Constructed/Existing tube wells/boreholes/handpumps_WASH_agency]]+WWWW[[#This Row],['#_Non-Cluster partner water tube-wells/boreholes/handpumps]])-WWWW[[#This Row],['#_Non-functional tube wells/boreholes/handpumps]]</f>
        <v>0</v>
      </c>
      <c r="BV96" s="80">
        <f>WWWW[[#This Row],['#_Constructed/Existingwater storage tank with gravity fed reticulation system]]-WWWW[[#This Row],['#_Non-functional storage tank gravity fed reticulation system]]</f>
        <v>0</v>
      </c>
      <c r="BW96" s="80">
        <f>WWWW[[#This Row],['#_Water boating or water trucking]]</f>
        <v>0</v>
      </c>
      <c r="BX96" s="80">
        <f>WWWW[[#This Row],['#_Constructed/Existing water distribution system from river or natural spring]]</f>
        <v>0</v>
      </c>
      <c r="BY9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9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96" s="81">
        <f>IF(WWWW[[#This Row],[Location Type 1]]="Village",WWWW[[#This Row],[Access to safe drinking water for Village]],WWWW[[#This Row],[Access to safe drinking water for Camp]])</f>
        <v>0</v>
      </c>
      <c r="CB96" s="79">
        <f>WWWW[[#This Row],[%Equitable and continuous access to sufficient quantity of safe drinking water]]*WWWW[[#This Row],[Total PoP ]]</f>
        <v>0</v>
      </c>
      <c r="CC96" s="81">
        <f>IF((WWWW[[#This Row],['#_Constructed/Existing protected/fenced ponds]]*250)/WWWW[[#This Row],[Total PoP ]]&gt;1,1,(WWWW[[#This Row],['#_Constructed/Existing protected/fenced ponds]]*250)/WWWW[[#This Row],[Total PoP ]])</f>
        <v>0</v>
      </c>
      <c r="CD96" s="79">
        <f>WWWW[[#This Row],[% Access to unimproved water points]]*WWWW[[#This Row],[Total PoP ]]</f>
        <v>0</v>
      </c>
      <c r="CE9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9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96" s="79">
        <f>WWWW[[#This Row],[HRP1]]/500</f>
        <v>0</v>
      </c>
      <c r="CH96" s="78">
        <f>1-WWWW[[#This Row],[% Equitable and continuous access to sufficient quantity of domestic water]]</f>
        <v>1</v>
      </c>
      <c r="CI96" s="79">
        <f>WWWW[[#This Row],[%equitable and continuous access to sufficient quantity of safe drinking and domestic water''s GAP]]*WWWW[[#This Row],[Total PoP ]]</f>
        <v>1409</v>
      </c>
      <c r="CJ96" s="80">
        <f>IF(WWWW[[#This Row],[Total required water points]]-WWWW[[#This Row],['#Water points coverage]]&lt;0,0,WWWW[[#This Row],[Total required water points]]-WWWW[[#This Row],['#Water points coverage]])</f>
        <v>3</v>
      </c>
      <c r="CK96" s="80">
        <f>ROUND(IF(WWWW[[#This Row],[Total PoP ]]&lt;500,1,WWWW[[#This Row],[Total PoP ]]/500),0)</f>
        <v>3</v>
      </c>
      <c r="CL96" s="80">
        <f>(WWWW[[#This Row],['#_Constructed latrines_by_WASHAgencies]]+WWWW[[#This Row],['#_Non Cluster partner latrines]])-WWWW[[#This Row],['#_Non-functional latrines]]</f>
        <v>0</v>
      </c>
      <c r="CM9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9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9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6" s="80">
        <f>IF(WWWW[[#This Row],[Location Type 1]]="Village","NA",IF(WWWW[[#This Row],['#_Constructed/Existing latrines in TLS]]*50&gt;WWWW[[#This Row],['#_students at TLS_CFS]],WWWW[[#This Row],['#_students at TLS_CFS]],(WWWW[[#This Row],['#_Constructed/Existing latrines in TLS]]*50)))</f>
        <v>1100</v>
      </c>
      <c r="CQ96" s="80">
        <f>ROUND(IF(WWWW[[#This Row],[Location Type 1]]="camp",WWWW[[#This Row],[Total PoP ]]/20,IF(WWWW[[#This Row],[Location Type 1]]="Temporary Location",WWWW[[#This Row],[Total PoP ]]/50,(WWWW[[#This Row],[Total PoP ]]/6))),0)</f>
        <v>70</v>
      </c>
      <c r="CR96" s="79">
        <f>IF(WWWW[[#This Row],[Total required Latrines]]-(WWWW[[#This Row],['#_Constructed latrines_by_WASHAgencies]]+WWWW[[#This Row],['#_Non Cluster partner latrines]])&lt;0,0,WWWW[[#This Row],[Total required Latrines]]-(WWWW[[#This Row],['#_Constructed latrines_by_WASHAgencies]]+WWWW[[#This Row],['#_Non Cluster partner latrines]]))</f>
        <v>70</v>
      </c>
      <c r="CS96" s="78">
        <f>1-WWWW[[#This Row],[% people access to functioning Latrine]]</f>
        <v>1</v>
      </c>
      <c r="CT96" s="82">
        <f>IF(OR(WWWW[[#This Row],['#_Non-functional latrines]]="",WWWW[[#This Row],['#_Non-functional latrines]]=0),0,WWWW[[#This Row],['#_Non-functional latrines]]/(WWWW[[#This Row],['#_Constructed latrines_by_WASHAgencies]]+WWWW[[#This Row],['#_Non Cluster partner latrines]]))</f>
        <v>0</v>
      </c>
      <c r="CU96" s="79">
        <f>IF(500*(WWWW[[#This Row],['#_male hygiene promoters]]+WWWW[[#This Row],['#_female hygiene promoters]])&gt;WWWW[[#This Row],[Total PoP ]],WWWW[[#This Row],[Total PoP ]],500*(WWWW[[#This Row],['#_male hygiene promoters]]+WWWW[[#This Row],['#_female hygiene promoters]]))</f>
        <v>0</v>
      </c>
      <c r="CV9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6" s="80">
        <f>IF(WWWW[[#This Row],['# People with access to soap]]&gt;WWWW[[#This Row],['# People with access to Sanity Pads]],WWWW[[#This Row],['# People with access to soap]],WWWW[[#This Row],['# People with access to Sanity Pads]])</f>
        <v>0</v>
      </c>
      <c r="CY96"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96" s="78">
        <f>IF(WWWW[[#This Row],[HRP3]]/WWWW[[#This Row],[Total PoP ]]&gt;100%,100%,WWWW[[#This Row],[HRP3]]/WWWW[[#This Row],[Total PoP ]])</f>
        <v>0</v>
      </c>
      <c r="DA96" s="82">
        <f>1-WWWW[[#This Row],[Hygiene Coverage%]]</f>
        <v>1</v>
      </c>
      <c r="DB96" s="81">
        <f>WWWW[[#This Row],['# people reached by regular dedicated hygiene promotion_5]]/WWWW[[#This Row],[Total PoP ]]</f>
        <v>0</v>
      </c>
      <c r="DC96" s="81">
        <f>IF(WWWW[[#This Row],['#_households that received standard amount of soap for this quarter]]/WWWW[[#This Row],[Total HH]]&gt;1,1,WWWW[[#This Row],['#_households that received standard amount of soap for this quarter]]/WWWW[[#This Row],[Total HH]])</f>
        <v>0</v>
      </c>
      <c r="DD96" s="81">
        <f>IF(WWWW[[#This Row],['#_households that received standard amount of sanitary pads for this quarter]]/WWWW[[#This Row],[Total HH]]&gt;1,1,WWWW[[#This Row],['#_households that received standard amount of sanitary pads for this quarter]]/WWWW[[#This Row],[Total HH]])</f>
        <v>0</v>
      </c>
      <c r="DE96" s="80">
        <f>WWWW[[#This Row],['#_Constructed/Existing hand washing stations]]-WWWW[[#This Row],['#_Non-Functional_hand_washing_stations]]</f>
        <v>0</v>
      </c>
      <c r="DF96" s="757">
        <f>IF(WWWW[[#This Row],['# Functional hand washing stations during reporting period]]*20&gt;WWWW[[#This Row],[Total HH]],WWWW[[#This Row],[Total HH]],WWWW[[#This Row],['# Functional hand washing stations during reporting period]]*20)</f>
        <v>0</v>
      </c>
      <c r="DG96" s="79">
        <f>IF(WWWW[[#This Row],[Is sufficient soap available for TLS? (Yes/No)]]="yes",WWWW[[#This Row],['#_Constructed/Existing hand washing stations at TLS]],0)</f>
        <v>0</v>
      </c>
      <c r="DH96" s="578">
        <f>IF(WWWW[[#This Row],['# Functional hand washing stations during reporting period]]*100&gt;WWWW[[#This Row],[Total PoP ]],WWWW[[#This Row],[Total PoP ]],WWWW[[#This Row],['# Functional hand washing stations during reporting period]]*100)</f>
        <v>0</v>
      </c>
      <c r="DI96" s="578" t="str">
        <f>IF(OR(WWWW[[#This Row],['#_students at TLS_CFS]]="",WWWW[[#This Row],['#_students at TLS_CFS]]=0),"No","Yes")</f>
        <v>Yes</v>
      </c>
      <c r="DJ96" s="231" t="str">
        <f>VLOOKUP(WWWW[[#This Row],[Site Name]],SiteDB6[[Site Name]:[CCCM Management]],6,FALSE)</f>
        <v>No</v>
      </c>
      <c r="DK96" s="231">
        <f>VLOOKUP(WWWW[[#This Row],[Site Name]],SiteDB6[[Site Name]:[CCCM Focal Agency]],7,FALSE)</f>
        <v>0</v>
      </c>
      <c r="DL96" s="231" t="str">
        <f>VLOOKUP(WWWW[[#This Row],[Site Name]],SiteDB6[[Site Name]:[Location Type 1]],9,FALSE)</f>
        <v>Camp</v>
      </c>
      <c r="DM96" s="231" t="str">
        <f>VLOOKUP(WWWW[[#This Row],[Site Name]],SiteDB6[[Site Name]:[Type of Accommodation]],10,FALSE)</f>
        <v>Camp</v>
      </c>
      <c r="DN96" s="231" t="str">
        <f>VLOOKUP(WWWW[[#This Row],[Site Name]],SiteDB6[[Site Name]:[Ethnic or GCA/NGCA]],11,FALSE)</f>
        <v>GCA</v>
      </c>
      <c r="DO96" s="231">
        <f>VLOOKUP(WWWW[[#This Row],[Site Name]],SiteDB6[[Site Name]:[Lat]],12,FALSE)</f>
        <v>0</v>
      </c>
      <c r="DP96" s="231">
        <f>VLOOKUP(WWWW[[#This Row],[Site Name]],SiteDB6[[Site Name]:[Long]],13,FALSE)</f>
        <v>0</v>
      </c>
      <c r="DQ96" s="231">
        <f>VLOOKUP(WWWW[[#This Row],[Site Name]],SiteDB6[[Site Name]:[Pcode]],3,FALSE)</f>
        <v>0</v>
      </c>
      <c r="DR96" s="207" t="str">
        <f t="shared" si="3"/>
        <v>Covered</v>
      </c>
      <c r="DS96" s="207"/>
      <c r="DT96" s="20"/>
      <c r="DU96" s="20"/>
      <c r="DV96" s="20"/>
      <c r="DW96" s="20"/>
      <c r="DX96" s="20"/>
      <c r="DY96" s="20"/>
      <c r="DZ96" s="20"/>
      <c r="EA96" s="20"/>
      <c r="EB96" s="20"/>
      <c r="EC96" s="20"/>
      <c r="ED96" s="20"/>
      <c r="EE96" s="20"/>
      <c r="EF96" s="20"/>
      <c r="EG96" s="20"/>
      <c r="EH96" s="20"/>
    </row>
    <row r="97" spans="1:138" ht="15.75" customHeight="1">
      <c r="A97" s="238" t="s">
        <v>2518</v>
      </c>
      <c r="B97" s="574" t="s">
        <v>299</v>
      </c>
      <c r="C97" s="574" t="s">
        <v>299</v>
      </c>
      <c r="D97" s="574" t="s">
        <v>1922</v>
      </c>
      <c r="E97" s="574" t="s">
        <v>39</v>
      </c>
      <c r="F97" s="574" t="s">
        <v>213</v>
      </c>
      <c r="G97" s="574" t="str">
        <f>VLOOKUP(WWWW[[#This Row],[Site Name]],SiteDB6[[Site Name]:[Location Type]],8,FALSE)</f>
        <v>Camp</v>
      </c>
      <c r="H97" s="574" t="s">
        <v>304</v>
      </c>
      <c r="I97" s="583">
        <v>669</v>
      </c>
      <c r="J97" s="583">
        <v>3316</v>
      </c>
      <c r="K97" s="553"/>
      <c r="L97" s="77">
        <v>43799</v>
      </c>
      <c r="M97" s="583"/>
      <c r="N97" s="583">
        <v>9</v>
      </c>
      <c r="O97" s="583">
        <v>10</v>
      </c>
      <c r="P97" s="583"/>
      <c r="Q97" s="574" t="s">
        <v>43</v>
      </c>
      <c r="R97" s="310"/>
      <c r="S97" s="310"/>
      <c r="T97" s="310">
        <v>0</v>
      </c>
      <c r="U97" s="310"/>
      <c r="V97" s="310"/>
      <c r="W97" s="310">
        <v>2</v>
      </c>
      <c r="X97" s="310"/>
      <c r="Y97" s="310"/>
      <c r="Z97" s="310"/>
      <c r="AA97" s="310"/>
      <c r="AB97" s="310"/>
      <c r="AC97" s="310"/>
      <c r="AD97" s="310"/>
      <c r="AE97" s="310">
        <v>1</v>
      </c>
      <c r="AF97" s="310"/>
      <c r="AG97" s="310"/>
      <c r="AH97" s="310">
        <v>1</v>
      </c>
      <c r="AI97" s="310"/>
      <c r="AJ97" s="310"/>
      <c r="AK97" s="310">
        <v>16</v>
      </c>
      <c r="AL97" s="310">
        <v>5</v>
      </c>
      <c r="AM97" s="310">
        <v>21</v>
      </c>
      <c r="AN97" s="310">
        <v>6</v>
      </c>
      <c r="AO97" s="207"/>
      <c r="AP97" s="310">
        <v>257</v>
      </c>
      <c r="AQ97" s="310"/>
      <c r="AR97" s="76"/>
      <c r="AS97" s="310">
        <v>37</v>
      </c>
      <c r="AT97" s="310"/>
      <c r="AU97" s="310">
        <v>3</v>
      </c>
      <c r="AV97" s="310"/>
      <c r="AW97" s="310"/>
      <c r="AX97" s="581" t="s">
        <v>144</v>
      </c>
      <c r="AY97" s="231" t="s">
        <v>145</v>
      </c>
      <c r="AZ97" s="310"/>
      <c r="BA97" s="310"/>
      <c r="BB97" s="310"/>
      <c r="BC97" s="207"/>
      <c r="BD97" s="310"/>
      <c r="BE97" s="310"/>
      <c r="BF97" s="310"/>
      <c r="BG97" s="310">
        <v>7</v>
      </c>
      <c r="BH97" s="310"/>
      <c r="BI97" s="310"/>
      <c r="BJ97" s="310"/>
      <c r="BK97" s="310">
        <v>449</v>
      </c>
      <c r="BL97" s="310"/>
      <c r="BM97" s="207"/>
      <c r="BN97" s="79">
        <v>9</v>
      </c>
      <c r="BO97" s="81"/>
      <c r="BP97" s="207"/>
      <c r="BQ97" s="78" t="str">
        <f>IFERROR(WWWW[[#This Row],['#_Water sources treated]]/WWWW[[#This Row],['#_Water sources tested for contamination]],"no test")</f>
        <v>no test</v>
      </c>
      <c r="BR97" s="81">
        <f>IFERROR(WWWW[[#This Row],['#_Household received remediation action due to contamination]]/WWWW[[#This Row],['#_Household water samples tested for contamination]],"no test")</f>
        <v>0.3125</v>
      </c>
      <c r="BS97" s="80" t="str">
        <f>IF(AND(WWWW[[#This Row],[% of water sources treated]]="no test",WWWW[[#This Row],[% Household received corrective actions]]="no test"),"No Test","Tested")</f>
        <v>Tested</v>
      </c>
      <c r="BT97" s="80">
        <f>WWWW[[#This Row],['#_Constructed/existing protected hand dug well]]-WWWW[[#This Row],['#_Non-functional protected hand dug well]]</f>
        <v>0</v>
      </c>
      <c r="BU97" s="80">
        <f>(WWWW[[#This Row],['#_Constructed/Existing tube wells/boreholes/handpumps_WASH_agency]]+WWWW[[#This Row],['#_Non-Cluster partner water tube-wells/boreholes/handpumps]])-WWWW[[#This Row],['#_Non-functional tube wells/boreholes/handpumps]]</f>
        <v>2</v>
      </c>
      <c r="BV97" s="80">
        <f>WWWW[[#This Row],['#_Constructed/Existingwater storage tank with gravity fed reticulation system]]-WWWW[[#This Row],['#_Non-functional storage tank gravity fed reticulation system]]</f>
        <v>0</v>
      </c>
      <c r="BW97" s="80">
        <f>WWWW[[#This Row],['#_Water boating or water trucking]]</f>
        <v>0</v>
      </c>
      <c r="BX97" s="80">
        <f>WWWW[[#This Row],['#_Constructed/Existing water distribution system from river or natural spring]]</f>
        <v>0</v>
      </c>
      <c r="BY9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0.30156815440289503</v>
      </c>
      <c r="BZ9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0.15078407720144751</v>
      </c>
      <c r="CA97" s="81">
        <f>IF(WWWW[[#This Row],[Location Type 1]]="Village",WWWW[[#This Row],[Access to safe drinking water for Village]],WWWW[[#This Row],[Access to safe drinking water for Camp]])</f>
        <v>0.30156815440289503</v>
      </c>
      <c r="CB97" s="79">
        <f>WWWW[[#This Row],[%Equitable and continuous access to sufficient quantity of safe drinking water]]*WWWW[[#This Row],[Total PoP ]]</f>
        <v>999.99999999999989</v>
      </c>
      <c r="CC97" s="81">
        <f>IF((WWWW[[#This Row],['#_Constructed/Existing protected/fenced ponds]]*250)/WWWW[[#This Row],[Total PoP ]]&gt;1,1,(WWWW[[#This Row],['#_Constructed/Existing protected/fenced ponds]]*250)/WWWW[[#This Row],[Total PoP ]])</f>
        <v>7.5392038600723757E-2</v>
      </c>
      <c r="CD97" s="79">
        <f>WWWW[[#This Row],[% Access to unimproved water points]]*WWWW[[#This Row],[Total PoP ]]</f>
        <v>249.99999999999997</v>
      </c>
      <c r="CE9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0.37696019300361877</v>
      </c>
      <c r="CF9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1249.9999999999998</v>
      </c>
      <c r="CG97" s="79">
        <f>WWWW[[#This Row],[HRP1]]/500</f>
        <v>2.4999999999999996</v>
      </c>
      <c r="CH97" s="78">
        <f>1-WWWW[[#This Row],[% Equitable and continuous access to sufficient quantity of domestic water]]</f>
        <v>0.62303980699638117</v>
      </c>
      <c r="CI97" s="79">
        <f>WWWW[[#This Row],[%equitable and continuous access to sufficient quantity of safe drinking and domestic water''s GAP]]*WWWW[[#This Row],[Total PoP ]]</f>
        <v>2066</v>
      </c>
      <c r="CJ97" s="80">
        <f>IF(WWWW[[#This Row],[Total required water points]]-WWWW[[#This Row],['#Water points coverage]]&lt;0,0,WWWW[[#This Row],[Total required water points]]-WWWW[[#This Row],['#Water points coverage]])</f>
        <v>4.5</v>
      </c>
      <c r="CK97" s="80">
        <f>ROUND(IF(WWWW[[#This Row],[Total PoP ]]&lt;500,1,WWWW[[#This Row],[Total PoP ]]/500),0)</f>
        <v>7</v>
      </c>
      <c r="CL97" s="80">
        <f>(WWWW[[#This Row],['#_Constructed latrines_by_WASHAgencies]]+WWWW[[#This Row],['#_Non Cluster partner latrines]])-WWWW[[#This Row],['#_Non-functional latrines]]</f>
        <v>220</v>
      </c>
      <c r="CM9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3316</v>
      </c>
      <c r="CO9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P97" s="80">
        <f>IF(WWWW[[#This Row],[Location Type 1]]="Village","NA",IF(WWWW[[#This Row],['#_Constructed/Existing latrines in TLS]]*50&gt;WWWW[[#This Row],['#_students at TLS_CFS]],WWWW[[#This Row],['#_students at TLS_CFS]],(WWWW[[#This Row],['#_Constructed/Existing latrines in TLS]]*50)))</f>
        <v>0</v>
      </c>
      <c r="CQ97" s="80">
        <f>ROUND(IF(WWWW[[#This Row],[Location Type 1]]="camp",WWWW[[#This Row],[Total PoP ]]/20,IF(WWWW[[#This Row],[Location Type 1]]="Temporary Location",WWWW[[#This Row],[Total PoP ]]/50,(WWWW[[#This Row],[Total PoP ]]/6))),0)</f>
        <v>166</v>
      </c>
      <c r="CR97" s="79">
        <f>IF(WWWW[[#This Row],[Total required Latrines]]-(WWWW[[#This Row],['#_Constructed latrines_by_WASHAgencies]]+WWWW[[#This Row],['#_Non Cluster partner latrines]])&lt;0,0,WWWW[[#This Row],[Total required Latrines]]-(WWWW[[#This Row],['#_Constructed latrines_by_WASHAgencies]]+WWWW[[#This Row],['#_Non Cluster partner latrines]]))</f>
        <v>0</v>
      </c>
      <c r="CS97" s="78">
        <f>1-WWWW[[#This Row],[% people access to functioning Latrine]]</f>
        <v>0</v>
      </c>
      <c r="CT97" s="82">
        <f>IF(OR(WWWW[[#This Row],['#_Non-functional latrines]]="",WWWW[[#This Row],['#_Non-functional latrines]]=0),0,WWWW[[#This Row],['#_Non-functional latrines]]/(WWWW[[#This Row],['#_Constructed latrines_by_WASHAgencies]]+WWWW[[#This Row],['#_Non Cluster partner latrines]]))</f>
        <v>0.14396887159533073</v>
      </c>
      <c r="CU97" s="79">
        <f>IF(500*(WWWW[[#This Row],['#_male hygiene promoters]]+WWWW[[#This Row],['#_female hygiene promoters]])&gt;WWWW[[#This Row],[Total PoP ]],WWWW[[#This Row],[Total PoP ]],500*(WWWW[[#This Row],['#_male hygiene promoters]]+WWWW[[#This Row],['#_female hygiene promoters]]))</f>
        <v>0</v>
      </c>
      <c r="CV9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2245</v>
      </c>
      <c r="CW9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7" s="80">
        <f>IF(WWWW[[#This Row],['# People with access to soap]]&gt;WWWW[[#This Row],['# People with access to Sanity Pads]],WWWW[[#This Row],['# People with access to soap]],WWWW[[#This Row],['# People with access to Sanity Pads]])</f>
        <v>2245</v>
      </c>
      <c r="CY97" s="80">
        <f>IF(WWWW[[#This Row],['# people reached by regular dedicated hygiene promotion_5]]&gt;WWWW[[#This Row],['# People received regular supply of hygiene items_6]],WWWW[[#This Row],['# people reached by regular dedicated hygiene promotion_5]],WWWW[[#This Row],['# People received regular supply of hygiene items_6]])</f>
        <v>2245</v>
      </c>
      <c r="CZ97" s="78">
        <f>IF(WWWW[[#This Row],[HRP3]]/WWWW[[#This Row],[Total PoP ]]&gt;100%,100%,WWWW[[#This Row],[HRP3]]/WWWW[[#This Row],[Total PoP ]])</f>
        <v>0.67702050663449942</v>
      </c>
      <c r="DA97" s="82">
        <f>1-WWWW[[#This Row],[Hygiene Coverage%]]</f>
        <v>0.32297949336550058</v>
      </c>
      <c r="DB97" s="81">
        <f>WWWW[[#This Row],['# people reached by regular dedicated hygiene promotion_5]]/WWWW[[#This Row],[Total PoP ]]</f>
        <v>0</v>
      </c>
      <c r="DC97" s="81">
        <f>IF(WWWW[[#This Row],['#_households that received standard amount of soap for this quarter]]/WWWW[[#This Row],[Total HH]]&gt;1,1,WWWW[[#This Row],['#_households that received standard amount of soap for this quarter]]/WWWW[[#This Row],[Total HH]])</f>
        <v>0.67115097159940207</v>
      </c>
      <c r="DD97" s="81">
        <f>IF(WWWW[[#This Row],['#_households that received standard amount of sanitary pads for this quarter]]/WWWW[[#This Row],[Total HH]]&gt;1,1,WWWW[[#This Row],['#_households that received standard amount of sanitary pads for this quarter]]/WWWW[[#This Row],[Total HH]])</f>
        <v>0</v>
      </c>
      <c r="DE97" s="80">
        <f>WWWW[[#This Row],['#_Constructed/Existing hand washing stations]]-WWWW[[#This Row],['#_Non-Functional_hand_washing_stations]]</f>
        <v>0</v>
      </c>
      <c r="DF97" s="757">
        <f>IF(WWWW[[#This Row],['# Functional hand washing stations during reporting period]]*20&gt;WWWW[[#This Row],[Total HH]],WWWW[[#This Row],[Total HH]],WWWW[[#This Row],['# Functional hand washing stations during reporting period]]*20)</f>
        <v>0</v>
      </c>
      <c r="DG97" s="79">
        <f>IF(WWWW[[#This Row],[Is sufficient soap available for TLS? (Yes/No)]]="yes",WWWW[[#This Row],['#_Constructed/Existing hand washing stations at TLS]],0)</f>
        <v>0</v>
      </c>
      <c r="DH97" s="578">
        <f>IF(WWWW[[#This Row],['# Functional hand washing stations during reporting period]]*100&gt;WWWW[[#This Row],[Total PoP ]],WWWW[[#This Row],[Total PoP ]],WWWW[[#This Row],['# Functional hand washing stations during reporting period]]*100)</f>
        <v>0</v>
      </c>
      <c r="DI97" s="578" t="str">
        <f>IF(OR(WWWW[[#This Row],['#_students at TLS_CFS]]="",WWWW[[#This Row],['#_students at TLS_CFS]]=0),"No","Yes")</f>
        <v>No</v>
      </c>
      <c r="DJ97" s="231" t="str">
        <f>VLOOKUP(WWWW[[#This Row],[Site Name]],SiteDB6[[Site Name]:[CCCM Management]],6,FALSE)</f>
        <v>Yes</v>
      </c>
      <c r="DK97" s="231" t="str">
        <f>VLOOKUP(WWWW[[#This Row],[Site Name]],SiteDB6[[Site Name]:[CCCM Focal Agency]],7,FALSE)</f>
        <v>KMSS-BMO</v>
      </c>
      <c r="DL97" s="231" t="str">
        <f>VLOOKUP(WWWW[[#This Row],[Site Name]],SiteDB6[[Site Name]:[Location Type 1]],9,FALSE)</f>
        <v>Camp</v>
      </c>
      <c r="DM97" s="231" t="str">
        <f>VLOOKUP(WWWW[[#This Row],[Site Name]],SiteDB6[[Site Name]:[Type of Accommodation]],10,FALSE)</f>
        <v>Camp</v>
      </c>
      <c r="DN97" s="231" t="str">
        <f>VLOOKUP(WWWW[[#This Row],[Site Name]],SiteDB6[[Site Name]:[Ethnic or GCA/NGCA]],11,FALSE)</f>
        <v>NGCA</v>
      </c>
      <c r="DO97" s="231">
        <f>VLOOKUP(WWWW[[#This Row],[Site Name]],SiteDB6[[Site Name]:[Lat]],12,FALSE)</f>
        <v>24.2744</v>
      </c>
      <c r="DP97" s="231">
        <f>VLOOKUP(WWWW[[#This Row],[Site Name]],SiteDB6[[Site Name]:[Long]],13,FALSE)</f>
        <v>97.752667000000002</v>
      </c>
      <c r="DQ97" s="231" t="str">
        <f>VLOOKUP(WWWW[[#This Row],[Site Name]],SiteDB6[[Site Name]:[Pcode]],3,FALSE)</f>
        <v>MMR001CMP126</v>
      </c>
      <c r="DR97" s="207" t="str">
        <f t="shared" si="3"/>
        <v>Covered</v>
      </c>
      <c r="DS97" s="207"/>
      <c r="DT97" s="20"/>
      <c r="DU97" s="20"/>
      <c r="DV97" s="20"/>
      <c r="DW97" s="20"/>
      <c r="DX97" s="20"/>
      <c r="DY97" s="20"/>
      <c r="DZ97" s="20"/>
      <c r="EA97" s="20"/>
      <c r="EB97" s="20"/>
      <c r="EC97" s="20"/>
      <c r="ED97" s="20"/>
      <c r="EE97" s="20"/>
      <c r="EF97" s="20"/>
      <c r="EG97" s="20"/>
      <c r="EH97" s="20"/>
    </row>
    <row r="98" spans="1:138" ht="15.75" customHeight="1">
      <c r="A98" s="238" t="s">
        <v>2518</v>
      </c>
      <c r="B98" s="574" t="s">
        <v>284</v>
      </c>
      <c r="C98" s="574" t="s">
        <v>284</v>
      </c>
      <c r="D98" s="574" t="s">
        <v>2955</v>
      </c>
      <c r="E98" s="574" t="s">
        <v>39</v>
      </c>
      <c r="F98" s="574" t="s">
        <v>213</v>
      </c>
      <c r="G98" s="574" t="str">
        <f>VLOOKUP(WWWW[[#This Row],[Site Name]],SiteDB6[[Site Name]:[Location Type]],8,FALSE)</f>
        <v>Camp</v>
      </c>
      <c r="H98" s="574" t="s">
        <v>294</v>
      </c>
      <c r="I98" s="583">
        <v>41</v>
      </c>
      <c r="J98" s="583">
        <v>253</v>
      </c>
      <c r="K98" s="553" t="s">
        <v>2956</v>
      </c>
      <c r="L98" s="77" t="s">
        <v>2957</v>
      </c>
      <c r="M98" s="583"/>
      <c r="N98" s="583">
        <v>0</v>
      </c>
      <c r="O98" s="583">
        <v>0</v>
      </c>
      <c r="P98" s="583">
        <v>0</v>
      </c>
      <c r="Q98" s="76" t="s">
        <v>43</v>
      </c>
      <c r="R98" s="310">
        <v>4</v>
      </c>
      <c r="S98" s="310">
        <v>6</v>
      </c>
      <c r="T98" s="310">
        <v>2</v>
      </c>
      <c r="U98" s="310">
        <v>0</v>
      </c>
      <c r="V98" s="310"/>
      <c r="W98" s="310">
        <v>0</v>
      </c>
      <c r="X98" s="310">
        <v>0</v>
      </c>
      <c r="Y98" s="310"/>
      <c r="Z98" s="310"/>
      <c r="AA98" s="310"/>
      <c r="AB98" s="310"/>
      <c r="AC98" s="310"/>
      <c r="AD98" s="310"/>
      <c r="AE98" s="310"/>
      <c r="AF98" s="310"/>
      <c r="AG98" s="310"/>
      <c r="AH98" s="310"/>
      <c r="AI98" s="310">
        <v>1</v>
      </c>
      <c r="AJ98" s="310">
        <v>1</v>
      </c>
      <c r="AK98" s="310">
        <v>4</v>
      </c>
      <c r="AL98" s="310">
        <v>0</v>
      </c>
      <c r="AM98" s="310"/>
      <c r="AN98" s="310"/>
      <c r="AO98" s="207"/>
      <c r="AP98" s="310">
        <v>16</v>
      </c>
      <c r="AQ98" s="310"/>
      <c r="AR98" s="76"/>
      <c r="AS98" s="310"/>
      <c r="AT98" s="310"/>
      <c r="AU98" s="310">
        <v>15</v>
      </c>
      <c r="AV98" s="310"/>
      <c r="AW98" s="310"/>
      <c r="AX98" s="231" t="s">
        <v>43</v>
      </c>
      <c r="AY98" s="231" t="s">
        <v>145</v>
      </c>
      <c r="AZ98" s="310">
        <v>0</v>
      </c>
      <c r="BA98" s="310">
        <v>0</v>
      </c>
      <c r="BB98" s="310"/>
      <c r="BC98" s="207"/>
      <c r="BD98" s="310">
        <v>7</v>
      </c>
      <c r="BE98" s="310">
        <v>0</v>
      </c>
      <c r="BF98" s="310"/>
      <c r="BG98" s="310">
        <v>1</v>
      </c>
      <c r="BH98" s="310"/>
      <c r="BI98" s="310">
        <v>0</v>
      </c>
      <c r="BJ98" s="310">
        <v>1</v>
      </c>
      <c r="BK98" s="310">
        <v>13</v>
      </c>
      <c r="BL98" s="310">
        <v>52</v>
      </c>
      <c r="BM98" s="207"/>
      <c r="BN98" s="79"/>
      <c r="BO98" s="81"/>
      <c r="BP98" s="207"/>
      <c r="BQ98" s="78">
        <f>IFERROR(WWWW[[#This Row],['#_Water sources treated]]/WWWW[[#This Row],['#_Water sources tested for contamination]],"no test")</f>
        <v>1</v>
      </c>
      <c r="BR98" s="81">
        <f>IFERROR(WWWW[[#This Row],['#_Household received remediation action due to contamination]]/WWWW[[#This Row],['#_Household water samples tested for contamination]],"no test")</f>
        <v>0</v>
      </c>
      <c r="BS98" s="80" t="str">
        <f>IF(AND(WWWW[[#This Row],[% of water sources treated]]="no test",WWWW[[#This Row],[% Household received corrective actions]]="no test"),"No Test","Tested")</f>
        <v>Tested</v>
      </c>
      <c r="BT98" s="80">
        <f>WWWW[[#This Row],['#_Constructed/existing protected hand dug well]]-WWWW[[#This Row],['#_Non-functional protected hand dug well]]</f>
        <v>2</v>
      </c>
      <c r="BU98" s="80">
        <f>(WWWW[[#This Row],['#_Constructed/Existing tube wells/boreholes/handpumps_WASH_agency]]+WWWW[[#This Row],['#_Non-Cluster partner water tube-wells/boreholes/handpumps]])-WWWW[[#This Row],['#_Non-functional tube wells/boreholes/handpumps]]</f>
        <v>0</v>
      </c>
      <c r="BV98" s="80">
        <f>WWWW[[#This Row],['#_Constructed/Existingwater storage tank with gravity fed reticulation system]]-WWWW[[#This Row],['#_Non-functional storage tank gravity fed reticulation system]]</f>
        <v>0</v>
      </c>
      <c r="BW98" s="80">
        <f>WWWW[[#This Row],['#_Water boating or water trucking]]</f>
        <v>0</v>
      </c>
      <c r="BX98" s="80">
        <f>WWWW[[#This Row],['#_Constructed/Existing water distribution system from river or natural spring]]</f>
        <v>0</v>
      </c>
      <c r="BY9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8" s="81">
        <f>IF(WWWW[[#This Row],[Location Type 1]]="Village",WWWW[[#This Row],[Access to safe drinking water for Village]],WWWW[[#This Row],[Access to safe drinking water for Camp]])</f>
        <v>1</v>
      </c>
      <c r="CB98" s="79">
        <f>WWWW[[#This Row],[%Equitable and continuous access to sufficient quantity of safe drinking water]]*WWWW[[#This Row],[Total PoP ]]</f>
        <v>253</v>
      </c>
      <c r="CC98" s="81">
        <f>IF((WWWW[[#This Row],['#_Constructed/Existing protected/fenced ponds]]*250)/WWWW[[#This Row],[Total PoP ]]&gt;1,1,(WWWW[[#This Row],['#_Constructed/Existing protected/fenced ponds]]*250)/WWWW[[#This Row],[Total PoP ]])</f>
        <v>0</v>
      </c>
      <c r="CD98" s="79">
        <f>WWWW[[#This Row],[% Access to unimproved water points]]*WWWW[[#This Row],[Total PoP ]]</f>
        <v>0</v>
      </c>
      <c r="CE9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G98" s="79">
        <f>WWWW[[#This Row],[HRP1]]/500</f>
        <v>0.50600000000000001</v>
      </c>
      <c r="CH98" s="78">
        <f>1-WWWW[[#This Row],[% Equitable and continuous access to sufficient quantity of domestic water]]</f>
        <v>0</v>
      </c>
      <c r="CI98" s="79">
        <f>WWWW[[#This Row],[%equitable and continuous access to sufficient quantity of safe drinking and domestic water''s GAP]]*WWWW[[#This Row],[Total PoP ]]</f>
        <v>0</v>
      </c>
      <c r="CJ98" s="80">
        <f>IF(WWWW[[#This Row],[Total required water points]]-WWWW[[#This Row],['#Water points coverage]]&lt;0,0,WWWW[[#This Row],[Total required water points]]-WWWW[[#This Row],['#Water points coverage]])</f>
        <v>0.49399999999999999</v>
      </c>
      <c r="CK98" s="80">
        <f>ROUND(IF(WWWW[[#This Row],[Total PoP ]]&lt;500,1,WWWW[[#This Row],[Total PoP ]]/500),0)</f>
        <v>1</v>
      </c>
      <c r="CL98" s="80">
        <f>(WWWW[[#This Row],['#_Constructed latrines_by_WASHAgencies]]+WWWW[[#This Row],['#_Non Cluster partner latrines]])-WWWW[[#This Row],['#_Non-functional latrines]]</f>
        <v>16</v>
      </c>
      <c r="CM9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9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253</v>
      </c>
      <c r="CO9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253</v>
      </c>
      <c r="CP98" s="80">
        <f>IF(WWWW[[#This Row],[Location Type 1]]="Village","NA",IF(WWWW[[#This Row],['#_Constructed/Existing latrines in TLS]]*50&gt;WWWW[[#This Row],['#_students at TLS_CFS]],WWWW[[#This Row],['#_students at TLS_CFS]],(WWWW[[#This Row],['#_Constructed/Existing latrines in TLS]]*50)))</f>
        <v>0</v>
      </c>
      <c r="CQ98" s="80">
        <f>ROUND(IF(WWWW[[#This Row],[Location Type 1]]="camp",WWWW[[#This Row],[Total PoP ]]/20,IF(WWWW[[#This Row],[Location Type 1]]="Temporary Location",WWWW[[#This Row],[Total PoP ]]/50,(WWWW[[#This Row],[Total PoP ]]/6))),0)</f>
        <v>13</v>
      </c>
      <c r="CR98" s="79">
        <f>IF(WWWW[[#This Row],[Total required Latrines]]-(WWWW[[#This Row],['#_Constructed latrines_by_WASHAgencies]]+WWWW[[#This Row],['#_Non Cluster partner latrines]])&lt;0,0,WWWW[[#This Row],[Total required Latrines]]-(WWWW[[#This Row],['#_Constructed latrines_by_WASHAgencies]]+WWWW[[#This Row],['#_Non Cluster partner latrines]]))</f>
        <v>0</v>
      </c>
      <c r="CS98" s="78">
        <f>1-WWWW[[#This Row],[% people access to functioning Latrine]]</f>
        <v>0</v>
      </c>
      <c r="CT98" s="82">
        <f>IF(OR(WWWW[[#This Row],['#_Non-functional latrines]]="",WWWW[[#This Row],['#_Non-functional latrines]]=0),0,WWWW[[#This Row],['#_Non-functional latrines]]/(WWWW[[#This Row],['#_Constructed latrines_by_WASHAgencies]]+WWWW[[#This Row],['#_Non Cluster partner latrines]]))</f>
        <v>0</v>
      </c>
      <c r="CU98" s="79">
        <f>IF(500*(WWWW[[#This Row],['#_male hygiene promoters]]+WWWW[[#This Row],['#_female hygiene promoters]])&gt;WWWW[[#This Row],[Total PoP ]],WWWW[[#This Row],[Total PoP ]],500*(WWWW[[#This Row],['#_male hygiene promoters]]+WWWW[[#This Row],['#_female hygiene promoters]]))</f>
        <v>253</v>
      </c>
      <c r="CV9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v>
      </c>
      <c r="CW9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253</v>
      </c>
      <c r="CX98" s="80">
        <f>IF(WWWW[[#This Row],['# People with access to soap]]&gt;WWWW[[#This Row],['# People with access to Sanity Pads]],WWWW[[#This Row],['# People with access to soap]],WWWW[[#This Row],['# People with access to Sanity Pads]])</f>
        <v>253</v>
      </c>
      <c r="CY98" s="80">
        <f>IF(WWWW[[#This Row],['# people reached by regular dedicated hygiene promotion_5]]&gt;WWWW[[#This Row],['# People received regular supply of hygiene items_6]],WWWW[[#This Row],['# people reached by regular dedicated hygiene promotion_5]],WWWW[[#This Row],['# People received regular supply of hygiene items_6]])</f>
        <v>253</v>
      </c>
      <c r="CZ98" s="78">
        <f>IF(WWWW[[#This Row],[HRP3]]/WWWW[[#This Row],[Total PoP ]]&gt;100%,100%,WWWW[[#This Row],[HRP3]]/WWWW[[#This Row],[Total PoP ]])</f>
        <v>1</v>
      </c>
      <c r="DA98" s="82">
        <f>1-WWWW[[#This Row],[Hygiene Coverage%]]</f>
        <v>0</v>
      </c>
      <c r="DB98" s="81">
        <f>WWWW[[#This Row],['# people reached by regular dedicated hygiene promotion_5]]/WWWW[[#This Row],[Total PoP ]]</f>
        <v>1</v>
      </c>
      <c r="DC98" s="81">
        <f>IF(WWWW[[#This Row],['#_households that received standard amount of soap for this quarter]]/WWWW[[#This Row],[Total HH]]&gt;1,1,WWWW[[#This Row],['#_households that received standard amount of soap for this quarter]]/WWWW[[#This Row],[Total HH]])</f>
        <v>0.31707317073170732</v>
      </c>
      <c r="DD98" s="81">
        <f>IF(WWWW[[#This Row],['#_households that received standard amount of sanitary pads for this quarter]]/WWWW[[#This Row],[Total HH]]&gt;1,1,WWWW[[#This Row],['#_households that received standard amount of sanitary pads for this quarter]]/WWWW[[#This Row],[Total HH]])</f>
        <v>1</v>
      </c>
      <c r="DE98" s="80">
        <f>WWWW[[#This Row],['#_Constructed/Existing hand washing stations]]-WWWW[[#This Row],['#_Non-Functional_hand_washing_stations]]</f>
        <v>7</v>
      </c>
      <c r="DF98" s="757">
        <f>IF(WWWW[[#This Row],['# Functional hand washing stations during reporting period]]*20&gt;WWWW[[#This Row],[Total HH]],WWWW[[#This Row],[Total HH]],WWWW[[#This Row],['# Functional hand washing stations during reporting period]]*20)</f>
        <v>41</v>
      </c>
      <c r="DG98" s="79">
        <f>IF(WWWW[[#This Row],[Is sufficient soap available for TLS? (Yes/No)]]="yes",WWWW[[#This Row],['#_Constructed/Existing hand washing stations at TLS]],0)</f>
        <v>0</v>
      </c>
      <c r="DH98" s="578">
        <f>IF(WWWW[[#This Row],['# Functional hand washing stations during reporting period]]*100&gt;WWWW[[#This Row],[Total PoP ]],WWWW[[#This Row],[Total PoP ]],WWWW[[#This Row],['# Functional hand washing stations during reporting period]]*100)</f>
        <v>253</v>
      </c>
      <c r="DI98" s="578" t="str">
        <f>IF(OR(WWWW[[#This Row],['#_students at TLS_CFS]]="",WWWW[[#This Row],['#_students at TLS_CFS]]=0),"No","Yes")</f>
        <v>No</v>
      </c>
      <c r="DJ98" s="231" t="str">
        <f>VLOOKUP(WWWW[[#This Row],[Site Name]],SiteDB6[[Site Name]:[CCCM Management]],6,FALSE)</f>
        <v>Yes</v>
      </c>
      <c r="DK98" s="231" t="str">
        <f>VLOOKUP(WWWW[[#This Row],[Site Name]],SiteDB6[[Site Name]:[CCCM Focal Agency]],7,FALSE)</f>
        <v>KBC</v>
      </c>
      <c r="DL98" s="231" t="str">
        <f>VLOOKUP(WWWW[[#This Row],[Site Name]],SiteDB6[[Site Name]:[Location Type 1]],9,FALSE)</f>
        <v>Camp</v>
      </c>
      <c r="DM98" s="231" t="str">
        <f>VLOOKUP(WWWW[[#This Row],[Site Name]],SiteDB6[[Site Name]:[Type of Accommodation]],10,FALSE)</f>
        <v>Camp</v>
      </c>
      <c r="DN98" s="231" t="str">
        <f>VLOOKUP(WWWW[[#This Row],[Site Name]],SiteDB6[[Site Name]:[Ethnic or GCA/NGCA]],11,FALSE)</f>
        <v>GCA</v>
      </c>
      <c r="DO98" s="231">
        <f>VLOOKUP(WWWW[[#This Row],[Site Name]],SiteDB6[[Site Name]:[Lat]],12,FALSE)</f>
        <v>24.207332999999998</v>
      </c>
      <c r="DP98" s="231">
        <f>VLOOKUP(WWWW[[#This Row],[Site Name]],SiteDB6[[Site Name]:[Long]],13,FALSE)</f>
        <v>97.710864000000001</v>
      </c>
      <c r="DQ98" s="231" t="str">
        <f>VLOOKUP(WWWW[[#This Row],[Site Name]],SiteDB6[[Site Name]:[Pcode]],3,FALSE)</f>
        <v>MMR001CMP073</v>
      </c>
      <c r="DR98" s="207" t="str">
        <f t="shared" si="3"/>
        <v>Covered</v>
      </c>
      <c r="DS98" s="207"/>
      <c r="DT98" s="20"/>
      <c r="DU98" s="20"/>
      <c r="DV98" s="20"/>
      <c r="DW98" s="20"/>
      <c r="DX98" s="20"/>
      <c r="DY98" s="20"/>
      <c r="DZ98" s="20"/>
      <c r="EA98" s="20"/>
      <c r="EB98" s="20"/>
      <c r="EC98" s="20"/>
      <c r="ED98" s="20"/>
      <c r="EE98" s="20"/>
      <c r="EF98" s="20"/>
      <c r="EG98" s="20"/>
      <c r="EH98" s="20"/>
    </row>
    <row r="99" spans="1:138" ht="15.75" customHeight="1">
      <c r="A99" s="238" t="s">
        <v>2518</v>
      </c>
      <c r="B99" s="238" t="s">
        <v>149</v>
      </c>
      <c r="C99" s="574" t="s">
        <v>149</v>
      </c>
      <c r="D99" s="574" t="s">
        <v>158</v>
      </c>
      <c r="E99" s="574" t="s">
        <v>39</v>
      </c>
      <c r="F99" s="574" t="s">
        <v>160</v>
      </c>
      <c r="G99" s="574" t="str">
        <f>VLOOKUP(WWWW[[#This Row],[Site Name]],SiteDB6[[Site Name]:[Location Type]],8,FALSE)</f>
        <v>Camp</v>
      </c>
      <c r="H99" s="574" t="s">
        <v>2193</v>
      </c>
      <c r="I99" s="583">
        <v>16</v>
      </c>
      <c r="J99" s="583">
        <v>78</v>
      </c>
      <c r="K99" s="553">
        <v>43556</v>
      </c>
      <c r="L99" s="77">
        <v>43677</v>
      </c>
      <c r="M99" s="583"/>
      <c r="N99" s="583"/>
      <c r="O99" s="583"/>
      <c r="P99" s="583"/>
      <c r="Q99" s="76" t="s">
        <v>43</v>
      </c>
      <c r="R99" s="310"/>
      <c r="S99" s="310"/>
      <c r="T99" s="583">
        <v>0</v>
      </c>
      <c r="U99" s="310"/>
      <c r="V99" s="310"/>
      <c r="W99" s="583">
        <v>1</v>
      </c>
      <c r="X99" s="310"/>
      <c r="Y99" s="310"/>
      <c r="Z99" s="310"/>
      <c r="AA99" s="310"/>
      <c r="AB99" s="310"/>
      <c r="AC99" s="310"/>
      <c r="AD99" s="310"/>
      <c r="AE99" s="310"/>
      <c r="AF99" s="310"/>
      <c r="AG99" s="310"/>
      <c r="AH99" s="583">
        <v>2</v>
      </c>
      <c r="AI99" s="310"/>
      <c r="AJ99" s="310"/>
      <c r="AK99" s="310"/>
      <c r="AL99" s="310"/>
      <c r="AM99" s="310"/>
      <c r="AN99" s="310"/>
      <c r="AO99" s="207"/>
      <c r="AP99" s="583">
        <v>2</v>
      </c>
      <c r="AQ99" s="310"/>
      <c r="AR99" s="76"/>
      <c r="AS99" s="310"/>
      <c r="AT99" s="310"/>
      <c r="AU99" s="310"/>
      <c r="AV99" s="310"/>
      <c r="AW99" s="583">
        <v>2</v>
      </c>
      <c r="AX99" s="231" t="s">
        <v>43</v>
      </c>
      <c r="AY99" s="231" t="s">
        <v>145</v>
      </c>
      <c r="AZ99" s="310"/>
      <c r="BA99" s="310"/>
      <c r="BB99" s="310"/>
      <c r="BC99" s="207"/>
      <c r="BD99" s="310"/>
      <c r="BE99" s="310"/>
      <c r="BF99" s="310"/>
      <c r="BG99" s="310">
        <v>2</v>
      </c>
      <c r="BH99" s="310"/>
      <c r="BI99" s="310"/>
      <c r="BJ99" s="310">
        <v>1</v>
      </c>
      <c r="BK99" s="310"/>
      <c r="BL99" s="310"/>
      <c r="BM99" s="207"/>
      <c r="BN99" s="79"/>
      <c r="BO99" s="81"/>
      <c r="BP99" s="207"/>
      <c r="BQ99" s="78" t="str">
        <f>IFERROR(WWWW[[#This Row],['#_Water sources treated]]/WWWW[[#This Row],['#_Water sources tested for contamination]],"no test")</f>
        <v>no test</v>
      </c>
      <c r="BR99" s="81" t="str">
        <f>IFERROR(WWWW[[#This Row],['#_Household received remediation action due to contamination]]/WWWW[[#This Row],['#_Household water samples tested for contamination]],"no test")</f>
        <v>no test</v>
      </c>
      <c r="BS99" s="80" t="str">
        <f>IF(AND(WWWW[[#This Row],[% of water sources treated]]="no test",WWWW[[#This Row],[% Household received corrective actions]]="no test"),"No Test","Tested")</f>
        <v>No Test</v>
      </c>
      <c r="BT99" s="80">
        <f>WWWW[[#This Row],['#_Constructed/existing protected hand dug well]]-WWWW[[#This Row],['#_Non-functional protected hand dug well]]</f>
        <v>0</v>
      </c>
      <c r="BU99" s="80">
        <f>(WWWW[[#This Row],['#_Constructed/Existing tube wells/boreholes/handpumps_WASH_agency]]+WWWW[[#This Row],['#_Non-Cluster partner water tube-wells/boreholes/handpumps]])-WWWW[[#This Row],['#_Non-functional tube wells/boreholes/handpumps]]</f>
        <v>1</v>
      </c>
      <c r="BV99" s="80">
        <f>WWWW[[#This Row],['#_Constructed/Existingwater storage tank with gravity fed reticulation system]]-WWWW[[#This Row],['#_Non-functional storage tank gravity fed reticulation system]]</f>
        <v>0</v>
      </c>
      <c r="BW99" s="80">
        <f>WWWW[[#This Row],['#_Water boating or water trucking]]</f>
        <v>0</v>
      </c>
      <c r="BX99" s="80">
        <f>WWWW[[#This Row],['#_Constructed/Existing water distribution system from river or natural spring]]</f>
        <v>0</v>
      </c>
      <c r="BY9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9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99" s="81">
        <f>IF(WWWW[[#This Row],[Location Type 1]]="Village",WWWW[[#This Row],[Access to safe drinking water for Village]],WWWW[[#This Row],[Access to safe drinking water for Camp]])</f>
        <v>1</v>
      </c>
      <c r="CB99" s="79">
        <f>WWWW[[#This Row],[%Equitable and continuous access to sufficient quantity of safe drinking water]]*WWWW[[#This Row],[Total PoP ]]</f>
        <v>78</v>
      </c>
      <c r="CC99" s="81">
        <f>IF((WWWW[[#This Row],['#_Constructed/Existing protected/fenced ponds]]*250)/WWWW[[#This Row],[Total PoP ]]&gt;1,1,(WWWW[[#This Row],['#_Constructed/Existing protected/fenced ponds]]*250)/WWWW[[#This Row],[Total PoP ]])</f>
        <v>0</v>
      </c>
      <c r="CD99" s="79">
        <f>WWWW[[#This Row],[% Access to unimproved water points]]*WWWW[[#This Row],[Total PoP ]]</f>
        <v>0</v>
      </c>
      <c r="CE9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9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G99" s="79">
        <f>WWWW[[#This Row],[HRP1]]/500</f>
        <v>0.156</v>
      </c>
      <c r="CH99" s="78">
        <f>1-WWWW[[#This Row],[% Equitable and continuous access to sufficient quantity of domestic water]]</f>
        <v>0</v>
      </c>
      <c r="CI99" s="79">
        <f>WWWW[[#This Row],[%equitable and continuous access to sufficient quantity of safe drinking and domestic water''s GAP]]*WWWW[[#This Row],[Total PoP ]]</f>
        <v>0</v>
      </c>
      <c r="CJ99" s="80">
        <f>IF(WWWW[[#This Row],[Total required water points]]-WWWW[[#This Row],['#Water points coverage]]&lt;0,0,WWWW[[#This Row],[Total required water points]]-WWWW[[#This Row],['#Water points coverage]])</f>
        <v>0.84399999999999997</v>
      </c>
      <c r="CK99" s="80">
        <f>ROUND(IF(WWWW[[#This Row],[Total PoP ]]&lt;500,1,WWWW[[#This Row],[Total PoP ]]/500),0)</f>
        <v>1</v>
      </c>
      <c r="CL99" s="80">
        <f>(WWWW[[#This Row],['#_Constructed latrines_by_WASHAgencies]]+WWWW[[#This Row],['#_Non Cluster partner latrines]])-WWWW[[#This Row],['#_Non-functional latrines]]</f>
        <v>2</v>
      </c>
      <c r="CM9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0.51282051282051277</v>
      </c>
      <c r="CN9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9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99" s="80">
        <f>IF(WWWW[[#This Row],[Location Type 1]]="Village","NA",IF(WWWW[[#This Row],['#_Constructed/Existing latrines in TLS]]*50&gt;WWWW[[#This Row],['#_students at TLS_CFS]],WWWW[[#This Row],['#_students at TLS_CFS]],(WWWW[[#This Row],['#_Constructed/Existing latrines in TLS]]*50)))</f>
        <v>0</v>
      </c>
      <c r="CQ99" s="80">
        <f>ROUND(IF(WWWW[[#This Row],[Location Type 1]]="camp",WWWW[[#This Row],[Total PoP ]]/20,IF(WWWW[[#This Row],[Location Type 1]]="Temporary Location",WWWW[[#This Row],[Total PoP ]]/50,(WWWW[[#This Row],[Total PoP ]]/6))),0)</f>
        <v>4</v>
      </c>
      <c r="CR99" s="79">
        <f>IF(WWWW[[#This Row],[Total required Latrines]]-(WWWW[[#This Row],['#_Constructed latrines_by_WASHAgencies]]+WWWW[[#This Row],['#_Non Cluster partner latrines]])&lt;0,0,WWWW[[#This Row],[Total required Latrines]]-(WWWW[[#This Row],['#_Constructed latrines_by_WASHAgencies]]+WWWW[[#This Row],['#_Non Cluster partner latrines]]))</f>
        <v>2</v>
      </c>
      <c r="CS99" s="78">
        <f>1-WWWW[[#This Row],[% people access to functioning Latrine]]</f>
        <v>0.48717948717948723</v>
      </c>
      <c r="CT99" s="82">
        <f>IF(OR(WWWW[[#This Row],['#_Non-functional latrines]]="",WWWW[[#This Row],['#_Non-functional latrines]]=0),0,WWWW[[#This Row],['#_Non-functional latrines]]/(WWWW[[#This Row],['#_Constructed latrines_by_WASHAgencies]]+WWWW[[#This Row],['#_Non Cluster partner latrines]]))</f>
        <v>0</v>
      </c>
      <c r="CU99" s="79">
        <f>IF(500*(WWWW[[#This Row],['#_male hygiene promoters]]+WWWW[[#This Row],['#_female hygiene promoters]])&gt;WWWW[[#This Row],[Total PoP ]],WWWW[[#This Row],[Total PoP ]],500*(WWWW[[#This Row],['#_male hygiene promoters]]+WWWW[[#This Row],['#_female hygiene promoters]]))</f>
        <v>78</v>
      </c>
      <c r="CV9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9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99" s="80">
        <f>IF(WWWW[[#This Row],['# People with access to soap]]&gt;WWWW[[#This Row],['# People with access to Sanity Pads]],WWWW[[#This Row],['# People with access to soap]],WWWW[[#This Row],['# People with access to Sanity Pads]])</f>
        <v>0</v>
      </c>
      <c r="CY99" s="80">
        <f>IF(WWWW[[#This Row],['# people reached by regular dedicated hygiene promotion_5]]&gt;WWWW[[#This Row],['# People received regular supply of hygiene items_6]],WWWW[[#This Row],['# people reached by regular dedicated hygiene promotion_5]],WWWW[[#This Row],['# People received regular supply of hygiene items_6]])</f>
        <v>78</v>
      </c>
      <c r="CZ99" s="78">
        <f>IF(WWWW[[#This Row],[HRP3]]/WWWW[[#This Row],[Total PoP ]]&gt;100%,100%,WWWW[[#This Row],[HRP3]]/WWWW[[#This Row],[Total PoP ]])</f>
        <v>1</v>
      </c>
      <c r="DA99" s="82">
        <f>1-WWWW[[#This Row],[Hygiene Coverage%]]</f>
        <v>0</v>
      </c>
      <c r="DB99" s="81">
        <f>WWWW[[#This Row],['# people reached by regular dedicated hygiene promotion_5]]/WWWW[[#This Row],[Total PoP ]]</f>
        <v>1</v>
      </c>
      <c r="DC99" s="81">
        <f>IF(WWWW[[#This Row],['#_households that received standard amount of soap for this quarter]]/WWWW[[#This Row],[Total HH]]&gt;1,1,WWWW[[#This Row],['#_households that received standard amount of soap for this quarter]]/WWWW[[#This Row],[Total HH]])</f>
        <v>0</v>
      </c>
      <c r="DD99" s="81">
        <f>IF(WWWW[[#This Row],['#_households that received standard amount of sanitary pads for this quarter]]/WWWW[[#This Row],[Total HH]]&gt;1,1,WWWW[[#This Row],['#_households that received standard amount of sanitary pads for this quarter]]/WWWW[[#This Row],[Total HH]])</f>
        <v>0</v>
      </c>
      <c r="DE99" s="80">
        <f>WWWW[[#This Row],['#_Constructed/Existing hand washing stations]]-WWWW[[#This Row],['#_Non-Functional_hand_washing_stations]]</f>
        <v>0</v>
      </c>
      <c r="DF99" s="757">
        <f>IF(WWWW[[#This Row],['# Functional hand washing stations during reporting period]]*20&gt;WWWW[[#This Row],[Total HH]],WWWW[[#This Row],[Total HH]],WWWW[[#This Row],['# Functional hand washing stations during reporting period]]*20)</f>
        <v>0</v>
      </c>
      <c r="DG99" s="79">
        <f>IF(WWWW[[#This Row],[Is sufficient soap available for TLS? (Yes/No)]]="yes",WWWW[[#This Row],['#_Constructed/Existing hand washing stations at TLS]],0)</f>
        <v>0</v>
      </c>
      <c r="DH99" s="578">
        <f>IF(WWWW[[#This Row],['# Functional hand washing stations during reporting period]]*100&gt;WWWW[[#This Row],[Total PoP ]],WWWW[[#This Row],[Total PoP ]],WWWW[[#This Row],['# Functional hand washing stations during reporting period]]*100)</f>
        <v>0</v>
      </c>
      <c r="DI99" s="578" t="str">
        <f>IF(OR(WWWW[[#This Row],['#_students at TLS_CFS]]="",WWWW[[#This Row],['#_students at TLS_CFS]]=0),"No","Yes")</f>
        <v>No</v>
      </c>
      <c r="DJ99" s="231" t="str">
        <f>VLOOKUP(WWWW[[#This Row],[Site Name]],SiteDB6[[Site Name]:[CCCM Management]],6,FALSE)</f>
        <v>Yes</v>
      </c>
      <c r="DK99" s="231" t="str">
        <f>VLOOKUP(WWWW[[#This Row],[Site Name]],SiteDB6[[Site Name]:[CCCM Focal Agency]],7,FALSE)</f>
        <v>KBC</v>
      </c>
      <c r="DL99" s="231" t="str">
        <f>VLOOKUP(WWWW[[#This Row],[Site Name]],SiteDB6[[Site Name]:[Location Type 1]],9,FALSE)</f>
        <v>Camp</v>
      </c>
      <c r="DM99" s="231" t="str">
        <f>VLOOKUP(WWWW[[#This Row],[Site Name]],SiteDB6[[Site Name]:[Type of Accommodation]],10,FALSE)</f>
        <v>Camp</v>
      </c>
      <c r="DN99" s="231" t="str">
        <f>VLOOKUP(WWWW[[#This Row],[Site Name]],SiteDB6[[Site Name]:[Ethnic or GCA/NGCA]],11,FALSE)</f>
        <v>GCA</v>
      </c>
      <c r="DO99" s="231">
        <f>VLOOKUP(WWWW[[#This Row],[Site Name]],SiteDB6[[Site Name]:[Lat]],12,FALSE)</f>
        <v>25.296579999999999</v>
      </c>
      <c r="DP99" s="231">
        <f>VLOOKUP(WWWW[[#This Row],[Site Name]],SiteDB6[[Site Name]:[Long]],13,FALSE)</f>
        <v>96.942279999999997</v>
      </c>
      <c r="DQ99" s="231" t="str">
        <f>VLOOKUP(WWWW[[#This Row],[Site Name]],SiteDB6[[Site Name]:[Pcode]],3,FALSE)</f>
        <v>MMR001CMP077</v>
      </c>
      <c r="DR99" s="207" t="str">
        <f t="shared" si="3"/>
        <v>Covered</v>
      </c>
      <c r="DS99" s="207"/>
      <c r="DT99" s="20"/>
      <c r="DU99" s="20"/>
      <c r="DV99" s="20"/>
      <c r="DW99" s="20"/>
      <c r="DX99" s="20"/>
      <c r="DY99" s="20"/>
      <c r="DZ99" s="20"/>
      <c r="EA99" s="20"/>
      <c r="EB99" s="20"/>
      <c r="EC99" s="20"/>
      <c r="ED99" s="20"/>
      <c r="EE99" s="20"/>
      <c r="EF99" s="20"/>
      <c r="EG99" s="20"/>
      <c r="EH99" s="20"/>
    </row>
    <row r="100" spans="1:138" ht="15.75" customHeight="1">
      <c r="A100" s="238" t="s">
        <v>2518</v>
      </c>
      <c r="B100" s="238" t="s">
        <v>149</v>
      </c>
      <c r="C100" s="574" t="s">
        <v>149</v>
      </c>
      <c r="D100" s="584" t="s">
        <v>152</v>
      </c>
      <c r="E100" s="574" t="s">
        <v>39</v>
      </c>
      <c r="F100" s="574" t="s">
        <v>150</v>
      </c>
      <c r="G100" s="574" t="str">
        <f>VLOOKUP(WWWW[[#This Row],[Site Name]],SiteDB6[[Site Name]:[Location Type]],8,FALSE)</f>
        <v>Camp</v>
      </c>
      <c r="H100" s="574" t="s">
        <v>184</v>
      </c>
      <c r="I100" s="583">
        <v>28</v>
      </c>
      <c r="J100" s="583">
        <v>159</v>
      </c>
      <c r="K100" s="553">
        <v>43556</v>
      </c>
      <c r="L100" s="77">
        <v>43677</v>
      </c>
      <c r="M100" s="583"/>
      <c r="N100" s="583"/>
      <c r="O100" s="583"/>
      <c r="P100" s="583"/>
      <c r="Q100" s="574" t="s">
        <v>43</v>
      </c>
      <c r="R100" s="310"/>
      <c r="S100" s="310"/>
      <c r="T100" s="583">
        <v>2</v>
      </c>
      <c r="U100" s="310"/>
      <c r="V100" s="310"/>
      <c r="W100" s="583">
        <v>1</v>
      </c>
      <c r="X100" s="310"/>
      <c r="Y100" s="310"/>
      <c r="Z100" s="310"/>
      <c r="AA100" s="310">
        <v>0</v>
      </c>
      <c r="AB100" s="310"/>
      <c r="AC100" s="310"/>
      <c r="AD100" s="310"/>
      <c r="AE100" s="310"/>
      <c r="AF100" s="310"/>
      <c r="AG100" s="310"/>
      <c r="AH100" s="583">
        <v>3</v>
      </c>
      <c r="AI100" s="310"/>
      <c r="AJ100" s="310"/>
      <c r="AK100" s="310"/>
      <c r="AL100" s="310"/>
      <c r="AM100" s="310"/>
      <c r="AN100" s="310"/>
      <c r="AO100" s="207"/>
      <c r="AP100" s="583">
        <v>6</v>
      </c>
      <c r="AQ100" s="310"/>
      <c r="AR100" s="76"/>
      <c r="AS100" s="310"/>
      <c r="AT100" s="310"/>
      <c r="AU100" s="310"/>
      <c r="AV100" s="310"/>
      <c r="AW100" s="583">
        <v>6</v>
      </c>
      <c r="AX100" s="231" t="s">
        <v>43</v>
      </c>
      <c r="AY100" s="231" t="s">
        <v>145</v>
      </c>
      <c r="AZ100" s="310"/>
      <c r="BA100" s="310"/>
      <c r="BB100" s="310"/>
      <c r="BC100" s="207"/>
      <c r="BD100" s="310"/>
      <c r="BE100" s="310"/>
      <c r="BF100" s="310"/>
      <c r="BG100" s="310">
        <v>3</v>
      </c>
      <c r="BH100" s="310"/>
      <c r="BI100" s="310"/>
      <c r="BJ100" s="310">
        <v>1</v>
      </c>
      <c r="BK100" s="310"/>
      <c r="BL100" s="310"/>
      <c r="BM100" s="207"/>
      <c r="BN100" s="79"/>
      <c r="BO100" s="81"/>
      <c r="BP100" s="207"/>
      <c r="BQ100" s="78" t="str">
        <f>IFERROR(WWWW[[#This Row],['#_Water sources treated]]/WWWW[[#This Row],['#_Water sources tested for contamination]],"no test")</f>
        <v>no test</v>
      </c>
      <c r="BR100" s="81" t="str">
        <f>IFERROR(WWWW[[#This Row],['#_Household received remediation action due to contamination]]/WWWW[[#This Row],['#_Household water samples tested for contamination]],"no test")</f>
        <v>no test</v>
      </c>
      <c r="BS100" s="80" t="str">
        <f>IF(AND(WWWW[[#This Row],[% of water sources treated]]="no test",WWWW[[#This Row],[% Household received corrective actions]]="no test"),"No Test","Tested")</f>
        <v>No Test</v>
      </c>
      <c r="BT100" s="80">
        <f>WWWW[[#This Row],['#_Constructed/existing protected hand dug well]]-WWWW[[#This Row],['#_Non-functional protected hand dug well]]</f>
        <v>2</v>
      </c>
      <c r="BU100" s="80">
        <f>(WWWW[[#This Row],['#_Constructed/Existing tube wells/boreholes/handpumps_WASH_agency]]+WWWW[[#This Row],['#_Non-Cluster partner water tube-wells/boreholes/handpumps]])-WWWW[[#This Row],['#_Non-functional tube wells/boreholes/handpumps]]</f>
        <v>1</v>
      </c>
      <c r="BV100" s="80">
        <f>WWWW[[#This Row],['#_Constructed/Existingwater storage tank with gravity fed reticulation system]]-WWWW[[#This Row],['#_Non-functional storage tank gravity fed reticulation system]]</f>
        <v>0</v>
      </c>
      <c r="BW100" s="80">
        <f>WWWW[[#This Row],['#_Water boating or water trucking]]</f>
        <v>0</v>
      </c>
      <c r="BX100" s="80">
        <f>WWWW[[#This Row],['#_Constructed/Existing water distribution system from river or natural spring]]</f>
        <v>0</v>
      </c>
      <c r="BY10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0" s="81">
        <f>IF(WWWW[[#This Row],[Location Type 1]]="Village",WWWW[[#This Row],[Access to safe drinking water for Village]],WWWW[[#This Row],[Access to safe drinking water for Camp]])</f>
        <v>1</v>
      </c>
      <c r="CB100" s="79">
        <f>WWWW[[#This Row],[%Equitable and continuous access to sufficient quantity of safe drinking water]]*WWWW[[#This Row],[Total PoP ]]</f>
        <v>159</v>
      </c>
      <c r="CC100" s="81">
        <f>IF((WWWW[[#This Row],['#_Constructed/Existing protected/fenced ponds]]*250)/WWWW[[#This Row],[Total PoP ]]&gt;1,1,(WWWW[[#This Row],['#_Constructed/Existing protected/fenced ponds]]*250)/WWWW[[#This Row],[Total PoP ]])</f>
        <v>0</v>
      </c>
      <c r="CD100" s="79">
        <f>WWWW[[#This Row],[% Access to unimproved water points]]*WWWW[[#This Row],[Total PoP ]]</f>
        <v>0</v>
      </c>
      <c r="CE10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G100" s="79">
        <f>WWWW[[#This Row],[HRP1]]/500</f>
        <v>0.318</v>
      </c>
      <c r="CH100" s="78">
        <f>1-WWWW[[#This Row],[% Equitable and continuous access to sufficient quantity of domestic water]]</f>
        <v>0</v>
      </c>
      <c r="CI100" s="79">
        <f>WWWW[[#This Row],[%equitable and continuous access to sufficient quantity of safe drinking and domestic water''s GAP]]*WWWW[[#This Row],[Total PoP ]]</f>
        <v>0</v>
      </c>
      <c r="CJ100" s="80">
        <f>IF(WWWW[[#This Row],[Total required water points]]-WWWW[[#This Row],['#Water points coverage]]&lt;0,0,WWWW[[#This Row],[Total required water points]]-WWWW[[#This Row],['#Water points coverage]])</f>
        <v>0.68199999999999994</v>
      </c>
      <c r="CK100" s="80">
        <f>ROUND(IF(WWWW[[#This Row],[Total PoP ]]&lt;500,1,WWWW[[#This Row],[Total PoP ]]/500),0)</f>
        <v>1</v>
      </c>
      <c r="CL100" s="80">
        <f>(WWWW[[#This Row],['#_Constructed latrines_by_WASHAgencies]]+WWWW[[#This Row],['#_Non Cluster partner latrines]])-WWWW[[#This Row],['#_Non-functional latrines]]</f>
        <v>6</v>
      </c>
      <c r="CM10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0.75471698113207553</v>
      </c>
      <c r="CN10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0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0" s="80">
        <f>IF(WWWW[[#This Row],[Location Type 1]]="Village","NA",IF(WWWW[[#This Row],['#_Constructed/Existing latrines in TLS]]*50&gt;WWWW[[#This Row],['#_students at TLS_CFS]],WWWW[[#This Row],['#_students at TLS_CFS]],(WWWW[[#This Row],['#_Constructed/Existing latrines in TLS]]*50)))</f>
        <v>0</v>
      </c>
      <c r="CQ100" s="80">
        <f>ROUND(IF(WWWW[[#This Row],[Location Type 1]]="camp",WWWW[[#This Row],[Total PoP ]]/20,IF(WWWW[[#This Row],[Location Type 1]]="Temporary Location",WWWW[[#This Row],[Total PoP ]]/50,(WWWW[[#This Row],[Total PoP ]]/6))),0)</f>
        <v>8</v>
      </c>
      <c r="CR100" s="79">
        <f>IF(WWWW[[#This Row],[Total required Latrines]]-(WWWW[[#This Row],['#_Constructed latrines_by_WASHAgencies]]+WWWW[[#This Row],['#_Non Cluster partner latrines]])&lt;0,0,WWWW[[#This Row],[Total required Latrines]]-(WWWW[[#This Row],['#_Constructed latrines_by_WASHAgencies]]+WWWW[[#This Row],['#_Non Cluster partner latrines]]))</f>
        <v>2</v>
      </c>
      <c r="CS100" s="78">
        <f>1-WWWW[[#This Row],[% people access to functioning Latrine]]</f>
        <v>0.24528301886792447</v>
      </c>
      <c r="CT100" s="82">
        <f>IF(OR(WWWW[[#This Row],['#_Non-functional latrines]]="",WWWW[[#This Row],['#_Non-functional latrines]]=0),0,WWWW[[#This Row],['#_Non-functional latrines]]/(WWWW[[#This Row],['#_Constructed latrines_by_WASHAgencies]]+WWWW[[#This Row],['#_Non Cluster partner latrines]]))</f>
        <v>0</v>
      </c>
      <c r="CU100" s="79">
        <f>IF(500*(WWWW[[#This Row],['#_male hygiene promoters]]+WWWW[[#This Row],['#_female hygiene promoters]])&gt;WWWW[[#This Row],[Total PoP ]],WWWW[[#This Row],[Total PoP ]],500*(WWWW[[#This Row],['#_male hygiene promoters]]+WWWW[[#This Row],['#_female hygiene promoters]]))</f>
        <v>159</v>
      </c>
      <c r="CV10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0" s="80">
        <f>IF(WWWW[[#This Row],['# People with access to soap]]&gt;WWWW[[#This Row],['# People with access to Sanity Pads]],WWWW[[#This Row],['# People with access to soap]],WWWW[[#This Row],['# People with access to Sanity Pads]])</f>
        <v>0</v>
      </c>
      <c r="CY100" s="80">
        <f>IF(WWWW[[#This Row],['# people reached by regular dedicated hygiene promotion_5]]&gt;WWWW[[#This Row],['# People received regular supply of hygiene items_6]],WWWW[[#This Row],['# people reached by regular dedicated hygiene promotion_5]],WWWW[[#This Row],['# People received regular supply of hygiene items_6]])</f>
        <v>159</v>
      </c>
      <c r="CZ100" s="78">
        <f>IF(WWWW[[#This Row],[HRP3]]/WWWW[[#This Row],[Total PoP ]]&gt;100%,100%,WWWW[[#This Row],[HRP3]]/WWWW[[#This Row],[Total PoP ]])</f>
        <v>1</v>
      </c>
      <c r="DA100" s="82">
        <f>1-WWWW[[#This Row],[Hygiene Coverage%]]</f>
        <v>0</v>
      </c>
      <c r="DB100" s="81">
        <f>WWWW[[#This Row],['# people reached by regular dedicated hygiene promotion_5]]/WWWW[[#This Row],[Total PoP ]]</f>
        <v>1</v>
      </c>
      <c r="DC100" s="81">
        <f>IF(WWWW[[#This Row],['#_households that received standard amount of soap for this quarter]]/WWWW[[#This Row],[Total HH]]&gt;1,1,WWWW[[#This Row],['#_households that received standard amount of soap for this quarter]]/WWWW[[#This Row],[Total HH]])</f>
        <v>0</v>
      </c>
      <c r="DD100" s="81">
        <f>IF(WWWW[[#This Row],['#_households that received standard amount of sanitary pads for this quarter]]/WWWW[[#This Row],[Total HH]]&gt;1,1,WWWW[[#This Row],['#_households that received standard amount of sanitary pads for this quarter]]/WWWW[[#This Row],[Total HH]])</f>
        <v>0</v>
      </c>
      <c r="DE100" s="80">
        <f>WWWW[[#This Row],['#_Constructed/Existing hand washing stations]]-WWWW[[#This Row],['#_Non-Functional_hand_washing_stations]]</f>
        <v>0</v>
      </c>
      <c r="DF100" s="757">
        <f>IF(WWWW[[#This Row],['# Functional hand washing stations during reporting period]]*20&gt;WWWW[[#This Row],[Total HH]],WWWW[[#This Row],[Total HH]],WWWW[[#This Row],['# Functional hand washing stations during reporting period]]*20)</f>
        <v>0</v>
      </c>
      <c r="DG100" s="79">
        <f>IF(WWWW[[#This Row],[Is sufficient soap available for TLS? (Yes/No)]]="yes",WWWW[[#This Row],['#_Constructed/Existing hand washing stations at TLS]],0)</f>
        <v>0</v>
      </c>
      <c r="DH100" s="578">
        <f>IF(WWWW[[#This Row],['# Functional hand washing stations during reporting period]]*100&gt;WWWW[[#This Row],[Total PoP ]],WWWW[[#This Row],[Total PoP ]],WWWW[[#This Row],['# Functional hand washing stations during reporting period]]*100)</f>
        <v>0</v>
      </c>
      <c r="DI100" s="578" t="str">
        <f>IF(OR(WWWW[[#This Row],['#_students at TLS_CFS]]="",WWWW[[#This Row],['#_students at TLS_CFS]]=0),"No","Yes")</f>
        <v>No</v>
      </c>
      <c r="DJ100" s="231" t="str">
        <f>VLOOKUP(WWWW[[#This Row],[Site Name]],SiteDB6[[Site Name]:[CCCM Management]],6,FALSE)</f>
        <v>Yes</v>
      </c>
      <c r="DK100" s="231" t="str">
        <f>VLOOKUP(WWWW[[#This Row],[Site Name]],SiteDB6[[Site Name]:[CCCM Focal Agency]],7,FALSE)</f>
        <v>KBC-MYT</v>
      </c>
      <c r="DL100" s="231" t="str">
        <f>VLOOKUP(WWWW[[#This Row],[Site Name]],SiteDB6[[Site Name]:[Location Type 1]],9,FALSE)</f>
        <v>Camp</v>
      </c>
      <c r="DM100" s="231" t="str">
        <f>VLOOKUP(WWWW[[#This Row],[Site Name]],SiteDB6[[Site Name]:[Type of Accommodation]],10,FALSE)</f>
        <v>Camp</v>
      </c>
      <c r="DN100" s="231" t="str">
        <f>VLOOKUP(WWWW[[#This Row],[Site Name]],SiteDB6[[Site Name]:[Ethnic or GCA/NGCA]],11,FALSE)</f>
        <v>GCA</v>
      </c>
      <c r="DO100" s="231">
        <f>VLOOKUP(WWWW[[#This Row],[Site Name]],SiteDB6[[Site Name]:[Lat]],12,FALSE)</f>
        <v>25.356632000000001</v>
      </c>
      <c r="DP100" s="231">
        <f>VLOOKUP(WWWW[[#This Row],[Site Name]],SiteDB6[[Site Name]:[Long]],13,FALSE)</f>
        <v>97.451965000000001</v>
      </c>
      <c r="DQ100" s="231" t="str">
        <f>VLOOKUP(WWWW[[#This Row],[Site Name]],SiteDB6[[Site Name]:[Pcode]],3,FALSE)</f>
        <v>MMR001CMP027</v>
      </c>
      <c r="DR100" s="207" t="str">
        <f t="shared" si="3"/>
        <v>Covered</v>
      </c>
      <c r="DS100" s="207"/>
      <c r="DT100" s="20"/>
      <c r="DU100" s="20"/>
      <c r="DV100" s="20"/>
      <c r="DW100" s="20"/>
      <c r="DX100" s="20"/>
      <c r="DY100" s="20"/>
      <c r="DZ100" s="20"/>
      <c r="EA100" s="20"/>
      <c r="EB100" s="20"/>
      <c r="EC100" s="20"/>
      <c r="ED100" s="20"/>
      <c r="EE100" s="20"/>
      <c r="EF100" s="20"/>
      <c r="EG100" s="20"/>
      <c r="EH100" s="20"/>
    </row>
    <row r="101" spans="1:138" ht="15.75" customHeight="1">
      <c r="A101" s="238" t="s">
        <v>2518</v>
      </c>
      <c r="B101" s="574" t="s">
        <v>2179</v>
      </c>
      <c r="C101" s="574" t="s">
        <v>2179</v>
      </c>
      <c r="D101" s="574" t="s">
        <v>3039</v>
      </c>
      <c r="E101" s="574" t="s">
        <v>39</v>
      </c>
      <c r="F101" s="574" t="s">
        <v>150</v>
      </c>
      <c r="G101" s="574" t="str">
        <f>VLOOKUP(WWWW[[#This Row],[Site Name]],SiteDB6[[Site Name]:[Location Type]],8,FALSE)</f>
        <v>Camp</v>
      </c>
      <c r="H101" s="574" t="s">
        <v>185</v>
      </c>
      <c r="I101" s="583">
        <v>407</v>
      </c>
      <c r="J101" s="583">
        <v>1801</v>
      </c>
      <c r="K101" s="553" t="s">
        <v>3040</v>
      </c>
      <c r="L101" s="58" t="s">
        <v>3041</v>
      </c>
      <c r="M101" s="583">
        <v>218</v>
      </c>
      <c r="N101" s="583"/>
      <c r="O101" s="583"/>
      <c r="P101" s="583"/>
      <c r="Q101" s="574" t="s">
        <v>43</v>
      </c>
      <c r="R101" s="310"/>
      <c r="S101" s="310"/>
      <c r="T101" s="310"/>
      <c r="U101" s="310"/>
      <c r="V101" s="310"/>
      <c r="W101" s="310"/>
      <c r="X101" s="310"/>
      <c r="Y101" s="310"/>
      <c r="Z101" s="310"/>
      <c r="AA101" s="310">
        <v>6</v>
      </c>
      <c r="AB101" s="310"/>
      <c r="AC101" s="310"/>
      <c r="AD101" s="310"/>
      <c r="AE101" s="310"/>
      <c r="AF101" s="310"/>
      <c r="AG101" s="310"/>
      <c r="AH101" s="310"/>
      <c r="AI101" s="310"/>
      <c r="AJ101" s="310"/>
      <c r="AK101" s="310"/>
      <c r="AL101" s="310"/>
      <c r="AM101" s="310"/>
      <c r="AN101" s="310"/>
      <c r="AO101" s="207"/>
      <c r="AP101" s="310">
        <v>407</v>
      </c>
      <c r="AQ101" s="310"/>
      <c r="AR101" s="76"/>
      <c r="AS101" s="310">
        <v>195</v>
      </c>
      <c r="AT101" s="310">
        <v>30</v>
      </c>
      <c r="AU101" s="310"/>
      <c r="AV101" s="310"/>
      <c r="AW101" s="310"/>
      <c r="AX101" s="231" t="s">
        <v>43</v>
      </c>
      <c r="AY101" s="231" t="s">
        <v>145</v>
      </c>
      <c r="AZ101" s="310">
        <v>3</v>
      </c>
      <c r="BA101" s="310"/>
      <c r="BB101" s="310"/>
      <c r="BC101" s="207"/>
      <c r="BD101" s="310"/>
      <c r="BE101" s="310"/>
      <c r="BF101" s="310"/>
      <c r="BG101" s="310"/>
      <c r="BH101" s="310"/>
      <c r="BI101" s="310"/>
      <c r="BJ101" s="310"/>
      <c r="BK101" s="310"/>
      <c r="BL101" s="310"/>
      <c r="BM101" s="207" t="s">
        <v>144</v>
      </c>
      <c r="BN101" s="79"/>
      <c r="BO101" s="81"/>
      <c r="BP101" s="207"/>
      <c r="BQ101" s="78" t="str">
        <f>IFERROR(WWWW[[#This Row],['#_Water sources treated]]/WWWW[[#This Row],['#_Water sources tested for contamination]],"no test")</f>
        <v>no test</v>
      </c>
      <c r="BR101" s="81" t="str">
        <f>IFERROR(WWWW[[#This Row],['#_Household received remediation action due to contamination]]/WWWW[[#This Row],['#_Household water samples tested for contamination]],"no test")</f>
        <v>no test</v>
      </c>
      <c r="BS101" s="80" t="str">
        <f>IF(AND(WWWW[[#This Row],[% of water sources treated]]="no test",WWWW[[#This Row],[% Household received corrective actions]]="no test"),"No Test","Tested")</f>
        <v>No Test</v>
      </c>
      <c r="BT101" s="80">
        <f>WWWW[[#This Row],['#_Constructed/existing protected hand dug well]]-WWWW[[#This Row],['#_Non-functional protected hand dug well]]</f>
        <v>0</v>
      </c>
      <c r="BU101" s="80">
        <f>(WWWW[[#This Row],['#_Constructed/Existing tube wells/boreholes/handpumps_WASH_agency]]+WWWW[[#This Row],['#_Non-Cluster partner water tube-wells/boreholes/handpumps]])-WWWW[[#This Row],['#_Non-functional tube wells/boreholes/handpumps]]</f>
        <v>0</v>
      </c>
      <c r="BV101" s="80">
        <f>WWWW[[#This Row],['#_Constructed/Existingwater storage tank with gravity fed reticulation system]]-WWWW[[#This Row],['#_Non-functional storage tank gravity fed reticulation system]]</f>
        <v>6</v>
      </c>
      <c r="BW101" s="80">
        <f>WWWW[[#This Row],['#_Water boating or water trucking]]</f>
        <v>0</v>
      </c>
      <c r="BX101" s="80">
        <f>WWWW[[#This Row],['#_Constructed/Existing water distribution system from river or natural spring]]</f>
        <v>0</v>
      </c>
      <c r="BY10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0.2220988339811216</v>
      </c>
      <c r="BZ10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0.2220988339811216</v>
      </c>
      <c r="CA101" s="81">
        <f>IF(WWWW[[#This Row],[Location Type 1]]="Village",WWWW[[#This Row],[Access to safe drinking water for Village]],WWWW[[#This Row],[Access to safe drinking water for Camp]])</f>
        <v>0.2220988339811216</v>
      </c>
      <c r="CB101" s="79">
        <f>WWWW[[#This Row],[%Equitable and continuous access to sufficient quantity of safe drinking water]]*WWWW[[#This Row],[Total PoP ]]</f>
        <v>400</v>
      </c>
      <c r="CC101" s="81">
        <f>IF((WWWW[[#This Row],['#_Constructed/Existing protected/fenced ponds]]*250)/WWWW[[#This Row],[Total PoP ]]&gt;1,1,(WWWW[[#This Row],['#_Constructed/Existing protected/fenced ponds]]*250)/WWWW[[#This Row],[Total PoP ]])</f>
        <v>0</v>
      </c>
      <c r="CD101" s="79">
        <f>WWWW[[#This Row],[% Access to unimproved water points]]*WWWW[[#This Row],[Total PoP ]]</f>
        <v>0</v>
      </c>
      <c r="CE10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0.2220988339811216</v>
      </c>
      <c r="CF10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101" s="79">
        <f>WWWW[[#This Row],[HRP1]]/500</f>
        <v>0.8</v>
      </c>
      <c r="CH101" s="78">
        <f>1-WWWW[[#This Row],[% Equitable and continuous access to sufficient quantity of domestic water]]</f>
        <v>0.77790116601887838</v>
      </c>
      <c r="CI101" s="79">
        <f>WWWW[[#This Row],[%equitable and continuous access to sufficient quantity of safe drinking and domestic water''s GAP]]*WWWW[[#This Row],[Total PoP ]]</f>
        <v>1401</v>
      </c>
      <c r="CJ101" s="80">
        <f>IF(WWWW[[#This Row],[Total required water points]]-WWWW[[#This Row],['#Water points coverage]]&lt;0,0,WWWW[[#This Row],[Total required water points]]-WWWW[[#This Row],['#Water points coverage]])</f>
        <v>3.2</v>
      </c>
      <c r="CK101" s="80">
        <f>ROUND(IF(WWWW[[#This Row],[Total PoP ]]&lt;500,1,WWWW[[#This Row],[Total PoP ]]/500),0)</f>
        <v>4</v>
      </c>
      <c r="CL101" s="80">
        <f>(WWWW[[#This Row],['#_Constructed latrines_by_WASHAgencies]]+WWWW[[#This Row],['#_Non Cluster partner latrines]])-WWWW[[#This Row],['#_Non-functional latrines]]</f>
        <v>212</v>
      </c>
      <c r="CM10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0.70627429205996672</v>
      </c>
      <c r="CN10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1272</v>
      </c>
      <c r="CO10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1" s="80">
        <f>IF(WWWW[[#This Row],[Location Type 1]]="Village","NA",IF(WWWW[[#This Row],['#_Constructed/Existing latrines in TLS]]*50&gt;WWWW[[#This Row],['#_students at TLS_CFS]],WWWW[[#This Row],['#_students at TLS_CFS]],(WWWW[[#This Row],['#_Constructed/Existing latrines in TLS]]*50)))</f>
        <v>0</v>
      </c>
      <c r="CQ101" s="80">
        <f>ROUND(IF(WWWW[[#This Row],[Location Type 1]]="camp",WWWW[[#This Row],[Total PoP ]]/20,IF(WWWW[[#This Row],[Location Type 1]]="Temporary Location",WWWW[[#This Row],[Total PoP ]]/50,(WWWW[[#This Row],[Total PoP ]]/6))),0)</f>
        <v>300</v>
      </c>
      <c r="CR101" s="79">
        <f>IF(WWWW[[#This Row],[Total required Latrines]]-(WWWW[[#This Row],['#_Constructed latrines_by_WASHAgencies]]+WWWW[[#This Row],['#_Non Cluster partner latrines]])&lt;0,0,WWWW[[#This Row],[Total required Latrines]]-(WWWW[[#This Row],['#_Constructed latrines_by_WASHAgencies]]+WWWW[[#This Row],['#_Non Cluster partner latrines]]))</f>
        <v>0</v>
      </c>
      <c r="CS101" s="78">
        <f>1-WWWW[[#This Row],[% people access to functioning Latrine]]</f>
        <v>0.29372570794003328</v>
      </c>
      <c r="CT101" s="82">
        <f>IF(OR(WWWW[[#This Row],['#_Non-functional latrines]]="",WWWW[[#This Row],['#_Non-functional latrines]]=0),0,WWWW[[#This Row],['#_Non-functional latrines]]/(WWWW[[#This Row],['#_Constructed latrines_by_WASHAgencies]]+WWWW[[#This Row],['#_Non Cluster partner latrines]]))</f>
        <v>0.47911547911547914</v>
      </c>
      <c r="CU101" s="79">
        <f>IF(500*(WWWW[[#This Row],['#_male hygiene promoters]]+WWWW[[#This Row],['#_female hygiene promoters]])&gt;WWWW[[#This Row],[Total PoP ]],WWWW[[#This Row],[Total PoP ]],500*(WWWW[[#This Row],['#_male hygiene promoters]]+WWWW[[#This Row],['#_female hygiene promoters]]))</f>
        <v>0</v>
      </c>
      <c r="CV10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1" s="80">
        <f>IF(WWWW[[#This Row],['# People with access to soap]]&gt;WWWW[[#This Row],['# People with access to Sanity Pads]],WWWW[[#This Row],['# People with access to soap]],WWWW[[#This Row],['# People with access to Sanity Pads]])</f>
        <v>0</v>
      </c>
      <c r="CY101"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01" s="78">
        <f>IF(WWWW[[#This Row],[HRP3]]/WWWW[[#This Row],[Total PoP ]]&gt;100%,100%,WWWW[[#This Row],[HRP3]]/WWWW[[#This Row],[Total PoP ]])</f>
        <v>0</v>
      </c>
      <c r="DA101" s="82">
        <f>1-WWWW[[#This Row],[Hygiene Coverage%]]</f>
        <v>1</v>
      </c>
      <c r="DB101" s="81">
        <f>WWWW[[#This Row],['# people reached by regular dedicated hygiene promotion_5]]/WWWW[[#This Row],[Total PoP ]]</f>
        <v>0</v>
      </c>
      <c r="DC101" s="81">
        <f>IF(WWWW[[#This Row],['#_households that received standard amount of soap for this quarter]]/WWWW[[#This Row],[Total HH]]&gt;1,1,WWWW[[#This Row],['#_households that received standard amount of soap for this quarter]]/WWWW[[#This Row],[Total HH]])</f>
        <v>0</v>
      </c>
      <c r="DD101" s="81">
        <f>IF(WWWW[[#This Row],['#_households that received standard amount of sanitary pads for this quarter]]/WWWW[[#This Row],[Total HH]]&gt;1,1,WWWW[[#This Row],['#_households that received standard amount of sanitary pads for this quarter]]/WWWW[[#This Row],[Total HH]])</f>
        <v>0</v>
      </c>
      <c r="DE101" s="80">
        <f>WWWW[[#This Row],['#_Constructed/Existing hand washing stations]]-WWWW[[#This Row],['#_Non-Functional_hand_washing_stations]]</f>
        <v>0</v>
      </c>
      <c r="DF101" s="757">
        <f>IF(WWWW[[#This Row],['# Functional hand washing stations during reporting period]]*20&gt;WWWW[[#This Row],[Total HH]],WWWW[[#This Row],[Total HH]],WWWW[[#This Row],['# Functional hand washing stations during reporting period]]*20)</f>
        <v>0</v>
      </c>
      <c r="DG101" s="79">
        <f>IF(WWWW[[#This Row],[Is sufficient soap available for TLS? (Yes/No)]]="yes",WWWW[[#This Row],['#_Constructed/Existing hand washing stations at TLS]],0)</f>
        <v>0</v>
      </c>
      <c r="DH101" s="578">
        <f>IF(WWWW[[#This Row],['# Functional hand washing stations during reporting period]]*100&gt;WWWW[[#This Row],[Total PoP ]],WWWW[[#This Row],[Total PoP ]],WWWW[[#This Row],['# Functional hand washing stations during reporting period]]*100)</f>
        <v>0</v>
      </c>
      <c r="DI101" s="578" t="str">
        <f>IF(OR(WWWW[[#This Row],['#_students at TLS_CFS]]="",WWWW[[#This Row],['#_students at TLS_CFS]]=0),"No","Yes")</f>
        <v>Yes</v>
      </c>
      <c r="DJ101" s="231" t="str">
        <f>VLOOKUP(WWWW[[#This Row],[Site Name]],SiteDB6[[Site Name]:[CCCM Management]],6,FALSE)</f>
        <v>Yes</v>
      </c>
      <c r="DK101" s="231" t="str">
        <f>VLOOKUP(WWWW[[#This Row],[Site Name]],SiteDB6[[Site Name]:[CCCM Focal Agency]],7,FALSE)</f>
        <v>KMSS-MYT</v>
      </c>
      <c r="DL101" s="231" t="str">
        <f>VLOOKUP(WWWW[[#This Row],[Site Name]],SiteDB6[[Site Name]:[Location Type 1]],9,FALSE)</f>
        <v>Village Type Camp</v>
      </c>
      <c r="DM101" s="231" t="str">
        <f>VLOOKUP(WWWW[[#This Row],[Site Name]],SiteDB6[[Site Name]:[Type of Accommodation]],10,FALSE)</f>
        <v>Camp</v>
      </c>
      <c r="DN101" s="231" t="str">
        <f>VLOOKUP(WWWW[[#This Row],[Site Name]],SiteDB6[[Site Name]:[Ethnic or GCA/NGCA]],11,FALSE)</f>
        <v>NGCA</v>
      </c>
      <c r="DO101" s="231">
        <f>VLOOKUP(WWWW[[#This Row],[Site Name]],SiteDB6[[Site Name]:[Lat]],12,FALSE)</f>
        <v>24.980250000000002</v>
      </c>
      <c r="DP101" s="231">
        <f>VLOOKUP(WWWW[[#This Row],[Site Name]],SiteDB6[[Site Name]:[Long]],13,FALSE)</f>
        <v>97.715230000000005</v>
      </c>
      <c r="DQ101" s="231" t="str">
        <f>VLOOKUP(WWWW[[#This Row],[Site Name]],SiteDB6[[Site Name]:[Pcode]],3,FALSE)</f>
        <v>MMR001CMP119</v>
      </c>
      <c r="DR101" s="207" t="str">
        <f t="shared" si="3"/>
        <v>Covered</v>
      </c>
      <c r="DS101" s="207"/>
      <c r="DT101" s="20"/>
      <c r="DU101" s="20"/>
      <c r="DV101" s="20"/>
      <c r="DW101" s="20"/>
      <c r="DX101" s="20"/>
      <c r="DY101" s="20"/>
      <c r="DZ101" s="20"/>
      <c r="EA101" s="20"/>
      <c r="EB101" s="20"/>
      <c r="EC101" s="20"/>
      <c r="ED101" s="20"/>
      <c r="EE101" s="20"/>
      <c r="EF101" s="20"/>
      <c r="EG101" s="20"/>
      <c r="EH101" s="20"/>
    </row>
    <row r="102" spans="1:138" ht="15.75" customHeight="1">
      <c r="A102" s="238" t="s">
        <v>2518</v>
      </c>
      <c r="B102" s="574" t="s">
        <v>38</v>
      </c>
      <c r="C102" s="574" t="s">
        <v>38</v>
      </c>
      <c r="D102" s="574" t="s">
        <v>3101</v>
      </c>
      <c r="E102" s="574" t="s">
        <v>39</v>
      </c>
      <c r="F102" s="574" t="s">
        <v>156</v>
      </c>
      <c r="G102" s="574" t="str">
        <f>VLOOKUP(WWWW[[#This Row],[Site Name]],SiteDB6[[Site Name]:[Location Type]],8,FALSE)</f>
        <v>Camp</v>
      </c>
      <c r="H102" s="574" t="s">
        <v>239</v>
      </c>
      <c r="I102" s="583">
        <v>50</v>
      </c>
      <c r="J102" s="583">
        <v>218</v>
      </c>
      <c r="K102" s="553">
        <v>43466</v>
      </c>
      <c r="L102" s="77" t="s">
        <v>2974</v>
      </c>
      <c r="M102" s="583"/>
      <c r="N102" s="583"/>
      <c r="O102" s="583"/>
      <c r="P102" s="583"/>
      <c r="Q102" s="574" t="s">
        <v>43</v>
      </c>
      <c r="R102" s="583"/>
      <c r="S102" s="583"/>
      <c r="T102" s="583">
        <v>1</v>
      </c>
      <c r="U102" s="583"/>
      <c r="V102" s="583"/>
      <c r="W102" s="583"/>
      <c r="X102" s="583"/>
      <c r="Y102" s="583"/>
      <c r="Z102" s="583"/>
      <c r="AA102" s="583"/>
      <c r="AB102" s="583"/>
      <c r="AC102" s="583"/>
      <c r="AD102" s="583"/>
      <c r="AE102" s="583"/>
      <c r="AF102" s="583"/>
      <c r="AG102" s="583"/>
      <c r="AH102" s="583"/>
      <c r="AI102" s="583"/>
      <c r="AJ102" s="583"/>
      <c r="AK102" s="583"/>
      <c r="AL102" s="583"/>
      <c r="AM102" s="583"/>
      <c r="AN102" s="583"/>
      <c r="AO102" s="578"/>
      <c r="AP102" s="601">
        <v>16</v>
      </c>
      <c r="AQ102" s="574"/>
      <c r="AR102" s="574"/>
      <c r="AS102" s="578"/>
      <c r="AT102" s="574"/>
      <c r="AU102" s="578"/>
      <c r="AV102" s="578"/>
      <c r="AW102" s="80"/>
      <c r="AX102" s="80" t="s">
        <v>43</v>
      </c>
      <c r="AY102" s="80" t="s">
        <v>145</v>
      </c>
      <c r="AZ102" s="80"/>
      <c r="BA102" s="80"/>
      <c r="BB102" s="578"/>
      <c r="BC102" s="578"/>
      <c r="BD102" s="578"/>
      <c r="BE102" s="578"/>
      <c r="BF102" s="578"/>
      <c r="BG102" s="602">
        <v>2</v>
      </c>
      <c r="BH102" s="578"/>
      <c r="BI102" s="583"/>
      <c r="BJ102" s="583">
        <v>2</v>
      </c>
      <c r="BK102" s="604">
        <v>30</v>
      </c>
      <c r="BL102" s="578"/>
      <c r="BM102" s="578"/>
      <c r="BN102" s="578"/>
      <c r="BO102" s="81"/>
      <c r="BP102" s="578"/>
      <c r="BQ102" s="78" t="str">
        <f>IFERROR(WWWW[[#This Row],['#_Water sources treated]]/WWWW[[#This Row],['#_Water sources tested for contamination]],"no test")</f>
        <v>no test</v>
      </c>
      <c r="BR102" s="81" t="str">
        <f>IFERROR(WWWW[[#This Row],['#_Household received remediation action due to contamination]]/WWWW[[#This Row],['#_Household water samples tested for contamination]],"no test")</f>
        <v>no test</v>
      </c>
      <c r="BS102" s="80" t="str">
        <f>IF(AND(WWWW[[#This Row],[% of water sources treated]]="no test",WWWW[[#This Row],[% Household received corrective actions]]="no test"),"No Test","Tested")</f>
        <v>No Test</v>
      </c>
      <c r="BT102" s="80">
        <f>WWWW[[#This Row],['#_Constructed/existing protected hand dug well]]-WWWW[[#This Row],['#_Non-functional protected hand dug well]]</f>
        <v>1</v>
      </c>
      <c r="BU102" s="80">
        <f>(WWWW[[#This Row],['#_Constructed/Existing tube wells/boreholes/handpumps_WASH_agency]]+WWWW[[#This Row],['#_Non-Cluster partner water tube-wells/boreholes/handpumps]])-WWWW[[#This Row],['#_Non-functional tube wells/boreholes/handpumps]]</f>
        <v>0</v>
      </c>
      <c r="BV102" s="80">
        <f>WWWW[[#This Row],['#_Constructed/Existingwater storage tank with gravity fed reticulation system]]-WWWW[[#This Row],['#_Non-functional storage tank gravity fed reticulation system]]</f>
        <v>0</v>
      </c>
      <c r="BW102" s="80">
        <f>WWWW[[#This Row],['#_Water boating or water trucking]]</f>
        <v>0</v>
      </c>
      <c r="BX102" s="80">
        <f>WWWW[[#This Row],['#_Constructed/Existing water distribution system from river or natural spring]]</f>
        <v>0</v>
      </c>
      <c r="BY10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2" s="81">
        <f>IF(WWWW[[#This Row],[Location Type 1]]="Village",WWWW[[#This Row],[Access to safe drinking water for Village]],WWWW[[#This Row],[Access to safe drinking water for Camp]])</f>
        <v>1</v>
      </c>
      <c r="CB102" s="79">
        <f>WWWW[[#This Row],[%Equitable and continuous access to sufficient quantity of safe drinking water]]*WWWW[[#This Row],[Total PoP ]]</f>
        <v>218</v>
      </c>
      <c r="CC102" s="81">
        <f>IF((WWWW[[#This Row],['#_Constructed/Existing protected/fenced ponds]]*250)/WWWW[[#This Row],[Total PoP ]]&gt;1,1,(WWWW[[#This Row],['#_Constructed/Existing protected/fenced ponds]]*250)/WWWW[[#This Row],[Total PoP ]])</f>
        <v>0</v>
      </c>
      <c r="CD102" s="79">
        <f>WWWW[[#This Row],[% Access to unimproved water points]]*WWWW[[#This Row],[Total PoP ]]</f>
        <v>0</v>
      </c>
      <c r="CE10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G102" s="79">
        <f>WWWW[[#This Row],[HRP1]]/500</f>
        <v>0.436</v>
      </c>
      <c r="CH102" s="78">
        <f>1-WWWW[[#This Row],[% Equitable and continuous access to sufficient quantity of domestic water]]</f>
        <v>0</v>
      </c>
      <c r="CI102" s="79">
        <f>WWWW[[#This Row],[%equitable and continuous access to sufficient quantity of safe drinking and domestic water''s GAP]]*WWWW[[#This Row],[Total PoP ]]</f>
        <v>0</v>
      </c>
      <c r="CJ102" s="80">
        <f>IF(WWWW[[#This Row],[Total required water points]]-WWWW[[#This Row],['#Water points coverage]]&lt;0,0,WWWW[[#This Row],[Total required water points]]-WWWW[[#This Row],['#Water points coverage]])</f>
        <v>0.56400000000000006</v>
      </c>
      <c r="CK102" s="80">
        <f>ROUND(IF(WWWW[[#This Row],[Total PoP ]]&lt;500,1,WWWW[[#This Row],[Total PoP ]]/500),0)</f>
        <v>1</v>
      </c>
      <c r="CL102" s="80">
        <f>(WWWW[[#This Row],['#_Constructed latrines_by_WASHAgencies]]+WWWW[[#This Row],['#_Non Cluster partner latrines]])-WWWW[[#This Row],['#_Non-functional latrines]]</f>
        <v>16</v>
      </c>
      <c r="CM10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218</v>
      </c>
      <c r="CO10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2" s="80">
        <f>IF(WWWW[[#This Row],[Location Type 1]]="Village","NA",IF(WWWW[[#This Row],['#_Constructed/Existing latrines in TLS]]*50&gt;WWWW[[#This Row],['#_students at TLS_CFS]],WWWW[[#This Row],['#_students at TLS_CFS]],(WWWW[[#This Row],['#_Constructed/Existing latrines in TLS]]*50)))</f>
        <v>0</v>
      </c>
      <c r="CQ102" s="80">
        <f>ROUND(IF(WWWW[[#This Row],[Location Type 1]]="camp",WWWW[[#This Row],[Total PoP ]]/20,IF(WWWW[[#This Row],[Location Type 1]]="Temporary Location",WWWW[[#This Row],[Total PoP ]]/50,(WWWW[[#This Row],[Total PoP ]]/6))),0)</f>
        <v>11</v>
      </c>
      <c r="CR102" s="79">
        <f>IF(WWWW[[#This Row],[Total required Latrines]]-(WWWW[[#This Row],['#_Constructed latrines_by_WASHAgencies]]+WWWW[[#This Row],['#_Non Cluster partner latrines]])&lt;0,0,WWWW[[#This Row],[Total required Latrines]]-(WWWW[[#This Row],['#_Constructed latrines_by_WASHAgencies]]+WWWW[[#This Row],['#_Non Cluster partner latrines]]))</f>
        <v>0</v>
      </c>
      <c r="CS102" s="78">
        <f>1-WWWW[[#This Row],[% people access to functioning Latrine]]</f>
        <v>0</v>
      </c>
      <c r="CT102" s="82">
        <f>IF(OR(WWWW[[#This Row],['#_Non-functional latrines]]="",WWWW[[#This Row],['#_Non-functional latrines]]=0),0,WWWW[[#This Row],['#_Non-functional latrines]]/(WWWW[[#This Row],['#_Constructed latrines_by_WASHAgencies]]+WWWW[[#This Row],['#_Non Cluster partner latrines]]))</f>
        <v>0</v>
      </c>
      <c r="CU102" s="79">
        <f>IF(500*(WWWW[[#This Row],['#_male hygiene promoters]]+WWWW[[#This Row],['#_female hygiene promoters]])&gt;WWWW[[#This Row],[Total PoP ]],WWWW[[#This Row],[Total PoP ]],500*(WWWW[[#This Row],['#_male hygiene promoters]]+WWWW[[#This Row],['#_female hygiene promoters]]))</f>
        <v>218</v>
      </c>
      <c r="CV10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10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2" s="80">
        <f>IF(WWWW[[#This Row],['# People with access to soap]]&gt;WWWW[[#This Row],['# People with access to Sanity Pads]],WWWW[[#This Row],['# People with access to soap]],WWWW[[#This Row],['# People with access to Sanity Pads]])</f>
        <v>150</v>
      </c>
      <c r="CY102" s="80">
        <f>IF(WWWW[[#This Row],['# people reached by regular dedicated hygiene promotion_5]]&gt;WWWW[[#This Row],['# People received regular supply of hygiene items_6]],WWWW[[#This Row],['# people reached by regular dedicated hygiene promotion_5]],WWWW[[#This Row],['# People received regular supply of hygiene items_6]])</f>
        <v>218</v>
      </c>
      <c r="CZ102" s="78">
        <f>IF(WWWW[[#This Row],[HRP3]]/WWWW[[#This Row],[Total PoP ]]&gt;100%,100%,WWWW[[#This Row],[HRP3]]/WWWW[[#This Row],[Total PoP ]])</f>
        <v>1</v>
      </c>
      <c r="DA102" s="82">
        <f>1-WWWW[[#This Row],[Hygiene Coverage%]]</f>
        <v>0</v>
      </c>
      <c r="DB102" s="81">
        <f>WWWW[[#This Row],['# people reached by regular dedicated hygiene promotion_5]]/WWWW[[#This Row],[Total PoP ]]</f>
        <v>1</v>
      </c>
      <c r="DC102" s="81">
        <f>IF(WWWW[[#This Row],['#_households that received standard amount of soap for this quarter]]/WWWW[[#This Row],[Total HH]]&gt;1,1,WWWW[[#This Row],['#_households that received standard amount of soap for this quarter]]/WWWW[[#This Row],[Total HH]])</f>
        <v>0.6</v>
      </c>
      <c r="DD102" s="81">
        <f>IF(WWWW[[#This Row],['#_households that received standard amount of sanitary pads for this quarter]]/WWWW[[#This Row],[Total HH]]&gt;1,1,WWWW[[#This Row],['#_households that received standard amount of sanitary pads for this quarter]]/WWWW[[#This Row],[Total HH]])</f>
        <v>0</v>
      </c>
      <c r="DE102" s="80">
        <f>WWWW[[#This Row],['#_Constructed/Existing hand washing stations]]-WWWW[[#This Row],['#_Non-Functional_hand_washing_stations]]</f>
        <v>0</v>
      </c>
      <c r="DF102" s="757">
        <f>IF(WWWW[[#This Row],['# Functional hand washing stations during reporting period]]*20&gt;WWWW[[#This Row],[Total HH]],WWWW[[#This Row],[Total HH]],WWWW[[#This Row],['# Functional hand washing stations during reporting period]]*20)</f>
        <v>0</v>
      </c>
      <c r="DG102" s="79">
        <f>IF(WWWW[[#This Row],[Is sufficient soap available for TLS? (Yes/No)]]="yes",WWWW[[#This Row],['#_Constructed/Existing hand washing stations at TLS]],0)</f>
        <v>0</v>
      </c>
      <c r="DH102" s="578">
        <f>IF(WWWW[[#This Row],['# Functional hand washing stations during reporting period]]*100&gt;WWWW[[#This Row],[Total PoP ]],WWWW[[#This Row],[Total PoP ]],WWWW[[#This Row],['# Functional hand washing stations during reporting period]]*100)</f>
        <v>0</v>
      </c>
      <c r="DI102" s="578" t="str">
        <f>IF(OR(WWWW[[#This Row],['#_students at TLS_CFS]]="",WWWW[[#This Row],['#_students at TLS_CFS]]=0),"No","Yes")</f>
        <v>No</v>
      </c>
      <c r="DJ102" s="231" t="str">
        <f>VLOOKUP(WWWW[[#This Row],[Site Name]],SiteDB6[[Site Name]:[CCCM Management]],6,FALSE)</f>
        <v>Yes</v>
      </c>
      <c r="DK102" s="231" t="str">
        <f>VLOOKUP(WWWW[[#This Row],[Site Name]],SiteDB6[[Site Name]:[CCCM Focal Agency]],7,FALSE)</f>
        <v>KMSS-MYT</v>
      </c>
      <c r="DL102" s="231" t="str">
        <f>VLOOKUP(WWWW[[#This Row],[Site Name]],SiteDB6[[Site Name]:[Location Type 1]],9,FALSE)</f>
        <v>Camp</v>
      </c>
      <c r="DM102" s="231" t="str">
        <f>VLOOKUP(WWWW[[#This Row],[Site Name]],SiteDB6[[Site Name]:[Type of Accommodation]],10,FALSE)</f>
        <v>Camp</v>
      </c>
      <c r="DN102" s="231" t="str">
        <f>VLOOKUP(WWWW[[#This Row],[Site Name]],SiteDB6[[Site Name]:[Ethnic or GCA/NGCA]],11,FALSE)</f>
        <v>GCA</v>
      </c>
      <c r="DO102" s="231">
        <f>VLOOKUP(WWWW[[#This Row],[Site Name]],SiteDB6[[Site Name]:[Lat]],12,FALSE)</f>
        <v>25.613894999999999</v>
      </c>
      <c r="DP102" s="231">
        <f>VLOOKUP(WWWW[[#This Row],[Site Name]],SiteDB6[[Site Name]:[Long]],13,FALSE)</f>
        <v>96.341352999999998</v>
      </c>
      <c r="DQ102" s="231" t="str">
        <f>VLOOKUP(WWWW[[#This Row],[Site Name]],SiteDB6[[Site Name]:[Pcode]],3,FALSE)</f>
        <v>MMR001CMP103</v>
      </c>
      <c r="DR102" s="207" t="str">
        <f t="shared" si="3"/>
        <v>Covered</v>
      </c>
      <c r="DS102" s="207"/>
      <c r="DT102" s="20"/>
      <c r="DU102" s="20"/>
      <c r="DV102" s="20"/>
      <c r="DW102" s="20"/>
      <c r="DX102" s="20"/>
      <c r="DY102" s="20"/>
      <c r="DZ102" s="20"/>
      <c r="EA102" s="20"/>
      <c r="EB102" s="20"/>
      <c r="EC102" s="20"/>
      <c r="ED102" s="20"/>
      <c r="EE102" s="20"/>
      <c r="EF102" s="20"/>
      <c r="EG102" s="20"/>
      <c r="EH102" s="20"/>
    </row>
    <row r="103" spans="1:138" ht="15.75" customHeight="1">
      <c r="A103" s="238" t="s">
        <v>2518</v>
      </c>
      <c r="B103" s="238" t="s">
        <v>149</v>
      </c>
      <c r="C103" s="574" t="s">
        <v>149</v>
      </c>
      <c r="D103" s="584" t="s">
        <v>152</v>
      </c>
      <c r="E103" s="574" t="s">
        <v>39</v>
      </c>
      <c r="F103" s="574" t="s">
        <v>150</v>
      </c>
      <c r="G103" s="574" t="str">
        <f>VLOOKUP(WWWW[[#This Row],[Site Name]],SiteDB6[[Site Name]:[Location Type]],8,FALSE)</f>
        <v>Camp</v>
      </c>
      <c r="H103" s="574" t="s">
        <v>186</v>
      </c>
      <c r="I103" s="583">
        <v>494</v>
      </c>
      <c r="J103" s="583">
        <v>2500</v>
      </c>
      <c r="K103" s="553">
        <v>43556</v>
      </c>
      <c r="L103" s="77">
        <v>43677</v>
      </c>
      <c r="M103" s="583"/>
      <c r="N103" s="583"/>
      <c r="O103" s="583"/>
      <c r="P103" s="583"/>
      <c r="Q103" s="574" t="s">
        <v>43</v>
      </c>
      <c r="R103" s="310"/>
      <c r="S103" s="310"/>
      <c r="T103" s="583">
        <v>9</v>
      </c>
      <c r="U103" s="310"/>
      <c r="V103" s="310"/>
      <c r="W103" s="583">
        <v>2</v>
      </c>
      <c r="X103" s="310"/>
      <c r="Y103" s="310"/>
      <c r="Z103" s="310"/>
      <c r="AA103" s="310"/>
      <c r="AB103" s="310"/>
      <c r="AC103" s="310"/>
      <c r="AD103" s="310"/>
      <c r="AE103" s="310"/>
      <c r="AF103" s="310"/>
      <c r="AG103" s="310"/>
      <c r="AH103" s="583">
        <v>9</v>
      </c>
      <c r="AI103" s="310"/>
      <c r="AJ103" s="310"/>
      <c r="AK103" s="310"/>
      <c r="AL103" s="310"/>
      <c r="AM103" s="310"/>
      <c r="AN103" s="310"/>
      <c r="AO103" s="207"/>
      <c r="AP103" s="583">
        <v>130</v>
      </c>
      <c r="AQ103" s="310"/>
      <c r="AR103" s="76"/>
      <c r="AS103" s="310">
        <v>104</v>
      </c>
      <c r="AT103" s="310">
        <v>30</v>
      </c>
      <c r="AU103" s="310">
        <v>32</v>
      </c>
      <c r="AV103" s="310"/>
      <c r="AW103" s="583">
        <v>130</v>
      </c>
      <c r="AX103" s="231" t="s">
        <v>43</v>
      </c>
      <c r="AY103" s="231" t="s">
        <v>145</v>
      </c>
      <c r="AZ103" s="310"/>
      <c r="BA103" s="310"/>
      <c r="BB103" s="310"/>
      <c r="BC103" s="207"/>
      <c r="BD103" s="310"/>
      <c r="BE103" s="310"/>
      <c r="BF103" s="310"/>
      <c r="BG103" s="310">
        <v>6</v>
      </c>
      <c r="BH103" s="310"/>
      <c r="BI103" s="310"/>
      <c r="BJ103" s="310">
        <v>5</v>
      </c>
      <c r="BK103" s="310"/>
      <c r="BL103" s="310"/>
      <c r="BM103" s="207"/>
      <c r="BN103" s="79"/>
      <c r="BO103" s="81"/>
      <c r="BP103" s="207"/>
      <c r="BQ103" s="78" t="str">
        <f>IFERROR(WWWW[[#This Row],['#_Water sources treated]]/WWWW[[#This Row],['#_Water sources tested for contamination]],"no test")</f>
        <v>no test</v>
      </c>
      <c r="BR103" s="81" t="str">
        <f>IFERROR(WWWW[[#This Row],['#_Household received remediation action due to contamination]]/WWWW[[#This Row],['#_Household water samples tested for contamination]],"no test")</f>
        <v>no test</v>
      </c>
      <c r="BS103" s="80" t="str">
        <f>IF(AND(WWWW[[#This Row],[% of water sources treated]]="no test",WWWW[[#This Row],[% Household received corrective actions]]="no test"),"No Test","Tested")</f>
        <v>No Test</v>
      </c>
      <c r="BT103" s="80">
        <f>WWWW[[#This Row],['#_Constructed/existing protected hand dug well]]-WWWW[[#This Row],['#_Non-functional protected hand dug well]]</f>
        <v>9</v>
      </c>
      <c r="BU103" s="80">
        <f>(WWWW[[#This Row],['#_Constructed/Existing tube wells/boreholes/handpumps_WASH_agency]]+WWWW[[#This Row],['#_Non-Cluster partner water tube-wells/boreholes/handpumps]])-WWWW[[#This Row],['#_Non-functional tube wells/boreholes/handpumps]]</f>
        <v>2</v>
      </c>
      <c r="BV103" s="80">
        <f>WWWW[[#This Row],['#_Constructed/Existingwater storage tank with gravity fed reticulation system]]-WWWW[[#This Row],['#_Non-functional storage tank gravity fed reticulation system]]</f>
        <v>0</v>
      </c>
      <c r="BW103" s="80">
        <f>WWWW[[#This Row],['#_Water boating or water trucking]]</f>
        <v>0</v>
      </c>
      <c r="BX103" s="80">
        <f>WWWW[[#This Row],['#_Constructed/Existing water distribution system from river or natural spring]]</f>
        <v>0</v>
      </c>
      <c r="BY10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3" s="81">
        <f>IF(WWWW[[#This Row],[Location Type 1]]="Village",WWWW[[#This Row],[Access to safe drinking water for Village]],WWWW[[#This Row],[Access to safe drinking water for Camp]])</f>
        <v>1</v>
      </c>
      <c r="CB103" s="79">
        <f>WWWW[[#This Row],[%Equitable and continuous access to sufficient quantity of safe drinking water]]*WWWW[[#This Row],[Total PoP ]]</f>
        <v>2500</v>
      </c>
      <c r="CC103" s="81">
        <f>IF((WWWW[[#This Row],['#_Constructed/Existing protected/fenced ponds]]*250)/WWWW[[#This Row],[Total PoP ]]&gt;1,1,(WWWW[[#This Row],['#_Constructed/Existing protected/fenced ponds]]*250)/WWWW[[#This Row],[Total PoP ]])</f>
        <v>0</v>
      </c>
      <c r="CD103" s="79">
        <f>WWWW[[#This Row],[% Access to unimproved water points]]*WWWW[[#This Row],[Total PoP ]]</f>
        <v>0</v>
      </c>
      <c r="CE10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G103" s="79">
        <f>WWWW[[#This Row],[HRP1]]/500</f>
        <v>5</v>
      </c>
      <c r="CH103" s="78">
        <f>1-WWWW[[#This Row],[% Equitable and continuous access to sufficient quantity of domestic water]]</f>
        <v>0</v>
      </c>
      <c r="CI103" s="79">
        <f>WWWW[[#This Row],[%equitable and continuous access to sufficient quantity of safe drinking and domestic water''s GAP]]*WWWW[[#This Row],[Total PoP ]]</f>
        <v>0</v>
      </c>
      <c r="CJ103" s="80">
        <f>IF(WWWW[[#This Row],[Total required water points]]-WWWW[[#This Row],['#Water points coverage]]&lt;0,0,WWWW[[#This Row],[Total required water points]]-WWWW[[#This Row],['#Water points coverage]])</f>
        <v>0</v>
      </c>
      <c r="CK103" s="80">
        <f>ROUND(IF(WWWW[[#This Row],[Total PoP ]]&lt;500,1,WWWW[[#This Row],[Total PoP ]]/500),0)</f>
        <v>5</v>
      </c>
      <c r="CL103" s="80">
        <f>(WWWW[[#This Row],['#_Constructed latrines_by_WASHAgencies]]+WWWW[[#This Row],['#_Non Cluster partner latrines]])-WWWW[[#This Row],['#_Non-functional latrines]]</f>
        <v>26</v>
      </c>
      <c r="CM10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0.20799999999999999</v>
      </c>
      <c r="CN10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520</v>
      </c>
      <c r="CO10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640</v>
      </c>
      <c r="CP103" s="80">
        <f>IF(WWWW[[#This Row],[Location Type 1]]="Village","NA",IF(WWWW[[#This Row],['#_Constructed/Existing latrines in TLS]]*50&gt;WWWW[[#This Row],['#_students at TLS_CFS]],WWWW[[#This Row],['#_students at TLS_CFS]],(WWWW[[#This Row],['#_Constructed/Existing latrines in TLS]]*50)))</f>
        <v>0</v>
      </c>
      <c r="CQ103" s="80">
        <f>ROUND(IF(WWWW[[#This Row],[Location Type 1]]="camp",WWWW[[#This Row],[Total PoP ]]/20,IF(WWWW[[#This Row],[Location Type 1]]="Temporary Location",WWWW[[#This Row],[Total PoP ]]/50,(WWWW[[#This Row],[Total PoP ]]/6))),0)</f>
        <v>125</v>
      </c>
      <c r="CR103" s="79">
        <f>IF(WWWW[[#This Row],[Total required Latrines]]-(WWWW[[#This Row],['#_Constructed latrines_by_WASHAgencies]]+WWWW[[#This Row],['#_Non Cluster partner latrines]])&lt;0,0,WWWW[[#This Row],[Total required Latrines]]-(WWWW[[#This Row],['#_Constructed latrines_by_WASHAgencies]]+WWWW[[#This Row],['#_Non Cluster partner latrines]]))</f>
        <v>0</v>
      </c>
      <c r="CS103" s="78">
        <f>1-WWWW[[#This Row],[% people access to functioning Latrine]]</f>
        <v>0.79200000000000004</v>
      </c>
      <c r="CT103" s="82">
        <f>IF(OR(WWWW[[#This Row],['#_Non-functional latrines]]="",WWWW[[#This Row],['#_Non-functional latrines]]=0),0,WWWW[[#This Row],['#_Non-functional latrines]]/(WWWW[[#This Row],['#_Constructed latrines_by_WASHAgencies]]+WWWW[[#This Row],['#_Non Cluster partner latrines]]))</f>
        <v>0.8</v>
      </c>
      <c r="CU103" s="79">
        <f>IF(500*(WWWW[[#This Row],['#_male hygiene promoters]]+WWWW[[#This Row],['#_female hygiene promoters]])&gt;WWWW[[#This Row],[Total PoP ]],WWWW[[#This Row],[Total PoP ]],500*(WWWW[[#This Row],['#_male hygiene promoters]]+WWWW[[#This Row],['#_female hygiene promoters]]))</f>
        <v>2500</v>
      </c>
      <c r="CV10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3" s="80">
        <f>IF(WWWW[[#This Row],['# People with access to soap]]&gt;WWWW[[#This Row],['# People with access to Sanity Pads]],WWWW[[#This Row],['# People with access to soap]],WWWW[[#This Row],['# People with access to Sanity Pads]])</f>
        <v>0</v>
      </c>
      <c r="CY103" s="80">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CZ103" s="78">
        <f>IF(WWWW[[#This Row],[HRP3]]/WWWW[[#This Row],[Total PoP ]]&gt;100%,100%,WWWW[[#This Row],[HRP3]]/WWWW[[#This Row],[Total PoP ]])</f>
        <v>1</v>
      </c>
      <c r="DA103" s="82">
        <f>1-WWWW[[#This Row],[Hygiene Coverage%]]</f>
        <v>0</v>
      </c>
      <c r="DB103" s="81">
        <f>WWWW[[#This Row],['# people reached by regular dedicated hygiene promotion_5]]/WWWW[[#This Row],[Total PoP ]]</f>
        <v>1</v>
      </c>
      <c r="DC103" s="81">
        <f>IF(WWWW[[#This Row],['#_households that received standard amount of soap for this quarter]]/WWWW[[#This Row],[Total HH]]&gt;1,1,WWWW[[#This Row],['#_households that received standard amount of soap for this quarter]]/WWWW[[#This Row],[Total HH]])</f>
        <v>0</v>
      </c>
      <c r="DD103" s="81">
        <f>IF(WWWW[[#This Row],['#_households that received standard amount of sanitary pads for this quarter]]/WWWW[[#This Row],[Total HH]]&gt;1,1,WWWW[[#This Row],['#_households that received standard amount of sanitary pads for this quarter]]/WWWW[[#This Row],[Total HH]])</f>
        <v>0</v>
      </c>
      <c r="DE103" s="80">
        <f>WWWW[[#This Row],['#_Constructed/Existing hand washing stations]]-WWWW[[#This Row],['#_Non-Functional_hand_washing_stations]]</f>
        <v>0</v>
      </c>
      <c r="DF103" s="757">
        <f>IF(WWWW[[#This Row],['# Functional hand washing stations during reporting period]]*20&gt;WWWW[[#This Row],[Total HH]],WWWW[[#This Row],[Total HH]],WWWW[[#This Row],['# Functional hand washing stations during reporting period]]*20)</f>
        <v>0</v>
      </c>
      <c r="DG103" s="79">
        <f>IF(WWWW[[#This Row],[Is sufficient soap available for TLS? (Yes/No)]]="yes",WWWW[[#This Row],['#_Constructed/Existing hand washing stations at TLS]],0)</f>
        <v>0</v>
      </c>
      <c r="DH103" s="578">
        <f>IF(WWWW[[#This Row],['# Functional hand washing stations during reporting period]]*100&gt;WWWW[[#This Row],[Total PoP ]],WWWW[[#This Row],[Total PoP ]],WWWW[[#This Row],['# Functional hand washing stations during reporting period]]*100)</f>
        <v>0</v>
      </c>
      <c r="DI103" s="578" t="str">
        <f>IF(OR(WWWW[[#This Row],['#_students at TLS_CFS]]="",WWWW[[#This Row],['#_students at TLS_CFS]]=0),"No","Yes")</f>
        <v>No</v>
      </c>
      <c r="DJ103" s="231" t="str">
        <f>VLOOKUP(WWWW[[#This Row],[Site Name]],SiteDB6[[Site Name]:[CCCM Management]],6,FALSE)</f>
        <v>Yes</v>
      </c>
      <c r="DK103" s="231" t="str">
        <f>VLOOKUP(WWWW[[#This Row],[Site Name]],SiteDB6[[Site Name]:[CCCM Focal Agency]],7,FALSE)</f>
        <v>KBC-MYT</v>
      </c>
      <c r="DL103" s="231" t="str">
        <f>VLOOKUP(WWWW[[#This Row],[Site Name]],SiteDB6[[Site Name]:[Location Type 1]],9,FALSE)</f>
        <v>Camp</v>
      </c>
      <c r="DM103" s="231" t="str">
        <f>VLOOKUP(WWWW[[#This Row],[Site Name]],SiteDB6[[Site Name]:[Type of Accommodation]],10,FALSE)</f>
        <v>Camp</v>
      </c>
      <c r="DN103" s="231" t="str">
        <f>VLOOKUP(WWWW[[#This Row],[Site Name]],SiteDB6[[Site Name]:[Ethnic or GCA/NGCA]],11,FALSE)</f>
        <v>GCA</v>
      </c>
      <c r="DO103" s="231">
        <f>VLOOKUP(WWWW[[#This Row],[Site Name]],SiteDB6[[Site Name]:[Lat]],12,FALSE)</f>
        <v>25.4118005797101</v>
      </c>
      <c r="DP103" s="231">
        <f>VLOOKUP(WWWW[[#This Row],[Site Name]],SiteDB6[[Site Name]:[Long]],13,FALSE)</f>
        <v>97.434855869565197</v>
      </c>
      <c r="DQ103" s="231" t="str">
        <f>VLOOKUP(WWWW[[#This Row],[Site Name]],SiteDB6[[Site Name]:[Pcode]],3,FALSE)</f>
        <v>MMR001CMP040</v>
      </c>
      <c r="DR103" s="207" t="str">
        <f t="shared" si="3"/>
        <v>Covered</v>
      </c>
      <c r="DS103" s="207"/>
      <c r="DT103" s="20"/>
      <c r="DU103" s="20"/>
      <c r="DV103" s="20"/>
      <c r="DW103" s="20"/>
      <c r="DX103" s="20"/>
      <c r="DY103" s="20"/>
      <c r="DZ103" s="20"/>
      <c r="EA103" s="20"/>
      <c r="EB103" s="20"/>
      <c r="EC103" s="20"/>
      <c r="ED103" s="20"/>
      <c r="EE103" s="20"/>
      <c r="EF103" s="20"/>
      <c r="EG103" s="20"/>
      <c r="EH103" s="20"/>
    </row>
    <row r="104" spans="1:138" ht="15.75" customHeight="1">
      <c r="A104" s="238" t="s">
        <v>2518</v>
      </c>
      <c r="B104" s="574" t="s">
        <v>38</v>
      </c>
      <c r="C104" s="574" t="s">
        <v>38</v>
      </c>
      <c r="D104" s="574" t="s">
        <v>3101</v>
      </c>
      <c r="E104" s="574" t="s">
        <v>39</v>
      </c>
      <c r="F104" s="574" t="s">
        <v>167</v>
      </c>
      <c r="G104" s="574" t="str">
        <f>VLOOKUP(WWWW[[#This Row],[Site Name]],SiteDB6[[Site Name]:[Location Type]],8,FALSE)</f>
        <v>Camp</v>
      </c>
      <c r="H104" s="574" t="s">
        <v>243</v>
      </c>
      <c r="I104" s="583">
        <v>147</v>
      </c>
      <c r="J104" s="583">
        <v>882</v>
      </c>
      <c r="K104" s="553">
        <v>43466</v>
      </c>
      <c r="L104" s="77" t="s">
        <v>2974</v>
      </c>
      <c r="M104" s="583"/>
      <c r="N104" s="583"/>
      <c r="O104" s="583"/>
      <c r="P104" s="583"/>
      <c r="Q104" s="574" t="s">
        <v>43</v>
      </c>
      <c r="R104" s="583"/>
      <c r="S104" s="583"/>
      <c r="T104" s="583">
        <v>8</v>
      </c>
      <c r="U104" s="583"/>
      <c r="V104" s="583">
        <v>1</v>
      </c>
      <c r="W104" s="583">
        <v>2</v>
      </c>
      <c r="X104" s="583"/>
      <c r="Y104" s="583"/>
      <c r="Z104" s="583"/>
      <c r="AA104" s="583"/>
      <c r="AB104" s="583"/>
      <c r="AC104" s="583"/>
      <c r="AD104" s="583"/>
      <c r="AE104" s="583"/>
      <c r="AF104" s="583"/>
      <c r="AG104" s="583"/>
      <c r="AH104" s="583"/>
      <c r="AI104" s="583"/>
      <c r="AJ104" s="583"/>
      <c r="AK104" s="583"/>
      <c r="AL104" s="583"/>
      <c r="AM104" s="583"/>
      <c r="AN104" s="583"/>
      <c r="AO104" s="578"/>
      <c r="AP104" s="601">
        <v>74</v>
      </c>
      <c r="AQ104" s="574"/>
      <c r="AR104" s="574"/>
      <c r="AS104" s="578"/>
      <c r="AT104" s="574"/>
      <c r="AU104" s="578"/>
      <c r="AV104" s="578"/>
      <c r="AW104" s="80"/>
      <c r="AX104" s="80" t="s">
        <v>43</v>
      </c>
      <c r="AY104" s="80" t="s">
        <v>145</v>
      </c>
      <c r="AZ104" s="80"/>
      <c r="BA104" s="80"/>
      <c r="BB104" s="578"/>
      <c r="BC104" s="578"/>
      <c r="BD104" s="578"/>
      <c r="BE104" s="578"/>
      <c r="BF104" s="578"/>
      <c r="BG104" s="602">
        <v>13</v>
      </c>
      <c r="BH104" s="578"/>
      <c r="BI104" s="583"/>
      <c r="BJ104" s="583">
        <v>4</v>
      </c>
      <c r="BK104" s="603">
        <v>30</v>
      </c>
      <c r="BL104" s="578"/>
      <c r="BM104" s="578"/>
      <c r="BN104" s="578"/>
      <c r="BO104" s="81"/>
      <c r="BP104" s="578"/>
      <c r="BQ104" s="78" t="str">
        <f>IFERROR(WWWW[[#This Row],['#_Water sources treated]]/WWWW[[#This Row],['#_Water sources tested for contamination]],"no test")</f>
        <v>no test</v>
      </c>
      <c r="BR104" s="81" t="str">
        <f>IFERROR(WWWW[[#This Row],['#_Household received remediation action due to contamination]]/WWWW[[#This Row],['#_Household water samples tested for contamination]],"no test")</f>
        <v>no test</v>
      </c>
      <c r="BS104" s="80" t="str">
        <f>IF(AND(WWWW[[#This Row],[% of water sources treated]]="no test",WWWW[[#This Row],[% Household received corrective actions]]="no test"),"No Test","Tested")</f>
        <v>No Test</v>
      </c>
      <c r="BT104" s="80">
        <f>WWWW[[#This Row],['#_Constructed/existing protected hand dug well]]-WWWW[[#This Row],['#_Non-functional protected hand dug well]]</f>
        <v>8</v>
      </c>
      <c r="BU104" s="80">
        <f>(WWWW[[#This Row],['#_Constructed/Existing tube wells/boreholes/handpumps_WASH_agency]]+WWWW[[#This Row],['#_Non-Cluster partner water tube-wells/boreholes/handpumps]])-WWWW[[#This Row],['#_Non-functional tube wells/boreholes/handpumps]]</f>
        <v>2</v>
      </c>
      <c r="BV104" s="80">
        <f>WWWW[[#This Row],['#_Constructed/Existingwater storage tank with gravity fed reticulation system]]-WWWW[[#This Row],['#_Non-functional storage tank gravity fed reticulation system]]</f>
        <v>0</v>
      </c>
      <c r="BW104" s="80">
        <f>WWWW[[#This Row],['#_Water boating or water trucking]]</f>
        <v>0</v>
      </c>
      <c r="BX104" s="80">
        <f>WWWW[[#This Row],['#_Constructed/Existing water distribution system from river or natural spring]]</f>
        <v>0</v>
      </c>
      <c r="BY10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4" s="81">
        <f>IF(WWWW[[#This Row],[Location Type 1]]="Village",WWWW[[#This Row],[Access to safe drinking water for Village]],WWWW[[#This Row],[Access to safe drinking water for Camp]])</f>
        <v>1</v>
      </c>
      <c r="CB104" s="79">
        <f>WWWW[[#This Row],[%Equitable and continuous access to sufficient quantity of safe drinking water]]*WWWW[[#This Row],[Total PoP ]]</f>
        <v>882</v>
      </c>
      <c r="CC104" s="81">
        <f>IF((WWWW[[#This Row],['#_Constructed/Existing protected/fenced ponds]]*250)/WWWW[[#This Row],[Total PoP ]]&gt;1,1,(WWWW[[#This Row],['#_Constructed/Existing protected/fenced ponds]]*250)/WWWW[[#This Row],[Total PoP ]])</f>
        <v>0</v>
      </c>
      <c r="CD104" s="79">
        <f>WWWW[[#This Row],[% Access to unimproved water points]]*WWWW[[#This Row],[Total PoP ]]</f>
        <v>0</v>
      </c>
      <c r="CE10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G104" s="79">
        <f>WWWW[[#This Row],[HRP1]]/500</f>
        <v>1.764</v>
      </c>
      <c r="CH104" s="78">
        <f>1-WWWW[[#This Row],[% Equitable and continuous access to sufficient quantity of domestic water]]</f>
        <v>0</v>
      </c>
      <c r="CI104" s="79">
        <f>WWWW[[#This Row],[%equitable and continuous access to sufficient quantity of safe drinking and domestic water''s GAP]]*WWWW[[#This Row],[Total PoP ]]</f>
        <v>0</v>
      </c>
      <c r="CJ104" s="80">
        <f>IF(WWWW[[#This Row],[Total required water points]]-WWWW[[#This Row],['#Water points coverage]]&lt;0,0,WWWW[[#This Row],[Total required water points]]-WWWW[[#This Row],['#Water points coverage]])</f>
        <v>0.23599999999999999</v>
      </c>
      <c r="CK104" s="80">
        <f>ROUND(IF(WWWW[[#This Row],[Total PoP ]]&lt;500,1,WWWW[[#This Row],[Total PoP ]]/500),0)</f>
        <v>2</v>
      </c>
      <c r="CL104" s="80">
        <f>(WWWW[[#This Row],['#_Constructed latrines_by_WASHAgencies]]+WWWW[[#This Row],['#_Non Cluster partner latrines]])-WWWW[[#This Row],['#_Non-functional latrines]]</f>
        <v>74</v>
      </c>
      <c r="CM10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882</v>
      </c>
      <c r="CO10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4" s="80">
        <f>IF(WWWW[[#This Row],[Location Type 1]]="Village","NA",IF(WWWW[[#This Row],['#_Constructed/Existing latrines in TLS]]*50&gt;WWWW[[#This Row],['#_students at TLS_CFS]],WWWW[[#This Row],['#_students at TLS_CFS]],(WWWW[[#This Row],['#_Constructed/Existing latrines in TLS]]*50)))</f>
        <v>0</v>
      </c>
      <c r="CQ104" s="80">
        <f>ROUND(IF(WWWW[[#This Row],[Location Type 1]]="camp",WWWW[[#This Row],[Total PoP ]]/20,IF(WWWW[[#This Row],[Location Type 1]]="Temporary Location",WWWW[[#This Row],[Total PoP ]]/50,(WWWW[[#This Row],[Total PoP ]]/6))),0)</f>
        <v>44</v>
      </c>
      <c r="CR104" s="79">
        <f>IF(WWWW[[#This Row],[Total required Latrines]]-(WWWW[[#This Row],['#_Constructed latrines_by_WASHAgencies]]+WWWW[[#This Row],['#_Non Cluster partner latrines]])&lt;0,0,WWWW[[#This Row],[Total required Latrines]]-(WWWW[[#This Row],['#_Constructed latrines_by_WASHAgencies]]+WWWW[[#This Row],['#_Non Cluster partner latrines]]))</f>
        <v>0</v>
      </c>
      <c r="CS104" s="78">
        <f>1-WWWW[[#This Row],[% people access to functioning Latrine]]</f>
        <v>0</v>
      </c>
      <c r="CT104" s="82">
        <f>IF(OR(WWWW[[#This Row],['#_Non-functional latrines]]="",WWWW[[#This Row],['#_Non-functional latrines]]=0),0,WWWW[[#This Row],['#_Non-functional latrines]]/(WWWW[[#This Row],['#_Constructed latrines_by_WASHAgencies]]+WWWW[[#This Row],['#_Non Cluster partner latrines]]))</f>
        <v>0</v>
      </c>
      <c r="CU104" s="79">
        <f>IF(500*(WWWW[[#This Row],['#_male hygiene promoters]]+WWWW[[#This Row],['#_female hygiene promoters]])&gt;WWWW[[#This Row],[Total PoP ]],WWWW[[#This Row],[Total PoP ]],500*(WWWW[[#This Row],['#_male hygiene promoters]]+WWWW[[#This Row],['#_female hygiene promoters]]))</f>
        <v>882</v>
      </c>
      <c r="CV10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10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4" s="80">
        <f>IF(WWWW[[#This Row],['# People with access to soap]]&gt;WWWW[[#This Row],['# People with access to Sanity Pads]],WWWW[[#This Row],['# People with access to soap]],WWWW[[#This Row],['# People with access to Sanity Pads]])</f>
        <v>150</v>
      </c>
      <c r="CY104" s="80">
        <f>IF(WWWW[[#This Row],['# people reached by regular dedicated hygiene promotion_5]]&gt;WWWW[[#This Row],['# People received regular supply of hygiene items_6]],WWWW[[#This Row],['# people reached by regular dedicated hygiene promotion_5]],WWWW[[#This Row],['# People received regular supply of hygiene items_6]])</f>
        <v>882</v>
      </c>
      <c r="CZ104" s="78">
        <f>IF(WWWW[[#This Row],[HRP3]]/WWWW[[#This Row],[Total PoP ]]&gt;100%,100%,WWWW[[#This Row],[HRP3]]/WWWW[[#This Row],[Total PoP ]])</f>
        <v>1</v>
      </c>
      <c r="DA104" s="82">
        <f>1-WWWW[[#This Row],[Hygiene Coverage%]]</f>
        <v>0</v>
      </c>
      <c r="DB104" s="81">
        <f>WWWW[[#This Row],['# people reached by regular dedicated hygiene promotion_5]]/WWWW[[#This Row],[Total PoP ]]</f>
        <v>1</v>
      </c>
      <c r="DC104" s="81">
        <f>IF(WWWW[[#This Row],['#_households that received standard amount of soap for this quarter]]/WWWW[[#This Row],[Total HH]]&gt;1,1,WWWW[[#This Row],['#_households that received standard amount of soap for this quarter]]/WWWW[[#This Row],[Total HH]])</f>
        <v>0.20408163265306123</v>
      </c>
      <c r="DD104" s="81">
        <f>IF(WWWW[[#This Row],['#_households that received standard amount of sanitary pads for this quarter]]/WWWW[[#This Row],[Total HH]]&gt;1,1,WWWW[[#This Row],['#_households that received standard amount of sanitary pads for this quarter]]/WWWW[[#This Row],[Total HH]])</f>
        <v>0</v>
      </c>
      <c r="DE104" s="80">
        <f>WWWW[[#This Row],['#_Constructed/Existing hand washing stations]]-WWWW[[#This Row],['#_Non-Functional_hand_washing_stations]]</f>
        <v>0</v>
      </c>
      <c r="DF104" s="757">
        <f>IF(WWWW[[#This Row],['# Functional hand washing stations during reporting period]]*20&gt;WWWW[[#This Row],[Total HH]],WWWW[[#This Row],[Total HH]],WWWW[[#This Row],['# Functional hand washing stations during reporting period]]*20)</f>
        <v>0</v>
      </c>
      <c r="DG104" s="79">
        <f>IF(WWWW[[#This Row],[Is sufficient soap available for TLS? (Yes/No)]]="yes",WWWW[[#This Row],['#_Constructed/Existing hand washing stations at TLS]],0)</f>
        <v>0</v>
      </c>
      <c r="DH104" s="578">
        <f>IF(WWWW[[#This Row],['# Functional hand washing stations during reporting period]]*100&gt;WWWW[[#This Row],[Total PoP ]],WWWW[[#This Row],[Total PoP ]],WWWW[[#This Row],['# Functional hand washing stations during reporting period]]*100)</f>
        <v>0</v>
      </c>
      <c r="DI104" s="578" t="str">
        <f>IF(OR(WWWW[[#This Row],['#_students at TLS_CFS]]="",WWWW[[#This Row],['#_students at TLS_CFS]]=0),"No","Yes")</f>
        <v>No</v>
      </c>
      <c r="DJ104" s="231" t="str">
        <f>VLOOKUP(WWWW[[#This Row],[Site Name]],SiteDB6[[Site Name]:[CCCM Management]],6,FALSE)</f>
        <v>Yes</v>
      </c>
      <c r="DK104" s="231" t="str">
        <f>VLOOKUP(WWWW[[#This Row],[Site Name]],SiteDB6[[Site Name]:[CCCM Focal Agency]],7,FALSE)</f>
        <v>KMSS-MYT</v>
      </c>
      <c r="DL104" s="231" t="str">
        <f>VLOOKUP(WWWW[[#This Row],[Site Name]],SiteDB6[[Site Name]:[Location Type 1]],9,FALSE)</f>
        <v>Camp</v>
      </c>
      <c r="DM104" s="231" t="str">
        <f>VLOOKUP(WWWW[[#This Row],[Site Name]],SiteDB6[[Site Name]:[Type of Accommodation]],10,FALSE)</f>
        <v>Camp</v>
      </c>
      <c r="DN104" s="231" t="str">
        <f>VLOOKUP(WWWW[[#This Row],[Site Name]],SiteDB6[[Site Name]:[Ethnic or GCA/NGCA]],11,FALSE)</f>
        <v>GCA</v>
      </c>
      <c r="DO104" s="231">
        <f>VLOOKUP(WWWW[[#This Row],[Site Name]],SiteDB6[[Site Name]:[Lat]],12,FALSE)</f>
        <v>25.493819999999999</v>
      </c>
      <c r="DP104" s="231">
        <f>VLOOKUP(WWWW[[#This Row],[Site Name]],SiteDB6[[Site Name]:[Long]],13,FALSE)</f>
        <v>97.4345</v>
      </c>
      <c r="DQ104" s="231" t="str">
        <f>VLOOKUP(WWWW[[#This Row],[Site Name]],SiteDB6[[Site Name]:[Pcode]],3,FALSE)</f>
        <v>MMR001CMP162</v>
      </c>
      <c r="DR104" s="207" t="str">
        <f t="shared" si="3"/>
        <v>Covered</v>
      </c>
      <c r="DS104" s="207"/>
      <c r="DT104" s="20"/>
      <c r="DU104" s="20"/>
      <c r="DV104" s="20"/>
      <c r="DW104" s="20"/>
      <c r="DX104" s="20"/>
      <c r="DY104" s="20"/>
      <c r="DZ104" s="20"/>
      <c r="EA104" s="20"/>
      <c r="EB104" s="20"/>
      <c r="EC104" s="20"/>
      <c r="ED104" s="20"/>
      <c r="EE104" s="20"/>
      <c r="EF104" s="20"/>
      <c r="EG104" s="20"/>
      <c r="EH104" s="20"/>
    </row>
    <row r="105" spans="1:138" ht="15.75" customHeight="1">
      <c r="A105" s="238" t="s">
        <v>2518</v>
      </c>
      <c r="B105" s="238" t="s">
        <v>149</v>
      </c>
      <c r="C105" s="574" t="s">
        <v>149</v>
      </c>
      <c r="D105" s="584" t="s">
        <v>152</v>
      </c>
      <c r="E105" s="574" t="s">
        <v>39</v>
      </c>
      <c r="F105" s="574" t="s">
        <v>150</v>
      </c>
      <c r="G105" s="574" t="str">
        <f>VLOOKUP(WWWW[[#This Row],[Site Name]],SiteDB6[[Site Name]:[Location Type]],8,FALSE)</f>
        <v>Camp</v>
      </c>
      <c r="H105" s="574" t="s">
        <v>187</v>
      </c>
      <c r="I105" s="583">
        <v>43</v>
      </c>
      <c r="J105" s="583">
        <v>191</v>
      </c>
      <c r="K105" s="553">
        <v>43556</v>
      </c>
      <c r="L105" s="77">
        <v>43677</v>
      </c>
      <c r="M105" s="583"/>
      <c r="N105" s="583"/>
      <c r="O105" s="583"/>
      <c r="P105" s="583"/>
      <c r="Q105" s="574" t="s">
        <v>43</v>
      </c>
      <c r="R105" s="310"/>
      <c r="S105" s="310"/>
      <c r="T105" s="583">
        <v>1</v>
      </c>
      <c r="U105" s="310"/>
      <c r="V105" s="310"/>
      <c r="W105" s="583">
        <v>0</v>
      </c>
      <c r="X105" s="310"/>
      <c r="Y105" s="310"/>
      <c r="Z105" s="310"/>
      <c r="AA105" s="310"/>
      <c r="AB105" s="310"/>
      <c r="AC105" s="310"/>
      <c r="AD105" s="310"/>
      <c r="AE105" s="310"/>
      <c r="AF105" s="310"/>
      <c r="AG105" s="310"/>
      <c r="AH105" s="583">
        <v>2</v>
      </c>
      <c r="AI105" s="310"/>
      <c r="AJ105" s="310"/>
      <c r="AK105" s="310"/>
      <c r="AL105" s="310"/>
      <c r="AM105" s="310"/>
      <c r="AN105" s="310"/>
      <c r="AO105" s="207"/>
      <c r="AP105" s="583">
        <v>10</v>
      </c>
      <c r="AQ105" s="310"/>
      <c r="AR105" s="76"/>
      <c r="AS105" s="310"/>
      <c r="AT105" s="310"/>
      <c r="AU105" s="310">
        <v>3</v>
      </c>
      <c r="AV105" s="310"/>
      <c r="AW105" s="583">
        <v>10</v>
      </c>
      <c r="AX105" s="231" t="s">
        <v>43</v>
      </c>
      <c r="AY105" s="231" t="s">
        <v>145</v>
      </c>
      <c r="AZ105" s="310"/>
      <c r="BA105" s="310"/>
      <c r="BB105" s="310"/>
      <c r="BC105" s="207"/>
      <c r="BD105" s="310"/>
      <c r="BE105" s="310"/>
      <c r="BF105" s="310"/>
      <c r="BG105" s="310">
        <v>2</v>
      </c>
      <c r="BH105" s="310"/>
      <c r="BI105" s="310"/>
      <c r="BJ105" s="310">
        <v>1</v>
      </c>
      <c r="BK105" s="310"/>
      <c r="BL105" s="310"/>
      <c r="BM105" s="207"/>
      <c r="BN105" s="79"/>
      <c r="BO105" s="81"/>
      <c r="BP105" s="207"/>
      <c r="BQ105" s="78" t="str">
        <f>IFERROR(WWWW[[#This Row],['#_Water sources treated]]/WWWW[[#This Row],['#_Water sources tested for contamination]],"no test")</f>
        <v>no test</v>
      </c>
      <c r="BR105" s="81" t="str">
        <f>IFERROR(WWWW[[#This Row],['#_Household received remediation action due to contamination]]/WWWW[[#This Row],['#_Household water samples tested for contamination]],"no test")</f>
        <v>no test</v>
      </c>
      <c r="BS105" s="80" t="str">
        <f>IF(AND(WWWW[[#This Row],[% of water sources treated]]="no test",WWWW[[#This Row],[% Household received corrective actions]]="no test"),"No Test","Tested")</f>
        <v>No Test</v>
      </c>
      <c r="BT105" s="80">
        <f>WWWW[[#This Row],['#_Constructed/existing protected hand dug well]]-WWWW[[#This Row],['#_Non-functional protected hand dug well]]</f>
        <v>1</v>
      </c>
      <c r="BU105" s="80">
        <f>(WWWW[[#This Row],['#_Constructed/Existing tube wells/boreholes/handpumps_WASH_agency]]+WWWW[[#This Row],['#_Non-Cluster partner water tube-wells/boreholes/handpumps]])-WWWW[[#This Row],['#_Non-functional tube wells/boreholes/handpumps]]</f>
        <v>0</v>
      </c>
      <c r="BV105" s="80">
        <f>WWWW[[#This Row],['#_Constructed/Existingwater storage tank with gravity fed reticulation system]]-WWWW[[#This Row],['#_Non-functional storage tank gravity fed reticulation system]]</f>
        <v>0</v>
      </c>
      <c r="BW105" s="80">
        <f>WWWW[[#This Row],['#_Water boating or water trucking]]</f>
        <v>0</v>
      </c>
      <c r="BX105" s="80">
        <f>WWWW[[#This Row],['#_Constructed/Existing water distribution system from river or natural spring]]</f>
        <v>0</v>
      </c>
      <c r="BY10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5" s="81">
        <f>IF(WWWW[[#This Row],[Location Type 1]]="Village",WWWW[[#This Row],[Access to safe drinking water for Village]],WWWW[[#This Row],[Access to safe drinking water for Camp]])</f>
        <v>1</v>
      </c>
      <c r="CB105" s="79">
        <f>WWWW[[#This Row],[%Equitable and continuous access to sufficient quantity of safe drinking water]]*WWWW[[#This Row],[Total PoP ]]</f>
        <v>191</v>
      </c>
      <c r="CC105" s="81">
        <f>IF((WWWW[[#This Row],['#_Constructed/Existing protected/fenced ponds]]*250)/WWWW[[#This Row],[Total PoP ]]&gt;1,1,(WWWW[[#This Row],['#_Constructed/Existing protected/fenced ponds]]*250)/WWWW[[#This Row],[Total PoP ]])</f>
        <v>0</v>
      </c>
      <c r="CD105" s="79">
        <f>WWWW[[#This Row],[% Access to unimproved water points]]*WWWW[[#This Row],[Total PoP ]]</f>
        <v>0</v>
      </c>
      <c r="CE10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G105" s="79">
        <f>WWWW[[#This Row],[HRP1]]/500</f>
        <v>0.38200000000000001</v>
      </c>
      <c r="CH105" s="78">
        <f>1-WWWW[[#This Row],[% Equitable and continuous access to sufficient quantity of domestic water]]</f>
        <v>0</v>
      </c>
      <c r="CI105" s="79">
        <f>WWWW[[#This Row],[%equitable and continuous access to sufficient quantity of safe drinking and domestic water''s GAP]]*WWWW[[#This Row],[Total PoP ]]</f>
        <v>0</v>
      </c>
      <c r="CJ105" s="80">
        <f>IF(WWWW[[#This Row],[Total required water points]]-WWWW[[#This Row],['#Water points coverage]]&lt;0,0,WWWW[[#This Row],[Total required water points]]-WWWW[[#This Row],['#Water points coverage]])</f>
        <v>0.61799999999999999</v>
      </c>
      <c r="CK105" s="80">
        <f>ROUND(IF(WWWW[[#This Row],[Total PoP ]]&lt;500,1,WWWW[[#This Row],[Total PoP ]]/500),0)</f>
        <v>1</v>
      </c>
      <c r="CL105" s="80">
        <f>(WWWW[[#This Row],['#_Constructed latrines_by_WASHAgencies]]+WWWW[[#This Row],['#_Non Cluster partner latrines]])-WWWW[[#This Row],['#_Non-functional latrines]]</f>
        <v>10</v>
      </c>
      <c r="CM10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191</v>
      </c>
      <c r="CO10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P105" s="80">
        <f>IF(WWWW[[#This Row],[Location Type 1]]="Village","NA",IF(WWWW[[#This Row],['#_Constructed/Existing latrines in TLS]]*50&gt;WWWW[[#This Row],['#_students at TLS_CFS]],WWWW[[#This Row],['#_students at TLS_CFS]],(WWWW[[#This Row],['#_Constructed/Existing latrines in TLS]]*50)))</f>
        <v>0</v>
      </c>
      <c r="CQ105" s="80">
        <f>ROUND(IF(WWWW[[#This Row],[Location Type 1]]="camp",WWWW[[#This Row],[Total PoP ]]/20,IF(WWWW[[#This Row],[Location Type 1]]="Temporary Location",WWWW[[#This Row],[Total PoP ]]/50,(WWWW[[#This Row],[Total PoP ]]/6))),0)</f>
        <v>10</v>
      </c>
      <c r="CR105" s="79">
        <f>IF(WWWW[[#This Row],[Total required Latrines]]-(WWWW[[#This Row],['#_Constructed latrines_by_WASHAgencies]]+WWWW[[#This Row],['#_Non Cluster partner latrines]])&lt;0,0,WWWW[[#This Row],[Total required Latrines]]-(WWWW[[#This Row],['#_Constructed latrines_by_WASHAgencies]]+WWWW[[#This Row],['#_Non Cluster partner latrines]]))</f>
        <v>0</v>
      </c>
      <c r="CS105" s="78">
        <f>1-WWWW[[#This Row],[% people access to functioning Latrine]]</f>
        <v>0</v>
      </c>
      <c r="CT105" s="82">
        <f>IF(OR(WWWW[[#This Row],['#_Non-functional latrines]]="",WWWW[[#This Row],['#_Non-functional latrines]]=0),0,WWWW[[#This Row],['#_Non-functional latrines]]/(WWWW[[#This Row],['#_Constructed latrines_by_WASHAgencies]]+WWWW[[#This Row],['#_Non Cluster partner latrines]]))</f>
        <v>0</v>
      </c>
      <c r="CU105" s="79">
        <f>IF(500*(WWWW[[#This Row],['#_male hygiene promoters]]+WWWW[[#This Row],['#_female hygiene promoters]])&gt;WWWW[[#This Row],[Total PoP ]],WWWW[[#This Row],[Total PoP ]],500*(WWWW[[#This Row],['#_male hygiene promoters]]+WWWW[[#This Row],['#_female hygiene promoters]]))</f>
        <v>191</v>
      </c>
      <c r="CV10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5" s="80">
        <f>IF(WWWW[[#This Row],['# People with access to soap]]&gt;WWWW[[#This Row],['# People with access to Sanity Pads]],WWWW[[#This Row],['# People with access to soap]],WWWW[[#This Row],['# People with access to Sanity Pads]])</f>
        <v>0</v>
      </c>
      <c r="CY105" s="80">
        <f>IF(WWWW[[#This Row],['# people reached by regular dedicated hygiene promotion_5]]&gt;WWWW[[#This Row],['# People received regular supply of hygiene items_6]],WWWW[[#This Row],['# people reached by regular dedicated hygiene promotion_5]],WWWW[[#This Row],['# People received regular supply of hygiene items_6]])</f>
        <v>191</v>
      </c>
      <c r="CZ105" s="78">
        <f>IF(WWWW[[#This Row],[HRP3]]/WWWW[[#This Row],[Total PoP ]]&gt;100%,100%,WWWW[[#This Row],[HRP3]]/WWWW[[#This Row],[Total PoP ]])</f>
        <v>1</v>
      </c>
      <c r="DA105" s="82">
        <f>1-WWWW[[#This Row],[Hygiene Coverage%]]</f>
        <v>0</v>
      </c>
      <c r="DB105" s="81">
        <f>WWWW[[#This Row],['# people reached by regular dedicated hygiene promotion_5]]/WWWW[[#This Row],[Total PoP ]]</f>
        <v>1</v>
      </c>
      <c r="DC105" s="81">
        <f>IF(WWWW[[#This Row],['#_households that received standard amount of soap for this quarter]]/WWWW[[#This Row],[Total HH]]&gt;1,1,WWWW[[#This Row],['#_households that received standard amount of soap for this quarter]]/WWWW[[#This Row],[Total HH]])</f>
        <v>0</v>
      </c>
      <c r="DD105" s="81">
        <f>IF(WWWW[[#This Row],['#_households that received standard amount of sanitary pads for this quarter]]/WWWW[[#This Row],[Total HH]]&gt;1,1,WWWW[[#This Row],['#_households that received standard amount of sanitary pads for this quarter]]/WWWW[[#This Row],[Total HH]])</f>
        <v>0</v>
      </c>
      <c r="DE105" s="80">
        <f>WWWW[[#This Row],['#_Constructed/Existing hand washing stations]]-WWWW[[#This Row],['#_Non-Functional_hand_washing_stations]]</f>
        <v>0</v>
      </c>
      <c r="DF105" s="757">
        <f>IF(WWWW[[#This Row],['# Functional hand washing stations during reporting period]]*20&gt;WWWW[[#This Row],[Total HH]],WWWW[[#This Row],[Total HH]],WWWW[[#This Row],['# Functional hand washing stations during reporting period]]*20)</f>
        <v>0</v>
      </c>
      <c r="DG105" s="79">
        <f>IF(WWWW[[#This Row],[Is sufficient soap available for TLS? (Yes/No)]]="yes",WWWW[[#This Row],['#_Constructed/Existing hand washing stations at TLS]],0)</f>
        <v>0</v>
      </c>
      <c r="DH105" s="578">
        <f>IF(WWWW[[#This Row],['# Functional hand washing stations during reporting period]]*100&gt;WWWW[[#This Row],[Total PoP ]],WWWW[[#This Row],[Total PoP ]],WWWW[[#This Row],['# Functional hand washing stations during reporting period]]*100)</f>
        <v>0</v>
      </c>
      <c r="DI105" s="578" t="str">
        <f>IF(OR(WWWW[[#This Row],['#_students at TLS_CFS]]="",WWWW[[#This Row],['#_students at TLS_CFS]]=0),"No","Yes")</f>
        <v>No</v>
      </c>
      <c r="DJ105" s="231" t="str">
        <f>VLOOKUP(WWWW[[#This Row],[Site Name]],SiteDB6[[Site Name]:[CCCM Management]],6,FALSE)</f>
        <v>Yes</v>
      </c>
      <c r="DK105" s="231" t="str">
        <f>VLOOKUP(WWWW[[#This Row],[Site Name]],SiteDB6[[Site Name]:[CCCM Focal Agency]],7,FALSE)</f>
        <v>KBC-MYT</v>
      </c>
      <c r="DL105" s="231" t="str">
        <f>VLOOKUP(WWWW[[#This Row],[Site Name]],SiteDB6[[Site Name]:[Location Type 1]],9,FALSE)</f>
        <v>Camp</v>
      </c>
      <c r="DM105" s="231" t="str">
        <f>VLOOKUP(WWWW[[#This Row],[Site Name]],SiteDB6[[Site Name]:[Type of Accommodation]],10,FALSE)</f>
        <v>Camp</v>
      </c>
      <c r="DN105" s="231" t="str">
        <f>VLOOKUP(WWWW[[#This Row],[Site Name]],SiteDB6[[Site Name]:[Ethnic or GCA/NGCA]],11,FALSE)</f>
        <v>GCA</v>
      </c>
      <c r="DO105" s="231">
        <f>VLOOKUP(WWWW[[#This Row],[Site Name]],SiteDB6[[Site Name]:[Lat]],12,FALSE)</f>
        <v>25.409612685185198</v>
      </c>
      <c r="DP105" s="231">
        <f>VLOOKUP(WWWW[[#This Row],[Site Name]],SiteDB6[[Site Name]:[Long]],13,FALSE)</f>
        <v>97.426536944444507</v>
      </c>
      <c r="DQ105" s="231" t="str">
        <f>VLOOKUP(WWWW[[#This Row],[Site Name]],SiteDB6[[Site Name]:[Pcode]],3,FALSE)</f>
        <v>MMR001CMP039</v>
      </c>
      <c r="DR105" s="207" t="str">
        <f t="shared" si="3"/>
        <v>Covered</v>
      </c>
      <c r="DS105" s="207"/>
      <c r="DT105" s="20"/>
      <c r="DU105" s="20"/>
      <c r="DV105" s="20"/>
      <c r="DW105" s="20"/>
      <c r="DX105" s="20"/>
      <c r="DY105" s="20"/>
      <c r="DZ105" s="20"/>
      <c r="EA105" s="20"/>
      <c r="EB105" s="20"/>
      <c r="EC105" s="20"/>
      <c r="ED105" s="20"/>
      <c r="EE105" s="20"/>
      <c r="EF105" s="20"/>
      <c r="EG105" s="20"/>
      <c r="EH105" s="20"/>
    </row>
    <row r="106" spans="1:138" ht="15.75" customHeight="1">
      <c r="A106" s="238" t="s">
        <v>2518</v>
      </c>
      <c r="B106" s="574" t="s">
        <v>317</v>
      </c>
      <c r="C106" s="574" t="s">
        <v>317</v>
      </c>
      <c r="D106" s="574"/>
      <c r="E106" s="574" t="s">
        <v>39</v>
      </c>
      <c r="F106" s="574" t="s">
        <v>167</v>
      </c>
      <c r="G106" s="574" t="str">
        <f>VLOOKUP(WWWW[[#This Row],[Site Name]],SiteDB6[[Site Name]:[Location Type]],8,FALSE)</f>
        <v>Camp</v>
      </c>
      <c r="H106" s="76" t="s">
        <v>785</v>
      </c>
      <c r="I106" s="583">
        <v>375</v>
      </c>
      <c r="J106" s="583">
        <v>1691</v>
      </c>
      <c r="K106" s="553"/>
      <c r="L106" s="77"/>
      <c r="M106" s="583"/>
      <c r="N106" s="583"/>
      <c r="O106" s="583"/>
      <c r="P106" s="583"/>
      <c r="Q106" s="76"/>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207"/>
      <c r="AP106" s="310"/>
      <c r="AQ106" s="310"/>
      <c r="AR106" s="76"/>
      <c r="AS106" s="310"/>
      <c r="AT106" s="310"/>
      <c r="AU106" s="310"/>
      <c r="AV106" s="310"/>
      <c r="AW106" s="310"/>
      <c r="AX106" s="231"/>
      <c r="AY106" s="231"/>
      <c r="AZ106" s="310"/>
      <c r="BA106" s="310"/>
      <c r="BB106" s="310"/>
      <c r="BC106" s="207"/>
      <c r="BD106" s="310"/>
      <c r="BE106" s="310"/>
      <c r="BF106" s="310"/>
      <c r="BG106" s="310"/>
      <c r="BH106" s="310"/>
      <c r="BI106" s="310"/>
      <c r="BJ106" s="310"/>
      <c r="BK106" s="310"/>
      <c r="BL106" s="310"/>
      <c r="BM106" s="207"/>
      <c r="BN106" s="79"/>
      <c r="BO106" s="81"/>
      <c r="BP106" s="207"/>
      <c r="BQ106" s="78" t="str">
        <f>IFERROR(WWWW[[#This Row],['#_Water sources treated]]/WWWW[[#This Row],['#_Water sources tested for contamination]],"no test")</f>
        <v>no test</v>
      </c>
      <c r="BR106" s="81" t="str">
        <f>IFERROR(WWWW[[#This Row],['#_Household received remediation action due to contamination]]/WWWW[[#This Row],['#_Household water samples tested for contamination]],"no test")</f>
        <v>no test</v>
      </c>
      <c r="BS106" s="80" t="str">
        <f>IF(AND(WWWW[[#This Row],[% of water sources treated]]="no test",WWWW[[#This Row],[% Household received corrective actions]]="no test"),"No Test","Tested")</f>
        <v>No Test</v>
      </c>
      <c r="BT106" s="80">
        <f>WWWW[[#This Row],['#_Constructed/existing protected hand dug well]]-WWWW[[#This Row],['#_Non-functional protected hand dug well]]</f>
        <v>0</v>
      </c>
      <c r="BU106" s="80">
        <f>(WWWW[[#This Row],['#_Constructed/Existing tube wells/boreholes/handpumps_WASH_agency]]+WWWW[[#This Row],['#_Non-Cluster partner water tube-wells/boreholes/handpumps]])-WWWW[[#This Row],['#_Non-functional tube wells/boreholes/handpumps]]</f>
        <v>0</v>
      </c>
      <c r="BV106" s="80">
        <f>WWWW[[#This Row],['#_Constructed/Existingwater storage tank with gravity fed reticulation system]]-WWWW[[#This Row],['#_Non-functional storage tank gravity fed reticulation system]]</f>
        <v>0</v>
      </c>
      <c r="BW106" s="80">
        <f>WWWW[[#This Row],['#_Water boating or water trucking]]</f>
        <v>0</v>
      </c>
      <c r="BX106" s="80">
        <f>WWWW[[#This Row],['#_Constructed/Existing water distribution system from river or natural spring]]</f>
        <v>0</v>
      </c>
      <c r="BY10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0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06" s="81">
        <f>IF(WWWW[[#This Row],[Location Type 1]]="Village",WWWW[[#This Row],[Access to safe drinking water for Village]],WWWW[[#This Row],[Access to safe drinking water for Camp]])</f>
        <v>0</v>
      </c>
      <c r="CB106" s="79">
        <f>WWWW[[#This Row],[%Equitable and continuous access to sufficient quantity of safe drinking water]]*WWWW[[#This Row],[Total PoP ]]</f>
        <v>0</v>
      </c>
      <c r="CC106" s="81">
        <f>IF((WWWW[[#This Row],['#_Constructed/Existing protected/fenced ponds]]*250)/WWWW[[#This Row],[Total PoP ]]&gt;1,1,(WWWW[[#This Row],['#_Constructed/Existing protected/fenced ponds]]*250)/WWWW[[#This Row],[Total PoP ]])</f>
        <v>0</v>
      </c>
      <c r="CD106" s="79">
        <f>WWWW[[#This Row],[% Access to unimproved water points]]*WWWW[[#This Row],[Total PoP ]]</f>
        <v>0</v>
      </c>
      <c r="CE10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0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06" s="79">
        <f>WWWW[[#This Row],[HRP1]]/500</f>
        <v>0</v>
      </c>
      <c r="CH106" s="78">
        <f>1-WWWW[[#This Row],[% Equitable and continuous access to sufficient quantity of domestic water]]</f>
        <v>1</v>
      </c>
      <c r="CI106" s="79">
        <f>WWWW[[#This Row],[%equitable and continuous access to sufficient quantity of safe drinking and domestic water''s GAP]]*WWWW[[#This Row],[Total PoP ]]</f>
        <v>1691</v>
      </c>
      <c r="CJ106" s="80">
        <f>IF(WWWW[[#This Row],[Total required water points]]-WWWW[[#This Row],['#Water points coverage]]&lt;0,0,WWWW[[#This Row],[Total required water points]]-WWWW[[#This Row],['#Water points coverage]])</f>
        <v>3</v>
      </c>
      <c r="CK106" s="80">
        <f>ROUND(IF(WWWW[[#This Row],[Total PoP ]]&lt;500,1,WWWW[[#This Row],[Total PoP ]]/500),0)</f>
        <v>3</v>
      </c>
      <c r="CL106" s="80">
        <f>(WWWW[[#This Row],['#_Constructed latrines_by_WASHAgencies]]+WWWW[[#This Row],['#_Non Cluster partner latrines]])-WWWW[[#This Row],['#_Non-functional latrines]]</f>
        <v>0</v>
      </c>
      <c r="CM10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0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0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6" s="80">
        <f>IF(WWWW[[#This Row],[Location Type 1]]="Village","NA",IF(WWWW[[#This Row],['#_Constructed/Existing latrines in TLS]]*50&gt;WWWW[[#This Row],['#_students at TLS_CFS]],WWWW[[#This Row],['#_students at TLS_CFS]],(WWWW[[#This Row],['#_Constructed/Existing latrines in TLS]]*50)))</f>
        <v>0</v>
      </c>
      <c r="CQ106" s="80">
        <f>ROUND(IF(WWWW[[#This Row],[Location Type 1]]="camp",WWWW[[#This Row],[Total PoP ]]/20,IF(WWWW[[#This Row],[Location Type 1]]="Temporary Location",WWWW[[#This Row],[Total PoP ]]/50,(WWWW[[#This Row],[Total PoP ]]/6))),0)</f>
        <v>85</v>
      </c>
      <c r="CR106" s="79">
        <f>IF(WWWW[[#This Row],[Total required Latrines]]-(WWWW[[#This Row],['#_Constructed latrines_by_WASHAgencies]]+WWWW[[#This Row],['#_Non Cluster partner latrines]])&lt;0,0,WWWW[[#This Row],[Total required Latrines]]-(WWWW[[#This Row],['#_Constructed latrines_by_WASHAgencies]]+WWWW[[#This Row],['#_Non Cluster partner latrines]]))</f>
        <v>85</v>
      </c>
      <c r="CS106" s="78">
        <f>1-WWWW[[#This Row],[% people access to functioning Latrine]]</f>
        <v>1</v>
      </c>
      <c r="CT106" s="82">
        <f>IF(OR(WWWW[[#This Row],['#_Non-functional latrines]]="",WWWW[[#This Row],['#_Non-functional latrines]]=0),0,WWWW[[#This Row],['#_Non-functional latrines]]/(WWWW[[#This Row],['#_Constructed latrines_by_WASHAgencies]]+WWWW[[#This Row],['#_Non Cluster partner latrines]]))</f>
        <v>0</v>
      </c>
      <c r="CU106" s="79">
        <f>IF(500*(WWWW[[#This Row],['#_male hygiene promoters]]+WWWW[[#This Row],['#_female hygiene promoters]])&gt;WWWW[[#This Row],[Total PoP ]],WWWW[[#This Row],[Total PoP ]],500*(WWWW[[#This Row],['#_male hygiene promoters]]+WWWW[[#This Row],['#_female hygiene promoters]]))</f>
        <v>0</v>
      </c>
      <c r="CV10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6" s="80">
        <f>IF(WWWW[[#This Row],['# People with access to soap]]&gt;WWWW[[#This Row],['# People with access to Sanity Pads]],WWWW[[#This Row],['# People with access to soap]],WWWW[[#This Row],['# People with access to Sanity Pads]])</f>
        <v>0</v>
      </c>
      <c r="CY106"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06" s="78">
        <f>IF(WWWW[[#This Row],[HRP3]]/WWWW[[#This Row],[Total PoP ]]&gt;100%,100%,WWWW[[#This Row],[HRP3]]/WWWW[[#This Row],[Total PoP ]])</f>
        <v>0</v>
      </c>
      <c r="DA106" s="82">
        <f>1-WWWW[[#This Row],[Hygiene Coverage%]]</f>
        <v>1</v>
      </c>
      <c r="DB106" s="81">
        <f>WWWW[[#This Row],['# people reached by regular dedicated hygiene promotion_5]]/WWWW[[#This Row],[Total PoP ]]</f>
        <v>0</v>
      </c>
      <c r="DC106" s="81">
        <f>IF(WWWW[[#This Row],['#_households that received standard amount of soap for this quarter]]/WWWW[[#This Row],[Total HH]]&gt;1,1,WWWW[[#This Row],['#_households that received standard amount of soap for this quarter]]/WWWW[[#This Row],[Total HH]])</f>
        <v>0</v>
      </c>
      <c r="DD106" s="81">
        <f>IF(WWWW[[#This Row],['#_households that received standard amount of sanitary pads for this quarter]]/WWWW[[#This Row],[Total HH]]&gt;1,1,WWWW[[#This Row],['#_households that received standard amount of sanitary pads for this quarter]]/WWWW[[#This Row],[Total HH]])</f>
        <v>0</v>
      </c>
      <c r="DE106" s="80">
        <f>WWWW[[#This Row],['#_Constructed/Existing hand washing stations]]-WWWW[[#This Row],['#_Non-Functional_hand_washing_stations]]</f>
        <v>0</v>
      </c>
      <c r="DF106" s="757">
        <f>IF(WWWW[[#This Row],['# Functional hand washing stations during reporting period]]*20&gt;WWWW[[#This Row],[Total HH]],WWWW[[#This Row],[Total HH]],WWWW[[#This Row],['# Functional hand washing stations during reporting period]]*20)</f>
        <v>0</v>
      </c>
      <c r="DG106" s="79">
        <f>IF(WWWW[[#This Row],[Is sufficient soap available for TLS? (Yes/No)]]="yes",WWWW[[#This Row],['#_Constructed/Existing hand washing stations at TLS]],0)</f>
        <v>0</v>
      </c>
      <c r="DH106" s="578">
        <f>IF(WWWW[[#This Row],['# Functional hand washing stations during reporting period]]*100&gt;WWWW[[#This Row],[Total PoP ]],WWWW[[#This Row],[Total PoP ]],WWWW[[#This Row],['# Functional hand washing stations during reporting period]]*100)</f>
        <v>0</v>
      </c>
      <c r="DI106" s="578" t="str">
        <f>IF(OR(WWWW[[#This Row],['#_students at TLS_CFS]]="",WWWW[[#This Row],['#_students at TLS_CFS]]=0),"No","Yes")</f>
        <v>No</v>
      </c>
      <c r="DJ106" s="231">
        <f>VLOOKUP(WWWW[[#This Row],[Site Name]],SiteDB6[[Site Name]:[CCCM Management]],6,FALSE)</f>
        <v>0</v>
      </c>
      <c r="DK106" s="231" t="str">
        <f>VLOOKUP(WWWW[[#This Row],[Site Name]],SiteDB6[[Site Name]:[CCCM Focal Agency]],7,FALSE)</f>
        <v>uncovered</v>
      </c>
      <c r="DL106" s="231" t="str">
        <f>VLOOKUP(WWWW[[#This Row],[Site Name]],SiteDB6[[Site Name]:[Location Type 1]],9,FALSE)</f>
        <v>Camp</v>
      </c>
      <c r="DM106" s="231" t="str">
        <f>VLOOKUP(WWWW[[#This Row],[Site Name]],SiteDB6[[Site Name]:[Type of Accommodation]],10,FALSE)</f>
        <v>Closed Camp</v>
      </c>
      <c r="DN106" s="231" t="str">
        <f>VLOOKUP(WWWW[[#This Row],[Site Name]],SiteDB6[[Site Name]:[Ethnic or GCA/NGCA]],11,FALSE)</f>
        <v>GCA</v>
      </c>
      <c r="DO106" s="231">
        <f>VLOOKUP(WWWW[[#This Row],[Site Name]],SiteDB6[[Site Name]:[Lat]],12,FALSE)</f>
        <v>0</v>
      </c>
      <c r="DP106" s="231">
        <f>VLOOKUP(WWWW[[#This Row],[Site Name]],SiteDB6[[Site Name]:[Long]],13,FALSE)</f>
        <v>0</v>
      </c>
      <c r="DQ106" s="231" t="str">
        <f>VLOOKUP(WWWW[[#This Row],[Site Name]],SiteDB6[[Site Name]:[Pcode]],3,FALSE)</f>
        <v>MMR001CMP147</v>
      </c>
      <c r="DR106" s="207" t="str">
        <f t="shared" si="3"/>
        <v>Notcovered</v>
      </c>
      <c r="DS106" s="207"/>
      <c r="DT106" s="20"/>
      <c r="DU106" s="20"/>
      <c r="DV106" s="20"/>
      <c r="DW106" s="20"/>
      <c r="DX106" s="20"/>
      <c r="DY106" s="20"/>
      <c r="DZ106" s="20"/>
      <c r="EA106" s="20"/>
      <c r="EB106" s="20"/>
      <c r="EC106" s="20"/>
      <c r="ED106" s="20"/>
      <c r="EE106" s="20"/>
      <c r="EF106" s="20"/>
      <c r="EG106" s="20"/>
      <c r="EH106" s="20"/>
    </row>
    <row r="107" spans="1:138" ht="15.75" customHeight="1">
      <c r="A107" s="238" t="s">
        <v>2518</v>
      </c>
      <c r="B107" s="238" t="s">
        <v>149</v>
      </c>
      <c r="C107" s="574" t="s">
        <v>149</v>
      </c>
      <c r="D107" s="574" t="s">
        <v>2372</v>
      </c>
      <c r="E107" s="574" t="s">
        <v>39</v>
      </c>
      <c r="F107" s="574" t="s">
        <v>40</v>
      </c>
      <c r="G107" s="574" t="str">
        <f>VLOOKUP(WWWW[[#This Row],[Site Name]],SiteDB6[[Site Name]:[Location Type]],8,FALSE)</f>
        <v>Camp</v>
      </c>
      <c r="H107" s="574" t="s">
        <v>191</v>
      </c>
      <c r="I107" s="583">
        <v>432</v>
      </c>
      <c r="J107" s="583">
        <v>1855</v>
      </c>
      <c r="K107" s="553"/>
      <c r="L107" s="77">
        <v>43555</v>
      </c>
      <c r="M107" s="583"/>
      <c r="N107" s="583"/>
      <c r="O107" s="583"/>
      <c r="P107" s="583"/>
      <c r="Q107" s="76" t="s">
        <v>43</v>
      </c>
      <c r="R107" s="310"/>
      <c r="S107" s="310"/>
      <c r="T107" s="583">
        <v>0</v>
      </c>
      <c r="U107" s="310"/>
      <c r="V107" s="310"/>
      <c r="W107" s="583">
        <v>4</v>
      </c>
      <c r="X107" s="310"/>
      <c r="Y107" s="310"/>
      <c r="Z107" s="310"/>
      <c r="AA107" s="310"/>
      <c r="AB107" s="310"/>
      <c r="AC107" s="310"/>
      <c r="AD107" s="310"/>
      <c r="AE107" s="310"/>
      <c r="AF107" s="310"/>
      <c r="AG107" s="310"/>
      <c r="AH107" s="583">
        <v>4</v>
      </c>
      <c r="AI107" s="310"/>
      <c r="AJ107" s="310"/>
      <c r="AK107" s="310"/>
      <c r="AL107" s="310"/>
      <c r="AM107" s="310"/>
      <c r="AN107" s="310"/>
      <c r="AO107" s="207"/>
      <c r="AP107" s="583">
        <v>110</v>
      </c>
      <c r="AQ107" s="310"/>
      <c r="AR107" s="76"/>
      <c r="AS107" s="310"/>
      <c r="AT107" s="310"/>
      <c r="AU107" s="310"/>
      <c r="AV107" s="310"/>
      <c r="AW107" s="583">
        <v>110</v>
      </c>
      <c r="AX107" s="231" t="s">
        <v>43</v>
      </c>
      <c r="AY107" s="231" t="s">
        <v>145</v>
      </c>
      <c r="AZ107" s="310"/>
      <c r="BA107" s="310"/>
      <c r="BB107" s="310"/>
      <c r="BC107" s="207"/>
      <c r="BD107" s="310"/>
      <c r="BE107" s="310"/>
      <c r="BF107" s="310"/>
      <c r="BG107" s="310">
        <v>10</v>
      </c>
      <c r="BH107" s="310"/>
      <c r="BI107" s="310"/>
      <c r="BJ107" s="310">
        <v>3</v>
      </c>
      <c r="BK107" s="310"/>
      <c r="BL107" s="310"/>
      <c r="BM107" s="207"/>
      <c r="BN107" s="79"/>
      <c r="BO107" s="81"/>
      <c r="BP107" s="207"/>
      <c r="BQ107" s="78" t="str">
        <f>IFERROR(WWWW[[#This Row],['#_Water sources treated]]/WWWW[[#This Row],['#_Water sources tested for contamination]],"no test")</f>
        <v>no test</v>
      </c>
      <c r="BR107" s="81" t="str">
        <f>IFERROR(WWWW[[#This Row],['#_Household received remediation action due to contamination]]/WWWW[[#This Row],['#_Household water samples tested for contamination]],"no test")</f>
        <v>no test</v>
      </c>
      <c r="BS107" s="80" t="str">
        <f>IF(AND(WWWW[[#This Row],[% of water sources treated]]="no test",WWWW[[#This Row],[% Household received corrective actions]]="no test"),"No Test","Tested")</f>
        <v>No Test</v>
      </c>
      <c r="BT107" s="80">
        <f>WWWW[[#This Row],['#_Constructed/existing protected hand dug well]]-WWWW[[#This Row],['#_Non-functional protected hand dug well]]</f>
        <v>0</v>
      </c>
      <c r="BU107" s="80">
        <f>(WWWW[[#This Row],['#_Constructed/Existing tube wells/boreholes/handpumps_WASH_agency]]+WWWW[[#This Row],['#_Non-Cluster partner water tube-wells/boreholes/handpumps]])-WWWW[[#This Row],['#_Non-functional tube wells/boreholes/handpumps]]</f>
        <v>4</v>
      </c>
      <c r="BV107" s="80">
        <f>WWWW[[#This Row],['#_Constructed/Existingwater storage tank with gravity fed reticulation system]]-WWWW[[#This Row],['#_Non-functional storage tank gravity fed reticulation system]]</f>
        <v>0</v>
      </c>
      <c r="BW107" s="80">
        <f>WWWW[[#This Row],['#_Water boating or water trucking]]</f>
        <v>0</v>
      </c>
      <c r="BX107" s="80">
        <f>WWWW[[#This Row],['#_Constructed/Existing water distribution system from river or natural spring]]</f>
        <v>0</v>
      </c>
      <c r="BY10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0.53908355795148244</v>
      </c>
      <c r="CA107" s="81">
        <f>IF(WWWW[[#This Row],[Location Type 1]]="Village",WWWW[[#This Row],[Access to safe drinking water for Village]],WWWW[[#This Row],[Access to safe drinking water for Camp]])</f>
        <v>1</v>
      </c>
      <c r="CB107" s="79">
        <f>WWWW[[#This Row],[%Equitable and continuous access to sufficient quantity of safe drinking water]]*WWWW[[#This Row],[Total PoP ]]</f>
        <v>1855</v>
      </c>
      <c r="CC107" s="81">
        <f>IF((WWWW[[#This Row],['#_Constructed/Existing protected/fenced ponds]]*250)/WWWW[[#This Row],[Total PoP ]]&gt;1,1,(WWWW[[#This Row],['#_Constructed/Existing protected/fenced ponds]]*250)/WWWW[[#This Row],[Total PoP ]])</f>
        <v>0</v>
      </c>
      <c r="CD107" s="79">
        <f>WWWW[[#This Row],[% Access to unimproved water points]]*WWWW[[#This Row],[Total PoP ]]</f>
        <v>0</v>
      </c>
      <c r="CE10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1855</v>
      </c>
      <c r="CG107" s="79">
        <f>WWWW[[#This Row],[HRP1]]/500</f>
        <v>3.71</v>
      </c>
      <c r="CH107" s="78">
        <f>1-WWWW[[#This Row],[% Equitable and continuous access to sufficient quantity of domestic water]]</f>
        <v>0</v>
      </c>
      <c r="CI107" s="79">
        <f>WWWW[[#This Row],[%equitable and continuous access to sufficient quantity of safe drinking and domestic water''s GAP]]*WWWW[[#This Row],[Total PoP ]]</f>
        <v>0</v>
      </c>
      <c r="CJ107" s="80">
        <f>IF(WWWW[[#This Row],[Total required water points]]-WWWW[[#This Row],['#Water points coverage]]&lt;0,0,WWWW[[#This Row],[Total required water points]]-WWWW[[#This Row],['#Water points coverage]])</f>
        <v>0.29000000000000004</v>
      </c>
      <c r="CK107" s="80">
        <f>ROUND(IF(WWWW[[#This Row],[Total PoP ]]&lt;500,1,WWWW[[#This Row],[Total PoP ]]/500),0)</f>
        <v>4</v>
      </c>
      <c r="CL107" s="80">
        <f>(WWWW[[#This Row],['#_Constructed latrines_by_WASHAgencies]]+WWWW[[#This Row],['#_Non Cluster partner latrines]])-WWWW[[#This Row],['#_Non-functional latrines]]</f>
        <v>110</v>
      </c>
      <c r="CM10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1855</v>
      </c>
      <c r="CO10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7" s="80">
        <f>IF(WWWW[[#This Row],[Location Type 1]]="Village","NA",IF(WWWW[[#This Row],['#_Constructed/Existing latrines in TLS]]*50&gt;WWWW[[#This Row],['#_students at TLS_CFS]],WWWW[[#This Row],['#_students at TLS_CFS]],(WWWW[[#This Row],['#_Constructed/Existing latrines in TLS]]*50)))</f>
        <v>0</v>
      </c>
      <c r="CQ107" s="80">
        <f>ROUND(IF(WWWW[[#This Row],[Location Type 1]]="camp",WWWW[[#This Row],[Total PoP ]]/20,IF(WWWW[[#This Row],[Location Type 1]]="Temporary Location",WWWW[[#This Row],[Total PoP ]]/50,(WWWW[[#This Row],[Total PoP ]]/6))),0)</f>
        <v>93</v>
      </c>
      <c r="CR107" s="79">
        <f>IF(WWWW[[#This Row],[Total required Latrines]]-(WWWW[[#This Row],['#_Constructed latrines_by_WASHAgencies]]+WWWW[[#This Row],['#_Non Cluster partner latrines]])&lt;0,0,WWWW[[#This Row],[Total required Latrines]]-(WWWW[[#This Row],['#_Constructed latrines_by_WASHAgencies]]+WWWW[[#This Row],['#_Non Cluster partner latrines]]))</f>
        <v>0</v>
      </c>
      <c r="CS107" s="78">
        <f>1-WWWW[[#This Row],[% people access to functioning Latrine]]</f>
        <v>0</v>
      </c>
      <c r="CT107" s="82">
        <f>IF(OR(WWWW[[#This Row],['#_Non-functional latrines]]="",WWWW[[#This Row],['#_Non-functional latrines]]=0),0,WWWW[[#This Row],['#_Non-functional latrines]]/(WWWW[[#This Row],['#_Constructed latrines_by_WASHAgencies]]+WWWW[[#This Row],['#_Non Cluster partner latrines]]))</f>
        <v>0</v>
      </c>
      <c r="CU107" s="79">
        <f>IF(500*(WWWW[[#This Row],['#_male hygiene promoters]]+WWWW[[#This Row],['#_female hygiene promoters]])&gt;WWWW[[#This Row],[Total PoP ]],WWWW[[#This Row],[Total PoP ]],500*(WWWW[[#This Row],['#_male hygiene promoters]]+WWWW[[#This Row],['#_female hygiene promoters]]))</f>
        <v>1500</v>
      </c>
      <c r="CV10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7" s="80">
        <f>IF(WWWW[[#This Row],['# People with access to soap]]&gt;WWWW[[#This Row],['# People with access to Sanity Pads]],WWWW[[#This Row],['# People with access to soap]],WWWW[[#This Row],['# People with access to Sanity Pads]])</f>
        <v>0</v>
      </c>
      <c r="CY107" s="80">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107" s="78">
        <f>IF(WWWW[[#This Row],[HRP3]]/WWWW[[#This Row],[Total PoP ]]&gt;100%,100%,WWWW[[#This Row],[HRP3]]/WWWW[[#This Row],[Total PoP ]])</f>
        <v>0.80862533692722371</v>
      </c>
      <c r="DA107" s="82">
        <f>1-WWWW[[#This Row],[Hygiene Coverage%]]</f>
        <v>0.19137466307277629</v>
      </c>
      <c r="DB107" s="81">
        <f>WWWW[[#This Row],['# people reached by regular dedicated hygiene promotion_5]]/WWWW[[#This Row],[Total PoP ]]</f>
        <v>0.80862533692722371</v>
      </c>
      <c r="DC107" s="81">
        <f>IF(WWWW[[#This Row],['#_households that received standard amount of soap for this quarter]]/WWWW[[#This Row],[Total HH]]&gt;1,1,WWWW[[#This Row],['#_households that received standard amount of soap for this quarter]]/WWWW[[#This Row],[Total HH]])</f>
        <v>0</v>
      </c>
      <c r="DD107" s="81">
        <f>IF(WWWW[[#This Row],['#_households that received standard amount of sanitary pads for this quarter]]/WWWW[[#This Row],[Total HH]]&gt;1,1,WWWW[[#This Row],['#_households that received standard amount of sanitary pads for this quarter]]/WWWW[[#This Row],[Total HH]])</f>
        <v>0</v>
      </c>
      <c r="DE107" s="80">
        <f>WWWW[[#This Row],['#_Constructed/Existing hand washing stations]]-WWWW[[#This Row],['#_Non-Functional_hand_washing_stations]]</f>
        <v>0</v>
      </c>
      <c r="DF107" s="757">
        <f>IF(WWWW[[#This Row],['# Functional hand washing stations during reporting period]]*20&gt;WWWW[[#This Row],[Total HH]],WWWW[[#This Row],[Total HH]],WWWW[[#This Row],['# Functional hand washing stations during reporting period]]*20)</f>
        <v>0</v>
      </c>
      <c r="DG107" s="79">
        <f>IF(WWWW[[#This Row],[Is sufficient soap available for TLS? (Yes/No)]]="yes",WWWW[[#This Row],['#_Constructed/Existing hand washing stations at TLS]],0)</f>
        <v>0</v>
      </c>
      <c r="DH107" s="578">
        <f>IF(WWWW[[#This Row],['# Functional hand washing stations during reporting period]]*100&gt;WWWW[[#This Row],[Total PoP ]],WWWW[[#This Row],[Total PoP ]],WWWW[[#This Row],['# Functional hand washing stations during reporting period]]*100)</f>
        <v>0</v>
      </c>
      <c r="DI107" s="578" t="str">
        <f>IF(OR(WWWW[[#This Row],['#_students at TLS_CFS]]="",WWWW[[#This Row],['#_students at TLS_CFS]]=0),"No","Yes")</f>
        <v>No</v>
      </c>
      <c r="DJ107" s="231" t="str">
        <f>VLOOKUP(WWWW[[#This Row],[Site Name]],SiteDB6[[Site Name]:[CCCM Management]],6,FALSE)</f>
        <v>Yes</v>
      </c>
      <c r="DK107" s="231" t="str">
        <f>VLOOKUP(WWWW[[#This Row],[Site Name]],SiteDB6[[Site Name]:[CCCM Focal Agency]],7,FALSE)</f>
        <v>KBC</v>
      </c>
      <c r="DL107" s="231" t="str">
        <f>VLOOKUP(WWWW[[#This Row],[Site Name]],SiteDB6[[Site Name]:[Location Type 1]],9,FALSE)</f>
        <v>Camp</v>
      </c>
      <c r="DM107" s="231" t="str">
        <f>VLOOKUP(WWWW[[#This Row],[Site Name]],SiteDB6[[Site Name]:[Type of Accommodation]],10,FALSE)</f>
        <v>Camp</v>
      </c>
      <c r="DN107" s="231" t="str">
        <f>VLOOKUP(WWWW[[#This Row],[Site Name]],SiteDB6[[Site Name]:[Ethnic or GCA/NGCA]],11,FALSE)</f>
        <v>GCA</v>
      </c>
      <c r="DO107" s="231">
        <f>VLOOKUP(WWWW[[#This Row],[Site Name]],SiteDB6[[Site Name]:[Lat]],12,FALSE)</f>
        <v>23.972453000000002</v>
      </c>
      <c r="DP107" s="231">
        <f>VLOOKUP(WWWW[[#This Row],[Site Name]],SiteDB6[[Site Name]:[Long]],13,FALSE)</f>
        <v>97.225881000000001</v>
      </c>
      <c r="DQ107" s="231" t="str">
        <f>VLOOKUP(WWWW[[#This Row],[Site Name]],SiteDB6[[Site Name]:[Pcode]],3,FALSE)</f>
        <v>MMR001CMP218</v>
      </c>
      <c r="DR107" s="207" t="str">
        <f t="shared" si="3"/>
        <v>Covered</v>
      </c>
      <c r="DS107" s="207"/>
      <c r="DT107" s="20"/>
      <c r="DU107" s="20"/>
      <c r="DV107" s="20"/>
      <c r="DW107" s="20"/>
      <c r="DX107" s="20"/>
      <c r="DY107" s="20"/>
      <c r="DZ107" s="20"/>
      <c r="EA107" s="20"/>
      <c r="EB107" s="20"/>
      <c r="EC107" s="20"/>
      <c r="ED107" s="20"/>
      <c r="EE107" s="20"/>
      <c r="EF107" s="20"/>
      <c r="EG107" s="20"/>
      <c r="EH107" s="20"/>
    </row>
    <row r="108" spans="1:138" ht="15.75" customHeight="1">
      <c r="A108" s="238" t="s">
        <v>2518</v>
      </c>
      <c r="B108" s="238" t="s">
        <v>149</v>
      </c>
      <c r="C108" s="574" t="s">
        <v>149</v>
      </c>
      <c r="D108" s="574" t="s">
        <v>152</v>
      </c>
      <c r="E108" s="574" t="s">
        <v>39</v>
      </c>
      <c r="F108" s="574" t="s">
        <v>167</v>
      </c>
      <c r="G108" s="574" t="str">
        <f>VLOOKUP(WWWW[[#This Row],[Site Name]],SiteDB6[[Site Name]:[Location Type]],8,FALSE)</f>
        <v>Camp</v>
      </c>
      <c r="H108" s="574" t="s">
        <v>173</v>
      </c>
      <c r="I108" s="583">
        <v>61</v>
      </c>
      <c r="J108" s="583">
        <v>290</v>
      </c>
      <c r="K108" s="553">
        <v>43556</v>
      </c>
      <c r="L108" s="77">
        <v>43677</v>
      </c>
      <c r="M108" s="583"/>
      <c r="N108" s="583"/>
      <c r="O108" s="583"/>
      <c r="P108" s="583"/>
      <c r="Q108" s="574" t="s">
        <v>43</v>
      </c>
      <c r="R108" s="310"/>
      <c r="S108" s="310"/>
      <c r="T108" s="583">
        <v>1</v>
      </c>
      <c r="U108" s="310"/>
      <c r="V108" s="310"/>
      <c r="W108" s="583">
        <v>1</v>
      </c>
      <c r="X108" s="310"/>
      <c r="Y108" s="310"/>
      <c r="Z108" s="310"/>
      <c r="AA108" s="310"/>
      <c r="AB108" s="310"/>
      <c r="AC108" s="310"/>
      <c r="AD108" s="310"/>
      <c r="AE108" s="310"/>
      <c r="AF108" s="310"/>
      <c r="AG108" s="310"/>
      <c r="AH108" s="583">
        <v>2</v>
      </c>
      <c r="AI108" s="310"/>
      <c r="AJ108" s="310"/>
      <c r="AK108" s="310"/>
      <c r="AL108" s="310"/>
      <c r="AM108" s="310"/>
      <c r="AN108" s="310"/>
      <c r="AO108" s="207"/>
      <c r="AP108" s="583">
        <v>7</v>
      </c>
      <c r="AQ108" s="310"/>
      <c r="AR108" s="76"/>
      <c r="AS108" s="310"/>
      <c r="AT108" s="310"/>
      <c r="AU108" s="310">
        <v>0</v>
      </c>
      <c r="AV108" s="310"/>
      <c r="AW108" s="583">
        <v>7</v>
      </c>
      <c r="AX108" s="231" t="s">
        <v>43</v>
      </c>
      <c r="AY108" s="231" t="s">
        <v>145</v>
      </c>
      <c r="AZ108" s="310"/>
      <c r="BA108" s="310"/>
      <c r="BB108" s="310"/>
      <c r="BC108" s="207"/>
      <c r="BD108" s="310"/>
      <c r="BE108" s="310"/>
      <c r="BF108" s="310"/>
      <c r="BG108" s="310">
        <v>3</v>
      </c>
      <c r="BH108" s="310"/>
      <c r="BI108" s="310"/>
      <c r="BJ108" s="310">
        <v>1</v>
      </c>
      <c r="BK108" s="310"/>
      <c r="BL108" s="310"/>
      <c r="BM108" s="207"/>
      <c r="BN108" s="79"/>
      <c r="BO108" s="81"/>
      <c r="BP108" s="207"/>
      <c r="BQ108" s="78" t="str">
        <f>IFERROR(WWWW[[#This Row],['#_Water sources treated]]/WWWW[[#This Row],['#_Water sources tested for contamination]],"no test")</f>
        <v>no test</v>
      </c>
      <c r="BR108" s="81" t="str">
        <f>IFERROR(WWWW[[#This Row],['#_Household received remediation action due to contamination]]/WWWW[[#This Row],['#_Household water samples tested for contamination]],"no test")</f>
        <v>no test</v>
      </c>
      <c r="BS108" s="80" t="str">
        <f>IF(AND(WWWW[[#This Row],[% of water sources treated]]="no test",WWWW[[#This Row],[% Household received corrective actions]]="no test"),"No Test","Tested")</f>
        <v>No Test</v>
      </c>
      <c r="BT108" s="80">
        <f>WWWW[[#This Row],['#_Constructed/existing protected hand dug well]]-WWWW[[#This Row],['#_Non-functional protected hand dug well]]</f>
        <v>1</v>
      </c>
      <c r="BU108" s="80">
        <f>(WWWW[[#This Row],['#_Constructed/Existing tube wells/boreholes/handpumps_WASH_agency]]+WWWW[[#This Row],['#_Non-Cluster partner water tube-wells/boreholes/handpumps]])-WWWW[[#This Row],['#_Non-functional tube wells/boreholes/handpumps]]</f>
        <v>1</v>
      </c>
      <c r="BV108" s="80">
        <f>WWWW[[#This Row],['#_Constructed/Existingwater storage tank with gravity fed reticulation system]]-WWWW[[#This Row],['#_Non-functional storage tank gravity fed reticulation system]]</f>
        <v>0</v>
      </c>
      <c r="BW108" s="80">
        <f>WWWW[[#This Row],['#_Water boating or water trucking]]</f>
        <v>0</v>
      </c>
      <c r="BX108" s="80">
        <f>WWWW[[#This Row],['#_Constructed/Existing water distribution system from river or natural spring]]</f>
        <v>0</v>
      </c>
      <c r="BY10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08" s="81">
        <f>IF(WWWW[[#This Row],[Location Type 1]]="Village",WWWW[[#This Row],[Access to safe drinking water for Village]],WWWW[[#This Row],[Access to safe drinking water for Camp]])</f>
        <v>1</v>
      </c>
      <c r="CB108" s="79">
        <f>WWWW[[#This Row],[%Equitable and continuous access to sufficient quantity of safe drinking water]]*WWWW[[#This Row],[Total PoP ]]</f>
        <v>290</v>
      </c>
      <c r="CC108" s="81">
        <f>IF((WWWW[[#This Row],['#_Constructed/Existing protected/fenced ponds]]*250)/WWWW[[#This Row],[Total PoP ]]&gt;1,1,(WWWW[[#This Row],['#_Constructed/Existing protected/fenced ponds]]*250)/WWWW[[#This Row],[Total PoP ]])</f>
        <v>0</v>
      </c>
      <c r="CD108" s="79">
        <f>WWWW[[#This Row],[% Access to unimproved water points]]*WWWW[[#This Row],[Total PoP ]]</f>
        <v>0</v>
      </c>
      <c r="CE10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G108" s="79">
        <f>WWWW[[#This Row],[HRP1]]/500</f>
        <v>0.57999999999999996</v>
      </c>
      <c r="CH108" s="78">
        <f>1-WWWW[[#This Row],[% Equitable and continuous access to sufficient quantity of domestic water]]</f>
        <v>0</v>
      </c>
      <c r="CI108" s="79">
        <f>WWWW[[#This Row],[%equitable and continuous access to sufficient quantity of safe drinking and domestic water''s GAP]]*WWWW[[#This Row],[Total PoP ]]</f>
        <v>0</v>
      </c>
      <c r="CJ108" s="80">
        <f>IF(WWWW[[#This Row],[Total required water points]]-WWWW[[#This Row],['#Water points coverage]]&lt;0,0,WWWW[[#This Row],[Total required water points]]-WWWW[[#This Row],['#Water points coverage]])</f>
        <v>0.42000000000000004</v>
      </c>
      <c r="CK108" s="80">
        <f>ROUND(IF(WWWW[[#This Row],[Total PoP ]]&lt;500,1,WWWW[[#This Row],[Total PoP ]]/500),0)</f>
        <v>1</v>
      </c>
      <c r="CL108" s="80">
        <f>(WWWW[[#This Row],['#_Constructed latrines_by_WASHAgencies]]+WWWW[[#This Row],['#_Non Cluster partner latrines]])-WWWW[[#This Row],['#_Non-functional latrines]]</f>
        <v>7</v>
      </c>
      <c r="CM10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0.48275862068965519</v>
      </c>
      <c r="CN10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10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08" s="80">
        <f>IF(WWWW[[#This Row],[Location Type 1]]="Village","NA",IF(WWWW[[#This Row],['#_Constructed/Existing latrines in TLS]]*50&gt;WWWW[[#This Row],['#_students at TLS_CFS]],WWWW[[#This Row],['#_students at TLS_CFS]],(WWWW[[#This Row],['#_Constructed/Existing latrines in TLS]]*50)))</f>
        <v>0</v>
      </c>
      <c r="CQ108" s="80">
        <f>ROUND(IF(WWWW[[#This Row],[Location Type 1]]="camp",WWWW[[#This Row],[Total PoP ]]/20,IF(WWWW[[#This Row],[Location Type 1]]="Temporary Location",WWWW[[#This Row],[Total PoP ]]/50,(WWWW[[#This Row],[Total PoP ]]/6))),0)</f>
        <v>15</v>
      </c>
      <c r="CR108" s="79">
        <f>IF(WWWW[[#This Row],[Total required Latrines]]-(WWWW[[#This Row],['#_Constructed latrines_by_WASHAgencies]]+WWWW[[#This Row],['#_Non Cluster partner latrines]])&lt;0,0,WWWW[[#This Row],[Total required Latrines]]-(WWWW[[#This Row],['#_Constructed latrines_by_WASHAgencies]]+WWWW[[#This Row],['#_Non Cluster partner latrines]]))</f>
        <v>8</v>
      </c>
      <c r="CS108" s="78">
        <f>1-WWWW[[#This Row],[% people access to functioning Latrine]]</f>
        <v>0.51724137931034475</v>
      </c>
      <c r="CT108" s="82">
        <f>IF(OR(WWWW[[#This Row],['#_Non-functional latrines]]="",WWWW[[#This Row],['#_Non-functional latrines]]=0),0,WWWW[[#This Row],['#_Non-functional latrines]]/(WWWW[[#This Row],['#_Constructed latrines_by_WASHAgencies]]+WWWW[[#This Row],['#_Non Cluster partner latrines]]))</f>
        <v>0</v>
      </c>
      <c r="CU108" s="79">
        <f>IF(500*(WWWW[[#This Row],['#_male hygiene promoters]]+WWWW[[#This Row],['#_female hygiene promoters]])&gt;WWWW[[#This Row],[Total PoP ]],WWWW[[#This Row],[Total PoP ]],500*(WWWW[[#This Row],['#_male hygiene promoters]]+WWWW[[#This Row],['#_female hygiene promoters]]))</f>
        <v>290</v>
      </c>
      <c r="CV10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8" s="80">
        <f>IF(WWWW[[#This Row],['# People with access to soap]]&gt;WWWW[[#This Row],['# People with access to Sanity Pads]],WWWW[[#This Row],['# People with access to soap]],WWWW[[#This Row],['# People with access to Sanity Pads]])</f>
        <v>0</v>
      </c>
      <c r="CY108" s="80">
        <f>IF(WWWW[[#This Row],['# people reached by regular dedicated hygiene promotion_5]]&gt;WWWW[[#This Row],['# People received regular supply of hygiene items_6]],WWWW[[#This Row],['# people reached by regular dedicated hygiene promotion_5]],WWWW[[#This Row],['# People received regular supply of hygiene items_6]])</f>
        <v>290</v>
      </c>
      <c r="CZ108" s="78">
        <f>IF(WWWW[[#This Row],[HRP3]]/WWWW[[#This Row],[Total PoP ]]&gt;100%,100%,WWWW[[#This Row],[HRP3]]/WWWW[[#This Row],[Total PoP ]])</f>
        <v>1</v>
      </c>
      <c r="DA108" s="82">
        <f>1-WWWW[[#This Row],[Hygiene Coverage%]]</f>
        <v>0</v>
      </c>
      <c r="DB108" s="81">
        <f>WWWW[[#This Row],['# people reached by regular dedicated hygiene promotion_5]]/WWWW[[#This Row],[Total PoP ]]</f>
        <v>1</v>
      </c>
      <c r="DC108" s="81">
        <f>IF(WWWW[[#This Row],['#_households that received standard amount of soap for this quarter]]/WWWW[[#This Row],[Total HH]]&gt;1,1,WWWW[[#This Row],['#_households that received standard amount of soap for this quarter]]/WWWW[[#This Row],[Total HH]])</f>
        <v>0</v>
      </c>
      <c r="DD108" s="81">
        <f>IF(WWWW[[#This Row],['#_households that received standard amount of sanitary pads for this quarter]]/WWWW[[#This Row],[Total HH]]&gt;1,1,WWWW[[#This Row],['#_households that received standard amount of sanitary pads for this quarter]]/WWWW[[#This Row],[Total HH]])</f>
        <v>0</v>
      </c>
      <c r="DE108" s="80">
        <f>WWWW[[#This Row],['#_Constructed/Existing hand washing stations]]-WWWW[[#This Row],['#_Non-Functional_hand_washing_stations]]</f>
        <v>0</v>
      </c>
      <c r="DF108" s="757">
        <f>IF(WWWW[[#This Row],['# Functional hand washing stations during reporting period]]*20&gt;WWWW[[#This Row],[Total HH]],WWWW[[#This Row],[Total HH]],WWWW[[#This Row],['# Functional hand washing stations during reporting period]]*20)</f>
        <v>0</v>
      </c>
      <c r="DG108" s="79">
        <f>IF(WWWW[[#This Row],[Is sufficient soap available for TLS? (Yes/No)]]="yes",WWWW[[#This Row],['#_Constructed/Existing hand washing stations at TLS]],0)</f>
        <v>0</v>
      </c>
      <c r="DH108" s="578">
        <f>IF(WWWW[[#This Row],['# Functional hand washing stations during reporting period]]*100&gt;WWWW[[#This Row],[Total PoP ]],WWWW[[#This Row],[Total PoP ]],WWWW[[#This Row],['# Functional hand washing stations during reporting period]]*100)</f>
        <v>0</v>
      </c>
      <c r="DI108" s="578" t="str">
        <f>IF(OR(WWWW[[#This Row],['#_students at TLS_CFS]]="",WWWW[[#This Row],['#_students at TLS_CFS]]=0),"No","Yes")</f>
        <v>No</v>
      </c>
      <c r="DJ108" s="231" t="str">
        <f>VLOOKUP(WWWW[[#This Row],[Site Name]],SiteDB6[[Site Name]:[CCCM Management]],6,FALSE)</f>
        <v>Yes</v>
      </c>
      <c r="DK108" s="231" t="str">
        <f>VLOOKUP(WWWW[[#This Row],[Site Name]],SiteDB6[[Site Name]:[CCCM Focal Agency]],7,FALSE)</f>
        <v>KBC-MYT</v>
      </c>
      <c r="DL108" s="231" t="str">
        <f>VLOOKUP(WWWW[[#This Row],[Site Name]],SiteDB6[[Site Name]:[Location Type 1]],9,FALSE)</f>
        <v>Camp</v>
      </c>
      <c r="DM108" s="231" t="str">
        <f>VLOOKUP(WWWW[[#This Row],[Site Name]],SiteDB6[[Site Name]:[Type of Accommodation]],10,FALSE)</f>
        <v>Camp</v>
      </c>
      <c r="DN108" s="231" t="str">
        <f>VLOOKUP(WWWW[[#This Row],[Site Name]],SiteDB6[[Site Name]:[Ethnic or GCA/NGCA]],11,FALSE)</f>
        <v>GCA</v>
      </c>
      <c r="DO108" s="231">
        <f>VLOOKUP(WWWW[[#This Row],[Site Name]],SiteDB6[[Site Name]:[Lat]],12,FALSE)</f>
        <v>25.360463124999999</v>
      </c>
      <c r="DP108" s="231">
        <f>VLOOKUP(WWWW[[#This Row],[Site Name]],SiteDB6[[Site Name]:[Long]],13,FALSE)</f>
        <v>97.4113064583333</v>
      </c>
      <c r="DQ108" s="231" t="str">
        <f>VLOOKUP(WWWW[[#This Row],[Site Name]],SiteDB6[[Site Name]:[Pcode]],3,FALSE)</f>
        <v>MMR001CMP016</v>
      </c>
      <c r="DR108" s="207" t="str">
        <f t="shared" ref="DR108:DR137" si="4">IF(C108="none","Notcovered","Covered")</f>
        <v>Covered</v>
      </c>
      <c r="DS108" s="207"/>
      <c r="DT108" s="20"/>
      <c r="DU108" s="20"/>
      <c r="DV108" s="20"/>
      <c r="DW108" s="20"/>
      <c r="DX108" s="20"/>
      <c r="DY108" s="20"/>
      <c r="DZ108" s="20"/>
      <c r="EA108" s="20"/>
      <c r="EB108" s="20"/>
      <c r="EC108" s="20"/>
      <c r="ED108" s="20"/>
      <c r="EE108" s="20"/>
      <c r="EF108" s="20"/>
      <c r="EG108" s="20"/>
      <c r="EH108" s="20"/>
    </row>
    <row r="109" spans="1:138" ht="15.75" customHeight="1">
      <c r="A109" s="238" t="s">
        <v>2518</v>
      </c>
      <c r="B109" s="238" t="s">
        <v>149</v>
      </c>
      <c r="C109" s="574" t="s">
        <v>149</v>
      </c>
      <c r="D109" s="574" t="s">
        <v>152</v>
      </c>
      <c r="E109" s="574" t="s">
        <v>39</v>
      </c>
      <c r="F109" s="574" t="s">
        <v>167</v>
      </c>
      <c r="G109" s="574" t="str">
        <f>VLOOKUP(WWWW[[#This Row],[Site Name]],SiteDB6[[Site Name]:[Location Type]],8,FALSE)</f>
        <v>Camp</v>
      </c>
      <c r="H109" s="574" t="s">
        <v>174</v>
      </c>
      <c r="I109" s="583">
        <v>101</v>
      </c>
      <c r="J109" s="583">
        <v>547</v>
      </c>
      <c r="K109" s="553">
        <v>43556</v>
      </c>
      <c r="L109" s="77">
        <v>43677</v>
      </c>
      <c r="M109" s="583"/>
      <c r="N109" s="583"/>
      <c r="O109" s="583"/>
      <c r="P109" s="583"/>
      <c r="Q109" s="574" t="s">
        <v>43</v>
      </c>
      <c r="R109" s="310"/>
      <c r="S109" s="310"/>
      <c r="T109" s="583">
        <v>0</v>
      </c>
      <c r="U109" s="310"/>
      <c r="V109" s="310"/>
      <c r="W109" s="583">
        <v>2</v>
      </c>
      <c r="X109" s="310"/>
      <c r="Y109" s="310"/>
      <c r="Z109" s="310"/>
      <c r="AA109" s="310"/>
      <c r="AB109" s="310"/>
      <c r="AC109" s="310"/>
      <c r="AD109" s="310"/>
      <c r="AE109" s="310"/>
      <c r="AF109" s="310"/>
      <c r="AG109" s="310"/>
      <c r="AH109" s="583">
        <v>3</v>
      </c>
      <c r="AI109" s="310"/>
      <c r="AJ109" s="310"/>
      <c r="AK109" s="310"/>
      <c r="AL109" s="310"/>
      <c r="AM109" s="310"/>
      <c r="AN109" s="310"/>
      <c r="AO109" s="207"/>
      <c r="AP109" s="583">
        <v>34</v>
      </c>
      <c r="AQ109" s="310"/>
      <c r="AR109" s="76"/>
      <c r="AS109" s="310"/>
      <c r="AT109" s="310"/>
      <c r="AU109" s="310">
        <v>8</v>
      </c>
      <c r="AV109" s="310"/>
      <c r="AW109" s="583">
        <v>34</v>
      </c>
      <c r="AX109" s="231" t="s">
        <v>43</v>
      </c>
      <c r="AY109" s="231" t="s">
        <v>1200</v>
      </c>
      <c r="AZ109" s="310"/>
      <c r="BA109" s="310"/>
      <c r="BB109" s="310"/>
      <c r="BC109" s="207"/>
      <c r="BD109" s="310"/>
      <c r="BE109" s="310"/>
      <c r="BF109" s="310"/>
      <c r="BG109" s="310">
        <v>2</v>
      </c>
      <c r="BH109" s="310"/>
      <c r="BI109" s="310"/>
      <c r="BJ109" s="310">
        <v>2</v>
      </c>
      <c r="BK109" s="310"/>
      <c r="BL109" s="310"/>
      <c r="BM109" s="207"/>
      <c r="BN109" s="79"/>
      <c r="BO109" s="81"/>
      <c r="BP109" s="207"/>
      <c r="BQ109" s="78" t="str">
        <f>IFERROR(WWWW[[#This Row],['#_Water sources treated]]/WWWW[[#This Row],['#_Water sources tested for contamination]],"no test")</f>
        <v>no test</v>
      </c>
      <c r="BR109" s="81" t="str">
        <f>IFERROR(WWWW[[#This Row],['#_Household received remediation action due to contamination]]/WWWW[[#This Row],['#_Household water samples tested for contamination]],"no test")</f>
        <v>no test</v>
      </c>
      <c r="BS109" s="80" t="str">
        <f>IF(AND(WWWW[[#This Row],[% of water sources treated]]="no test",WWWW[[#This Row],[% Household received corrective actions]]="no test"),"No Test","Tested")</f>
        <v>No Test</v>
      </c>
      <c r="BT109" s="80">
        <f>WWWW[[#This Row],['#_Constructed/existing protected hand dug well]]-WWWW[[#This Row],['#_Non-functional protected hand dug well]]</f>
        <v>0</v>
      </c>
      <c r="BU109" s="80">
        <f>(WWWW[[#This Row],['#_Constructed/Existing tube wells/boreholes/handpumps_WASH_agency]]+WWWW[[#This Row],['#_Non-Cluster partner water tube-wells/boreholes/handpumps]])-WWWW[[#This Row],['#_Non-functional tube wells/boreholes/handpumps]]</f>
        <v>2</v>
      </c>
      <c r="BV109" s="80">
        <f>WWWW[[#This Row],['#_Constructed/Existingwater storage tank with gravity fed reticulation system]]-WWWW[[#This Row],['#_Non-functional storage tank gravity fed reticulation system]]</f>
        <v>0</v>
      </c>
      <c r="BW109" s="80">
        <f>WWWW[[#This Row],['#_Water boating or water trucking]]</f>
        <v>0</v>
      </c>
      <c r="BX109" s="80">
        <f>WWWW[[#This Row],['#_Constructed/Existing water distribution system from river or natural spring]]</f>
        <v>0</v>
      </c>
      <c r="BY10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0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0.91407678244972579</v>
      </c>
      <c r="CA109" s="81">
        <f>IF(WWWW[[#This Row],[Location Type 1]]="Village",WWWW[[#This Row],[Access to safe drinking water for Village]],WWWW[[#This Row],[Access to safe drinking water for Camp]])</f>
        <v>1</v>
      </c>
      <c r="CB109" s="79">
        <f>WWWW[[#This Row],[%Equitable and continuous access to sufficient quantity of safe drinking water]]*WWWW[[#This Row],[Total PoP ]]</f>
        <v>547</v>
      </c>
      <c r="CC109" s="81">
        <f>IF((WWWW[[#This Row],['#_Constructed/Existing protected/fenced ponds]]*250)/WWWW[[#This Row],[Total PoP ]]&gt;1,1,(WWWW[[#This Row],['#_Constructed/Existing protected/fenced ponds]]*250)/WWWW[[#This Row],[Total PoP ]])</f>
        <v>0</v>
      </c>
      <c r="CD109" s="79">
        <f>WWWW[[#This Row],[% Access to unimproved water points]]*WWWW[[#This Row],[Total PoP ]]</f>
        <v>0</v>
      </c>
      <c r="CE10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0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G109" s="79">
        <f>WWWW[[#This Row],[HRP1]]/500</f>
        <v>1.0940000000000001</v>
      </c>
      <c r="CH109" s="78">
        <f>1-WWWW[[#This Row],[% Equitable and continuous access to sufficient quantity of domestic water]]</f>
        <v>0</v>
      </c>
      <c r="CI109" s="79">
        <f>WWWW[[#This Row],[%equitable and continuous access to sufficient quantity of safe drinking and domestic water''s GAP]]*WWWW[[#This Row],[Total PoP ]]</f>
        <v>0</v>
      </c>
      <c r="CJ109" s="80">
        <f>IF(WWWW[[#This Row],[Total required water points]]-WWWW[[#This Row],['#Water points coverage]]&lt;0,0,WWWW[[#This Row],[Total required water points]]-WWWW[[#This Row],['#Water points coverage]])</f>
        <v>0</v>
      </c>
      <c r="CK109" s="80">
        <f>ROUND(IF(WWWW[[#This Row],[Total PoP ]]&lt;500,1,WWWW[[#This Row],[Total PoP ]]/500),0)</f>
        <v>1</v>
      </c>
      <c r="CL109" s="80">
        <f>(WWWW[[#This Row],['#_Constructed latrines_by_WASHAgencies]]+WWWW[[#This Row],['#_Non Cluster partner latrines]])-WWWW[[#This Row],['#_Non-functional latrines]]</f>
        <v>34</v>
      </c>
      <c r="CM10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0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547</v>
      </c>
      <c r="CO10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P109" s="80">
        <f>IF(WWWW[[#This Row],[Location Type 1]]="Village","NA",IF(WWWW[[#This Row],['#_Constructed/Existing latrines in TLS]]*50&gt;WWWW[[#This Row],['#_students at TLS_CFS]],WWWW[[#This Row],['#_students at TLS_CFS]],(WWWW[[#This Row],['#_Constructed/Existing latrines in TLS]]*50)))</f>
        <v>0</v>
      </c>
      <c r="CQ109" s="80">
        <f>ROUND(IF(WWWW[[#This Row],[Location Type 1]]="camp",WWWW[[#This Row],[Total PoP ]]/20,IF(WWWW[[#This Row],[Location Type 1]]="Temporary Location",WWWW[[#This Row],[Total PoP ]]/50,(WWWW[[#This Row],[Total PoP ]]/6))),0)</f>
        <v>27</v>
      </c>
      <c r="CR109" s="79">
        <f>IF(WWWW[[#This Row],[Total required Latrines]]-(WWWW[[#This Row],['#_Constructed latrines_by_WASHAgencies]]+WWWW[[#This Row],['#_Non Cluster partner latrines]])&lt;0,0,WWWW[[#This Row],[Total required Latrines]]-(WWWW[[#This Row],['#_Constructed latrines_by_WASHAgencies]]+WWWW[[#This Row],['#_Non Cluster partner latrines]]))</f>
        <v>0</v>
      </c>
      <c r="CS109" s="78">
        <f>1-WWWW[[#This Row],[% people access to functioning Latrine]]</f>
        <v>0</v>
      </c>
      <c r="CT109" s="82">
        <f>IF(OR(WWWW[[#This Row],['#_Non-functional latrines]]="",WWWW[[#This Row],['#_Non-functional latrines]]=0),0,WWWW[[#This Row],['#_Non-functional latrines]]/(WWWW[[#This Row],['#_Constructed latrines_by_WASHAgencies]]+WWWW[[#This Row],['#_Non Cluster partner latrines]]))</f>
        <v>0</v>
      </c>
      <c r="CU109" s="79">
        <f>IF(500*(WWWW[[#This Row],['#_male hygiene promoters]]+WWWW[[#This Row],['#_female hygiene promoters]])&gt;WWWW[[#This Row],[Total PoP ]],WWWW[[#This Row],[Total PoP ]],500*(WWWW[[#This Row],['#_male hygiene promoters]]+WWWW[[#This Row],['#_female hygiene promoters]]))</f>
        <v>547</v>
      </c>
      <c r="CV10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0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09" s="80">
        <f>IF(WWWW[[#This Row],['# People with access to soap]]&gt;WWWW[[#This Row],['# People with access to Sanity Pads]],WWWW[[#This Row],['# People with access to soap]],WWWW[[#This Row],['# People with access to Sanity Pads]])</f>
        <v>0</v>
      </c>
      <c r="CY109" s="80">
        <f>IF(WWWW[[#This Row],['# people reached by regular dedicated hygiene promotion_5]]&gt;WWWW[[#This Row],['# People received regular supply of hygiene items_6]],WWWW[[#This Row],['# people reached by regular dedicated hygiene promotion_5]],WWWW[[#This Row],['# People received regular supply of hygiene items_6]])</f>
        <v>547</v>
      </c>
      <c r="CZ109" s="78">
        <f>IF(WWWW[[#This Row],[HRP3]]/WWWW[[#This Row],[Total PoP ]]&gt;100%,100%,WWWW[[#This Row],[HRP3]]/WWWW[[#This Row],[Total PoP ]])</f>
        <v>1</v>
      </c>
      <c r="DA109" s="82">
        <f>1-WWWW[[#This Row],[Hygiene Coverage%]]</f>
        <v>0</v>
      </c>
      <c r="DB109" s="81">
        <f>WWWW[[#This Row],['# people reached by regular dedicated hygiene promotion_5]]/WWWW[[#This Row],[Total PoP ]]</f>
        <v>1</v>
      </c>
      <c r="DC109" s="81">
        <f>IF(WWWW[[#This Row],['#_households that received standard amount of soap for this quarter]]/WWWW[[#This Row],[Total HH]]&gt;1,1,WWWW[[#This Row],['#_households that received standard amount of soap for this quarter]]/WWWW[[#This Row],[Total HH]])</f>
        <v>0</v>
      </c>
      <c r="DD109" s="81">
        <f>IF(WWWW[[#This Row],['#_households that received standard amount of sanitary pads for this quarter]]/WWWW[[#This Row],[Total HH]]&gt;1,1,WWWW[[#This Row],['#_households that received standard amount of sanitary pads for this quarter]]/WWWW[[#This Row],[Total HH]])</f>
        <v>0</v>
      </c>
      <c r="DE109" s="80">
        <f>WWWW[[#This Row],['#_Constructed/Existing hand washing stations]]-WWWW[[#This Row],['#_Non-Functional_hand_washing_stations]]</f>
        <v>0</v>
      </c>
      <c r="DF109" s="757">
        <f>IF(WWWW[[#This Row],['# Functional hand washing stations during reporting period]]*20&gt;WWWW[[#This Row],[Total HH]],WWWW[[#This Row],[Total HH]],WWWW[[#This Row],['# Functional hand washing stations during reporting period]]*20)</f>
        <v>0</v>
      </c>
      <c r="DG109" s="79">
        <f>IF(WWWW[[#This Row],[Is sufficient soap available for TLS? (Yes/No)]]="yes",WWWW[[#This Row],['#_Constructed/Existing hand washing stations at TLS]],0)</f>
        <v>0</v>
      </c>
      <c r="DH109" s="578">
        <f>IF(WWWW[[#This Row],['# Functional hand washing stations during reporting period]]*100&gt;WWWW[[#This Row],[Total PoP ]],WWWW[[#This Row],[Total PoP ]],WWWW[[#This Row],['# Functional hand washing stations during reporting period]]*100)</f>
        <v>0</v>
      </c>
      <c r="DI109" s="578" t="str">
        <f>IF(OR(WWWW[[#This Row],['#_students at TLS_CFS]]="",WWWW[[#This Row],['#_students at TLS_CFS]]=0),"No","Yes")</f>
        <v>No</v>
      </c>
      <c r="DJ109" s="231" t="str">
        <f>VLOOKUP(WWWW[[#This Row],[Site Name]],SiteDB6[[Site Name]:[CCCM Management]],6,FALSE)</f>
        <v>Yes</v>
      </c>
      <c r="DK109" s="231" t="str">
        <f>VLOOKUP(WWWW[[#This Row],[Site Name]],SiteDB6[[Site Name]:[CCCM Focal Agency]],7,FALSE)</f>
        <v>KBC-MYT</v>
      </c>
      <c r="DL109" s="231" t="str">
        <f>VLOOKUP(WWWW[[#This Row],[Site Name]],SiteDB6[[Site Name]:[Location Type 1]],9,FALSE)</f>
        <v>Camp</v>
      </c>
      <c r="DM109" s="231" t="str">
        <f>VLOOKUP(WWWW[[#This Row],[Site Name]],SiteDB6[[Site Name]:[Type of Accommodation]],10,FALSE)</f>
        <v>Camp</v>
      </c>
      <c r="DN109" s="231" t="str">
        <f>VLOOKUP(WWWW[[#This Row],[Site Name]],SiteDB6[[Site Name]:[Ethnic or GCA/NGCA]],11,FALSE)</f>
        <v>GCA</v>
      </c>
      <c r="DO109" s="231">
        <f>VLOOKUP(WWWW[[#This Row],[Site Name]],SiteDB6[[Site Name]:[Lat]],12,FALSE)</f>
        <v>25.428910999999999</v>
      </c>
      <c r="DP109" s="231">
        <f>VLOOKUP(WWWW[[#This Row],[Site Name]],SiteDB6[[Site Name]:[Long]],13,FALSE)</f>
        <v>97.418694000000002</v>
      </c>
      <c r="DQ109" s="231" t="str">
        <f>VLOOKUP(WWWW[[#This Row],[Site Name]],SiteDB6[[Site Name]:[Pcode]],3,FALSE)</f>
        <v>MMR001CMP008</v>
      </c>
      <c r="DR109" s="207" t="str">
        <f t="shared" si="4"/>
        <v>Covered</v>
      </c>
      <c r="DS109" s="207"/>
      <c r="DT109" s="20"/>
      <c r="DU109" s="20"/>
      <c r="DV109" s="20"/>
      <c r="DW109" s="20"/>
      <c r="DX109" s="20"/>
      <c r="DY109" s="20"/>
      <c r="DZ109" s="20"/>
      <c r="EA109" s="20"/>
      <c r="EB109" s="20"/>
      <c r="EC109" s="20"/>
      <c r="ED109" s="20"/>
      <c r="EE109" s="20"/>
      <c r="EF109" s="20"/>
      <c r="EG109" s="20"/>
      <c r="EH109" s="20"/>
    </row>
    <row r="110" spans="1:138" ht="15.75" customHeight="1">
      <c r="A110" s="238" t="s">
        <v>2518</v>
      </c>
      <c r="B110" s="238" t="s">
        <v>149</v>
      </c>
      <c r="C110" s="574" t="s">
        <v>149</v>
      </c>
      <c r="D110" s="574" t="s">
        <v>252</v>
      </c>
      <c r="E110" s="574" t="s">
        <v>39</v>
      </c>
      <c r="F110" s="574" t="s">
        <v>203</v>
      </c>
      <c r="G110" s="574" t="str">
        <f>VLOOKUP(WWWW[[#This Row],[Site Name]],SiteDB6[[Site Name]:[Location Type]],8,FALSE)</f>
        <v>Camp_not registered</v>
      </c>
      <c r="H110" s="574" t="s">
        <v>2087</v>
      </c>
      <c r="I110" s="583">
        <v>37</v>
      </c>
      <c r="J110" s="583">
        <v>161</v>
      </c>
      <c r="K110" s="553"/>
      <c r="L110" s="77">
        <v>43511</v>
      </c>
      <c r="M110" s="583"/>
      <c r="N110" s="583"/>
      <c r="O110" s="583"/>
      <c r="P110" s="583"/>
      <c r="Q110" s="76" t="s">
        <v>43</v>
      </c>
      <c r="R110" s="310"/>
      <c r="S110" s="310"/>
      <c r="T110" s="583">
        <v>0</v>
      </c>
      <c r="U110" s="310"/>
      <c r="V110" s="310"/>
      <c r="W110" s="583">
        <v>2</v>
      </c>
      <c r="X110" s="310"/>
      <c r="Y110" s="310"/>
      <c r="Z110" s="310"/>
      <c r="AA110" s="310"/>
      <c r="AB110" s="310"/>
      <c r="AC110" s="310"/>
      <c r="AD110" s="310"/>
      <c r="AE110" s="310"/>
      <c r="AF110" s="310"/>
      <c r="AG110" s="310"/>
      <c r="AH110" s="583">
        <v>2</v>
      </c>
      <c r="AI110" s="310"/>
      <c r="AJ110" s="310"/>
      <c r="AK110" s="310"/>
      <c r="AL110" s="310"/>
      <c r="AM110" s="310"/>
      <c r="AN110" s="310"/>
      <c r="AO110" s="207"/>
      <c r="AP110" s="583">
        <v>6</v>
      </c>
      <c r="AQ110" s="310"/>
      <c r="AR110" s="76"/>
      <c r="AS110" s="310"/>
      <c r="AT110" s="310"/>
      <c r="AU110" s="310"/>
      <c r="AV110" s="310"/>
      <c r="AW110" s="583">
        <v>6</v>
      </c>
      <c r="AX110" s="231" t="s">
        <v>43</v>
      </c>
      <c r="AY110" s="231" t="s">
        <v>145</v>
      </c>
      <c r="AZ110" s="310"/>
      <c r="BA110" s="310"/>
      <c r="BB110" s="310"/>
      <c r="BC110" s="207"/>
      <c r="BD110" s="310"/>
      <c r="BE110" s="310"/>
      <c r="BF110" s="310"/>
      <c r="BG110" s="310">
        <v>0</v>
      </c>
      <c r="BH110" s="310"/>
      <c r="BI110" s="310"/>
      <c r="BJ110" s="310">
        <v>1</v>
      </c>
      <c r="BK110" s="310"/>
      <c r="BL110" s="310"/>
      <c r="BM110" s="207"/>
      <c r="BN110" s="79"/>
      <c r="BO110" s="81"/>
      <c r="BP110" s="207"/>
      <c r="BQ110" s="78" t="str">
        <f>IFERROR(WWWW[[#This Row],['#_Water sources treated]]/WWWW[[#This Row],['#_Water sources tested for contamination]],"no test")</f>
        <v>no test</v>
      </c>
      <c r="BR110" s="81" t="str">
        <f>IFERROR(WWWW[[#This Row],['#_Household received remediation action due to contamination]]/WWWW[[#This Row],['#_Household water samples tested for contamination]],"no test")</f>
        <v>no test</v>
      </c>
      <c r="BS110" s="80" t="str">
        <f>IF(AND(WWWW[[#This Row],[% of water sources treated]]="no test",WWWW[[#This Row],[% Household received corrective actions]]="no test"),"No Test","Tested")</f>
        <v>No Test</v>
      </c>
      <c r="BT110" s="80">
        <f>WWWW[[#This Row],['#_Constructed/existing protected hand dug well]]-WWWW[[#This Row],['#_Non-functional protected hand dug well]]</f>
        <v>0</v>
      </c>
      <c r="BU110" s="80">
        <f>(WWWW[[#This Row],['#_Constructed/Existing tube wells/boreholes/handpumps_WASH_agency]]+WWWW[[#This Row],['#_Non-Cluster partner water tube-wells/boreholes/handpumps]])-WWWW[[#This Row],['#_Non-functional tube wells/boreholes/handpumps]]</f>
        <v>2</v>
      </c>
      <c r="BV110" s="80">
        <f>WWWW[[#This Row],['#_Constructed/Existingwater storage tank with gravity fed reticulation system]]-WWWW[[#This Row],['#_Non-functional storage tank gravity fed reticulation system]]</f>
        <v>0</v>
      </c>
      <c r="BW110" s="80">
        <f>WWWW[[#This Row],['#_Water boating or water trucking]]</f>
        <v>0</v>
      </c>
      <c r="BX110" s="80">
        <f>WWWW[[#This Row],['#_Constructed/Existing water distribution system from river or natural spring]]</f>
        <v>0</v>
      </c>
      <c r="BY11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0" s="81">
        <f>IF(WWWW[[#This Row],[Location Type 1]]="Village",WWWW[[#This Row],[Access to safe drinking water for Village]],WWWW[[#This Row],[Access to safe drinking water for Camp]])</f>
        <v>1</v>
      </c>
      <c r="CB110" s="79">
        <f>WWWW[[#This Row],[%Equitable and continuous access to sufficient quantity of safe drinking water]]*WWWW[[#This Row],[Total PoP ]]</f>
        <v>161</v>
      </c>
      <c r="CC110" s="81">
        <f>IF((WWWW[[#This Row],['#_Constructed/Existing protected/fenced ponds]]*250)/WWWW[[#This Row],[Total PoP ]]&gt;1,1,(WWWW[[#This Row],['#_Constructed/Existing protected/fenced ponds]]*250)/WWWW[[#This Row],[Total PoP ]])</f>
        <v>0</v>
      </c>
      <c r="CD110" s="79">
        <f>WWWW[[#This Row],[% Access to unimproved water points]]*WWWW[[#This Row],[Total PoP ]]</f>
        <v>0</v>
      </c>
      <c r="CE11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G110" s="79">
        <f>WWWW[[#This Row],[HRP1]]/500</f>
        <v>0.32200000000000001</v>
      </c>
      <c r="CH110" s="78">
        <f>1-WWWW[[#This Row],[% Equitable and continuous access to sufficient quantity of domestic water]]</f>
        <v>0</v>
      </c>
      <c r="CI110" s="79">
        <f>WWWW[[#This Row],[%equitable and continuous access to sufficient quantity of safe drinking and domestic water''s GAP]]*WWWW[[#This Row],[Total PoP ]]</f>
        <v>0</v>
      </c>
      <c r="CJ110" s="80">
        <f>IF(WWWW[[#This Row],[Total required water points]]-WWWW[[#This Row],['#Water points coverage]]&lt;0,0,WWWW[[#This Row],[Total required water points]]-WWWW[[#This Row],['#Water points coverage]])</f>
        <v>0.67799999999999994</v>
      </c>
      <c r="CK110" s="80">
        <f>ROUND(IF(WWWW[[#This Row],[Total PoP ]]&lt;500,1,WWWW[[#This Row],[Total PoP ]]/500),0)</f>
        <v>1</v>
      </c>
      <c r="CL110" s="80">
        <f>(WWWW[[#This Row],['#_Constructed latrines_by_WASHAgencies]]+WWWW[[#This Row],['#_Non Cluster partner latrines]])-WWWW[[#This Row],['#_Non-functional latrines]]</f>
        <v>6</v>
      </c>
      <c r="CM11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0.74534161490683226</v>
      </c>
      <c r="CN11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1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0" s="80">
        <f>IF(WWWW[[#This Row],[Location Type 1]]="Village","NA",IF(WWWW[[#This Row],['#_Constructed/Existing latrines in TLS]]*50&gt;WWWW[[#This Row],['#_students at TLS_CFS]],WWWW[[#This Row],['#_students at TLS_CFS]],(WWWW[[#This Row],['#_Constructed/Existing latrines in TLS]]*50)))</f>
        <v>0</v>
      </c>
      <c r="CQ110" s="80">
        <f>ROUND(IF(WWWW[[#This Row],[Location Type 1]]="camp",WWWW[[#This Row],[Total PoP ]]/20,IF(WWWW[[#This Row],[Location Type 1]]="Temporary Location",WWWW[[#This Row],[Total PoP ]]/50,(WWWW[[#This Row],[Total PoP ]]/6))),0)</f>
        <v>8</v>
      </c>
      <c r="CR110" s="79">
        <f>IF(WWWW[[#This Row],[Total required Latrines]]-(WWWW[[#This Row],['#_Constructed latrines_by_WASHAgencies]]+WWWW[[#This Row],['#_Non Cluster partner latrines]])&lt;0,0,WWWW[[#This Row],[Total required Latrines]]-(WWWW[[#This Row],['#_Constructed latrines_by_WASHAgencies]]+WWWW[[#This Row],['#_Non Cluster partner latrines]]))</f>
        <v>2</v>
      </c>
      <c r="CS110" s="78">
        <f>1-WWWW[[#This Row],[% people access to functioning Latrine]]</f>
        <v>0.25465838509316774</v>
      </c>
      <c r="CT110" s="82">
        <f>IF(OR(WWWW[[#This Row],['#_Non-functional latrines]]="",WWWW[[#This Row],['#_Non-functional latrines]]=0),0,WWWW[[#This Row],['#_Non-functional latrines]]/(WWWW[[#This Row],['#_Constructed latrines_by_WASHAgencies]]+WWWW[[#This Row],['#_Non Cluster partner latrines]]))</f>
        <v>0</v>
      </c>
      <c r="CU110" s="79">
        <f>IF(500*(WWWW[[#This Row],['#_male hygiene promoters]]+WWWW[[#This Row],['#_female hygiene promoters]])&gt;WWWW[[#This Row],[Total PoP ]],WWWW[[#This Row],[Total PoP ]],500*(WWWW[[#This Row],['#_male hygiene promoters]]+WWWW[[#This Row],['#_female hygiene promoters]]))</f>
        <v>161</v>
      </c>
      <c r="CV11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0" s="80">
        <f>IF(WWWW[[#This Row],['# People with access to soap]]&gt;WWWW[[#This Row],['# People with access to Sanity Pads]],WWWW[[#This Row],['# People with access to soap]],WWWW[[#This Row],['# People with access to Sanity Pads]])</f>
        <v>0</v>
      </c>
      <c r="CY110" s="80">
        <f>IF(WWWW[[#This Row],['# people reached by regular dedicated hygiene promotion_5]]&gt;WWWW[[#This Row],['# People received regular supply of hygiene items_6]],WWWW[[#This Row],['# people reached by regular dedicated hygiene promotion_5]],WWWW[[#This Row],['# People received regular supply of hygiene items_6]])</f>
        <v>161</v>
      </c>
      <c r="CZ110" s="78">
        <f>IF(WWWW[[#This Row],[HRP3]]/WWWW[[#This Row],[Total PoP ]]&gt;100%,100%,WWWW[[#This Row],[HRP3]]/WWWW[[#This Row],[Total PoP ]])</f>
        <v>1</v>
      </c>
      <c r="DA110" s="82">
        <f>1-WWWW[[#This Row],[Hygiene Coverage%]]</f>
        <v>0</v>
      </c>
      <c r="DB110" s="81">
        <f>WWWW[[#This Row],['# people reached by regular dedicated hygiene promotion_5]]/WWWW[[#This Row],[Total PoP ]]</f>
        <v>1</v>
      </c>
      <c r="DC110" s="81">
        <f>IF(WWWW[[#This Row],['#_households that received standard amount of soap for this quarter]]/WWWW[[#This Row],[Total HH]]&gt;1,1,WWWW[[#This Row],['#_households that received standard amount of soap for this quarter]]/WWWW[[#This Row],[Total HH]])</f>
        <v>0</v>
      </c>
      <c r="DD110" s="81">
        <f>IF(WWWW[[#This Row],['#_households that received standard amount of sanitary pads for this quarter]]/WWWW[[#This Row],[Total HH]]&gt;1,1,WWWW[[#This Row],['#_households that received standard amount of sanitary pads for this quarter]]/WWWW[[#This Row],[Total HH]])</f>
        <v>0</v>
      </c>
      <c r="DE110" s="80">
        <f>WWWW[[#This Row],['#_Constructed/Existing hand washing stations]]-WWWW[[#This Row],['#_Non-Functional_hand_washing_stations]]</f>
        <v>0</v>
      </c>
      <c r="DF110" s="757">
        <f>IF(WWWW[[#This Row],['# Functional hand washing stations during reporting period]]*20&gt;WWWW[[#This Row],[Total HH]],WWWW[[#This Row],[Total HH]],WWWW[[#This Row],['# Functional hand washing stations during reporting period]]*20)</f>
        <v>0</v>
      </c>
      <c r="DG110" s="79">
        <f>IF(WWWW[[#This Row],[Is sufficient soap available for TLS? (Yes/No)]]="yes",WWWW[[#This Row],['#_Constructed/Existing hand washing stations at TLS]],0)</f>
        <v>0</v>
      </c>
      <c r="DH110" s="578">
        <f>IF(WWWW[[#This Row],['# Functional hand washing stations during reporting period]]*100&gt;WWWW[[#This Row],[Total PoP ]],WWWW[[#This Row],[Total PoP ]],WWWW[[#This Row],['# Functional hand washing stations during reporting period]]*100)</f>
        <v>0</v>
      </c>
      <c r="DI110" s="578" t="str">
        <f>IF(OR(WWWW[[#This Row],['#_students at TLS_CFS]]="",WWWW[[#This Row],['#_students at TLS_CFS]]=0),"No","Yes")</f>
        <v>No</v>
      </c>
      <c r="DJ110" s="231">
        <f>VLOOKUP(WWWW[[#This Row],[Site Name]],SiteDB6[[Site Name]:[CCCM Management]],6,FALSE)</f>
        <v>0</v>
      </c>
      <c r="DK110" s="231">
        <f>VLOOKUP(WWWW[[#This Row],[Site Name]],SiteDB6[[Site Name]:[CCCM Focal Agency]],7,FALSE)</f>
        <v>0</v>
      </c>
      <c r="DL110" s="231" t="str">
        <f>VLOOKUP(WWWW[[#This Row],[Site Name]],SiteDB6[[Site Name]:[Location Type 1]],9,FALSE)</f>
        <v>Camp</v>
      </c>
      <c r="DM110" s="231" t="str">
        <f>VLOOKUP(WWWW[[#This Row],[Site Name]],SiteDB6[[Site Name]:[Type of Accommodation]],10,FALSE)</f>
        <v>camp</v>
      </c>
      <c r="DN110" s="231" t="str">
        <f>VLOOKUP(WWWW[[#This Row],[Site Name]],SiteDB6[[Site Name]:[Ethnic or GCA/NGCA]],11,FALSE)</f>
        <v>GCA</v>
      </c>
      <c r="DO110" s="231">
        <f>VLOOKUP(WWWW[[#This Row],[Site Name]],SiteDB6[[Site Name]:[Lat]],12,FALSE)</f>
        <v>0</v>
      </c>
      <c r="DP110" s="231">
        <f>VLOOKUP(WWWW[[#This Row],[Site Name]],SiteDB6[[Site Name]:[Long]],13,FALSE)</f>
        <v>0</v>
      </c>
      <c r="DQ110" s="231">
        <f>VLOOKUP(WWWW[[#This Row],[Site Name]],SiteDB6[[Site Name]:[Pcode]],3,FALSE)</f>
        <v>0</v>
      </c>
      <c r="DR110" s="207" t="str">
        <f t="shared" si="4"/>
        <v>Covered</v>
      </c>
      <c r="DS110" s="207"/>
      <c r="DT110" s="20"/>
      <c r="DU110" s="20"/>
      <c r="DV110" s="20"/>
      <c r="DW110" s="20"/>
      <c r="DX110" s="20"/>
      <c r="DY110" s="20"/>
      <c r="DZ110" s="20"/>
      <c r="EA110" s="20"/>
      <c r="EB110" s="20"/>
      <c r="EC110" s="20"/>
      <c r="ED110" s="20"/>
      <c r="EE110" s="20"/>
      <c r="EF110" s="20"/>
      <c r="EG110" s="20"/>
      <c r="EH110" s="20"/>
    </row>
    <row r="111" spans="1:138" ht="15.75" customHeight="1">
      <c r="A111" s="238" t="s">
        <v>2518</v>
      </c>
      <c r="B111" s="238" t="s">
        <v>149</v>
      </c>
      <c r="C111" s="574" t="s">
        <v>149</v>
      </c>
      <c r="D111" s="574" t="s">
        <v>158</v>
      </c>
      <c r="E111" s="574" t="s">
        <v>39</v>
      </c>
      <c r="F111" s="574" t="s">
        <v>160</v>
      </c>
      <c r="G111" s="574" t="str">
        <f>VLOOKUP(WWWW[[#This Row],[Site Name]],SiteDB6[[Site Name]:[Location Type]],8,FALSE)</f>
        <v>Camp_not registered</v>
      </c>
      <c r="H111" s="574" t="s">
        <v>2088</v>
      </c>
      <c r="I111" s="583">
        <v>6</v>
      </c>
      <c r="J111" s="583">
        <v>36</v>
      </c>
      <c r="K111" s="553">
        <v>43556</v>
      </c>
      <c r="L111" s="77">
        <v>43677</v>
      </c>
      <c r="M111" s="583"/>
      <c r="N111" s="583"/>
      <c r="O111" s="583"/>
      <c r="P111" s="583"/>
      <c r="Q111" s="76" t="s">
        <v>43</v>
      </c>
      <c r="R111" s="310"/>
      <c r="S111" s="310"/>
      <c r="T111" s="583">
        <v>0</v>
      </c>
      <c r="U111" s="310"/>
      <c r="V111" s="310"/>
      <c r="W111" s="583">
        <v>1</v>
      </c>
      <c r="X111" s="310"/>
      <c r="Y111" s="310"/>
      <c r="Z111" s="310"/>
      <c r="AA111" s="310"/>
      <c r="AB111" s="310"/>
      <c r="AC111" s="310"/>
      <c r="AD111" s="310"/>
      <c r="AE111" s="310"/>
      <c r="AF111" s="310"/>
      <c r="AG111" s="310"/>
      <c r="AH111" s="583">
        <v>3</v>
      </c>
      <c r="AI111" s="310"/>
      <c r="AJ111" s="310"/>
      <c r="AK111" s="310"/>
      <c r="AL111" s="310"/>
      <c r="AM111" s="310"/>
      <c r="AN111" s="310"/>
      <c r="AO111" s="207"/>
      <c r="AP111" s="583">
        <v>2</v>
      </c>
      <c r="AQ111" s="310"/>
      <c r="AR111" s="76"/>
      <c r="AS111" s="310"/>
      <c r="AT111" s="310"/>
      <c r="AU111" s="310"/>
      <c r="AV111" s="310"/>
      <c r="AW111" s="583">
        <v>2</v>
      </c>
      <c r="AX111" s="231" t="s">
        <v>43</v>
      </c>
      <c r="AY111" s="231" t="s">
        <v>145</v>
      </c>
      <c r="AZ111" s="310"/>
      <c r="BA111" s="310"/>
      <c r="BB111" s="310"/>
      <c r="BC111" s="207"/>
      <c r="BD111" s="310"/>
      <c r="BE111" s="310"/>
      <c r="BF111" s="310"/>
      <c r="BG111" s="310">
        <v>0</v>
      </c>
      <c r="BH111" s="310"/>
      <c r="BI111" s="310"/>
      <c r="BJ111" s="310">
        <v>1</v>
      </c>
      <c r="BK111" s="310"/>
      <c r="BL111" s="310"/>
      <c r="BM111" s="207"/>
      <c r="BN111" s="79"/>
      <c r="BO111" s="81"/>
      <c r="BP111" s="207"/>
      <c r="BQ111" s="78" t="str">
        <f>IFERROR(WWWW[[#This Row],['#_Water sources treated]]/WWWW[[#This Row],['#_Water sources tested for contamination]],"no test")</f>
        <v>no test</v>
      </c>
      <c r="BR111" s="81" t="str">
        <f>IFERROR(WWWW[[#This Row],['#_Household received remediation action due to contamination]]/WWWW[[#This Row],['#_Household water samples tested for contamination]],"no test")</f>
        <v>no test</v>
      </c>
      <c r="BS111" s="80" t="str">
        <f>IF(AND(WWWW[[#This Row],[% of water sources treated]]="no test",WWWW[[#This Row],[% Household received corrective actions]]="no test"),"No Test","Tested")</f>
        <v>No Test</v>
      </c>
      <c r="BT111" s="80">
        <f>WWWW[[#This Row],['#_Constructed/existing protected hand dug well]]-WWWW[[#This Row],['#_Non-functional protected hand dug well]]</f>
        <v>0</v>
      </c>
      <c r="BU111" s="80">
        <f>(WWWW[[#This Row],['#_Constructed/Existing tube wells/boreholes/handpumps_WASH_agency]]+WWWW[[#This Row],['#_Non-Cluster partner water tube-wells/boreholes/handpumps]])-WWWW[[#This Row],['#_Non-functional tube wells/boreholes/handpumps]]</f>
        <v>1</v>
      </c>
      <c r="BV111" s="80">
        <f>WWWW[[#This Row],['#_Constructed/Existingwater storage tank with gravity fed reticulation system]]-WWWW[[#This Row],['#_Non-functional storage tank gravity fed reticulation system]]</f>
        <v>0</v>
      </c>
      <c r="BW111" s="80">
        <f>WWWW[[#This Row],['#_Water boating or water trucking]]</f>
        <v>0</v>
      </c>
      <c r="BX111" s="80">
        <f>WWWW[[#This Row],['#_Constructed/Existing water distribution system from river or natural spring]]</f>
        <v>0</v>
      </c>
      <c r="BY11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1" s="81">
        <f>IF(WWWW[[#This Row],[Location Type 1]]="Village",WWWW[[#This Row],[Access to safe drinking water for Village]],WWWW[[#This Row],[Access to safe drinking water for Camp]])</f>
        <v>1</v>
      </c>
      <c r="CB111" s="79">
        <f>WWWW[[#This Row],[%Equitable and continuous access to sufficient quantity of safe drinking water]]*WWWW[[#This Row],[Total PoP ]]</f>
        <v>36</v>
      </c>
      <c r="CC111" s="81">
        <f>IF((WWWW[[#This Row],['#_Constructed/Existing protected/fenced ponds]]*250)/WWWW[[#This Row],[Total PoP ]]&gt;1,1,(WWWW[[#This Row],['#_Constructed/Existing protected/fenced ponds]]*250)/WWWW[[#This Row],[Total PoP ]])</f>
        <v>0</v>
      </c>
      <c r="CD111" s="79">
        <f>WWWW[[#This Row],[% Access to unimproved water points]]*WWWW[[#This Row],[Total PoP ]]</f>
        <v>0</v>
      </c>
      <c r="CE11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G111" s="79">
        <f>WWWW[[#This Row],[HRP1]]/500</f>
        <v>7.1999999999999995E-2</v>
      </c>
      <c r="CH111" s="78">
        <f>1-WWWW[[#This Row],[% Equitable and continuous access to sufficient quantity of domestic water]]</f>
        <v>0</v>
      </c>
      <c r="CI111" s="79">
        <f>WWWW[[#This Row],[%equitable and continuous access to sufficient quantity of safe drinking and domestic water''s GAP]]*WWWW[[#This Row],[Total PoP ]]</f>
        <v>0</v>
      </c>
      <c r="CJ111" s="80">
        <f>IF(WWWW[[#This Row],[Total required water points]]-WWWW[[#This Row],['#Water points coverage]]&lt;0,0,WWWW[[#This Row],[Total required water points]]-WWWW[[#This Row],['#Water points coverage]])</f>
        <v>0.92800000000000005</v>
      </c>
      <c r="CK111" s="80">
        <f>ROUND(IF(WWWW[[#This Row],[Total PoP ]]&lt;500,1,WWWW[[#This Row],[Total PoP ]]/500),0)</f>
        <v>1</v>
      </c>
      <c r="CL111" s="80">
        <f>(WWWW[[#This Row],['#_Constructed latrines_by_WASHAgencies]]+WWWW[[#This Row],['#_Non Cluster partner latrines]])-WWWW[[#This Row],['#_Non-functional latrines]]</f>
        <v>2</v>
      </c>
      <c r="CM11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v>
      </c>
      <c r="CO11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1" s="80">
        <f>IF(WWWW[[#This Row],[Location Type 1]]="Village","NA",IF(WWWW[[#This Row],['#_Constructed/Existing latrines in TLS]]*50&gt;WWWW[[#This Row],['#_students at TLS_CFS]],WWWW[[#This Row],['#_students at TLS_CFS]],(WWWW[[#This Row],['#_Constructed/Existing latrines in TLS]]*50)))</f>
        <v>0</v>
      </c>
      <c r="CQ111" s="80">
        <f>ROUND(IF(WWWW[[#This Row],[Location Type 1]]="camp",WWWW[[#This Row],[Total PoP ]]/20,IF(WWWW[[#This Row],[Location Type 1]]="Temporary Location",WWWW[[#This Row],[Total PoP ]]/50,(WWWW[[#This Row],[Total PoP ]]/6))),0)</f>
        <v>2</v>
      </c>
      <c r="CR111" s="79">
        <f>IF(WWWW[[#This Row],[Total required Latrines]]-(WWWW[[#This Row],['#_Constructed latrines_by_WASHAgencies]]+WWWW[[#This Row],['#_Non Cluster partner latrines]])&lt;0,0,WWWW[[#This Row],[Total required Latrines]]-(WWWW[[#This Row],['#_Constructed latrines_by_WASHAgencies]]+WWWW[[#This Row],['#_Non Cluster partner latrines]]))</f>
        <v>0</v>
      </c>
      <c r="CS111" s="78">
        <f>1-WWWW[[#This Row],[% people access to functioning Latrine]]</f>
        <v>0</v>
      </c>
      <c r="CT111" s="82">
        <f>IF(OR(WWWW[[#This Row],['#_Non-functional latrines]]="",WWWW[[#This Row],['#_Non-functional latrines]]=0),0,WWWW[[#This Row],['#_Non-functional latrines]]/(WWWW[[#This Row],['#_Constructed latrines_by_WASHAgencies]]+WWWW[[#This Row],['#_Non Cluster partner latrines]]))</f>
        <v>0</v>
      </c>
      <c r="CU111" s="79">
        <f>IF(500*(WWWW[[#This Row],['#_male hygiene promoters]]+WWWW[[#This Row],['#_female hygiene promoters]])&gt;WWWW[[#This Row],[Total PoP ]],WWWW[[#This Row],[Total PoP ]],500*(WWWW[[#This Row],['#_male hygiene promoters]]+WWWW[[#This Row],['#_female hygiene promoters]]))</f>
        <v>36</v>
      </c>
      <c r="CV11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1" s="80">
        <f>IF(WWWW[[#This Row],['# People with access to soap]]&gt;WWWW[[#This Row],['# People with access to Sanity Pads]],WWWW[[#This Row],['# People with access to soap]],WWWW[[#This Row],['# People with access to Sanity Pads]])</f>
        <v>0</v>
      </c>
      <c r="CY111" s="80">
        <f>IF(WWWW[[#This Row],['# people reached by regular dedicated hygiene promotion_5]]&gt;WWWW[[#This Row],['# People received regular supply of hygiene items_6]],WWWW[[#This Row],['# people reached by regular dedicated hygiene promotion_5]],WWWW[[#This Row],['# People received regular supply of hygiene items_6]])</f>
        <v>36</v>
      </c>
      <c r="CZ111" s="78">
        <f>IF(WWWW[[#This Row],[HRP3]]/WWWW[[#This Row],[Total PoP ]]&gt;100%,100%,WWWW[[#This Row],[HRP3]]/WWWW[[#This Row],[Total PoP ]])</f>
        <v>1</v>
      </c>
      <c r="DA111" s="82">
        <f>1-WWWW[[#This Row],[Hygiene Coverage%]]</f>
        <v>0</v>
      </c>
      <c r="DB111" s="81">
        <f>WWWW[[#This Row],['# people reached by regular dedicated hygiene promotion_5]]/WWWW[[#This Row],[Total PoP ]]</f>
        <v>1</v>
      </c>
      <c r="DC111" s="81">
        <f>IF(WWWW[[#This Row],['#_households that received standard amount of soap for this quarter]]/WWWW[[#This Row],[Total HH]]&gt;1,1,WWWW[[#This Row],['#_households that received standard amount of soap for this quarter]]/WWWW[[#This Row],[Total HH]])</f>
        <v>0</v>
      </c>
      <c r="DD111" s="81">
        <f>IF(WWWW[[#This Row],['#_households that received standard amount of sanitary pads for this quarter]]/WWWW[[#This Row],[Total HH]]&gt;1,1,WWWW[[#This Row],['#_households that received standard amount of sanitary pads for this quarter]]/WWWW[[#This Row],[Total HH]])</f>
        <v>0</v>
      </c>
      <c r="DE111" s="80">
        <f>WWWW[[#This Row],['#_Constructed/Existing hand washing stations]]-WWWW[[#This Row],['#_Non-Functional_hand_washing_stations]]</f>
        <v>0</v>
      </c>
      <c r="DF111" s="757">
        <f>IF(WWWW[[#This Row],['# Functional hand washing stations during reporting period]]*20&gt;WWWW[[#This Row],[Total HH]],WWWW[[#This Row],[Total HH]],WWWW[[#This Row],['# Functional hand washing stations during reporting period]]*20)</f>
        <v>0</v>
      </c>
      <c r="DG111" s="79">
        <f>IF(WWWW[[#This Row],[Is sufficient soap available for TLS? (Yes/No)]]="yes",WWWW[[#This Row],['#_Constructed/Existing hand washing stations at TLS]],0)</f>
        <v>0</v>
      </c>
      <c r="DH111" s="578">
        <f>IF(WWWW[[#This Row],['# Functional hand washing stations during reporting period]]*100&gt;WWWW[[#This Row],[Total PoP ]],WWWW[[#This Row],[Total PoP ]],WWWW[[#This Row],['# Functional hand washing stations during reporting period]]*100)</f>
        <v>0</v>
      </c>
      <c r="DI111" s="578" t="str">
        <f>IF(OR(WWWW[[#This Row],['#_students at TLS_CFS]]="",WWWW[[#This Row],['#_students at TLS_CFS]]=0),"No","Yes")</f>
        <v>No</v>
      </c>
      <c r="DJ111" s="231">
        <f>VLOOKUP(WWWW[[#This Row],[Site Name]],SiteDB6[[Site Name]:[CCCM Management]],6,FALSE)</f>
        <v>0</v>
      </c>
      <c r="DK111" s="231">
        <f>VLOOKUP(WWWW[[#This Row],[Site Name]],SiteDB6[[Site Name]:[CCCM Focal Agency]],7,FALSE)</f>
        <v>0</v>
      </c>
      <c r="DL111" s="231" t="str">
        <f>VLOOKUP(WWWW[[#This Row],[Site Name]],SiteDB6[[Site Name]:[Location Type 1]],9,FALSE)</f>
        <v>Camp</v>
      </c>
      <c r="DM111" s="231" t="str">
        <f>VLOOKUP(WWWW[[#This Row],[Site Name]],SiteDB6[[Site Name]:[Type of Accommodation]],10,FALSE)</f>
        <v>Camp like setting</v>
      </c>
      <c r="DN111" s="231" t="str">
        <f>VLOOKUP(WWWW[[#This Row],[Site Name]],SiteDB6[[Site Name]:[Ethnic or GCA/NGCA]],11,FALSE)</f>
        <v>GCA</v>
      </c>
      <c r="DO111" s="231">
        <f>VLOOKUP(WWWW[[#This Row],[Site Name]],SiteDB6[[Site Name]:[Lat]],12,FALSE)</f>
        <v>0</v>
      </c>
      <c r="DP111" s="231">
        <f>VLOOKUP(WWWW[[#This Row],[Site Name]],SiteDB6[[Site Name]:[Long]],13,FALSE)</f>
        <v>0</v>
      </c>
      <c r="DQ111" s="231">
        <f>VLOOKUP(WWWW[[#This Row],[Site Name]],SiteDB6[[Site Name]:[Pcode]],3,FALSE)</f>
        <v>0</v>
      </c>
      <c r="DR111" s="207" t="str">
        <f t="shared" si="4"/>
        <v>Covered</v>
      </c>
      <c r="DS111" s="207"/>
      <c r="DT111" s="20"/>
      <c r="DU111" s="20"/>
      <c r="DV111" s="20"/>
      <c r="DW111" s="20"/>
      <c r="DX111" s="20"/>
      <c r="DY111" s="20"/>
      <c r="DZ111" s="20"/>
      <c r="EA111" s="20"/>
      <c r="EB111" s="20"/>
      <c r="EC111" s="20"/>
      <c r="ED111" s="20"/>
      <c r="EE111" s="20"/>
      <c r="EF111" s="20"/>
      <c r="EG111" s="20"/>
      <c r="EH111" s="20"/>
    </row>
    <row r="112" spans="1:138" ht="15.75" customHeight="1">
      <c r="A112" s="238" t="s">
        <v>2518</v>
      </c>
      <c r="B112" s="574" t="s">
        <v>250</v>
      </c>
      <c r="C112" s="574" t="s">
        <v>250</v>
      </c>
      <c r="D112" s="584" t="s">
        <v>315</v>
      </c>
      <c r="E112" s="574" t="s">
        <v>39</v>
      </c>
      <c r="F112" s="574" t="s">
        <v>167</v>
      </c>
      <c r="G112" s="574" t="str">
        <f>VLOOKUP(WWWW[[#This Row],[Site Name]],SiteDB6[[Site Name]:[Location Type]],8,FALSE)</f>
        <v>Camp</v>
      </c>
      <c r="H112" s="574" t="s">
        <v>271</v>
      </c>
      <c r="I112" s="583">
        <v>22</v>
      </c>
      <c r="J112" s="583">
        <v>92</v>
      </c>
      <c r="K112" s="553">
        <v>43313</v>
      </c>
      <c r="L112" s="58">
        <v>44043</v>
      </c>
      <c r="M112" s="583"/>
      <c r="N112" s="583">
        <v>1</v>
      </c>
      <c r="O112" s="583"/>
      <c r="P112" s="583"/>
      <c r="Q112" s="574" t="s">
        <v>43</v>
      </c>
      <c r="R112" s="310">
        <v>3</v>
      </c>
      <c r="S112" s="310">
        <v>7</v>
      </c>
      <c r="T112" s="310">
        <v>1</v>
      </c>
      <c r="U112" s="310">
        <v>1</v>
      </c>
      <c r="V112" s="310"/>
      <c r="W112" s="310">
        <v>1</v>
      </c>
      <c r="X112" s="310">
        <v>1</v>
      </c>
      <c r="Y112" s="310">
        <v>0</v>
      </c>
      <c r="Z112" s="310"/>
      <c r="AA112" s="310"/>
      <c r="AB112" s="310"/>
      <c r="AC112" s="310"/>
      <c r="AD112" s="310"/>
      <c r="AE112" s="310"/>
      <c r="AF112" s="310"/>
      <c r="AG112" s="310"/>
      <c r="AH112" s="310"/>
      <c r="AI112" s="310"/>
      <c r="AJ112" s="310"/>
      <c r="AK112" s="310"/>
      <c r="AL112" s="310"/>
      <c r="AM112" s="310"/>
      <c r="AN112" s="310"/>
      <c r="AO112" s="207"/>
      <c r="AP112" s="310">
        <v>5</v>
      </c>
      <c r="AQ112" s="310">
        <v>5</v>
      </c>
      <c r="AR112" s="76"/>
      <c r="AS112" s="578">
        <v>0</v>
      </c>
      <c r="AT112" s="574">
        <v>0</v>
      </c>
      <c r="AU112" s="578">
        <v>2</v>
      </c>
      <c r="AV112" s="310"/>
      <c r="AW112" s="583"/>
      <c r="AX112" s="581" t="s">
        <v>43</v>
      </c>
      <c r="AY112" s="231" t="s">
        <v>1200</v>
      </c>
      <c r="AZ112" s="310"/>
      <c r="BA112" s="310"/>
      <c r="BB112" s="310"/>
      <c r="BC112" s="207"/>
      <c r="BD112" s="310">
        <v>2</v>
      </c>
      <c r="BE112" s="310">
        <v>1</v>
      </c>
      <c r="BF112" s="310">
        <v>0</v>
      </c>
      <c r="BG112" s="310">
        <v>0</v>
      </c>
      <c r="BH112" s="310">
        <v>0</v>
      </c>
      <c r="BI112" s="310">
        <v>0</v>
      </c>
      <c r="BJ112" s="310">
        <v>0</v>
      </c>
      <c r="BK112" s="310">
        <v>0</v>
      </c>
      <c r="BL112" s="310">
        <v>0</v>
      </c>
      <c r="BM112" s="207" t="s">
        <v>144</v>
      </c>
      <c r="BN112" s="79">
        <v>0</v>
      </c>
      <c r="BO112" s="81">
        <v>0</v>
      </c>
      <c r="BP112" s="207"/>
      <c r="BQ112" s="78" t="str">
        <f>IFERROR(WWWW[[#This Row],['#_Water sources treated]]/WWWW[[#This Row],['#_Water sources tested for contamination]],"no test")</f>
        <v>no test</v>
      </c>
      <c r="BR112" s="81" t="str">
        <f>IFERROR(WWWW[[#This Row],['#_Household received remediation action due to contamination]]/WWWW[[#This Row],['#_Household water samples tested for contamination]],"no test")</f>
        <v>no test</v>
      </c>
      <c r="BS112" s="80" t="str">
        <f>IF(AND(WWWW[[#This Row],[% of water sources treated]]="no test",WWWW[[#This Row],[% Household received corrective actions]]="no test"),"No Test","Tested")</f>
        <v>No Test</v>
      </c>
      <c r="BT112" s="80">
        <f>WWWW[[#This Row],['#_Constructed/existing protected hand dug well]]-WWWW[[#This Row],['#_Non-functional protected hand dug well]]</f>
        <v>0</v>
      </c>
      <c r="BU112" s="80">
        <f>(WWWW[[#This Row],['#_Constructed/Existing tube wells/boreholes/handpumps_WASH_agency]]+WWWW[[#This Row],['#_Non-Cluster partner water tube-wells/boreholes/handpumps]])-WWWW[[#This Row],['#_Non-functional tube wells/boreholes/handpumps]]</f>
        <v>2</v>
      </c>
      <c r="BV112" s="80">
        <f>WWWW[[#This Row],['#_Constructed/Existingwater storage tank with gravity fed reticulation system]]-WWWW[[#This Row],['#_Non-functional storage tank gravity fed reticulation system]]</f>
        <v>0</v>
      </c>
      <c r="BW112" s="80">
        <f>WWWW[[#This Row],['#_Water boating or water trucking]]</f>
        <v>0</v>
      </c>
      <c r="BX112" s="80">
        <f>WWWW[[#This Row],['#_Constructed/Existing water distribution system from river or natural spring]]</f>
        <v>0</v>
      </c>
      <c r="BY11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2" s="81">
        <f>IF(WWWW[[#This Row],[Location Type 1]]="Village",WWWW[[#This Row],[Access to safe drinking water for Village]],WWWW[[#This Row],[Access to safe drinking water for Camp]])</f>
        <v>1</v>
      </c>
      <c r="CB112" s="79">
        <f>WWWW[[#This Row],[%Equitable and continuous access to sufficient quantity of safe drinking water]]*WWWW[[#This Row],[Total PoP ]]</f>
        <v>92</v>
      </c>
      <c r="CC112" s="81">
        <f>IF((WWWW[[#This Row],['#_Constructed/Existing protected/fenced ponds]]*250)/WWWW[[#This Row],[Total PoP ]]&gt;1,1,(WWWW[[#This Row],['#_Constructed/Existing protected/fenced ponds]]*250)/WWWW[[#This Row],[Total PoP ]])</f>
        <v>0</v>
      </c>
      <c r="CD112" s="79">
        <f>WWWW[[#This Row],[% Access to unimproved water points]]*WWWW[[#This Row],[Total PoP ]]</f>
        <v>0</v>
      </c>
      <c r="CE11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G112" s="79">
        <f>WWWW[[#This Row],[HRP1]]/500</f>
        <v>0.184</v>
      </c>
      <c r="CH112" s="78">
        <f>1-WWWW[[#This Row],[% Equitable and continuous access to sufficient quantity of domestic water]]</f>
        <v>0</v>
      </c>
      <c r="CI112" s="79">
        <f>WWWW[[#This Row],[%equitable and continuous access to sufficient quantity of safe drinking and domestic water''s GAP]]*WWWW[[#This Row],[Total PoP ]]</f>
        <v>0</v>
      </c>
      <c r="CJ112" s="80">
        <f>IF(WWWW[[#This Row],[Total required water points]]-WWWW[[#This Row],['#Water points coverage]]&lt;0,0,WWWW[[#This Row],[Total required water points]]-WWWW[[#This Row],['#Water points coverage]])</f>
        <v>0.81600000000000006</v>
      </c>
      <c r="CK112" s="80">
        <f>ROUND(IF(WWWW[[#This Row],[Total PoP ]]&lt;500,1,WWWW[[#This Row],[Total PoP ]]/500),0)</f>
        <v>1</v>
      </c>
      <c r="CL112" s="80">
        <f>(WWWW[[#This Row],['#_Constructed latrines_by_WASHAgencies]]+WWWW[[#This Row],['#_Non Cluster partner latrines]])-WWWW[[#This Row],['#_Non-functional latrines]]</f>
        <v>10</v>
      </c>
      <c r="CM11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92</v>
      </c>
      <c r="CO11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12" s="80">
        <f>IF(WWWW[[#This Row],[Location Type 1]]="Village","NA",IF(WWWW[[#This Row],['#_Constructed/Existing latrines in TLS]]*50&gt;WWWW[[#This Row],['#_students at TLS_CFS]],WWWW[[#This Row],['#_students at TLS_CFS]],(WWWW[[#This Row],['#_Constructed/Existing latrines in TLS]]*50)))</f>
        <v>0</v>
      </c>
      <c r="CQ112" s="80">
        <f>ROUND(IF(WWWW[[#This Row],[Location Type 1]]="camp",WWWW[[#This Row],[Total PoP ]]/20,IF(WWWW[[#This Row],[Location Type 1]]="Temporary Location",WWWW[[#This Row],[Total PoP ]]/50,(WWWW[[#This Row],[Total PoP ]]/6))),0)</f>
        <v>5</v>
      </c>
      <c r="CR112" s="79">
        <f>IF(WWWW[[#This Row],[Total required Latrines]]-(WWWW[[#This Row],['#_Constructed latrines_by_WASHAgencies]]+WWWW[[#This Row],['#_Non Cluster partner latrines]])&lt;0,0,WWWW[[#This Row],[Total required Latrines]]-(WWWW[[#This Row],['#_Constructed latrines_by_WASHAgencies]]+WWWW[[#This Row],['#_Non Cluster partner latrines]]))</f>
        <v>0</v>
      </c>
      <c r="CS112" s="78">
        <f>1-WWWW[[#This Row],[% people access to functioning Latrine]]</f>
        <v>0</v>
      </c>
      <c r="CT112" s="82">
        <f>IF(OR(WWWW[[#This Row],['#_Non-functional latrines]]="",WWWW[[#This Row],['#_Non-functional latrines]]=0),0,WWWW[[#This Row],['#_Non-functional latrines]]/(WWWW[[#This Row],['#_Constructed latrines_by_WASHAgencies]]+WWWW[[#This Row],['#_Non Cluster partner latrines]]))</f>
        <v>0</v>
      </c>
      <c r="CU112" s="79">
        <f>IF(500*(WWWW[[#This Row],['#_male hygiene promoters]]+WWWW[[#This Row],['#_female hygiene promoters]])&gt;WWWW[[#This Row],[Total PoP ]],WWWW[[#This Row],[Total PoP ]],500*(WWWW[[#This Row],['#_male hygiene promoters]]+WWWW[[#This Row],['#_female hygiene promoters]]))</f>
        <v>0</v>
      </c>
      <c r="CV11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2" s="80">
        <f>IF(WWWW[[#This Row],['# People with access to soap]]&gt;WWWW[[#This Row],['# People with access to Sanity Pads]],WWWW[[#This Row],['# People with access to soap]],WWWW[[#This Row],['# People with access to Sanity Pads]])</f>
        <v>0</v>
      </c>
      <c r="CY112"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2" s="78">
        <f>IF(WWWW[[#This Row],[HRP3]]/WWWW[[#This Row],[Total PoP ]]&gt;100%,100%,WWWW[[#This Row],[HRP3]]/WWWW[[#This Row],[Total PoP ]])</f>
        <v>0</v>
      </c>
      <c r="DA112" s="82">
        <f>1-WWWW[[#This Row],[Hygiene Coverage%]]</f>
        <v>1</v>
      </c>
      <c r="DB112" s="81">
        <f>WWWW[[#This Row],['# people reached by regular dedicated hygiene promotion_5]]/WWWW[[#This Row],[Total PoP ]]</f>
        <v>0</v>
      </c>
      <c r="DC112" s="81">
        <f>IF(WWWW[[#This Row],['#_households that received standard amount of soap for this quarter]]/WWWW[[#This Row],[Total HH]]&gt;1,1,WWWW[[#This Row],['#_households that received standard amount of soap for this quarter]]/WWWW[[#This Row],[Total HH]])</f>
        <v>0</v>
      </c>
      <c r="DD112" s="81">
        <f>IF(WWWW[[#This Row],['#_households that received standard amount of sanitary pads for this quarter]]/WWWW[[#This Row],[Total HH]]&gt;1,1,WWWW[[#This Row],['#_households that received standard amount of sanitary pads for this quarter]]/WWWW[[#This Row],[Total HH]])</f>
        <v>0</v>
      </c>
      <c r="DE112" s="80">
        <f>WWWW[[#This Row],['#_Constructed/Existing hand washing stations]]-WWWW[[#This Row],['#_Non-Functional_hand_washing_stations]]</f>
        <v>1</v>
      </c>
      <c r="DF112" s="757">
        <f>IF(WWWW[[#This Row],['# Functional hand washing stations during reporting period]]*20&gt;WWWW[[#This Row],[Total HH]],WWWW[[#This Row],[Total HH]],WWWW[[#This Row],['# Functional hand washing stations during reporting period]]*20)</f>
        <v>20</v>
      </c>
      <c r="DG112" s="79">
        <f>IF(WWWW[[#This Row],[Is sufficient soap available for TLS? (Yes/No)]]="yes",WWWW[[#This Row],['#_Constructed/Existing hand washing stations at TLS]],0)</f>
        <v>0</v>
      </c>
      <c r="DH112" s="578">
        <f>IF(WWWW[[#This Row],['# Functional hand washing stations during reporting period]]*100&gt;WWWW[[#This Row],[Total PoP ]],WWWW[[#This Row],[Total PoP ]],WWWW[[#This Row],['# Functional hand washing stations during reporting period]]*100)</f>
        <v>92</v>
      </c>
      <c r="DI112" s="578" t="str">
        <f>IF(OR(WWWW[[#This Row],['#_students at TLS_CFS]]="",WWWW[[#This Row],['#_students at TLS_CFS]]=0),"No","Yes")</f>
        <v>No</v>
      </c>
      <c r="DJ112" s="231" t="str">
        <f>VLOOKUP(WWWW[[#This Row],[Site Name]],SiteDB6[[Site Name]:[CCCM Management]],6,FALSE)</f>
        <v>Yes</v>
      </c>
      <c r="DK112" s="231" t="str">
        <f>VLOOKUP(WWWW[[#This Row],[Site Name]],SiteDB6[[Site Name]:[CCCM Focal Agency]],7,FALSE)</f>
        <v>Shalom</v>
      </c>
      <c r="DL112" s="231" t="str">
        <f>VLOOKUP(WWWW[[#This Row],[Site Name]],SiteDB6[[Site Name]:[Location Type 1]],9,FALSE)</f>
        <v>Camp</v>
      </c>
      <c r="DM112" s="231" t="str">
        <f>VLOOKUP(WWWW[[#This Row],[Site Name]],SiteDB6[[Site Name]:[Type of Accommodation]],10,FALSE)</f>
        <v>Camp</v>
      </c>
      <c r="DN112" s="231" t="str">
        <f>VLOOKUP(WWWW[[#This Row],[Site Name]],SiteDB6[[Site Name]:[Ethnic or GCA/NGCA]],11,FALSE)</f>
        <v>GCA</v>
      </c>
      <c r="DO112" s="231">
        <f>VLOOKUP(WWWW[[#This Row],[Site Name]],SiteDB6[[Site Name]:[Lat]],12,FALSE)</f>
        <v>25.374343974359</v>
      </c>
      <c r="DP112" s="231">
        <f>VLOOKUP(WWWW[[#This Row],[Site Name]],SiteDB6[[Site Name]:[Long]],13,FALSE)</f>
        <v>97.2843958974359</v>
      </c>
      <c r="DQ112" s="231" t="str">
        <f>VLOOKUP(WWWW[[#This Row],[Site Name]],SiteDB6[[Site Name]:[Pcode]],3,FALSE)</f>
        <v>MMR001CMP020</v>
      </c>
      <c r="DR112" s="207" t="str">
        <f t="shared" si="4"/>
        <v>Covered</v>
      </c>
      <c r="DS112" s="207"/>
      <c r="DT112" s="20"/>
      <c r="DU112" s="20"/>
      <c r="DV112" s="20"/>
      <c r="DW112" s="20"/>
      <c r="DX112" s="20"/>
      <c r="DY112" s="20"/>
      <c r="DZ112" s="20"/>
      <c r="EA112" s="20"/>
      <c r="EB112" s="20"/>
      <c r="EC112" s="20"/>
      <c r="ED112" s="20"/>
      <c r="EE112" s="20"/>
      <c r="EF112" s="20"/>
      <c r="EG112" s="20"/>
      <c r="EH112" s="20"/>
    </row>
    <row r="113" spans="1:138" ht="15.75" customHeight="1">
      <c r="A113" s="238" t="s">
        <v>2518</v>
      </c>
      <c r="B113" s="574" t="s">
        <v>250</v>
      </c>
      <c r="C113" s="574" t="s">
        <v>250</v>
      </c>
      <c r="D113" s="584" t="s">
        <v>315</v>
      </c>
      <c r="E113" s="574" t="s">
        <v>39</v>
      </c>
      <c r="F113" s="574" t="s">
        <v>167</v>
      </c>
      <c r="G113" s="574" t="str">
        <f>VLOOKUP(WWWW[[#This Row],[Site Name]],SiteDB6[[Site Name]:[Location Type]],8,FALSE)</f>
        <v>Camp</v>
      </c>
      <c r="H113" s="574" t="s">
        <v>272</v>
      </c>
      <c r="I113" s="583">
        <v>21</v>
      </c>
      <c r="J113" s="583">
        <v>123</v>
      </c>
      <c r="K113" s="553">
        <v>43313</v>
      </c>
      <c r="L113" s="58">
        <v>44043</v>
      </c>
      <c r="M113" s="583"/>
      <c r="N113" s="583">
        <v>1</v>
      </c>
      <c r="O113" s="583"/>
      <c r="P113" s="583"/>
      <c r="Q113" s="574" t="s">
        <v>43</v>
      </c>
      <c r="R113" s="310">
        <v>1</v>
      </c>
      <c r="S113" s="310">
        <v>4</v>
      </c>
      <c r="T113" s="310">
        <v>0</v>
      </c>
      <c r="U113" s="310"/>
      <c r="V113" s="310"/>
      <c r="W113" s="310">
        <v>1</v>
      </c>
      <c r="X113" s="310">
        <v>1</v>
      </c>
      <c r="Y113" s="310">
        <v>1</v>
      </c>
      <c r="Z113" s="310"/>
      <c r="AA113" s="310"/>
      <c r="AB113" s="310"/>
      <c r="AC113" s="310"/>
      <c r="AD113" s="310"/>
      <c r="AE113" s="310"/>
      <c r="AF113" s="310"/>
      <c r="AG113" s="310">
        <v>1</v>
      </c>
      <c r="AH113" s="310">
        <v>1</v>
      </c>
      <c r="AI113" s="310"/>
      <c r="AJ113" s="310"/>
      <c r="AK113" s="310"/>
      <c r="AL113" s="310"/>
      <c r="AM113" s="310"/>
      <c r="AN113" s="310"/>
      <c r="AO113" s="207"/>
      <c r="AP113" s="310">
        <v>3</v>
      </c>
      <c r="AQ113" s="310">
        <v>3</v>
      </c>
      <c r="AR113" s="574" t="s">
        <v>384</v>
      </c>
      <c r="AS113" s="578">
        <v>1</v>
      </c>
      <c r="AT113" s="574">
        <v>1</v>
      </c>
      <c r="AU113" s="578">
        <v>2</v>
      </c>
      <c r="AV113" s="310"/>
      <c r="AW113" s="583"/>
      <c r="AX113" s="581" t="s">
        <v>43</v>
      </c>
      <c r="AY113" s="231" t="s">
        <v>1200</v>
      </c>
      <c r="AZ113" s="310"/>
      <c r="BA113" s="310"/>
      <c r="BB113" s="310"/>
      <c r="BC113" s="207"/>
      <c r="BD113" s="310">
        <v>1</v>
      </c>
      <c r="BE113" s="310">
        <v>0</v>
      </c>
      <c r="BF113" s="310">
        <v>0</v>
      </c>
      <c r="BG113" s="310">
        <v>2</v>
      </c>
      <c r="BH113" s="310">
        <v>0</v>
      </c>
      <c r="BI113" s="310">
        <v>1</v>
      </c>
      <c r="BJ113" s="310">
        <v>0</v>
      </c>
      <c r="BK113" s="310">
        <v>0</v>
      </c>
      <c r="BL113" s="310">
        <v>0</v>
      </c>
      <c r="BM113" s="207" t="s">
        <v>144</v>
      </c>
      <c r="BN113" s="79">
        <v>0</v>
      </c>
      <c r="BO113" s="81">
        <v>0</v>
      </c>
      <c r="BP113" s="207"/>
      <c r="BQ113" s="78" t="str">
        <f>IFERROR(WWWW[[#This Row],['#_Water sources treated]]/WWWW[[#This Row],['#_Water sources tested for contamination]],"no test")</f>
        <v>no test</v>
      </c>
      <c r="BR113" s="81" t="str">
        <f>IFERROR(WWWW[[#This Row],['#_Household received remediation action due to contamination]]/WWWW[[#This Row],['#_Household water samples tested for contamination]],"no test")</f>
        <v>no test</v>
      </c>
      <c r="BS113" s="80" t="str">
        <f>IF(AND(WWWW[[#This Row],[% of water sources treated]]="no test",WWWW[[#This Row],[% Household received corrective actions]]="no test"),"No Test","Tested")</f>
        <v>No Test</v>
      </c>
      <c r="BT113" s="80">
        <f>WWWW[[#This Row],['#_Constructed/existing protected hand dug well]]-WWWW[[#This Row],['#_Non-functional protected hand dug well]]</f>
        <v>0</v>
      </c>
      <c r="BU113" s="80">
        <f>(WWWW[[#This Row],['#_Constructed/Existing tube wells/boreholes/handpumps_WASH_agency]]+WWWW[[#This Row],['#_Non-Cluster partner water tube-wells/boreholes/handpumps]])-WWWW[[#This Row],['#_Non-functional tube wells/boreholes/handpumps]]</f>
        <v>1</v>
      </c>
      <c r="BV113" s="80">
        <f>WWWW[[#This Row],['#_Constructed/Existingwater storage tank with gravity fed reticulation system]]-WWWW[[#This Row],['#_Non-functional storage tank gravity fed reticulation system]]</f>
        <v>0</v>
      </c>
      <c r="BW113" s="80">
        <f>WWWW[[#This Row],['#_Water boating or water trucking]]</f>
        <v>0</v>
      </c>
      <c r="BX113" s="80">
        <f>WWWW[[#This Row],['#_Constructed/Existing water distribution system from river or natural spring]]</f>
        <v>0</v>
      </c>
      <c r="BY11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3" s="81">
        <f>IF(WWWW[[#This Row],[Location Type 1]]="Village",WWWW[[#This Row],[Access to safe drinking water for Village]],WWWW[[#This Row],[Access to safe drinking water for Camp]])</f>
        <v>1</v>
      </c>
      <c r="CB113" s="79">
        <f>WWWW[[#This Row],[%Equitable and continuous access to sufficient quantity of safe drinking water]]*WWWW[[#This Row],[Total PoP ]]</f>
        <v>123</v>
      </c>
      <c r="CC113" s="81">
        <f>IF((WWWW[[#This Row],['#_Constructed/Existing protected/fenced ponds]]*250)/WWWW[[#This Row],[Total PoP ]]&gt;1,1,(WWWW[[#This Row],['#_Constructed/Existing protected/fenced ponds]]*250)/WWWW[[#This Row],[Total PoP ]])</f>
        <v>0</v>
      </c>
      <c r="CD113" s="79">
        <f>WWWW[[#This Row],[% Access to unimproved water points]]*WWWW[[#This Row],[Total PoP ]]</f>
        <v>0</v>
      </c>
      <c r="CE11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G113" s="79">
        <f>WWWW[[#This Row],[HRP1]]/500</f>
        <v>0.246</v>
      </c>
      <c r="CH113" s="78">
        <f>1-WWWW[[#This Row],[% Equitable and continuous access to sufficient quantity of domestic water]]</f>
        <v>0</v>
      </c>
      <c r="CI113" s="79">
        <f>WWWW[[#This Row],[%equitable and continuous access to sufficient quantity of safe drinking and domestic water''s GAP]]*WWWW[[#This Row],[Total PoP ]]</f>
        <v>0</v>
      </c>
      <c r="CJ113" s="80">
        <f>IF(WWWW[[#This Row],[Total required water points]]-WWWW[[#This Row],['#Water points coverage]]&lt;0,0,WWWW[[#This Row],[Total required water points]]-WWWW[[#This Row],['#Water points coverage]])</f>
        <v>0.754</v>
      </c>
      <c r="CK113" s="80">
        <f>ROUND(IF(WWWW[[#This Row],[Total PoP ]]&lt;500,1,WWWW[[#This Row],[Total PoP ]]/500),0)</f>
        <v>1</v>
      </c>
      <c r="CL113" s="80">
        <f>(WWWW[[#This Row],['#_Constructed latrines_by_WASHAgencies]]+WWWW[[#This Row],['#_Non Cluster partner latrines]])-WWWW[[#This Row],['#_Non-functional latrines]]</f>
        <v>5</v>
      </c>
      <c r="CM11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0.81300813008130079</v>
      </c>
      <c r="CN11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1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13" s="80">
        <f>IF(WWWW[[#This Row],[Location Type 1]]="Village","NA",IF(WWWW[[#This Row],['#_Constructed/Existing latrines in TLS]]*50&gt;WWWW[[#This Row],['#_students at TLS_CFS]],WWWW[[#This Row],['#_students at TLS_CFS]],(WWWW[[#This Row],['#_Constructed/Existing latrines in TLS]]*50)))</f>
        <v>0</v>
      </c>
      <c r="CQ113" s="80">
        <f>ROUND(IF(WWWW[[#This Row],[Location Type 1]]="camp",WWWW[[#This Row],[Total PoP ]]/20,IF(WWWW[[#This Row],[Location Type 1]]="Temporary Location",WWWW[[#This Row],[Total PoP ]]/50,(WWWW[[#This Row],[Total PoP ]]/6))),0)</f>
        <v>6</v>
      </c>
      <c r="CR113" s="79">
        <f>IF(WWWW[[#This Row],[Total required Latrines]]-(WWWW[[#This Row],['#_Constructed latrines_by_WASHAgencies]]+WWWW[[#This Row],['#_Non Cluster partner latrines]])&lt;0,0,WWWW[[#This Row],[Total required Latrines]]-(WWWW[[#This Row],['#_Constructed latrines_by_WASHAgencies]]+WWWW[[#This Row],['#_Non Cluster partner latrines]]))</f>
        <v>0</v>
      </c>
      <c r="CS113" s="78">
        <f>1-WWWW[[#This Row],[% people access to functioning Latrine]]</f>
        <v>0.18699186991869921</v>
      </c>
      <c r="CT113" s="82">
        <f>IF(OR(WWWW[[#This Row],['#_Non-functional latrines]]="",WWWW[[#This Row],['#_Non-functional latrines]]=0),0,WWWW[[#This Row],['#_Non-functional latrines]]/(WWWW[[#This Row],['#_Constructed latrines_by_WASHAgencies]]+WWWW[[#This Row],['#_Non Cluster partner latrines]]))</f>
        <v>0.16666666666666666</v>
      </c>
      <c r="CU113" s="79">
        <f>IF(500*(WWWW[[#This Row],['#_male hygiene promoters]]+WWWW[[#This Row],['#_female hygiene promoters]])&gt;WWWW[[#This Row],[Total PoP ]],WWWW[[#This Row],[Total PoP ]],500*(WWWW[[#This Row],['#_male hygiene promoters]]+WWWW[[#This Row],['#_female hygiene promoters]]))</f>
        <v>123</v>
      </c>
      <c r="CV11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3" s="80">
        <f>IF(WWWW[[#This Row],['# People with access to soap]]&gt;WWWW[[#This Row],['# People with access to Sanity Pads]],WWWW[[#This Row],['# People with access to soap]],WWWW[[#This Row],['# People with access to Sanity Pads]])</f>
        <v>0</v>
      </c>
      <c r="CY113" s="80">
        <f>IF(WWWW[[#This Row],['# people reached by regular dedicated hygiene promotion_5]]&gt;WWWW[[#This Row],['# People received regular supply of hygiene items_6]],WWWW[[#This Row],['# people reached by regular dedicated hygiene promotion_5]],WWWW[[#This Row],['# People received regular supply of hygiene items_6]])</f>
        <v>123</v>
      </c>
      <c r="CZ113" s="78">
        <f>IF(WWWW[[#This Row],[HRP3]]/WWWW[[#This Row],[Total PoP ]]&gt;100%,100%,WWWW[[#This Row],[HRP3]]/WWWW[[#This Row],[Total PoP ]])</f>
        <v>1</v>
      </c>
      <c r="DA113" s="82">
        <f>1-WWWW[[#This Row],[Hygiene Coverage%]]</f>
        <v>0</v>
      </c>
      <c r="DB113" s="81">
        <f>WWWW[[#This Row],['# people reached by regular dedicated hygiene promotion_5]]/WWWW[[#This Row],[Total PoP ]]</f>
        <v>1</v>
      </c>
      <c r="DC113" s="81">
        <f>IF(WWWW[[#This Row],['#_households that received standard amount of soap for this quarter]]/WWWW[[#This Row],[Total HH]]&gt;1,1,WWWW[[#This Row],['#_households that received standard amount of soap for this quarter]]/WWWW[[#This Row],[Total HH]])</f>
        <v>0</v>
      </c>
      <c r="DD113" s="81">
        <f>IF(WWWW[[#This Row],['#_households that received standard amount of sanitary pads for this quarter]]/WWWW[[#This Row],[Total HH]]&gt;1,1,WWWW[[#This Row],['#_households that received standard amount of sanitary pads for this quarter]]/WWWW[[#This Row],[Total HH]])</f>
        <v>0</v>
      </c>
      <c r="DE113" s="80">
        <f>WWWW[[#This Row],['#_Constructed/Existing hand washing stations]]-WWWW[[#This Row],['#_Non-Functional_hand_washing_stations]]</f>
        <v>1</v>
      </c>
      <c r="DF113" s="757">
        <f>IF(WWWW[[#This Row],['# Functional hand washing stations during reporting period]]*20&gt;WWWW[[#This Row],[Total HH]],WWWW[[#This Row],[Total HH]],WWWW[[#This Row],['# Functional hand washing stations during reporting period]]*20)</f>
        <v>20</v>
      </c>
      <c r="DG113" s="79">
        <f>IF(WWWW[[#This Row],[Is sufficient soap available for TLS? (Yes/No)]]="yes",WWWW[[#This Row],['#_Constructed/Existing hand washing stations at TLS]],0)</f>
        <v>0</v>
      </c>
      <c r="DH113" s="578">
        <f>IF(WWWW[[#This Row],['# Functional hand washing stations during reporting period]]*100&gt;WWWW[[#This Row],[Total PoP ]],WWWW[[#This Row],[Total PoP ]],WWWW[[#This Row],['# Functional hand washing stations during reporting period]]*100)</f>
        <v>100</v>
      </c>
      <c r="DI113" s="578" t="str">
        <f>IF(OR(WWWW[[#This Row],['#_students at TLS_CFS]]="",WWWW[[#This Row],['#_students at TLS_CFS]]=0),"No","Yes")</f>
        <v>No</v>
      </c>
      <c r="DJ113" s="231" t="str">
        <f>VLOOKUP(WWWW[[#This Row],[Site Name]],SiteDB6[[Site Name]:[CCCM Management]],6,FALSE)</f>
        <v>Yes</v>
      </c>
      <c r="DK113" s="231" t="str">
        <f>VLOOKUP(WWWW[[#This Row],[Site Name]],SiteDB6[[Site Name]:[CCCM Focal Agency]],7,FALSE)</f>
        <v>Shalom</v>
      </c>
      <c r="DL113" s="231" t="str">
        <f>VLOOKUP(WWWW[[#This Row],[Site Name]],SiteDB6[[Site Name]:[Location Type 1]],9,FALSE)</f>
        <v>Camp</v>
      </c>
      <c r="DM113" s="231" t="str">
        <f>VLOOKUP(WWWW[[#This Row],[Site Name]],SiteDB6[[Site Name]:[Type of Accommodation]],10,FALSE)</f>
        <v>Camp</v>
      </c>
      <c r="DN113" s="231" t="str">
        <f>VLOOKUP(WWWW[[#This Row],[Site Name]],SiteDB6[[Site Name]:[Ethnic or GCA/NGCA]],11,FALSE)</f>
        <v>GCA</v>
      </c>
      <c r="DO113" s="231">
        <f>VLOOKUP(WWWW[[#This Row],[Site Name]],SiteDB6[[Site Name]:[Lat]],12,FALSE)</f>
        <v>25.371049444444399</v>
      </c>
      <c r="DP113" s="231">
        <f>VLOOKUP(WWWW[[#This Row],[Site Name]],SiteDB6[[Site Name]:[Long]],13,FALSE)</f>
        <v>97.290952037037002</v>
      </c>
      <c r="DQ113" s="231" t="str">
        <f>VLOOKUP(WWWW[[#This Row],[Site Name]],SiteDB6[[Site Name]:[Pcode]],3,FALSE)</f>
        <v>MMR001CMP021</v>
      </c>
      <c r="DR113" s="207" t="str">
        <f t="shared" si="4"/>
        <v>Covered</v>
      </c>
      <c r="DS113" s="207"/>
      <c r="DT113" s="20"/>
      <c r="DU113" s="20"/>
      <c r="DV113" s="20"/>
      <c r="DW113" s="20"/>
      <c r="DX113" s="20"/>
      <c r="DY113" s="20"/>
      <c r="DZ113" s="20"/>
      <c r="EA113" s="20"/>
      <c r="EB113" s="20"/>
      <c r="EC113" s="20"/>
      <c r="ED113" s="20"/>
      <c r="EE113" s="20"/>
      <c r="EF113" s="20"/>
      <c r="EG113" s="20"/>
      <c r="EH113" s="20"/>
    </row>
    <row r="114" spans="1:138" ht="15.75" customHeight="1">
      <c r="A114" s="238" t="s">
        <v>2518</v>
      </c>
      <c r="B114" s="574" t="s">
        <v>38</v>
      </c>
      <c r="C114" s="574" t="s">
        <v>38</v>
      </c>
      <c r="D114" s="574" t="s">
        <v>3100</v>
      </c>
      <c r="E114" s="574" t="s">
        <v>39</v>
      </c>
      <c r="F114" s="574" t="s">
        <v>154</v>
      </c>
      <c r="G114" s="574" t="str">
        <f>VLOOKUP(WWWW[[#This Row],[Site Name]],SiteDB6[[Site Name]:[Location Type]],8,FALSE)</f>
        <v>Camp</v>
      </c>
      <c r="H114" s="574" t="s">
        <v>233</v>
      </c>
      <c r="I114" s="583">
        <v>57</v>
      </c>
      <c r="J114" s="583">
        <v>264</v>
      </c>
      <c r="K114" s="553" t="s">
        <v>2979</v>
      </c>
      <c r="L114" s="77" t="s">
        <v>2973</v>
      </c>
      <c r="M114" s="583">
        <v>148</v>
      </c>
      <c r="N114" s="583"/>
      <c r="O114" s="583"/>
      <c r="P114" s="583"/>
      <c r="Q114" s="574" t="s">
        <v>43</v>
      </c>
      <c r="R114" s="583"/>
      <c r="S114" s="583"/>
      <c r="T114" s="583"/>
      <c r="U114" s="583"/>
      <c r="V114" s="583"/>
      <c r="W114" s="583"/>
      <c r="X114" s="583"/>
      <c r="Y114" s="583"/>
      <c r="Z114" s="583"/>
      <c r="AA114" s="583">
        <v>1</v>
      </c>
      <c r="AB114" s="583"/>
      <c r="AC114" s="583"/>
      <c r="AD114" s="583"/>
      <c r="AE114" s="583"/>
      <c r="AF114" s="583"/>
      <c r="AG114" s="583"/>
      <c r="AH114" s="583"/>
      <c r="AI114" s="583"/>
      <c r="AJ114" s="583"/>
      <c r="AK114" s="583"/>
      <c r="AL114" s="583"/>
      <c r="AM114" s="583"/>
      <c r="AN114" s="583"/>
      <c r="AO114" s="578"/>
      <c r="AP114" s="601">
        <v>28</v>
      </c>
      <c r="AQ114" s="574"/>
      <c r="AR114" s="574"/>
      <c r="AS114" s="578"/>
      <c r="AT114" s="574"/>
      <c r="AU114" s="578"/>
      <c r="AV114" s="578"/>
      <c r="AW114" s="80"/>
      <c r="AX114" s="80" t="s">
        <v>43</v>
      </c>
      <c r="AY114" s="80" t="s">
        <v>145</v>
      </c>
      <c r="AZ114" s="80">
        <v>2</v>
      </c>
      <c r="BA114" s="80"/>
      <c r="BB114" s="578"/>
      <c r="BC114" s="578"/>
      <c r="BD114" s="578"/>
      <c r="BE114" s="578"/>
      <c r="BF114" s="578"/>
      <c r="BG114" s="602">
        <v>2</v>
      </c>
      <c r="BH114" s="578"/>
      <c r="BI114" s="583">
        <v>1</v>
      </c>
      <c r="BJ114" s="583"/>
      <c r="BK114" s="603">
        <v>30</v>
      </c>
      <c r="BL114" s="578"/>
      <c r="BM114" s="578" t="s">
        <v>144</v>
      </c>
      <c r="BN114" s="578"/>
      <c r="BO114" s="81"/>
      <c r="BP114" s="578"/>
      <c r="BQ114" s="78" t="str">
        <f>IFERROR(WWWW[[#This Row],['#_Water sources treated]]/WWWW[[#This Row],['#_Water sources tested for contamination]],"no test")</f>
        <v>no test</v>
      </c>
      <c r="BR114" s="81" t="str">
        <f>IFERROR(WWWW[[#This Row],['#_Household received remediation action due to contamination]]/WWWW[[#This Row],['#_Household water samples tested for contamination]],"no test")</f>
        <v>no test</v>
      </c>
      <c r="BS114" s="80" t="str">
        <f>IF(AND(WWWW[[#This Row],[% of water sources treated]]="no test",WWWW[[#This Row],[% Household received corrective actions]]="no test"),"No Test","Tested")</f>
        <v>No Test</v>
      </c>
      <c r="BT114" s="80">
        <f>WWWW[[#This Row],['#_Constructed/existing protected hand dug well]]-WWWW[[#This Row],['#_Non-functional protected hand dug well]]</f>
        <v>0</v>
      </c>
      <c r="BU114" s="80">
        <f>(WWWW[[#This Row],['#_Constructed/Existing tube wells/boreholes/handpumps_WASH_agency]]+WWWW[[#This Row],['#_Non-Cluster partner water tube-wells/boreholes/handpumps]])-WWWW[[#This Row],['#_Non-functional tube wells/boreholes/handpumps]]</f>
        <v>0</v>
      </c>
      <c r="BV114" s="80">
        <f>WWWW[[#This Row],['#_Constructed/Existingwater storage tank with gravity fed reticulation system]]-WWWW[[#This Row],['#_Non-functional storage tank gravity fed reticulation system]]</f>
        <v>1</v>
      </c>
      <c r="BW114" s="80">
        <f>WWWW[[#This Row],['#_Water boating or water trucking]]</f>
        <v>0</v>
      </c>
      <c r="BX114" s="80">
        <f>WWWW[[#This Row],['#_Constructed/Existing water distribution system from river or natural spring]]</f>
        <v>0</v>
      </c>
      <c r="BY11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0.25252525252525254</v>
      </c>
      <c r="BZ11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0.25252525252525254</v>
      </c>
      <c r="CA114" s="81">
        <f>IF(WWWW[[#This Row],[Location Type 1]]="Village",WWWW[[#This Row],[Access to safe drinking water for Village]],WWWW[[#This Row],[Access to safe drinking water for Camp]])</f>
        <v>0.25252525252525254</v>
      </c>
      <c r="CB114" s="79">
        <f>WWWW[[#This Row],[%Equitable and continuous access to sufficient quantity of safe drinking water]]*WWWW[[#This Row],[Total PoP ]]</f>
        <v>66.666666666666671</v>
      </c>
      <c r="CC114" s="81">
        <f>IF((WWWW[[#This Row],['#_Constructed/Existing protected/fenced ponds]]*250)/WWWW[[#This Row],[Total PoP ]]&gt;1,1,(WWWW[[#This Row],['#_Constructed/Existing protected/fenced ponds]]*250)/WWWW[[#This Row],[Total PoP ]])</f>
        <v>0</v>
      </c>
      <c r="CD114" s="79">
        <f>WWWW[[#This Row],[% Access to unimproved water points]]*WWWW[[#This Row],[Total PoP ]]</f>
        <v>0</v>
      </c>
      <c r="CE11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F11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14" s="79">
        <f>WWWW[[#This Row],[HRP1]]/500</f>
        <v>0.13333333333333333</v>
      </c>
      <c r="CH114" s="78">
        <f>1-WWWW[[#This Row],[% Equitable and continuous access to sufficient quantity of domestic water]]</f>
        <v>0.7474747474747474</v>
      </c>
      <c r="CI114" s="79">
        <f>WWWW[[#This Row],[%equitable and continuous access to sufficient quantity of safe drinking and domestic water''s GAP]]*WWWW[[#This Row],[Total PoP ]]</f>
        <v>197.33333333333331</v>
      </c>
      <c r="CJ114" s="80">
        <f>IF(WWWW[[#This Row],[Total required water points]]-WWWW[[#This Row],['#Water points coverage]]&lt;0,0,WWWW[[#This Row],[Total required water points]]-WWWW[[#This Row],['#Water points coverage]])</f>
        <v>0.8666666666666667</v>
      </c>
      <c r="CK114" s="80">
        <f>ROUND(IF(WWWW[[#This Row],[Total PoP ]]&lt;500,1,WWWW[[#This Row],[Total PoP ]]/500),0)</f>
        <v>1</v>
      </c>
      <c r="CL114" s="80">
        <f>(WWWW[[#This Row],['#_Constructed latrines_by_WASHAgencies]]+WWWW[[#This Row],['#_Non Cluster partner latrines]])-WWWW[[#This Row],['#_Non-functional latrines]]</f>
        <v>28</v>
      </c>
      <c r="CM11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264</v>
      </c>
      <c r="CO11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4" s="80">
        <f>IF(WWWW[[#This Row],[Location Type 1]]="Village","NA",IF(WWWW[[#This Row],['#_Constructed/Existing latrines in TLS]]*50&gt;WWWW[[#This Row],['#_students at TLS_CFS]],WWWW[[#This Row],['#_students at TLS_CFS]],(WWWW[[#This Row],['#_Constructed/Existing latrines in TLS]]*50)))</f>
        <v>0</v>
      </c>
      <c r="CQ114" s="80">
        <f>ROUND(IF(WWWW[[#This Row],[Location Type 1]]="camp",WWWW[[#This Row],[Total PoP ]]/20,IF(WWWW[[#This Row],[Location Type 1]]="Temporary Location",WWWW[[#This Row],[Total PoP ]]/50,(WWWW[[#This Row],[Total PoP ]]/6))),0)</f>
        <v>13</v>
      </c>
      <c r="CR114" s="79">
        <f>IF(WWWW[[#This Row],[Total required Latrines]]-(WWWW[[#This Row],['#_Constructed latrines_by_WASHAgencies]]+WWWW[[#This Row],['#_Non Cluster partner latrines]])&lt;0,0,WWWW[[#This Row],[Total required Latrines]]-(WWWW[[#This Row],['#_Constructed latrines_by_WASHAgencies]]+WWWW[[#This Row],['#_Non Cluster partner latrines]]))</f>
        <v>0</v>
      </c>
      <c r="CS114" s="78">
        <f>1-WWWW[[#This Row],[% people access to functioning Latrine]]</f>
        <v>0</v>
      </c>
      <c r="CT114" s="82">
        <f>IF(OR(WWWW[[#This Row],['#_Non-functional latrines]]="",WWWW[[#This Row],['#_Non-functional latrines]]=0),0,WWWW[[#This Row],['#_Non-functional latrines]]/(WWWW[[#This Row],['#_Constructed latrines_by_WASHAgencies]]+WWWW[[#This Row],['#_Non Cluster partner latrines]]))</f>
        <v>0</v>
      </c>
      <c r="CU114" s="79">
        <f>IF(500*(WWWW[[#This Row],['#_male hygiene promoters]]+WWWW[[#This Row],['#_female hygiene promoters]])&gt;WWWW[[#This Row],[Total PoP ]],WWWW[[#This Row],[Total PoP ]],500*(WWWW[[#This Row],['#_male hygiene promoters]]+WWWW[[#This Row],['#_female hygiene promoters]]))</f>
        <v>264</v>
      </c>
      <c r="CV11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11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4" s="80">
        <f>IF(WWWW[[#This Row],['# People with access to soap]]&gt;WWWW[[#This Row],['# People with access to Sanity Pads]],WWWW[[#This Row],['# People with access to soap]],WWWW[[#This Row],['# People with access to Sanity Pads]])</f>
        <v>150</v>
      </c>
      <c r="CY114" s="80">
        <f>IF(WWWW[[#This Row],['# people reached by regular dedicated hygiene promotion_5]]&gt;WWWW[[#This Row],['# People received regular supply of hygiene items_6]],WWWW[[#This Row],['# people reached by regular dedicated hygiene promotion_5]],WWWW[[#This Row],['# People received regular supply of hygiene items_6]])</f>
        <v>264</v>
      </c>
      <c r="CZ114" s="78">
        <f>IF(WWWW[[#This Row],[HRP3]]/WWWW[[#This Row],[Total PoP ]]&gt;100%,100%,WWWW[[#This Row],[HRP3]]/WWWW[[#This Row],[Total PoP ]])</f>
        <v>1</v>
      </c>
      <c r="DA114" s="82">
        <f>1-WWWW[[#This Row],[Hygiene Coverage%]]</f>
        <v>0</v>
      </c>
      <c r="DB114" s="81">
        <f>WWWW[[#This Row],['# people reached by regular dedicated hygiene promotion_5]]/WWWW[[#This Row],[Total PoP ]]</f>
        <v>1</v>
      </c>
      <c r="DC114" s="81">
        <f>IF(WWWW[[#This Row],['#_households that received standard amount of soap for this quarter]]/WWWW[[#This Row],[Total HH]]&gt;1,1,WWWW[[#This Row],['#_households that received standard amount of soap for this quarter]]/WWWW[[#This Row],[Total HH]])</f>
        <v>0.52631578947368418</v>
      </c>
      <c r="DD114" s="81">
        <f>IF(WWWW[[#This Row],['#_households that received standard amount of sanitary pads for this quarter]]/WWWW[[#This Row],[Total HH]]&gt;1,1,WWWW[[#This Row],['#_households that received standard amount of sanitary pads for this quarter]]/WWWW[[#This Row],[Total HH]])</f>
        <v>0</v>
      </c>
      <c r="DE114" s="80">
        <f>WWWW[[#This Row],['#_Constructed/Existing hand washing stations]]-WWWW[[#This Row],['#_Non-Functional_hand_washing_stations]]</f>
        <v>0</v>
      </c>
      <c r="DF114" s="757">
        <f>IF(WWWW[[#This Row],['# Functional hand washing stations during reporting period]]*20&gt;WWWW[[#This Row],[Total HH]],WWWW[[#This Row],[Total HH]],WWWW[[#This Row],['# Functional hand washing stations during reporting period]]*20)</f>
        <v>0</v>
      </c>
      <c r="DG114" s="79">
        <f>IF(WWWW[[#This Row],[Is sufficient soap available for TLS? (Yes/No)]]="yes",WWWW[[#This Row],['#_Constructed/Existing hand washing stations at TLS]],0)</f>
        <v>0</v>
      </c>
      <c r="DH114" s="578">
        <f>IF(WWWW[[#This Row],['# Functional hand washing stations during reporting period]]*100&gt;WWWW[[#This Row],[Total PoP ]],WWWW[[#This Row],[Total PoP ]],WWWW[[#This Row],['# Functional hand washing stations during reporting period]]*100)</f>
        <v>0</v>
      </c>
      <c r="DI114" s="578" t="str">
        <f>IF(OR(WWWW[[#This Row],['#_students at TLS_CFS]]="",WWWW[[#This Row],['#_students at TLS_CFS]]=0),"No","Yes")</f>
        <v>Yes</v>
      </c>
      <c r="DJ114" s="231" t="str">
        <f>VLOOKUP(WWWW[[#This Row],[Site Name]],SiteDB6[[Site Name]:[CCCM Management]],6,FALSE)</f>
        <v>Yes</v>
      </c>
      <c r="DK114" s="231" t="str">
        <f>VLOOKUP(WWWW[[#This Row],[Site Name]],SiteDB6[[Site Name]:[CCCM Focal Agency]],7,FALSE)</f>
        <v>KMSS-MYT</v>
      </c>
      <c r="DL114" s="231" t="str">
        <f>VLOOKUP(WWWW[[#This Row],[Site Name]],SiteDB6[[Site Name]:[Location Type 1]],9,FALSE)</f>
        <v>Camp</v>
      </c>
      <c r="DM114" s="231" t="str">
        <f>VLOOKUP(WWWW[[#This Row],[Site Name]],SiteDB6[[Site Name]:[Type of Accommodation]],10,FALSE)</f>
        <v>Camp</v>
      </c>
      <c r="DN114" s="231" t="str">
        <f>VLOOKUP(WWWW[[#This Row],[Site Name]],SiteDB6[[Site Name]:[Ethnic or GCA/NGCA]],11,FALSE)</f>
        <v>GCA</v>
      </c>
      <c r="DO114" s="231">
        <f>VLOOKUP(WWWW[[#This Row],[Site Name]],SiteDB6[[Site Name]:[Lat]],12,FALSE)</f>
        <v>25.60867</v>
      </c>
      <c r="DP114" s="231">
        <f>VLOOKUP(WWWW[[#This Row],[Site Name]],SiteDB6[[Site Name]:[Long]],13,FALSE)</f>
        <v>98.377780000000001</v>
      </c>
      <c r="DQ114" s="231" t="str">
        <f>VLOOKUP(WWWW[[#This Row],[Site Name]],SiteDB6[[Site Name]:[Pcode]],3,FALSE)</f>
        <v>MMR001CMP210</v>
      </c>
      <c r="DR114" s="207" t="str">
        <f t="shared" si="4"/>
        <v>Covered</v>
      </c>
      <c r="DS114" s="207"/>
      <c r="DT114" s="20"/>
      <c r="DU114" s="20"/>
      <c r="DV114" s="20"/>
      <c r="DW114" s="20"/>
      <c r="DX114" s="20"/>
      <c r="DY114" s="20"/>
      <c r="DZ114" s="20"/>
      <c r="EA114" s="20"/>
      <c r="EB114" s="20"/>
      <c r="EC114" s="20"/>
      <c r="ED114" s="20"/>
      <c r="EE114" s="20"/>
      <c r="EF114" s="20"/>
      <c r="EG114" s="20"/>
      <c r="EH114" s="20"/>
    </row>
    <row r="115" spans="1:138" ht="15.75" customHeight="1">
      <c r="A115" s="238" t="s">
        <v>2518</v>
      </c>
      <c r="B115" s="238" t="s">
        <v>149</v>
      </c>
      <c r="C115" s="574" t="s">
        <v>149</v>
      </c>
      <c r="D115" s="574" t="s">
        <v>158</v>
      </c>
      <c r="E115" s="574" t="s">
        <v>39</v>
      </c>
      <c r="F115" s="574" t="s">
        <v>160</v>
      </c>
      <c r="G115" s="574" t="str">
        <f>VLOOKUP(WWWW[[#This Row],[Site Name]],SiteDB6[[Site Name]:[Location Type]],8,FALSE)</f>
        <v>Camp</v>
      </c>
      <c r="H115" s="574" t="s">
        <v>2192</v>
      </c>
      <c r="I115" s="583">
        <v>105</v>
      </c>
      <c r="J115" s="583">
        <v>474</v>
      </c>
      <c r="K115" s="553">
        <v>43556</v>
      </c>
      <c r="L115" s="77">
        <v>43677</v>
      </c>
      <c r="M115" s="583"/>
      <c r="N115" s="583"/>
      <c r="O115" s="583"/>
      <c r="P115" s="583"/>
      <c r="Q115" s="76" t="s">
        <v>43</v>
      </c>
      <c r="R115" s="310"/>
      <c r="S115" s="310"/>
      <c r="T115" s="583">
        <v>1</v>
      </c>
      <c r="U115" s="310"/>
      <c r="V115" s="310"/>
      <c r="W115" s="583">
        <v>0</v>
      </c>
      <c r="X115" s="310"/>
      <c r="Y115" s="310"/>
      <c r="Z115" s="310"/>
      <c r="AA115" s="310"/>
      <c r="AB115" s="310"/>
      <c r="AC115" s="310"/>
      <c r="AD115" s="310"/>
      <c r="AE115" s="310"/>
      <c r="AF115" s="310"/>
      <c r="AG115" s="310"/>
      <c r="AH115" s="583">
        <v>2</v>
      </c>
      <c r="AI115" s="310"/>
      <c r="AJ115" s="310"/>
      <c r="AK115" s="310"/>
      <c r="AL115" s="310"/>
      <c r="AM115" s="310"/>
      <c r="AN115" s="310"/>
      <c r="AO115" s="207"/>
      <c r="AP115" s="583">
        <v>12</v>
      </c>
      <c r="AQ115" s="310"/>
      <c r="AR115" s="76"/>
      <c r="AS115" s="310"/>
      <c r="AT115" s="310"/>
      <c r="AU115" s="310"/>
      <c r="AV115" s="310"/>
      <c r="AW115" s="583">
        <v>12</v>
      </c>
      <c r="AX115" s="231" t="s">
        <v>43</v>
      </c>
      <c r="AY115" s="231" t="s">
        <v>145</v>
      </c>
      <c r="AZ115" s="310"/>
      <c r="BA115" s="310"/>
      <c r="BB115" s="310"/>
      <c r="BC115" s="207"/>
      <c r="BD115" s="310"/>
      <c r="BE115" s="310"/>
      <c r="BF115" s="310"/>
      <c r="BG115" s="310">
        <v>3</v>
      </c>
      <c r="BH115" s="310"/>
      <c r="BI115" s="310"/>
      <c r="BJ115" s="310">
        <v>2</v>
      </c>
      <c r="BK115" s="310"/>
      <c r="BL115" s="310"/>
      <c r="BM115" s="207"/>
      <c r="BN115" s="79"/>
      <c r="BO115" s="81"/>
      <c r="BP115" s="207"/>
      <c r="BQ115" s="78" t="str">
        <f>IFERROR(WWWW[[#This Row],['#_Water sources treated]]/WWWW[[#This Row],['#_Water sources tested for contamination]],"no test")</f>
        <v>no test</v>
      </c>
      <c r="BR115" s="81" t="str">
        <f>IFERROR(WWWW[[#This Row],['#_Household received remediation action due to contamination]]/WWWW[[#This Row],['#_Household water samples tested for contamination]],"no test")</f>
        <v>no test</v>
      </c>
      <c r="BS115" s="80" t="str">
        <f>IF(AND(WWWW[[#This Row],[% of water sources treated]]="no test",WWWW[[#This Row],[% Household received corrective actions]]="no test"),"No Test","Tested")</f>
        <v>No Test</v>
      </c>
      <c r="BT115" s="80">
        <f>WWWW[[#This Row],['#_Constructed/existing protected hand dug well]]-WWWW[[#This Row],['#_Non-functional protected hand dug well]]</f>
        <v>1</v>
      </c>
      <c r="BU115" s="80">
        <f>(WWWW[[#This Row],['#_Constructed/Existing tube wells/boreholes/handpumps_WASH_agency]]+WWWW[[#This Row],['#_Non-Cluster partner water tube-wells/boreholes/handpumps]])-WWWW[[#This Row],['#_Non-functional tube wells/boreholes/handpumps]]</f>
        <v>0</v>
      </c>
      <c r="BV115" s="80">
        <f>WWWW[[#This Row],['#_Constructed/Existingwater storage tank with gravity fed reticulation system]]-WWWW[[#This Row],['#_Non-functional storage tank gravity fed reticulation system]]</f>
        <v>0</v>
      </c>
      <c r="BW115" s="80">
        <f>WWWW[[#This Row],['#_Water boating or water trucking]]</f>
        <v>0</v>
      </c>
      <c r="BX115" s="80">
        <f>WWWW[[#This Row],['#_Constructed/Existing water distribution system from river or natural spring]]</f>
        <v>0</v>
      </c>
      <c r="BY11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0.84388185654008441</v>
      </c>
      <c r="BZ11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0.52742616033755274</v>
      </c>
      <c r="CA115" s="81">
        <f>IF(WWWW[[#This Row],[Location Type 1]]="Village",WWWW[[#This Row],[Access to safe drinking water for Village]],WWWW[[#This Row],[Access to safe drinking water for Camp]])</f>
        <v>0.84388185654008441</v>
      </c>
      <c r="CB115" s="79">
        <f>WWWW[[#This Row],[%Equitable and continuous access to sufficient quantity of safe drinking water]]*WWWW[[#This Row],[Total PoP ]]</f>
        <v>400</v>
      </c>
      <c r="CC115" s="81">
        <f>IF((WWWW[[#This Row],['#_Constructed/Existing protected/fenced ponds]]*250)/WWWW[[#This Row],[Total PoP ]]&gt;1,1,(WWWW[[#This Row],['#_Constructed/Existing protected/fenced ponds]]*250)/WWWW[[#This Row],[Total PoP ]])</f>
        <v>0</v>
      </c>
      <c r="CD115" s="79">
        <f>WWWW[[#This Row],[% Access to unimproved water points]]*WWWW[[#This Row],[Total PoP ]]</f>
        <v>0</v>
      </c>
      <c r="CE11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F11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115" s="79">
        <f>WWWW[[#This Row],[HRP1]]/500</f>
        <v>0.8</v>
      </c>
      <c r="CH115" s="78">
        <f>1-WWWW[[#This Row],[% Equitable and continuous access to sufficient quantity of domestic water]]</f>
        <v>0.15611814345991559</v>
      </c>
      <c r="CI115" s="79">
        <f>WWWW[[#This Row],[%equitable and continuous access to sufficient quantity of safe drinking and domestic water''s GAP]]*WWWW[[#This Row],[Total PoP ]]</f>
        <v>73.999999999999986</v>
      </c>
      <c r="CJ115" s="80">
        <f>IF(WWWW[[#This Row],[Total required water points]]-WWWW[[#This Row],['#Water points coverage]]&lt;0,0,WWWW[[#This Row],[Total required water points]]-WWWW[[#This Row],['#Water points coverage]])</f>
        <v>0.19999999999999996</v>
      </c>
      <c r="CK115" s="80">
        <f>ROUND(IF(WWWW[[#This Row],[Total PoP ]]&lt;500,1,WWWW[[#This Row],[Total PoP ]]/500),0)</f>
        <v>1</v>
      </c>
      <c r="CL115" s="80">
        <f>(WWWW[[#This Row],['#_Constructed latrines_by_WASHAgencies]]+WWWW[[#This Row],['#_Non Cluster partner latrines]])-WWWW[[#This Row],['#_Non-functional latrines]]</f>
        <v>12</v>
      </c>
      <c r="CM11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0.50632911392405067</v>
      </c>
      <c r="CN11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11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5" s="80">
        <f>IF(WWWW[[#This Row],[Location Type 1]]="Village","NA",IF(WWWW[[#This Row],['#_Constructed/Existing latrines in TLS]]*50&gt;WWWW[[#This Row],['#_students at TLS_CFS]],WWWW[[#This Row],['#_students at TLS_CFS]],(WWWW[[#This Row],['#_Constructed/Existing latrines in TLS]]*50)))</f>
        <v>0</v>
      </c>
      <c r="CQ115" s="80">
        <f>ROUND(IF(WWWW[[#This Row],[Location Type 1]]="camp",WWWW[[#This Row],[Total PoP ]]/20,IF(WWWW[[#This Row],[Location Type 1]]="Temporary Location",WWWW[[#This Row],[Total PoP ]]/50,(WWWW[[#This Row],[Total PoP ]]/6))),0)</f>
        <v>24</v>
      </c>
      <c r="CR115" s="79">
        <f>IF(WWWW[[#This Row],[Total required Latrines]]-(WWWW[[#This Row],['#_Constructed latrines_by_WASHAgencies]]+WWWW[[#This Row],['#_Non Cluster partner latrines]])&lt;0,0,WWWW[[#This Row],[Total required Latrines]]-(WWWW[[#This Row],['#_Constructed latrines_by_WASHAgencies]]+WWWW[[#This Row],['#_Non Cluster partner latrines]]))</f>
        <v>12</v>
      </c>
      <c r="CS115" s="78">
        <f>1-WWWW[[#This Row],[% people access to functioning Latrine]]</f>
        <v>0.49367088607594933</v>
      </c>
      <c r="CT115" s="82">
        <f>IF(OR(WWWW[[#This Row],['#_Non-functional latrines]]="",WWWW[[#This Row],['#_Non-functional latrines]]=0),0,WWWW[[#This Row],['#_Non-functional latrines]]/(WWWW[[#This Row],['#_Constructed latrines_by_WASHAgencies]]+WWWW[[#This Row],['#_Non Cluster partner latrines]]))</f>
        <v>0</v>
      </c>
      <c r="CU115" s="79">
        <f>IF(500*(WWWW[[#This Row],['#_male hygiene promoters]]+WWWW[[#This Row],['#_female hygiene promoters]])&gt;WWWW[[#This Row],[Total PoP ]],WWWW[[#This Row],[Total PoP ]],500*(WWWW[[#This Row],['#_male hygiene promoters]]+WWWW[[#This Row],['#_female hygiene promoters]]))</f>
        <v>474</v>
      </c>
      <c r="CV11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5" s="80">
        <f>IF(WWWW[[#This Row],['# People with access to soap]]&gt;WWWW[[#This Row],['# People with access to Sanity Pads]],WWWW[[#This Row],['# People with access to soap]],WWWW[[#This Row],['# People with access to Sanity Pads]])</f>
        <v>0</v>
      </c>
      <c r="CY115" s="80">
        <f>IF(WWWW[[#This Row],['# people reached by regular dedicated hygiene promotion_5]]&gt;WWWW[[#This Row],['# People received regular supply of hygiene items_6]],WWWW[[#This Row],['# people reached by regular dedicated hygiene promotion_5]],WWWW[[#This Row],['# People received regular supply of hygiene items_6]])</f>
        <v>474</v>
      </c>
      <c r="CZ115" s="78">
        <f>IF(WWWW[[#This Row],[HRP3]]/WWWW[[#This Row],[Total PoP ]]&gt;100%,100%,WWWW[[#This Row],[HRP3]]/WWWW[[#This Row],[Total PoP ]])</f>
        <v>1</v>
      </c>
      <c r="DA115" s="82">
        <f>1-WWWW[[#This Row],[Hygiene Coverage%]]</f>
        <v>0</v>
      </c>
      <c r="DB115" s="81">
        <f>WWWW[[#This Row],['# people reached by regular dedicated hygiene promotion_5]]/WWWW[[#This Row],[Total PoP ]]</f>
        <v>1</v>
      </c>
      <c r="DC115" s="81">
        <f>IF(WWWW[[#This Row],['#_households that received standard amount of soap for this quarter]]/WWWW[[#This Row],[Total HH]]&gt;1,1,WWWW[[#This Row],['#_households that received standard amount of soap for this quarter]]/WWWW[[#This Row],[Total HH]])</f>
        <v>0</v>
      </c>
      <c r="DD115" s="81">
        <f>IF(WWWW[[#This Row],['#_households that received standard amount of sanitary pads for this quarter]]/WWWW[[#This Row],[Total HH]]&gt;1,1,WWWW[[#This Row],['#_households that received standard amount of sanitary pads for this quarter]]/WWWW[[#This Row],[Total HH]])</f>
        <v>0</v>
      </c>
      <c r="DE115" s="80">
        <f>WWWW[[#This Row],['#_Constructed/Existing hand washing stations]]-WWWW[[#This Row],['#_Non-Functional_hand_washing_stations]]</f>
        <v>0</v>
      </c>
      <c r="DF115" s="757">
        <f>IF(WWWW[[#This Row],['# Functional hand washing stations during reporting period]]*20&gt;WWWW[[#This Row],[Total HH]],WWWW[[#This Row],[Total HH]],WWWW[[#This Row],['# Functional hand washing stations during reporting period]]*20)</f>
        <v>0</v>
      </c>
      <c r="DG115" s="79">
        <f>IF(WWWW[[#This Row],[Is sufficient soap available for TLS? (Yes/No)]]="yes",WWWW[[#This Row],['#_Constructed/Existing hand washing stations at TLS]],0)</f>
        <v>0</v>
      </c>
      <c r="DH115" s="578">
        <f>IF(WWWW[[#This Row],['# Functional hand washing stations during reporting period]]*100&gt;WWWW[[#This Row],[Total PoP ]],WWWW[[#This Row],[Total PoP ]],WWWW[[#This Row],['# Functional hand washing stations during reporting period]]*100)</f>
        <v>0</v>
      </c>
      <c r="DI115" s="578" t="str">
        <f>IF(OR(WWWW[[#This Row],['#_students at TLS_CFS]]="",WWWW[[#This Row],['#_students at TLS_CFS]]=0),"No","Yes")</f>
        <v>No</v>
      </c>
      <c r="DJ115" s="231">
        <f>VLOOKUP(WWWW[[#This Row],[Site Name]],SiteDB6[[Site Name]:[CCCM Management]],6,FALSE)</f>
        <v>0</v>
      </c>
      <c r="DK115" s="231" t="str">
        <f>VLOOKUP(WWWW[[#This Row],[Site Name]],SiteDB6[[Site Name]:[CCCM Focal Agency]],7,FALSE)</f>
        <v>KBC</v>
      </c>
      <c r="DL115" s="231" t="str">
        <f>VLOOKUP(WWWW[[#This Row],[Site Name]],SiteDB6[[Site Name]:[Location Type 1]],9,FALSE)</f>
        <v>Camp</v>
      </c>
      <c r="DM115" s="231" t="str">
        <f>VLOOKUP(WWWW[[#This Row],[Site Name]],SiteDB6[[Site Name]:[Type of Accommodation]],10,FALSE)</f>
        <v>Camp</v>
      </c>
      <c r="DN115" s="231" t="str">
        <f>VLOOKUP(WWWW[[#This Row],[Site Name]],SiteDB6[[Site Name]:[Ethnic or GCA/NGCA]],11,FALSE)</f>
        <v>GCA</v>
      </c>
      <c r="DO115" s="231">
        <f>VLOOKUP(WWWW[[#This Row],[Site Name]],SiteDB6[[Site Name]:[Lat]],12,FALSE)</f>
        <v>97.104997409999996</v>
      </c>
      <c r="DP115" s="231">
        <f>VLOOKUP(WWWW[[#This Row],[Site Name]],SiteDB6[[Site Name]:[Long]],13,FALSE)</f>
        <v>25.379014999999999</v>
      </c>
      <c r="DQ115" s="231" t="str">
        <f>VLOOKUP(WWWW[[#This Row],[Site Name]],SiteDB6[[Site Name]:[Pcode]],3,FALSE)</f>
        <v>MMR001CMP261</v>
      </c>
      <c r="DR115" s="207" t="str">
        <f t="shared" si="4"/>
        <v>Covered</v>
      </c>
      <c r="DS115" s="207"/>
      <c r="DT115" s="20"/>
      <c r="DU115" s="20"/>
      <c r="DV115" s="20"/>
      <c r="DW115" s="20"/>
      <c r="DX115" s="20"/>
      <c r="DY115" s="20"/>
      <c r="DZ115" s="20"/>
      <c r="EA115" s="20"/>
      <c r="EB115" s="20"/>
      <c r="EC115" s="20"/>
      <c r="ED115" s="20"/>
      <c r="EE115" s="20"/>
      <c r="EF115" s="20"/>
      <c r="EG115" s="20"/>
      <c r="EH115" s="20"/>
    </row>
    <row r="116" spans="1:138" ht="15.75" customHeight="1">
      <c r="A116" s="238" t="s">
        <v>2518</v>
      </c>
      <c r="B116" s="574" t="s">
        <v>38</v>
      </c>
      <c r="C116" s="574" t="s">
        <v>38</v>
      </c>
      <c r="D116" s="574" t="s">
        <v>3100</v>
      </c>
      <c r="E116" s="574" t="s">
        <v>39</v>
      </c>
      <c r="F116" s="574" t="s">
        <v>150</v>
      </c>
      <c r="G116" s="574" t="str">
        <f>VLOOKUP(WWWW[[#This Row],[Site Name]],SiteDB6[[Site Name]:[Location Type]],8,FALSE)</f>
        <v>Camp</v>
      </c>
      <c r="H116" s="574" t="s">
        <v>246</v>
      </c>
      <c r="I116" s="583">
        <v>100</v>
      </c>
      <c r="J116" s="583">
        <v>612</v>
      </c>
      <c r="K116" s="553" t="s">
        <v>2979</v>
      </c>
      <c r="L116" s="77" t="s">
        <v>2973</v>
      </c>
      <c r="M116" s="583">
        <v>133</v>
      </c>
      <c r="N116" s="583"/>
      <c r="O116" s="583"/>
      <c r="P116" s="583"/>
      <c r="Q116" s="574" t="s">
        <v>43</v>
      </c>
      <c r="R116" s="583"/>
      <c r="S116" s="583"/>
      <c r="T116" s="583"/>
      <c r="U116" s="583"/>
      <c r="V116" s="583"/>
      <c r="W116" s="583"/>
      <c r="X116" s="583"/>
      <c r="Y116" s="583"/>
      <c r="Z116" s="583"/>
      <c r="AA116" s="583">
        <v>1</v>
      </c>
      <c r="AB116" s="583"/>
      <c r="AC116" s="583"/>
      <c r="AD116" s="583"/>
      <c r="AE116" s="583"/>
      <c r="AF116" s="583"/>
      <c r="AG116" s="583"/>
      <c r="AH116" s="583"/>
      <c r="AI116" s="583"/>
      <c r="AJ116" s="583"/>
      <c r="AK116" s="583"/>
      <c r="AL116" s="583"/>
      <c r="AM116" s="583"/>
      <c r="AN116" s="583"/>
      <c r="AO116" s="578"/>
      <c r="AP116" s="601">
        <v>98</v>
      </c>
      <c r="AQ116" s="574"/>
      <c r="AR116" s="574"/>
      <c r="AS116" s="578"/>
      <c r="AT116" s="574"/>
      <c r="AU116" s="578"/>
      <c r="AV116" s="578"/>
      <c r="AW116" s="80"/>
      <c r="AX116" s="80" t="s">
        <v>43</v>
      </c>
      <c r="AY116" s="80" t="s">
        <v>145</v>
      </c>
      <c r="AZ116" s="80">
        <v>3</v>
      </c>
      <c r="BA116" s="80"/>
      <c r="BB116" s="578"/>
      <c r="BC116" s="578"/>
      <c r="BD116" s="578"/>
      <c r="BE116" s="578"/>
      <c r="BF116" s="578"/>
      <c r="BG116" s="602">
        <v>4</v>
      </c>
      <c r="BH116" s="578"/>
      <c r="BI116" s="583">
        <v>1</v>
      </c>
      <c r="BJ116" s="583">
        <v>1</v>
      </c>
      <c r="BK116" s="603">
        <v>50</v>
      </c>
      <c r="BL116" s="578"/>
      <c r="BM116" s="578" t="s">
        <v>144</v>
      </c>
      <c r="BN116" s="578"/>
      <c r="BO116" s="81"/>
      <c r="BP116" s="578"/>
      <c r="BQ116" s="78" t="str">
        <f>IFERROR(WWWW[[#This Row],['#_Water sources treated]]/WWWW[[#This Row],['#_Water sources tested for contamination]],"no test")</f>
        <v>no test</v>
      </c>
      <c r="BR116" s="81" t="str">
        <f>IFERROR(WWWW[[#This Row],['#_Household received remediation action due to contamination]]/WWWW[[#This Row],['#_Household water samples tested for contamination]],"no test")</f>
        <v>no test</v>
      </c>
      <c r="BS116" s="80" t="str">
        <f>IF(AND(WWWW[[#This Row],[% of water sources treated]]="no test",WWWW[[#This Row],[% Household received corrective actions]]="no test"),"No Test","Tested")</f>
        <v>No Test</v>
      </c>
      <c r="BT116" s="80">
        <f>WWWW[[#This Row],['#_Constructed/existing protected hand dug well]]-WWWW[[#This Row],['#_Non-functional protected hand dug well]]</f>
        <v>0</v>
      </c>
      <c r="BU116" s="80">
        <f>(WWWW[[#This Row],['#_Constructed/Existing tube wells/boreholes/handpumps_WASH_agency]]+WWWW[[#This Row],['#_Non-Cluster partner water tube-wells/boreholes/handpumps]])-WWWW[[#This Row],['#_Non-functional tube wells/boreholes/handpumps]]</f>
        <v>0</v>
      </c>
      <c r="BV116" s="80">
        <f>WWWW[[#This Row],['#_Constructed/Existingwater storage tank with gravity fed reticulation system]]-WWWW[[#This Row],['#_Non-functional storage tank gravity fed reticulation system]]</f>
        <v>1</v>
      </c>
      <c r="BW116" s="80">
        <f>WWWW[[#This Row],['#_Water boating or water trucking]]</f>
        <v>0</v>
      </c>
      <c r="BX116" s="80">
        <f>WWWW[[#This Row],['#_Constructed/Existing water distribution system from river or natural spring]]</f>
        <v>0</v>
      </c>
      <c r="BY11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0.10893246187363835</v>
      </c>
      <c r="BZ11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0.10893246187363835</v>
      </c>
      <c r="CA116" s="81">
        <f>IF(WWWW[[#This Row],[Location Type 1]]="Village",WWWW[[#This Row],[Access to safe drinking water for Village]],WWWW[[#This Row],[Access to safe drinking water for Camp]])</f>
        <v>0.10893246187363835</v>
      </c>
      <c r="CB116" s="79">
        <f>WWWW[[#This Row],[%Equitable and continuous access to sufficient quantity of safe drinking water]]*WWWW[[#This Row],[Total PoP ]]</f>
        <v>66.666666666666671</v>
      </c>
      <c r="CC116" s="81">
        <f>IF((WWWW[[#This Row],['#_Constructed/Existing protected/fenced ponds]]*250)/WWWW[[#This Row],[Total PoP ]]&gt;1,1,(WWWW[[#This Row],['#_Constructed/Existing protected/fenced ponds]]*250)/WWWW[[#This Row],[Total PoP ]])</f>
        <v>0</v>
      </c>
      <c r="CD116" s="79">
        <f>WWWW[[#This Row],[% Access to unimproved water points]]*WWWW[[#This Row],[Total PoP ]]</f>
        <v>0</v>
      </c>
      <c r="CE11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0.10893246187363835</v>
      </c>
      <c r="CF11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16" s="79">
        <f>WWWW[[#This Row],[HRP1]]/500</f>
        <v>0.13333333333333333</v>
      </c>
      <c r="CH116" s="78">
        <f>1-WWWW[[#This Row],[% Equitable and continuous access to sufficient quantity of domestic water]]</f>
        <v>0.89106753812636164</v>
      </c>
      <c r="CI116" s="79">
        <f>WWWW[[#This Row],[%equitable and continuous access to sufficient quantity of safe drinking and domestic water''s GAP]]*WWWW[[#This Row],[Total PoP ]]</f>
        <v>545.33333333333337</v>
      </c>
      <c r="CJ116" s="80">
        <f>IF(WWWW[[#This Row],[Total required water points]]-WWWW[[#This Row],['#Water points coverage]]&lt;0,0,WWWW[[#This Row],[Total required water points]]-WWWW[[#This Row],['#Water points coverage]])</f>
        <v>0.8666666666666667</v>
      </c>
      <c r="CK116" s="80">
        <f>ROUND(IF(WWWW[[#This Row],[Total PoP ]]&lt;500,1,WWWW[[#This Row],[Total PoP ]]/500),0)</f>
        <v>1</v>
      </c>
      <c r="CL116" s="80">
        <f>(WWWW[[#This Row],['#_Constructed latrines_by_WASHAgencies]]+WWWW[[#This Row],['#_Non Cluster partner latrines]])-WWWW[[#This Row],['#_Non-functional latrines]]</f>
        <v>98</v>
      </c>
      <c r="CM11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612</v>
      </c>
      <c r="CO11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6" s="80">
        <f>IF(WWWW[[#This Row],[Location Type 1]]="Village","NA",IF(WWWW[[#This Row],['#_Constructed/Existing latrines in TLS]]*50&gt;WWWW[[#This Row],['#_students at TLS_CFS]],WWWW[[#This Row],['#_students at TLS_CFS]],(WWWW[[#This Row],['#_Constructed/Existing latrines in TLS]]*50)))</f>
        <v>0</v>
      </c>
      <c r="CQ116" s="80">
        <f>ROUND(IF(WWWW[[#This Row],[Location Type 1]]="camp",WWWW[[#This Row],[Total PoP ]]/20,IF(WWWW[[#This Row],[Location Type 1]]="Temporary Location",WWWW[[#This Row],[Total PoP ]]/50,(WWWW[[#This Row],[Total PoP ]]/6))),0)</f>
        <v>31</v>
      </c>
      <c r="CR116" s="79">
        <f>IF(WWWW[[#This Row],[Total required Latrines]]-(WWWW[[#This Row],['#_Constructed latrines_by_WASHAgencies]]+WWWW[[#This Row],['#_Non Cluster partner latrines]])&lt;0,0,WWWW[[#This Row],[Total required Latrines]]-(WWWW[[#This Row],['#_Constructed latrines_by_WASHAgencies]]+WWWW[[#This Row],['#_Non Cluster partner latrines]]))</f>
        <v>0</v>
      </c>
      <c r="CS116" s="78">
        <f>1-WWWW[[#This Row],[% people access to functioning Latrine]]</f>
        <v>0</v>
      </c>
      <c r="CT116" s="82">
        <f>IF(OR(WWWW[[#This Row],['#_Non-functional latrines]]="",WWWW[[#This Row],['#_Non-functional latrines]]=0),0,WWWW[[#This Row],['#_Non-functional latrines]]/(WWWW[[#This Row],['#_Constructed latrines_by_WASHAgencies]]+WWWW[[#This Row],['#_Non Cluster partner latrines]]))</f>
        <v>0</v>
      </c>
      <c r="CU116" s="79">
        <f>IF(500*(WWWW[[#This Row],['#_male hygiene promoters]]+WWWW[[#This Row],['#_female hygiene promoters]])&gt;WWWW[[#This Row],[Total PoP ]],WWWW[[#This Row],[Total PoP ]],500*(WWWW[[#This Row],['#_male hygiene promoters]]+WWWW[[#This Row],['#_female hygiene promoters]]))</f>
        <v>612</v>
      </c>
      <c r="CV11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CW11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6" s="80">
        <f>IF(WWWW[[#This Row],['# People with access to soap]]&gt;WWWW[[#This Row],['# People with access to Sanity Pads]],WWWW[[#This Row],['# People with access to soap]],WWWW[[#This Row],['# People with access to Sanity Pads]])</f>
        <v>250</v>
      </c>
      <c r="CY116" s="80">
        <f>IF(WWWW[[#This Row],['# people reached by regular dedicated hygiene promotion_5]]&gt;WWWW[[#This Row],['# People received regular supply of hygiene items_6]],WWWW[[#This Row],['# people reached by regular dedicated hygiene promotion_5]],WWWW[[#This Row],['# People received regular supply of hygiene items_6]])</f>
        <v>612</v>
      </c>
      <c r="CZ116" s="78">
        <f>IF(WWWW[[#This Row],[HRP3]]/WWWW[[#This Row],[Total PoP ]]&gt;100%,100%,WWWW[[#This Row],[HRP3]]/WWWW[[#This Row],[Total PoP ]])</f>
        <v>1</v>
      </c>
      <c r="DA116" s="82">
        <f>1-WWWW[[#This Row],[Hygiene Coverage%]]</f>
        <v>0</v>
      </c>
      <c r="DB116" s="81">
        <f>WWWW[[#This Row],['# people reached by regular dedicated hygiene promotion_5]]/WWWW[[#This Row],[Total PoP ]]</f>
        <v>1</v>
      </c>
      <c r="DC116" s="81">
        <f>IF(WWWW[[#This Row],['#_households that received standard amount of soap for this quarter]]/WWWW[[#This Row],[Total HH]]&gt;1,1,WWWW[[#This Row],['#_households that received standard amount of soap for this quarter]]/WWWW[[#This Row],[Total HH]])</f>
        <v>0.5</v>
      </c>
      <c r="DD116" s="81">
        <f>IF(WWWW[[#This Row],['#_households that received standard amount of sanitary pads for this quarter]]/WWWW[[#This Row],[Total HH]]&gt;1,1,WWWW[[#This Row],['#_households that received standard amount of sanitary pads for this quarter]]/WWWW[[#This Row],[Total HH]])</f>
        <v>0</v>
      </c>
      <c r="DE116" s="80">
        <f>WWWW[[#This Row],['#_Constructed/Existing hand washing stations]]-WWWW[[#This Row],['#_Non-Functional_hand_washing_stations]]</f>
        <v>0</v>
      </c>
      <c r="DF116" s="757">
        <f>IF(WWWW[[#This Row],['# Functional hand washing stations during reporting period]]*20&gt;WWWW[[#This Row],[Total HH]],WWWW[[#This Row],[Total HH]],WWWW[[#This Row],['# Functional hand washing stations during reporting period]]*20)</f>
        <v>0</v>
      </c>
      <c r="DG116" s="79">
        <f>IF(WWWW[[#This Row],[Is sufficient soap available for TLS? (Yes/No)]]="yes",WWWW[[#This Row],['#_Constructed/Existing hand washing stations at TLS]],0)</f>
        <v>0</v>
      </c>
      <c r="DH116" s="578">
        <f>IF(WWWW[[#This Row],['# Functional hand washing stations during reporting period]]*100&gt;WWWW[[#This Row],[Total PoP ]],WWWW[[#This Row],[Total PoP ]],WWWW[[#This Row],['# Functional hand washing stations during reporting period]]*100)</f>
        <v>0</v>
      </c>
      <c r="DI116" s="578" t="str">
        <f>IF(OR(WWWW[[#This Row],['#_students at TLS_CFS]]="",WWWW[[#This Row],['#_students at TLS_CFS]]=0),"No","Yes")</f>
        <v>Yes</v>
      </c>
      <c r="DJ116" s="231" t="str">
        <f>VLOOKUP(WWWW[[#This Row],[Site Name]],SiteDB6[[Site Name]:[CCCM Management]],6,FALSE)</f>
        <v>Yes</v>
      </c>
      <c r="DK116" s="231" t="str">
        <f>VLOOKUP(WWWW[[#This Row],[Site Name]],SiteDB6[[Site Name]:[CCCM Focal Agency]],7,FALSE)</f>
        <v>KMSS-MYT</v>
      </c>
      <c r="DL116" s="231" t="str">
        <f>VLOOKUP(WWWW[[#This Row],[Site Name]],SiteDB6[[Site Name]:[Location Type 1]],9,FALSE)</f>
        <v>Camp</v>
      </c>
      <c r="DM116" s="231" t="str">
        <f>VLOOKUP(WWWW[[#This Row],[Site Name]],SiteDB6[[Site Name]:[Type of Accommodation]],10,FALSE)</f>
        <v>Camp</v>
      </c>
      <c r="DN116" s="231" t="str">
        <f>VLOOKUP(WWWW[[#This Row],[Site Name]],SiteDB6[[Site Name]:[Ethnic or GCA/NGCA]],11,FALSE)</f>
        <v>NGCA</v>
      </c>
      <c r="DO116" s="231">
        <f>VLOOKUP(WWWW[[#This Row],[Site Name]],SiteDB6[[Site Name]:[Lat]],12,FALSE)</f>
        <v>25.265277999999999</v>
      </c>
      <c r="DP116" s="231">
        <f>VLOOKUP(WWWW[[#This Row],[Site Name]],SiteDB6[[Site Name]:[Long]],13,FALSE)</f>
        <v>97.990555999999998</v>
      </c>
      <c r="DQ116" s="231" t="str">
        <f>VLOOKUP(WWWW[[#This Row],[Site Name]],SiteDB6[[Site Name]:[Pcode]],3,FALSE)</f>
        <v>MMR001CMP160</v>
      </c>
      <c r="DR116" s="207" t="str">
        <f t="shared" si="4"/>
        <v>Covered</v>
      </c>
      <c r="DS116" s="207"/>
      <c r="DT116" s="20"/>
      <c r="DU116" s="20"/>
      <c r="DV116" s="20"/>
      <c r="DW116" s="20"/>
      <c r="DX116" s="20"/>
      <c r="DY116" s="20"/>
      <c r="DZ116" s="20"/>
      <c r="EA116" s="20"/>
      <c r="EB116" s="20"/>
      <c r="EC116" s="20"/>
      <c r="ED116" s="20"/>
      <c r="EE116" s="20"/>
      <c r="EF116" s="20"/>
      <c r="EG116" s="20"/>
      <c r="EH116" s="20"/>
    </row>
    <row r="117" spans="1:138" ht="15.75" customHeight="1">
      <c r="A117" s="238" t="s">
        <v>2518</v>
      </c>
      <c r="B117" s="574" t="s">
        <v>317</v>
      </c>
      <c r="C117" s="574" t="s">
        <v>317</v>
      </c>
      <c r="D117" s="574"/>
      <c r="E117" s="574" t="s">
        <v>39</v>
      </c>
      <c r="F117" s="574" t="s">
        <v>167</v>
      </c>
      <c r="G117" s="574" t="str">
        <f>VLOOKUP(WWWW[[#This Row],[Site Name]],SiteDB6[[Site Name]:[Location Type]],8,FALSE)</f>
        <v>Camp</v>
      </c>
      <c r="H117" s="76" t="s">
        <v>2185</v>
      </c>
      <c r="I117" s="583">
        <v>255</v>
      </c>
      <c r="J117" s="583">
        <v>1374</v>
      </c>
      <c r="K117" s="553"/>
      <c r="L117" s="77"/>
      <c r="M117" s="583"/>
      <c r="N117" s="583"/>
      <c r="O117" s="583"/>
      <c r="P117" s="583"/>
      <c r="Q117" s="76"/>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207"/>
      <c r="AP117" s="310"/>
      <c r="AQ117" s="310"/>
      <c r="AR117" s="76"/>
      <c r="AS117" s="310"/>
      <c r="AT117" s="310"/>
      <c r="AU117" s="310"/>
      <c r="AV117" s="310"/>
      <c r="AW117" s="310"/>
      <c r="AX117" s="231"/>
      <c r="AY117" s="231"/>
      <c r="AZ117" s="310"/>
      <c r="BA117" s="310"/>
      <c r="BB117" s="310"/>
      <c r="BC117" s="207"/>
      <c r="BD117" s="310"/>
      <c r="BE117" s="310"/>
      <c r="BF117" s="310"/>
      <c r="BG117" s="310"/>
      <c r="BH117" s="310"/>
      <c r="BI117" s="310"/>
      <c r="BJ117" s="310"/>
      <c r="BK117" s="310"/>
      <c r="BL117" s="310"/>
      <c r="BM117" s="207"/>
      <c r="BN117" s="79"/>
      <c r="BO117" s="81"/>
      <c r="BP117" s="207"/>
      <c r="BQ117" s="78" t="str">
        <f>IFERROR(WWWW[[#This Row],['#_Water sources treated]]/WWWW[[#This Row],['#_Water sources tested for contamination]],"no test")</f>
        <v>no test</v>
      </c>
      <c r="BR117" s="81" t="str">
        <f>IFERROR(WWWW[[#This Row],['#_Household received remediation action due to contamination]]/WWWW[[#This Row],['#_Household water samples tested for contamination]],"no test")</f>
        <v>no test</v>
      </c>
      <c r="BS117" s="80" t="str">
        <f>IF(AND(WWWW[[#This Row],[% of water sources treated]]="no test",WWWW[[#This Row],[% Household received corrective actions]]="no test"),"No Test","Tested")</f>
        <v>No Test</v>
      </c>
      <c r="BT117" s="80">
        <f>WWWW[[#This Row],['#_Constructed/existing protected hand dug well]]-WWWW[[#This Row],['#_Non-functional protected hand dug well]]</f>
        <v>0</v>
      </c>
      <c r="BU117" s="80">
        <f>(WWWW[[#This Row],['#_Constructed/Existing tube wells/boreholes/handpumps_WASH_agency]]+WWWW[[#This Row],['#_Non-Cluster partner water tube-wells/boreholes/handpumps]])-WWWW[[#This Row],['#_Non-functional tube wells/boreholes/handpumps]]</f>
        <v>0</v>
      </c>
      <c r="BV117" s="80">
        <f>WWWW[[#This Row],['#_Constructed/Existingwater storage tank with gravity fed reticulation system]]-WWWW[[#This Row],['#_Non-functional storage tank gravity fed reticulation system]]</f>
        <v>0</v>
      </c>
      <c r="BW117" s="80">
        <f>WWWW[[#This Row],['#_Water boating or water trucking]]</f>
        <v>0</v>
      </c>
      <c r="BX117" s="80">
        <f>WWWW[[#This Row],['#_Constructed/Existing water distribution system from river or natural spring]]</f>
        <v>0</v>
      </c>
      <c r="BY11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1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17" s="81">
        <f>IF(WWWW[[#This Row],[Location Type 1]]="Village",WWWW[[#This Row],[Access to safe drinking water for Village]],WWWW[[#This Row],[Access to safe drinking water for Camp]])</f>
        <v>0</v>
      </c>
      <c r="CB117" s="79">
        <f>WWWW[[#This Row],[%Equitable and continuous access to sufficient quantity of safe drinking water]]*WWWW[[#This Row],[Total PoP ]]</f>
        <v>0</v>
      </c>
      <c r="CC117" s="81">
        <f>IF((WWWW[[#This Row],['#_Constructed/Existing protected/fenced ponds]]*250)/WWWW[[#This Row],[Total PoP ]]&gt;1,1,(WWWW[[#This Row],['#_Constructed/Existing protected/fenced ponds]]*250)/WWWW[[#This Row],[Total PoP ]])</f>
        <v>0</v>
      </c>
      <c r="CD117" s="79">
        <f>WWWW[[#This Row],[% Access to unimproved water points]]*WWWW[[#This Row],[Total PoP ]]</f>
        <v>0</v>
      </c>
      <c r="CE11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1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17" s="79">
        <f>WWWW[[#This Row],[HRP1]]/500</f>
        <v>0</v>
      </c>
      <c r="CH117" s="78">
        <f>1-WWWW[[#This Row],[% Equitable and continuous access to sufficient quantity of domestic water]]</f>
        <v>1</v>
      </c>
      <c r="CI117" s="79">
        <f>WWWW[[#This Row],[%equitable and continuous access to sufficient quantity of safe drinking and domestic water''s GAP]]*WWWW[[#This Row],[Total PoP ]]</f>
        <v>1374</v>
      </c>
      <c r="CJ117" s="80">
        <f>IF(WWWW[[#This Row],[Total required water points]]-WWWW[[#This Row],['#Water points coverage]]&lt;0,0,WWWW[[#This Row],[Total required water points]]-WWWW[[#This Row],['#Water points coverage]])</f>
        <v>3</v>
      </c>
      <c r="CK117" s="80">
        <f>ROUND(IF(WWWW[[#This Row],[Total PoP ]]&lt;500,1,WWWW[[#This Row],[Total PoP ]]/500),0)</f>
        <v>3</v>
      </c>
      <c r="CL117" s="80">
        <f>(WWWW[[#This Row],['#_Constructed latrines_by_WASHAgencies]]+WWWW[[#This Row],['#_Non Cluster partner latrines]])-WWWW[[#This Row],['#_Non-functional latrines]]</f>
        <v>0</v>
      </c>
      <c r="CM11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1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1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7" s="80">
        <f>IF(WWWW[[#This Row],[Location Type 1]]="Village","NA",IF(WWWW[[#This Row],['#_Constructed/Existing latrines in TLS]]*50&gt;WWWW[[#This Row],['#_students at TLS_CFS]],WWWW[[#This Row],['#_students at TLS_CFS]],(WWWW[[#This Row],['#_Constructed/Existing latrines in TLS]]*50)))</f>
        <v>0</v>
      </c>
      <c r="CQ117" s="80">
        <f>ROUND(IF(WWWW[[#This Row],[Location Type 1]]="camp",WWWW[[#This Row],[Total PoP ]]/20,IF(WWWW[[#This Row],[Location Type 1]]="Temporary Location",WWWW[[#This Row],[Total PoP ]]/50,(WWWW[[#This Row],[Total PoP ]]/6))),0)</f>
        <v>69</v>
      </c>
      <c r="CR117" s="79">
        <f>IF(WWWW[[#This Row],[Total required Latrines]]-(WWWW[[#This Row],['#_Constructed latrines_by_WASHAgencies]]+WWWW[[#This Row],['#_Non Cluster partner latrines]])&lt;0,0,WWWW[[#This Row],[Total required Latrines]]-(WWWW[[#This Row],['#_Constructed latrines_by_WASHAgencies]]+WWWW[[#This Row],['#_Non Cluster partner latrines]]))</f>
        <v>69</v>
      </c>
      <c r="CS117" s="78">
        <f>1-WWWW[[#This Row],[% people access to functioning Latrine]]</f>
        <v>1</v>
      </c>
      <c r="CT117" s="82">
        <f>IF(OR(WWWW[[#This Row],['#_Non-functional latrines]]="",WWWW[[#This Row],['#_Non-functional latrines]]=0),0,WWWW[[#This Row],['#_Non-functional latrines]]/(WWWW[[#This Row],['#_Constructed latrines_by_WASHAgencies]]+WWWW[[#This Row],['#_Non Cluster partner latrines]]))</f>
        <v>0</v>
      </c>
      <c r="CU117" s="79">
        <f>IF(500*(WWWW[[#This Row],['#_male hygiene promoters]]+WWWW[[#This Row],['#_female hygiene promoters]])&gt;WWWW[[#This Row],[Total PoP ]],WWWW[[#This Row],[Total PoP ]],500*(WWWW[[#This Row],['#_male hygiene promoters]]+WWWW[[#This Row],['#_female hygiene promoters]]))</f>
        <v>0</v>
      </c>
      <c r="CV11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7" s="80">
        <f>IF(WWWW[[#This Row],['# People with access to soap]]&gt;WWWW[[#This Row],['# People with access to Sanity Pads]],WWWW[[#This Row],['# People with access to soap]],WWWW[[#This Row],['# People with access to Sanity Pads]])</f>
        <v>0</v>
      </c>
      <c r="CY117"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7" s="78">
        <f>IF(WWWW[[#This Row],[HRP3]]/WWWW[[#This Row],[Total PoP ]]&gt;100%,100%,WWWW[[#This Row],[HRP3]]/WWWW[[#This Row],[Total PoP ]])</f>
        <v>0</v>
      </c>
      <c r="DA117" s="82">
        <f>1-WWWW[[#This Row],[Hygiene Coverage%]]</f>
        <v>1</v>
      </c>
      <c r="DB117" s="81">
        <f>WWWW[[#This Row],['# people reached by regular dedicated hygiene promotion_5]]/WWWW[[#This Row],[Total PoP ]]</f>
        <v>0</v>
      </c>
      <c r="DC117" s="81">
        <f>IF(WWWW[[#This Row],['#_households that received standard amount of soap for this quarter]]/WWWW[[#This Row],[Total HH]]&gt;1,1,WWWW[[#This Row],['#_households that received standard amount of soap for this quarter]]/WWWW[[#This Row],[Total HH]])</f>
        <v>0</v>
      </c>
      <c r="DD117" s="81">
        <f>IF(WWWW[[#This Row],['#_households that received standard amount of sanitary pads for this quarter]]/WWWW[[#This Row],[Total HH]]&gt;1,1,WWWW[[#This Row],['#_households that received standard amount of sanitary pads for this quarter]]/WWWW[[#This Row],[Total HH]])</f>
        <v>0</v>
      </c>
      <c r="DE117" s="80">
        <f>WWWW[[#This Row],['#_Constructed/Existing hand washing stations]]-WWWW[[#This Row],['#_Non-Functional_hand_washing_stations]]</f>
        <v>0</v>
      </c>
      <c r="DF117" s="757">
        <f>IF(WWWW[[#This Row],['# Functional hand washing stations during reporting period]]*20&gt;WWWW[[#This Row],[Total HH]],WWWW[[#This Row],[Total HH]],WWWW[[#This Row],['# Functional hand washing stations during reporting period]]*20)</f>
        <v>0</v>
      </c>
      <c r="DG117" s="79">
        <f>IF(WWWW[[#This Row],[Is sufficient soap available for TLS? (Yes/No)]]="yes",WWWW[[#This Row],['#_Constructed/Existing hand washing stations at TLS]],0)</f>
        <v>0</v>
      </c>
      <c r="DH117" s="578">
        <f>IF(WWWW[[#This Row],['# Functional hand washing stations during reporting period]]*100&gt;WWWW[[#This Row],[Total PoP ]],WWWW[[#This Row],[Total PoP ]],WWWW[[#This Row],['# Functional hand washing stations during reporting period]]*100)</f>
        <v>0</v>
      </c>
      <c r="DI117" s="578" t="str">
        <f>IF(OR(WWWW[[#This Row],['#_students at TLS_CFS]]="",WWWW[[#This Row],['#_students at TLS_CFS]]=0),"No","Yes")</f>
        <v>No</v>
      </c>
      <c r="DJ117" s="231" t="str">
        <f>VLOOKUP(WWWW[[#This Row],[Site Name]],SiteDB6[[Site Name]:[CCCM Management]],6,FALSE)</f>
        <v>Yes</v>
      </c>
      <c r="DK117" s="231" t="str">
        <f>VLOOKUP(WWWW[[#This Row],[Site Name]],SiteDB6[[Site Name]:[CCCM Focal Agency]],7,FALSE)</f>
        <v>KMSS-MYT</v>
      </c>
      <c r="DL117" s="231" t="str">
        <f>VLOOKUP(WWWW[[#This Row],[Site Name]],SiteDB6[[Site Name]:[Location Type 1]],9,FALSE)</f>
        <v>Camp</v>
      </c>
      <c r="DM117" s="231" t="str">
        <f>VLOOKUP(WWWW[[#This Row],[Site Name]],SiteDB6[[Site Name]:[Type of Accommodation]],10,FALSE)</f>
        <v>Camp</v>
      </c>
      <c r="DN117" s="231" t="str">
        <f>VLOOKUP(WWWW[[#This Row],[Site Name]],SiteDB6[[Site Name]:[Ethnic or GCA/NGCA]],11,FALSE)</f>
        <v>GCA</v>
      </c>
      <c r="DO117" s="231">
        <f>VLOOKUP(WWWW[[#This Row],[Site Name]],SiteDB6[[Site Name]:[Lat]],12,FALSE)</f>
        <v>25.493819999999999</v>
      </c>
      <c r="DP117" s="231">
        <f>VLOOKUP(WWWW[[#This Row],[Site Name]],SiteDB6[[Site Name]:[Long]],13,FALSE)</f>
        <v>97.4345</v>
      </c>
      <c r="DQ117" s="231" t="str">
        <f>VLOOKUP(WWWW[[#This Row],[Site Name]],SiteDB6[[Site Name]:[Pcode]],3,FALSE)</f>
        <v>MMR001CMP271</v>
      </c>
      <c r="DR117" s="207" t="str">
        <f t="shared" si="4"/>
        <v>Notcovered</v>
      </c>
      <c r="DS117" s="207"/>
      <c r="DT117" s="20"/>
      <c r="DU117" s="20"/>
      <c r="DV117" s="20"/>
      <c r="DW117" s="20"/>
      <c r="DX117" s="20"/>
      <c r="DY117" s="20"/>
      <c r="DZ117" s="20"/>
      <c r="EA117" s="20"/>
      <c r="EB117" s="20"/>
      <c r="EC117" s="20"/>
      <c r="ED117" s="20"/>
      <c r="EE117" s="20"/>
      <c r="EF117" s="20"/>
      <c r="EG117" s="20"/>
      <c r="EH117" s="20"/>
    </row>
    <row r="118" spans="1:138" ht="15.75" customHeight="1">
      <c r="A118" s="238" t="s">
        <v>2518</v>
      </c>
      <c r="B118" s="238" t="s">
        <v>149</v>
      </c>
      <c r="C118" s="574" t="s">
        <v>149</v>
      </c>
      <c r="D118" s="574" t="s">
        <v>158</v>
      </c>
      <c r="E118" s="574" t="s">
        <v>39</v>
      </c>
      <c r="F118" s="574" t="s">
        <v>160</v>
      </c>
      <c r="G118" s="574" t="str">
        <f>VLOOKUP(WWWW[[#This Row],[Site Name]],SiteDB6[[Site Name]:[Location Type]],8,FALSE)</f>
        <v>Camp</v>
      </c>
      <c r="H118" s="574" t="s">
        <v>163</v>
      </c>
      <c r="I118" s="583">
        <v>10</v>
      </c>
      <c r="J118" s="583">
        <v>41</v>
      </c>
      <c r="K118" s="553">
        <v>43556</v>
      </c>
      <c r="L118" s="77">
        <v>43677</v>
      </c>
      <c r="M118" s="583"/>
      <c r="N118" s="583"/>
      <c r="O118" s="583"/>
      <c r="P118" s="583"/>
      <c r="Q118" s="76" t="s">
        <v>43</v>
      </c>
      <c r="R118" s="310"/>
      <c r="S118" s="310"/>
      <c r="T118" s="583">
        <v>1</v>
      </c>
      <c r="U118" s="310"/>
      <c r="V118" s="310"/>
      <c r="W118" s="583">
        <v>0</v>
      </c>
      <c r="X118" s="310"/>
      <c r="Y118" s="310"/>
      <c r="Z118" s="310"/>
      <c r="AA118" s="310"/>
      <c r="AB118" s="310"/>
      <c r="AC118" s="310"/>
      <c r="AD118" s="310"/>
      <c r="AE118" s="310"/>
      <c r="AF118" s="310"/>
      <c r="AG118" s="310"/>
      <c r="AH118" s="583">
        <v>3</v>
      </c>
      <c r="AI118" s="310"/>
      <c r="AJ118" s="310"/>
      <c r="AK118" s="310"/>
      <c r="AL118" s="310"/>
      <c r="AM118" s="310"/>
      <c r="AN118" s="310"/>
      <c r="AO118" s="207"/>
      <c r="AP118" s="583">
        <v>3</v>
      </c>
      <c r="AQ118" s="310"/>
      <c r="AR118" s="76"/>
      <c r="AS118" s="310"/>
      <c r="AT118" s="310"/>
      <c r="AU118" s="310"/>
      <c r="AV118" s="310"/>
      <c r="AW118" s="583">
        <v>3</v>
      </c>
      <c r="AX118" s="231" t="s">
        <v>43</v>
      </c>
      <c r="AY118" s="231" t="s">
        <v>145</v>
      </c>
      <c r="AZ118" s="310"/>
      <c r="BA118" s="310"/>
      <c r="BB118" s="310"/>
      <c r="BC118" s="207"/>
      <c r="BD118" s="310"/>
      <c r="BE118" s="310"/>
      <c r="BF118" s="310"/>
      <c r="BG118" s="310">
        <v>2</v>
      </c>
      <c r="BH118" s="310"/>
      <c r="BI118" s="310"/>
      <c r="BJ118" s="310">
        <v>1</v>
      </c>
      <c r="BK118" s="310"/>
      <c r="BL118" s="310"/>
      <c r="BM118" s="207"/>
      <c r="BN118" s="79"/>
      <c r="BO118" s="81"/>
      <c r="BP118" s="207"/>
      <c r="BQ118" s="78" t="str">
        <f>IFERROR(WWWW[[#This Row],['#_Water sources treated]]/WWWW[[#This Row],['#_Water sources tested for contamination]],"no test")</f>
        <v>no test</v>
      </c>
      <c r="BR118" s="81" t="str">
        <f>IFERROR(WWWW[[#This Row],['#_Household received remediation action due to contamination]]/WWWW[[#This Row],['#_Household water samples tested for contamination]],"no test")</f>
        <v>no test</v>
      </c>
      <c r="BS118" s="80" t="str">
        <f>IF(AND(WWWW[[#This Row],[% of water sources treated]]="no test",WWWW[[#This Row],[% Household received corrective actions]]="no test"),"No Test","Tested")</f>
        <v>No Test</v>
      </c>
      <c r="BT118" s="80">
        <f>WWWW[[#This Row],['#_Constructed/existing protected hand dug well]]-WWWW[[#This Row],['#_Non-functional protected hand dug well]]</f>
        <v>1</v>
      </c>
      <c r="BU118" s="80">
        <f>(WWWW[[#This Row],['#_Constructed/Existing tube wells/boreholes/handpumps_WASH_agency]]+WWWW[[#This Row],['#_Non-Cluster partner water tube-wells/boreholes/handpumps]])-WWWW[[#This Row],['#_Non-functional tube wells/boreholes/handpumps]]</f>
        <v>0</v>
      </c>
      <c r="BV118" s="80">
        <f>WWWW[[#This Row],['#_Constructed/Existingwater storage tank with gravity fed reticulation system]]-WWWW[[#This Row],['#_Non-functional storage tank gravity fed reticulation system]]</f>
        <v>0</v>
      </c>
      <c r="BW118" s="80">
        <f>WWWW[[#This Row],['#_Water boating or water trucking]]</f>
        <v>0</v>
      </c>
      <c r="BX118" s="80">
        <f>WWWW[[#This Row],['#_Constructed/Existing water distribution system from river or natural spring]]</f>
        <v>0</v>
      </c>
      <c r="BY11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8" s="81">
        <f>IF(WWWW[[#This Row],[Location Type 1]]="Village",WWWW[[#This Row],[Access to safe drinking water for Village]],WWWW[[#This Row],[Access to safe drinking water for Camp]])</f>
        <v>1</v>
      </c>
      <c r="CB118" s="79">
        <f>WWWW[[#This Row],[%Equitable and continuous access to sufficient quantity of safe drinking water]]*WWWW[[#This Row],[Total PoP ]]</f>
        <v>41</v>
      </c>
      <c r="CC118" s="81">
        <f>IF((WWWW[[#This Row],['#_Constructed/Existing protected/fenced ponds]]*250)/WWWW[[#This Row],[Total PoP ]]&gt;1,1,(WWWW[[#This Row],['#_Constructed/Existing protected/fenced ponds]]*250)/WWWW[[#This Row],[Total PoP ]])</f>
        <v>0</v>
      </c>
      <c r="CD118" s="79">
        <f>WWWW[[#This Row],[% Access to unimproved water points]]*WWWW[[#This Row],[Total PoP ]]</f>
        <v>0</v>
      </c>
      <c r="CE11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G118" s="79">
        <f>WWWW[[#This Row],[HRP1]]/500</f>
        <v>8.2000000000000003E-2</v>
      </c>
      <c r="CH118" s="78">
        <f>1-WWWW[[#This Row],[% Equitable and continuous access to sufficient quantity of domestic water]]</f>
        <v>0</v>
      </c>
      <c r="CI118" s="79">
        <f>WWWW[[#This Row],[%equitable and continuous access to sufficient quantity of safe drinking and domestic water''s GAP]]*WWWW[[#This Row],[Total PoP ]]</f>
        <v>0</v>
      </c>
      <c r="CJ118" s="80">
        <f>IF(WWWW[[#This Row],[Total required water points]]-WWWW[[#This Row],['#Water points coverage]]&lt;0,0,WWWW[[#This Row],[Total required water points]]-WWWW[[#This Row],['#Water points coverage]])</f>
        <v>0.91800000000000004</v>
      </c>
      <c r="CK118" s="80">
        <f>ROUND(IF(WWWW[[#This Row],[Total PoP ]]&lt;500,1,WWWW[[#This Row],[Total PoP ]]/500),0)</f>
        <v>1</v>
      </c>
      <c r="CL118" s="80">
        <f>(WWWW[[#This Row],['#_Constructed latrines_by_WASHAgencies]]+WWWW[[#This Row],['#_Non Cluster partner latrines]])-WWWW[[#This Row],['#_Non-functional latrines]]</f>
        <v>3</v>
      </c>
      <c r="CM11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41</v>
      </c>
      <c r="CO11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18" s="80">
        <f>IF(WWWW[[#This Row],[Location Type 1]]="Village","NA",IF(WWWW[[#This Row],['#_Constructed/Existing latrines in TLS]]*50&gt;WWWW[[#This Row],['#_students at TLS_CFS]],WWWW[[#This Row],['#_students at TLS_CFS]],(WWWW[[#This Row],['#_Constructed/Existing latrines in TLS]]*50)))</f>
        <v>0</v>
      </c>
      <c r="CQ118" s="80">
        <f>ROUND(IF(WWWW[[#This Row],[Location Type 1]]="camp",WWWW[[#This Row],[Total PoP ]]/20,IF(WWWW[[#This Row],[Location Type 1]]="Temporary Location",WWWW[[#This Row],[Total PoP ]]/50,(WWWW[[#This Row],[Total PoP ]]/6))),0)</f>
        <v>2</v>
      </c>
      <c r="CR118" s="79">
        <f>IF(WWWW[[#This Row],[Total required Latrines]]-(WWWW[[#This Row],['#_Constructed latrines_by_WASHAgencies]]+WWWW[[#This Row],['#_Non Cluster partner latrines]])&lt;0,0,WWWW[[#This Row],[Total required Latrines]]-(WWWW[[#This Row],['#_Constructed latrines_by_WASHAgencies]]+WWWW[[#This Row],['#_Non Cluster partner latrines]]))</f>
        <v>0</v>
      </c>
      <c r="CS118" s="78">
        <f>1-WWWW[[#This Row],[% people access to functioning Latrine]]</f>
        <v>0</v>
      </c>
      <c r="CT118" s="82">
        <f>IF(OR(WWWW[[#This Row],['#_Non-functional latrines]]="",WWWW[[#This Row],['#_Non-functional latrines]]=0),0,WWWW[[#This Row],['#_Non-functional latrines]]/(WWWW[[#This Row],['#_Constructed latrines_by_WASHAgencies]]+WWWW[[#This Row],['#_Non Cluster partner latrines]]))</f>
        <v>0</v>
      </c>
      <c r="CU118" s="79">
        <f>IF(500*(WWWW[[#This Row],['#_male hygiene promoters]]+WWWW[[#This Row],['#_female hygiene promoters]])&gt;WWWW[[#This Row],[Total PoP ]],WWWW[[#This Row],[Total PoP ]],500*(WWWW[[#This Row],['#_male hygiene promoters]]+WWWW[[#This Row],['#_female hygiene promoters]]))</f>
        <v>41</v>
      </c>
      <c r="CV11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8" s="80">
        <f>IF(WWWW[[#This Row],['# People with access to soap]]&gt;WWWW[[#This Row],['# People with access to Sanity Pads]],WWWW[[#This Row],['# People with access to soap]],WWWW[[#This Row],['# People with access to Sanity Pads]])</f>
        <v>0</v>
      </c>
      <c r="CY118" s="80">
        <f>IF(WWWW[[#This Row],['# people reached by regular dedicated hygiene promotion_5]]&gt;WWWW[[#This Row],['# People received regular supply of hygiene items_6]],WWWW[[#This Row],['# people reached by regular dedicated hygiene promotion_5]],WWWW[[#This Row],['# People received regular supply of hygiene items_6]])</f>
        <v>41</v>
      </c>
      <c r="CZ118" s="78">
        <f>IF(WWWW[[#This Row],[HRP3]]/WWWW[[#This Row],[Total PoP ]]&gt;100%,100%,WWWW[[#This Row],[HRP3]]/WWWW[[#This Row],[Total PoP ]])</f>
        <v>1</v>
      </c>
      <c r="DA118" s="82">
        <f>1-WWWW[[#This Row],[Hygiene Coverage%]]</f>
        <v>0</v>
      </c>
      <c r="DB118" s="81">
        <f>WWWW[[#This Row],['# people reached by regular dedicated hygiene promotion_5]]/WWWW[[#This Row],[Total PoP ]]</f>
        <v>1</v>
      </c>
      <c r="DC118" s="81">
        <f>IF(WWWW[[#This Row],['#_households that received standard amount of soap for this quarter]]/WWWW[[#This Row],[Total HH]]&gt;1,1,WWWW[[#This Row],['#_households that received standard amount of soap for this quarter]]/WWWW[[#This Row],[Total HH]])</f>
        <v>0</v>
      </c>
      <c r="DD118" s="81">
        <f>IF(WWWW[[#This Row],['#_households that received standard amount of sanitary pads for this quarter]]/WWWW[[#This Row],[Total HH]]&gt;1,1,WWWW[[#This Row],['#_households that received standard amount of sanitary pads for this quarter]]/WWWW[[#This Row],[Total HH]])</f>
        <v>0</v>
      </c>
      <c r="DE118" s="80">
        <f>WWWW[[#This Row],['#_Constructed/Existing hand washing stations]]-WWWW[[#This Row],['#_Non-Functional_hand_washing_stations]]</f>
        <v>0</v>
      </c>
      <c r="DF118" s="757">
        <f>IF(WWWW[[#This Row],['# Functional hand washing stations during reporting period]]*20&gt;WWWW[[#This Row],[Total HH]],WWWW[[#This Row],[Total HH]],WWWW[[#This Row],['# Functional hand washing stations during reporting period]]*20)</f>
        <v>0</v>
      </c>
      <c r="DG118" s="79">
        <f>IF(WWWW[[#This Row],[Is sufficient soap available for TLS? (Yes/No)]]="yes",WWWW[[#This Row],['#_Constructed/Existing hand washing stations at TLS]],0)</f>
        <v>0</v>
      </c>
      <c r="DH118" s="578">
        <f>IF(WWWW[[#This Row],['# Functional hand washing stations during reporting period]]*100&gt;WWWW[[#This Row],[Total PoP ]],WWWW[[#This Row],[Total PoP ]],WWWW[[#This Row],['# Functional hand washing stations during reporting period]]*100)</f>
        <v>0</v>
      </c>
      <c r="DI118" s="578" t="str">
        <f>IF(OR(WWWW[[#This Row],['#_students at TLS_CFS]]="",WWWW[[#This Row],['#_students at TLS_CFS]]=0),"No","Yes")</f>
        <v>No</v>
      </c>
      <c r="DJ118" s="231" t="str">
        <f>VLOOKUP(WWWW[[#This Row],[Site Name]],SiteDB6[[Site Name]:[CCCM Management]],6,FALSE)</f>
        <v>Yes</v>
      </c>
      <c r="DK118" s="231" t="str">
        <f>VLOOKUP(WWWW[[#This Row],[Site Name]],SiteDB6[[Site Name]:[CCCM Focal Agency]],7,FALSE)</f>
        <v>KBC</v>
      </c>
      <c r="DL118" s="231" t="str">
        <f>VLOOKUP(WWWW[[#This Row],[Site Name]],SiteDB6[[Site Name]:[Location Type 1]],9,FALSE)</f>
        <v>Camp</v>
      </c>
      <c r="DM118" s="231" t="str">
        <f>VLOOKUP(WWWW[[#This Row],[Site Name]],SiteDB6[[Site Name]:[Type of Accommodation]],10,FALSE)</f>
        <v>Camp</v>
      </c>
      <c r="DN118" s="231" t="str">
        <f>VLOOKUP(WWWW[[#This Row],[Site Name]],SiteDB6[[Site Name]:[Ethnic or GCA/NGCA]],11,FALSE)</f>
        <v>GCA</v>
      </c>
      <c r="DO118" s="231">
        <f>VLOOKUP(WWWW[[#This Row],[Site Name]],SiteDB6[[Site Name]:[Lat]],12,FALSE)</f>
        <v>25.30442</v>
      </c>
      <c r="DP118" s="231">
        <f>VLOOKUP(WWWW[[#This Row],[Site Name]],SiteDB6[[Site Name]:[Long]],13,FALSE)</f>
        <v>96.948740000000001</v>
      </c>
      <c r="DQ118" s="231" t="str">
        <f>VLOOKUP(WWWW[[#This Row],[Site Name]],SiteDB6[[Site Name]:[Pcode]],3,FALSE)</f>
        <v>MMR001CMP079</v>
      </c>
      <c r="DR118" s="207" t="str">
        <f t="shared" si="4"/>
        <v>Covered</v>
      </c>
      <c r="DS118" s="207"/>
      <c r="DT118" s="20"/>
      <c r="DU118" s="20"/>
      <c r="DV118" s="20"/>
      <c r="DW118" s="20"/>
      <c r="DX118" s="20"/>
      <c r="DY118" s="20"/>
      <c r="DZ118" s="20"/>
      <c r="EA118" s="20"/>
      <c r="EB118" s="20"/>
      <c r="EC118" s="20"/>
      <c r="ED118" s="20"/>
      <c r="EE118" s="20"/>
      <c r="EF118" s="20"/>
      <c r="EG118" s="20"/>
      <c r="EH118" s="20"/>
    </row>
    <row r="119" spans="1:138" ht="15.75" customHeight="1">
      <c r="A119" s="238" t="s">
        <v>2518</v>
      </c>
      <c r="B119" s="574" t="s">
        <v>250</v>
      </c>
      <c r="C119" s="574" t="s">
        <v>250</v>
      </c>
      <c r="D119" s="584" t="s">
        <v>315</v>
      </c>
      <c r="E119" s="574" t="s">
        <v>39</v>
      </c>
      <c r="F119" s="574" t="s">
        <v>167</v>
      </c>
      <c r="G119" s="574" t="str">
        <f>VLOOKUP(WWWW[[#This Row],[Site Name]],SiteDB6[[Site Name]:[Location Type]],8,FALSE)</f>
        <v>Camp</v>
      </c>
      <c r="H119" s="574" t="s">
        <v>273</v>
      </c>
      <c r="I119" s="583">
        <v>24</v>
      </c>
      <c r="J119" s="583">
        <v>111</v>
      </c>
      <c r="K119" s="553">
        <v>43313</v>
      </c>
      <c r="L119" s="58">
        <v>44043</v>
      </c>
      <c r="M119" s="583"/>
      <c r="N119" s="583">
        <v>1</v>
      </c>
      <c r="O119" s="583"/>
      <c r="P119" s="583"/>
      <c r="Q119" s="574" t="s">
        <v>43</v>
      </c>
      <c r="R119" s="310">
        <v>1</v>
      </c>
      <c r="S119" s="310">
        <v>3</v>
      </c>
      <c r="T119" s="310">
        <v>1</v>
      </c>
      <c r="U119" s="310"/>
      <c r="V119" s="310"/>
      <c r="W119" s="310">
        <v>0</v>
      </c>
      <c r="X119" s="310">
        <v>0</v>
      </c>
      <c r="Y119" s="310">
        <v>0</v>
      </c>
      <c r="Z119" s="310"/>
      <c r="AA119" s="310"/>
      <c r="AB119" s="310"/>
      <c r="AC119" s="310"/>
      <c r="AD119" s="310"/>
      <c r="AE119" s="310"/>
      <c r="AF119" s="310"/>
      <c r="AG119" s="310"/>
      <c r="AH119" s="310"/>
      <c r="AI119" s="310"/>
      <c r="AJ119" s="310"/>
      <c r="AK119" s="310"/>
      <c r="AL119" s="310"/>
      <c r="AM119" s="310"/>
      <c r="AN119" s="310"/>
      <c r="AO119" s="207"/>
      <c r="AP119" s="310">
        <v>2</v>
      </c>
      <c r="AQ119" s="310">
        <v>5</v>
      </c>
      <c r="AR119" s="574" t="s">
        <v>3109</v>
      </c>
      <c r="AS119" s="578">
        <v>1</v>
      </c>
      <c r="AT119" s="574">
        <v>1</v>
      </c>
      <c r="AU119" s="578">
        <v>2</v>
      </c>
      <c r="AV119" s="310"/>
      <c r="AW119" s="583"/>
      <c r="AX119" s="581" t="s">
        <v>43</v>
      </c>
      <c r="AY119" s="231" t="s">
        <v>1200</v>
      </c>
      <c r="AZ119" s="310"/>
      <c r="BA119" s="310"/>
      <c r="BB119" s="310"/>
      <c r="BC119" s="207"/>
      <c r="BD119" s="310">
        <v>2</v>
      </c>
      <c r="BE119" s="310">
        <v>0</v>
      </c>
      <c r="BF119" s="310">
        <v>0</v>
      </c>
      <c r="BG119" s="310">
        <v>0</v>
      </c>
      <c r="BH119" s="310">
        <v>0</v>
      </c>
      <c r="BI119" s="310">
        <v>0</v>
      </c>
      <c r="BJ119" s="310">
        <v>0</v>
      </c>
      <c r="BK119" s="310">
        <v>0</v>
      </c>
      <c r="BL119" s="310">
        <v>0</v>
      </c>
      <c r="BM119" s="207" t="s">
        <v>144</v>
      </c>
      <c r="BN119" s="79">
        <v>0</v>
      </c>
      <c r="BO119" s="81">
        <v>0</v>
      </c>
      <c r="BP119" s="207"/>
      <c r="BQ119" s="78" t="str">
        <f>IFERROR(WWWW[[#This Row],['#_Water sources treated]]/WWWW[[#This Row],['#_Water sources tested for contamination]],"no test")</f>
        <v>no test</v>
      </c>
      <c r="BR119" s="81" t="str">
        <f>IFERROR(WWWW[[#This Row],['#_Household received remediation action due to contamination]]/WWWW[[#This Row],['#_Household water samples tested for contamination]],"no test")</f>
        <v>no test</v>
      </c>
      <c r="BS119" s="80" t="str">
        <f>IF(AND(WWWW[[#This Row],[% of water sources treated]]="no test",WWWW[[#This Row],[% Household received corrective actions]]="no test"),"No Test","Tested")</f>
        <v>No Test</v>
      </c>
      <c r="BT119" s="80">
        <f>WWWW[[#This Row],['#_Constructed/existing protected hand dug well]]-WWWW[[#This Row],['#_Non-functional protected hand dug well]]</f>
        <v>1</v>
      </c>
      <c r="BU119" s="80">
        <f>(WWWW[[#This Row],['#_Constructed/Existing tube wells/boreholes/handpumps_WASH_agency]]+WWWW[[#This Row],['#_Non-Cluster partner water tube-wells/boreholes/handpumps]])-WWWW[[#This Row],['#_Non-functional tube wells/boreholes/handpumps]]</f>
        <v>0</v>
      </c>
      <c r="BV119" s="80">
        <f>WWWW[[#This Row],['#_Constructed/Existingwater storage tank with gravity fed reticulation system]]-WWWW[[#This Row],['#_Non-functional storage tank gravity fed reticulation system]]</f>
        <v>0</v>
      </c>
      <c r="BW119" s="80">
        <f>WWWW[[#This Row],['#_Water boating or water trucking]]</f>
        <v>0</v>
      </c>
      <c r="BX119" s="80">
        <f>WWWW[[#This Row],['#_Constructed/Existing water distribution system from river or natural spring]]</f>
        <v>0</v>
      </c>
      <c r="BY11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1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19" s="81">
        <f>IF(WWWW[[#This Row],[Location Type 1]]="Village",WWWW[[#This Row],[Access to safe drinking water for Village]],WWWW[[#This Row],[Access to safe drinking water for Camp]])</f>
        <v>1</v>
      </c>
      <c r="CB119" s="79">
        <f>WWWW[[#This Row],[%Equitable and continuous access to sufficient quantity of safe drinking water]]*WWWW[[#This Row],[Total PoP ]]</f>
        <v>111</v>
      </c>
      <c r="CC119" s="81">
        <f>IF((WWWW[[#This Row],['#_Constructed/Existing protected/fenced ponds]]*250)/WWWW[[#This Row],[Total PoP ]]&gt;1,1,(WWWW[[#This Row],['#_Constructed/Existing protected/fenced ponds]]*250)/WWWW[[#This Row],[Total PoP ]])</f>
        <v>0</v>
      </c>
      <c r="CD119" s="79">
        <f>WWWW[[#This Row],[% Access to unimproved water points]]*WWWW[[#This Row],[Total PoP ]]</f>
        <v>0</v>
      </c>
      <c r="CE11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1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G119" s="79">
        <f>WWWW[[#This Row],[HRP1]]/500</f>
        <v>0.222</v>
      </c>
      <c r="CH119" s="78">
        <f>1-WWWW[[#This Row],[% Equitable and continuous access to sufficient quantity of domestic water]]</f>
        <v>0</v>
      </c>
      <c r="CI119" s="79">
        <f>WWWW[[#This Row],[%equitable and continuous access to sufficient quantity of safe drinking and domestic water''s GAP]]*WWWW[[#This Row],[Total PoP ]]</f>
        <v>0</v>
      </c>
      <c r="CJ119" s="80">
        <f>IF(WWWW[[#This Row],[Total required water points]]-WWWW[[#This Row],['#Water points coverage]]&lt;0,0,WWWW[[#This Row],[Total required water points]]-WWWW[[#This Row],['#Water points coverage]])</f>
        <v>0.77800000000000002</v>
      </c>
      <c r="CK119" s="80">
        <f>ROUND(IF(WWWW[[#This Row],[Total PoP ]]&lt;500,1,WWWW[[#This Row],[Total PoP ]]/500),0)</f>
        <v>1</v>
      </c>
      <c r="CL119" s="80">
        <f>(WWWW[[#This Row],['#_Constructed latrines_by_WASHAgencies]]+WWWW[[#This Row],['#_Non Cluster partner latrines]])-WWWW[[#This Row],['#_Non-functional latrines]]</f>
        <v>6</v>
      </c>
      <c r="CM11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1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111</v>
      </c>
      <c r="CO11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19" s="80">
        <f>IF(WWWW[[#This Row],[Location Type 1]]="Village","NA",IF(WWWW[[#This Row],['#_Constructed/Existing latrines in TLS]]*50&gt;WWWW[[#This Row],['#_students at TLS_CFS]],WWWW[[#This Row],['#_students at TLS_CFS]],(WWWW[[#This Row],['#_Constructed/Existing latrines in TLS]]*50)))</f>
        <v>0</v>
      </c>
      <c r="CQ119" s="80">
        <f>ROUND(IF(WWWW[[#This Row],[Location Type 1]]="camp",WWWW[[#This Row],[Total PoP ]]/20,IF(WWWW[[#This Row],[Location Type 1]]="Temporary Location",WWWW[[#This Row],[Total PoP ]]/50,(WWWW[[#This Row],[Total PoP ]]/6))),0)</f>
        <v>6</v>
      </c>
      <c r="CR119" s="79">
        <f>IF(WWWW[[#This Row],[Total required Latrines]]-(WWWW[[#This Row],['#_Constructed latrines_by_WASHAgencies]]+WWWW[[#This Row],['#_Non Cluster partner latrines]])&lt;0,0,WWWW[[#This Row],[Total required Latrines]]-(WWWW[[#This Row],['#_Constructed latrines_by_WASHAgencies]]+WWWW[[#This Row],['#_Non Cluster partner latrines]]))</f>
        <v>0</v>
      </c>
      <c r="CS119" s="78">
        <f>1-WWWW[[#This Row],[% people access to functioning Latrine]]</f>
        <v>0</v>
      </c>
      <c r="CT119" s="82">
        <f>IF(OR(WWWW[[#This Row],['#_Non-functional latrines]]="",WWWW[[#This Row],['#_Non-functional latrines]]=0),0,WWWW[[#This Row],['#_Non-functional latrines]]/(WWWW[[#This Row],['#_Constructed latrines_by_WASHAgencies]]+WWWW[[#This Row],['#_Non Cluster partner latrines]]))</f>
        <v>0.14285714285714285</v>
      </c>
      <c r="CU119" s="79">
        <f>IF(500*(WWWW[[#This Row],['#_male hygiene promoters]]+WWWW[[#This Row],['#_female hygiene promoters]])&gt;WWWW[[#This Row],[Total PoP ]],WWWW[[#This Row],[Total PoP ]],500*(WWWW[[#This Row],['#_male hygiene promoters]]+WWWW[[#This Row],['#_female hygiene promoters]]))</f>
        <v>0</v>
      </c>
      <c r="CV11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1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19" s="80">
        <f>IF(WWWW[[#This Row],['# People with access to soap]]&gt;WWWW[[#This Row],['# People with access to Sanity Pads]],WWWW[[#This Row],['# People with access to soap]],WWWW[[#This Row],['# People with access to Sanity Pads]])</f>
        <v>0</v>
      </c>
      <c r="CY119"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19" s="78">
        <f>IF(WWWW[[#This Row],[HRP3]]/WWWW[[#This Row],[Total PoP ]]&gt;100%,100%,WWWW[[#This Row],[HRP3]]/WWWW[[#This Row],[Total PoP ]])</f>
        <v>0</v>
      </c>
      <c r="DA119" s="82">
        <f>1-WWWW[[#This Row],[Hygiene Coverage%]]</f>
        <v>1</v>
      </c>
      <c r="DB119" s="81">
        <f>WWWW[[#This Row],['# people reached by regular dedicated hygiene promotion_5]]/WWWW[[#This Row],[Total PoP ]]</f>
        <v>0</v>
      </c>
      <c r="DC119" s="81">
        <f>IF(WWWW[[#This Row],['#_households that received standard amount of soap for this quarter]]/WWWW[[#This Row],[Total HH]]&gt;1,1,WWWW[[#This Row],['#_households that received standard amount of soap for this quarter]]/WWWW[[#This Row],[Total HH]])</f>
        <v>0</v>
      </c>
      <c r="DD119" s="81">
        <f>IF(WWWW[[#This Row],['#_households that received standard amount of sanitary pads for this quarter]]/WWWW[[#This Row],[Total HH]]&gt;1,1,WWWW[[#This Row],['#_households that received standard amount of sanitary pads for this quarter]]/WWWW[[#This Row],[Total HH]])</f>
        <v>0</v>
      </c>
      <c r="DE119" s="80">
        <f>WWWW[[#This Row],['#_Constructed/Existing hand washing stations]]-WWWW[[#This Row],['#_Non-Functional_hand_washing_stations]]</f>
        <v>2</v>
      </c>
      <c r="DF119" s="757">
        <f>IF(WWWW[[#This Row],['# Functional hand washing stations during reporting period]]*20&gt;WWWW[[#This Row],[Total HH]],WWWW[[#This Row],[Total HH]],WWWW[[#This Row],['# Functional hand washing stations during reporting period]]*20)</f>
        <v>24</v>
      </c>
      <c r="DG119" s="79">
        <f>IF(WWWW[[#This Row],[Is sufficient soap available for TLS? (Yes/No)]]="yes",WWWW[[#This Row],['#_Constructed/Existing hand washing stations at TLS]],0)</f>
        <v>0</v>
      </c>
      <c r="DH119" s="578">
        <f>IF(WWWW[[#This Row],['# Functional hand washing stations during reporting period]]*100&gt;WWWW[[#This Row],[Total PoP ]],WWWW[[#This Row],[Total PoP ]],WWWW[[#This Row],['# Functional hand washing stations during reporting period]]*100)</f>
        <v>111</v>
      </c>
      <c r="DI119" s="578" t="str">
        <f>IF(OR(WWWW[[#This Row],['#_students at TLS_CFS]]="",WWWW[[#This Row],['#_students at TLS_CFS]]=0),"No","Yes")</f>
        <v>No</v>
      </c>
      <c r="DJ119" s="231" t="str">
        <f>VLOOKUP(WWWW[[#This Row],[Site Name]],SiteDB6[[Site Name]:[CCCM Management]],6,FALSE)</f>
        <v>Yes</v>
      </c>
      <c r="DK119" s="231" t="str">
        <f>VLOOKUP(WWWW[[#This Row],[Site Name]],SiteDB6[[Site Name]:[CCCM Focal Agency]],7,FALSE)</f>
        <v>Shalom</v>
      </c>
      <c r="DL119" s="231" t="str">
        <f>VLOOKUP(WWWW[[#This Row],[Site Name]],SiteDB6[[Site Name]:[Location Type 1]],9,FALSE)</f>
        <v>Camp</v>
      </c>
      <c r="DM119" s="231" t="str">
        <f>VLOOKUP(WWWW[[#This Row],[Site Name]],SiteDB6[[Site Name]:[Type of Accommodation]],10,FALSE)</f>
        <v>Camp</v>
      </c>
      <c r="DN119" s="231" t="str">
        <f>VLOOKUP(WWWW[[#This Row],[Site Name]],SiteDB6[[Site Name]:[Ethnic or GCA/NGCA]],11,FALSE)</f>
        <v>GCA</v>
      </c>
      <c r="DO119" s="231">
        <f>VLOOKUP(WWWW[[#This Row],[Site Name]],SiteDB6[[Site Name]:[Lat]],12,FALSE)</f>
        <v>25.423817</v>
      </c>
      <c r="DP119" s="231">
        <f>VLOOKUP(WWWW[[#This Row],[Site Name]],SiteDB6[[Site Name]:[Long]],13,FALSE)</f>
        <v>97.418004999999994</v>
      </c>
      <c r="DQ119" s="231" t="str">
        <f>VLOOKUP(WWWW[[#This Row],[Site Name]],SiteDB6[[Site Name]:[Pcode]],3,FALSE)</f>
        <v>MMR001CMP007</v>
      </c>
      <c r="DR119" s="207" t="str">
        <f t="shared" si="4"/>
        <v>Covered</v>
      </c>
      <c r="DS119" s="207"/>
      <c r="DT119" s="20"/>
      <c r="DU119" s="20"/>
      <c r="DV119" s="20"/>
      <c r="DW119" s="20"/>
      <c r="DX119" s="20"/>
      <c r="DY119" s="20"/>
      <c r="DZ119" s="20"/>
      <c r="EA119" s="20"/>
      <c r="EB119" s="20"/>
      <c r="EC119" s="20"/>
      <c r="ED119" s="20"/>
      <c r="EE119" s="20"/>
      <c r="EF119" s="20"/>
      <c r="EG119" s="20"/>
      <c r="EH119" s="20"/>
    </row>
    <row r="120" spans="1:138" ht="15.75" customHeight="1">
      <c r="A120" s="238" t="s">
        <v>2518</v>
      </c>
      <c r="B120" s="238" t="s">
        <v>149</v>
      </c>
      <c r="C120" s="574" t="s">
        <v>149</v>
      </c>
      <c r="D120" s="574" t="s">
        <v>158</v>
      </c>
      <c r="E120" s="574" t="s">
        <v>39</v>
      </c>
      <c r="F120" s="574" t="s">
        <v>165</v>
      </c>
      <c r="G120" s="574" t="str">
        <f>VLOOKUP(WWWW[[#This Row],[Site Name]],SiteDB6[[Site Name]:[Location Type]],8,FALSE)</f>
        <v>Camp</v>
      </c>
      <c r="H120" s="574" t="s">
        <v>166</v>
      </c>
      <c r="I120" s="583">
        <v>22</v>
      </c>
      <c r="J120" s="583">
        <v>113</v>
      </c>
      <c r="K120" s="553">
        <v>43556</v>
      </c>
      <c r="L120" s="77">
        <v>43677</v>
      </c>
      <c r="M120" s="583"/>
      <c r="N120" s="583"/>
      <c r="O120" s="583"/>
      <c r="P120" s="583"/>
      <c r="Q120" s="76" t="s">
        <v>43</v>
      </c>
      <c r="R120" s="310"/>
      <c r="S120" s="310"/>
      <c r="T120" s="583">
        <v>0</v>
      </c>
      <c r="U120" s="310"/>
      <c r="V120" s="310"/>
      <c r="W120" s="583">
        <v>3</v>
      </c>
      <c r="X120" s="310"/>
      <c r="Y120" s="310"/>
      <c r="Z120" s="310"/>
      <c r="AA120" s="310"/>
      <c r="AB120" s="310"/>
      <c r="AC120" s="310"/>
      <c r="AD120" s="310"/>
      <c r="AE120" s="310"/>
      <c r="AF120" s="310"/>
      <c r="AG120" s="310"/>
      <c r="AH120" s="583">
        <v>0</v>
      </c>
      <c r="AI120" s="310"/>
      <c r="AJ120" s="310"/>
      <c r="AK120" s="310"/>
      <c r="AL120" s="310"/>
      <c r="AM120" s="310"/>
      <c r="AN120" s="310"/>
      <c r="AO120" s="207"/>
      <c r="AP120" s="583">
        <v>5</v>
      </c>
      <c r="AQ120" s="310"/>
      <c r="AR120" s="76"/>
      <c r="AS120" s="310"/>
      <c r="AT120" s="310"/>
      <c r="AU120" s="310"/>
      <c r="AV120" s="310"/>
      <c r="AW120" s="583"/>
      <c r="AX120" s="231" t="s">
        <v>43</v>
      </c>
      <c r="AY120" s="231" t="s">
        <v>1200</v>
      </c>
      <c r="AZ120" s="310"/>
      <c r="BA120" s="310"/>
      <c r="BB120" s="310"/>
      <c r="BC120" s="207"/>
      <c r="BD120" s="310"/>
      <c r="BE120" s="310"/>
      <c r="BF120" s="310"/>
      <c r="BG120" s="310">
        <v>2</v>
      </c>
      <c r="BH120" s="310"/>
      <c r="BI120" s="310"/>
      <c r="BJ120" s="310">
        <v>1</v>
      </c>
      <c r="BK120" s="310"/>
      <c r="BL120" s="310"/>
      <c r="BM120" s="207"/>
      <c r="BN120" s="79"/>
      <c r="BO120" s="81"/>
      <c r="BP120" s="207"/>
      <c r="BQ120" s="78" t="str">
        <f>IFERROR(WWWW[[#This Row],['#_Water sources treated]]/WWWW[[#This Row],['#_Water sources tested for contamination]],"no test")</f>
        <v>no test</v>
      </c>
      <c r="BR120" s="81" t="str">
        <f>IFERROR(WWWW[[#This Row],['#_Household received remediation action due to contamination]]/WWWW[[#This Row],['#_Household water samples tested for contamination]],"no test")</f>
        <v>no test</v>
      </c>
      <c r="BS120" s="80" t="str">
        <f>IF(AND(WWWW[[#This Row],[% of water sources treated]]="no test",WWWW[[#This Row],[% Household received corrective actions]]="no test"),"No Test","Tested")</f>
        <v>No Test</v>
      </c>
      <c r="BT120" s="80">
        <f>WWWW[[#This Row],['#_Constructed/existing protected hand dug well]]-WWWW[[#This Row],['#_Non-functional protected hand dug well]]</f>
        <v>0</v>
      </c>
      <c r="BU120" s="80">
        <f>(WWWW[[#This Row],['#_Constructed/Existing tube wells/boreholes/handpumps_WASH_agency]]+WWWW[[#This Row],['#_Non-Cluster partner water tube-wells/boreholes/handpumps]])-WWWW[[#This Row],['#_Non-functional tube wells/boreholes/handpumps]]</f>
        <v>3</v>
      </c>
      <c r="BV120" s="80">
        <f>WWWW[[#This Row],['#_Constructed/Existingwater storage tank with gravity fed reticulation system]]-WWWW[[#This Row],['#_Non-functional storage tank gravity fed reticulation system]]</f>
        <v>0</v>
      </c>
      <c r="BW120" s="80">
        <f>WWWW[[#This Row],['#_Water boating or water trucking]]</f>
        <v>0</v>
      </c>
      <c r="BX120" s="80">
        <f>WWWW[[#This Row],['#_Constructed/Existing water distribution system from river or natural spring]]</f>
        <v>0</v>
      </c>
      <c r="BY12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0" s="81">
        <f>IF(WWWW[[#This Row],[Location Type 1]]="Village",WWWW[[#This Row],[Access to safe drinking water for Village]],WWWW[[#This Row],[Access to safe drinking water for Camp]])</f>
        <v>1</v>
      </c>
      <c r="CB120" s="79">
        <f>WWWW[[#This Row],[%Equitable and continuous access to sufficient quantity of safe drinking water]]*WWWW[[#This Row],[Total PoP ]]</f>
        <v>113</v>
      </c>
      <c r="CC120" s="81">
        <f>IF((WWWW[[#This Row],['#_Constructed/Existing protected/fenced ponds]]*250)/WWWW[[#This Row],[Total PoP ]]&gt;1,1,(WWWW[[#This Row],['#_Constructed/Existing protected/fenced ponds]]*250)/WWWW[[#This Row],[Total PoP ]])</f>
        <v>0</v>
      </c>
      <c r="CD120" s="79">
        <f>WWWW[[#This Row],[% Access to unimproved water points]]*WWWW[[#This Row],[Total PoP ]]</f>
        <v>0</v>
      </c>
      <c r="CE12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G120" s="79">
        <f>WWWW[[#This Row],[HRP1]]/500</f>
        <v>0.22600000000000001</v>
      </c>
      <c r="CH120" s="78">
        <f>1-WWWW[[#This Row],[% Equitable and continuous access to sufficient quantity of domestic water]]</f>
        <v>0</v>
      </c>
      <c r="CI120" s="79">
        <f>WWWW[[#This Row],[%equitable and continuous access to sufficient quantity of safe drinking and domestic water''s GAP]]*WWWW[[#This Row],[Total PoP ]]</f>
        <v>0</v>
      </c>
      <c r="CJ120" s="80">
        <f>IF(WWWW[[#This Row],[Total required water points]]-WWWW[[#This Row],['#Water points coverage]]&lt;0,0,WWWW[[#This Row],[Total required water points]]-WWWW[[#This Row],['#Water points coverage]])</f>
        <v>0.77400000000000002</v>
      </c>
      <c r="CK120" s="80">
        <f>ROUND(IF(WWWW[[#This Row],[Total PoP ]]&lt;500,1,WWWW[[#This Row],[Total PoP ]]/500),0)</f>
        <v>1</v>
      </c>
      <c r="CL120" s="80">
        <f>(WWWW[[#This Row],['#_Constructed latrines_by_WASHAgencies]]+WWWW[[#This Row],['#_Non Cluster partner latrines]])-WWWW[[#This Row],['#_Non-functional latrines]]</f>
        <v>5</v>
      </c>
      <c r="CM12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0.88495575221238942</v>
      </c>
      <c r="CN12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2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0" s="80">
        <f>IF(WWWW[[#This Row],[Location Type 1]]="Village","NA",IF(WWWW[[#This Row],['#_Constructed/Existing latrines in TLS]]*50&gt;WWWW[[#This Row],['#_students at TLS_CFS]],WWWW[[#This Row],['#_students at TLS_CFS]],(WWWW[[#This Row],['#_Constructed/Existing latrines in TLS]]*50)))</f>
        <v>0</v>
      </c>
      <c r="CQ120" s="80">
        <f>ROUND(IF(WWWW[[#This Row],[Location Type 1]]="camp",WWWW[[#This Row],[Total PoP ]]/20,IF(WWWW[[#This Row],[Location Type 1]]="Temporary Location",WWWW[[#This Row],[Total PoP ]]/50,(WWWW[[#This Row],[Total PoP ]]/6))),0)</f>
        <v>6</v>
      </c>
      <c r="CR120" s="79">
        <f>IF(WWWW[[#This Row],[Total required Latrines]]-(WWWW[[#This Row],['#_Constructed latrines_by_WASHAgencies]]+WWWW[[#This Row],['#_Non Cluster partner latrines]])&lt;0,0,WWWW[[#This Row],[Total required Latrines]]-(WWWW[[#This Row],['#_Constructed latrines_by_WASHAgencies]]+WWWW[[#This Row],['#_Non Cluster partner latrines]]))</f>
        <v>1</v>
      </c>
      <c r="CS120" s="78">
        <f>1-WWWW[[#This Row],[% people access to functioning Latrine]]</f>
        <v>0.11504424778761058</v>
      </c>
      <c r="CT120" s="82">
        <f>IF(OR(WWWW[[#This Row],['#_Non-functional latrines]]="",WWWW[[#This Row],['#_Non-functional latrines]]=0),0,WWWW[[#This Row],['#_Non-functional latrines]]/(WWWW[[#This Row],['#_Constructed latrines_by_WASHAgencies]]+WWWW[[#This Row],['#_Non Cluster partner latrines]]))</f>
        <v>0</v>
      </c>
      <c r="CU120" s="79">
        <f>IF(500*(WWWW[[#This Row],['#_male hygiene promoters]]+WWWW[[#This Row],['#_female hygiene promoters]])&gt;WWWW[[#This Row],[Total PoP ]],WWWW[[#This Row],[Total PoP ]],500*(WWWW[[#This Row],['#_male hygiene promoters]]+WWWW[[#This Row],['#_female hygiene promoters]]))</f>
        <v>113</v>
      </c>
      <c r="CV12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0" s="80">
        <f>IF(WWWW[[#This Row],['# People with access to soap]]&gt;WWWW[[#This Row],['# People with access to Sanity Pads]],WWWW[[#This Row],['# People with access to soap]],WWWW[[#This Row],['# People with access to Sanity Pads]])</f>
        <v>0</v>
      </c>
      <c r="CY120" s="80">
        <f>IF(WWWW[[#This Row],['# people reached by regular dedicated hygiene promotion_5]]&gt;WWWW[[#This Row],['# People received regular supply of hygiene items_6]],WWWW[[#This Row],['# people reached by regular dedicated hygiene promotion_5]],WWWW[[#This Row],['# People received regular supply of hygiene items_6]])</f>
        <v>113</v>
      </c>
      <c r="CZ120" s="78">
        <f>IF(WWWW[[#This Row],[HRP3]]/WWWW[[#This Row],[Total PoP ]]&gt;100%,100%,WWWW[[#This Row],[HRP3]]/WWWW[[#This Row],[Total PoP ]])</f>
        <v>1</v>
      </c>
      <c r="DA120" s="82">
        <f>1-WWWW[[#This Row],[Hygiene Coverage%]]</f>
        <v>0</v>
      </c>
      <c r="DB120" s="81">
        <f>WWWW[[#This Row],['# people reached by regular dedicated hygiene promotion_5]]/WWWW[[#This Row],[Total PoP ]]</f>
        <v>1</v>
      </c>
      <c r="DC120" s="81">
        <f>IF(WWWW[[#This Row],['#_households that received standard amount of soap for this quarter]]/WWWW[[#This Row],[Total HH]]&gt;1,1,WWWW[[#This Row],['#_households that received standard amount of soap for this quarter]]/WWWW[[#This Row],[Total HH]])</f>
        <v>0</v>
      </c>
      <c r="DD120" s="81">
        <f>IF(WWWW[[#This Row],['#_households that received standard amount of sanitary pads for this quarter]]/WWWW[[#This Row],[Total HH]]&gt;1,1,WWWW[[#This Row],['#_households that received standard amount of sanitary pads for this quarter]]/WWWW[[#This Row],[Total HH]])</f>
        <v>0</v>
      </c>
      <c r="DE120" s="80">
        <f>WWWW[[#This Row],['#_Constructed/Existing hand washing stations]]-WWWW[[#This Row],['#_Non-Functional_hand_washing_stations]]</f>
        <v>0</v>
      </c>
      <c r="DF120" s="757">
        <f>IF(WWWW[[#This Row],['# Functional hand washing stations during reporting period]]*20&gt;WWWW[[#This Row],[Total HH]],WWWW[[#This Row],[Total HH]],WWWW[[#This Row],['# Functional hand washing stations during reporting period]]*20)</f>
        <v>0</v>
      </c>
      <c r="DG120" s="79">
        <f>IF(WWWW[[#This Row],[Is sufficient soap available for TLS? (Yes/No)]]="yes",WWWW[[#This Row],['#_Constructed/Existing hand washing stations at TLS]],0)</f>
        <v>0</v>
      </c>
      <c r="DH120" s="578">
        <f>IF(WWWW[[#This Row],['# Functional hand washing stations during reporting period]]*100&gt;WWWW[[#This Row],[Total PoP ]],WWWW[[#This Row],[Total PoP ]],WWWW[[#This Row],['# Functional hand washing stations during reporting period]]*100)</f>
        <v>0</v>
      </c>
      <c r="DI120" s="578" t="str">
        <f>IF(OR(WWWW[[#This Row],['#_students at TLS_CFS]]="",WWWW[[#This Row],['#_students at TLS_CFS]]=0),"No","Yes")</f>
        <v>No</v>
      </c>
      <c r="DJ120" s="231" t="str">
        <f>VLOOKUP(WWWW[[#This Row],[Site Name]],SiteDB6[[Site Name]:[CCCM Management]],6,FALSE)</f>
        <v>Yes</v>
      </c>
      <c r="DK120" s="231" t="str">
        <f>VLOOKUP(WWWW[[#This Row],[Site Name]],SiteDB6[[Site Name]:[CCCM Focal Agency]],7,FALSE)</f>
        <v>KBC</v>
      </c>
      <c r="DL120" s="231" t="str">
        <f>VLOOKUP(WWWW[[#This Row],[Site Name]],SiteDB6[[Site Name]:[Location Type 1]],9,FALSE)</f>
        <v>Camp</v>
      </c>
      <c r="DM120" s="231" t="str">
        <f>VLOOKUP(WWWW[[#This Row],[Site Name]],SiteDB6[[Site Name]:[Type of Accommodation]],10,FALSE)</f>
        <v>Camp</v>
      </c>
      <c r="DN120" s="231" t="str">
        <f>VLOOKUP(WWWW[[#This Row],[Site Name]],SiteDB6[[Site Name]:[Ethnic or GCA/NGCA]],11,FALSE)</f>
        <v>GCA</v>
      </c>
      <c r="DO120" s="231">
        <f>VLOOKUP(WWWW[[#This Row],[Site Name]],SiteDB6[[Site Name]:[Lat]],12,FALSE)</f>
        <v>24.998349999999999</v>
      </c>
      <c r="DP120" s="231">
        <f>VLOOKUP(WWWW[[#This Row],[Site Name]],SiteDB6[[Site Name]:[Long]],13,FALSE)</f>
        <v>96.364949999999993</v>
      </c>
      <c r="DQ120" s="231" t="str">
        <f>VLOOKUP(WWWW[[#This Row],[Site Name]],SiteDB6[[Site Name]:[Pcode]],3,FALSE)</f>
        <v>MMR001CMP152</v>
      </c>
      <c r="DR120" s="207" t="str">
        <f t="shared" si="4"/>
        <v>Covered</v>
      </c>
      <c r="DS120" s="207"/>
      <c r="DT120" s="20"/>
      <c r="DU120" s="20"/>
      <c r="DV120" s="20"/>
      <c r="DW120" s="20"/>
      <c r="DX120" s="20"/>
      <c r="DY120" s="20"/>
      <c r="DZ120" s="20"/>
      <c r="EA120" s="20"/>
      <c r="EB120" s="20"/>
      <c r="EC120" s="20"/>
      <c r="ED120" s="20"/>
      <c r="EE120" s="20"/>
      <c r="EF120" s="20"/>
      <c r="EG120" s="20"/>
      <c r="EH120" s="20"/>
    </row>
    <row r="121" spans="1:138" ht="15.75" customHeight="1">
      <c r="A121" s="238" t="s">
        <v>2518</v>
      </c>
      <c r="B121" s="238" t="s">
        <v>149</v>
      </c>
      <c r="C121" s="574" t="s">
        <v>149</v>
      </c>
      <c r="D121" s="574" t="s">
        <v>158</v>
      </c>
      <c r="E121" s="574" t="s">
        <v>39</v>
      </c>
      <c r="F121" s="574" t="s">
        <v>192</v>
      </c>
      <c r="G121" s="574" t="str">
        <f>VLOOKUP(WWWW[[#This Row],[Site Name]],SiteDB6[[Site Name]:[Location Type]],8,FALSE)</f>
        <v>Camp</v>
      </c>
      <c r="H121" s="574" t="s">
        <v>193</v>
      </c>
      <c r="I121" s="583">
        <v>127</v>
      </c>
      <c r="J121" s="583">
        <v>547</v>
      </c>
      <c r="K121" s="553">
        <v>43556</v>
      </c>
      <c r="L121" s="77">
        <v>43677</v>
      </c>
      <c r="M121" s="583"/>
      <c r="N121" s="583"/>
      <c r="O121" s="583"/>
      <c r="P121" s="583">
        <v>30</v>
      </c>
      <c r="Q121" s="76" t="s">
        <v>43</v>
      </c>
      <c r="R121" s="310"/>
      <c r="S121" s="310"/>
      <c r="T121" s="583">
        <v>0</v>
      </c>
      <c r="U121" s="310"/>
      <c r="V121" s="310"/>
      <c r="W121" s="583">
        <v>0</v>
      </c>
      <c r="X121" s="310"/>
      <c r="Y121" s="310"/>
      <c r="Z121" s="310"/>
      <c r="AA121" s="310">
        <v>1</v>
      </c>
      <c r="AB121" s="310">
        <v>1</v>
      </c>
      <c r="AC121" s="310"/>
      <c r="AD121" s="310"/>
      <c r="AE121" s="310"/>
      <c r="AF121" s="310"/>
      <c r="AG121" s="310"/>
      <c r="AH121" s="583">
        <v>0</v>
      </c>
      <c r="AI121" s="310"/>
      <c r="AJ121" s="310"/>
      <c r="AK121" s="310"/>
      <c r="AL121" s="310"/>
      <c r="AM121" s="310"/>
      <c r="AN121" s="310"/>
      <c r="AO121" s="207"/>
      <c r="AP121" s="583">
        <v>74</v>
      </c>
      <c r="AQ121" s="310"/>
      <c r="AR121" s="76"/>
      <c r="AS121" s="310"/>
      <c r="AT121" s="310"/>
      <c r="AU121" s="310"/>
      <c r="AV121" s="310"/>
      <c r="AW121" s="583">
        <v>74</v>
      </c>
      <c r="AX121" s="231" t="s">
        <v>43</v>
      </c>
      <c r="AY121" s="231" t="s">
        <v>145</v>
      </c>
      <c r="AZ121" s="310"/>
      <c r="BA121" s="310"/>
      <c r="BB121" s="310"/>
      <c r="BC121" s="207"/>
      <c r="BD121" s="310"/>
      <c r="BE121" s="310"/>
      <c r="BF121" s="310"/>
      <c r="BG121" s="310">
        <v>0</v>
      </c>
      <c r="BH121" s="310"/>
      <c r="BI121" s="310"/>
      <c r="BJ121" s="310">
        <v>2</v>
      </c>
      <c r="BK121" s="310"/>
      <c r="BL121" s="310"/>
      <c r="BM121" s="207"/>
      <c r="BN121" s="79"/>
      <c r="BO121" s="81"/>
      <c r="BP121" s="207"/>
      <c r="BQ121" s="78" t="str">
        <f>IFERROR(WWWW[[#This Row],['#_Water sources treated]]/WWWW[[#This Row],['#_Water sources tested for contamination]],"no test")</f>
        <v>no test</v>
      </c>
      <c r="BR121" s="81" t="str">
        <f>IFERROR(WWWW[[#This Row],['#_Household received remediation action due to contamination]]/WWWW[[#This Row],['#_Household water samples tested for contamination]],"no test")</f>
        <v>no test</v>
      </c>
      <c r="BS121" s="80" t="str">
        <f>IF(AND(WWWW[[#This Row],[% of water sources treated]]="no test",WWWW[[#This Row],[% Household received corrective actions]]="no test"),"No Test","Tested")</f>
        <v>No Test</v>
      </c>
      <c r="BT121" s="80">
        <f>WWWW[[#This Row],['#_Constructed/existing protected hand dug well]]-WWWW[[#This Row],['#_Non-functional protected hand dug well]]</f>
        <v>0</v>
      </c>
      <c r="BU121" s="80">
        <f>(WWWW[[#This Row],['#_Constructed/Existing tube wells/boreholes/handpumps_WASH_agency]]+WWWW[[#This Row],['#_Non-Cluster partner water tube-wells/boreholes/handpumps]])-WWWW[[#This Row],['#_Non-functional tube wells/boreholes/handpumps]]</f>
        <v>0</v>
      </c>
      <c r="BV121" s="80">
        <f>WWWW[[#This Row],['#_Constructed/Existingwater storage tank with gravity fed reticulation system]]-WWWW[[#This Row],['#_Non-functional storage tank gravity fed reticulation system]]</f>
        <v>0</v>
      </c>
      <c r="BW121" s="80">
        <f>WWWW[[#This Row],['#_Water boating or water trucking]]</f>
        <v>0</v>
      </c>
      <c r="BX121" s="80">
        <f>WWWW[[#This Row],['#_Constructed/Existing water distribution system from river or natural spring]]</f>
        <v>0</v>
      </c>
      <c r="BY12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2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21" s="81">
        <f>IF(WWWW[[#This Row],[Location Type 1]]="Village",WWWW[[#This Row],[Access to safe drinking water for Village]],WWWW[[#This Row],[Access to safe drinking water for Camp]])</f>
        <v>0</v>
      </c>
      <c r="CB121" s="79">
        <f>WWWW[[#This Row],[%Equitable and continuous access to sufficient quantity of safe drinking water]]*WWWW[[#This Row],[Total PoP ]]</f>
        <v>0</v>
      </c>
      <c r="CC121" s="81">
        <f>IF((WWWW[[#This Row],['#_Constructed/Existing protected/fenced ponds]]*250)/WWWW[[#This Row],[Total PoP ]]&gt;1,1,(WWWW[[#This Row],['#_Constructed/Existing protected/fenced ponds]]*250)/WWWW[[#This Row],[Total PoP ]])</f>
        <v>0</v>
      </c>
      <c r="CD121" s="79">
        <f>WWWW[[#This Row],[% Access to unimproved water points]]*WWWW[[#This Row],[Total PoP ]]</f>
        <v>0</v>
      </c>
      <c r="CE12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2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21" s="79">
        <f>WWWW[[#This Row],[HRP1]]/500</f>
        <v>0</v>
      </c>
      <c r="CH121" s="78">
        <f>1-WWWW[[#This Row],[% Equitable and continuous access to sufficient quantity of domestic water]]</f>
        <v>1</v>
      </c>
      <c r="CI121" s="79">
        <f>WWWW[[#This Row],[%equitable and continuous access to sufficient quantity of safe drinking and domestic water''s GAP]]*WWWW[[#This Row],[Total PoP ]]</f>
        <v>547</v>
      </c>
      <c r="CJ121" s="80">
        <f>IF(WWWW[[#This Row],[Total required water points]]-WWWW[[#This Row],['#Water points coverage]]&lt;0,0,WWWW[[#This Row],[Total required water points]]-WWWW[[#This Row],['#Water points coverage]])</f>
        <v>1</v>
      </c>
      <c r="CK121" s="80">
        <f>ROUND(IF(WWWW[[#This Row],[Total PoP ]]&lt;500,1,WWWW[[#This Row],[Total PoP ]]/500),0)</f>
        <v>1</v>
      </c>
      <c r="CL121" s="80">
        <f>(WWWW[[#This Row],['#_Constructed latrines_by_WASHAgencies]]+WWWW[[#This Row],['#_Non Cluster partner latrines]])-WWWW[[#This Row],['#_Non-functional latrines]]</f>
        <v>74</v>
      </c>
      <c r="CM12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547</v>
      </c>
      <c r="CO12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1" s="80">
        <f>IF(WWWW[[#This Row],[Location Type 1]]="Village","NA",IF(WWWW[[#This Row],['#_Constructed/Existing latrines in TLS]]*50&gt;WWWW[[#This Row],['#_students at TLS_CFS]],WWWW[[#This Row],['#_students at TLS_CFS]],(WWWW[[#This Row],['#_Constructed/Existing latrines in TLS]]*50)))</f>
        <v>0</v>
      </c>
      <c r="CQ121" s="80">
        <f>ROUND(IF(WWWW[[#This Row],[Location Type 1]]="camp",WWWW[[#This Row],[Total PoP ]]/20,IF(WWWW[[#This Row],[Location Type 1]]="Temporary Location",WWWW[[#This Row],[Total PoP ]]/50,(WWWW[[#This Row],[Total PoP ]]/6))),0)</f>
        <v>27</v>
      </c>
      <c r="CR121" s="79">
        <f>IF(WWWW[[#This Row],[Total required Latrines]]-(WWWW[[#This Row],['#_Constructed latrines_by_WASHAgencies]]+WWWW[[#This Row],['#_Non Cluster partner latrines]])&lt;0,0,WWWW[[#This Row],[Total required Latrines]]-(WWWW[[#This Row],['#_Constructed latrines_by_WASHAgencies]]+WWWW[[#This Row],['#_Non Cluster partner latrines]]))</f>
        <v>0</v>
      </c>
      <c r="CS121" s="78">
        <f>1-WWWW[[#This Row],[% people access to functioning Latrine]]</f>
        <v>0</v>
      </c>
      <c r="CT121" s="82">
        <f>IF(OR(WWWW[[#This Row],['#_Non-functional latrines]]="",WWWW[[#This Row],['#_Non-functional latrines]]=0),0,WWWW[[#This Row],['#_Non-functional latrines]]/(WWWW[[#This Row],['#_Constructed latrines_by_WASHAgencies]]+WWWW[[#This Row],['#_Non Cluster partner latrines]]))</f>
        <v>0</v>
      </c>
      <c r="CU121" s="79">
        <f>IF(500*(WWWW[[#This Row],['#_male hygiene promoters]]+WWWW[[#This Row],['#_female hygiene promoters]])&gt;WWWW[[#This Row],[Total PoP ]],WWWW[[#This Row],[Total PoP ]],500*(WWWW[[#This Row],['#_male hygiene promoters]]+WWWW[[#This Row],['#_female hygiene promoters]]))</f>
        <v>547</v>
      </c>
      <c r="CV12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1" s="80">
        <f>IF(WWWW[[#This Row],['# People with access to soap]]&gt;WWWW[[#This Row],['# People with access to Sanity Pads]],WWWW[[#This Row],['# People with access to soap]],WWWW[[#This Row],['# People with access to Sanity Pads]])</f>
        <v>0</v>
      </c>
      <c r="CY121" s="80">
        <f>IF(WWWW[[#This Row],['# people reached by regular dedicated hygiene promotion_5]]&gt;WWWW[[#This Row],['# People received regular supply of hygiene items_6]],WWWW[[#This Row],['# people reached by regular dedicated hygiene promotion_5]],WWWW[[#This Row],['# People received regular supply of hygiene items_6]])</f>
        <v>547</v>
      </c>
      <c r="CZ121" s="78">
        <f>IF(WWWW[[#This Row],[HRP3]]/WWWW[[#This Row],[Total PoP ]]&gt;100%,100%,WWWW[[#This Row],[HRP3]]/WWWW[[#This Row],[Total PoP ]])</f>
        <v>1</v>
      </c>
      <c r="DA121" s="82">
        <f>1-WWWW[[#This Row],[Hygiene Coverage%]]</f>
        <v>0</v>
      </c>
      <c r="DB121" s="81">
        <f>WWWW[[#This Row],['# people reached by regular dedicated hygiene promotion_5]]/WWWW[[#This Row],[Total PoP ]]</f>
        <v>1</v>
      </c>
      <c r="DC121" s="81">
        <f>IF(WWWW[[#This Row],['#_households that received standard amount of soap for this quarter]]/WWWW[[#This Row],[Total HH]]&gt;1,1,WWWW[[#This Row],['#_households that received standard amount of soap for this quarter]]/WWWW[[#This Row],[Total HH]])</f>
        <v>0</v>
      </c>
      <c r="DD121" s="81">
        <f>IF(WWWW[[#This Row],['#_households that received standard amount of sanitary pads for this quarter]]/WWWW[[#This Row],[Total HH]]&gt;1,1,WWWW[[#This Row],['#_households that received standard amount of sanitary pads for this quarter]]/WWWW[[#This Row],[Total HH]])</f>
        <v>0</v>
      </c>
      <c r="DE121" s="80">
        <f>WWWW[[#This Row],['#_Constructed/Existing hand washing stations]]-WWWW[[#This Row],['#_Non-Functional_hand_washing_stations]]</f>
        <v>0</v>
      </c>
      <c r="DF121" s="757">
        <f>IF(WWWW[[#This Row],['# Functional hand washing stations during reporting period]]*20&gt;WWWW[[#This Row],[Total HH]],WWWW[[#This Row],[Total HH]],WWWW[[#This Row],['# Functional hand washing stations during reporting period]]*20)</f>
        <v>0</v>
      </c>
      <c r="DG121" s="79">
        <f>IF(WWWW[[#This Row],[Is sufficient soap available for TLS? (Yes/No)]]="yes",WWWW[[#This Row],['#_Constructed/Existing hand washing stations at TLS]],0)</f>
        <v>0</v>
      </c>
      <c r="DH121" s="578">
        <f>IF(WWWW[[#This Row],['# Functional hand washing stations during reporting period]]*100&gt;WWWW[[#This Row],[Total PoP ]],WWWW[[#This Row],[Total PoP ]],WWWW[[#This Row],['# Functional hand washing stations during reporting period]]*100)</f>
        <v>0</v>
      </c>
      <c r="DI121" s="578" t="str">
        <f>IF(OR(WWWW[[#This Row],['#_students at TLS_CFS]]="",WWWW[[#This Row],['#_students at TLS_CFS]]=0),"No","Yes")</f>
        <v>No</v>
      </c>
      <c r="DJ121" s="231" t="str">
        <f>VLOOKUP(WWWW[[#This Row],[Site Name]],SiteDB6[[Site Name]:[CCCM Management]],6,FALSE)</f>
        <v>Yes</v>
      </c>
      <c r="DK121" s="231" t="str">
        <f>VLOOKUP(WWWW[[#This Row],[Site Name]],SiteDB6[[Site Name]:[CCCM Focal Agency]],7,FALSE)</f>
        <v>KBC-MYT</v>
      </c>
      <c r="DL121" s="231" t="str">
        <f>VLOOKUP(WWWW[[#This Row],[Site Name]],SiteDB6[[Site Name]:[Location Type 1]],9,FALSE)</f>
        <v>Camp</v>
      </c>
      <c r="DM121" s="231" t="str">
        <f>VLOOKUP(WWWW[[#This Row],[Site Name]],SiteDB6[[Site Name]:[Type of Accommodation]],10,FALSE)</f>
        <v>Camp</v>
      </c>
      <c r="DN121" s="231" t="str">
        <f>VLOOKUP(WWWW[[#This Row],[Site Name]],SiteDB6[[Site Name]:[Ethnic or GCA/NGCA]],11,FALSE)</f>
        <v>NGCA</v>
      </c>
      <c r="DO121" s="231">
        <f>VLOOKUP(WWWW[[#This Row],[Site Name]],SiteDB6[[Site Name]:[Lat]],12,FALSE)</f>
        <v>26.569633</v>
      </c>
      <c r="DP121" s="231">
        <f>VLOOKUP(WWWW[[#This Row],[Site Name]],SiteDB6[[Site Name]:[Long]],13,FALSE)</f>
        <v>97.745480999999998</v>
      </c>
      <c r="DQ121" s="231" t="str">
        <f>VLOOKUP(WWWW[[#This Row],[Site Name]],SiteDB6[[Site Name]:[Pcode]],3,FALSE)</f>
        <v>MMR001CMP238</v>
      </c>
      <c r="DR121" s="207" t="str">
        <f t="shared" si="4"/>
        <v>Covered</v>
      </c>
      <c r="DS121" s="207"/>
      <c r="DT121" s="20"/>
      <c r="DU121" s="20"/>
      <c r="DV121" s="20"/>
      <c r="DW121" s="20"/>
      <c r="DX121" s="20"/>
      <c r="DY121" s="20"/>
      <c r="DZ121" s="20"/>
      <c r="EA121" s="20"/>
      <c r="EB121" s="20"/>
      <c r="EC121" s="20"/>
      <c r="ED121" s="20"/>
      <c r="EE121" s="20"/>
      <c r="EF121" s="20"/>
      <c r="EG121" s="20"/>
      <c r="EH121" s="20"/>
    </row>
    <row r="122" spans="1:138" ht="15.75" customHeight="1">
      <c r="A122" s="238" t="s">
        <v>2518</v>
      </c>
      <c r="B122" s="574" t="s">
        <v>250</v>
      </c>
      <c r="C122" s="574" t="s">
        <v>250</v>
      </c>
      <c r="D122" s="584" t="s">
        <v>315</v>
      </c>
      <c r="E122" s="574" t="s">
        <v>39</v>
      </c>
      <c r="F122" s="574" t="s">
        <v>167</v>
      </c>
      <c r="G122" s="574" t="str">
        <f>VLOOKUP(WWWW[[#This Row],[Site Name]],SiteDB6[[Site Name]:[Location Type]],8,FALSE)</f>
        <v>Camp</v>
      </c>
      <c r="H122" s="574" t="s">
        <v>274</v>
      </c>
      <c r="I122" s="583">
        <v>54</v>
      </c>
      <c r="J122" s="583">
        <v>253</v>
      </c>
      <c r="K122" s="553">
        <v>43313</v>
      </c>
      <c r="L122" s="58">
        <v>44043</v>
      </c>
      <c r="M122" s="583"/>
      <c r="N122" s="583">
        <v>1</v>
      </c>
      <c r="O122" s="583"/>
      <c r="P122" s="583"/>
      <c r="Q122" s="574" t="s">
        <v>43</v>
      </c>
      <c r="R122" s="310">
        <v>2</v>
      </c>
      <c r="S122" s="310">
        <v>3</v>
      </c>
      <c r="T122" s="310">
        <v>1</v>
      </c>
      <c r="U122" s="310"/>
      <c r="V122" s="310"/>
      <c r="W122" s="310">
        <v>4</v>
      </c>
      <c r="X122" s="310">
        <v>0</v>
      </c>
      <c r="Y122" s="310">
        <v>0</v>
      </c>
      <c r="Z122" s="310"/>
      <c r="AA122" s="310"/>
      <c r="AB122" s="310"/>
      <c r="AC122" s="310"/>
      <c r="AD122" s="310"/>
      <c r="AE122" s="310"/>
      <c r="AF122" s="310"/>
      <c r="AG122" s="310"/>
      <c r="AH122" s="310"/>
      <c r="AI122" s="310"/>
      <c r="AJ122" s="310"/>
      <c r="AK122" s="310"/>
      <c r="AL122" s="310"/>
      <c r="AM122" s="310"/>
      <c r="AN122" s="310"/>
      <c r="AO122" s="207"/>
      <c r="AP122" s="310">
        <v>18</v>
      </c>
      <c r="AQ122" s="310">
        <v>0</v>
      </c>
      <c r="AR122" s="76"/>
      <c r="AS122" s="578">
        <v>0</v>
      </c>
      <c r="AT122" s="574">
        <v>0</v>
      </c>
      <c r="AU122" s="578">
        <v>10</v>
      </c>
      <c r="AV122" s="310"/>
      <c r="AW122" s="583"/>
      <c r="AX122" s="581" t="s">
        <v>43</v>
      </c>
      <c r="AY122" s="231" t="s">
        <v>145</v>
      </c>
      <c r="AZ122" s="310"/>
      <c r="BA122" s="310">
        <v>1</v>
      </c>
      <c r="BB122" s="310"/>
      <c r="BC122" s="207"/>
      <c r="BD122" s="310">
        <v>3</v>
      </c>
      <c r="BE122" s="310">
        <v>0</v>
      </c>
      <c r="BF122" s="310"/>
      <c r="BG122" s="310">
        <v>4</v>
      </c>
      <c r="BH122" s="310">
        <v>0</v>
      </c>
      <c r="BI122" s="310">
        <v>2</v>
      </c>
      <c r="BJ122" s="310">
        <v>3</v>
      </c>
      <c r="BK122" s="310">
        <v>0</v>
      </c>
      <c r="BL122" s="310">
        <v>0</v>
      </c>
      <c r="BM122" s="207" t="s">
        <v>144</v>
      </c>
      <c r="BN122" s="79">
        <v>0</v>
      </c>
      <c r="BO122" s="81">
        <v>0</v>
      </c>
      <c r="BP122" s="207"/>
      <c r="BQ122" s="78" t="str">
        <f>IFERROR(WWWW[[#This Row],['#_Water sources treated]]/WWWW[[#This Row],['#_Water sources tested for contamination]],"no test")</f>
        <v>no test</v>
      </c>
      <c r="BR122" s="81" t="str">
        <f>IFERROR(WWWW[[#This Row],['#_Household received remediation action due to contamination]]/WWWW[[#This Row],['#_Household water samples tested for contamination]],"no test")</f>
        <v>no test</v>
      </c>
      <c r="BS122" s="80" t="str">
        <f>IF(AND(WWWW[[#This Row],[% of water sources treated]]="no test",WWWW[[#This Row],[% Household received corrective actions]]="no test"),"No Test","Tested")</f>
        <v>No Test</v>
      </c>
      <c r="BT122" s="80">
        <f>WWWW[[#This Row],['#_Constructed/existing protected hand dug well]]-WWWW[[#This Row],['#_Non-functional protected hand dug well]]</f>
        <v>1</v>
      </c>
      <c r="BU122" s="80">
        <f>(WWWW[[#This Row],['#_Constructed/Existing tube wells/boreholes/handpumps_WASH_agency]]+WWWW[[#This Row],['#_Non-Cluster partner water tube-wells/boreholes/handpumps]])-WWWW[[#This Row],['#_Non-functional tube wells/boreholes/handpumps]]</f>
        <v>4</v>
      </c>
      <c r="BV122" s="80">
        <f>WWWW[[#This Row],['#_Constructed/Existingwater storage tank with gravity fed reticulation system]]-WWWW[[#This Row],['#_Non-functional storage tank gravity fed reticulation system]]</f>
        <v>0</v>
      </c>
      <c r="BW122" s="80">
        <f>WWWW[[#This Row],['#_Water boating or water trucking]]</f>
        <v>0</v>
      </c>
      <c r="BX122" s="80">
        <f>WWWW[[#This Row],['#_Constructed/Existing water distribution system from river or natural spring]]</f>
        <v>0</v>
      </c>
      <c r="BY12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2" s="81">
        <f>IF(WWWW[[#This Row],[Location Type 1]]="Village",WWWW[[#This Row],[Access to safe drinking water for Village]],WWWW[[#This Row],[Access to safe drinking water for Camp]])</f>
        <v>1</v>
      </c>
      <c r="CB122" s="79">
        <f>WWWW[[#This Row],[%Equitable and continuous access to sufficient quantity of safe drinking water]]*WWWW[[#This Row],[Total PoP ]]</f>
        <v>253</v>
      </c>
      <c r="CC122" s="81">
        <f>IF((WWWW[[#This Row],['#_Constructed/Existing protected/fenced ponds]]*250)/WWWW[[#This Row],[Total PoP ]]&gt;1,1,(WWWW[[#This Row],['#_Constructed/Existing protected/fenced ponds]]*250)/WWWW[[#This Row],[Total PoP ]])</f>
        <v>0</v>
      </c>
      <c r="CD122" s="79">
        <f>WWWW[[#This Row],[% Access to unimproved water points]]*WWWW[[#This Row],[Total PoP ]]</f>
        <v>0</v>
      </c>
      <c r="CE12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G122" s="79">
        <f>WWWW[[#This Row],[HRP1]]/500</f>
        <v>0.50600000000000001</v>
      </c>
      <c r="CH122" s="78">
        <f>1-WWWW[[#This Row],[% Equitable and continuous access to sufficient quantity of domestic water]]</f>
        <v>0</v>
      </c>
      <c r="CI122" s="79">
        <f>WWWW[[#This Row],[%equitable and continuous access to sufficient quantity of safe drinking and domestic water''s GAP]]*WWWW[[#This Row],[Total PoP ]]</f>
        <v>0</v>
      </c>
      <c r="CJ122" s="80">
        <f>IF(WWWW[[#This Row],[Total required water points]]-WWWW[[#This Row],['#Water points coverage]]&lt;0,0,WWWW[[#This Row],[Total required water points]]-WWWW[[#This Row],['#Water points coverage]])</f>
        <v>0.49399999999999999</v>
      </c>
      <c r="CK122" s="80">
        <f>ROUND(IF(WWWW[[#This Row],[Total PoP ]]&lt;500,1,WWWW[[#This Row],[Total PoP ]]/500),0)</f>
        <v>1</v>
      </c>
      <c r="CL122" s="80">
        <f>(WWWW[[#This Row],['#_Constructed latrines_by_WASHAgencies]]+WWWW[[#This Row],['#_Non Cluster partner latrines]])-WWWW[[#This Row],['#_Non-functional latrines]]</f>
        <v>18</v>
      </c>
      <c r="CM12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253</v>
      </c>
      <c r="CO12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P122" s="80">
        <f>IF(WWWW[[#This Row],[Location Type 1]]="Village","NA",IF(WWWW[[#This Row],['#_Constructed/Existing latrines in TLS]]*50&gt;WWWW[[#This Row],['#_students at TLS_CFS]],WWWW[[#This Row],['#_students at TLS_CFS]],(WWWW[[#This Row],['#_Constructed/Existing latrines in TLS]]*50)))</f>
        <v>0</v>
      </c>
      <c r="CQ122" s="80">
        <f>ROUND(IF(WWWW[[#This Row],[Location Type 1]]="camp",WWWW[[#This Row],[Total PoP ]]/20,IF(WWWW[[#This Row],[Location Type 1]]="Temporary Location",WWWW[[#This Row],[Total PoP ]]/50,(WWWW[[#This Row],[Total PoP ]]/6))),0)</f>
        <v>13</v>
      </c>
      <c r="CR122" s="79">
        <f>IF(WWWW[[#This Row],[Total required Latrines]]-(WWWW[[#This Row],['#_Constructed latrines_by_WASHAgencies]]+WWWW[[#This Row],['#_Non Cluster partner latrines]])&lt;0,0,WWWW[[#This Row],[Total required Latrines]]-(WWWW[[#This Row],['#_Constructed latrines_by_WASHAgencies]]+WWWW[[#This Row],['#_Non Cluster partner latrines]]))</f>
        <v>0</v>
      </c>
      <c r="CS122" s="78">
        <f>1-WWWW[[#This Row],[% people access to functioning Latrine]]</f>
        <v>0</v>
      </c>
      <c r="CT122" s="82">
        <f>IF(OR(WWWW[[#This Row],['#_Non-functional latrines]]="",WWWW[[#This Row],['#_Non-functional latrines]]=0),0,WWWW[[#This Row],['#_Non-functional latrines]]/(WWWW[[#This Row],['#_Constructed latrines_by_WASHAgencies]]+WWWW[[#This Row],['#_Non Cluster partner latrines]]))</f>
        <v>0</v>
      </c>
      <c r="CU122" s="79">
        <f>IF(500*(WWWW[[#This Row],['#_male hygiene promoters]]+WWWW[[#This Row],['#_female hygiene promoters]])&gt;WWWW[[#This Row],[Total PoP ]],WWWW[[#This Row],[Total PoP ]],500*(WWWW[[#This Row],['#_male hygiene promoters]]+WWWW[[#This Row],['#_female hygiene promoters]]))</f>
        <v>253</v>
      </c>
      <c r="CV12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2" s="80">
        <f>IF(WWWW[[#This Row],['# People with access to soap]]&gt;WWWW[[#This Row],['# People with access to Sanity Pads]],WWWW[[#This Row],['# People with access to soap]],WWWW[[#This Row],['# People with access to Sanity Pads]])</f>
        <v>0</v>
      </c>
      <c r="CY122" s="80">
        <f>IF(WWWW[[#This Row],['# people reached by regular dedicated hygiene promotion_5]]&gt;WWWW[[#This Row],['# People received regular supply of hygiene items_6]],WWWW[[#This Row],['# people reached by regular dedicated hygiene promotion_5]],WWWW[[#This Row],['# People received regular supply of hygiene items_6]])</f>
        <v>253</v>
      </c>
      <c r="CZ122" s="78">
        <f>IF(WWWW[[#This Row],[HRP3]]/WWWW[[#This Row],[Total PoP ]]&gt;100%,100%,WWWW[[#This Row],[HRP3]]/WWWW[[#This Row],[Total PoP ]])</f>
        <v>1</v>
      </c>
      <c r="DA122" s="82">
        <f>1-WWWW[[#This Row],[Hygiene Coverage%]]</f>
        <v>0</v>
      </c>
      <c r="DB122" s="81">
        <f>WWWW[[#This Row],['# people reached by regular dedicated hygiene promotion_5]]/WWWW[[#This Row],[Total PoP ]]</f>
        <v>1</v>
      </c>
      <c r="DC122" s="81">
        <f>IF(WWWW[[#This Row],['#_households that received standard amount of soap for this quarter]]/WWWW[[#This Row],[Total HH]]&gt;1,1,WWWW[[#This Row],['#_households that received standard amount of soap for this quarter]]/WWWW[[#This Row],[Total HH]])</f>
        <v>0</v>
      </c>
      <c r="DD122" s="81">
        <f>IF(WWWW[[#This Row],['#_households that received standard amount of sanitary pads for this quarter]]/WWWW[[#This Row],[Total HH]]&gt;1,1,WWWW[[#This Row],['#_households that received standard amount of sanitary pads for this quarter]]/WWWW[[#This Row],[Total HH]])</f>
        <v>0</v>
      </c>
      <c r="DE122" s="80">
        <f>WWWW[[#This Row],['#_Constructed/Existing hand washing stations]]-WWWW[[#This Row],['#_Non-Functional_hand_washing_stations]]</f>
        <v>3</v>
      </c>
      <c r="DF122" s="757">
        <f>IF(WWWW[[#This Row],['# Functional hand washing stations during reporting period]]*20&gt;WWWW[[#This Row],[Total HH]],WWWW[[#This Row],[Total HH]],WWWW[[#This Row],['# Functional hand washing stations during reporting period]]*20)</f>
        <v>54</v>
      </c>
      <c r="DG122" s="79">
        <f>IF(WWWW[[#This Row],[Is sufficient soap available for TLS? (Yes/No)]]="yes",WWWW[[#This Row],['#_Constructed/Existing hand washing stations at TLS]],0)</f>
        <v>0</v>
      </c>
      <c r="DH122" s="578">
        <f>IF(WWWW[[#This Row],['# Functional hand washing stations during reporting period]]*100&gt;WWWW[[#This Row],[Total PoP ]],WWWW[[#This Row],[Total PoP ]],WWWW[[#This Row],['# Functional hand washing stations during reporting period]]*100)</f>
        <v>253</v>
      </c>
      <c r="DI122" s="578" t="str">
        <f>IF(OR(WWWW[[#This Row],['#_students at TLS_CFS]]="",WWWW[[#This Row],['#_students at TLS_CFS]]=0),"No","Yes")</f>
        <v>No</v>
      </c>
      <c r="DJ122" s="231" t="str">
        <f>VLOOKUP(WWWW[[#This Row],[Site Name]],SiteDB6[[Site Name]:[CCCM Management]],6,FALSE)</f>
        <v>Yes</v>
      </c>
      <c r="DK122" s="231" t="str">
        <f>VLOOKUP(WWWW[[#This Row],[Site Name]],SiteDB6[[Site Name]:[CCCM Focal Agency]],7,FALSE)</f>
        <v>Shalom</v>
      </c>
      <c r="DL122" s="231" t="str">
        <f>VLOOKUP(WWWW[[#This Row],[Site Name]],SiteDB6[[Site Name]:[Location Type 1]],9,FALSE)</f>
        <v>Camp</v>
      </c>
      <c r="DM122" s="231" t="str">
        <f>VLOOKUP(WWWW[[#This Row],[Site Name]],SiteDB6[[Site Name]:[Type of Accommodation]],10,FALSE)</f>
        <v>Camp</v>
      </c>
      <c r="DN122" s="231" t="str">
        <f>VLOOKUP(WWWW[[#This Row],[Site Name]],SiteDB6[[Site Name]:[Ethnic or GCA/NGCA]],11,FALSE)</f>
        <v>GCA</v>
      </c>
      <c r="DO122" s="231">
        <f>VLOOKUP(WWWW[[#This Row],[Site Name]],SiteDB6[[Site Name]:[Lat]],12,FALSE)</f>
        <v>25.423209</v>
      </c>
      <c r="DP122" s="231">
        <f>VLOOKUP(WWWW[[#This Row],[Site Name]],SiteDB6[[Site Name]:[Long]],13,FALSE)</f>
        <v>97.379987</v>
      </c>
      <c r="DQ122" s="231" t="str">
        <f>VLOOKUP(WWWW[[#This Row],[Site Name]],SiteDB6[[Site Name]:[Pcode]],3,FALSE)</f>
        <v>MMR001CMP023</v>
      </c>
      <c r="DR122" s="207" t="str">
        <f t="shared" si="4"/>
        <v>Covered</v>
      </c>
      <c r="DS122" s="207"/>
      <c r="DT122" s="20"/>
      <c r="DU122" s="20"/>
      <c r="DV122" s="20"/>
      <c r="DW122" s="20"/>
      <c r="DX122" s="20"/>
      <c r="DY122" s="20"/>
      <c r="DZ122" s="20"/>
      <c r="EA122" s="20"/>
      <c r="EB122" s="20"/>
      <c r="EC122" s="20"/>
      <c r="ED122" s="20"/>
      <c r="EE122" s="20"/>
      <c r="EF122" s="20"/>
      <c r="EG122" s="20"/>
      <c r="EH122" s="20"/>
    </row>
    <row r="123" spans="1:138" ht="15.75" customHeight="1">
      <c r="A123" s="238" t="s">
        <v>2518</v>
      </c>
      <c r="B123" s="574" t="s">
        <v>250</v>
      </c>
      <c r="C123" s="574" t="s">
        <v>250</v>
      </c>
      <c r="D123" s="584" t="s">
        <v>315</v>
      </c>
      <c r="E123" s="574" t="s">
        <v>39</v>
      </c>
      <c r="F123" s="574" t="s">
        <v>167</v>
      </c>
      <c r="G123" s="574" t="str">
        <f>VLOOKUP(WWWW[[#This Row],[Site Name]],SiteDB6[[Site Name]:[Location Type]],8,FALSE)</f>
        <v>Camp</v>
      </c>
      <c r="H123" s="574" t="s">
        <v>275</v>
      </c>
      <c r="I123" s="583">
        <v>16</v>
      </c>
      <c r="J123" s="583">
        <v>77</v>
      </c>
      <c r="K123" s="553">
        <v>43313</v>
      </c>
      <c r="L123" s="58">
        <v>44043</v>
      </c>
      <c r="M123" s="583"/>
      <c r="N123" s="583">
        <v>1</v>
      </c>
      <c r="O123" s="583"/>
      <c r="P123" s="583"/>
      <c r="Q123" s="574" t="s">
        <v>43</v>
      </c>
      <c r="R123" s="310">
        <v>0</v>
      </c>
      <c r="S123" s="310">
        <v>3</v>
      </c>
      <c r="T123" s="310">
        <v>1</v>
      </c>
      <c r="U123" s="310"/>
      <c r="V123" s="310"/>
      <c r="W123" s="310">
        <v>3</v>
      </c>
      <c r="X123" s="310">
        <v>3</v>
      </c>
      <c r="Y123" s="310">
        <v>1</v>
      </c>
      <c r="Z123" s="310"/>
      <c r="AA123" s="310"/>
      <c r="AB123" s="310"/>
      <c r="AC123" s="310"/>
      <c r="AD123" s="310"/>
      <c r="AE123" s="310"/>
      <c r="AF123" s="310"/>
      <c r="AG123" s="310"/>
      <c r="AH123" s="310">
        <v>0</v>
      </c>
      <c r="AI123" s="310"/>
      <c r="AJ123" s="310"/>
      <c r="AK123" s="310"/>
      <c r="AL123" s="310"/>
      <c r="AM123" s="310"/>
      <c r="AN123" s="310"/>
      <c r="AO123" s="207"/>
      <c r="AP123" s="310">
        <v>7</v>
      </c>
      <c r="AQ123" s="310">
        <v>4</v>
      </c>
      <c r="AR123" s="574" t="s">
        <v>3109</v>
      </c>
      <c r="AS123" s="578">
        <v>1</v>
      </c>
      <c r="AT123" s="574">
        <v>1</v>
      </c>
      <c r="AU123" s="578">
        <v>2</v>
      </c>
      <c r="AV123" s="310"/>
      <c r="AW123" s="583"/>
      <c r="AX123" s="581" t="s">
        <v>43</v>
      </c>
      <c r="AY123" s="231" t="s">
        <v>1200</v>
      </c>
      <c r="AZ123" s="310"/>
      <c r="BA123" s="310"/>
      <c r="BB123" s="310"/>
      <c r="BC123" s="207"/>
      <c r="BD123" s="310">
        <v>2</v>
      </c>
      <c r="BE123" s="310">
        <v>0</v>
      </c>
      <c r="BF123" s="310">
        <v>0</v>
      </c>
      <c r="BG123" s="310">
        <v>2</v>
      </c>
      <c r="BH123" s="310">
        <v>0</v>
      </c>
      <c r="BI123" s="310">
        <v>0</v>
      </c>
      <c r="BJ123" s="310">
        <v>0</v>
      </c>
      <c r="BK123" s="310">
        <v>0</v>
      </c>
      <c r="BL123" s="310">
        <v>0</v>
      </c>
      <c r="BM123" s="207" t="s">
        <v>144</v>
      </c>
      <c r="BN123" s="79">
        <v>0</v>
      </c>
      <c r="BO123" s="81">
        <v>0</v>
      </c>
      <c r="BP123" s="207"/>
      <c r="BQ123" s="78" t="str">
        <f>IFERROR(WWWW[[#This Row],['#_Water sources treated]]/WWWW[[#This Row],['#_Water sources tested for contamination]],"no test")</f>
        <v>no test</v>
      </c>
      <c r="BR123" s="81" t="str">
        <f>IFERROR(WWWW[[#This Row],['#_Household received remediation action due to contamination]]/WWWW[[#This Row],['#_Household water samples tested for contamination]],"no test")</f>
        <v>no test</v>
      </c>
      <c r="BS123" s="80" t="str">
        <f>IF(AND(WWWW[[#This Row],[% of water sources treated]]="no test",WWWW[[#This Row],[% Household received corrective actions]]="no test"),"No Test","Tested")</f>
        <v>No Test</v>
      </c>
      <c r="BT123" s="80">
        <f>WWWW[[#This Row],['#_Constructed/existing protected hand dug well]]-WWWW[[#This Row],['#_Non-functional protected hand dug well]]</f>
        <v>1</v>
      </c>
      <c r="BU123" s="80">
        <f>(WWWW[[#This Row],['#_Constructed/Existing tube wells/boreholes/handpumps_WASH_agency]]+WWWW[[#This Row],['#_Non-Cluster partner water tube-wells/boreholes/handpumps]])-WWWW[[#This Row],['#_Non-functional tube wells/boreholes/handpumps]]</f>
        <v>5</v>
      </c>
      <c r="BV123" s="80">
        <f>WWWW[[#This Row],['#_Constructed/Existingwater storage tank with gravity fed reticulation system]]-WWWW[[#This Row],['#_Non-functional storage tank gravity fed reticulation system]]</f>
        <v>0</v>
      </c>
      <c r="BW123" s="80">
        <f>WWWW[[#This Row],['#_Water boating or water trucking]]</f>
        <v>0</v>
      </c>
      <c r="BX123" s="80">
        <f>WWWW[[#This Row],['#_Constructed/Existing water distribution system from river or natural spring]]</f>
        <v>0</v>
      </c>
      <c r="BY12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3" s="81">
        <f>IF(WWWW[[#This Row],[Location Type 1]]="Village",WWWW[[#This Row],[Access to safe drinking water for Village]],WWWW[[#This Row],[Access to safe drinking water for Camp]])</f>
        <v>1</v>
      </c>
      <c r="CB123" s="79">
        <f>WWWW[[#This Row],[%Equitable and continuous access to sufficient quantity of safe drinking water]]*WWWW[[#This Row],[Total PoP ]]</f>
        <v>77</v>
      </c>
      <c r="CC123" s="81">
        <f>IF((WWWW[[#This Row],['#_Constructed/Existing protected/fenced ponds]]*250)/WWWW[[#This Row],[Total PoP ]]&gt;1,1,(WWWW[[#This Row],['#_Constructed/Existing protected/fenced ponds]]*250)/WWWW[[#This Row],[Total PoP ]])</f>
        <v>0</v>
      </c>
      <c r="CD123" s="79">
        <f>WWWW[[#This Row],[% Access to unimproved water points]]*WWWW[[#This Row],[Total PoP ]]</f>
        <v>0</v>
      </c>
      <c r="CE12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G123" s="79">
        <f>WWWW[[#This Row],[HRP1]]/500</f>
        <v>0.154</v>
      </c>
      <c r="CH123" s="78">
        <f>1-WWWW[[#This Row],[% Equitable and continuous access to sufficient quantity of domestic water]]</f>
        <v>0</v>
      </c>
      <c r="CI123" s="79">
        <f>WWWW[[#This Row],[%equitable and continuous access to sufficient quantity of safe drinking and domestic water''s GAP]]*WWWW[[#This Row],[Total PoP ]]</f>
        <v>0</v>
      </c>
      <c r="CJ123" s="80">
        <f>IF(WWWW[[#This Row],[Total required water points]]-WWWW[[#This Row],['#Water points coverage]]&lt;0,0,WWWW[[#This Row],[Total required water points]]-WWWW[[#This Row],['#Water points coverage]])</f>
        <v>0.84599999999999997</v>
      </c>
      <c r="CK123" s="80">
        <f>ROUND(IF(WWWW[[#This Row],[Total PoP ]]&lt;500,1,WWWW[[#This Row],[Total PoP ]]/500),0)</f>
        <v>1</v>
      </c>
      <c r="CL123" s="80">
        <f>(WWWW[[#This Row],['#_Constructed latrines_by_WASHAgencies]]+WWWW[[#This Row],['#_Non Cluster partner latrines]])-WWWW[[#This Row],['#_Non-functional latrines]]</f>
        <v>10</v>
      </c>
      <c r="CM12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v>
      </c>
      <c r="CO12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23" s="80">
        <f>IF(WWWW[[#This Row],[Location Type 1]]="Village","NA",IF(WWWW[[#This Row],['#_Constructed/Existing latrines in TLS]]*50&gt;WWWW[[#This Row],['#_students at TLS_CFS]],WWWW[[#This Row],['#_students at TLS_CFS]],(WWWW[[#This Row],['#_Constructed/Existing latrines in TLS]]*50)))</f>
        <v>0</v>
      </c>
      <c r="CQ123" s="80">
        <f>ROUND(IF(WWWW[[#This Row],[Location Type 1]]="camp",WWWW[[#This Row],[Total PoP ]]/20,IF(WWWW[[#This Row],[Location Type 1]]="Temporary Location",WWWW[[#This Row],[Total PoP ]]/50,(WWWW[[#This Row],[Total PoP ]]/6))),0)</f>
        <v>4</v>
      </c>
      <c r="CR123" s="79">
        <f>IF(WWWW[[#This Row],[Total required Latrines]]-(WWWW[[#This Row],['#_Constructed latrines_by_WASHAgencies]]+WWWW[[#This Row],['#_Non Cluster partner latrines]])&lt;0,0,WWWW[[#This Row],[Total required Latrines]]-(WWWW[[#This Row],['#_Constructed latrines_by_WASHAgencies]]+WWWW[[#This Row],['#_Non Cluster partner latrines]]))</f>
        <v>0</v>
      </c>
      <c r="CS123" s="78">
        <f>1-WWWW[[#This Row],[% people access to functioning Latrine]]</f>
        <v>0</v>
      </c>
      <c r="CT123" s="82">
        <f>IF(OR(WWWW[[#This Row],['#_Non-functional latrines]]="",WWWW[[#This Row],['#_Non-functional latrines]]=0),0,WWWW[[#This Row],['#_Non-functional latrines]]/(WWWW[[#This Row],['#_Constructed latrines_by_WASHAgencies]]+WWWW[[#This Row],['#_Non Cluster partner latrines]]))</f>
        <v>9.0909090909090912E-2</v>
      </c>
      <c r="CU123" s="79">
        <f>IF(500*(WWWW[[#This Row],['#_male hygiene promoters]]+WWWW[[#This Row],['#_female hygiene promoters]])&gt;WWWW[[#This Row],[Total PoP ]],WWWW[[#This Row],[Total PoP ]],500*(WWWW[[#This Row],['#_male hygiene promoters]]+WWWW[[#This Row],['#_female hygiene promoters]]))</f>
        <v>0</v>
      </c>
      <c r="CV12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3" s="80">
        <f>IF(WWWW[[#This Row],['# People with access to soap]]&gt;WWWW[[#This Row],['# People with access to Sanity Pads]],WWWW[[#This Row],['# People with access to soap]],WWWW[[#This Row],['# People with access to Sanity Pads]])</f>
        <v>0</v>
      </c>
      <c r="CY123"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23" s="78">
        <f>IF(WWWW[[#This Row],[HRP3]]/WWWW[[#This Row],[Total PoP ]]&gt;100%,100%,WWWW[[#This Row],[HRP3]]/WWWW[[#This Row],[Total PoP ]])</f>
        <v>0</v>
      </c>
      <c r="DA123" s="82">
        <f>1-WWWW[[#This Row],[Hygiene Coverage%]]</f>
        <v>1</v>
      </c>
      <c r="DB123" s="81">
        <f>WWWW[[#This Row],['# people reached by regular dedicated hygiene promotion_5]]/WWWW[[#This Row],[Total PoP ]]</f>
        <v>0</v>
      </c>
      <c r="DC123" s="81">
        <f>IF(WWWW[[#This Row],['#_households that received standard amount of soap for this quarter]]/WWWW[[#This Row],[Total HH]]&gt;1,1,WWWW[[#This Row],['#_households that received standard amount of soap for this quarter]]/WWWW[[#This Row],[Total HH]])</f>
        <v>0</v>
      </c>
      <c r="DD123" s="81">
        <f>IF(WWWW[[#This Row],['#_households that received standard amount of sanitary pads for this quarter]]/WWWW[[#This Row],[Total HH]]&gt;1,1,WWWW[[#This Row],['#_households that received standard amount of sanitary pads for this quarter]]/WWWW[[#This Row],[Total HH]])</f>
        <v>0</v>
      </c>
      <c r="DE123" s="80">
        <f>WWWW[[#This Row],['#_Constructed/Existing hand washing stations]]-WWWW[[#This Row],['#_Non-Functional_hand_washing_stations]]</f>
        <v>2</v>
      </c>
      <c r="DF123" s="757">
        <f>IF(WWWW[[#This Row],['# Functional hand washing stations during reporting period]]*20&gt;WWWW[[#This Row],[Total HH]],WWWW[[#This Row],[Total HH]],WWWW[[#This Row],['# Functional hand washing stations during reporting period]]*20)</f>
        <v>16</v>
      </c>
      <c r="DG123" s="79">
        <f>IF(WWWW[[#This Row],[Is sufficient soap available for TLS? (Yes/No)]]="yes",WWWW[[#This Row],['#_Constructed/Existing hand washing stations at TLS]],0)</f>
        <v>0</v>
      </c>
      <c r="DH123" s="578">
        <f>IF(WWWW[[#This Row],['# Functional hand washing stations during reporting period]]*100&gt;WWWW[[#This Row],[Total PoP ]],WWWW[[#This Row],[Total PoP ]],WWWW[[#This Row],['# Functional hand washing stations during reporting period]]*100)</f>
        <v>77</v>
      </c>
      <c r="DI123" s="578" t="str">
        <f>IF(OR(WWWW[[#This Row],['#_students at TLS_CFS]]="",WWWW[[#This Row],['#_students at TLS_CFS]]=0),"No","Yes")</f>
        <v>No</v>
      </c>
      <c r="DJ123" s="231" t="str">
        <f>VLOOKUP(WWWW[[#This Row],[Site Name]],SiteDB6[[Site Name]:[CCCM Management]],6,FALSE)</f>
        <v>Yes</v>
      </c>
      <c r="DK123" s="231" t="str">
        <f>VLOOKUP(WWWW[[#This Row],[Site Name]],SiteDB6[[Site Name]:[CCCM Focal Agency]],7,FALSE)</f>
        <v>Shalom</v>
      </c>
      <c r="DL123" s="231" t="str">
        <f>VLOOKUP(WWWW[[#This Row],[Site Name]],SiteDB6[[Site Name]:[Location Type 1]],9,FALSE)</f>
        <v>Camp</v>
      </c>
      <c r="DM123" s="231" t="str">
        <f>VLOOKUP(WWWW[[#This Row],[Site Name]],SiteDB6[[Site Name]:[Type of Accommodation]],10,FALSE)</f>
        <v>Camp</v>
      </c>
      <c r="DN123" s="231" t="str">
        <f>VLOOKUP(WWWW[[#This Row],[Site Name]],SiteDB6[[Site Name]:[Ethnic or GCA/NGCA]],11,FALSE)</f>
        <v>GCA</v>
      </c>
      <c r="DO123" s="231">
        <f>VLOOKUP(WWWW[[#This Row],[Site Name]],SiteDB6[[Site Name]:[Lat]],12,FALSE)</f>
        <v>25.417733999999999</v>
      </c>
      <c r="DP123" s="231">
        <f>VLOOKUP(WWWW[[#This Row],[Site Name]],SiteDB6[[Site Name]:[Long]],13,FALSE)</f>
        <v>97.389778000000007</v>
      </c>
      <c r="DQ123" s="231" t="str">
        <f>VLOOKUP(WWWW[[#This Row],[Site Name]],SiteDB6[[Site Name]:[Pcode]],3,FALSE)</f>
        <v>MMR001CMP004</v>
      </c>
      <c r="DR123" s="207" t="str">
        <f t="shared" si="4"/>
        <v>Covered</v>
      </c>
      <c r="DS123" s="207"/>
      <c r="DT123" s="20"/>
      <c r="DU123" s="20"/>
      <c r="DV123" s="20"/>
      <c r="DW123" s="20"/>
      <c r="DX123" s="20"/>
      <c r="DY123" s="20"/>
      <c r="DZ123" s="20"/>
      <c r="EA123" s="20"/>
      <c r="EB123" s="20"/>
      <c r="EC123" s="20"/>
      <c r="ED123" s="20"/>
      <c r="EE123" s="20"/>
      <c r="EF123" s="20"/>
      <c r="EG123" s="20"/>
      <c r="EH123" s="20"/>
    </row>
    <row r="124" spans="1:138" ht="15.75" customHeight="1">
      <c r="A124" s="238" t="s">
        <v>2518</v>
      </c>
      <c r="B124" s="238" t="s">
        <v>149</v>
      </c>
      <c r="C124" s="574" t="s">
        <v>149</v>
      </c>
      <c r="D124" s="574" t="s">
        <v>152</v>
      </c>
      <c r="E124" s="574" t="s">
        <v>39</v>
      </c>
      <c r="F124" s="574" t="s">
        <v>167</v>
      </c>
      <c r="G124" s="574" t="str">
        <f>VLOOKUP(WWWW[[#This Row],[Site Name]],SiteDB6[[Site Name]:[Location Type]],8,FALSE)</f>
        <v>Camp</v>
      </c>
      <c r="H124" s="574" t="s">
        <v>175</v>
      </c>
      <c r="I124" s="583">
        <v>67</v>
      </c>
      <c r="J124" s="583">
        <v>281</v>
      </c>
      <c r="K124" s="553">
        <v>43556</v>
      </c>
      <c r="L124" s="77">
        <v>43677</v>
      </c>
      <c r="M124" s="583"/>
      <c r="N124" s="583"/>
      <c r="O124" s="583"/>
      <c r="P124" s="583"/>
      <c r="Q124" s="574" t="s">
        <v>43</v>
      </c>
      <c r="R124" s="310"/>
      <c r="S124" s="310"/>
      <c r="T124" s="583">
        <v>1</v>
      </c>
      <c r="U124" s="310"/>
      <c r="V124" s="310"/>
      <c r="W124" s="583">
        <v>2</v>
      </c>
      <c r="X124" s="310"/>
      <c r="Y124" s="310"/>
      <c r="Z124" s="310"/>
      <c r="AA124" s="310"/>
      <c r="AB124" s="310"/>
      <c r="AC124" s="310"/>
      <c r="AD124" s="310"/>
      <c r="AE124" s="310"/>
      <c r="AF124" s="310"/>
      <c r="AG124" s="310"/>
      <c r="AH124" s="583">
        <v>3</v>
      </c>
      <c r="AI124" s="310"/>
      <c r="AJ124" s="310"/>
      <c r="AK124" s="310"/>
      <c r="AL124" s="310"/>
      <c r="AM124" s="310"/>
      <c r="AN124" s="310"/>
      <c r="AO124" s="207"/>
      <c r="AP124" s="583">
        <v>15</v>
      </c>
      <c r="AQ124" s="310"/>
      <c r="AR124" s="76"/>
      <c r="AS124" s="310"/>
      <c r="AT124" s="310"/>
      <c r="AU124" s="310">
        <v>0</v>
      </c>
      <c r="AV124" s="310"/>
      <c r="AW124" s="583">
        <v>15</v>
      </c>
      <c r="AX124" s="231" t="s">
        <v>43</v>
      </c>
      <c r="AY124" s="231" t="s">
        <v>145</v>
      </c>
      <c r="AZ124" s="310"/>
      <c r="BA124" s="310"/>
      <c r="BB124" s="310"/>
      <c r="BC124" s="207"/>
      <c r="BD124" s="310"/>
      <c r="BE124" s="310"/>
      <c r="BF124" s="310"/>
      <c r="BG124" s="310">
        <v>2</v>
      </c>
      <c r="BH124" s="310"/>
      <c r="BI124" s="310"/>
      <c r="BJ124" s="310">
        <v>1</v>
      </c>
      <c r="BK124" s="310"/>
      <c r="BL124" s="310"/>
      <c r="BM124" s="207"/>
      <c r="BN124" s="79"/>
      <c r="BO124" s="81"/>
      <c r="BP124" s="207"/>
      <c r="BQ124" s="78" t="str">
        <f>IFERROR(WWWW[[#This Row],['#_Water sources treated]]/WWWW[[#This Row],['#_Water sources tested for contamination]],"no test")</f>
        <v>no test</v>
      </c>
      <c r="BR124" s="81" t="str">
        <f>IFERROR(WWWW[[#This Row],['#_Household received remediation action due to contamination]]/WWWW[[#This Row],['#_Household water samples tested for contamination]],"no test")</f>
        <v>no test</v>
      </c>
      <c r="BS124" s="80" t="str">
        <f>IF(AND(WWWW[[#This Row],[% of water sources treated]]="no test",WWWW[[#This Row],[% Household received corrective actions]]="no test"),"No Test","Tested")</f>
        <v>No Test</v>
      </c>
      <c r="BT124" s="80">
        <f>WWWW[[#This Row],['#_Constructed/existing protected hand dug well]]-WWWW[[#This Row],['#_Non-functional protected hand dug well]]</f>
        <v>1</v>
      </c>
      <c r="BU124" s="80">
        <f>(WWWW[[#This Row],['#_Constructed/Existing tube wells/boreholes/handpumps_WASH_agency]]+WWWW[[#This Row],['#_Non-Cluster partner water tube-wells/boreholes/handpumps]])-WWWW[[#This Row],['#_Non-functional tube wells/boreholes/handpumps]]</f>
        <v>2</v>
      </c>
      <c r="BV124" s="80">
        <f>WWWW[[#This Row],['#_Constructed/Existingwater storage tank with gravity fed reticulation system]]-WWWW[[#This Row],['#_Non-functional storage tank gravity fed reticulation system]]</f>
        <v>0</v>
      </c>
      <c r="BW124" s="80">
        <f>WWWW[[#This Row],['#_Water boating or water trucking]]</f>
        <v>0</v>
      </c>
      <c r="BX124" s="80">
        <f>WWWW[[#This Row],['#_Constructed/Existing water distribution system from river or natural spring]]</f>
        <v>0</v>
      </c>
      <c r="BY12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4" s="81">
        <f>IF(WWWW[[#This Row],[Location Type 1]]="Village",WWWW[[#This Row],[Access to safe drinking water for Village]],WWWW[[#This Row],[Access to safe drinking water for Camp]])</f>
        <v>1</v>
      </c>
      <c r="CB124" s="79">
        <f>WWWW[[#This Row],[%Equitable and continuous access to sufficient quantity of safe drinking water]]*WWWW[[#This Row],[Total PoP ]]</f>
        <v>281</v>
      </c>
      <c r="CC124" s="81">
        <f>IF((WWWW[[#This Row],['#_Constructed/Existing protected/fenced ponds]]*250)/WWWW[[#This Row],[Total PoP ]]&gt;1,1,(WWWW[[#This Row],['#_Constructed/Existing protected/fenced ponds]]*250)/WWWW[[#This Row],[Total PoP ]])</f>
        <v>0</v>
      </c>
      <c r="CD124" s="79">
        <f>WWWW[[#This Row],[% Access to unimproved water points]]*WWWW[[#This Row],[Total PoP ]]</f>
        <v>0</v>
      </c>
      <c r="CE12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G124" s="79">
        <f>WWWW[[#This Row],[HRP1]]/500</f>
        <v>0.56200000000000006</v>
      </c>
      <c r="CH124" s="78">
        <f>1-WWWW[[#This Row],[% Equitable and continuous access to sufficient quantity of domestic water]]</f>
        <v>0</v>
      </c>
      <c r="CI124" s="79">
        <f>WWWW[[#This Row],[%equitable and continuous access to sufficient quantity of safe drinking and domestic water''s GAP]]*WWWW[[#This Row],[Total PoP ]]</f>
        <v>0</v>
      </c>
      <c r="CJ124" s="80">
        <f>IF(WWWW[[#This Row],[Total required water points]]-WWWW[[#This Row],['#Water points coverage]]&lt;0,0,WWWW[[#This Row],[Total required water points]]-WWWW[[#This Row],['#Water points coverage]])</f>
        <v>0.43799999999999994</v>
      </c>
      <c r="CK124" s="80">
        <f>ROUND(IF(WWWW[[#This Row],[Total PoP ]]&lt;500,1,WWWW[[#This Row],[Total PoP ]]/500),0)</f>
        <v>1</v>
      </c>
      <c r="CL124" s="80">
        <f>(WWWW[[#This Row],['#_Constructed latrines_by_WASHAgencies]]+WWWW[[#This Row],['#_Non Cluster partner latrines]])-WWWW[[#This Row],['#_Non-functional latrines]]</f>
        <v>15</v>
      </c>
      <c r="CM12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281</v>
      </c>
      <c r="CO12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4" s="80">
        <f>IF(WWWW[[#This Row],[Location Type 1]]="Village","NA",IF(WWWW[[#This Row],['#_Constructed/Existing latrines in TLS]]*50&gt;WWWW[[#This Row],['#_students at TLS_CFS]],WWWW[[#This Row],['#_students at TLS_CFS]],(WWWW[[#This Row],['#_Constructed/Existing latrines in TLS]]*50)))</f>
        <v>0</v>
      </c>
      <c r="CQ124" s="80">
        <f>ROUND(IF(WWWW[[#This Row],[Location Type 1]]="camp",WWWW[[#This Row],[Total PoP ]]/20,IF(WWWW[[#This Row],[Location Type 1]]="Temporary Location",WWWW[[#This Row],[Total PoP ]]/50,(WWWW[[#This Row],[Total PoP ]]/6))),0)</f>
        <v>14</v>
      </c>
      <c r="CR124" s="79">
        <f>IF(WWWW[[#This Row],[Total required Latrines]]-(WWWW[[#This Row],['#_Constructed latrines_by_WASHAgencies]]+WWWW[[#This Row],['#_Non Cluster partner latrines]])&lt;0,0,WWWW[[#This Row],[Total required Latrines]]-(WWWW[[#This Row],['#_Constructed latrines_by_WASHAgencies]]+WWWW[[#This Row],['#_Non Cluster partner latrines]]))</f>
        <v>0</v>
      </c>
      <c r="CS124" s="78">
        <f>1-WWWW[[#This Row],[% people access to functioning Latrine]]</f>
        <v>0</v>
      </c>
      <c r="CT124" s="82">
        <f>IF(OR(WWWW[[#This Row],['#_Non-functional latrines]]="",WWWW[[#This Row],['#_Non-functional latrines]]=0),0,WWWW[[#This Row],['#_Non-functional latrines]]/(WWWW[[#This Row],['#_Constructed latrines_by_WASHAgencies]]+WWWW[[#This Row],['#_Non Cluster partner latrines]]))</f>
        <v>0</v>
      </c>
      <c r="CU124" s="79">
        <f>IF(500*(WWWW[[#This Row],['#_male hygiene promoters]]+WWWW[[#This Row],['#_female hygiene promoters]])&gt;WWWW[[#This Row],[Total PoP ]],WWWW[[#This Row],[Total PoP ]],500*(WWWW[[#This Row],['#_male hygiene promoters]]+WWWW[[#This Row],['#_female hygiene promoters]]))</f>
        <v>281</v>
      </c>
      <c r="CV12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4" s="80">
        <f>IF(WWWW[[#This Row],['# People with access to soap]]&gt;WWWW[[#This Row],['# People with access to Sanity Pads]],WWWW[[#This Row],['# People with access to soap]],WWWW[[#This Row],['# People with access to Sanity Pads]])</f>
        <v>0</v>
      </c>
      <c r="CY124" s="80">
        <f>IF(WWWW[[#This Row],['# people reached by regular dedicated hygiene promotion_5]]&gt;WWWW[[#This Row],['# People received regular supply of hygiene items_6]],WWWW[[#This Row],['# people reached by regular dedicated hygiene promotion_5]],WWWW[[#This Row],['# People received regular supply of hygiene items_6]])</f>
        <v>281</v>
      </c>
      <c r="CZ124" s="78">
        <f>IF(WWWW[[#This Row],[HRP3]]/WWWW[[#This Row],[Total PoP ]]&gt;100%,100%,WWWW[[#This Row],[HRP3]]/WWWW[[#This Row],[Total PoP ]])</f>
        <v>1</v>
      </c>
      <c r="DA124" s="82">
        <f>1-WWWW[[#This Row],[Hygiene Coverage%]]</f>
        <v>0</v>
      </c>
      <c r="DB124" s="81">
        <f>WWWW[[#This Row],['# people reached by regular dedicated hygiene promotion_5]]/WWWW[[#This Row],[Total PoP ]]</f>
        <v>1</v>
      </c>
      <c r="DC124" s="81">
        <f>IF(WWWW[[#This Row],['#_households that received standard amount of soap for this quarter]]/WWWW[[#This Row],[Total HH]]&gt;1,1,WWWW[[#This Row],['#_households that received standard amount of soap for this quarter]]/WWWW[[#This Row],[Total HH]])</f>
        <v>0</v>
      </c>
      <c r="DD124" s="81">
        <f>IF(WWWW[[#This Row],['#_households that received standard amount of sanitary pads for this quarter]]/WWWW[[#This Row],[Total HH]]&gt;1,1,WWWW[[#This Row],['#_households that received standard amount of sanitary pads for this quarter]]/WWWW[[#This Row],[Total HH]])</f>
        <v>0</v>
      </c>
      <c r="DE124" s="80">
        <f>WWWW[[#This Row],['#_Constructed/Existing hand washing stations]]-WWWW[[#This Row],['#_Non-Functional_hand_washing_stations]]</f>
        <v>0</v>
      </c>
      <c r="DF124" s="757">
        <f>IF(WWWW[[#This Row],['# Functional hand washing stations during reporting period]]*20&gt;WWWW[[#This Row],[Total HH]],WWWW[[#This Row],[Total HH]],WWWW[[#This Row],['# Functional hand washing stations during reporting period]]*20)</f>
        <v>0</v>
      </c>
      <c r="DG124" s="79">
        <f>IF(WWWW[[#This Row],[Is sufficient soap available for TLS? (Yes/No)]]="yes",WWWW[[#This Row],['#_Constructed/Existing hand washing stations at TLS]],0)</f>
        <v>0</v>
      </c>
      <c r="DH124" s="578">
        <f>IF(WWWW[[#This Row],['# Functional hand washing stations during reporting period]]*100&gt;WWWW[[#This Row],[Total PoP ]],WWWW[[#This Row],[Total PoP ]],WWWW[[#This Row],['# Functional hand washing stations during reporting period]]*100)</f>
        <v>0</v>
      </c>
      <c r="DI124" s="578" t="str">
        <f>IF(OR(WWWW[[#This Row],['#_students at TLS_CFS]]="",WWWW[[#This Row],['#_students at TLS_CFS]]=0),"No","Yes")</f>
        <v>No</v>
      </c>
      <c r="DJ124" s="231" t="str">
        <f>VLOOKUP(WWWW[[#This Row],[Site Name]],SiteDB6[[Site Name]:[CCCM Management]],6,FALSE)</f>
        <v>Yes</v>
      </c>
      <c r="DK124" s="231" t="str">
        <f>VLOOKUP(WWWW[[#This Row],[Site Name]],SiteDB6[[Site Name]:[CCCM Focal Agency]],7,FALSE)</f>
        <v>KBC-MYT</v>
      </c>
      <c r="DL124" s="231" t="str">
        <f>VLOOKUP(WWWW[[#This Row],[Site Name]],SiteDB6[[Site Name]:[Location Type 1]],9,FALSE)</f>
        <v>Camp</v>
      </c>
      <c r="DM124" s="231" t="str">
        <f>VLOOKUP(WWWW[[#This Row],[Site Name]],SiteDB6[[Site Name]:[Type of Accommodation]],10,FALSE)</f>
        <v>Camp</v>
      </c>
      <c r="DN124" s="231" t="str">
        <f>VLOOKUP(WWWW[[#This Row],[Site Name]],SiteDB6[[Site Name]:[Ethnic or GCA/NGCA]],11,FALSE)</f>
        <v>GCA</v>
      </c>
      <c r="DO124" s="231">
        <f>VLOOKUP(WWWW[[#This Row],[Site Name]],SiteDB6[[Site Name]:[Lat]],12,FALSE)</f>
        <v>25.422194000000001</v>
      </c>
      <c r="DP124" s="231">
        <f>VLOOKUP(WWWW[[#This Row],[Site Name]],SiteDB6[[Site Name]:[Long]],13,FALSE)</f>
        <v>97.394547000000003</v>
      </c>
      <c r="DQ124" s="231" t="str">
        <f>VLOOKUP(WWWW[[#This Row],[Site Name]],SiteDB6[[Site Name]:[Pcode]],3,FALSE)</f>
        <v>MMR001CMP002</v>
      </c>
      <c r="DR124" s="207" t="str">
        <f t="shared" si="4"/>
        <v>Covered</v>
      </c>
      <c r="DS124" s="207"/>
      <c r="DT124" s="20"/>
      <c r="DU124" s="20"/>
      <c r="DV124" s="20"/>
      <c r="DW124" s="20"/>
      <c r="DX124" s="20"/>
      <c r="DY124" s="20"/>
      <c r="DZ124" s="20"/>
      <c r="EA124" s="20"/>
      <c r="EB124" s="20"/>
      <c r="EC124" s="20"/>
      <c r="ED124" s="20"/>
      <c r="EE124" s="20"/>
      <c r="EF124" s="20"/>
      <c r="EG124" s="20"/>
      <c r="EH124" s="20"/>
    </row>
    <row r="125" spans="1:138" ht="15.75" customHeight="1">
      <c r="A125" s="238" t="s">
        <v>2518</v>
      </c>
      <c r="B125" s="238" t="s">
        <v>149</v>
      </c>
      <c r="C125" s="574" t="s">
        <v>149</v>
      </c>
      <c r="D125" s="584" t="s">
        <v>158</v>
      </c>
      <c r="E125" s="574" t="s">
        <v>39</v>
      </c>
      <c r="F125" s="574" t="s">
        <v>150</v>
      </c>
      <c r="G125" s="574" t="str">
        <f>VLOOKUP(WWWW[[#This Row],[Site Name]],SiteDB6[[Site Name]:[Location Type]],8,FALSE)</f>
        <v>Camp</v>
      </c>
      <c r="H125" s="574" t="s">
        <v>188</v>
      </c>
      <c r="I125" s="583">
        <v>178</v>
      </c>
      <c r="J125" s="583">
        <v>846</v>
      </c>
      <c r="K125" s="553">
        <v>43556</v>
      </c>
      <c r="L125" s="77">
        <v>43677</v>
      </c>
      <c r="M125" s="583"/>
      <c r="N125" s="583"/>
      <c r="O125" s="583"/>
      <c r="P125" s="583"/>
      <c r="Q125" s="574" t="s">
        <v>43</v>
      </c>
      <c r="R125" s="310"/>
      <c r="S125" s="310"/>
      <c r="T125" s="583">
        <v>0</v>
      </c>
      <c r="U125" s="310"/>
      <c r="V125" s="310"/>
      <c r="W125" s="583">
        <v>0</v>
      </c>
      <c r="X125" s="310"/>
      <c r="Y125" s="310"/>
      <c r="Z125" s="310"/>
      <c r="AA125" s="310">
        <v>3</v>
      </c>
      <c r="AB125" s="310"/>
      <c r="AC125" s="310"/>
      <c r="AD125" s="310"/>
      <c r="AE125" s="310"/>
      <c r="AF125" s="310"/>
      <c r="AG125" s="310"/>
      <c r="AH125" s="583">
        <v>0</v>
      </c>
      <c r="AI125" s="310"/>
      <c r="AJ125" s="310"/>
      <c r="AK125" s="310"/>
      <c r="AL125" s="310"/>
      <c r="AM125" s="310"/>
      <c r="AN125" s="310"/>
      <c r="AO125" s="207"/>
      <c r="AP125" s="583">
        <v>150</v>
      </c>
      <c r="AQ125" s="310"/>
      <c r="AR125" s="76"/>
      <c r="AS125" s="310"/>
      <c r="AT125" s="310"/>
      <c r="AU125" s="310"/>
      <c r="AV125" s="310"/>
      <c r="AW125" s="583">
        <v>150</v>
      </c>
      <c r="AX125" s="231" t="s">
        <v>43</v>
      </c>
      <c r="AY125" s="231" t="s">
        <v>145</v>
      </c>
      <c r="AZ125" s="310"/>
      <c r="BA125" s="310"/>
      <c r="BB125" s="310"/>
      <c r="BC125" s="207"/>
      <c r="BD125" s="310"/>
      <c r="BE125" s="310"/>
      <c r="BF125" s="310"/>
      <c r="BG125" s="310">
        <v>4</v>
      </c>
      <c r="BH125" s="310"/>
      <c r="BI125" s="310"/>
      <c r="BJ125" s="310">
        <v>3</v>
      </c>
      <c r="BK125" s="310"/>
      <c r="BL125" s="310"/>
      <c r="BM125" s="207"/>
      <c r="BN125" s="79"/>
      <c r="BO125" s="81"/>
      <c r="BP125" s="207"/>
      <c r="BQ125" s="78" t="str">
        <f>IFERROR(WWWW[[#This Row],['#_Water sources treated]]/WWWW[[#This Row],['#_Water sources tested for contamination]],"no test")</f>
        <v>no test</v>
      </c>
      <c r="BR125" s="81" t="str">
        <f>IFERROR(WWWW[[#This Row],['#_Household received remediation action due to contamination]]/WWWW[[#This Row],['#_Household water samples tested for contamination]],"no test")</f>
        <v>no test</v>
      </c>
      <c r="BS125" s="80" t="str">
        <f>IF(AND(WWWW[[#This Row],[% of water sources treated]]="no test",WWWW[[#This Row],[% Household received corrective actions]]="no test"),"No Test","Tested")</f>
        <v>No Test</v>
      </c>
      <c r="BT125" s="80">
        <f>WWWW[[#This Row],['#_Constructed/existing protected hand dug well]]-WWWW[[#This Row],['#_Non-functional protected hand dug well]]</f>
        <v>0</v>
      </c>
      <c r="BU125" s="80">
        <f>(WWWW[[#This Row],['#_Constructed/Existing tube wells/boreholes/handpumps_WASH_agency]]+WWWW[[#This Row],['#_Non-Cluster partner water tube-wells/boreholes/handpumps]])-WWWW[[#This Row],['#_Non-functional tube wells/boreholes/handpumps]]</f>
        <v>0</v>
      </c>
      <c r="BV125" s="80">
        <f>WWWW[[#This Row],['#_Constructed/Existingwater storage tank with gravity fed reticulation system]]-WWWW[[#This Row],['#_Non-functional storage tank gravity fed reticulation system]]</f>
        <v>3</v>
      </c>
      <c r="BW125" s="80">
        <f>WWWW[[#This Row],['#_Water boating or water trucking]]</f>
        <v>0</v>
      </c>
      <c r="BX125" s="80">
        <f>WWWW[[#This Row],['#_Constructed/Existing water distribution system from river or natural spring]]</f>
        <v>0</v>
      </c>
      <c r="BY12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0.2364066193853428</v>
      </c>
      <c r="BZ12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0.2364066193853428</v>
      </c>
      <c r="CA125" s="81">
        <f>IF(WWWW[[#This Row],[Location Type 1]]="Village",WWWW[[#This Row],[Access to safe drinking water for Village]],WWWW[[#This Row],[Access to safe drinking water for Camp]])</f>
        <v>0.2364066193853428</v>
      </c>
      <c r="CB125" s="79">
        <f>WWWW[[#This Row],[%Equitable and continuous access to sufficient quantity of safe drinking water]]*WWWW[[#This Row],[Total PoP ]]</f>
        <v>200</v>
      </c>
      <c r="CC125" s="81">
        <f>IF((WWWW[[#This Row],['#_Constructed/Existing protected/fenced ponds]]*250)/WWWW[[#This Row],[Total PoP ]]&gt;1,1,(WWWW[[#This Row],['#_Constructed/Existing protected/fenced ponds]]*250)/WWWW[[#This Row],[Total PoP ]])</f>
        <v>0</v>
      </c>
      <c r="CD125" s="79">
        <f>WWWW[[#This Row],[% Access to unimproved water points]]*WWWW[[#This Row],[Total PoP ]]</f>
        <v>0</v>
      </c>
      <c r="CE12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F12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G125" s="79">
        <f>WWWW[[#This Row],[HRP1]]/500</f>
        <v>0.4</v>
      </c>
      <c r="CH125" s="78">
        <f>1-WWWW[[#This Row],[% Equitable and continuous access to sufficient quantity of domestic water]]</f>
        <v>0.7635933806146572</v>
      </c>
      <c r="CI125" s="79">
        <f>WWWW[[#This Row],[%equitable and continuous access to sufficient quantity of safe drinking and domestic water''s GAP]]*WWWW[[#This Row],[Total PoP ]]</f>
        <v>646</v>
      </c>
      <c r="CJ125" s="80">
        <f>IF(WWWW[[#This Row],[Total required water points]]-WWWW[[#This Row],['#Water points coverage]]&lt;0,0,WWWW[[#This Row],[Total required water points]]-WWWW[[#This Row],['#Water points coverage]])</f>
        <v>1.6</v>
      </c>
      <c r="CK125" s="80">
        <f>ROUND(IF(WWWW[[#This Row],[Total PoP ]]&lt;500,1,WWWW[[#This Row],[Total PoP ]]/500),0)</f>
        <v>2</v>
      </c>
      <c r="CL125" s="80">
        <f>(WWWW[[#This Row],['#_Constructed latrines_by_WASHAgencies]]+WWWW[[#This Row],['#_Non Cluster partner latrines]])-WWWW[[#This Row],['#_Non-functional latrines]]</f>
        <v>150</v>
      </c>
      <c r="CM12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846</v>
      </c>
      <c r="CO12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5" s="80">
        <f>IF(WWWW[[#This Row],[Location Type 1]]="Village","NA",IF(WWWW[[#This Row],['#_Constructed/Existing latrines in TLS]]*50&gt;WWWW[[#This Row],['#_students at TLS_CFS]],WWWW[[#This Row],['#_students at TLS_CFS]],(WWWW[[#This Row],['#_Constructed/Existing latrines in TLS]]*50)))</f>
        <v>0</v>
      </c>
      <c r="CQ125" s="80">
        <f>ROUND(IF(WWWW[[#This Row],[Location Type 1]]="camp",WWWW[[#This Row],[Total PoP ]]/20,IF(WWWW[[#This Row],[Location Type 1]]="Temporary Location",WWWW[[#This Row],[Total PoP ]]/50,(WWWW[[#This Row],[Total PoP ]]/6))),0)</f>
        <v>141</v>
      </c>
      <c r="CR125" s="79">
        <f>IF(WWWW[[#This Row],[Total required Latrines]]-(WWWW[[#This Row],['#_Constructed latrines_by_WASHAgencies]]+WWWW[[#This Row],['#_Non Cluster partner latrines]])&lt;0,0,WWWW[[#This Row],[Total required Latrines]]-(WWWW[[#This Row],['#_Constructed latrines_by_WASHAgencies]]+WWWW[[#This Row],['#_Non Cluster partner latrines]]))</f>
        <v>0</v>
      </c>
      <c r="CS125" s="78">
        <f>1-WWWW[[#This Row],[% people access to functioning Latrine]]</f>
        <v>0</v>
      </c>
      <c r="CT125" s="82">
        <f>IF(OR(WWWW[[#This Row],['#_Non-functional latrines]]="",WWWW[[#This Row],['#_Non-functional latrines]]=0),0,WWWW[[#This Row],['#_Non-functional latrines]]/(WWWW[[#This Row],['#_Constructed latrines_by_WASHAgencies]]+WWWW[[#This Row],['#_Non Cluster partner latrines]]))</f>
        <v>0</v>
      </c>
      <c r="CU125" s="79">
        <f>IF(500*(WWWW[[#This Row],['#_male hygiene promoters]]+WWWW[[#This Row],['#_female hygiene promoters]])&gt;WWWW[[#This Row],[Total PoP ]],WWWW[[#This Row],[Total PoP ]],500*(WWWW[[#This Row],['#_male hygiene promoters]]+WWWW[[#This Row],['#_female hygiene promoters]]))</f>
        <v>846</v>
      </c>
      <c r="CV12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5" s="80">
        <f>IF(WWWW[[#This Row],['# People with access to soap]]&gt;WWWW[[#This Row],['# People with access to Sanity Pads]],WWWW[[#This Row],['# People with access to soap]],WWWW[[#This Row],['# People with access to Sanity Pads]])</f>
        <v>0</v>
      </c>
      <c r="CY125" s="80">
        <f>IF(WWWW[[#This Row],['# people reached by regular dedicated hygiene promotion_5]]&gt;WWWW[[#This Row],['# People received regular supply of hygiene items_6]],WWWW[[#This Row],['# people reached by regular dedicated hygiene promotion_5]],WWWW[[#This Row],['# People received regular supply of hygiene items_6]])</f>
        <v>846</v>
      </c>
      <c r="CZ125" s="78">
        <f>IF(WWWW[[#This Row],[HRP3]]/WWWW[[#This Row],[Total PoP ]]&gt;100%,100%,WWWW[[#This Row],[HRP3]]/WWWW[[#This Row],[Total PoP ]])</f>
        <v>1</v>
      </c>
      <c r="DA125" s="82">
        <f>1-WWWW[[#This Row],[Hygiene Coverage%]]</f>
        <v>0</v>
      </c>
      <c r="DB125" s="81">
        <f>WWWW[[#This Row],['# people reached by regular dedicated hygiene promotion_5]]/WWWW[[#This Row],[Total PoP ]]</f>
        <v>1</v>
      </c>
      <c r="DC125" s="81">
        <f>IF(WWWW[[#This Row],['#_households that received standard amount of soap for this quarter]]/WWWW[[#This Row],[Total HH]]&gt;1,1,WWWW[[#This Row],['#_households that received standard amount of soap for this quarter]]/WWWW[[#This Row],[Total HH]])</f>
        <v>0</v>
      </c>
      <c r="DD125" s="81">
        <f>IF(WWWW[[#This Row],['#_households that received standard amount of sanitary pads for this quarter]]/WWWW[[#This Row],[Total HH]]&gt;1,1,WWWW[[#This Row],['#_households that received standard amount of sanitary pads for this quarter]]/WWWW[[#This Row],[Total HH]])</f>
        <v>0</v>
      </c>
      <c r="DE125" s="80">
        <f>WWWW[[#This Row],['#_Constructed/Existing hand washing stations]]-WWWW[[#This Row],['#_Non-Functional_hand_washing_stations]]</f>
        <v>0</v>
      </c>
      <c r="DF125" s="757">
        <f>IF(WWWW[[#This Row],['# Functional hand washing stations during reporting period]]*20&gt;WWWW[[#This Row],[Total HH]],WWWW[[#This Row],[Total HH]],WWWW[[#This Row],['# Functional hand washing stations during reporting period]]*20)</f>
        <v>0</v>
      </c>
      <c r="DG125" s="79">
        <f>IF(WWWW[[#This Row],[Is sufficient soap available for TLS? (Yes/No)]]="yes",WWWW[[#This Row],['#_Constructed/Existing hand washing stations at TLS]],0)</f>
        <v>0</v>
      </c>
      <c r="DH125" s="578">
        <f>IF(WWWW[[#This Row],['# Functional hand washing stations during reporting period]]*100&gt;WWWW[[#This Row],[Total PoP ]],WWWW[[#This Row],[Total PoP ]],WWWW[[#This Row],['# Functional hand washing stations during reporting period]]*100)</f>
        <v>0</v>
      </c>
      <c r="DI125" s="578" t="str">
        <f>IF(OR(WWWW[[#This Row],['#_students at TLS_CFS]]="",WWWW[[#This Row],['#_students at TLS_CFS]]=0),"No","Yes")</f>
        <v>No</v>
      </c>
      <c r="DJ125" s="231" t="str">
        <f>VLOOKUP(WWWW[[#This Row],[Site Name]],SiteDB6[[Site Name]:[CCCM Management]],6,FALSE)</f>
        <v>Yes</v>
      </c>
      <c r="DK125" s="231" t="str">
        <f>VLOOKUP(WWWW[[#This Row],[Site Name]],SiteDB6[[Site Name]:[CCCM Focal Agency]],7,FALSE)</f>
        <v>KBC-MYT</v>
      </c>
      <c r="DL125" s="231" t="str">
        <f>VLOOKUP(WWWW[[#This Row],[Site Name]],SiteDB6[[Site Name]:[Location Type 1]],9,FALSE)</f>
        <v>Village Type Camp</v>
      </c>
      <c r="DM125" s="231" t="str">
        <f>VLOOKUP(WWWW[[#This Row],[Site Name]],SiteDB6[[Site Name]:[Type of Accommodation]],10,FALSE)</f>
        <v>Camp</v>
      </c>
      <c r="DN125" s="231" t="str">
        <f>VLOOKUP(WWWW[[#This Row],[Site Name]],SiteDB6[[Site Name]:[Ethnic or GCA/NGCA]],11,FALSE)</f>
        <v>NGCA</v>
      </c>
      <c r="DO125" s="231">
        <f>VLOOKUP(WWWW[[#This Row],[Site Name]],SiteDB6[[Site Name]:[Lat]],12,FALSE)</f>
        <v>24.831944</v>
      </c>
      <c r="DP125" s="231">
        <f>VLOOKUP(WWWW[[#This Row],[Site Name]],SiteDB6[[Site Name]:[Long]],13,FALSE)</f>
        <v>97.751389000000003</v>
      </c>
      <c r="DQ125" s="231" t="str">
        <f>VLOOKUP(WWWW[[#This Row],[Site Name]],SiteDB6[[Site Name]:[Pcode]],3,FALSE)</f>
        <v>MMR001CMP120</v>
      </c>
      <c r="DR125" s="207" t="str">
        <f t="shared" si="4"/>
        <v>Covered</v>
      </c>
      <c r="DS125" s="207"/>
      <c r="DT125" s="20"/>
      <c r="DU125" s="20"/>
      <c r="DV125" s="20"/>
      <c r="DW125" s="20"/>
      <c r="DX125" s="20"/>
      <c r="DY125" s="20"/>
      <c r="DZ125" s="20"/>
      <c r="EA125" s="20"/>
      <c r="EB125" s="20"/>
      <c r="EC125" s="20"/>
      <c r="ED125" s="20"/>
      <c r="EE125" s="20"/>
      <c r="EF125" s="20"/>
      <c r="EG125" s="20"/>
      <c r="EH125" s="20"/>
    </row>
    <row r="126" spans="1:138" ht="15.75" customHeight="1">
      <c r="A126" s="238" t="s">
        <v>2518</v>
      </c>
      <c r="B126" s="238" t="s">
        <v>149</v>
      </c>
      <c r="C126" s="574" t="s">
        <v>149</v>
      </c>
      <c r="D126" s="574" t="s">
        <v>307</v>
      </c>
      <c r="E126" s="574" t="s">
        <v>39</v>
      </c>
      <c r="F126" s="574" t="s">
        <v>222</v>
      </c>
      <c r="G126" s="574" t="str">
        <f>VLOOKUP(WWWW[[#This Row],[Site Name]],SiteDB6[[Site Name]:[Location Type]],8,FALSE)</f>
        <v>Camp</v>
      </c>
      <c r="H126" s="574" t="s">
        <v>2085</v>
      </c>
      <c r="I126" s="583">
        <v>228</v>
      </c>
      <c r="J126" s="583">
        <v>1015</v>
      </c>
      <c r="K126" s="553"/>
      <c r="L126" s="77">
        <v>43768</v>
      </c>
      <c r="M126" s="583"/>
      <c r="N126" s="583"/>
      <c r="O126" s="583"/>
      <c r="P126" s="583"/>
      <c r="Q126" s="76"/>
      <c r="R126" s="310"/>
      <c r="S126" s="310"/>
      <c r="T126" s="583">
        <v>13</v>
      </c>
      <c r="U126" s="310"/>
      <c r="V126" s="310"/>
      <c r="W126" s="583">
        <v>1</v>
      </c>
      <c r="X126" s="310"/>
      <c r="Y126" s="310"/>
      <c r="Z126" s="310"/>
      <c r="AA126" s="310"/>
      <c r="AB126" s="310"/>
      <c r="AC126" s="310"/>
      <c r="AD126" s="310"/>
      <c r="AE126" s="310"/>
      <c r="AF126" s="310"/>
      <c r="AG126" s="310"/>
      <c r="AH126" s="583">
        <v>0</v>
      </c>
      <c r="AI126" s="310"/>
      <c r="AJ126" s="310"/>
      <c r="AK126" s="310"/>
      <c r="AL126" s="310"/>
      <c r="AM126" s="310"/>
      <c r="AN126" s="310"/>
      <c r="AO126" s="207"/>
      <c r="AP126" s="583">
        <v>16</v>
      </c>
      <c r="AQ126" s="310"/>
      <c r="AR126" s="76"/>
      <c r="AS126" s="310"/>
      <c r="AT126" s="310"/>
      <c r="AU126" s="310"/>
      <c r="AV126" s="310"/>
      <c r="AW126" s="583">
        <v>16</v>
      </c>
      <c r="AX126" s="231" t="s">
        <v>43</v>
      </c>
      <c r="AY126" s="231" t="s">
        <v>144</v>
      </c>
      <c r="AZ126" s="310"/>
      <c r="BA126" s="310"/>
      <c r="BB126" s="310"/>
      <c r="BC126" s="207"/>
      <c r="BD126" s="310"/>
      <c r="BE126" s="310"/>
      <c r="BF126" s="310"/>
      <c r="BG126" s="310">
        <v>0</v>
      </c>
      <c r="BH126" s="310"/>
      <c r="BI126" s="310"/>
      <c r="BJ126" s="310">
        <v>0</v>
      </c>
      <c r="BK126" s="310"/>
      <c r="BL126" s="310"/>
      <c r="BM126" s="207"/>
      <c r="BN126" s="79"/>
      <c r="BO126" s="81"/>
      <c r="BP126" s="207"/>
      <c r="BQ126" s="78" t="str">
        <f>IFERROR(WWWW[[#This Row],['#_Water sources treated]]/WWWW[[#This Row],['#_Water sources tested for contamination]],"no test")</f>
        <v>no test</v>
      </c>
      <c r="BR126" s="81" t="str">
        <f>IFERROR(WWWW[[#This Row],['#_Household received remediation action due to contamination]]/WWWW[[#This Row],['#_Household water samples tested for contamination]],"no test")</f>
        <v>no test</v>
      </c>
      <c r="BS126" s="80" t="str">
        <f>IF(AND(WWWW[[#This Row],[% of water sources treated]]="no test",WWWW[[#This Row],[% Household received corrective actions]]="no test"),"No Test","Tested")</f>
        <v>No Test</v>
      </c>
      <c r="BT126" s="80">
        <f>WWWW[[#This Row],['#_Constructed/existing protected hand dug well]]-WWWW[[#This Row],['#_Non-functional protected hand dug well]]</f>
        <v>13</v>
      </c>
      <c r="BU126" s="80">
        <f>(WWWW[[#This Row],['#_Constructed/Existing tube wells/boreholes/handpumps_WASH_agency]]+WWWW[[#This Row],['#_Non-Cluster partner water tube-wells/boreholes/handpumps]])-WWWW[[#This Row],['#_Non-functional tube wells/boreholes/handpumps]]</f>
        <v>1</v>
      </c>
      <c r="BV126" s="80">
        <f>WWWW[[#This Row],['#_Constructed/Existingwater storage tank with gravity fed reticulation system]]-WWWW[[#This Row],['#_Non-functional storage tank gravity fed reticulation system]]</f>
        <v>0</v>
      </c>
      <c r="BW126" s="80">
        <f>WWWW[[#This Row],['#_Water boating or water trucking]]</f>
        <v>0</v>
      </c>
      <c r="BX126" s="80">
        <f>WWWW[[#This Row],['#_Constructed/Existing water distribution system from river or natural spring]]</f>
        <v>0</v>
      </c>
      <c r="BY12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26" s="81">
        <f>IF(WWWW[[#This Row],[Location Type 1]]="Village",WWWW[[#This Row],[Access to safe drinking water for Village]],WWWW[[#This Row],[Access to safe drinking water for Camp]])</f>
        <v>1</v>
      </c>
      <c r="CB126" s="79">
        <f>WWWW[[#This Row],[%Equitable and continuous access to sufficient quantity of safe drinking water]]*WWWW[[#This Row],[Total PoP ]]</f>
        <v>1015</v>
      </c>
      <c r="CC126" s="81">
        <f>IF((WWWW[[#This Row],['#_Constructed/Existing protected/fenced ponds]]*250)/WWWW[[#This Row],[Total PoP ]]&gt;1,1,(WWWW[[#This Row],['#_Constructed/Existing protected/fenced ponds]]*250)/WWWW[[#This Row],[Total PoP ]])</f>
        <v>0</v>
      </c>
      <c r="CD126" s="79">
        <f>WWWW[[#This Row],[% Access to unimproved water points]]*WWWW[[#This Row],[Total PoP ]]</f>
        <v>0</v>
      </c>
      <c r="CE12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1015</v>
      </c>
      <c r="CG126" s="79">
        <f>WWWW[[#This Row],[HRP1]]/500</f>
        <v>2.0299999999999998</v>
      </c>
      <c r="CH126" s="78">
        <f>1-WWWW[[#This Row],[% Equitable and continuous access to sufficient quantity of domestic water]]</f>
        <v>0</v>
      </c>
      <c r="CI126" s="79">
        <f>WWWW[[#This Row],[%equitable and continuous access to sufficient quantity of safe drinking and domestic water''s GAP]]*WWWW[[#This Row],[Total PoP ]]</f>
        <v>0</v>
      </c>
      <c r="CJ126" s="80">
        <f>IF(WWWW[[#This Row],[Total required water points]]-WWWW[[#This Row],['#Water points coverage]]&lt;0,0,WWWW[[#This Row],[Total required water points]]-WWWW[[#This Row],['#Water points coverage]])</f>
        <v>0</v>
      </c>
      <c r="CK126" s="80">
        <f>ROUND(IF(WWWW[[#This Row],[Total PoP ]]&lt;500,1,WWWW[[#This Row],[Total PoP ]]/500),0)</f>
        <v>2</v>
      </c>
      <c r="CL126" s="80">
        <f>(WWWW[[#This Row],['#_Constructed latrines_by_WASHAgencies]]+WWWW[[#This Row],['#_Non Cluster partner latrines]])-WWWW[[#This Row],['#_Non-functional latrines]]</f>
        <v>16</v>
      </c>
      <c r="CM12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0.31527093596059114</v>
      </c>
      <c r="CN12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12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6" s="80">
        <f>IF(WWWW[[#This Row],[Location Type 1]]="Village","NA",IF(WWWW[[#This Row],['#_Constructed/Existing latrines in TLS]]*50&gt;WWWW[[#This Row],['#_students at TLS_CFS]],WWWW[[#This Row],['#_students at TLS_CFS]],(WWWW[[#This Row],['#_Constructed/Existing latrines in TLS]]*50)))</f>
        <v>0</v>
      </c>
      <c r="CQ126" s="80">
        <f>ROUND(IF(WWWW[[#This Row],[Location Type 1]]="camp",WWWW[[#This Row],[Total PoP ]]/20,IF(WWWW[[#This Row],[Location Type 1]]="Temporary Location",WWWW[[#This Row],[Total PoP ]]/50,(WWWW[[#This Row],[Total PoP ]]/6))),0)</f>
        <v>51</v>
      </c>
      <c r="CR126" s="79">
        <f>IF(WWWW[[#This Row],[Total required Latrines]]-(WWWW[[#This Row],['#_Constructed latrines_by_WASHAgencies]]+WWWW[[#This Row],['#_Non Cluster partner latrines]])&lt;0,0,WWWW[[#This Row],[Total required Latrines]]-(WWWW[[#This Row],['#_Constructed latrines_by_WASHAgencies]]+WWWW[[#This Row],['#_Non Cluster partner latrines]]))</f>
        <v>35</v>
      </c>
      <c r="CS126" s="78">
        <f>1-WWWW[[#This Row],[% people access to functioning Latrine]]</f>
        <v>0.68472906403940881</v>
      </c>
      <c r="CT126" s="82">
        <f>IF(OR(WWWW[[#This Row],['#_Non-functional latrines]]="",WWWW[[#This Row],['#_Non-functional latrines]]=0),0,WWWW[[#This Row],['#_Non-functional latrines]]/(WWWW[[#This Row],['#_Constructed latrines_by_WASHAgencies]]+WWWW[[#This Row],['#_Non Cluster partner latrines]]))</f>
        <v>0</v>
      </c>
      <c r="CU126" s="79">
        <f>IF(500*(WWWW[[#This Row],['#_male hygiene promoters]]+WWWW[[#This Row],['#_female hygiene promoters]])&gt;WWWW[[#This Row],[Total PoP ]],WWWW[[#This Row],[Total PoP ]],500*(WWWW[[#This Row],['#_male hygiene promoters]]+WWWW[[#This Row],['#_female hygiene promoters]]))</f>
        <v>0</v>
      </c>
      <c r="CV12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6" s="80">
        <f>IF(WWWW[[#This Row],['# People with access to soap]]&gt;WWWW[[#This Row],['# People with access to Sanity Pads]],WWWW[[#This Row],['# People with access to soap]],WWWW[[#This Row],['# People with access to Sanity Pads]])</f>
        <v>0</v>
      </c>
      <c r="CY126"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26" s="78">
        <f>IF(WWWW[[#This Row],[HRP3]]/WWWW[[#This Row],[Total PoP ]]&gt;100%,100%,WWWW[[#This Row],[HRP3]]/WWWW[[#This Row],[Total PoP ]])</f>
        <v>0</v>
      </c>
      <c r="DA126" s="82">
        <f>1-WWWW[[#This Row],[Hygiene Coverage%]]</f>
        <v>1</v>
      </c>
      <c r="DB126" s="81">
        <f>WWWW[[#This Row],['# people reached by regular dedicated hygiene promotion_5]]/WWWW[[#This Row],[Total PoP ]]</f>
        <v>0</v>
      </c>
      <c r="DC126" s="81">
        <f>IF(WWWW[[#This Row],['#_households that received standard amount of soap for this quarter]]/WWWW[[#This Row],[Total HH]]&gt;1,1,WWWW[[#This Row],['#_households that received standard amount of soap for this quarter]]/WWWW[[#This Row],[Total HH]])</f>
        <v>0</v>
      </c>
      <c r="DD126" s="81">
        <f>IF(WWWW[[#This Row],['#_households that received standard amount of sanitary pads for this quarter]]/WWWW[[#This Row],[Total HH]]&gt;1,1,WWWW[[#This Row],['#_households that received standard amount of sanitary pads for this quarter]]/WWWW[[#This Row],[Total HH]])</f>
        <v>0</v>
      </c>
      <c r="DE126" s="80">
        <f>WWWW[[#This Row],['#_Constructed/Existing hand washing stations]]-WWWW[[#This Row],['#_Non-Functional_hand_washing_stations]]</f>
        <v>0</v>
      </c>
      <c r="DF126" s="757">
        <f>IF(WWWW[[#This Row],['# Functional hand washing stations during reporting period]]*20&gt;WWWW[[#This Row],[Total HH]],WWWW[[#This Row],[Total HH]],WWWW[[#This Row],['# Functional hand washing stations during reporting period]]*20)</f>
        <v>0</v>
      </c>
      <c r="DG126" s="79">
        <f>IF(WWWW[[#This Row],[Is sufficient soap available for TLS? (Yes/No)]]="yes",WWWW[[#This Row],['#_Constructed/Existing hand washing stations at TLS]],0)</f>
        <v>0</v>
      </c>
      <c r="DH126" s="578">
        <f>IF(WWWW[[#This Row],['# Functional hand washing stations during reporting period]]*100&gt;WWWW[[#This Row],[Total PoP ]],WWWW[[#This Row],[Total PoP ]],WWWW[[#This Row],['# Functional hand washing stations during reporting period]]*100)</f>
        <v>0</v>
      </c>
      <c r="DI126" s="578" t="str">
        <f>IF(OR(WWWW[[#This Row],['#_students at TLS_CFS]]="",WWWW[[#This Row],['#_students at TLS_CFS]]=0),"No","Yes")</f>
        <v>No</v>
      </c>
      <c r="DJ126" s="231">
        <f>VLOOKUP(WWWW[[#This Row],[Site Name]],SiteDB6[[Site Name]:[CCCM Management]],6,FALSE)</f>
        <v>0</v>
      </c>
      <c r="DK126" s="231">
        <f>VLOOKUP(WWWW[[#This Row],[Site Name]],SiteDB6[[Site Name]:[CCCM Focal Agency]],7,FALSE)</f>
        <v>0</v>
      </c>
      <c r="DL126" s="231" t="str">
        <f>VLOOKUP(WWWW[[#This Row],[Site Name]],SiteDB6[[Site Name]:[Location Type 1]],9,FALSE)</f>
        <v>Camp</v>
      </c>
      <c r="DM126" s="231" t="str">
        <f>VLOOKUP(WWWW[[#This Row],[Site Name]],SiteDB6[[Site Name]:[Type of Accommodation]],10,FALSE)</f>
        <v>Camp like setting</v>
      </c>
      <c r="DN126" s="231" t="str">
        <f>VLOOKUP(WWWW[[#This Row],[Site Name]],SiteDB6[[Site Name]:[Ethnic or GCA/NGCA]],11,FALSE)</f>
        <v>NGCA</v>
      </c>
      <c r="DO126" s="231">
        <f>VLOOKUP(WWWW[[#This Row],[Site Name]],SiteDB6[[Site Name]:[Lat]],12,FALSE)</f>
        <v>0</v>
      </c>
      <c r="DP126" s="231">
        <f>VLOOKUP(WWWW[[#This Row],[Site Name]],SiteDB6[[Site Name]:[Long]],13,FALSE)</f>
        <v>0</v>
      </c>
      <c r="DQ126" s="231" t="str">
        <f>VLOOKUP(WWWW[[#This Row],[Site Name]],SiteDB6[[Site Name]:[Pcode]],3,FALSE)</f>
        <v>MMR001CMP273</v>
      </c>
      <c r="DR126" s="207" t="str">
        <f t="shared" si="4"/>
        <v>Covered</v>
      </c>
      <c r="DS126" s="207"/>
      <c r="DT126" s="20"/>
      <c r="DU126" s="20"/>
      <c r="DV126" s="20"/>
      <c r="DW126" s="20"/>
      <c r="DX126" s="20"/>
      <c r="DY126" s="20"/>
      <c r="DZ126" s="20"/>
      <c r="EA126" s="20"/>
      <c r="EB126" s="20"/>
      <c r="EC126" s="20"/>
      <c r="ED126" s="20"/>
      <c r="EE126" s="20"/>
      <c r="EF126" s="20"/>
      <c r="EG126" s="20"/>
      <c r="EH126" s="20"/>
    </row>
    <row r="127" spans="1:138" ht="15.75" customHeight="1">
      <c r="A127" s="238" t="s">
        <v>2518</v>
      </c>
      <c r="B127" s="238" t="s">
        <v>149</v>
      </c>
      <c r="C127" s="574" t="s">
        <v>149</v>
      </c>
      <c r="D127" s="584" t="s">
        <v>152</v>
      </c>
      <c r="E127" s="574" t="s">
        <v>39</v>
      </c>
      <c r="F127" s="574" t="s">
        <v>150</v>
      </c>
      <c r="G127" s="574" t="str">
        <f>VLOOKUP(WWWW[[#This Row],[Site Name]],SiteDB6[[Site Name]:[Location Type]],8,FALSE)</f>
        <v>Camp</v>
      </c>
      <c r="H127" s="574" t="s">
        <v>189</v>
      </c>
      <c r="I127" s="583">
        <v>60</v>
      </c>
      <c r="J127" s="583">
        <v>307</v>
      </c>
      <c r="K127" s="553">
        <v>43556</v>
      </c>
      <c r="L127" s="77">
        <v>43677</v>
      </c>
      <c r="M127" s="583"/>
      <c r="N127" s="583"/>
      <c r="O127" s="583"/>
      <c r="P127" s="583"/>
      <c r="Q127" s="574" t="s">
        <v>43</v>
      </c>
      <c r="R127" s="310"/>
      <c r="S127" s="310"/>
      <c r="T127" s="583">
        <v>1</v>
      </c>
      <c r="U127" s="310"/>
      <c r="V127" s="310"/>
      <c r="W127" s="583">
        <v>0</v>
      </c>
      <c r="X127" s="310"/>
      <c r="Y127" s="310"/>
      <c r="Z127" s="310"/>
      <c r="AA127" s="310"/>
      <c r="AB127" s="310"/>
      <c r="AC127" s="310"/>
      <c r="AD127" s="310"/>
      <c r="AE127" s="310"/>
      <c r="AF127" s="310"/>
      <c r="AG127" s="310"/>
      <c r="AH127" s="583">
        <v>1</v>
      </c>
      <c r="AI127" s="310"/>
      <c r="AJ127" s="310"/>
      <c r="AK127" s="310"/>
      <c r="AL127" s="310"/>
      <c r="AM127" s="310"/>
      <c r="AN127" s="310"/>
      <c r="AO127" s="207"/>
      <c r="AP127" s="583">
        <v>10</v>
      </c>
      <c r="AQ127" s="310"/>
      <c r="AR127" s="76"/>
      <c r="AS127" s="310"/>
      <c r="AT127" s="310"/>
      <c r="AU127" s="310"/>
      <c r="AV127" s="310"/>
      <c r="AW127" s="583">
        <v>10</v>
      </c>
      <c r="AX127" s="231" t="s">
        <v>43</v>
      </c>
      <c r="AY127" s="231" t="s">
        <v>145</v>
      </c>
      <c r="AZ127" s="310"/>
      <c r="BA127" s="310"/>
      <c r="BB127" s="310"/>
      <c r="BC127" s="207"/>
      <c r="BD127" s="310"/>
      <c r="BE127" s="310"/>
      <c r="BF127" s="310"/>
      <c r="BG127" s="310">
        <v>2</v>
      </c>
      <c r="BH127" s="310"/>
      <c r="BI127" s="310"/>
      <c r="BJ127" s="310">
        <v>1</v>
      </c>
      <c r="BK127" s="310"/>
      <c r="BL127" s="310"/>
      <c r="BM127" s="207"/>
      <c r="BN127" s="79"/>
      <c r="BO127" s="81"/>
      <c r="BP127" s="207"/>
      <c r="BQ127" s="78" t="str">
        <f>IFERROR(WWWW[[#This Row],['#_Water sources treated]]/WWWW[[#This Row],['#_Water sources tested for contamination]],"no test")</f>
        <v>no test</v>
      </c>
      <c r="BR127" s="81" t="str">
        <f>IFERROR(WWWW[[#This Row],['#_Household received remediation action due to contamination]]/WWWW[[#This Row],['#_Household water samples tested for contamination]],"no test")</f>
        <v>no test</v>
      </c>
      <c r="BS127" s="80" t="str">
        <f>IF(AND(WWWW[[#This Row],[% of water sources treated]]="no test",WWWW[[#This Row],[% Household received corrective actions]]="no test"),"No Test","Tested")</f>
        <v>No Test</v>
      </c>
      <c r="BT127" s="80">
        <f>WWWW[[#This Row],['#_Constructed/existing protected hand dug well]]-WWWW[[#This Row],['#_Non-functional protected hand dug well]]</f>
        <v>1</v>
      </c>
      <c r="BU127" s="80">
        <f>(WWWW[[#This Row],['#_Constructed/Existing tube wells/boreholes/handpumps_WASH_agency]]+WWWW[[#This Row],['#_Non-Cluster partner water tube-wells/boreholes/handpumps]])-WWWW[[#This Row],['#_Non-functional tube wells/boreholes/handpumps]]</f>
        <v>0</v>
      </c>
      <c r="BV127" s="80">
        <f>WWWW[[#This Row],['#_Constructed/Existingwater storage tank with gravity fed reticulation system]]-WWWW[[#This Row],['#_Non-functional storage tank gravity fed reticulation system]]</f>
        <v>0</v>
      </c>
      <c r="BW127" s="80">
        <f>WWWW[[#This Row],['#_Water boating or water trucking]]</f>
        <v>0</v>
      </c>
      <c r="BX127" s="80">
        <f>WWWW[[#This Row],['#_Constructed/Existing water distribution system from river or natural spring]]</f>
        <v>0</v>
      </c>
      <c r="BY12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2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0.81433224755700329</v>
      </c>
      <c r="CA127" s="81">
        <f>IF(WWWW[[#This Row],[Location Type 1]]="Village",WWWW[[#This Row],[Access to safe drinking water for Village]],WWWW[[#This Row],[Access to safe drinking water for Camp]])</f>
        <v>1</v>
      </c>
      <c r="CB127" s="79">
        <f>WWWW[[#This Row],[%Equitable and continuous access to sufficient quantity of safe drinking water]]*WWWW[[#This Row],[Total PoP ]]</f>
        <v>307</v>
      </c>
      <c r="CC127" s="81">
        <f>IF((WWWW[[#This Row],['#_Constructed/Existing protected/fenced ponds]]*250)/WWWW[[#This Row],[Total PoP ]]&gt;1,1,(WWWW[[#This Row],['#_Constructed/Existing protected/fenced ponds]]*250)/WWWW[[#This Row],[Total PoP ]])</f>
        <v>0</v>
      </c>
      <c r="CD127" s="79">
        <f>WWWW[[#This Row],[% Access to unimproved water points]]*WWWW[[#This Row],[Total PoP ]]</f>
        <v>0</v>
      </c>
      <c r="CE12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2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G127" s="79">
        <f>WWWW[[#This Row],[HRP1]]/500</f>
        <v>0.61399999999999999</v>
      </c>
      <c r="CH127" s="78">
        <f>1-WWWW[[#This Row],[% Equitable and continuous access to sufficient quantity of domestic water]]</f>
        <v>0</v>
      </c>
      <c r="CI127" s="79">
        <f>WWWW[[#This Row],[%equitable and continuous access to sufficient quantity of safe drinking and domestic water''s GAP]]*WWWW[[#This Row],[Total PoP ]]</f>
        <v>0</v>
      </c>
      <c r="CJ127" s="80">
        <f>IF(WWWW[[#This Row],[Total required water points]]-WWWW[[#This Row],['#Water points coverage]]&lt;0,0,WWWW[[#This Row],[Total required water points]]-WWWW[[#This Row],['#Water points coverage]])</f>
        <v>0.38600000000000001</v>
      </c>
      <c r="CK127" s="80">
        <f>ROUND(IF(WWWW[[#This Row],[Total PoP ]]&lt;500,1,WWWW[[#This Row],[Total PoP ]]/500),0)</f>
        <v>1</v>
      </c>
      <c r="CL127" s="80">
        <f>(WWWW[[#This Row],['#_Constructed latrines_by_WASHAgencies]]+WWWW[[#This Row],['#_Non Cluster partner latrines]])-WWWW[[#This Row],['#_Non-functional latrines]]</f>
        <v>10</v>
      </c>
      <c r="CM12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0.65146579804560256</v>
      </c>
      <c r="CN12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12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7" s="80">
        <f>IF(WWWW[[#This Row],[Location Type 1]]="Village","NA",IF(WWWW[[#This Row],['#_Constructed/Existing latrines in TLS]]*50&gt;WWWW[[#This Row],['#_students at TLS_CFS]],WWWW[[#This Row],['#_students at TLS_CFS]],(WWWW[[#This Row],['#_Constructed/Existing latrines in TLS]]*50)))</f>
        <v>0</v>
      </c>
      <c r="CQ127" s="80">
        <f>ROUND(IF(WWWW[[#This Row],[Location Type 1]]="camp",WWWW[[#This Row],[Total PoP ]]/20,IF(WWWW[[#This Row],[Location Type 1]]="Temporary Location",WWWW[[#This Row],[Total PoP ]]/50,(WWWW[[#This Row],[Total PoP ]]/6))),0)</f>
        <v>15</v>
      </c>
      <c r="CR127" s="79">
        <f>IF(WWWW[[#This Row],[Total required Latrines]]-(WWWW[[#This Row],['#_Constructed latrines_by_WASHAgencies]]+WWWW[[#This Row],['#_Non Cluster partner latrines]])&lt;0,0,WWWW[[#This Row],[Total required Latrines]]-(WWWW[[#This Row],['#_Constructed latrines_by_WASHAgencies]]+WWWW[[#This Row],['#_Non Cluster partner latrines]]))</f>
        <v>5</v>
      </c>
      <c r="CS127" s="78">
        <f>1-WWWW[[#This Row],[% people access to functioning Latrine]]</f>
        <v>0.34853420195439744</v>
      </c>
      <c r="CT127" s="82">
        <f>IF(OR(WWWW[[#This Row],['#_Non-functional latrines]]="",WWWW[[#This Row],['#_Non-functional latrines]]=0),0,WWWW[[#This Row],['#_Non-functional latrines]]/(WWWW[[#This Row],['#_Constructed latrines_by_WASHAgencies]]+WWWW[[#This Row],['#_Non Cluster partner latrines]]))</f>
        <v>0</v>
      </c>
      <c r="CU127" s="79">
        <f>IF(500*(WWWW[[#This Row],['#_male hygiene promoters]]+WWWW[[#This Row],['#_female hygiene promoters]])&gt;WWWW[[#This Row],[Total PoP ]],WWWW[[#This Row],[Total PoP ]],500*(WWWW[[#This Row],['#_male hygiene promoters]]+WWWW[[#This Row],['#_female hygiene promoters]]))</f>
        <v>307</v>
      </c>
      <c r="CV12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7" s="80">
        <f>IF(WWWW[[#This Row],['# People with access to soap]]&gt;WWWW[[#This Row],['# People with access to Sanity Pads]],WWWW[[#This Row],['# People with access to soap]],WWWW[[#This Row],['# People with access to Sanity Pads]])</f>
        <v>0</v>
      </c>
      <c r="CY127" s="80">
        <f>IF(WWWW[[#This Row],['# people reached by regular dedicated hygiene promotion_5]]&gt;WWWW[[#This Row],['# People received regular supply of hygiene items_6]],WWWW[[#This Row],['# people reached by regular dedicated hygiene promotion_5]],WWWW[[#This Row],['# People received regular supply of hygiene items_6]])</f>
        <v>307</v>
      </c>
      <c r="CZ127" s="78">
        <f>IF(WWWW[[#This Row],[HRP3]]/WWWW[[#This Row],[Total PoP ]]&gt;100%,100%,WWWW[[#This Row],[HRP3]]/WWWW[[#This Row],[Total PoP ]])</f>
        <v>1</v>
      </c>
      <c r="DA127" s="82">
        <f>1-WWWW[[#This Row],[Hygiene Coverage%]]</f>
        <v>0</v>
      </c>
      <c r="DB127" s="81">
        <f>WWWW[[#This Row],['# people reached by regular dedicated hygiene promotion_5]]/WWWW[[#This Row],[Total PoP ]]</f>
        <v>1</v>
      </c>
      <c r="DC127" s="81">
        <f>IF(WWWW[[#This Row],['#_households that received standard amount of soap for this quarter]]/WWWW[[#This Row],[Total HH]]&gt;1,1,WWWW[[#This Row],['#_households that received standard amount of soap for this quarter]]/WWWW[[#This Row],[Total HH]])</f>
        <v>0</v>
      </c>
      <c r="DD127" s="81">
        <f>IF(WWWW[[#This Row],['#_households that received standard amount of sanitary pads for this quarter]]/WWWW[[#This Row],[Total HH]]&gt;1,1,WWWW[[#This Row],['#_households that received standard amount of sanitary pads for this quarter]]/WWWW[[#This Row],[Total HH]])</f>
        <v>0</v>
      </c>
      <c r="DE127" s="80">
        <f>WWWW[[#This Row],['#_Constructed/Existing hand washing stations]]-WWWW[[#This Row],['#_Non-Functional_hand_washing_stations]]</f>
        <v>0</v>
      </c>
      <c r="DF127" s="757">
        <f>IF(WWWW[[#This Row],['# Functional hand washing stations during reporting period]]*20&gt;WWWW[[#This Row],[Total HH]],WWWW[[#This Row],[Total HH]],WWWW[[#This Row],['# Functional hand washing stations during reporting period]]*20)</f>
        <v>0</v>
      </c>
      <c r="DG127" s="79">
        <f>IF(WWWW[[#This Row],[Is sufficient soap available for TLS? (Yes/No)]]="yes",WWWW[[#This Row],['#_Constructed/Existing hand washing stations at TLS]],0)</f>
        <v>0</v>
      </c>
      <c r="DH127" s="578">
        <f>IF(WWWW[[#This Row],['# Functional hand washing stations during reporting period]]*100&gt;WWWW[[#This Row],[Total PoP ]],WWWW[[#This Row],[Total PoP ]],WWWW[[#This Row],['# Functional hand washing stations during reporting period]]*100)</f>
        <v>0</v>
      </c>
      <c r="DI127" s="578" t="str">
        <f>IF(OR(WWWW[[#This Row],['#_students at TLS_CFS]]="",WWWW[[#This Row],['#_students at TLS_CFS]]=0),"No","Yes")</f>
        <v>No</v>
      </c>
      <c r="DJ127" s="231" t="str">
        <f>VLOOKUP(WWWW[[#This Row],[Site Name]],SiteDB6[[Site Name]:[CCCM Management]],6,FALSE)</f>
        <v>Yes</v>
      </c>
      <c r="DK127" s="231" t="str">
        <f>VLOOKUP(WWWW[[#This Row],[Site Name]],SiteDB6[[Site Name]:[CCCM Focal Agency]],7,FALSE)</f>
        <v>KBC-MYT</v>
      </c>
      <c r="DL127" s="231" t="str">
        <f>VLOOKUP(WWWW[[#This Row],[Site Name]],SiteDB6[[Site Name]:[Location Type 1]],9,FALSE)</f>
        <v>Camp</v>
      </c>
      <c r="DM127" s="231" t="str">
        <f>VLOOKUP(WWWW[[#This Row],[Site Name]],SiteDB6[[Site Name]:[Type of Accommodation]],10,FALSE)</f>
        <v>Camp</v>
      </c>
      <c r="DN127" s="231" t="str">
        <f>VLOOKUP(WWWW[[#This Row],[Site Name]],SiteDB6[[Site Name]:[Ethnic or GCA/NGCA]],11,FALSE)</f>
        <v>GCA</v>
      </c>
      <c r="DO127" s="231">
        <f>VLOOKUP(WWWW[[#This Row],[Site Name]],SiteDB6[[Site Name]:[Lat]],12,FALSE)</f>
        <v>25.351724999999998</v>
      </c>
      <c r="DP127" s="231">
        <f>VLOOKUP(WWWW[[#This Row],[Site Name]],SiteDB6[[Site Name]:[Long]],13,FALSE)</f>
        <v>97.438432380952406</v>
      </c>
      <c r="DQ127" s="231" t="str">
        <f>VLOOKUP(WWWW[[#This Row],[Site Name]],SiteDB6[[Site Name]:[Pcode]],3,FALSE)</f>
        <v>MMR001CMP025</v>
      </c>
      <c r="DR127" s="207" t="str">
        <f t="shared" si="4"/>
        <v>Covered</v>
      </c>
      <c r="DS127" s="207"/>
      <c r="DT127" s="20"/>
      <c r="DU127" s="20"/>
      <c r="DV127" s="20"/>
      <c r="DW127" s="20"/>
      <c r="DX127" s="20"/>
      <c r="DY127" s="20"/>
      <c r="DZ127" s="20"/>
      <c r="EA127" s="20"/>
      <c r="EB127" s="20"/>
      <c r="EC127" s="20"/>
      <c r="ED127" s="20"/>
      <c r="EE127" s="20"/>
      <c r="EF127" s="20"/>
      <c r="EG127" s="20"/>
      <c r="EH127" s="20"/>
    </row>
    <row r="128" spans="1:138" ht="15.75" customHeight="1">
      <c r="A128" s="238" t="s">
        <v>2518</v>
      </c>
      <c r="B128" s="574" t="s">
        <v>317</v>
      </c>
      <c r="C128" s="574" t="s">
        <v>317</v>
      </c>
      <c r="D128" s="574"/>
      <c r="E128" s="574" t="s">
        <v>39</v>
      </c>
      <c r="F128" s="574" t="s">
        <v>181</v>
      </c>
      <c r="G128" s="574" t="str">
        <f>VLOOKUP(WWWW[[#This Row],[Site Name]],SiteDB6[[Site Name]:[Location Type]],8,FALSE)</f>
        <v>Camp</v>
      </c>
      <c r="H128" s="76" t="s">
        <v>1088</v>
      </c>
      <c r="I128" s="583">
        <v>10</v>
      </c>
      <c r="J128" s="583">
        <v>56</v>
      </c>
      <c r="K128" s="553"/>
      <c r="L128" s="77"/>
      <c r="M128" s="583"/>
      <c r="N128" s="583"/>
      <c r="O128" s="583"/>
      <c r="P128" s="583"/>
      <c r="Q128" s="76"/>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207"/>
      <c r="AP128" s="310"/>
      <c r="AQ128" s="310"/>
      <c r="AR128" s="76"/>
      <c r="AS128" s="310"/>
      <c r="AT128" s="310"/>
      <c r="AU128" s="310"/>
      <c r="AV128" s="310"/>
      <c r="AW128" s="310"/>
      <c r="AX128" s="231"/>
      <c r="AY128" s="231"/>
      <c r="AZ128" s="310"/>
      <c r="BA128" s="310"/>
      <c r="BB128" s="310"/>
      <c r="BC128" s="207"/>
      <c r="BD128" s="310"/>
      <c r="BE128" s="310"/>
      <c r="BF128" s="310"/>
      <c r="BG128" s="310"/>
      <c r="BH128" s="310"/>
      <c r="BI128" s="310"/>
      <c r="BJ128" s="310"/>
      <c r="BK128" s="310"/>
      <c r="BL128" s="310"/>
      <c r="BM128" s="207"/>
      <c r="BN128" s="79"/>
      <c r="BO128" s="81"/>
      <c r="BP128" s="207"/>
      <c r="BQ128" s="78" t="str">
        <f>IFERROR(WWWW[[#This Row],['#_Water sources treated]]/WWWW[[#This Row],['#_Water sources tested for contamination]],"no test")</f>
        <v>no test</v>
      </c>
      <c r="BR128" s="81" t="str">
        <f>IFERROR(WWWW[[#This Row],['#_Household received remediation action due to contamination]]/WWWW[[#This Row],['#_Household water samples tested for contamination]],"no test")</f>
        <v>no test</v>
      </c>
      <c r="BS128" s="80" t="str">
        <f>IF(AND(WWWW[[#This Row],[% of water sources treated]]="no test",WWWW[[#This Row],[% Household received corrective actions]]="no test"),"No Test","Tested")</f>
        <v>No Test</v>
      </c>
      <c r="BT128" s="80">
        <f>WWWW[[#This Row],['#_Constructed/existing protected hand dug well]]-WWWW[[#This Row],['#_Non-functional protected hand dug well]]</f>
        <v>0</v>
      </c>
      <c r="BU128" s="80">
        <f>(WWWW[[#This Row],['#_Constructed/Existing tube wells/boreholes/handpumps_WASH_agency]]+WWWW[[#This Row],['#_Non-Cluster partner water tube-wells/boreholes/handpumps]])-WWWW[[#This Row],['#_Non-functional tube wells/boreholes/handpumps]]</f>
        <v>0</v>
      </c>
      <c r="BV128" s="80">
        <f>WWWW[[#This Row],['#_Constructed/Existingwater storage tank with gravity fed reticulation system]]-WWWW[[#This Row],['#_Non-functional storage tank gravity fed reticulation system]]</f>
        <v>0</v>
      </c>
      <c r="BW128" s="80">
        <f>WWWW[[#This Row],['#_Water boating or water trucking]]</f>
        <v>0</v>
      </c>
      <c r="BX128" s="80">
        <f>WWWW[[#This Row],['#_Constructed/Existing water distribution system from river or natural spring]]</f>
        <v>0</v>
      </c>
      <c r="BY12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2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28" s="81">
        <f>IF(WWWW[[#This Row],[Location Type 1]]="Village",WWWW[[#This Row],[Access to safe drinking water for Village]],WWWW[[#This Row],[Access to safe drinking water for Camp]])</f>
        <v>0</v>
      </c>
      <c r="CB128" s="79">
        <f>WWWW[[#This Row],[%Equitable and continuous access to sufficient quantity of safe drinking water]]*WWWW[[#This Row],[Total PoP ]]</f>
        <v>0</v>
      </c>
      <c r="CC128" s="81">
        <f>IF((WWWW[[#This Row],['#_Constructed/Existing protected/fenced ponds]]*250)/WWWW[[#This Row],[Total PoP ]]&gt;1,1,(WWWW[[#This Row],['#_Constructed/Existing protected/fenced ponds]]*250)/WWWW[[#This Row],[Total PoP ]])</f>
        <v>0</v>
      </c>
      <c r="CD128" s="79">
        <f>WWWW[[#This Row],[% Access to unimproved water points]]*WWWW[[#This Row],[Total PoP ]]</f>
        <v>0</v>
      </c>
      <c r="CE12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2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28" s="79">
        <f>WWWW[[#This Row],[HRP1]]/500</f>
        <v>0</v>
      </c>
      <c r="CH128" s="78">
        <f>1-WWWW[[#This Row],[% Equitable and continuous access to sufficient quantity of domestic water]]</f>
        <v>1</v>
      </c>
      <c r="CI128" s="79">
        <f>WWWW[[#This Row],[%equitable and continuous access to sufficient quantity of safe drinking and domestic water''s GAP]]*WWWW[[#This Row],[Total PoP ]]</f>
        <v>56</v>
      </c>
      <c r="CJ128" s="80">
        <f>IF(WWWW[[#This Row],[Total required water points]]-WWWW[[#This Row],['#Water points coverage]]&lt;0,0,WWWW[[#This Row],[Total required water points]]-WWWW[[#This Row],['#Water points coverage]])</f>
        <v>1</v>
      </c>
      <c r="CK128" s="80">
        <f>ROUND(IF(WWWW[[#This Row],[Total PoP ]]&lt;500,1,WWWW[[#This Row],[Total PoP ]]/500),0)</f>
        <v>1</v>
      </c>
      <c r="CL128" s="80">
        <f>(WWWW[[#This Row],['#_Constructed latrines_by_WASHAgencies]]+WWWW[[#This Row],['#_Non Cluster partner latrines]])-WWWW[[#This Row],['#_Non-functional latrines]]</f>
        <v>0</v>
      </c>
      <c r="CM12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2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2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8" s="80">
        <f>IF(WWWW[[#This Row],[Location Type 1]]="Village","NA",IF(WWWW[[#This Row],['#_Constructed/Existing latrines in TLS]]*50&gt;WWWW[[#This Row],['#_students at TLS_CFS]],WWWW[[#This Row],['#_students at TLS_CFS]],(WWWW[[#This Row],['#_Constructed/Existing latrines in TLS]]*50)))</f>
        <v>0</v>
      </c>
      <c r="CQ128" s="80">
        <f>ROUND(IF(WWWW[[#This Row],[Location Type 1]]="camp",WWWW[[#This Row],[Total PoP ]]/20,IF(WWWW[[#This Row],[Location Type 1]]="Temporary Location",WWWW[[#This Row],[Total PoP ]]/50,(WWWW[[#This Row],[Total PoP ]]/6))),0)</f>
        <v>3</v>
      </c>
      <c r="CR128" s="79">
        <f>IF(WWWW[[#This Row],[Total required Latrines]]-(WWWW[[#This Row],['#_Constructed latrines_by_WASHAgencies]]+WWWW[[#This Row],['#_Non Cluster partner latrines]])&lt;0,0,WWWW[[#This Row],[Total required Latrines]]-(WWWW[[#This Row],['#_Constructed latrines_by_WASHAgencies]]+WWWW[[#This Row],['#_Non Cluster partner latrines]]))</f>
        <v>3</v>
      </c>
      <c r="CS128" s="78">
        <f>1-WWWW[[#This Row],[% people access to functioning Latrine]]</f>
        <v>1</v>
      </c>
      <c r="CT128" s="82">
        <f>IF(OR(WWWW[[#This Row],['#_Non-functional latrines]]="",WWWW[[#This Row],['#_Non-functional latrines]]=0),0,WWWW[[#This Row],['#_Non-functional latrines]]/(WWWW[[#This Row],['#_Constructed latrines_by_WASHAgencies]]+WWWW[[#This Row],['#_Non Cluster partner latrines]]))</f>
        <v>0</v>
      </c>
      <c r="CU128" s="79">
        <f>IF(500*(WWWW[[#This Row],['#_male hygiene promoters]]+WWWW[[#This Row],['#_female hygiene promoters]])&gt;WWWW[[#This Row],[Total PoP ]],WWWW[[#This Row],[Total PoP ]],500*(WWWW[[#This Row],['#_male hygiene promoters]]+WWWW[[#This Row],['#_female hygiene promoters]]))</f>
        <v>0</v>
      </c>
      <c r="CV12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8" s="80">
        <f>IF(WWWW[[#This Row],['# People with access to soap]]&gt;WWWW[[#This Row],['# People with access to Sanity Pads]],WWWW[[#This Row],['# People with access to soap]],WWWW[[#This Row],['# People with access to Sanity Pads]])</f>
        <v>0</v>
      </c>
      <c r="CY128"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28" s="78">
        <f>IF(WWWW[[#This Row],[HRP3]]/WWWW[[#This Row],[Total PoP ]]&gt;100%,100%,WWWW[[#This Row],[HRP3]]/WWWW[[#This Row],[Total PoP ]])</f>
        <v>0</v>
      </c>
      <c r="DA128" s="82">
        <f>1-WWWW[[#This Row],[Hygiene Coverage%]]</f>
        <v>1</v>
      </c>
      <c r="DB128" s="81">
        <f>WWWW[[#This Row],['# people reached by regular dedicated hygiene promotion_5]]/WWWW[[#This Row],[Total PoP ]]</f>
        <v>0</v>
      </c>
      <c r="DC128" s="81">
        <f>IF(WWWW[[#This Row],['#_households that received standard amount of soap for this quarter]]/WWWW[[#This Row],[Total HH]]&gt;1,1,WWWW[[#This Row],['#_households that received standard amount of soap for this quarter]]/WWWW[[#This Row],[Total HH]])</f>
        <v>0</v>
      </c>
      <c r="DD128" s="81">
        <f>IF(WWWW[[#This Row],['#_households that received standard amount of sanitary pads for this quarter]]/WWWW[[#This Row],[Total HH]]&gt;1,1,WWWW[[#This Row],['#_households that received standard amount of sanitary pads for this quarter]]/WWWW[[#This Row],[Total HH]])</f>
        <v>0</v>
      </c>
      <c r="DE128" s="80">
        <f>WWWW[[#This Row],['#_Constructed/Existing hand washing stations]]-WWWW[[#This Row],['#_Non-Functional_hand_washing_stations]]</f>
        <v>0</v>
      </c>
      <c r="DF128" s="757">
        <f>IF(WWWW[[#This Row],['# Functional hand washing stations during reporting period]]*20&gt;WWWW[[#This Row],[Total HH]],WWWW[[#This Row],[Total HH]],WWWW[[#This Row],['# Functional hand washing stations during reporting period]]*20)</f>
        <v>0</v>
      </c>
      <c r="DG128" s="79">
        <f>IF(WWWW[[#This Row],[Is sufficient soap available for TLS? (Yes/No)]]="yes",WWWW[[#This Row],['#_Constructed/Existing hand washing stations at TLS]],0)</f>
        <v>0</v>
      </c>
      <c r="DH128" s="578">
        <f>IF(WWWW[[#This Row],['# Functional hand washing stations during reporting period]]*100&gt;WWWW[[#This Row],[Total PoP ]],WWWW[[#This Row],[Total PoP ]],WWWW[[#This Row],['# Functional hand washing stations during reporting period]]*100)</f>
        <v>0</v>
      </c>
      <c r="DI128" s="578" t="str">
        <f>IF(OR(WWWW[[#This Row],['#_students at TLS_CFS]]="",WWWW[[#This Row],['#_students at TLS_CFS]]=0),"No","Yes")</f>
        <v>No</v>
      </c>
      <c r="DJ128" s="231">
        <f>VLOOKUP(WWWW[[#This Row],[Site Name]],SiteDB6[[Site Name]:[CCCM Management]],6,FALSE)</f>
        <v>0</v>
      </c>
      <c r="DK128" s="231" t="str">
        <f>VLOOKUP(WWWW[[#This Row],[Site Name]],SiteDB6[[Site Name]:[CCCM Focal Agency]],7,FALSE)</f>
        <v>uncovered</v>
      </c>
      <c r="DL128" s="231" t="str">
        <f>VLOOKUP(WWWW[[#This Row],[Site Name]],SiteDB6[[Site Name]:[Location Type 1]],9,FALSE)</f>
        <v>Camp</v>
      </c>
      <c r="DM128" s="231" t="str">
        <f>VLOOKUP(WWWW[[#This Row],[Site Name]],SiteDB6[[Site Name]:[Type of Accommodation]],10,FALSE)</f>
        <v>Host Families</v>
      </c>
      <c r="DN128" s="231" t="str">
        <f>VLOOKUP(WWWW[[#This Row],[Site Name]],SiteDB6[[Site Name]:[Ethnic or GCA/NGCA]],11,FALSE)</f>
        <v>GCA</v>
      </c>
      <c r="DO128" s="231">
        <f>VLOOKUP(WWWW[[#This Row],[Site Name]],SiteDB6[[Site Name]:[Lat]],12,FALSE)</f>
        <v>27.248964999999998</v>
      </c>
      <c r="DP128" s="231">
        <f>VLOOKUP(WWWW[[#This Row],[Site Name]],SiteDB6[[Site Name]:[Long]],13,FALSE)</f>
        <v>97.561105999999995</v>
      </c>
      <c r="DQ128" s="231" t="str">
        <f>VLOOKUP(WWWW[[#This Row],[Site Name]],SiteDB6[[Site Name]:[Pcode]],3,FALSE)</f>
        <v>MMR001CMP227</v>
      </c>
      <c r="DR128" s="207" t="str">
        <f t="shared" si="4"/>
        <v>Notcovered</v>
      </c>
      <c r="DS128" s="207"/>
      <c r="DT128" s="20"/>
      <c r="DU128" s="20"/>
      <c r="DV128" s="20"/>
      <c r="DW128" s="20"/>
      <c r="DX128" s="20"/>
      <c r="DY128" s="20"/>
      <c r="DZ128" s="20"/>
      <c r="EA128" s="20"/>
      <c r="EB128" s="20"/>
      <c r="EC128" s="20"/>
      <c r="ED128" s="20"/>
      <c r="EE128" s="20"/>
      <c r="EF128" s="20"/>
      <c r="EG128" s="20"/>
      <c r="EH128" s="20"/>
    </row>
    <row r="129" spans="1:138" ht="15.75" customHeight="1">
      <c r="A129" s="238" t="s">
        <v>2518</v>
      </c>
      <c r="B129" s="238" t="s">
        <v>149</v>
      </c>
      <c r="C129" s="574" t="s">
        <v>149</v>
      </c>
      <c r="D129" s="574" t="s">
        <v>158</v>
      </c>
      <c r="E129" s="574" t="s">
        <v>39</v>
      </c>
      <c r="F129" s="574" t="s">
        <v>192</v>
      </c>
      <c r="G129" s="574" t="str">
        <f>VLOOKUP(WWWW[[#This Row],[Site Name]],SiteDB6[[Site Name]:[Location Type]],8,FALSE)</f>
        <v>Camp</v>
      </c>
      <c r="H129" s="574" t="s">
        <v>195</v>
      </c>
      <c r="I129" s="583">
        <v>63</v>
      </c>
      <c r="J129" s="583">
        <v>325</v>
      </c>
      <c r="K129" s="553">
        <v>43556</v>
      </c>
      <c r="L129" s="77">
        <v>43677</v>
      </c>
      <c r="M129" s="583"/>
      <c r="N129" s="583"/>
      <c r="O129" s="583"/>
      <c r="P129" s="583">
        <v>30</v>
      </c>
      <c r="Q129" s="76" t="s">
        <v>43</v>
      </c>
      <c r="R129" s="310"/>
      <c r="S129" s="310"/>
      <c r="T129" s="583">
        <v>0</v>
      </c>
      <c r="U129" s="310"/>
      <c r="V129" s="310"/>
      <c r="W129" s="583">
        <v>0</v>
      </c>
      <c r="X129" s="310"/>
      <c r="Y129" s="310"/>
      <c r="Z129" s="310"/>
      <c r="AA129" s="310">
        <v>1</v>
      </c>
      <c r="AB129" s="310">
        <v>1</v>
      </c>
      <c r="AC129" s="310"/>
      <c r="AD129" s="310"/>
      <c r="AE129" s="310"/>
      <c r="AF129" s="310"/>
      <c r="AG129" s="310"/>
      <c r="AH129" s="583">
        <v>0</v>
      </c>
      <c r="AI129" s="310"/>
      <c r="AJ129" s="310"/>
      <c r="AK129" s="310"/>
      <c r="AL129" s="310"/>
      <c r="AM129" s="310"/>
      <c r="AN129" s="310"/>
      <c r="AO129" s="207"/>
      <c r="AP129" s="583">
        <v>65</v>
      </c>
      <c r="AQ129" s="310"/>
      <c r="AR129" s="76"/>
      <c r="AS129" s="310"/>
      <c r="AT129" s="310"/>
      <c r="AU129" s="310"/>
      <c r="AV129" s="310"/>
      <c r="AW129" s="583">
        <v>65</v>
      </c>
      <c r="AX129" s="231" t="s">
        <v>43</v>
      </c>
      <c r="AY129" s="231" t="s">
        <v>145</v>
      </c>
      <c r="AZ129" s="310"/>
      <c r="BA129" s="310"/>
      <c r="BB129" s="310"/>
      <c r="BC129" s="207"/>
      <c r="BD129" s="310"/>
      <c r="BE129" s="310"/>
      <c r="BF129" s="310"/>
      <c r="BG129" s="310">
        <v>0</v>
      </c>
      <c r="BH129" s="310"/>
      <c r="BI129" s="310"/>
      <c r="BJ129" s="310">
        <v>2</v>
      </c>
      <c r="BK129" s="310"/>
      <c r="BL129" s="310"/>
      <c r="BM129" s="207"/>
      <c r="BN129" s="79"/>
      <c r="BO129" s="81"/>
      <c r="BP129" s="207"/>
      <c r="BQ129" s="78" t="str">
        <f>IFERROR(WWWW[[#This Row],['#_Water sources treated]]/WWWW[[#This Row],['#_Water sources tested for contamination]],"no test")</f>
        <v>no test</v>
      </c>
      <c r="BR129" s="81" t="str">
        <f>IFERROR(WWWW[[#This Row],['#_Household received remediation action due to contamination]]/WWWW[[#This Row],['#_Household water samples tested for contamination]],"no test")</f>
        <v>no test</v>
      </c>
      <c r="BS129" s="80" t="str">
        <f>IF(AND(WWWW[[#This Row],[% of water sources treated]]="no test",WWWW[[#This Row],[% Household received corrective actions]]="no test"),"No Test","Tested")</f>
        <v>No Test</v>
      </c>
      <c r="BT129" s="80">
        <f>WWWW[[#This Row],['#_Constructed/existing protected hand dug well]]-WWWW[[#This Row],['#_Non-functional protected hand dug well]]</f>
        <v>0</v>
      </c>
      <c r="BU129" s="80">
        <f>(WWWW[[#This Row],['#_Constructed/Existing tube wells/boreholes/handpumps_WASH_agency]]+WWWW[[#This Row],['#_Non-Cluster partner water tube-wells/boreholes/handpumps]])-WWWW[[#This Row],['#_Non-functional tube wells/boreholes/handpumps]]</f>
        <v>0</v>
      </c>
      <c r="BV129" s="80">
        <f>WWWW[[#This Row],['#_Constructed/Existingwater storage tank with gravity fed reticulation system]]-WWWW[[#This Row],['#_Non-functional storage tank gravity fed reticulation system]]</f>
        <v>0</v>
      </c>
      <c r="BW129" s="80">
        <f>WWWW[[#This Row],['#_Water boating or water trucking]]</f>
        <v>0</v>
      </c>
      <c r="BX129" s="80">
        <f>WWWW[[#This Row],['#_Constructed/Existing water distribution system from river or natural spring]]</f>
        <v>0</v>
      </c>
      <c r="BY12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2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29" s="81">
        <f>IF(WWWW[[#This Row],[Location Type 1]]="Village",WWWW[[#This Row],[Access to safe drinking water for Village]],WWWW[[#This Row],[Access to safe drinking water for Camp]])</f>
        <v>0</v>
      </c>
      <c r="CB129" s="79">
        <f>WWWW[[#This Row],[%Equitable and continuous access to sufficient quantity of safe drinking water]]*WWWW[[#This Row],[Total PoP ]]</f>
        <v>0</v>
      </c>
      <c r="CC129" s="81">
        <f>IF((WWWW[[#This Row],['#_Constructed/Existing protected/fenced ponds]]*250)/WWWW[[#This Row],[Total PoP ]]&gt;1,1,(WWWW[[#This Row],['#_Constructed/Existing protected/fenced ponds]]*250)/WWWW[[#This Row],[Total PoP ]])</f>
        <v>0</v>
      </c>
      <c r="CD129" s="79">
        <f>WWWW[[#This Row],[% Access to unimproved water points]]*WWWW[[#This Row],[Total PoP ]]</f>
        <v>0</v>
      </c>
      <c r="CE12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2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29" s="79">
        <f>WWWW[[#This Row],[HRP1]]/500</f>
        <v>0</v>
      </c>
      <c r="CH129" s="78">
        <f>1-WWWW[[#This Row],[% Equitable and continuous access to sufficient quantity of domestic water]]</f>
        <v>1</v>
      </c>
      <c r="CI129" s="79">
        <f>WWWW[[#This Row],[%equitable and continuous access to sufficient quantity of safe drinking and domestic water''s GAP]]*WWWW[[#This Row],[Total PoP ]]</f>
        <v>325</v>
      </c>
      <c r="CJ129" s="80">
        <f>IF(WWWW[[#This Row],[Total required water points]]-WWWW[[#This Row],['#Water points coverage]]&lt;0,0,WWWW[[#This Row],[Total required water points]]-WWWW[[#This Row],['#Water points coverage]])</f>
        <v>1</v>
      </c>
      <c r="CK129" s="80">
        <f>ROUND(IF(WWWW[[#This Row],[Total PoP ]]&lt;500,1,WWWW[[#This Row],[Total PoP ]]/500),0)</f>
        <v>1</v>
      </c>
      <c r="CL129" s="80">
        <f>(WWWW[[#This Row],['#_Constructed latrines_by_WASHAgencies]]+WWWW[[#This Row],['#_Non Cluster partner latrines]])-WWWW[[#This Row],['#_Non-functional latrines]]</f>
        <v>65</v>
      </c>
      <c r="CM12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2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325</v>
      </c>
      <c r="CO12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29" s="80">
        <f>IF(WWWW[[#This Row],[Location Type 1]]="Village","NA",IF(WWWW[[#This Row],['#_Constructed/Existing latrines in TLS]]*50&gt;WWWW[[#This Row],['#_students at TLS_CFS]],WWWW[[#This Row],['#_students at TLS_CFS]],(WWWW[[#This Row],['#_Constructed/Existing latrines in TLS]]*50)))</f>
        <v>0</v>
      </c>
      <c r="CQ129" s="80">
        <f>ROUND(IF(WWWW[[#This Row],[Location Type 1]]="camp",WWWW[[#This Row],[Total PoP ]]/20,IF(WWWW[[#This Row],[Location Type 1]]="Temporary Location",WWWW[[#This Row],[Total PoP ]]/50,(WWWW[[#This Row],[Total PoP ]]/6))),0)</f>
        <v>16</v>
      </c>
      <c r="CR129" s="79">
        <f>IF(WWWW[[#This Row],[Total required Latrines]]-(WWWW[[#This Row],['#_Constructed latrines_by_WASHAgencies]]+WWWW[[#This Row],['#_Non Cluster partner latrines]])&lt;0,0,WWWW[[#This Row],[Total required Latrines]]-(WWWW[[#This Row],['#_Constructed latrines_by_WASHAgencies]]+WWWW[[#This Row],['#_Non Cluster partner latrines]]))</f>
        <v>0</v>
      </c>
      <c r="CS129" s="78">
        <f>1-WWWW[[#This Row],[% people access to functioning Latrine]]</f>
        <v>0</v>
      </c>
      <c r="CT129" s="82">
        <f>IF(OR(WWWW[[#This Row],['#_Non-functional latrines]]="",WWWW[[#This Row],['#_Non-functional latrines]]=0),0,WWWW[[#This Row],['#_Non-functional latrines]]/(WWWW[[#This Row],['#_Constructed latrines_by_WASHAgencies]]+WWWW[[#This Row],['#_Non Cluster partner latrines]]))</f>
        <v>0</v>
      </c>
      <c r="CU129" s="79">
        <f>IF(500*(WWWW[[#This Row],['#_male hygiene promoters]]+WWWW[[#This Row],['#_female hygiene promoters]])&gt;WWWW[[#This Row],[Total PoP ]],WWWW[[#This Row],[Total PoP ]],500*(WWWW[[#This Row],['#_male hygiene promoters]]+WWWW[[#This Row],['#_female hygiene promoters]]))</f>
        <v>325</v>
      </c>
      <c r="CV12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2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29" s="80">
        <f>IF(WWWW[[#This Row],['# People with access to soap]]&gt;WWWW[[#This Row],['# People with access to Sanity Pads]],WWWW[[#This Row],['# People with access to soap]],WWWW[[#This Row],['# People with access to Sanity Pads]])</f>
        <v>0</v>
      </c>
      <c r="CY129" s="80">
        <f>IF(WWWW[[#This Row],['# people reached by regular dedicated hygiene promotion_5]]&gt;WWWW[[#This Row],['# People received regular supply of hygiene items_6]],WWWW[[#This Row],['# people reached by regular dedicated hygiene promotion_5]],WWWW[[#This Row],['# People received regular supply of hygiene items_6]])</f>
        <v>325</v>
      </c>
      <c r="CZ129" s="78">
        <f>IF(WWWW[[#This Row],[HRP3]]/WWWW[[#This Row],[Total PoP ]]&gt;100%,100%,WWWW[[#This Row],[HRP3]]/WWWW[[#This Row],[Total PoP ]])</f>
        <v>1</v>
      </c>
      <c r="DA129" s="82">
        <f>1-WWWW[[#This Row],[Hygiene Coverage%]]</f>
        <v>0</v>
      </c>
      <c r="DB129" s="81">
        <f>WWWW[[#This Row],['# people reached by regular dedicated hygiene promotion_5]]/WWWW[[#This Row],[Total PoP ]]</f>
        <v>1</v>
      </c>
      <c r="DC129" s="81">
        <f>IF(WWWW[[#This Row],['#_households that received standard amount of soap for this quarter]]/WWWW[[#This Row],[Total HH]]&gt;1,1,WWWW[[#This Row],['#_households that received standard amount of soap for this quarter]]/WWWW[[#This Row],[Total HH]])</f>
        <v>0</v>
      </c>
      <c r="DD129" s="81">
        <f>IF(WWWW[[#This Row],['#_households that received standard amount of sanitary pads for this quarter]]/WWWW[[#This Row],[Total HH]]&gt;1,1,WWWW[[#This Row],['#_households that received standard amount of sanitary pads for this quarter]]/WWWW[[#This Row],[Total HH]])</f>
        <v>0</v>
      </c>
      <c r="DE129" s="80">
        <f>WWWW[[#This Row],['#_Constructed/Existing hand washing stations]]-WWWW[[#This Row],['#_Non-Functional_hand_washing_stations]]</f>
        <v>0</v>
      </c>
      <c r="DF129" s="757">
        <f>IF(WWWW[[#This Row],['# Functional hand washing stations during reporting period]]*20&gt;WWWW[[#This Row],[Total HH]],WWWW[[#This Row],[Total HH]],WWWW[[#This Row],['# Functional hand washing stations during reporting period]]*20)</f>
        <v>0</v>
      </c>
      <c r="DG129" s="79">
        <f>IF(WWWW[[#This Row],[Is sufficient soap available for TLS? (Yes/No)]]="yes",WWWW[[#This Row],['#_Constructed/Existing hand washing stations at TLS]],0)</f>
        <v>0</v>
      </c>
      <c r="DH129" s="578">
        <f>IF(WWWW[[#This Row],['# Functional hand washing stations during reporting period]]*100&gt;WWWW[[#This Row],[Total PoP ]],WWWW[[#This Row],[Total PoP ]],WWWW[[#This Row],['# Functional hand washing stations during reporting period]]*100)</f>
        <v>0</v>
      </c>
      <c r="DI129" s="578" t="str">
        <f>IF(OR(WWWW[[#This Row],['#_students at TLS_CFS]]="",WWWW[[#This Row],['#_students at TLS_CFS]]=0),"No","Yes")</f>
        <v>No</v>
      </c>
      <c r="DJ129" s="231" t="str">
        <f>VLOOKUP(WWWW[[#This Row],[Site Name]],SiteDB6[[Site Name]:[CCCM Management]],6,FALSE)</f>
        <v>Yes</v>
      </c>
      <c r="DK129" s="231" t="str">
        <f>VLOOKUP(WWWW[[#This Row],[Site Name]],SiteDB6[[Site Name]:[CCCM Focal Agency]],7,FALSE)</f>
        <v>KBC-MYT</v>
      </c>
      <c r="DL129" s="231" t="str">
        <f>VLOOKUP(WWWW[[#This Row],[Site Name]],SiteDB6[[Site Name]:[Location Type 1]],9,FALSE)</f>
        <v>Camp</v>
      </c>
      <c r="DM129" s="231" t="str">
        <f>VLOOKUP(WWWW[[#This Row],[Site Name]],SiteDB6[[Site Name]:[Type of Accommodation]],10,FALSE)</f>
        <v>Camp</v>
      </c>
      <c r="DN129" s="231" t="str">
        <f>VLOOKUP(WWWW[[#This Row],[Site Name]],SiteDB6[[Site Name]:[Ethnic or GCA/NGCA]],11,FALSE)</f>
        <v>NGCA</v>
      </c>
      <c r="DO129" s="231">
        <f>VLOOKUP(WWWW[[#This Row],[Site Name]],SiteDB6[[Site Name]:[Lat]],12,FALSE)</f>
        <v>26.548506</v>
      </c>
      <c r="DP129" s="231">
        <f>VLOOKUP(WWWW[[#This Row],[Site Name]],SiteDB6[[Site Name]:[Long]],13,FALSE)</f>
        <v>97.75609</v>
      </c>
      <c r="DQ129" s="231" t="str">
        <f>VLOOKUP(WWWW[[#This Row],[Site Name]],SiteDB6[[Site Name]:[Pcode]],3,FALSE)</f>
        <v>MMR001CMP239</v>
      </c>
      <c r="DR129" s="207" t="str">
        <f t="shared" si="4"/>
        <v>Covered</v>
      </c>
      <c r="DS129" s="207"/>
      <c r="DT129" s="20"/>
      <c r="DU129" s="20"/>
      <c r="DV129" s="20"/>
      <c r="DW129" s="20"/>
      <c r="DX129" s="20"/>
      <c r="DY129" s="20"/>
      <c r="DZ129" s="20"/>
      <c r="EA129" s="20"/>
      <c r="EB129" s="20"/>
      <c r="EC129" s="20"/>
      <c r="ED129" s="20"/>
      <c r="EE129" s="20"/>
      <c r="EF129" s="20"/>
      <c r="EG129" s="20"/>
      <c r="EH129" s="20"/>
    </row>
    <row r="130" spans="1:138" ht="15.75" customHeight="1">
      <c r="A130" s="238" t="s">
        <v>2518</v>
      </c>
      <c r="B130" s="574" t="s">
        <v>317</v>
      </c>
      <c r="C130" s="574" t="s">
        <v>317</v>
      </c>
      <c r="D130" s="574"/>
      <c r="E130" s="574" t="s">
        <v>39</v>
      </c>
      <c r="F130" s="574" t="s">
        <v>181</v>
      </c>
      <c r="G130" s="574" t="str">
        <f>VLOOKUP(WWWW[[#This Row],[Site Name]],SiteDB6[[Site Name]:[Location Type]],8,FALSE)</f>
        <v>Camp</v>
      </c>
      <c r="H130" s="76" t="s">
        <v>1094</v>
      </c>
      <c r="I130" s="583">
        <v>14</v>
      </c>
      <c r="J130" s="583">
        <v>75</v>
      </c>
      <c r="K130" s="553"/>
      <c r="L130" s="77"/>
      <c r="M130" s="583"/>
      <c r="N130" s="583"/>
      <c r="O130" s="583"/>
      <c r="P130" s="583"/>
      <c r="Q130" s="76"/>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207"/>
      <c r="AP130" s="310"/>
      <c r="AQ130" s="310"/>
      <c r="AR130" s="76"/>
      <c r="AS130" s="310"/>
      <c r="AT130" s="310"/>
      <c r="AU130" s="310"/>
      <c r="AV130" s="310"/>
      <c r="AW130" s="310"/>
      <c r="AX130" s="231"/>
      <c r="AY130" s="231"/>
      <c r="AZ130" s="310"/>
      <c r="BA130" s="310"/>
      <c r="BB130" s="310"/>
      <c r="BC130" s="207"/>
      <c r="BD130" s="310"/>
      <c r="BE130" s="310"/>
      <c r="BF130" s="310"/>
      <c r="BG130" s="310"/>
      <c r="BH130" s="310"/>
      <c r="BI130" s="310"/>
      <c r="BJ130" s="310"/>
      <c r="BK130" s="310"/>
      <c r="BL130" s="310"/>
      <c r="BM130" s="207"/>
      <c r="BN130" s="79"/>
      <c r="BO130" s="81"/>
      <c r="BP130" s="207"/>
      <c r="BQ130" s="78" t="str">
        <f>IFERROR(WWWW[[#This Row],['#_Water sources treated]]/WWWW[[#This Row],['#_Water sources tested for contamination]],"no test")</f>
        <v>no test</v>
      </c>
      <c r="BR130" s="81" t="str">
        <f>IFERROR(WWWW[[#This Row],['#_Household received remediation action due to contamination]]/WWWW[[#This Row],['#_Household water samples tested for contamination]],"no test")</f>
        <v>no test</v>
      </c>
      <c r="BS130" s="80" t="str">
        <f>IF(AND(WWWW[[#This Row],[% of water sources treated]]="no test",WWWW[[#This Row],[% Household received corrective actions]]="no test"),"No Test","Tested")</f>
        <v>No Test</v>
      </c>
      <c r="BT130" s="80">
        <f>WWWW[[#This Row],['#_Constructed/existing protected hand dug well]]-WWWW[[#This Row],['#_Non-functional protected hand dug well]]</f>
        <v>0</v>
      </c>
      <c r="BU130" s="80">
        <f>(WWWW[[#This Row],['#_Constructed/Existing tube wells/boreholes/handpumps_WASH_agency]]+WWWW[[#This Row],['#_Non-Cluster partner water tube-wells/boreholes/handpumps]])-WWWW[[#This Row],['#_Non-functional tube wells/boreholes/handpumps]]</f>
        <v>0</v>
      </c>
      <c r="BV130" s="80">
        <f>WWWW[[#This Row],['#_Constructed/Existingwater storage tank with gravity fed reticulation system]]-WWWW[[#This Row],['#_Non-functional storage tank gravity fed reticulation system]]</f>
        <v>0</v>
      </c>
      <c r="BW130" s="80">
        <f>WWWW[[#This Row],['#_Water boating or water trucking]]</f>
        <v>0</v>
      </c>
      <c r="BX130" s="80">
        <f>WWWW[[#This Row],['#_Constructed/Existing water distribution system from river or natural spring]]</f>
        <v>0</v>
      </c>
      <c r="BY13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3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30" s="81">
        <f>IF(WWWW[[#This Row],[Location Type 1]]="Village",WWWW[[#This Row],[Access to safe drinking water for Village]],WWWW[[#This Row],[Access to safe drinking water for Camp]])</f>
        <v>0</v>
      </c>
      <c r="CB130" s="79">
        <f>WWWW[[#This Row],[%Equitable and continuous access to sufficient quantity of safe drinking water]]*WWWW[[#This Row],[Total PoP ]]</f>
        <v>0</v>
      </c>
      <c r="CC130" s="81">
        <f>IF((WWWW[[#This Row],['#_Constructed/Existing protected/fenced ponds]]*250)/WWWW[[#This Row],[Total PoP ]]&gt;1,1,(WWWW[[#This Row],['#_Constructed/Existing protected/fenced ponds]]*250)/WWWW[[#This Row],[Total PoP ]])</f>
        <v>0</v>
      </c>
      <c r="CD130" s="79">
        <f>WWWW[[#This Row],[% Access to unimproved water points]]*WWWW[[#This Row],[Total PoP ]]</f>
        <v>0</v>
      </c>
      <c r="CE13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3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30" s="79">
        <f>WWWW[[#This Row],[HRP1]]/500</f>
        <v>0</v>
      </c>
      <c r="CH130" s="78">
        <f>1-WWWW[[#This Row],[% Equitable and continuous access to sufficient quantity of domestic water]]</f>
        <v>1</v>
      </c>
      <c r="CI130" s="79">
        <f>WWWW[[#This Row],[%equitable and continuous access to sufficient quantity of safe drinking and domestic water''s GAP]]*WWWW[[#This Row],[Total PoP ]]</f>
        <v>75</v>
      </c>
      <c r="CJ130" s="80">
        <f>IF(WWWW[[#This Row],[Total required water points]]-WWWW[[#This Row],['#Water points coverage]]&lt;0,0,WWWW[[#This Row],[Total required water points]]-WWWW[[#This Row],['#Water points coverage]])</f>
        <v>1</v>
      </c>
      <c r="CK130" s="80">
        <f>ROUND(IF(WWWW[[#This Row],[Total PoP ]]&lt;500,1,WWWW[[#This Row],[Total PoP ]]/500),0)</f>
        <v>1</v>
      </c>
      <c r="CL130" s="80">
        <f>(WWWW[[#This Row],['#_Constructed latrines_by_WASHAgencies]]+WWWW[[#This Row],['#_Non Cluster partner latrines]])-WWWW[[#This Row],['#_Non-functional latrines]]</f>
        <v>0</v>
      </c>
      <c r="CM13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3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3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0" s="80">
        <f>IF(WWWW[[#This Row],[Location Type 1]]="Village","NA",IF(WWWW[[#This Row],['#_Constructed/Existing latrines in TLS]]*50&gt;WWWW[[#This Row],['#_students at TLS_CFS]],WWWW[[#This Row],['#_students at TLS_CFS]],(WWWW[[#This Row],['#_Constructed/Existing latrines in TLS]]*50)))</f>
        <v>0</v>
      </c>
      <c r="CQ130" s="80">
        <f>ROUND(IF(WWWW[[#This Row],[Location Type 1]]="camp",WWWW[[#This Row],[Total PoP ]]/20,IF(WWWW[[#This Row],[Location Type 1]]="Temporary Location",WWWW[[#This Row],[Total PoP ]]/50,(WWWW[[#This Row],[Total PoP ]]/6))),0)</f>
        <v>4</v>
      </c>
      <c r="CR130" s="79">
        <f>IF(WWWW[[#This Row],[Total required Latrines]]-(WWWW[[#This Row],['#_Constructed latrines_by_WASHAgencies]]+WWWW[[#This Row],['#_Non Cluster partner latrines]])&lt;0,0,WWWW[[#This Row],[Total required Latrines]]-(WWWW[[#This Row],['#_Constructed latrines_by_WASHAgencies]]+WWWW[[#This Row],['#_Non Cluster partner latrines]]))</f>
        <v>4</v>
      </c>
      <c r="CS130" s="78">
        <f>1-WWWW[[#This Row],[% people access to functioning Latrine]]</f>
        <v>1</v>
      </c>
      <c r="CT130" s="82">
        <f>IF(OR(WWWW[[#This Row],['#_Non-functional latrines]]="",WWWW[[#This Row],['#_Non-functional latrines]]=0),0,WWWW[[#This Row],['#_Non-functional latrines]]/(WWWW[[#This Row],['#_Constructed latrines_by_WASHAgencies]]+WWWW[[#This Row],['#_Non Cluster partner latrines]]))</f>
        <v>0</v>
      </c>
      <c r="CU130" s="79">
        <f>IF(500*(WWWW[[#This Row],['#_male hygiene promoters]]+WWWW[[#This Row],['#_female hygiene promoters]])&gt;WWWW[[#This Row],[Total PoP ]],WWWW[[#This Row],[Total PoP ]],500*(WWWW[[#This Row],['#_male hygiene promoters]]+WWWW[[#This Row],['#_female hygiene promoters]]))</f>
        <v>0</v>
      </c>
      <c r="CV13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0" s="80">
        <f>IF(WWWW[[#This Row],['# People with access to soap]]&gt;WWWW[[#This Row],['# People with access to Sanity Pads]],WWWW[[#This Row],['# People with access to soap]],WWWW[[#This Row],['# People with access to Sanity Pads]])</f>
        <v>0</v>
      </c>
      <c r="CY13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0" s="78">
        <f>IF(WWWW[[#This Row],[HRP3]]/WWWW[[#This Row],[Total PoP ]]&gt;100%,100%,WWWW[[#This Row],[HRP3]]/WWWW[[#This Row],[Total PoP ]])</f>
        <v>0</v>
      </c>
      <c r="DA130" s="82">
        <f>1-WWWW[[#This Row],[Hygiene Coverage%]]</f>
        <v>1</v>
      </c>
      <c r="DB130" s="81">
        <f>WWWW[[#This Row],['# people reached by regular dedicated hygiene promotion_5]]/WWWW[[#This Row],[Total PoP ]]</f>
        <v>0</v>
      </c>
      <c r="DC130" s="81">
        <f>IF(WWWW[[#This Row],['#_households that received standard amount of soap for this quarter]]/WWWW[[#This Row],[Total HH]]&gt;1,1,WWWW[[#This Row],['#_households that received standard amount of soap for this quarter]]/WWWW[[#This Row],[Total HH]])</f>
        <v>0</v>
      </c>
      <c r="DD130" s="81">
        <f>IF(WWWW[[#This Row],['#_households that received standard amount of sanitary pads for this quarter]]/WWWW[[#This Row],[Total HH]]&gt;1,1,WWWW[[#This Row],['#_households that received standard amount of sanitary pads for this quarter]]/WWWW[[#This Row],[Total HH]])</f>
        <v>0</v>
      </c>
      <c r="DE130" s="80">
        <f>WWWW[[#This Row],['#_Constructed/Existing hand washing stations]]-WWWW[[#This Row],['#_Non-Functional_hand_washing_stations]]</f>
        <v>0</v>
      </c>
      <c r="DF130" s="757">
        <f>IF(WWWW[[#This Row],['# Functional hand washing stations during reporting period]]*20&gt;WWWW[[#This Row],[Total HH]],WWWW[[#This Row],[Total HH]],WWWW[[#This Row],['# Functional hand washing stations during reporting period]]*20)</f>
        <v>0</v>
      </c>
      <c r="DG130" s="79">
        <f>IF(WWWW[[#This Row],[Is sufficient soap available for TLS? (Yes/No)]]="yes",WWWW[[#This Row],['#_Constructed/Existing hand washing stations at TLS]],0)</f>
        <v>0</v>
      </c>
      <c r="DH130" s="578">
        <f>IF(WWWW[[#This Row],['# Functional hand washing stations during reporting period]]*100&gt;WWWW[[#This Row],[Total PoP ]],WWWW[[#This Row],[Total PoP ]],WWWW[[#This Row],['# Functional hand washing stations during reporting period]]*100)</f>
        <v>0</v>
      </c>
      <c r="DI130" s="578" t="str">
        <f>IF(OR(WWWW[[#This Row],['#_students at TLS_CFS]]="",WWWW[[#This Row],['#_students at TLS_CFS]]=0),"No","Yes")</f>
        <v>No</v>
      </c>
      <c r="DJ130" s="231">
        <f>VLOOKUP(WWWW[[#This Row],[Site Name]],SiteDB6[[Site Name]:[CCCM Management]],6,FALSE)</f>
        <v>0</v>
      </c>
      <c r="DK130" s="231" t="str">
        <f>VLOOKUP(WWWW[[#This Row],[Site Name]],SiteDB6[[Site Name]:[CCCM Focal Agency]],7,FALSE)</f>
        <v>uncovered</v>
      </c>
      <c r="DL130" s="231" t="str">
        <f>VLOOKUP(WWWW[[#This Row],[Site Name]],SiteDB6[[Site Name]:[Location Type 1]],9,FALSE)</f>
        <v>Camp</v>
      </c>
      <c r="DM130" s="231" t="str">
        <f>VLOOKUP(WWWW[[#This Row],[Site Name]],SiteDB6[[Site Name]:[Type of Accommodation]],10,FALSE)</f>
        <v>Host Families</v>
      </c>
      <c r="DN130" s="231" t="str">
        <f>VLOOKUP(WWWW[[#This Row],[Site Name]],SiteDB6[[Site Name]:[Ethnic or GCA/NGCA]],11,FALSE)</f>
        <v>GCA</v>
      </c>
      <c r="DO130" s="231">
        <f>VLOOKUP(WWWW[[#This Row],[Site Name]],SiteDB6[[Site Name]:[Lat]],12,FALSE)</f>
        <v>27.311699999999998</v>
      </c>
      <c r="DP130" s="231">
        <f>VLOOKUP(WWWW[[#This Row],[Site Name]],SiteDB6[[Site Name]:[Long]],13,FALSE)</f>
        <v>97.415289999999999</v>
      </c>
      <c r="DQ130" s="231" t="str">
        <f>VLOOKUP(WWWW[[#This Row],[Site Name]],SiteDB6[[Site Name]:[Pcode]],3,FALSE)</f>
        <v>MMR001CMP075</v>
      </c>
      <c r="DR130" s="207" t="str">
        <f t="shared" si="4"/>
        <v>Notcovered</v>
      </c>
      <c r="DS130" s="207"/>
      <c r="DT130" s="20"/>
      <c r="DU130" s="20"/>
      <c r="DV130" s="20"/>
      <c r="DW130" s="20"/>
      <c r="DX130" s="20"/>
      <c r="DY130" s="20"/>
      <c r="DZ130" s="20"/>
      <c r="EA130" s="20"/>
      <c r="EB130" s="20"/>
      <c r="EC130" s="20"/>
      <c r="ED130" s="20"/>
      <c r="EE130" s="20"/>
      <c r="EF130" s="20"/>
      <c r="EG130" s="20"/>
      <c r="EH130" s="20"/>
    </row>
    <row r="131" spans="1:138" ht="15.75" customHeight="1">
      <c r="A131" s="238" t="s">
        <v>2518</v>
      </c>
      <c r="B131" s="238" t="s">
        <v>149</v>
      </c>
      <c r="C131" s="574" t="s">
        <v>149</v>
      </c>
      <c r="D131" s="574" t="s">
        <v>158</v>
      </c>
      <c r="E131" s="574" t="s">
        <v>39</v>
      </c>
      <c r="F131" s="574" t="s">
        <v>160</v>
      </c>
      <c r="G131" s="574" t="str">
        <f>VLOOKUP(WWWW[[#This Row],[Site Name]],SiteDB6[[Site Name]:[Location Type]],8,FALSE)</f>
        <v>Camp</v>
      </c>
      <c r="H131" s="574" t="s">
        <v>164</v>
      </c>
      <c r="I131" s="583">
        <v>28</v>
      </c>
      <c r="J131" s="583">
        <v>136</v>
      </c>
      <c r="K131" s="553">
        <v>43556</v>
      </c>
      <c r="L131" s="77">
        <v>43677</v>
      </c>
      <c r="M131" s="583"/>
      <c r="N131" s="583"/>
      <c r="O131" s="583"/>
      <c r="P131" s="583"/>
      <c r="Q131" s="76" t="s">
        <v>43</v>
      </c>
      <c r="R131" s="310"/>
      <c r="S131" s="310"/>
      <c r="T131" s="583">
        <v>1</v>
      </c>
      <c r="U131" s="310"/>
      <c r="V131" s="310"/>
      <c r="W131" s="583">
        <v>1</v>
      </c>
      <c r="X131" s="310"/>
      <c r="Y131" s="310"/>
      <c r="Z131" s="310"/>
      <c r="AA131" s="310"/>
      <c r="AB131" s="310"/>
      <c r="AC131" s="310"/>
      <c r="AD131" s="310"/>
      <c r="AE131" s="310"/>
      <c r="AF131" s="310"/>
      <c r="AG131" s="310"/>
      <c r="AH131" s="583">
        <v>3</v>
      </c>
      <c r="AI131" s="310"/>
      <c r="AJ131" s="310"/>
      <c r="AK131" s="310"/>
      <c r="AL131" s="310"/>
      <c r="AM131" s="310"/>
      <c r="AN131" s="310"/>
      <c r="AO131" s="207"/>
      <c r="AP131" s="583">
        <v>12</v>
      </c>
      <c r="AQ131" s="310"/>
      <c r="AR131" s="76"/>
      <c r="AS131" s="310"/>
      <c r="AT131" s="310"/>
      <c r="AU131" s="310"/>
      <c r="AV131" s="310"/>
      <c r="AW131" s="583">
        <v>12</v>
      </c>
      <c r="AX131" s="231" t="s">
        <v>43</v>
      </c>
      <c r="AY131" s="231" t="s">
        <v>1200</v>
      </c>
      <c r="AZ131" s="310"/>
      <c r="BA131" s="310"/>
      <c r="BB131" s="310"/>
      <c r="BC131" s="207"/>
      <c r="BD131" s="310"/>
      <c r="BE131" s="310"/>
      <c r="BF131" s="310"/>
      <c r="BG131" s="310">
        <v>2</v>
      </c>
      <c r="BH131" s="310"/>
      <c r="BI131" s="310"/>
      <c r="BJ131" s="310">
        <v>1</v>
      </c>
      <c r="BK131" s="310"/>
      <c r="BL131" s="310"/>
      <c r="BM131" s="207"/>
      <c r="BN131" s="79"/>
      <c r="BO131" s="81"/>
      <c r="BP131" s="207"/>
      <c r="BQ131" s="78" t="str">
        <f>IFERROR(WWWW[[#This Row],['#_Water sources treated]]/WWWW[[#This Row],['#_Water sources tested for contamination]],"no test")</f>
        <v>no test</v>
      </c>
      <c r="BR131" s="81" t="str">
        <f>IFERROR(WWWW[[#This Row],['#_Household received remediation action due to contamination]]/WWWW[[#This Row],['#_Household water samples tested for contamination]],"no test")</f>
        <v>no test</v>
      </c>
      <c r="BS131" s="80" t="str">
        <f>IF(AND(WWWW[[#This Row],[% of water sources treated]]="no test",WWWW[[#This Row],[% Household received corrective actions]]="no test"),"No Test","Tested")</f>
        <v>No Test</v>
      </c>
      <c r="BT131" s="80">
        <f>WWWW[[#This Row],['#_Constructed/existing protected hand dug well]]-WWWW[[#This Row],['#_Non-functional protected hand dug well]]</f>
        <v>1</v>
      </c>
      <c r="BU131" s="80">
        <f>(WWWW[[#This Row],['#_Constructed/Existing tube wells/boreholes/handpumps_WASH_agency]]+WWWW[[#This Row],['#_Non-Cluster partner water tube-wells/boreholes/handpumps]])-WWWW[[#This Row],['#_Non-functional tube wells/boreholes/handpumps]]</f>
        <v>1</v>
      </c>
      <c r="BV131" s="80">
        <f>WWWW[[#This Row],['#_Constructed/Existingwater storage tank with gravity fed reticulation system]]-WWWW[[#This Row],['#_Non-functional storage tank gravity fed reticulation system]]</f>
        <v>0</v>
      </c>
      <c r="BW131" s="80">
        <f>WWWW[[#This Row],['#_Water boating or water trucking]]</f>
        <v>0</v>
      </c>
      <c r="BX131" s="80">
        <f>WWWW[[#This Row],['#_Constructed/Existing water distribution system from river or natural spring]]</f>
        <v>0</v>
      </c>
      <c r="BY13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1" s="81">
        <f>IF(WWWW[[#This Row],[Location Type 1]]="Village",WWWW[[#This Row],[Access to safe drinking water for Village]],WWWW[[#This Row],[Access to safe drinking water for Camp]])</f>
        <v>1</v>
      </c>
      <c r="CB131" s="79">
        <f>WWWW[[#This Row],[%Equitable and continuous access to sufficient quantity of safe drinking water]]*WWWW[[#This Row],[Total PoP ]]</f>
        <v>136</v>
      </c>
      <c r="CC131" s="81">
        <f>IF((WWWW[[#This Row],['#_Constructed/Existing protected/fenced ponds]]*250)/WWWW[[#This Row],[Total PoP ]]&gt;1,1,(WWWW[[#This Row],['#_Constructed/Existing protected/fenced ponds]]*250)/WWWW[[#This Row],[Total PoP ]])</f>
        <v>0</v>
      </c>
      <c r="CD131" s="79">
        <f>WWWW[[#This Row],[% Access to unimproved water points]]*WWWW[[#This Row],[Total PoP ]]</f>
        <v>0</v>
      </c>
      <c r="CE13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G131" s="79">
        <f>WWWW[[#This Row],[HRP1]]/500</f>
        <v>0.27200000000000002</v>
      </c>
      <c r="CH131" s="78">
        <f>1-WWWW[[#This Row],[% Equitable and continuous access to sufficient quantity of domestic water]]</f>
        <v>0</v>
      </c>
      <c r="CI131" s="79">
        <f>WWWW[[#This Row],[%equitable and continuous access to sufficient quantity of safe drinking and domestic water''s GAP]]*WWWW[[#This Row],[Total PoP ]]</f>
        <v>0</v>
      </c>
      <c r="CJ131" s="80">
        <f>IF(WWWW[[#This Row],[Total required water points]]-WWWW[[#This Row],['#Water points coverage]]&lt;0,0,WWWW[[#This Row],[Total required water points]]-WWWW[[#This Row],['#Water points coverage]])</f>
        <v>0.72799999999999998</v>
      </c>
      <c r="CK131" s="80">
        <f>ROUND(IF(WWWW[[#This Row],[Total PoP ]]&lt;500,1,WWWW[[#This Row],[Total PoP ]]/500),0)</f>
        <v>1</v>
      </c>
      <c r="CL131" s="80">
        <f>(WWWW[[#This Row],['#_Constructed latrines_by_WASHAgencies]]+WWWW[[#This Row],['#_Non Cluster partner latrines]])-WWWW[[#This Row],['#_Non-functional latrines]]</f>
        <v>12</v>
      </c>
      <c r="CM13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136</v>
      </c>
      <c r="CO13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1" s="80">
        <f>IF(WWWW[[#This Row],[Location Type 1]]="Village","NA",IF(WWWW[[#This Row],['#_Constructed/Existing latrines in TLS]]*50&gt;WWWW[[#This Row],['#_students at TLS_CFS]],WWWW[[#This Row],['#_students at TLS_CFS]],(WWWW[[#This Row],['#_Constructed/Existing latrines in TLS]]*50)))</f>
        <v>0</v>
      </c>
      <c r="CQ131" s="80">
        <f>ROUND(IF(WWWW[[#This Row],[Location Type 1]]="camp",WWWW[[#This Row],[Total PoP ]]/20,IF(WWWW[[#This Row],[Location Type 1]]="Temporary Location",WWWW[[#This Row],[Total PoP ]]/50,(WWWW[[#This Row],[Total PoP ]]/6))),0)</f>
        <v>7</v>
      </c>
      <c r="CR131" s="79">
        <f>IF(WWWW[[#This Row],[Total required Latrines]]-(WWWW[[#This Row],['#_Constructed latrines_by_WASHAgencies]]+WWWW[[#This Row],['#_Non Cluster partner latrines]])&lt;0,0,WWWW[[#This Row],[Total required Latrines]]-(WWWW[[#This Row],['#_Constructed latrines_by_WASHAgencies]]+WWWW[[#This Row],['#_Non Cluster partner latrines]]))</f>
        <v>0</v>
      </c>
      <c r="CS131" s="78">
        <f>1-WWWW[[#This Row],[% people access to functioning Latrine]]</f>
        <v>0</v>
      </c>
      <c r="CT131" s="82">
        <f>IF(OR(WWWW[[#This Row],['#_Non-functional latrines]]="",WWWW[[#This Row],['#_Non-functional latrines]]=0),0,WWWW[[#This Row],['#_Non-functional latrines]]/(WWWW[[#This Row],['#_Constructed latrines_by_WASHAgencies]]+WWWW[[#This Row],['#_Non Cluster partner latrines]]))</f>
        <v>0</v>
      </c>
      <c r="CU131" s="79">
        <f>IF(500*(WWWW[[#This Row],['#_male hygiene promoters]]+WWWW[[#This Row],['#_female hygiene promoters]])&gt;WWWW[[#This Row],[Total PoP ]],WWWW[[#This Row],[Total PoP ]],500*(WWWW[[#This Row],['#_male hygiene promoters]]+WWWW[[#This Row],['#_female hygiene promoters]]))</f>
        <v>136</v>
      </c>
      <c r="CV13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1" s="80">
        <f>IF(WWWW[[#This Row],['# People with access to soap]]&gt;WWWW[[#This Row],['# People with access to Sanity Pads]],WWWW[[#This Row],['# People with access to soap]],WWWW[[#This Row],['# People with access to Sanity Pads]])</f>
        <v>0</v>
      </c>
      <c r="CY131" s="80">
        <f>IF(WWWW[[#This Row],['# people reached by regular dedicated hygiene promotion_5]]&gt;WWWW[[#This Row],['# People received regular supply of hygiene items_6]],WWWW[[#This Row],['# people reached by regular dedicated hygiene promotion_5]],WWWW[[#This Row],['# People received regular supply of hygiene items_6]])</f>
        <v>136</v>
      </c>
      <c r="CZ131" s="78">
        <f>IF(WWWW[[#This Row],[HRP3]]/WWWW[[#This Row],[Total PoP ]]&gt;100%,100%,WWWW[[#This Row],[HRP3]]/WWWW[[#This Row],[Total PoP ]])</f>
        <v>1</v>
      </c>
      <c r="DA131" s="82">
        <f>1-WWWW[[#This Row],[Hygiene Coverage%]]</f>
        <v>0</v>
      </c>
      <c r="DB131" s="81">
        <f>WWWW[[#This Row],['# people reached by regular dedicated hygiene promotion_5]]/WWWW[[#This Row],[Total PoP ]]</f>
        <v>1</v>
      </c>
      <c r="DC131" s="81">
        <f>IF(WWWW[[#This Row],['#_households that received standard amount of soap for this quarter]]/WWWW[[#This Row],[Total HH]]&gt;1,1,WWWW[[#This Row],['#_households that received standard amount of soap for this quarter]]/WWWW[[#This Row],[Total HH]])</f>
        <v>0</v>
      </c>
      <c r="DD131" s="81">
        <f>IF(WWWW[[#This Row],['#_households that received standard amount of sanitary pads for this quarter]]/WWWW[[#This Row],[Total HH]]&gt;1,1,WWWW[[#This Row],['#_households that received standard amount of sanitary pads for this quarter]]/WWWW[[#This Row],[Total HH]])</f>
        <v>0</v>
      </c>
      <c r="DE131" s="80">
        <f>WWWW[[#This Row],['#_Constructed/Existing hand washing stations]]-WWWW[[#This Row],['#_Non-Functional_hand_washing_stations]]</f>
        <v>0</v>
      </c>
      <c r="DF131" s="757">
        <f>IF(WWWW[[#This Row],['# Functional hand washing stations during reporting period]]*20&gt;WWWW[[#This Row],[Total HH]],WWWW[[#This Row],[Total HH]],WWWW[[#This Row],['# Functional hand washing stations during reporting period]]*20)</f>
        <v>0</v>
      </c>
      <c r="DG131" s="79">
        <f>IF(WWWW[[#This Row],[Is sufficient soap available for TLS? (Yes/No)]]="yes",WWWW[[#This Row],['#_Constructed/Existing hand washing stations at TLS]],0)</f>
        <v>0</v>
      </c>
      <c r="DH131" s="578">
        <f>IF(WWWW[[#This Row],['# Functional hand washing stations during reporting period]]*100&gt;WWWW[[#This Row],[Total PoP ]],WWWW[[#This Row],[Total PoP ]],WWWW[[#This Row],['# Functional hand washing stations during reporting period]]*100)</f>
        <v>0</v>
      </c>
      <c r="DI131" s="578" t="str">
        <f>IF(OR(WWWW[[#This Row],['#_students at TLS_CFS]]="",WWWW[[#This Row],['#_students at TLS_CFS]]=0),"No","Yes")</f>
        <v>No</v>
      </c>
      <c r="DJ131" s="231" t="str">
        <f>VLOOKUP(WWWW[[#This Row],[Site Name]],SiteDB6[[Site Name]:[CCCM Management]],6,FALSE)</f>
        <v>Yes</v>
      </c>
      <c r="DK131" s="231" t="str">
        <f>VLOOKUP(WWWW[[#This Row],[Site Name]],SiteDB6[[Site Name]:[CCCM Focal Agency]],7,FALSE)</f>
        <v>KBC</v>
      </c>
      <c r="DL131" s="231" t="str">
        <f>VLOOKUP(WWWW[[#This Row],[Site Name]],SiteDB6[[Site Name]:[Location Type 1]],9,FALSE)</f>
        <v>Camp</v>
      </c>
      <c r="DM131" s="231" t="str">
        <f>VLOOKUP(WWWW[[#This Row],[Site Name]],SiteDB6[[Site Name]:[Type of Accommodation]],10,FALSE)</f>
        <v>Camp</v>
      </c>
      <c r="DN131" s="231" t="str">
        <f>VLOOKUP(WWWW[[#This Row],[Site Name]],SiteDB6[[Site Name]:[Ethnic or GCA/NGCA]],11,FALSE)</f>
        <v>GCA</v>
      </c>
      <c r="DO131" s="231">
        <f>VLOOKUP(WWWW[[#This Row],[Site Name]],SiteDB6[[Site Name]:[Lat]],12,FALSE)</f>
        <v>25.225000000000001</v>
      </c>
      <c r="DP131" s="231">
        <f>VLOOKUP(WWWW[[#This Row],[Site Name]],SiteDB6[[Site Name]:[Long]],13,FALSE)</f>
        <v>96.793999999999997</v>
      </c>
      <c r="DQ131" s="231" t="str">
        <f>VLOOKUP(WWWW[[#This Row],[Site Name]],SiteDB6[[Site Name]:[Pcode]],3,FALSE)</f>
        <v>MMR001CMP236</v>
      </c>
      <c r="DR131" s="207" t="str">
        <f t="shared" si="4"/>
        <v>Covered</v>
      </c>
      <c r="DS131" s="207"/>
      <c r="DT131" s="20"/>
      <c r="DU131" s="20"/>
      <c r="DV131" s="20"/>
      <c r="DW131" s="20"/>
      <c r="DX131" s="20"/>
      <c r="DY131" s="20"/>
      <c r="DZ131" s="20"/>
      <c r="EA131" s="20"/>
      <c r="EB131" s="20"/>
      <c r="EC131" s="20"/>
      <c r="ED131" s="20"/>
      <c r="EE131" s="20"/>
      <c r="EF131" s="20"/>
      <c r="EG131" s="20"/>
      <c r="EH131" s="20"/>
    </row>
    <row r="132" spans="1:138" ht="15.75" customHeight="1">
      <c r="A132" s="238" t="s">
        <v>2518</v>
      </c>
      <c r="B132" s="238" t="s">
        <v>149</v>
      </c>
      <c r="C132" s="574" t="s">
        <v>149</v>
      </c>
      <c r="D132" s="584" t="s">
        <v>152</v>
      </c>
      <c r="E132" s="574" t="s">
        <v>39</v>
      </c>
      <c r="F132" s="574" t="s">
        <v>150</v>
      </c>
      <c r="G132" s="574" t="str">
        <f>VLOOKUP(WWWW[[#This Row],[Site Name]],SiteDB6[[Site Name]:[Location Type]],8,FALSE)</f>
        <v>Camp</v>
      </c>
      <c r="H132" s="574" t="s">
        <v>151</v>
      </c>
      <c r="I132" s="583">
        <v>391</v>
      </c>
      <c r="J132" s="583">
        <v>1775</v>
      </c>
      <c r="K132" s="553">
        <v>43556</v>
      </c>
      <c r="L132" s="77">
        <v>43677</v>
      </c>
      <c r="M132" s="583"/>
      <c r="N132" s="583"/>
      <c r="O132" s="583"/>
      <c r="P132" s="583"/>
      <c r="Q132" s="574" t="s">
        <v>43</v>
      </c>
      <c r="R132" s="310"/>
      <c r="S132" s="310"/>
      <c r="T132" s="583">
        <v>0</v>
      </c>
      <c r="U132" s="310"/>
      <c r="V132" s="310"/>
      <c r="W132" s="583">
        <v>0</v>
      </c>
      <c r="X132" s="310"/>
      <c r="Y132" s="310"/>
      <c r="Z132" s="310"/>
      <c r="AA132" s="310">
        <v>4</v>
      </c>
      <c r="AB132" s="310"/>
      <c r="AC132" s="310"/>
      <c r="AD132" s="310"/>
      <c r="AE132" s="310"/>
      <c r="AF132" s="310"/>
      <c r="AG132" s="310"/>
      <c r="AH132" s="583">
        <v>0</v>
      </c>
      <c r="AI132" s="310"/>
      <c r="AJ132" s="310"/>
      <c r="AK132" s="310"/>
      <c r="AL132" s="310"/>
      <c r="AM132" s="310"/>
      <c r="AN132" s="310"/>
      <c r="AO132" s="207"/>
      <c r="AP132" s="583">
        <v>391</v>
      </c>
      <c r="AQ132" s="310"/>
      <c r="AR132" s="76"/>
      <c r="AS132" s="310"/>
      <c r="AT132" s="310"/>
      <c r="AU132" s="310"/>
      <c r="AV132" s="310"/>
      <c r="AW132" s="583">
        <v>413</v>
      </c>
      <c r="AX132" s="231" t="s">
        <v>43</v>
      </c>
      <c r="AY132" s="231" t="s">
        <v>145</v>
      </c>
      <c r="AZ132" s="310"/>
      <c r="BA132" s="310"/>
      <c r="BB132" s="310"/>
      <c r="BC132" s="207"/>
      <c r="BD132" s="310"/>
      <c r="BE132" s="310"/>
      <c r="BF132" s="310"/>
      <c r="BG132" s="310">
        <v>9</v>
      </c>
      <c r="BH132" s="310"/>
      <c r="BI132" s="310"/>
      <c r="BJ132" s="310">
        <v>5</v>
      </c>
      <c r="BK132" s="310"/>
      <c r="BL132" s="310"/>
      <c r="BM132" s="207"/>
      <c r="BN132" s="79"/>
      <c r="BO132" s="81"/>
      <c r="BP132" s="207"/>
      <c r="BQ132" s="78" t="str">
        <f>IFERROR(WWWW[[#This Row],['#_Water sources treated]]/WWWW[[#This Row],['#_Water sources tested for contamination]],"no test")</f>
        <v>no test</v>
      </c>
      <c r="BR132" s="81" t="str">
        <f>IFERROR(WWWW[[#This Row],['#_Household received remediation action due to contamination]]/WWWW[[#This Row],['#_Household water samples tested for contamination]],"no test")</f>
        <v>no test</v>
      </c>
      <c r="BS132" s="80" t="str">
        <f>IF(AND(WWWW[[#This Row],[% of water sources treated]]="no test",WWWW[[#This Row],[% Household received corrective actions]]="no test"),"No Test","Tested")</f>
        <v>No Test</v>
      </c>
      <c r="BT132" s="80">
        <f>WWWW[[#This Row],['#_Constructed/existing protected hand dug well]]-WWWW[[#This Row],['#_Non-functional protected hand dug well]]</f>
        <v>0</v>
      </c>
      <c r="BU132" s="80">
        <f>(WWWW[[#This Row],['#_Constructed/Existing tube wells/boreholes/handpumps_WASH_agency]]+WWWW[[#This Row],['#_Non-Cluster partner water tube-wells/boreholes/handpumps]])-WWWW[[#This Row],['#_Non-functional tube wells/boreholes/handpumps]]</f>
        <v>0</v>
      </c>
      <c r="BV132" s="80">
        <f>WWWW[[#This Row],['#_Constructed/Existingwater storage tank with gravity fed reticulation system]]-WWWW[[#This Row],['#_Non-functional storage tank gravity fed reticulation system]]</f>
        <v>4</v>
      </c>
      <c r="BW132" s="80">
        <f>WWWW[[#This Row],['#_Water boating or water trucking]]</f>
        <v>0</v>
      </c>
      <c r="BX132" s="80">
        <f>WWWW[[#This Row],['#_Constructed/Existing water distribution system from river or natural spring]]</f>
        <v>0</v>
      </c>
      <c r="BY13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0.15023474178403756</v>
      </c>
      <c r="BZ13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0.15023474178403756</v>
      </c>
      <c r="CA132" s="81">
        <f>IF(WWWW[[#This Row],[Location Type 1]]="Village",WWWW[[#This Row],[Access to safe drinking water for Village]],WWWW[[#This Row],[Access to safe drinking water for Camp]])</f>
        <v>0.15023474178403756</v>
      </c>
      <c r="CB132" s="79">
        <f>WWWW[[#This Row],[%Equitable and continuous access to sufficient quantity of safe drinking water]]*WWWW[[#This Row],[Total PoP ]]</f>
        <v>266.66666666666669</v>
      </c>
      <c r="CC132" s="81">
        <f>IF((WWWW[[#This Row],['#_Constructed/Existing protected/fenced ponds]]*250)/WWWW[[#This Row],[Total PoP ]]&gt;1,1,(WWWW[[#This Row],['#_Constructed/Existing protected/fenced ponds]]*250)/WWWW[[#This Row],[Total PoP ]])</f>
        <v>0</v>
      </c>
      <c r="CD132" s="79">
        <f>WWWW[[#This Row],[% Access to unimproved water points]]*WWWW[[#This Row],[Total PoP ]]</f>
        <v>0</v>
      </c>
      <c r="CE13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F13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G132" s="79">
        <f>WWWW[[#This Row],[HRP1]]/500</f>
        <v>0.53333333333333333</v>
      </c>
      <c r="CH132" s="78">
        <f>1-WWWW[[#This Row],[% Equitable and continuous access to sufficient quantity of domestic water]]</f>
        <v>0.84976525821596249</v>
      </c>
      <c r="CI132" s="79">
        <f>WWWW[[#This Row],[%equitable and continuous access to sufficient quantity of safe drinking and domestic water''s GAP]]*WWWW[[#This Row],[Total PoP ]]</f>
        <v>1508.3333333333335</v>
      </c>
      <c r="CJ132" s="80">
        <f>IF(WWWW[[#This Row],[Total required water points]]-WWWW[[#This Row],['#Water points coverage]]&lt;0,0,WWWW[[#This Row],[Total required water points]]-WWWW[[#This Row],['#Water points coverage]])</f>
        <v>3.4666666666666668</v>
      </c>
      <c r="CK132" s="80">
        <f>ROUND(IF(WWWW[[#This Row],[Total PoP ]]&lt;500,1,WWWW[[#This Row],[Total PoP ]]/500),0)</f>
        <v>4</v>
      </c>
      <c r="CL132" s="80">
        <f>(WWWW[[#This Row],['#_Constructed latrines_by_WASHAgencies]]+WWWW[[#This Row],['#_Non Cluster partner latrines]])-WWWW[[#This Row],['#_Non-functional latrines]]</f>
        <v>391</v>
      </c>
      <c r="CM13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1775</v>
      </c>
      <c r="CO13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2" s="80">
        <f>IF(WWWW[[#This Row],[Location Type 1]]="Village","NA",IF(WWWW[[#This Row],['#_Constructed/Existing latrines in TLS]]*50&gt;WWWW[[#This Row],['#_students at TLS_CFS]],WWWW[[#This Row],['#_students at TLS_CFS]],(WWWW[[#This Row],['#_Constructed/Existing latrines in TLS]]*50)))</f>
        <v>0</v>
      </c>
      <c r="CQ132" s="80">
        <f>ROUND(IF(WWWW[[#This Row],[Location Type 1]]="camp",WWWW[[#This Row],[Total PoP ]]/20,IF(WWWW[[#This Row],[Location Type 1]]="Temporary Location",WWWW[[#This Row],[Total PoP ]]/50,(WWWW[[#This Row],[Total PoP ]]/6))),0)</f>
        <v>89</v>
      </c>
      <c r="CR132" s="79">
        <f>IF(WWWW[[#This Row],[Total required Latrines]]-(WWWW[[#This Row],['#_Constructed latrines_by_WASHAgencies]]+WWWW[[#This Row],['#_Non Cluster partner latrines]])&lt;0,0,WWWW[[#This Row],[Total required Latrines]]-(WWWW[[#This Row],['#_Constructed latrines_by_WASHAgencies]]+WWWW[[#This Row],['#_Non Cluster partner latrines]]))</f>
        <v>0</v>
      </c>
      <c r="CS132" s="78">
        <f>1-WWWW[[#This Row],[% people access to functioning Latrine]]</f>
        <v>0</v>
      </c>
      <c r="CT132" s="82">
        <f>IF(OR(WWWW[[#This Row],['#_Non-functional latrines]]="",WWWW[[#This Row],['#_Non-functional latrines]]=0),0,WWWW[[#This Row],['#_Non-functional latrines]]/(WWWW[[#This Row],['#_Constructed latrines_by_WASHAgencies]]+WWWW[[#This Row],['#_Non Cluster partner latrines]]))</f>
        <v>0</v>
      </c>
      <c r="CU132" s="79">
        <f>IF(500*(WWWW[[#This Row],['#_male hygiene promoters]]+WWWW[[#This Row],['#_female hygiene promoters]])&gt;WWWW[[#This Row],[Total PoP ]],WWWW[[#This Row],[Total PoP ]],500*(WWWW[[#This Row],['#_male hygiene promoters]]+WWWW[[#This Row],['#_female hygiene promoters]]))</f>
        <v>1775</v>
      </c>
      <c r="CV13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2" s="80">
        <f>IF(WWWW[[#This Row],['# People with access to soap]]&gt;WWWW[[#This Row],['# People with access to Sanity Pads]],WWWW[[#This Row],['# People with access to soap]],WWWW[[#This Row],['# People with access to Sanity Pads]])</f>
        <v>0</v>
      </c>
      <c r="CY132" s="80">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CZ132" s="78">
        <f>IF(WWWW[[#This Row],[HRP3]]/WWWW[[#This Row],[Total PoP ]]&gt;100%,100%,WWWW[[#This Row],[HRP3]]/WWWW[[#This Row],[Total PoP ]])</f>
        <v>1</v>
      </c>
      <c r="DA132" s="82">
        <f>1-WWWW[[#This Row],[Hygiene Coverage%]]</f>
        <v>0</v>
      </c>
      <c r="DB132" s="81">
        <f>WWWW[[#This Row],['# people reached by regular dedicated hygiene promotion_5]]/WWWW[[#This Row],[Total PoP ]]</f>
        <v>1</v>
      </c>
      <c r="DC132" s="81">
        <f>IF(WWWW[[#This Row],['#_households that received standard amount of soap for this quarter]]/WWWW[[#This Row],[Total HH]]&gt;1,1,WWWW[[#This Row],['#_households that received standard amount of soap for this quarter]]/WWWW[[#This Row],[Total HH]])</f>
        <v>0</v>
      </c>
      <c r="DD132" s="81">
        <f>IF(WWWW[[#This Row],['#_households that received standard amount of sanitary pads for this quarter]]/WWWW[[#This Row],[Total HH]]&gt;1,1,WWWW[[#This Row],['#_households that received standard amount of sanitary pads for this quarter]]/WWWW[[#This Row],[Total HH]])</f>
        <v>0</v>
      </c>
      <c r="DE132" s="80">
        <f>WWWW[[#This Row],['#_Constructed/Existing hand washing stations]]-WWWW[[#This Row],['#_Non-Functional_hand_washing_stations]]</f>
        <v>0</v>
      </c>
      <c r="DF132" s="757">
        <f>IF(WWWW[[#This Row],['# Functional hand washing stations during reporting period]]*20&gt;WWWW[[#This Row],[Total HH]],WWWW[[#This Row],[Total HH]],WWWW[[#This Row],['# Functional hand washing stations during reporting period]]*20)</f>
        <v>0</v>
      </c>
      <c r="DG132" s="79">
        <f>IF(WWWW[[#This Row],[Is sufficient soap available for TLS? (Yes/No)]]="yes",WWWW[[#This Row],['#_Constructed/Existing hand washing stations at TLS]],0)</f>
        <v>0</v>
      </c>
      <c r="DH132" s="578">
        <f>IF(WWWW[[#This Row],['# Functional hand washing stations during reporting period]]*100&gt;WWWW[[#This Row],[Total PoP ]],WWWW[[#This Row],[Total PoP ]],WWWW[[#This Row],['# Functional hand washing stations during reporting period]]*100)</f>
        <v>0</v>
      </c>
      <c r="DI132" s="578" t="str">
        <f>IF(OR(WWWW[[#This Row],['#_students at TLS_CFS]]="",WWWW[[#This Row],['#_students at TLS_CFS]]=0),"No","Yes")</f>
        <v>No</v>
      </c>
      <c r="DJ132" s="231" t="str">
        <f>VLOOKUP(WWWW[[#This Row],[Site Name]],SiteDB6[[Site Name]:[CCCM Management]],6,FALSE)</f>
        <v>Yes</v>
      </c>
      <c r="DK132" s="231" t="str">
        <f>VLOOKUP(WWWW[[#This Row],[Site Name]],SiteDB6[[Site Name]:[CCCM Focal Agency]],7,FALSE)</f>
        <v>KBC-MYT</v>
      </c>
      <c r="DL132" s="231" t="str">
        <f>VLOOKUP(WWWW[[#This Row],[Site Name]],SiteDB6[[Site Name]:[Location Type 1]],9,FALSE)</f>
        <v>Camp</v>
      </c>
      <c r="DM132" s="231" t="str">
        <f>VLOOKUP(WWWW[[#This Row],[Site Name]],SiteDB6[[Site Name]:[Type of Accommodation]],10,FALSE)</f>
        <v>Camp</v>
      </c>
      <c r="DN132" s="231" t="str">
        <f>VLOOKUP(WWWW[[#This Row],[Site Name]],SiteDB6[[Site Name]:[Ethnic or GCA/NGCA]],11,FALSE)</f>
        <v>NGCA</v>
      </c>
      <c r="DO132" s="231">
        <f>VLOOKUP(WWWW[[#This Row],[Site Name]],SiteDB6[[Site Name]:[Lat]],12,FALSE)</f>
        <v>0</v>
      </c>
      <c r="DP132" s="231">
        <f>VLOOKUP(WWWW[[#This Row],[Site Name]],SiteDB6[[Site Name]:[Long]],13,FALSE)</f>
        <v>0</v>
      </c>
      <c r="DQ132" s="231" t="str">
        <f>VLOOKUP(WWWW[[#This Row],[Site Name]],SiteDB6[[Site Name]:[Pcode]],3,FALSE)</f>
        <v>MMR001CMP249</v>
      </c>
      <c r="DR132" s="207" t="str">
        <f t="shared" si="4"/>
        <v>Covered</v>
      </c>
      <c r="DS132" s="207"/>
      <c r="DT132" s="20"/>
      <c r="DU132" s="20"/>
      <c r="DV132" s="20"/>
      <c r="DW132" s="20"/>
      <c r="DX132" s="20"/>
      <c r="DY132" s="20"/>
      <c r="DZ132" s="20"/>
      <c r="EA132" s="20"/>
      <c r="EB132" s="20"/>
      <c r="EC132" s="20"/>
      <c r="ED132" s="20"/>
      <c r="EE132" s="20"/>
      <c r="EF132" s="20"/>
      <c r="EG132" s="20"/>
      <c r="EH132" s="20"/>
    </row>
    <row r="133" spans="1:138" ht="15.75" customHeight="1">
      <c r="A133" s="238" t="s">
        <v>2518</v>
      </c>
      <c r="B133" s="574" t="s">
        <v>200</v>
      </c>
      <c r="C133" s="574" t="s">
        <v>200</v>
      </c>
      <c r="D133" s="574" t="s">
        <v>2960</v>
      </c>
      <c r="E133" s="574" t="s">
        <v>39</v>
      </c>
      <c r="F133" s="574" t="s">
        <v>222</v>
      </c>
      <c r="G133" s="574" t="str">
        <f>VLOOKUP(WWWW[[#This Row],[Site Name]],SiteDB6[[Site Name]:[Location Type]],8,FALSE)</f>
        <v>Camp</v>
      </c>
      <c r="H133" s="574" t="s">
        <v>223</v>
      </c>
      <c r="I133" s="583">
        <v>45</v>
      </c>
      <c r="J133" s="583">
        <v>259</v>
      </c>
      <c r="K133" s="553">
        <v>43466</v>
      </c>
      <c r="L133" s="77">
        <v>43830</v>
      </c>
      <c r="M133" s="583"/>
      <c r="N133" s="583"/>
      <c r="O133" s="583"/>
      <c r="P133" s="583"/>
      <c r="Q133" s="76" t="s">
        <v>43</v>
      </c>
      <c r="R133" s="310">
        <v>1</v>
      </c>
      <c r="S133" s="310">
        <v>2</v>
      </c>
      <c r="T133" s="310"/>
      <c r="U133" s="310"/>
      <c r="V133" s="310"/>
      <c r="W133" s="310"/>
      <c r="X133" s="310">
        <v>2</v>
      </c>
      <c r="Y133" s="310"/>
      <c r="Z133" s="310"/>
      <c r="AA133" s="310"/>
      <c r="AB133" s="310"/>
      <c r="AC133" s="310"/>
      <c r="AD133" s="310"/>
      <c r="AE133" s="310"/>
      <c r="AF133" s="310"/>
      <c r="AG133" s="310"/>
      <c r="AH133" s="310"/>
      <c r="AI133" s="310"/>
      <c r="AJ133" s="310"/>
      <c r="AK133" s="310"/>
      <c r="AL133" s="310"/>
      <c r="AM133" s="310"/>
      <c r="AN133" s="310"/>
      <c r="AO133" s="207"/>
      <c r="AP133" s="310">
        <v>13</v>
      </c>
      <c r="AQ133" s="310"/>
      <c r="AR133" s="76"/>
      <c r="AS133" s="310">
        <v>4</v>
      </c>
      <c r="AT133" s="310"/>
      <c r="AU133" s="310"/>
      <c r="AV133" s="310"/>
      <c r="AW133" s="310"/>
      <c r="AX133" s="581" t="s">
        <v>43</v>
      </c>
      <c r="AY133" s="581" t="s">
        <v>145</v>
      </c>
      <c r="AZ133" s="310"/>
      <c r="BA133" s="310"/>
      <c r="BB133" s="310"/>
      <c r="BC133" s="207"/>
      <c r="BD133" s="310">
        <v>4</v>
      </c>
      <c r="BE133" s="310"/>
      <c r="BF133" s="310"/>
      <c r="BG133" s="310">
        <v>3</v>
      </c>
      <c r="BH133" s="310"/>
      <c r="BI133" s="310"/>
      <c r="BJ133" s="310"/>
      <c r="BK133" s="310"/>
      <c r="BL133" s="310"/>
      <c r="BM133" s="207"/>
      <c r="BN133" s="79"/>
      <c r="BO133" s="81"/>
      <c r="BP133" s="207"/>
      <c r="BQ133" s="78" t="str">
        <f>IFERROR(WWWW[[#This Row],['#_Water sources treated]]/WWWW[[#This Row],['#_Water sources tested for contamination]],"no test")</f>
        <v>no test</v>
      </c>
      <c r="BR133" s="81" t="str">
        <f>IFERROR(WWWW[[#This Row],['#_Household received remediation action due to contamination]]/WWWW[[#This Row],['#_Household water samples tested for contamination]],"no test")</f>
        <v>no test</v>
      </c>
      <c r="BS133" s="80" t="str">
        <f>IF(AND(WWWW[[#This Row],[% of water sources treated]]="no test",WWWW[[#This Row],[% Household received corrective actions]]="no test"),"No Test","Tested")</f>
        <v>No Test</v>
      </c>
      <c r="BT133" s="80">
        <f>WWWW[[#This Row],['#_Constructed/existing protected hand dug well]]-WWWW[[#This Row],['#_Non-functional protected hand dug well]]</f>
        <v>0</v>
      </c>
      <c r="BU133" s="80">
        <f>(WWWW[[#This Row],['#_Constructed/Existing tube wells/boreholes/handpumps_WASH_agency]]+WWWW[[#This Row],['#_Non-Cluster partner water tube-wells/boreholes/handpumps]])-WWWW[[#This Row],['#_Non-functional tube wells/boreholes/handpumps]]</f>
        <v>2</v>
      </c>
      <c r="BV133" s="80">
        <f>WWWW[[#This Row],['#_Constructed/Existingwater storage tank with gravity fed reticulation system]]-WWWW[[#This Row],['#_Non-functional storage tank gravity fed reticulation system]]</f>
        <v>0</v>
      </c>
      <c r="BW133" s="80">
        <f>WWWW[[#This Row],['#_Water boating or water trucking]]</f>
        <v>0</v>
      </c>
      <c r="BX133" s="80">
        <f>WWWW[[#This Row],['#_Constructed/Existing water distribution system from river or natural spring]]</f>
        <v>0</v>
      </c>
      <c r="BY13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3" s="81">
        <f>IF(WWWW[[#This Row],[Location Type 1]]="Village",WWWW[[#This Row],[Access to safe drinking water for Village]],WWWW[[#This Row],[Access to safe drinking water for Camp]])</f>
        <v>1</v>
      </c>
      <c r="CB133" s="79">
        <f>WWWW[[#This Row],[%Equitable and continuous access to sufficient quantity of safe drinking water]]*WWWW[[#This Row],[Total PoP ]]</f>
        <v>259</v>
      </c>
      <c r="CC133" s="81">
        <f>IF((WWWW[[#This Row],['#_Constructed/Existing protected/fenced ponds]]*250)/WWWW[[#This Row],[Total PoP ]]&gt;1,1,(WWWW[[#This Row],['#_Constructed/Existing protected/fenced ponds]]*250)/WWWW[[#This Row],[Total PoP ]])</f>
        <v>0</v>
      </c>
      <c r="CD133" s="79">
        <f>WWWW[[#This Row],[% Access to unimproved water points]]*WWWW[[#This Row],[Total PoP ]]</f>
        <v>0</v>
      </c>
      <c r="CE13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G133" s="79">
        <f>WWWW[[#This Row],[HRP1]]/500</f>
        <v>0.51800000000000002</v>
      </c>
      <c r="CH133" s="78">
        <f>1-WWWW[[#This Row],[% Equitable and continuous access to sufficient quantity of domestic water]]</f>
        <v>0</v>
      </c>
      <c r="CI133" s="79">
        <f>WWWW[[#This Row],[%equitable and continuous access to sufficient quantity of safe drinking and domestic water''s GAP]]*WWWW[[#This Row],[Total PoP ]]</f>
        <v>0</v>
      </c>
      <c r="CJ133" s="80">
        <f>IF(WWWW[[#This Row],[Total required water points]]-WWWW[[#This Row],['#Water points coverage]]&lt;0,0,WWWW[[#This Row],[Total required water points]]-WWWW[[#This Row],['#Water points coverage]])</f>
        <v>0.48199999999999998</v>
      </c>
      <c r="CK133" s="80">
        <f>ROUND(IF(WWWW[[#This Row],[Total PoP ]]&lt;500,1,WWWW[[#This Row],[Total PoP ]]/500),0)</f>
        <v>1</v>
      </c>
      <c r="CL133" s="80">
        <f>(WWWW[[#This Row],['#_Constructed latrines_by_WASHAgencies]]+WWWW[[#This Row],['#_Non Cluster partner latrines]])-WWWW[[#This Row],['#_Non-functional latrines]]</f>
        <v>9</v>
      </c>
      <c r="CM13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0.69498069498069504</v>
      </c>
      <c r="CN13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13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3" s="80">
        <f>IF(WWWW[[#This Row],[Location Type 1]]="Village","NA",IF(WWWW[[#This Row],['#_Constructed/Existing latrines in TLS]]*50&gt;WWWW[[#This Row],['#_students at TLS_CFS]],WWWW[[#This Row],['#_students at TLS_CFS]],(WWWW[[#This Row],['#_Constructed/Existing latrines in TLS]]*50)))</f>
        <v>0</v>
      </c>
      <c r="CQ133" s="80">
        <f>ROUND(IF(WWWW[[#This Row],[Location Type 1]]="camp",WWWW[[#This Row],[Total PoP ]]/20,IF(WWWW[[#This Row],[Location Type 1]]="Temporary Location",WWWW[[#This Row],[Total PoP ]]/50,(WWWW[[#This Row],[Total PoP ]]/6))),0)</f>
        <v>13</v>
      </c>
      <c r="CR133" s="79">
        <f>IF(WWWW[[#This Row],[Total required Latrines]]-(WWWW[[#This Row],['#_Constructed latrines_by_WASHAgencies]]+WWWW[[#This Row],['#_Non Cluster partner latrines]])&lt;0,0,WWWW[[#This Row],[Total required Latrines]]-(WWWW[[#This Row],['#_Constructed latrines_by_WASHAgencies]]+WWWW[[#This Row],['#_Non Cluster partner latrines]]))</f>
        <v>0</v>
      </c>
      <c r="CS133" s="78">
        <f>1-WWWW[[#This Row],[% people access to functioning Latrine]]</f>
        <v>0.30501930501930496</v>
      </c>
      <c r="CT133" s="82">
        <f>IF(OR(WWWW[[#This Row],['#_Non-functional latrines]]="",WWWW[[#This Row],['#_Non-functional latrines]]=0),0,WWWW[[#This Row],['#_Non-functional latrines]]/(WWWW[[#This Row],['#_Constructed latrines_by_WASHAgencies]]+WWWW[[#This Row],['#_Non Cluster partner latrines]]))</f>
        <v>0.30769230769230771</v>
      </c>
      <c r="CU133" s="79">
        <f>IF(500*(WWWW[[#This Row],['#_male hygiene promoters]]+WWWW[[#This Row],['#_female hygiene promoters]])&gt;WWWW[[#This Row],[Total PoP ]],WWWW[[#This Row],[Total PoP ]],500*(WWWW[[#This Row],['#_male hygiene promoters]]+WWWW[[#This Row],['#_female hygiene promoters]]))</f>
        <v>0</v>
      </c>
      <c r="CV13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3" s="80">
        <f>IF(WWWW[[#This Row],['# People with access to soap]]&gt;WWWW[[#This Row],['# People with access to Sanity Pads]],WWWW[[#This Row],['# People with access to soap]],WWWW[[#This Row],['# People with access to Sanity Pads]])</f>
        <v>0</v>
      </c>
      <c r="CY133"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3" s="78">
        <f>IF(WWWW[[#This Row],[HRP3]]/WWWW[[#This Row],[Total PoP ]]&gt;100%,100%,WWWW[[#This Row],[HRP3]]/WWWW[[#This Row],[Total PoP ]])</f>
        <v>0</v>
      </c>
      <c r="DA133" s="82">
        <f>1-WWWW[[#This Row],[Hygiene Coverage%]]</f>
        <v>1</v>
      </c>
      <c r="DB133" s="81">
        <f>WWWW[[#This Row],['# people reached by regular dedicated hygiene promotion_5]]/WWWW[[#This Row],[Total PoP ]]</f>
        <v>0</v>
      </c>
      <c r="DC133" s="81">
        <f>IF(WWWW[[#This Row],['#_households that received standard amount of soap for this quarter]]/WWWW[[#This Row],[Total HH]]&gt;1,1,WWWW[[#This Row],['#_households that received standard amount of soap for this quarter]]/WWWW[[#This Row],[Total HH]])</f>
        <v>0</v>
      </c>
      <c r="DD133" s="81">
        <f>IF(WWWW[[#This Row],['#_households that received standard amount of sanitary pads for this quarter]]/WWWW[[#This Row],[Total HH]]&gt;1,1,WWWW[[#This Row],['#_households that received standard amount of sanitary pads for this quarter]]/WWWW[[#This Row],[Total HH]])</f>
        <v>0</v>
      </c>
      <c r="DE133" s="80">
        <f>WWWW[[#This Row],['#_Constructed/Existing hand washing stations]]-WWWW[[#This Row],['#_Non-Functional_hand_washing_stations]]</f>
        <v>4</v>
      </c>
      <c r="DF133" s="757">
        <f>IF(WWWW[[#This Row],['# Functional hand washing stations during reporting period]]*20&gt;WWWW[[#This Row],[Total HH]],WWWW[[#This Row],[Total HH]],WWWW[[#This Row],['# Functional hand washing stations during reporting period]]*20)</f>
        <v>45</v>
      </c>
      <c r="DG133" s="79">
        <f>IF(WWWW[[#This Row],[Is sufficient soap available for TLS? (Yes/No)]]="yes",WWWW[[#This Row],['#_Constructed/Existing hand washing stations at TLS]],0)</f>
        <v>0</v>
      </c>
      <c r="DH133" s="578">
        <f>IF(WWWW[[#This Row],['# Functional hand washing stations during reporting period]]*100&gt;WWWW[[#This Row],[Total PoP ]],WWWW[[#This Row],[Total PoP ]],WWWW[[#This Row],['# Functional hand washing stations during reporting period]]*100)</f>
        <v>259</v>
      </c>
      <c r="DI133" s="578" t="str">
        <f>IF(OR(WWWW[[#This Row],['#_students at TLS_CFS]]="",WWWW[[#This Row],['#_students at TLS_CFS]]=0),"No","Yes")</f>
        <v>No</v>
      </c>
      <c r="DJ133" s="231" t="str">
        <f>VLOOKUP(WWWW[[#This Row],[Site Name]],SiteDB6[[Site Name]:[CCCM Management]],6,FALSE)</f>
        <v>Yes</v>
      </c>
      <c r="DK133" s="231" t="str">
        <f>VLOOKUP(WWWW[[#This Row],[Site Name]],SiteDB6[[Site Name]:[CCCM Focal Agency]],7,FALSE)</f>
        <v>KBC-BMO</v>
      </c>
      <c r="DL133" s="231" t="str">
        <f>VLOOKUP(WWWW[[#This Row],[Site Name]],SiteDB6[[Site Name]:[Location Type 1]],9,FALSE)</f>
        <v>Camp</v>
      </c>
      <c r="DM133" s="231" t="str">
        <f>VLOOKUP(WWWW[[#This Row],[Site Name]],SiteDB6[[Site Name]:[Type of Accommodation]],10,FALSE)</f>
        <v>Camp</v>
      </c>
      <c r="DN133" s="231" t="str">
        <f>VLOOKUP(WWWW[[#This Row],[Site Name]],SiteDB6[[Site Name]:[Ethnic or GCA/NGCA]],11,FALSE)</f>
        <v>GCA</v>
      </c>
      <c r="DO133" s="231">
        <f>VLOOKUP(WWWW[[#This Row],[Site Name]],SiteDB6[[Site Name]:[Lat]],12,FALSE)</f>
        <v>24.200361000000001</v>
      </c>
      <c r="DP133" s="231">
        <f>VLOOKUP(WWWW[[#This Row],[Site Name]],SiteDB6[[Site Name]:[Long]],13,FALSE)</f>
        <v>96.807353000000006</v>
      </c>
      <c r="DQ133" s="231" t="str">
        <f>VLOOKUP(WWWW[[#This Row],[Site Name]],SiteDB6[[Site Name]:[Pcode]],3,FALSE)</f>
        <v>MMR001CMP067</v>
      </c>
      <c r="DR133" s="207" t="str">
        <f t="shared" si="4"/>
        <v>Covered</v>
      </c>
      <c r="DS133" s="207"/>
      <c r="DT133" s="20"/>
      <c r="DU133" s="20"/>
      <c r="DV133" s="20"/>
      <c r="DW133" s="20"/>
      <c r="DX133" s="20"/>
      <c r="DY133" s="20"/>
      <c r="DZ133" s="20"/>
      <c r="EA133" s="20"/>
      <c r="EB133" s="20"/>
      <c r="EC133" s="20"/>
      <c r="ED133" s="20"/>
      <c r="EE133" s="20"/>
      <c r="EF133" s="20"/>
      <c r="EG133" s="20"/>
      <c r="EH133" s="20"/>
    </row>
    <row r="134" spans="1:138" ht="15.75" customHeight="1">
      <c r="A134" s="238" t="s">
        <v>2518</v>
      </c>
      <c r="B134" s="574" t="s">
        <v>200</v>
      </c>
      <c r="C134" s="574" t="s">
        <v>200</v>
      </c>
      <c r="D134" s="574" t="s">
        <v>2960</v>
      </c>
      <c r="E134" s="574" t="s">
        <v>39</v>
      </c>
      <c r="F134" s="574" t="s">
        <v>222</v>
      </c>
      <c r="G134" s="574" t="str">
        <f>VLOOKUP(WWWW[[#This Row],[Site Name]],SiteDB6[[Site Name]:[Location Type]],8,FALSE)</f>
        <v>Camp</v>
      </c>
      <c r="H134" s="574" t="s">
        <v>224</v>
      </c>
      <c r="I134" s="583">
        <v>33</v>
      </c>
      <c r="J134" s="583">
        <v>169</v>
      </c>
      <c r="K134" s="553">
        <v>43466</v>
      </c>
      <c r="L134" s="77">
        <v>43830</v>
      </c>
      <c r="M134" s="583"/>
      <c r="N134" s="583"/>
      <c r="O134" s="583"/>
      <c r="P134" s="583"/>
      <c r="Q134" s="76" t="s">
        <v>43</v>
      </c>
      <c r="R134" s="310">
        <v>1</v>
      </c>
      <c r="S134" s="310">
        <v>1</v>
      </c>
      <c r="T134" s="310"/>
      <c r="U134" s="310"/>
      <c r="V134" s="310"/>
      <c r="W134" s="310"/>
      <c r="X134" s="310">
        <v>1</v>
      </c>
      <c r="Y134" s="310"/>
      <c r="Z134" s="310"/>
      <c r="AA134" s="310"/>
      <c r="AB134" s="310"/>
      <c r="AC134" s="310"/>
      <c r="AD134" s="310"/>
      <c r="AE134" s="310"/>
      <c r="AF134" s="310"/>
      <c r="AG134" s="310"/>
      <c r="AH134" s="310"/>
      <c r="AI134" s="310"/>
      <c r="AJ134" s="310"/>
      <c r="AK134" s="310"/>
      <c r="AL134" s="310"/>
      <c r="AM134" s="310"/>
      <c r="AN134" s="310"/>
      <c r="AO134" s="207"/>
      <c r="AP134" s="310">
        <v>9</v>
      </c>
      <c r="AQ134" s="310"/>
      <c r="AR134" s="76"/>
      <c r="AS134" s="310"/>
      <c r="AT134" s="310"/>
      <c r="AU134" s="310"/>
      <c r="AV134" s="310"/>
      <c r="AW134" s="310"/>
      <c r="AX134" s="581" t="s">
        <v>43</v>
      </c>
      <c r="AY134" s="581" t="s">
        <v>145</v>
      </c>
      <c r="AZ134" s="310"/>
      <c r="BA134" s="310"/>
      <c r="BB134" s="310"/>
      <c r="BC134" s="207"/>
      <c r="BD134" s="310">
        <v>0</v>
      </c>
      <c r="BE134" s="310"/>
      <c r="BF134" s="310"/>
      <c r="BG134" s="310">
        <v>2</v>
      </c>
      <c r="BH134" s="310"/>
      <c r="BI134" s="310"/>
      <c r="BJ134" s="310"/>
      <c r="BK134" s="310"/>
      <c r="BL134" s="310"/>
      <c r="BM134" s="207"/>
      <c r="BN134" s="79"/>
      <c r="BO134" s="81"/>
      <c r="BP134" s="207"/>
      <c r="BQ134" s="78" t="str">
        <f>IFERROR(WWWW[[#This Row],['#_Water sources treated]]/WWWW[[#This Row],['#_Water sources tested for contamination]],"no test")</f>
        <v>no test</v>
      </c>
      <c r="BR134" s="81" t="str">
        <f>IFERROR(WWWW[[#This Row],['#_Household received remediation action due to contamination]]/WWWW[[#This Row],['#_Household water samples tested for contamination]],"no test")</f>
        <v>no test</v>
      </c>
      <c r="BS134" s="80" t="str">
        <f>IF(AND(WWWW[[#This Row],[% of water sources treated]]="no test",WWWW[[#This Row],[% Household received corrective actions]]="no test"),"No Test","Tested")</f>
        <v>No Test</v>
      </c>
      <c r="BT134" s="80">
        <f>WWWW[[#This Row],['#_Constructed/existing protected hand dug well]]-WWWW[[#This Row],['#_Non-functional protected hand dug well]]</f>
        <v>0</v>
      </c>
      <c r="BU134" s="80">
        <f>(WWWW[[#This Row],['#_Constructed/Existing tube wells/boreholes/handpumps_WASH_agency]]+WWWW[[#This Row],['#_Non-Cluster partner water tube-wells/boreholes/handpumps]])-WWWW[[#This Row],['#_Non-functional tube wells/boreholes/handpumps]]</f>
        <v>1</v>
      </c>
      <c r="BV134" s="80">
        <f>WWWW[[#This Row],['#_Constructed/Existingwater storage tank with gravity fed reticulation system]]-WWWW[[#This Row],['#_Non-functional storage tank gravity fed reticulation system]]</f>
        <v>0</v>
      </c>
      <c r="BW134" s="80">
        <f>WWWW[[#This Row],['#_Water boating or water trucking]]</f>
        <v>0</v>
      </c>
      <c r="BX134" s="80">
        <f>WWWW[[#This Row],['#_Constructed/Existing water distribution system from river or natural spring]]</f>
        <v>0</v>
      </c>
      <c r="BY13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4" s="81">
        <f>IF(WWWW[[#This Row],[Location Type 1]]="Village",WWWW[[#This Row],[Access to safe drinking water for Village]],WWWW[[#This Row],[Access to safe drinking water for Camp]])</f>
        <v>1</v>
      </c>
      <c r="CB134" s="79">
        <f>WWWW[[#This Row],[%Equitable and continuous access to sufficient quantity of safe drinking water]]*WWWW[[#This Row],[Total PoP ]]</f>
        <v>169</v>
      </c>
      <c r="CC134" s="81">
        <f>IF((WWWW[[#This Row],['#_Constructed/Existing protected/fenced ponds]]*250)/WWWW[[#This Row],[Total PoP ]]&gt;1,1,(WWWW[[#This Row],['#_Constructed/Existing protected/fenced ponds]]*250)/WWWW[[#This Row],[Total PoP ]])</f>
        <v>0</v>
      </c>
      <c r="CD134" s="79">
        <f>WWWW[[#This Row],[% Access to unimproved water points]]*WWWW[[#This Row],[Total PoP ]]</f>
        <v>0</v>
      </c>
      <c r="CE13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G134" s="79">
        <f>WWWW[[#This Row],[HRP1]]/500</f>
        <v>0.33800000000000002</v>
      </c>
      <c r="CH134" s="78">
        <f>1-WWWW[[#This Row],[% Equitable and continuous access to sufficient quantity of domestic water]]</f>
        <v>0</v>
      </c>
      <c r="CI134" s="79">
        <f>WWWW[[#This Row],[%equitable and continuous access to sufficient quantity of safe drinking and domestic water''s GAP]]*WWWW[[#This Row],[Total PoP ]]</f>
        <v>0</v>
      </c>
      <c r="CJ134" s="80">
        <f>IF(WWWW[[#This Row],[Total required water points]]-WWWW[[#This Row],['#Water points coverage]]&lt;0,0,WWWW[[#This Row],[Total required water points]]-WWWW[[#This Row],['#Water points coverage]])</f>
        <v>0.66199999999999992</v>
      </c>
      <c r="CK134" s="80">
        <f>ROUND(IF(WWWW[[#This Row],[Total PoP ]]&lt;500,1,WWWW[[#This Row],[Total PoP ]]/500),0)</f>
        <v>1</v>
      </c>
      <c r="CL134" s="80">
        <f>(WWWW[[#This Row],['#_Constructed latrines_by_WASHAgencies]]+WWWW[[#This Row],['#_Non Cluster partner latrines]])-WWWW[[#This Row],['#_Non-functional latrines]]</f>
        <v>9</v>
      </c>
      <c r="CM13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169</v>
      </c>
      <c r="CO13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4" s="80">
        <f>IF(WWWW[[#This Row],[Location Type 1]]="Village","NA",IF(WWWW[[#This Row],['#_Constructed/Existing latrines in TLS]]*50&gt;WWWW[[#This Row],['#_students at TLS_CFS]],WWWW[[#This Row],['#_students at TLS_CFS]],(WWWW[[#This Row],['#_Constructed/Existing latrines in TLS]]*50)))</f>
        <v>0</v>
      </c>
      <c r="CQ134" s="80">
        <f>ROUND(IF(WWWW[[#This Row],[Location Type 1]]="camp",WWWW[[#This Row],[Total PoP ]]/20,IF(WWWW[[#This Row],[Location Type 1]]="Temporary Location",WWWW[[#This Row],[Total PoP ]]/50,(WWWW[[#This Row],[Total PoP ]]/6))),0)</f>
        <v>8</v>
      </c>
      <c r="CR134" s="79">
        <f>IF(WWWW[[#This Row],[Total required Latrines]]-(WWWW[[#This Row],['#_Constructed latrines_by_WASHAgencies]]+WWWW[[#This Row],['#_Non Cluster partner latrines]])&lt;0,0,WWWW[[#This Row],[Total required Latrines]]-(WWWW[[#This Row],['#_Constructed latrines_by_WASHAgencies]]+WWWW[[#This Row],['#_Non Cluster partner latrines]]))</f>
        <v>0</v>
      </c>
      <c r="CS134" s="78">
        <f>1-WWWW[[#This Row],[% people access to functioning Latrine]]</f>
        <v>0</v>
      </c>
      <c r="CT134" s="82">
        <f>IF(OR(WWWW[[#This Row],['#_Non-functional latrines]]="",WWWW[[#This Row],['#_Non-functional latrines]]=0),0,WWWW[[#This Row],['#_Non-functional latrines]]/(WWWW[[#This Row],['#_Constructed latrines_by_WASHAgencies]]+WWWW[[#This Row],['#_Non Cluster partner latrines]]))</f>
        <v>0</v>
      </c>
      <c r="CU134" s="79">
        <f>IF(500*(WWWW[[#This Row],['#_male hygiene promoters]]+WWWW[[#This Row],['#_female hygiene promoters]])&gt;WWWW[[#This Row],[Total PoP ]],WWWW[[#This Row],[Total PoP ]],500*(WWWW[[#This Row],['#_male hygiene promoters]]+WWWW[[#This Row],['#_female hygiene promoters]]))</f>
        <v>0</v>
      </c>
      <c r="CV13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4" s="80">
        <f>IF(WWWW[[#This Row],['# People with access to soap]]&gt;WWWW[[#This Row],['# People with access to Sanity Pads]],WWWW[[#This Row],['# People with access to soap]],WWWW[[#This Row],['# People with access to Sanity Pads]])</f>
        <v>0</v>
      </c>
      <c r="CY13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4" s="78">
        <f>IF(WWWW[[#This Row],[HRP3]]/WWWW[[#This Row],[Total PoP ]]&gt;100%,100%,WWWW[[#This Row],[HRP3]]/WWWW[[#This Row],[Total PoP ]])</f>
        <v>0</v>
      </c>
      <c r="DA134" s="82">
        <f>1-WWWW[[#This Row],[Hygiene Coverage%]]</f>
        <v>1</v>
      </c>
      <c r="DB134" s="81">
        <f>WWWW[[#This Row],['# people reached by regular dedicated hygiene promotion_5]]/WWWW[[#This Row],[Total PoP ]]</f>
        <v>0</v>
      </c>
      <c r="DC134" s="81">
        <f>IF(WWWW[[#This Row],['#_households that received standard amount of soap for this quarter]]/WWWW[[#This Row],[Total HH]]&gt;1,1,WWWW[[#This Row],['#_households that received standard amount of soap for this quarter]]/WWWW[[#This Row],[Total HH]])</f>
        <v>0</v>
      </c>
      <c r="DD134" s="81">
        <f>IF(WWWW[[#This Row],['#_households that received standard amount of sanitary pads for this quarter]]/WWWW[[#This Row],[Total HH]]&gt;1,1,WWWW[[#This Row],['#_households that received standard amount of sanitary pads for this quarter]]/WWWW[[#This Row],[Total HH]])</f>
        <v>0</v>
      </c>
      <c r="DE134" s="80">
        <f>WWWW[[#This Row],['#_Constructed/Existing hand washing stations]]-WWWW[[#This Row],['#_Non-Functional_hand_washing_stations]]</f>
        <v>0</v>
      </c>
      <c r="DF134" s="757">
        <f>IF(WWWW[[#This Row],['# Functional hand washing stations during reporting period]]*20&gt;WWWW[[#This Row],[Total HH]],WWWW[[#This Row],[Total HH]],WWWW[[#This Row],['# Functional hand washing stations during reporting period]]*20)</f>
        <v>0</v>
      </c>
      <c r="DG134" s="79">
        <f>IF(WWWW[[#This Row],[Is sufficient soap available for TLS? (Yes/No)]]="yes",WWWW[[#This Row],['#_Constructed/Existing hand washing stations at TLS]],0)</f>
        <v>0</v>
      </c>
      <c r="DH134" s="578">
        <f>IF(WWWW[[#This Row],['# Functional hand washing stations during reporting period]]*100&gt;WWWW[[#This Row],[Total PoP ]],WWWW[[#This Row],[Total PoP ]],WWWW[[#This Row],['# Functional hand washing stations during reporting period]]*100)</f>
        <v>0</v>
      </c>
      <c r="DI134" s="578" t="str">
        <f>IF(OR(WWWW[[#This Row],['#_students at TLS_CFS]]="",WWWW[[#This Row],['#_students at TLS_CFS]]=0),"No","Yes")</f>
        <v>No</v>
      </c>
      <c r="DJ134" s="231" t="str">
        <f>VLOOKUP(WWWW[[#This Row],[Site Name]],SiteDB6[[Site Name]:[CCCM Management]],6,FALSE)</f>
        <v>Yes</v>
      </c>
      <c r="DK134" s="231" t="str">
        <f>VLOOKUP(WWWW[[#This Row],[Site Name]],SiteDB6[[Site Name]:[CCCM Focal Agency]],7,FALSE)</f>
        <v>KMSS-BMO</v>
      </c>
      <c r="DL134" s="231" t="str">
        <f>VLOOKUP(WWWW[[#This Row],[Site Name]],SiteDB6[[Site Name]:[Location Type 1]],9,FALSE)</f>
        <v>Camp</v>
      </c>
      <c r="DM134" s="231" t="str">
        <f>VLOOKUP(WWWW[[#This Row],[Site Name]],SiteDB6[[Site Name]:[Type of Accommodation]],10,FALSE)</f>
        <v>Camp</v>
      </c>
      <c r="DN134" s="231" t="str">
        <f>VLOOKUP(WWWW[[#This Row],[Site Name]],SiteDB6[[Site Name]:[Ethnic or GCA/NGCA]],11,FALSE)</f>
        <v>GCA</v>
      </c>
      <c r="DO134" s="231">
        <f>VLOOKUP(WWWW[[#This Row],[Site Name]],SiteDB6[[Site Name]:[Lat]],12,FALSE)</f>
        <v>24.200367</v>
      </c>
      <c r="DP134" s="231">
        <f>VLOOKUP(WWWW[[#This Row],[Site Name]],SiteDB6[[Site Name]:[Long]],13,FALSE)</f>
        <v>96.807353000000006</v>
      </c>
      <c r="DQ134" s="231" t="str">
        <f>VLOOKUP(WWWW[[#This Row],[Site Name]],SiteDB6[[Site Name]:[Pcode]],3,FALSE)</f>
        <v>MMR001CMP068</v>
      </c>
      <c r="DR134" s="207" t="str">
        <f t="shared" si="4"/>
        <v>Covered</v>
      </c>
      <c r="DS134" s="207"/>
      <c r="DT134" s="20"/>
      <c r="DU134" s="20"/>
      <c r="DV134" s="20"/>
      <c r="DW134" s="20"/>
      <c r="DX134" s="20"/>
      <c r="DY134" s="20"/>
      <c r="DZ134" s="20"/>
      <c r="EA134" s="20"/>
      <c r="EB134" s="20"/>
      <c r="EC134" s="20"/>
      <c r="ED134" s="20"/>
      <c r="EE134" s="20"/>
      <c r="EF134" s="20"/>
      <c r="EG134" s="20"/>
      <c r="EH134" s="20"/>
    </row>
    <row r="135" spans="1:138" ht="15.75" customHeight="1">
      <c r="A135" s="238" t="s">
        <v>2518</v>
      </c>
      <c r="B135" s="238" t="s">
        <v>149</v>
      </c>
      <c r="C135" s="574" t="s">
        <v>149</v>
      </c>
      <c r="D135" s="574" t="s">
        <v>158</v>
      </c>
      <c r="E135" s="574" t="s">
        <v>39</v>
      </c>
      <c r="F135" s="574" t="s">
        <v>156</v>
      </c>
      <c r="G135" s="574" t="str">
        <f>VLOOKUP(WWWW[[#This Row],[Site Name]],SiteDB6[[Site Name]:[Location Type]],8,FALSE)</f>
        <v>Camp</v>
      </c>
      <c r="H135" s="574" t="s">
        <v>196</v>
      </c>
      <c r="I135" s="583">
        <v>28</v>
      </c>
      <c r="J135" s="583">
        <v>103</v>
      </c>
      <c r="K135" s="553">
        <v>43556</v>
      </c>
      <c r="L135" s="77">
        <v>43677</v>
      </c>
      <c r="M135" s="583"/>
      <c r="N135" s="583"/>
      <c r="O135" s="583"/>
      <c r="P135" s="583"/>
      <c r="Q135" s="76" t="s">
        <v>43</v>
      </c>
      <c r="R135" s="310"/>
      <c r="S135" s="310"/>
      <c r="T135" s="583">
        <v>1</v>
      </c>
      <c r="U135" s="310"/>
      <c r="V135" s="310"/>
      <c r="W135" s="583">
        <v>1</v>
      </c>
      <c r="X135" s="310"/>
      <c r="Y135" s="310"/>
      <c r="Z135" s="310"/>
      <c r="AA135" s="310"/>
      <c r="AB135" s="310"/>
      <c r="AC135" s="310"/>
      <c r="AD135" s="310"/>
      <c r="AE135" s="310"/>
      <c r="AF135" s="310"/>
      <c r="AG135" s="310"/>
      <c r="AH135" s="583">
        <v>0</v>
      </c>
      <c r="AI135" s="310"/>
      <c r="AJ135" s="310"/>
      <c r="AK135" s="310"/>
      <c r="AL135" s="310"/>
      <c r="AM135" s="310"/>
      <c r="AN135" s="310"/>
      <c r="AO135" s="207"/>
      <c r="AP135" s="583">
        <v>8</v>
      </c>
      <c r="AQ135" s="310"/>
      <c r="AR135" s="76"/>
      <c r="AS135" s="310"/>
      <c r="AT135" s="310"/>
      <c r="AU135" s="310"/>
      <c r="AV135" s="310"/>
      <c r="AW135" s="583">
        <v>8</v>
      </c>
      <c r="AX135" s="231" t="s">
        <v>43</v>
      </c>
      <c r="AY135" s="231" t="s">
        <v>1200</v>
      </c>
      <c r="AZ135" s="310"/>
      <c r="BA135" s="310"/>
      <c r="BB135" s="310"/>
      <c r="BC135" s="207"/>
      <c r="BD135" s="310"/>
      <c r="BE135" s="310"/>
      <c r="BF135" s="310"/>
      <c r="BG135" s="310">
        <v>2</v>
      </c>
      <c r="BH135" s="310"/>
      <c r="BI135" s="310"/>
      <c r="BJ135" s="310">
        <v>1</v>
      </c>
      <c r="BK135" s="310"/>
      <c r="BL135" s="310"/>
      <c r="BM135" s="207"/>
      <c r="BN135" s="79"/>
      <c r="BO135" s="81"/>
      <c r="BP135" s="207"/>
      <c r="BQ135" s="78" t="str">
        <f>IFERROR(WWWW[[#This Row],['#_Water sources treated]]/WWWW[[#This Row],['#_Water sources tested for contamination]],"no test")</f>
        <v>no test</v>
      </c>
      <c r="BR135" s="81" t="str">
        <f>IFERROR(WWWW[[#This Row],['#_Household received remediation action due to contamination]]/WWWW[[#This Row],['#_Household water samples tested for contamination]],"no test")</f>
        <v>no test</v>
      </c>
      <c r="BS135" s="80" t="str">
        <f>IF(AND(WWWW[[#This Row],[% of water sources treated]]="no test",WWWW[[#This Row],[% Household received corrective actions]]="no test"),"No Test","Tested")</f>
        <v>No Test</v>
      </c>
      <c r="BT135" s="80">
        <f>WWWW[[#This Row],['#_Constructed/existing protected hand dug well]]-WWWW[[#This Row],['#_Non-functional protected hand dug well]]</f>
        <v>1</v>
      </c>
      <c r="BU135" s="80">
        <f>(WWWW[[#This Row],['#_Constructed/Existing tube wells/boreholes/handpumps_WASH_agency]]+WWWW[[#This Row],['#_Non-Cluster partner water tube-wells/boreholes/handpumps]])-WWWW[[#This Row],['#_Non-functional tube wells/boreholes/handpumps]]</f>
        <v>1</v>
      </c>
      <c r="BV135" s="80">
        <f>WWWW[[#This Row],['#_Constructed/Existingwater storage tank with gravity fed reticulation system]]-WWWW[[#This Row],['#_Non-functional storage tank gravity fed reticulation system]]</f>
        <v>0</v>
      </c>
      <c r="BW135" s="80">
        <f>WWWW[[#This Row],['#_Water boating or water trucking]]</f>
        <v>0</v>
      </c>
      <c r="BX135" s="80">
        <f>WWWW[[#This Row],['#_Constructed/Existing water distribution system from river or natural spring]]</f>
        <v>0</v>
      </c>
      <c r="BY13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5" s="81">
        <f>IF(WWWW[[#This Row],[Location Type 1]]="Village",WWWW[[#This Row],[Access to safe drinking water for Village]],WWWW[[#This Row],[Access to safe drinking water for Camp]])</f>
        <v>1</v>
      </c>
      <c r="CB135" s="79">
        <f>WWWW[[#This Row],[%Equitable and continuous access to sufficient quantity of safe drinking water]]*WWWW[[#This Row],[Total PoP ]]</f>
        <v>103</v>
      </c>
      <c r="CC135" s="81">
        <f>IF((WWWW[[#This Row],['#_Constructed/Existing protected/fenced ponds]]*250)/WWWW[[#This Row],[Total PoP ]]&gt;1,1,(WWWW[[#This Row],['#_Constructed/Existing protected/fenced ponds]]*250)/WWWW[[#This Row],[Total PoP ]])</f>
        <v>0</v>
      </c>
      <c r="CD135" s="79">
        <f>WWWW[[#This Row],[% Access to unimproved water points]]*WWWW[[#This Row],[Total PoP ]]</f>
        <v>0</v>
      </c>
      <c r="CE13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G135" s="79">
        <f>WWWW[[#This Row],[HRP1]]/500</f>
        <v>0.20599999999999999</v>
      </c>
      <c r="CH135" s="78">
        <f>1-WWWW[[#This Row],[% Equitable and continuous access to sufficient quantity of domestic water]]</f>
        <v>0</v>
      </c>
      <c r="CI135" s="79">
        <f>WWWW[[#This Row],[%equitable and continuous access to sufficient quantity of safe drinking and domestic water''s GAP]]*WWWW[[#This Row],[Total PoP ]]</f>
        <v>0</v>
      </c>
      <c r="CJ135" s="80">
        <f>IF(WWWW[[#This Row],[Total required water points]]-WWWW[[#This Row],['#Water points coverage]]&lt;0,0,WWWW[[#This Row],[Total required water points]]-WWWW[[#This Row],['#Water points coverage]])</f>
        <v>0.79400000000000004</v>
      </c>
      <c r="CK135" s="80">
        <f>ROUND(IF(WWWW[[#This Row],[Total PoP ]]&lt;500,1,WWWW[[#This Row],[Total PoP ]]/500),0)</f>
        <v>1</v>
      </c>
      <c r="CL135" s="80">
        <f>(WWWW[[#This Row],['#_Constructed latrines_by_WASHAgencies]]+WWWW[[#This Row],['#_Non Cluster partner latrines]])-WWWW[[#This Row],['#_Non-functional latrines]]</f>
        <v>8</v>
      </c>
      <c r="CM13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103</v>
      </c>
      <c r="CO13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5" s="80">
        <f>IF(WWWW[[#This Row],[Location Type 1]]="Village","NA",IF(WWWW[[#This Row],['#_Constructed/Existing latrines in TLS]]*50&gt;WWWW[[#This Row],['#_students at TLS_CFS]],WWWW[[#This Row],['#_students at TLS_CFS]],(WWWW[[#This Row],['#_Constructed/Existing latrines in TLS]]*50)))</f>
        <v>0</v>
      </c>
      <c r="CQ135" s="80">
        <f>ROUND(IF(WWWW[[#This Row],[Location Type 1]]="camp",WWWW[[#This Row],[Total PoP ]]/20,IF(WWWW[[#This Row],[Location Type 1]]="Temporary Location",WWWW[[#This Row],[Total PoP ]]/50,(WWWW[[#This Row],[Total PoP ]]/6))),0)</f>
        <v>5</v>
      </c>
      <c r="CR135" s="79">
        <f>IF(WWWW[[#This Row],[Total required Latrines]]-(WWWW[[#This Row],['#_Constructed latrines_by_WASHAgencies]]+WWWW[[#This Row],['#_Non Cluster partner latrines]])&lt;0,0,WWWW[[#This Row],[Total required Latrines]]-(WWWW[[#This Row],['#_Constructed latrines_by_WASHAgencies]]+WWWW[[#This Row],['#_Non Cluster partner latrines]]))</f>
        <v>0</v>
      </c>
      <c r="CS135" s="78">
        <f>1-WWWW[[#This Row],[% people access to functioning Latrine]]</f>
        <v>0</v>
      </c>
      <c r="CT135" s="82">
        <f>IF(OR(WWWW[[#This Row],['#_Non-functional latrines]]="",WWWW[[#This Row],['#_Non-functional latrines]]=0),0,WWWW[[#This Row],['#_Non-functional latrines]]/(WWWW[[#This Row],['#_Constructed latrines_by_WASHAgencies]]+WWWW[[#This Row],['#_Non Cluster partner latrines]]))</f>
        <v>0</v>
      </c>
      <c r="CU135" s="79">
        <f>IF(500*(WWWW[[#This Row],['#_male hygiene promoters]]+WWWW[[#This Row],['#_female hygiene promoters]])&gt;WWWW[[#This Row],[Total PoP ]],WWWW[[#This Row],[Total PoP ]],500*(WWWW[[#This Row],['#_male hygiene promoters]]+WWWW[[#This Row],['#_female hygiene promoters]]))</f>
        <v>103</v>
      </c>
      <c r="CV13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5" s="80">
        <f>IF(WWWW[[#This Row],['# People with access to soap]]&gt;WWWW[[#This Row],['# People with access to Sanity Pads]],WWWW[[#This Row],['# People with access to soap]],WWWW[[#This Row],['# People with access to Sanity Pads]])</f>
        <v>0</v>
      </c>
      <c r="CY135" s="80">
        <f>IF(WWWW[[#This Row],['# people reached by regular dedicated hygiene promotion_5]]&gt;WWWW[[#This Row],['# People received regular supply of hygiene items_6]],WWWW[[#This Row],['# people reached by regular dedicated hygiene promotion_5]],WWWW[[#This Row],['# People received regular supply of hygiene items_6]])</f>
        <v>103</v>
      </c>
      <c r="CZ135" s="78">
        <f>IF(WWWW[[#This Row],[HRP3]]/WWWW[[#This Row],[Total PoP ]]&gt;100%,100%,WWWW[[#This Row],[HRP3]]/WWWW[[#This Row],[Total PoP ]])</f>
        <v>1</v>
      </c>
      <c r="DA135" s="82">
        <f>1-WWWW[[#This Row],[Hygiene Coverage%]]</f>
        <v>0</v>
      </c>
      <c r="DB135" s="81">
        <f>WWWW[[#This Row],['# people reached by regular dedicated hygiene promotion_5]]/WWWW[[#This Row],[Total PoP ]]</f>
        <v>1</v>
      </c>
      <c r="DC135" s="81">
        <f>IF(WWWW[[#This Row],['#_households that received standard amount of soap for this quarter]]/WWWW[[#This Row],[Total HH]]&gt;1,1,WWWW[[#This Row],['#_households that received standard amount of soap for this quarter]]/WWWW[[#This Row],[Total HH]])</f>
        <v>0</v>
      </c>
      <c r="DD135" s="81">
        <f>IF(WWWW[[#This Row],['#_households that received standard amount of sanitary pads for this quarter]]/WWWW[[#This Row],[Total HH]]&gt;1,1,WWWW[[#This Row],['#_households that received standard amount of sanitary pads for this quarter]]/WWWW[[#This Row],[Total HH]])</f>
        <v>0</v>
      </c>
      <c r="DE135" s="80">
        <f>WWWW[[#This Row],['#_Constructed/Existing hand washing stations]]-WWWW[[#This Row],['#_Non-Functional_hand_washing_stations]]</f>
        <v>0</v>
      </c>
      <c r="DF135" s="757">
        <f>IF(WWWW[[#This Row],['# Functional hand washing stations during reporting period]]*20&gt;WWWW[[#This Row],[Total HH]],WWWW[[#This Row],[Total HH]],WWWW[[#This Row],['# Functional hand washing stations during reporting period]]*20)</f>
        <v>0</v>
      </c>
      <c r="DG135" s="79">
        <f>IF(WWWW[[#This Row],[Is sufficient soap available for TLS? (Yes/No)]]="yes",WWWW[[#This Row],['#_Constructed/Existing hand washing stations at TLS]],0)</f>
        <v>0</v>
      </c>
      <c r="DH135" s="578">
        <f>IF(WWWW[[#This Row],['# Functional hand washing stations during reporting period]]*100&gt;WWWW[[#This Row],[Total PoP ]],WWWW[[#This Row],[Total PoP ]],WWWW[[#This Row],['# Functional hand washing stations during reporting period]]*100)</f>
        <v>0</v>
      </c>
      <c r="DI135" s="578" t="str">
        <f>IF(OR(WWWW[[#This Row],['#_students at TLS_CFS]]="",WWWW[[#This Row],['#_students at TLS_CFS]]=0),"No","Yes")</f>
        <v>No</v>
      </c>
      <c r="DJ135" s="231" t="str">
        <f>VLOOKUP(WWWW[[#This Row],[Site Name]],SiteDB6[[Site Name]:[CCCM Management]],6,FALSE)</f>
        <v>Yes</v>
      </c>
      <c r="DK135" s="231" t="str">
        <f>VLOOKUP(WWWW[[#This Row],[Site Name]],SiteDB6[[Site Name]:[CCCM Focal Agency]],7,FALSE)</f>
        <v>KBC</v>
      </c>
      <c r="DL135" s="231" t="str">
        <f>VLOOKUP(WWWW[[#This Row],[Site Name]],SiteDB6[[Site Name]:[Location Type 1]],9,FALSE)</f>
        <v>Camp</v>
      </c>
      <c r="DM135" s="231" t="str">
        <f>VLOOKUP(WWWW[[#This Row],[Site Name]],SiteDB6[[Site Name]:[Type of Accommodation]],10,FALSE)</f>
        <v>Camp</v>
      </c>
      <c r="DN135" s="231" t="str">
        <f>VLOOKUP(WWWW[[#This Row],[Site Name]],SiteDB6[[Site Name]:[Ethnic or GCA/NGCA]],11,FALSE)</f>
        <v>GCA</v>
      </c>
      <c r="DO135" s="231">
        <f>VLOOKUP(WWWW[[#This Row],[Site Name]],SiteDB6[[Site Name]:[Lat]],12,FALSE)</f>
        <v>25.920006000000001</v>
      </c>
      <c r="DP135" s="231">
        <f>VLOOKUP(WWWW[[#This Row],[Site Name]],SiteDB6[[Site Name]:[Long]],13,FALSE)</f>
        <v>96.662092000000001</v>
      </c>
      <c r="DQ135" s="231" t="str">
        <f>VLOOKUP(WWWW[[#This Row],[Site Name]],SiteDB6[[Site Name]:[Pcode]],3,FALSE)</f>
        <v>MMR001CMP244</v>
      </c>
      <c r="DR135" s="207" t="str">
        <f t="shared" si="4"/>
        <v>Covered</v>
      </c>
      <c r="DS135" s="207"/>
      <c r="DT135" s="20"/>
      <c r="DU135" s="20"/>
      <c r="DV135" s="20"/>
      <c r="DW135" s="20"/>
      <c r="DX135" s="20"/>
      <c r="DY135" s="20"/>
      <c r="DZ135" s="20"/>
      <c r="EA135" s="20"/>
      <c r="EB135" s="20"/>
      <c r="EC135" s="20"/>
      <c r="ED135" s="20"/>
      <c r="EE135" s="20"/>
      <c r="EF135" s="20"/>
      <c r="EG135" s="20"/>
      <c r="EH135" s="20"/>
    </row>
    <row r="136" spans="1:138" ht="15.75" customHeight="1">
      <c r="A136" s="238" t="s">
        <v>2518</v>
      </c>
      <c r="B136" s="238" t="s">
        <v>149</v>
      </c>
      <c r="C136" s="574" t="s">
        <v>149</v>
      </c>
      <c r="D136" s="574" t="s">
        <v>158</v>
      </c>
      <c r="E136" s="574" t="s">
        <v>39</v>
      </c>
      <c r="F136" s="574" t="s">
        <v>156</v>
      </c>
      <c r="G136" s="574" t="str">
        <f>VLOOKUP(WWWW[[#This Row],[Site Name]],SiteDB6[[Site Name]:[Location Type]],8,FALSE)</f>
        <v>Camp_not registered</v>
      </c>
      <c r="H136" s="574" t="s">
        <v>199</v>
      </c>
      <c r="I136" s="583">
        <v>18</v>
      </c>
      <c r="J136" s="583">
        <v>80</v>
      </c>
      <c r="K136" s="553">
        <v>43556</v>
      </c>
      <c r="L136" s="77">
        <v>43677</v>
      </c>
      <c r="M136" s="583"/>
      <c r="N136" s="583"/>
      <c r="O136" s="583"/>
      <c r="P136" s="583"/>
      <c r="Q136" s="76" t="s">
        <v>43</v>
      </c>
      <c r="R136" s="310"/>
      <c r="S136" s="310"/>
      <c r="T136" s="583">
        <v>2</v>
      </c>
      <c r="U136" s="310"/>
      <c r="V136" s="310"/>
      <c r="W136" s="583"/>
      <c r="X136" s="310"/>
      <c r="Y136" s="310"/>
      <c r="Z136" s="310"/>
      <c r="AA136" s="310"/>
      <c r="AB136" s="310"/>
      <c r="AC136" s="310"/>
      <c r="AD136" s="310"/>
      <c r="AE136" s="310"/>
      <c r="AF136" s="310"/>
      <c r="AG136" s="310"/>
      <c r="AH136" s="583">
        <v>0</v>
      </c>
      <c r="AI136" s="310"/>
      <c r="AJ136" s="310"/>
      <c r="AK136" s="310"/>
      <c r="AL136" s="310"/>
      <c r="AM136" s="310"/>
      <c r="AN136" s="310"/>
      <c r="AO136" s="207"/>
      <c r="AP136" s="583">
        <v>4</v>
      </c>
      <c r="AQ136" s="310"/>
      <c r="AR136" s="76"/>
      <c r="AS136" s="310"/>
      <c r="AT136" s="310"/>
      <c r="AU136" s="310"/>
      <c r="AV136" s="310"/>
      <c r="AW136" s="583">
        <v>4</v>
      </c>
      <c r="AX136" s="231" t="s">
        <v>43</v>
      </c>
      <c r="AY136" s="231" t="s">
        <v>145</v>
      </c>
      <c r="AZ136" s="310"/>
      <c r="BA136" s="310"/>
      <c r="BB136" s="310"/>
      <c r="BC136" s="207"/>
      <c r="BD136" s="310"/>
      <c r="BE136" s="310"/>
      <c r="BF136" s="310"/>
      <c r="BG136" s="310">
        <v>1</v>
      </c>
      <c r="BH136" s="310"/>
      <c r="BI136" s="310"/>
      <c r="BJ136" s="310">
        <v>1</v>
      </c>
      <c r="BK136" s="310"/>
      <c r="BL136" s="310"/>
      <c r="BM136" s="207"/>
      <c r="BN136" s="79"/>
      <c r="BO136" s="81"/>
      <c r="BP136" s="207"/>
      <c r="BQ136" s="78" t="str">
        <f>IFERROR(WWWW[[#This Row],['#_Water sources treated]]/WWWW[[#This Row],['#_Water sources tested for contamination]],"no test")</f>
        <v>no test</v>
      </c>
      <c r="BR136" s="81" t="str">
        <f>IFERROR(WWWW[[#This Row],['#_Household received remediation action due to contamination]]/WWWW[[#This Row],['#_Household water samples tested for contamination]],"no test")</f>
        <v>no test</v>
      </c>
      <c r="BS136" s="80" t="str">
        <f>IF(AND(WWWW[[#This Row],[% of water sources treated]]="no test",WWWW[[#This Row],[% Household received corrective actions]]="no test"),"No Test","Tested")</f>
        <v>No Test</v>
      </c>
      <c r="BT136" s="80">
        <f>WWWW[[#This Row],['#_Constructed/existing protected hand dug well]]-WWWW[[#This Row],['#_Non-functional protected hand dug well]]</f>
        <v>2</v>
      </c>
      <c r="BU136" s="80">
        <f>(WWWW[[#This Row],['#_Constructed/Existing tube wells/boreholes/handpumps_WASH_agency]]+WWWW[[#This Row],['#_Non-Cluster partner water tube-wells/boreholes/handpumps]])-WWWW[[#This Row],['#_Non-functional tube wells/boreholes/handpumps]]</f>
        <v>0</v>
      </c>
      <c r="BV136" s="80">
        <f>WWWW[[#This Row],['#_Constructed/Existingwater storage tank with gravity fed reticulation system]]-WWWW[[#This Row],['#_Non-functional storage tank gravity fed reticulation system]]</f>
        <v>0</v>
      </c>
      <c r="BW136" s="80">
        <f>WWWW[[#This Row],['#_Water boating or water trucking]]</f>
        <v>0</v>
      </c>
      <c r="BX136" s="80">
        <f>WWWW[[#This Row],['#_Constructed/Existing water distribution system from river or natural spring]]</f>
        <v>0</v>
      </c>
      <c r="BY13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36" s="81">
        <f>IF(WWWW[[#This Row],[Location Type 1]]="Village",WWWW[[#This Row],[Access to safe drinking water for Village]],WWWW[[#This Row],[Access to safe drinking water for Camp]])</f>
        <v>1</v>
      </c>
      <c r="CB136" s="79">
        <f>WWWW[[#This Row],[%Equitable and continuous access to sufficient quantity of safe drinking water]]*WWWW[[#This Row],[Total PoP ]]</f>
        <v>80</v>
      </c>
      <c r="CC136" s="81">
        <f>IF((WWWW[[#This Row],['#_Constructed/Existing protected/fenced ponds]]*250)/WWWW[[#This Row],[Total PoP ]]&gt;1,1,(WWWW[[#This Row],['#_Constructed/Existing protected/fenced ponds]]*250)/WWWW[[#This Row],[Total PoP ]])</f>
        <v>0</v>
      </c>
      <c r="CD136" s="79">
        <f>WWWW[[#This Row],[% Access to unimproved water points]]*WWWW[[#This Row],[Total PoP ]]</f>
        <v>0</v>
      </c>
      <c r="CE13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G136" s="79">
        <f>WWWW[[#This Row],[HRP1]]/500</f>
        <v>0.16</v>
      </c>
      <c r="CH136" s="78">
        <f>1-WWWW[[#This Row],[% Equitable and continuous access to sufficient quantity of domestic water]]</f>
        <v>0</v>
      </c>
      <c r="CI136" s="79">
        <f>WWWW[[#This Row],[%equitable and continuous access to sufficient quantity of safe drinking and domestic water''s GAP]]*WWWW[[#This Row],[Total PoP ]]</f>
        <v>0</v>
      </c>
      <c r="CJ136" s="80">
        <f>IF(WWWW[[#This Row],[Total required water points]]-WWWW[[#This Row],['#Water points coverage]]&lt;0,0,WWWW[[#This Row],[Total required water points]]-WWWW[[#This Row],['#Water points coverage]])</f>
        <v>0.84</v>
      </c>
      <c r="CK136" s="80">
        <f>ROUND(IF(WWWW[[#This Row],[Total PoP ]]&lt;500,1,WWWW[[#This Row],[Total PoP ]]/500),0)</f>
        <v>1</v>
      </c>
      <c r="CL136" s="80">
        <f>(WWWW[[#This Row],['#_Constructed latrines_by_WASHAgencies]]+WWWW[[#This Row],['#_Non Cluster partner latrines]])-WWWW[[#This Row],['#_Non-functional latrines]]</f>
        <v>4</v>
      </c>
      <c r="CM13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3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13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6" s="80">
        <f>IF(WWWW[[#This Row],[Location Type 1]]="Village","NA",IF(WWWW[[#This Row],['#_Constructed/Existing latrines in TLS]]*50&gt;WWWW[[#This Row],['#_students at TLS_CFS]],WWWW[[#This Row],['#_students at TLS_CFS]],(WWWW[[#This Row],['#_Constructed/Existing latrines in TLS]]*50)))</f>
        <v>0</v>
      </c>
      <c r="CQ136" s="80">
        <f>ROUND(IF(WWWW[[#This Row],[Location Type 1]]="camp",WWWW[[#This Row],[Total PoP ]]/20,IF(WWWW[[#This Row],[Location Type 1]]="Temporary Location",WWWW[[#This Row],[Total PoP ]]/50,(WWWW[[#This Row],[Total PoP ]]/6))),0)</f>
        <v>4</v>
      </c>
      <c r="CR136" s="79">
        <f>IF(WWWW[[#This Row],[Total required Latrines]]-(WWWW[[#This Row],['#_Constructed latrines_by_WASHAgencies]]+WWWW[[#This Row],['#_Non Cluster partner latrines]])&lt;0,0,WWWW[[#This Row],[Total required Latrines]]-(WWWW[[#This Row],['#_Constructed latrines_by_WASHAgencies]]+WWWW[[#This Row],['#_Non Cluster partner latrines]]))</f>
        <v>0</v>
      </c>
      <c r="CS136" s="78">
        <f>1-WWWW[[#This Row],[% people access to functioning Latrine]]</f>
        <v>0</v>
      </c>
      <c r="CT136" s="82">
        <f>IF(OR(WWWW[[#This Row],['#_Non-functional latrines]]="",WWWW[[#This Row],['#_Non-functional latrines]]=0),0,WWWW[[#This Row],['#_Non-functional latrines]]/(WWWW[[#This Row],['#_Constructed latrines_by_WASHAgencies]]+WWWW[[#This Row],['#_Non Cluster partner latrines]]))</f>
        <v>0</v>
      </c>
      <c r="CU136" s="79">
        <f>IF(500*(WWWW[[#This Row],['#_male hygiene promoters]]+WWWW[[#This Row],['#_female hygiene promoters]])&gt;WWWW[[#This Row],[Total PoP ]],WWWW[[#This Row],[Total PoP ]],500*(WWWW[[#This Row],['#_male hygiene promoters]]+WWWW[[#This Row],['#_female hygiene promoters]]))</f>
        <v>80</v>
      </c>
      <c r="CV13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6" s="80">
        <f>IF(WWWW[[#This Row],['# People with access to soap]]&gt;WWWW[[#This Row],['# People with access to Sanity Pads]],WWWW[[#This Row],['# People with access to soap]],WWWW[[#This Row],['# People with access to Sanity Pads]])</f>
        <v>0</v>
      </c>
      <c r="CY136" s="80">
        <f>IF(WWWW[[#This Row],['# people reached by regular dedicated hygiene promotion_5]]&gt;WWWW[[#This Row],['# People received regular supply of hygiene items_6]],WWWW[[#This Row],['# people reached by regular dedicated hygiene promotion_5]],WWWW[[#This Row],['# People received regular supply of hygiene items_6]])</f>
        <v>80</v>
      </c>
      <c r="CZ136" s="78">
        <f>IF(WWWW[[#This Row],[HRP3]]/WWWW[[#This Row],[Total PoP ]]&gt;100%,100%,WWWW[[#This Row],[HRP3]]/WWWW[[#This Row],[Total PoP ]])</f>
        <v>1</v>
      </c>
      <c r="DA136" s="82">
        <f>1-WWWW[[#This Row],[Hygiene Coverage%]]</f>
        <v>0</v>
      </c>
      <c r="DB136" s="81">
        <f>WWWW[[#This Row],['# people reached by regular dedicated hygiene promotion_5]]/WWWW[[#This Row],[Total PoP ]]</f>
        <v>1</v>
      </c>
      <c r="DC136" s="81">
        <f>IF(WWWW[[#This Row],['#_households that received standard amount of soap for this quarter]]/WWWW[[#This Row],[Total HH]]&gt;1,1,WWWW[[#This Row],['#_households that received standard amount of soap for this quarter]]/WWWW[[#This Row],[Total HH]])</f>
        <v>0</v>
      </c>
      <c r="DD136" s="81">
        <f>IF(WWWW[[#This Row],['#_households that received standard amount of sanitary pads for this quarter]]/WWWW[[#This Row],[Total HH]]&gt;1,1,WWWW[[#This Row],['#_households that received standard amount of sanitary pads for this quarter]]/WWWW[[#This Row],[Total HH]])</f>
        <v>0</v>
      </c>
      <c r="DE136" s="80">
        <f>WWWW[[#This Row],['#_Constructed/Existing hand washing stations]]-WWWW[[#This Row],['#_Non-Functional_hand_washing_stations]]</f>
        <v>0</v>
      </c>
      <c r="DF136" s="757">
        <f>IF(WWWW[[#This Row],['# Functional hand washing stations during reporting period]]*20&gt;WWWW[[#This Row],[Total HH]],WWWW[[#This Row],[Total HH]],WWWW[[#This Row],['# Functional hand washing stations during reporting period]]*20)</f>
        <v>0</v>
      </c>
      <c r="DG136" s="79">
        <f>IF(WWWW[[#This Row],[Is sufficient soap available for TLS? (Yes/No)]]="yes",WWWW[[#This Row],['#_Constructed/Existing hand washing stations at TLS]],0)</f>
        <v>0</v>
      </c>
      <c r="DH136" s="578">
        <f>IF(WWWW[[#This Row],['# Functional hand washing stations during reporting period]]*100&gt;WWWW[[#This Row],[Total PoP ]],WWWW[[#This Row],[Total PoP ]],WWWW[[#This Row],['# Functional hand washing stations during reporting period]]*100)</f>
        <v>0</v>
      </c>
      <c r="DI136" s="578" t="str">
        <f>IF(OR(WWWW[[#This Row],['#_students at TLS_CFS]]="",WWWW[[#This Row],['#_students at TLS_CFS]]=0),"No","Yes")</f>
        <v>No</v>
      </c>
      <c r="DJ136" s="231">
        <f>VLOOKUP(WWWW[[#This Row],[Site Name]],SiteDB6[[Site Name]:[CCCM Management]],6,FALSE)</f>
        <v>0</v>
      </c>
      <c r="DK136" s="231">
        <f>VLOOKUP(WWWW[[#This Row],[Site Name]],SiteDB6[[Site Name]:[CCCM Focal Agency]],7,FALSE)</f>
        <v>0</v>
      </c>
      <c r="DL136" s="231" t="str">
        <f>VLOOKUP(WWWW[[#This Row],[Site Name]],SiteDB6[[Site Name]:[Location Type 1]],9,FALSE)</f>
        <v>Camp</v>
      </c>
      <c r="DM136" s="231" t="str">
        <f>VLOOKUP(WWWW[[#This Row],[Site Name]],SiteDB6[[Site Name]:[Type of Accommodation]],10,FALSE)</f>
        <v>Camp</v>
      </c>
      <c r="DN136" s="231" t="str">
        <f>VLOOKUP(WWWW[[#This Row],[Site Name]],SiteDB6[[Site Name]:[Ethnic or GCA/NGCA]],11,FALSE)</f>
        <v>GCA</v>
      </c>
      <c r="DO136" s="231">
        <f>VLOOKUP(WWWW[[#This Row],[Site Name]],SiteDB6[[Site Name]:[Lat]],12,FALSE)</f>
        <v>0</v>
      </c>
      <c r="DP136" s="231">
        <f>VLOOKUP(WWWW[[#This Row],[Site Name]],SiteDB6[[Site Name]:[Long]],13,FALSE)</f>
        <v>0</v>
      </c>
      <c r="DQ136" s="231">
        <f>VLOOKUP(WWWW[[#This Row],[Site Name]],SiteDB6[[Site Name]:[Pcode]],3,FALSE)</f>
        <v>0</v>
      </c>
      <c r="DR136" s="207" t="str">
        <f t="shared" si="4"/>
        <v>Covered</v>
      </c>
      <c r="DS136" s="207"/>
      <c r="DT136" s="20"/>
      <c r="DU136" s="20"/>
      <c r="DV136" s="20"/>
      <c r="DW136" s="20"/>
      <c r="DX136" s="20"/>
      <c r="DY136" s="20"/>
      <c r="DZ136" s="20"/>
      <c r="EA136" s="20"/>
      <c r="EB136" s="20"/>
      <c r="EC136" s="20"/>
      <c r="ED136" s="20"/>
      <c r="EE136" s="20"/>
      <c r="EF136" s="20"/>
      <c r="EG136" s="20"/>
      <c r="EH136" s="20"/>
    </row>
    <row r="137" spans="1:138" ht="15.75" customHeight="1">
      <c r="A137" s="238" t="s">
        <v>2518</v>
      </c>
      <c r="B137" s="238" t="s">
        <v>149</v>
      </c>
      <c r="C137" s="574" t="s">
        <v>149</v>
      </c>
      <c r="D137" s="574" t="s">
        <v>152</v>
      </c>
      <c r="E137" s="574" t="s">
        <v>39</v>
      </c>
      <c r="F137" s="574" t="s">
        <v>167</v>
      </c>
      <c r="G137" s="574" t="str">
        <f>VLOOKUP(WWWW[[#This Row],[Site Name]],SiteDB6[[Site Name]:[Location Type]],8,FALSE)</f>
        <v>Camp</v>
      </c>
      <c r="H137" s="574" t="s">
        <v>176</v>
      </c>
      <c r="I137" s="583">
        <v>107</v>
      </c>
      <c r="J137" s="583">
        <v>534</v>
      </c>
      <c r="K137" s="553">
        <v>43556</v>
      </c>
      <c r="L137" s="77">
        <v>43677</v>
      </c>
      <c r="M137" s="583"/>
      <c r="N137" s="583"/>
      <c r="O137" s="583"/>
      <c r="P137" s="583"/>
      <c r="Q137" s="574" t="s">
        <v>43</v>
      </c>
      <c r="R137" s="310"/>
      <c r="S137" s="310"/>
      <c r="T137" s="583">
        <v>1</v>
      </c>
      <c r="U137" s="310"/>
      <c r="V137" s="310"/>
      <c r="W137" s="583">
        <v>1</v>
      </c>
      <c r="X137" s="310"/>
      <c r="Y137" s="310"/>
      <c r="Z137" s="310"/>
      <c r="AA137" s="310"/>
      <c r="AB137" s="310"/>
      <c r="AC137" s="310"/>
      <c r="AD137" s="310"/>
      <c r="AE137" s="310"/>
      <c r="AF137" s="310"/>
      <c r="AG137" s="310"/>
      <c r="AH137" s="583">
        <v>2</v>
      </c>
      <c r="AI137" s="310"/>
      <c r="AJ137" s="310"/>
      <c r="AK137" s="310"/>
      <c r="AL137" s="310"/>
      <c r="AM137" s="310"/>
      <c r="AN137" s="310"/>
      <c r="AO137" s="207"/>
      <c r="AP137" s="583">
        <v>13</v>
      </c>
      <c r="AQ137" s="310"/>
      <c r="AR137" s="76"/>
      <c r="AS137" s="310"/>
      <c r="AT137" s="310"/>
      <c r="AU137" s="310">
        <v>14</v>
      </c>
      <c r="AV137" s="310"/>
      <c r="AW137" s="583">
        <v>13</v>
      </c>
      <c r="AX137" s="231" t="s">
        <v>43</v>
      </c>
      <c r="AY137" s="231" t="s">
        <v>145</v>
      </c>
      <c r="AZ137" s="310"/>
      <c r="BA137" s="310"/>
      <c r="BB137" s="310"/>
      <c r="BC137" s="207"/>
      <c r="BD137" s="310"/>
      <c r="BE137" s="310"/>
      <c r="BF137" s="310"/>
      <c r="BG137" s="310">
        <v>2</v>
      </c>
      <c r="BH137" s="310"/>
      <c r="BI137" s="310"/>
      <c r="BJ137" s="310">
        <v>2</v>
      </c>
      <c r="BK137" s="310"/>
      <c r="BL137" s="310"/>
      <c r="BM137" s="207"/>
      <c r="BN137" s="79"/>
      <c r="BO137" s="81"/>
      <c r="BP137" s="207"/>
      <c r="BQ137" s="78" t="str">
        <f>IFERROR(WWWW[[#This Row],['#_Water sources treated]]/WWWW[[#This Row],['#_Water sources tested for contamination]],"no test")</f>
        <v>no test</v>
      </c>
      <c r="BR137" s="81" t="str">
        <f>IFERROR(WWWW[[#This Row],['#_Household received remediation action due to contamination]]/WWWW[[#This Row],['#_Household water samples tested for contamination]],"no test")</f>
        <v>no test</v>
      </c>
      <c r="BS137" s="80" t="str">
        <f>IF(AND(WWWW[[#This Row],[% of water sources treated]]="no test",WWWW[[#This Row],[% Household received corrective actions]]="no test"),"No Test","Tested")</f>
        <v>No Test</v>
      </c>
      <c r="BT137" s="80">
        <f>WWWW[[#This Row],['#_Constructed/existing protected hand dug well]]-WWWW[[#This Row],['#_Non-functional protected hand dug well]]</f>
        <v>1</v>
      </c>
      <c r="BU137" s="80">
        <f>(WWWW[[#This Row],['#_Constructed/Existing tube wells/boreholes/handpumps_WASH_agency]]+WWWW[[#This Row],['#_Non-Cluster partner water tube-wells/boreholes/handpumps]])-WWWW[[#This Row],['#_Non-functional tube wells/boreholes/handpumps]]</f>
        <v>1</v>
      </c>
      <c r="BV137" s="80">
        <f>WWWW[[#This Row],['#_Constructed/Existingwater storage tank with gravity fed reticulation system]]-WWWW[[#This Row],['#_Non-functional storage tank gravity fed reticulation system]]</f>
        <v>0</v>
      </c>
      <c r="BW137" s="80">
        <f>WWWW[[#This Row],['#_Water boating or water trucking]]</f>
        <v>0</v>
      </c>
      <c r="BX137" s="80">
        <f>WWWW[[#This Row],['#_Constructed/Existing water distribution system from river or natural spring]]</f>
        <v>0</v>
      </c>
      <c r="BY13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3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0.93632958801498123</v>
      </c>
      <c r="CA137" s="81">
        <f>IF(WWWW[[#This Row],[Location Type 1]]="Village",WWWW[[#This Row],[Access to safe drinking water for Village]],WWWW[[#This Row],[Access to safe drinking water for Camp]])</f>
        <v>1</v>
      </c>
      <c r="CB137" s="79">
        <f>WWWW[[#This Row],[%Equitable and continuous access to sufficient quantity of safe drinking water]]*WWWW[[#This Row],[Total PoP ]]</f>
        <v>534</v>
      </c>
      <c r="CC137" s="81">
        <f>IF((WWWW[[#This Row],['#_Constructed/Existing protected/fenced ponds]]*250)/WWWW[[#This Row],[Total PoP ]]&gt;1,1,(WWWW[[#This Row],['#_Constructed/Existing protected/fenced ponds]]*250)/WWWW[[#This Row],[Total PoP ]])</f>
        <v>0</v>
      </c>
      <c r="CD137" s="79">
        <f>WWWW[[#This Row],[% Access to unimproved water points]]*WWWW[[#This Row],[Total PoP ]]</f>
        <v>0</v>
      </c>
      <c r="CE13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3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G137" s="79">
        <f>WWWW[[#This Row],[HRP1]]/500</f>
        <v>1.0680000000000001</v>
      </c>
      <c r="CH137" s="78">
        <f>1-WWWW[[#This Row],[% Equitable and continuous access to sufficient quantity of domestic water]]</f>
        <v>0</v>
      </c>
      <c r="CI137" s="79">
        <f>WWWW[[#This Row],[%equitable and continuous access to sufficient quantity of safe drinking and domestic water''s GAP]]*WWWW[[#This Row],[Total PoP ]]</f>
        <v>0</v>
      </c>
      <c r="CJ137" s="80">
        <f>IF(WWWW[[#This Row],[Total required water points]]-WWWW[[#This Row],['#Water points coverage]]&lt;0,0,WWWW[[#This Row],[Total required water points]]-WWWW[[#This Row],['#Water points coverage]])</f>
        <v>0</v>
      </c>
      <c r="CK137" s="80">
        <f>ROUND(IF(WWWW[[#This Row],[Total PoP ]]&lt;500,1,WWWW[[#This Row],[Total PoP ]]/500),0)</f>
        <v>1</v>
      </c>
      <c r="CL137" s="80">
        <f>(WWWW[[#This Row],['#_Constructed latrines_by_WASHAgencies]]+WWWW[[#This Row],['#_Non Cluster partner latrines]])-WWWW[[#This Row],['#_Non-functional latrines]]</f>
        <v>13</v>
      </c>
      <c r="CM13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0.48689138576779029</v>
      </c>
      <c r="CN13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13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137" s="80">
        <f>IF(WWWW[[#This Row],[Location Type 1]]="Village","NA",IF(WWWW[[#This Row],['#_Constructed/Existing latrines in TLS]]*50&gt;WWWW[[#This Row],['#_students at TLS_CFS]],WWWW[[#This Row],['#_students at TLS_CFS]],(WWWW[[#This Row],['#_Constructed/Existing latrines in TLS]]*50)))</f>
        <v>0</v>
      </c>
      <c r="CQ137" s="80">
        <f>ROUND(IF(WWWW[[#This Row],[Location Type 1]]="camp",WWWW[[#This Row],[Total PoP ]]/20,IF(WWWW[[#This Row],[Location Type 1]]="Temporary Location",WWWW[[#This Row],[Total PoP ]]/50,(WWWW[[#This Row],[Total PoP ]]/6))),0)</f>
        <v>27</v>
      </c>
      <c r="CR137" s="79">
        <f>IF(WWWW[[#This Row],[Total required Latrines]]-(WWWW[[#This Row],['#_Constructed latrines_by_WASHAgencies]]+WWWW[[#This Row],['#_Non Cluster partner latrines]])&lt;0,0,WWWW[[#This Row],[Total required Latrines]]-(WWWW[[#This Row],['#_Constructed latrines_by_WASHAgencies]]+WWWW[[#This Row],['#_Non Cluster partner latrines]]))</f>
        <v>14</v>
      </c>
      <c r="CS137" s="78">
        <f>1-WWWW[[#This Row],[% people access to functioning Latrine]]</f>
        <v>0.51310861423220966</v>
      </c>
      <c r="CT137" s="82">
        <f>IF(OR(WWWW[[#This Row],['#_Non-functional latrines]]="",WWWW[[#This Row],['#_Non-functional latrines]]=0),0,WWWW[[#This Row],['#_Non-functional latrines]]/(WWWW[[#This Row],['#_Constructed latrines_by_WASHAgencies]]+WWWW[[#This Row],['#_Non Cluster partner latrines]]))</f>
        <v>0</v>
      </c>
      <c r="CU137" s="79">
        <f>IF(500*(WWWW[[#This Row],['#_male hygiene promoters]]+WWWW[[#This Row],['#_female hygiene promoters]])&gt;WWWW[[#This Row],[Total PoP ]],WWWW[[#This Row],[Total PoP ]],500*(WWWW[[#This Row],['#_male hygiene promoters]]+WWWW[[#This Row],['#_female hygiene promoters]]))</f>
        <v>534</v>
      </c>
      <c r="CV13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7" s="80">
        <f>IF(WWWW[[#This Row],['# People with access to soap]]&gt;WWWW[[#This Row],['# People with access to Sanity Pads]],WWWW[[#This Row],['# People with access to soap]],WWWW[[#This Row],['# People with access to Sanity Pads]])</f>
        <v>0</v>
      </c>
      <c r="CY137" s="80">
        <f>IF(WWWW[[#This Row],['# people reached by regular dedicated hygiene promotion_5]]&gt;WWWW[[#This Row],['# People received regular supply of hygiene items_6]],WWWW[[#This Row],['# people reached by regular dedicated hygiene promotion_5]],WWWW[[#This Row],['# People received regular supply of hygiene items_6]])</f>
        <v>534</v>
      </c>
      <c r="CZ137" s="78">
        <f>IF(WWWW[[#This Row],[HRP3]]/WWWW[[#This Row],[Total PoP ]]&gt;100%,100%,WWWW[[#This Row],[HRP3]]/WWWW[[#This Row],[Total PoP ]])</f>
        <v>1</v>
      </c>
      <c r="DA137" s="82">
        <f>1-WWWW[[#This Row],[Hygiene Coverage%]]</f>
        <v>0</v>
      </c>
      <c r="DB137" s="81">
        <f>WWWW[[#This Row],['# people reached by regular dedicated hygiene promotion_5]]/WWWW[[#This Row],[Total PoP ]]</f>
        <v>1</v>
      </c>
      <c r="DC137" s="81">
        <f>IF(WWWW[[#This Row],['#_households that received standard amount of soap for this quarter]]/WWWW[[#This Row],[Total HH]]&gt;1,1,WWWW[[#This Row],['#_households that received standard amount of soap for this quarter]]/WWWW[[#This Row],[Total HH]])</f>
        <v>0</v>
      </c>
      <c r="DD137" s="81">
        <f>IF(WWWW[[#This Row],['#_households that received standard amount of sanitary pads for this quarter]]/WWWW[[#This Row],[Total HH]]&gt;1,1,WWWW[[#This Row],['#_households that received standard amount of sanitary pads for this quarter]]/WWWW[[#This Row],[Total HH]])</f>
        <v>0</v>
      </c>
      <c r="DE137" s="80">
        <f>WWWW[[#This Row],['#_Constructed/Existing hand washing stations]]-WWWW[[#This Row],['#_Non-Functional_hand_washing_stations]]</f>
        <v>0</v>
      </c>
      <c r="DF137" s="757">
        <f>IF(WWWW[[#This Row],['# Functional hand washing stations during reporting period]]*20&gt;WWWW[[#This Row],[Total HH]],WWWW[[#This Row],[Total HH]],WWWW[[#This Row],['# Functional hand washing stations during reporting period]]*20)</f>
        <v>0</v>
      </c>
      <c r="DG137" s="79">
        <f>IF(WWWW[[#This Row],[Is sufficient soap available for TLS? (Yes/No)]]="yes",WWWW[[#This Row],['#_Constructed/Existing hand washing stations at TLS]],0)</f>
        <v>0</v>
      </c>
      <c r="DH137" s="578">
        <f>IF(WWWW[[#This Row],['# Functional hand washing stations during reporting period]]*100&gt;WWWW[[#This Row],[Total PoP ]],WWWW[[#This Row],[Total PoP ]],WWWW[[#This Row],['# Functional hand washing stations during reporting period]]*100)</f>
        <v>0</v>
      </c>
      <c r="DI137" s="578" t="str">
        <f>IF(OR(WWWW[[#This Row],['#_students at TLS_CFS]]="",WWWW[[#This Row],['#_students at TLS_CFS]]=0),"No","Yes")</f>
        <v>No</v>
      </c>
      <c r="DJ137" s="231" t="str">
        <f>VLOOKUP(WWWW[[#This Row],[Site Name]],SiteDB6[[Site Name]:[CCCM Management]],6,FALSE)</f>
        <v>Yes</v>
      </c>
      <c r="DK137" s="231" t="str">
        <f>VLOOKUP(WWWW[[#This Row],[Site Name]],SiteDB6[[Site Name]:[CCCM Focal Agency]],7,FALSE)</f>
        <v>KBC-MYT</v>
      </c>
      <c r="DL137" s="231" t="str">
        <f>VLOOKUP(WWWW[[#This Row],[Site Name]],SiteDB6[[Site Name]:[Location Type 1]],9,FALSE)</f>
        <v>Camp</v>
      </c>
      <c r="DM137" s="231" t="str">
        <f>VLOOKUP(WWWW[[#This Row],[Site Name]],SiteDB6[[Site Name]:[Type of Accommodation]],10,FALSE)</f>
        <v>Camp</v>
      </c>
      <c r="DN137" s="231" t="str">
        <f>VLOOKUP(WWWW[[#This Row],[Site Name]],SiteDB6[[Site Name]:[Ethnic or GCA/NGCA]],11,FALSE)</f>
        <v>GCA</v>
      </c>
      <c r="DO137" s="231">
        <f>VLOOKUP(WWWW[[#This Row],[Site Name]],SiteDB6[[Site Name]:[Lat]],12,FALSE)</f>
        <v>25.412313000000001</v>
      </c>
      <c r="DP137" s="231">
        <f>VLOOKUP(WWWW[[#This Row],[Site Name]],SiteDB6[[Site Name]:[Long]],13,FALSE)</f>
        <v>97.399628000000007</v>
      </c>
      <c r="DQ137" s="231" t="str">
        <f>VLOOKUP(WWWW[[#This Row],[Site Name]],SiteDB6[[Site Name]:[Pcode]],3,FALSE)</f>
        <v>MMR001CMP006</v>
      </c>
      <c r="DR137" s="207" t="str">
        <f t="shared" si="4"/>
        <v>Covered</v>
      </c>
      <c r="DS137" s="207"/>
      <c r="DT137" s="20"/>
      <c r="DU137" s="20"/>
      <c r="DV137" s="20"/>
      <c r="DW137" s="20"/>
      <c r="DX137" s="20"/>
      <c r="DY137" s="20"/>
      <c r="DZ137" s="20"/>
      <c r="EA137" s="20"/>
      <c r="EB137" s="20"/>
      <c r="EC137" s="20"/>
      <c r="ED137" s="20"/>
      <c r="EE137" s="20"/>
      <c r="EF137" s="20"/>
      <c r="EG137" s="20"/>
      <c r="EH137" s="20"/>
    </row>
    <row r="138" spans="1:138" ht="15.75" customHeight="1">
      <c r="A138" s="238" t="s">
        <v>2518</v>
      </c>
      <c r="B138" s="574" t="s">
        <v>317</v>
      </c>
      <c r="C138" s="574" t="s">
        <v>317</v>
      </c>
      <c r="D138" s="574"/>
      <c r="E138" s="574" t="s">
        <v>39</v>
      </c>
      <c r="F138" s="574" t="s">
        <v>192</v>
      </c>
      <c r="G138" s="574" t="str">
        <f>VLOOKUP(WWWW[[#This Row],[Site Name]],SiteDB6[[Site Name]:[Location Type]],8,FALSE)</f>
        <v>Camp</v>
      </c>
      <c r="H138" s="574" t="s">
        <v>3034</v>
      </c>
      <c r="I138" s="583">
        <v>29</v>
      </c>
      <c r="J138" s="583">
        <v>140</v>
      </c>
      <c r="K138" s="553"/>
      <c r="L138" s="77"/>
      <c r="M138" s="583"/>
      <c r="N138" s="583"/>
      <c r="O138" s="583"/>
      <c r="P138" s="583"/>
      <c r="Q138" s="574"/>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207"/>
      <c r="AP138" s="583"/>
      <c r="AQ138" s="583"/>
      <c r="AR138" s="574"/>
      <c r="AS138" s="583"/>
      <c r="AT138" s="583"/>
      <c r="AU138" s="583"/>
      <c r="AV138" s="583"/>
      <c r="AW138" s="583"/>
      <c r="AX138" s="581"/>
      <c r="AY138" s="581"/>
      <c r="AZ138" s="583"/>
      <c r="BA138" s="583"/>
      <c r="BB138" s="583"/>
      <c r="BC138" s="207"/>
      <c r="BD138" s="583"/>
      <c r="BE138" s="583"/>
      <c r="BF138" s="583"/>
      <c r="BG138" s="583"/>
      <c r="BH138" s="583"/>
      <c r="BI138" s="583"/>
      <c r="BJ138" s="583"/>
      <c r="BK138" s="583"/>
      <c r="BL138" s="583"/>
      <c r="BM138" s="207"/>
      <c r="BN138" s="578"/>
      <c r="BO138" s="81"/>
      <c r="BP138" s="207"/>
      <c r="BQ138" s="78" t="str">
        <f>IFERROR(WWWW[[#This Row],['#_Water sources treated]]/WWWW[[#This Row],['#_Water sources tested for contamination]],"no test")</f>
        <v>no test</v>
      </c>
      <c r="BR138" s="81" t="str">
        <f>IFERROR(WWWW[[#This Row],['#_Household received remediation action due to contamination]]/WWWW[[#This Row],['#_Household water samples tested for contamination]],"no test")</f>
        <v>no test</v>
      </c>
      <c r="BS138" s="80" t="str">
        <f>IF(AND(WWWW[[#This Row],[% of water sources treated]]="no test",WWWW[[#This Row],[% Household received corrective actions]]="no test"),"No Test","Tested")</f>
        <v>No Test</v>
      </c>
      <c r="BT138" s="80">
        <f>WWWW[[#This Row],['#_Constructed/existing protected hand dug well]]-WWWW[[#This Row],['#_Non-functional protected hand dug well]]</f>
        <v>0</v>
      </c>
      <c r="BU138" s="80">
        <f>(WWWW[[#This Row],['#_Constructed/Existing tube wells/boreholes/handpumps_WASH_agency]]+WWWW[[#This Row],['#_Non-Cluster partner water tube-wells/boreholes/handpumps]])-WWWW[[#This Row],['#_Non-functional tube wells/boreholes/handpumps]]</f>
        <v>0</v>
      </c>
      <c r="BV138" s="80">
        <f>WWWW[[#This Row],['#_Constructed/Existingwater storage tank with gravity fed reticulation system]]-WWWW[[#This Row],['#_Non-functional storage tank gravity fed reticulation system]]</f>
        <v>0</v>
      </c>
      <c r="BW138" s="80">
        <f>WWWW[[#This Row],['#_Water boating or water trucking]]</f>
        <v>0</v>
      </c>
      <c r="BX138" s="80">
        <f>WWWW[[#This Row],['#_Constructed/Existing water distribution system from river or natural spring]]</f>
        <v>0</v>
      </c>
      <c r="BY138" s="82">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38" s="82">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38" s="81">
        <f>IF(WWWW[[#This Row],[Location Type 1]]="Village",WWWW[[#This Row],[Access to safe drinking water for Village]],WWWW[[#This Row],[Access to safe drinking water for Camp]])</f>
        <v>0</v>
      </c>
      <c r="CB138" s="578">
        <f>WWWW[[#This Row],[%Equitable and continuous access to sufficient quantity of safe drinking water]]*WWWW[[#This Row],[Total PoP ]]</f>
        <v>0</v>
      </c>
      <c r="CC138" s="81">
        <f>IF((WWWW[[#This Row],['#_Constructed/Existing protected/fenced ponds]]*250)/WWWW[[#This Row],[Total PoP ]]&gt;1,1,(WWWW[[#This Row],['#_Constructed/Existing protected/fenced ponds]]*250)/WWWW[[#This Row],[Total PoP ]])</f>
        <v>0</v>
      </c>
      <c r="CD138" s="578">
        <f>WWWW[[#This Row],[% Access to unimproved water points]]*WWWW[[#This Row],[Total PoP ]]</f>
        <v>0</v>
      </c>
      <c r="CE13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38" s="57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38" s="578">
        <f>WWWW[[#This Row],[HRP1]]/500</f>
        <v>0</v>
      </c>
      <c r="CH138" s="78">
        <f>1-WWWW[[#This Row],[% Equitable and continuous access to sufficient quantity of domestic water]]</f>
        <v>1</v>
      </c>
      <c r="CI138" s="578">
        <f>WWWW[[#This Row],[%equitable and continuous access to sufficient quantity of safe drinking and domestic water''s GAP]]*WWWW[[#This Row],[Total PoP ]]</f>
        <v>140</v>
      </c>
      <c r="CJ138" s="80">
        <f>IF(WWWW[[#This Row],[Total required water points]]-WWWW[[#This Row],['#Water points coverage]]&lt;0,0,WWWW[[#This Row],[Total required water points]]-WWWW[[#This Row],['#Water points coverage]])</f>
        <v>1</v>
      </c>
      <c r="CK138" s="80">
        <f>ROUND(IF(WWWW[[#This Row],[Total PoP ]]&lt;500,1,WWWW[[#This Row],[Total PoP ]]/500),0)</f>
        <v>1</v>
      </c>
      <c r="CL138" s="80">
        <f>(WWWW[[#This Row],['#_Constructed latrines_by_WASHAgencies]]+WWWW[[#This Row],['#_Non Cluster partner latrines]])-WWWW[[#This Row],['#_Non-functional latrines]]</f>
        <v>0</v>
      </c>
      <c r="CM138" s="82">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38" s="57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3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8" s="80">
        <f>IF(WWWW[[#This Row],[Location Type 1]]="Village","NA",IF(WWWW[[#This Row],['#_Constructed/Existing latrines in TLS]]*50&gt;WWWW[[#This Row],['#_students at TLS_CFS]],WWWW[[#This Row],['#_students at TLS_CFS]],(WWWW[[#This Row],['#_Constructed/Existing latrines in TLS]]*50)))</f>
        <v>0</v>
      </c>
      <c r="CQ138" s="80">
        <f>ROUND(IF(WWWW[[#This Row],[Location Type 1]]="camp",WWWW[[#This Row],[Total PoP ]]/20,IF(WWWW[[#This Row],[Location Type 1]]="Temporary Location",WWWW[[#This Row],[Total PoP ]]/50,(WWWW[[#This Row],[Total PoP ]]/6))),0)</f>
        <v>7</v>
      </c>
      <c r="CR138" s="80">
        <f>IF(WWWW[[#This Row],[Total required Latrines]]-(WWWW[[#This Row],['#_Constructed latrines_by_WASHAgencies]]+WWWW[[#This Row],['#_Non Cluster partner latrines]])&lt;0,0,WWWW[[#This Row],[Total required Latrines]]-(WWWW[[#This Row],['#_Constructed latrines_by_WASHAgencies]]+WWWW[[#This Row],['#_Non Cluster partner latrines]]))</f>
        <v>7</v>
      </c>
      <c r="CS138" s="78">
        <f>1-WWWW[[#This Row],[% people access to functioning Latrine]]</f>
        <v>1</v>
      </c>
      <c r="CT138" s="82">
        <f>IF(OR(WWWW[[#This Row],['#_Non-functional latrines]]="",WWWW[[#This Row],['#_Non-functional latrines]]=0),0,WWWW[[#This Row],['#_Non-functional latrines]]/(WWWW[[#This Row],['#_Constructed latrines_by_WASHAgencies]]+WWWW[[#This Row],['#_Non Cluster partner latrines]]))</f>
        <v>0</v>
      </c>
      <c r="CU138" s="578">
        <f>IF(500*(WWWW[[#This Row],['#_male hygiene promoters]]+WWWW[[#This Row],['#_female hygiene promoters]])&gt;WWWW[[#This Row],[Total PoP ]],WWWW[[#This Row],[Total PoP ]],500*(WWWW[[#This Row],['#_male hygiene promoters]]+WWWW[[#This Row],['#_female hygiene promoters]]))</f>
        <v>0</v>
      </c>
      <c r="CV13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8" s="80">
        <f>IF(WWWW[[#This Row],['# People with access to soap]]&gt;WWWW[[#This Row],['# People with access to Sanity Pads]],WWWW[[#This Row],['# People with access to soap]],WWWW[[#This Row],['# People with access to Sanity Pads]])</f>
        <v>0</v>
      </c>
      <c r="CY138"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8" s="78">
        <f>IF(WWWW[[#This Row],[HRP3]]/WWWW[[#This Row],[Total PoP ]]&gt;100%,100%,WWWW[[#This Row],[HRP3]]/WWWW[[#This Row],[Total PoP ]])</f>
        <v>0</v>
      </c>
      <c r="DA138" s="82">
        <f>1-WWWW[[#This Row],[Hygiene Coverage%]]</f>
        <v>1</v>
      </c>
      <c r="DB138" s="81">
        <f>WWWW[[#This Row],['# people reached by regular dedicated hygiene promotion_5]]/WWWW[[#This Row],[Total PoP ]]</f>
        <v>0</v>
      </c>
      <c r="DC138" s="81">
        <f>IF(WWWW[[#This Row],['#_households that received standard amount of soap for this quarter]]/WWWW[[#This Row],[Total HH]]&gt;1,1,WWWW[[#This Row],['#_households that received standard amount of soap for this quarter]]/WWWW[[#This Row],[Total HH]])</f>
        <v>0</v>
      </c>
      <c r="DD138" s="81">
        <f>IF(WWWW[[#This Row],['#_households that received standard amount of sanitary pads for this quarter]]/WWWW[[#This Row],[Total HH]]&gt;1,1,WWWW[[#This Row],['#_households that received standard amount of sanitary pads for this quarter]]/WWWW[[#This Row],[Total HH]])</f>
        <v>0</v>
      </c>
      <c r="DE138" s="80">
        <f>WWWW[[#This Row],['#_Constructed/Existing hand washing stations]]-WWWW[[#This Row],['#_Non-Functional_hand_washing_stations]]</f>
        <v>0</v>
      </c>
      <c r="DF138" s="757">
        <f>IF(WWWW[[#This Row],['# Functional hand washing stations during reporting period]]*20&gt;WWWW[[#This Row],[Total HH]],WWWW[[#This Row],[Total HH]],WWWW[[#This Row],['# Functional hand washing stations during reporting period]]*20)</f>
        <v>0</v>
      </c>
      <c r="DG138" s="578">
        <f>IF(WWWW[[#This Row],[Is sufficient soap available for TLS? (Yes/No)]]="yes",WWWW[[#This Row],['#_Constructed/Existing hand washing stations at TLS]],0)</f>
        <v>0</v>
      </c>
      <c r="DH138" s="578">
        <f>IF(WWWW[[#This Row],['# Functional hand washing stations during reporting period]]*100&gt;WWWW[[#This Row],[Total PoP ]],WWWW[[#This Row],[Total PoP ]],WWWW[[#This Row],['# Functional hand washing stations during reporting period]]*100)</f>
        <v>0</v>
      </c>
      <c r="DI138" s="578" t="str">
        <f>IF(OR(WWWW[[#This Row],['#_students at TLS_CFS]]="",WWWW[[#This Row],['#_students at TLS_CFS]]=0),"No","Yes")</f>
        <v>No</v>
      </c>
      <c r="DJ138" s="581">
        <f>VLOOKUP(WWWW[[#This Row],[Site Name]],SiteDB6[[Site Name]:[CCCM Management]],6,FALSE)</f>
        <v>0</v>
      </c>
      <c r="DK138" s="581" t="str">
        <f>VLOOKUP(WWWW[[#This Row],[Site Name]],SiteDB6[[Site Name]:[CCCM Focal Agency]],7,FALSE)</f>
        <v>uncovered</v>
      </c>
      <c r="DL138" s="581" t="str">
        <f>VLOOKUP(WWWW[[#This Row],[Site Name]],SiteDB6[[Site Name]:[Location Type 1]],9,FALSE)</f>
        <v>Camp</v>
      </c>
      <c r="DM138" s="581" t="str">
        <f>VLOOKUP(WWWW[[#This Row],[Site Name]],SiteDB6[[Site Name]:[Type of Accommodation]],10,FALSE)</f>
        <v>Camp like setting</v>
      </c>
      <c r="DN138" s="581" t="str">
        <f>VLOOKUP(WWWW[[#This Row],[Site Name]],SiteDB6[[Site Name]:[Ethnic or GCA/NGCA]],11,FALSE)</f>
        <v>GCA</v>
      </c>
      <c r="DO138" s="581">
        <f>VLOOKUP(WWWW[[#This Row],[Site Name]],SiteDB6[[Site Name]:[Lat]],12,FALSE)</f>
        <v>25.415667500000001</v>
      </c>
      <c r="DP138" s="581">
        <f>VLOOKUP(WWWW[[#This Row],[Site Name]],SiteDB6[[Site Name]:[Long]],13,FALSE)</f>
        <v>97.437782499999997</v>
      </c>
      <c r="DQ138" s="581" t="str">
        <f>VLOOKUP(WWWW[[#This Row],[Site Name]],SiteDB6[[Site Name]:[Pcode]],3,FALSE)</f>
        <v>MMR001CMP272</v>
      </c>
      <c r="DR138" s="207" t="str">
        <f>IF(C138="none","Notcovered","Covered")</f>
        <v>Notcovered</v>
      </c>
      <c r="DS138" s="207"/>
      <c r="DT138" s="20"/>
      <c r="DU138" s="20"/>
      <c r="DV138" s="20"/>
      <c r="DW138" s="20"/>
      <c r="DX138" s="20"/>
      <c r="DY138" s="20"/>
      <c r="DZ138" s="20"/>
      <c r="EA138" s="20"/>
      <c r="EB138" s="20"/>
      <c r="EC138" s="20"/>
      <c r="ED138" s="20"/>
      <c r="EE138" s="20"/>
      <c r="EF138" s="20"/>
      <c r="EG138" s="20"/>
      <c r="EH138" s="20"/>
    </row>
    <row r="139" spans="1:138" ht="15.75" customHeight="1">
      <c r="A139" s="238" t="s">
        <v>2518</v>
      </c>
      <c r="B139" s="574" t="s">
        <v>317</v>
      </c>
      <c r="C139" s="574" t="s">
        <v>317</v>
      </c>
      <c r="D139" s="574"/>
      <c r="E139" s="574" t="s">
        <v>39</v>
      </c>
      <c r="F139" s="574" t="s">
        <v>192</v>
      </c>
      <c r="G139" s="574" t="str">
        <f>VLOOKUP(WWWW[[#This Row],[Site Name]],SiteDB6[[Site Name]:[Location Type]],8,FALSE)</f>
        <v>Camp</v>
      </c>
      <c r="H139" s="76" t="s">
        <v>192</v>
      </c>
      <c r="I139" s="583">
        <v>5</v>
      </c>
      <c r="J139" s="583">
        <v>32</v>
      </c>
      <c r="K139" s="553"/>
      <c r="L139" s="77"/>
      <c r="M139" s="583"/>
      <c r="N139" s="583"/>
      <c r="O139" s="583"/>
      <c r="P139" s="583"/>
      <c r="Q139" s="76"/>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207"/>
      <c r="AP139" s="310"/>
      <c r="AQ139" s="310"/>
      <c r="AR139" s="76"/>
      <c r="AS139" s="310"/>
      <c r="AT139" s="310"/>
      <c r="AU139" s="310"/>
      <c r="AV139" s="310"/>
      <c r="AW139" s="310"/>
      <c r="AX139" s="231"/>
      <c r="AY139" s="231"/>
      <c r="AZ139" s="310"/>
      <c r="BA139" s="310"/>
      <c r="BB139" s="310"/>
      <c r="BC139" s="207"/>
      <c r="BD139" s="310"/>
      <c r="BE139" s="310"/>
      <c r="BF139" s="310"/>
      <c r="BG139" s="310"/>
      <c r="BH139" s="310"/>
      <c r="BI139" s="310"/>
      <c r="BJ139" s="310"/>
      <c r="BK139" s="310"/>
      <c r="BL139" s="310"/>
      <c r="BM139" s="207"/>
      <c r="BN139" s="79"/>
      <c r="BO139" s="81"/>
      <c r="BP139" s="207"/>
      <c r="BQ139" s="78" t="str">
        <f>IFERROR(WWWW[[#This Row],['#_Water sources treated]]/WWWW[[#This Row],['#_Water sources tested for contamination]],"no test")</f>
        <v>no test</v>
      </c>
      <c r="BR139" s="81" t="str">
        <f>IFERROR(WWWW[[#This Row],['#_Household received remediation action due to contamination]]/WWWW[[#This Row],['#_Household water samples tested for contamination]],"no test")</f>
        <v>no test</v>
      </c>
      <c r="BS139" s="80" t="str">
        <f>IF(AND(WWWW[[#This Row],[% of water sources treated]]="no test",WWWW[[#This Row],[% Household received corrective actions]]="no test"),"No Test","Tested")</f>
        <v>No Test</v>
      </c>
      <c r="BT139" s="80">
        <f>WWWW[[#This Row],['#_Constructed/existing protected hand dug well]]-WWWW[[#This Row],['#_Non-functional protected hand dug well]]</f>
        <v>0</v>
      </c>
      <c r="BU139" s="80">
        <f>(WWWW[[#This Row],['#_Constructed/Existing tube wells/boreholes/handpumps_WASH_agency]]+WWWW[[#This Row],['#_Non-Cluster partner water tube-wells/boreholes/handpumps]])-WWWW[[#This Row],['#_Non-functional tube wells/boreholes/handpumps]]</f>
        <v>0</v>
      </c>
      <c r="BV139" s="80">
        <f>WWWW[[#This Row],['#_Constructed/Existingwater storage tank with gravity fed reticulation system]]-WWWW[[#This Row],['#_Non-functional storage tank gravity fed reticulation system]]</f>
        <v>0</v>
      </c>
      <c r="BW139" s="80">
        <f>WWWW[[#This Row],['#_Water boating or water trucking]]</f>
        <v>0</v>
      </c>
      <c r="BX139" s="80">
        <f>WWWW[[#This Row],['#_Constructed/Existing water distribution system from river or natural spring]]</f>
        <v>0</v>
      </c>
      <c r="BY13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3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39" s="81">
        <f>IF(WWWW[[#This Row],[Location Type 1]]="Village",WWWW[[#This Row],[Access to safe drinking water for Village]],WWWW[[#This Row],[Access to safe drinking water for Camp]])</f>
        <v>0</v>
      </c>
      <c r="CB139" s="79">
        <f>WWWW[[#This Row],[%Equitable and continuous access to sufficient quantity of safe drinking water]]*WWWW[[#This Row],[Total PoP ]]</f>
        <v>0</v>
      </c>
      <c r="CC139" s="81">
        <f>IF((WWWW[[#This Row],['#_Constructed/Existing protected/fenced ponds]]*250)/WWWW[[#This Row],[Total PoP ]]&gt;1,1,(WWWW[[#This Row],['#_Constructed/Existing protected/fenced ponds]]*250)/WWWW[[#This Row],[Total PoP ]])</f>
        <v>0</v>
      </c>
      <c r="CD139" s="79">
        <f>WWWW[[#This Row],[% Access to unimproved water points]]*WWWW[[#This Row],[Total PoP ]]</f>
        <v>0</v>
      </c>
      <c r="CE13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3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39" s="79">
        <f>WWWW[[#This Row],[HRP1]]/500</f>
        <v>0</v>
      </c>
      <c r="CH139" s="78">
        <f>1-WWWW[[#This Row],[% Equitable and continuous access to sufficient quantity of domestic water]]</f>
        <v>1</v>
      </c>
      <c r="CI139" s="79">
        <f>WWWW[[#This Row],[%equitable and continuous access to sufficient quantity of safe drinking and domestic water''s GAP]]*WWWW[[#This Row],[Total PoP ]]</f>
        <v>32</v>
      </c>
      <c r="CJ139" s="80">
        <f>IF(WWWW[[#This Row],[Total required water points]]-WWWW[[#This Row],['#Water points coverage]]&lt;0,0,WWWW[[#This Row],[Total required water points]]-WWWW[[#This Row],['#Water points coverage]])</f>
        <v>1</v>
      </c>
      <c r="CK139" s="80">
        <f>ROUND(IF(WWWW[[#This Row],[Total PoP ]]&lt;500,1,WWWW[[#This Row],[Total PoP ]]/500),0)</f>
        <v>1</v>
      </c>
      <c r="CL139" s="80">
        <f>(WWWW[[#This Row],['#_Constructed latrines_by_WASHAgencies]]+WWWW[[#This Row],['#_Non Cluster partner latrines]])-WWWW[[#This Row],['#_Non-functional latrines]]</f>
        <v>0</v>
      </c>
      <c r="CM13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3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3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39" s="80">
        <f>IF(WWWW[[#This Row],[Location Type 1]]="Village","NA",IF(WWWW[[#This Row],['#_Constructed/Existing latrines in TLS]]*50&gt;WWWW[[#This Row],['#_students at TLS_CFS]],WWWW[[#This Row],['#_students at TLS_CFS]],(WWWW[[#This Row],['#_Constructed/Existing latrines in TLS]]*50)))</f>
        <v>0</v>
      </c>
      <c r="CQ139" s="80">
        <f>ROUND(IF(WWWW[[#This Row],[Location Type 1]]="camp",WWWW[[#This Row],[Total PoP ]]/20,IF(WWWW[[#This Row],[Location Type 1]]="Temporary Location",WWWW[[#This Row],[Total PoP ]]/50,(WWWW[[#This Row],[Total PoP ]]/6))),0)</f>
        <v>2</v>
      </c>
      <c r="CR139" s="79">
        <f>IF(WWWW[[#This Row],[Total required Latrines]]-(WWWW[[#This Row],['#_Constructed latrines_by_WASHAgencies]]+WWWW[[#This Row],['#_Non Cluster partner latrines]])&lt;0,0,WWWW[[#This Row],[Total required Latrines]]-(WWWW[[#This Row],['#_Constructed latrines_by_WASHAgencies]]+WWWW[[#This Row],['#_Non Cluster partner latrines]]))</f>
        <v>2</v>
      </c>
      <c r="CS139" s="78">
        <f>1-WWWW[[#This Row],[% people access to functioning Latrine]]</f>
        <v>1</v>
      </c>
      <c r="CT139" s="82">
        <f>IF(OR(WWWW[[#This Row],['#_Non-functional latrines]]="",WWWW[[#This Row],['#_Non-functional latrines]]=0),0,WWWW[[#This Row],['#_Non-functional latrines]]/(WWWW[[#This Row],['#_Constructed latrines_by_WASHAgencies]]+WWWW[[#This Row],['#_Non Cluster partner latrines]]))</f>
        <v>0</v>
      </c>
      <c r="CU139" s="79">
        <f>IF(500*(WWWW[[#This Row],['#_male hygiene promoters]]+WWWW[[#This Row],['#_female hygiene promoters]])&gt;WWWW[[#This Row],[Total PoP ]],WWWW[[#This Row],[Total PoP ]],500*(WWWW[[#This Row],['#_male hygiene promoters]]+WWWW[[#This Row],['#_female hygiene promoters]]))</f>
        <v>0</v>
      </c>
      <c r="CV13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3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39" s="80">
        <f>IF(WWWW[[#This Row],['# People with access to soap]]&gt;WWWW[[#This Row],['# People with access to Sanity Pads]],WWWW[[#This Row],['# People with access to soap]],WWWW[[#This Row],['# People with access to Sanity Pads]])</f>
        <v>0</v>
      </c>
      <c r="CY139"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39" s="78">
        <f>IF(WWWW[[#This Row],[HRP3]]/WWWW[[#This Row],[Total PoP ]]&gt;100%,100%,WWWW[[#This Row],[HRP3]]/WWWW[[#This Row],[Total PoP ]])</f>
        <v>0</v>
      </c>
      <c r="DA139" s="82">
        <f>1-WWWW[[#This Row],[Hygiene Coverage%]]</f>
        <v>1</v>
      </c>
      <c r="DB139" s="81">
        <f>WWWW[[#This Row],['# people reached by regular dedicated hygiene promotion_5]]/WWWW[[#This Row],[Total PoP ]]</f>
        <v>0</v>
      </c>
      <c r="DC139" s="81">
        <f>IF(WWWW[[#This Row],['#_households that received standard amount of soap for this quarter]]/WWWW[[#This Row],[Total HH]]&gt;1,1,WWWW[[#This Row],['#_households that received standard amount of soap for this quarter]]/WWWW[[#This Row],[Total HH]])</f>
        <v>0</v>
      </c>
      <c r="DD139" s="81">
        <f>IF(WWWW[[#This Row],['#_households that received standard amount of sanitary pads for this quarter]]/WWWW[[#This Row],[Total HH]]&gt;1,1,WWWW[[#This Row],['#_households that received standard amount of sanitary pads for this quarter]]/WWWW[[#This Row],[Total HH]])</f>
        <v>0</v>
      </c>
      <c r="DE139" s="80">
        <f>WWWW[[#This Row],['#_Constructed/Existing hand washing stations]]-WWWW[[#This Row],['#_Non-Functional_hand_washing_stations]]</f>
        <v>0</v>
      </c>
      <c r="DF139" s="757">
        <f>IF(WWWW[[#This Row],['# Functional hand washing stations during reporting period]]*20&gt;WWWW[[#This Row],[Total HH]],WWWW[[#This Row],[Total HH]],WWWW[[#This Row],['# Functional hand washing stations during reporting period]]*20)</f>
        <v>0</v>
      </c>
      <c r="DG139" s="79">
        <f>IF(WWWW[[#This Row],[Is sufficient soap available for TLS? (Yes/No)]]="yes",WWWW[[#This Row],['#_Constructed/Existing hand washing stations at TLS]],0)</f>
        <v>0</v>
      </c>
      <c r="DH139" s="578">
        <f>IF(WWWW[[#This Row],['# Functional hand washing stations during reporting period]]*100&gt;WWWW[[#This Row],[Total PoP ]],WWWW[[#This Row],[Total PoP ]],WWWW[[#This Row],['# Functional hand washing stations during reporting period]]*100)</f>
        <v>0</v>
      </c>
      <c r="DI139" s="578" t="str">
        <f>IF(OR(WWWW[[#This Row],['#_students at TLS_CFS]]="",WWWW[[#This Row],['#_students at TLS_CFS]]=0),"No","Yes")</f>
        <v>No</v>
      </c>
      <c r="DJ139" s="231">
        <f>VLOOKUP(WWWW[[#This Row],[Site Name]],SiteDB6[[Site Name]:[CCCM Management]],6,FALSE)</f>
        <v>0</v>
      </c>
      <c r="DK139" s="231" t="str">
        <f>VLOOKUP(WWWW[[#This Row],[Site Name]],SiteDB6[[Site Name]:[CCCM Focal Agency]],7,FALSE)</f>
        <v>uncovered</v>
      </c>
      <c r="DL139" s="231" t="str">
        <f>VLOOKUP(WWWW[[#This Row],[Site Name]],SiteDB6[[Site Name]:[Location Type 1]],9,FALSE)</f>
        <v>Camp</v>
      </c>
      <c r="DM139" s="231" t="str">
        <f>VLOOKUP(WWWW[[#This Row],[Site Name]],SiteDB6[[Site Name]:[Type of Accommodation]],10,FALSE)</f>
        <v>Camp like setting</v>
      </c>
      <c r="DN139" s="231" t="str">
        <f>VLOOKUP(WWWW[[#This Row],[Site Name]],SiteDB6[[Site Name]:[Ethnic or GCA/NGCA]],11,FALSE)</f>
        <v>GCA</v>
      </c>
      <c r="DO139" s="231">
        <f>VLOOKUP(WWWW[[#This Row],[Site Name]],SiteDB6[[Site Name]:[Lat]],12,FALSE)</f>
        <v>26.541930000000001</v>
      </c>
      <c r="DP139" s="231">
        <f>VLOOKUP(WWWW[[#This Row],[Site Name]],SiteDB6[[Site Name]:[Long]],13,FALSE)</f>
        <v>97.568836000000005</v>
      </c>
      <c r="DQ139" s="231" t="str">
        <f>VLOOKUP(WWWW[[#This Row],[Site Name]],SiteDB6[[Site Name]:[Pcode]],3,FALSE)</f>
        <v>MMR001CMP206</v>
      </c>
      <c r="DR139" s="207" t="str">
        <f t="shared" ref="DR139:DR164" si="5">IF(C139="none","Notcovered","Covered")</f>
        <v>Notcovered</v>
      </c>
      <c r="DS139" s="207"/>
      <c r="DT139" s="20"/>
      <c r="DU139" s="20"/>
      <c r="DV139" s="20"/>
      <c r="DW139" s="20"/>
      <c r="DX139" s="20"/>
      <c r="DY139" s="20"/>
      <c r="DZ139" s="20"/>
      <c r="EA139" s="20"/>
      <c r="EB139" s="20"/>
      <c r="EC139" s="20"/>
      <c r="ED139" s="20"/>
      <c r="EE139" s="20"/>
      <c r="EF139" s="20"/>
      <c r="EG139" s="20"/>
      <c r="EH139" s="20"/>
    </row>
    <row r="140" spans="1:138" ht="15.75" customHeight="1">
      <c r="A140" s="238" t="s">
        <v>2518</v>
      </c>
      <c r="B140" s="574" t="s">
        <v>38</v>
      </c>
      <c r="C140" s="574" t="s">
        <v>38</v>
      </c>
      <c r="D140" s="574" t="s">
        <v>3100</v>
      </c>
      <c r="E140" s="574" t="s">
        <v>39</v>
      </c>
      <c r="F140" s="574" t="s">
        <v>154</v>
      </c>
      <c r="G140" s="574" t="str">
        <f>VLOOKUP(WWWW[[#This Row],[Site Name]],SiteDB6[[Site Name]:[Location Type]],8,FALSE)</f>
        <v>Camp</v>
      </c>
      <c r="H140" s="574" t="s">
        <v>235</v>
      </c>
      <c r="I140" s="583">
        <v>31</v>
      </c>
      <c r="J140" s="583">
        <v>173</v>
      </c>
      <c r="K140" s="553" t="s">
        <v>2979</v>
      </c>
      <c r="L140" s="77" t="s">
        <v>2973</v>
      </c>
      <c r="M140" s="583">
        <v>66</v>
      </c>
      <c r="N140" s="583"/>
      <c r="O140" s="583"/>
      <c r="P140" s="583"/>
      <c r="Q140" s="574" t="s">
        <v>43</v>
      </c>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78"/>
      <c r="AP140" s="601">
        <v>10</v>
      </c>
      <c r="AQ140" s="574"/>
      <c r="AR140" s="574"/>
      <c r="AS140" s="578"/>
      <c r="AT140" s="574"/>
      <c r="AU140" s="578"/>
      <c r="AV140" s="578"/>
      <c r="AW140" s="80"/>
      <c r="AX140" s="80" t="s">
        <v>43</v>
      </c>
      <c r="AY140" s="80" t="s">
        <v>145</v>
      </c>
      <c r="AZ140" s="80">
        <v>2</v>
      </c>
      <c r="BA140" s="80"/>
      <c r="BB140" s="578"/>
      <c r="BC140" s="578"/>
      <c r="BD140" s="578"/>
      <c r="BE140" s="578"/>
      <c r="BF140" s="578"/>
      <c r="BG140" s="602"/>
      <c r="BH140" s="578"/>
      <c r="BI140" s="583"/>
      <c r="BJ140" s="583">
        <v>1</v>
      </c>
      <c r="BK140" s="603">
        <v>25</v>
      </c>
      <c r="BL140" s="578"/>
      <c r="BM140" s="578" t="s">
        <v>144</v>
      </c>
      <c r="BN140" s="578"/>
      <c r="BO140" s="81"/>
      <c r="BP140" s="578"/>
      <c r="BQ140" s="78" t="str">
        <f>IFERROR(WWWW[[#This Row],['#_Water sources treated]]/WWWW[[#This Row],['#_Water sources tested for contamination]],"no test")</f>
        <v>no test</v>
      </c>
      <c r="BR140" s="81" t="str">
        <f>IFERROR(WWWW[[#This Row],['#_Household received remediation action due to contamination]]/WWWW[[#This Row],['#_Household water samples tested for contamination]],"no test")</f>
        <v>no test</v>
      </c>
      <c r="BS140" s="80" t="str">
        <f>IF(AND(WWWW[[#This Row],[% of water sources treated]]="no test",WWWW[[#This Row],[% Household received corrective actions]]="no test"),"No Test","Tested")</f>
        <v>No Test</v>
      </c>
      <c r="BT140" s="80">
        <f>WWWW[[#This Row],['#_Constructed/existing protected hand dug well]]-WWWW[[#This Row],['#_Non-functional protected hand dug well]]</f>
        <v>0</v>
      </c>
      <c r="BU140" s="80">
        <f>(WWWW[[#This Row],['#_Constructed/Existing tube wells/boreholes/handpumps_WASH_agency]]+WWWW[[#This Row],['#_Non-Cluster partner water tube-wells/boreholes/handpumps]])-WWWW[[#This Row],['#_Non-functional tube wells/boreholes/handpumps]]</f>
        <v>0</v>
      </c>
      <c r="BV140" s="80">
        <f>WWWW[[#This Row],['#_Constructed/Existingwater storage tank with gravity fed reticulation system]]-WWWW[[#This Row],['#_Non-functional storage tank gravity fed reticulation system]]</f>
        <v>0</v>
      </c>
      <c r="BW140" s="80">
        <f>WWWW[[#This Row],['#_Water boating or water trucking]]</f>
        <v>0</v>
      </c>
      <c r="BX140" s="80">
        <f>WWWW[[#This Row],['#_Constructed/Existing water distribution system from river or natural spring]]</f>
        <v>0</v>
      </c>
      <c r="BY14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0" s="81">
        <f>IF(WWWW[[#This Row],[Location Type 1]]="Village",WWWW[[#This Row],[Access to safe drinking water for Village]],WWWW[[#This Row],[Access to safe drinking water for Camp]])</f>
        <v>0</v>
      </c>
      <c r="CB140" s="79">
        <f>WWWW[[#This Row],[%Equitable and continuous access to sufficient quantity of safe drinking water]]*WWWW[[#This Row],[Total PoP ]]</f>
        <v>0</v>
      </c>
      <c r="CC140" s="81">
        <f>IF((WWWW[[#This Row],['#_Constructed/Existing protected/fenced ponds]]*250)/WWWW[[#This Row],[Total PoP ]]&gt;1,1,(WWWW[[#This Row],['#_Constructed/Existing protected/fenced ponds]]*250)/WWWW[[#This Row],[Total PoP ]])</f>
        <v>0</v>
      </c>
      <c r="CD140" s="79">
        <f>WWWW[[#This Row],[% Access to unimproved water points]]*WWWW[[#This Row],[Total PoP ]]</f>
        <v>0</v>
      </c>
      <c r="CE14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0" s="79">
        <f>WWWW[[#This Row],[HRP1]]/500</f>
        <v>0</v>
      </c>
      <c r="CH140" s="78">
        <f>1-WWWW[[#This Row],[% Equitable and continuous access to sufficient quantity of domestic water]]</f>
        <v>1</v>
      </c>
      <c r="CI140" s="79">
        <f>WWWW[[#This Row],[%equitable and continuous access to sufficient quantity of safe drinking and domestic water''s GAP]]*WWWW[[#This Row],[Total PoP ]]</f>
        <v>173</v>
      </c>
      <c r="CJ140" s="80">
        <f>IF(WWWW[[#This Row],[Total required water points]]-WWWW[[#This Row],['#Water points coverage]]&lt;0,0,WWWW[[#This Row],[Total required water points]]-WWWW[[#This Row],['#Water points coverage]])</f>
        <v>1</v>
      </c>
      <c r="CK140" s="80">
        <f>ROUND(IF(WWWW[[#This Row],[Total PoP ]]&lt;500,1,WWWW[[#This Row],[Total PoP ]]/500),0)</f>
        <v>1</v>
      </c>
      <c r="CL140" s="80">
        <f>(WWWW[[#This Row],['#_Constructed latrines_by_WASHAgencies]]+WWWW[[#This Row],['#_Non Cluster partner latrines]])-WWWW[[#This Row],['#_Non-functional latrines]]</f>
        <v>10</v>
      </c>
      <c r="CM14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4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173</v>
      </c>
      <c r="CO14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0" s="80">
        <f>IF(WWWW[[#This Row],[Location Type 1]]="Village","NA",IF(WWWW[[#This Row],['#_Constructed/Existing latrines in TLS]]*50&gt;WWWW[[#This Row],['#_students at TLS_CFS]],WWWW[[#This Row],['#_students at TLS_CFS]],(WWWW[[#This Row],['#_Constructed/Existing latrines in TLS]]*50)))</f>
        <v>0</v>
      </c>
      <c r="CQ140" s="80">
        <f>ROUND(IF(WWWW[[#This Row],[Location Type 1]]="camp",WWWW[[#This Row],[Total PoP ]]/20,IF(WWWW[[#This Row],[Location Type 1]]="Temporary Location",WWWW[[#This Row],[Total PoP ]]/50,(WWWW[[#This Row],[Total PoP ]]/6))),0)</f>
        <v>9</v>
      </c>
      <c r="CR140" s="79">
        <f>IF(WWWW[[#This Row],[Total required Latrines]]-(WWWW[[#This Row],['#_Constructed latrines_by_WASHAgencies]]+WWWW[[#This Row],['#_Non Cluster partner latrines]])&lt;0,0,WWWW[[#This Row],[Total required Latrines]]-(WWWW[[#This Row],['#_Constructed latrines_by_WASHAgencies]]+WWWW[[#This Row],['#_Non Cluster partner latrines]]))</f>
        <v>0</v>
      </c>
      <c r="CS140" s="78">
        <f>1-WWWW[[#This Row],[% people access to functioning Latrine]]</f>
        <v>0</v>
      </c>
      <c r="CT140" s="82">
        <f>IF(OR(WWWW[[#This Row],['#_Non-functional latrines]]="",WWWW[[#This Row],['#_Non-functional latrines]]=0),0,WWWW[[#This Row],['#_Non-functional latrines]]/(WWWW[[#This Row],['#_Constructed latrines_by_WASHAgencies]]+WWWW[[#This Row],['#_Non Cluster partner latrines]]))</f>
        <v>0</v>
      </c>
      <c r="CU140" s="79">
        <f>IF(500*(WWWW[[#This Row],['#_male hygiene promoters]]+WWWW[[#This Row],['#_female hygiene promoters]])&gt;WWWW[[#This Row],[Total PoP ]],WWWW[[#This Row],[Total PoP ]],500*(WWWW[[#This Row],['#_male hygiene promoters]]+WWWW[[#This Row],['#_female hygiene promoters]]))</f>
        <v>173</v>
      </c>
      <c r="CV14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v>
      </c>
      <c r="CW14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0" s="80">
        <f>IF(WWWW[[#This Row],['# People with access to soap]]&gt;WWWW[[#This Row],['# People with access to Sanity Pads]],WWWW[[#This Row],['# People with access to soap]],WWWW[[#This Row],['# People with access to Sanity Pads]])</f>
        <v>125</v>
      </c>
      <c r="CY140" s="80">
        <f>IF(WWWW[[#This Row],['# people reached by regular dedicated hygiene promotion_5]]&gt;WWWW[[#This Row],['# People received regular supply of hygiene items_6]],WWWW[[#This Row],['# people reached by regular dedicated hygiene promotion_5]],WWWW[[#This Row],['# People received regular supply of hygiene items_6]])</f>
        <v>173</v>
      </c>
      <c r="CZ140" s="78">
        <f>IF(WWWW[[#This Row],[HRP3]]/WWWW[[#This Row],[Total PoP ]]&gt;100%,100%,WWWW[[#This Row],[HRP3]]/WWWW[[#This Row],[Total PoP ]])</f>
        <v>1</v>
      </c>
      <c r="DA140" s="82">
        <f>1-WWWW[[#This Row],[Hygiene Coverage%]]</f>
        <v>0</v>
      </c>
      <c r="DB140" s="81">
        <f>WWWW[[#This Row],['# people reached by regular dedicated hygiene promotion_5]]/WWWW[[#This Row],[Total PoP ]]</f>
        <v>1</v>
      </c>
      <c r="DC140" s="81">
        <f>IF(WWWW[[#This Row],['#_households that received standard amount of soap for this quarter]]/WWWW[[#This Row],[Total HH]]&gt;1,1,WWWW[[#This Row],['#_households that received standard amount of soap for this quarter]]/WWWW[[#This Row],[Total HH]])</f>
        <v>0.80645161290322576</v>
      </c>
      <c r="DD140" s="81">
        <f>IF(WWWW[[#This Row],['#_households that received standard amount of sanitary pads for this quarter]]/WWWW[[#This Row],[Total HH]]&gt;1,1,WWWW[[#This Row],['#_households that received standard amount of sanitary pads for this quarter]]/WWWW[[#This Row],[Total HH]])</f>
        <v>0</v>
      </c>
      <c r="DE140" s="80">
        <f>WWWW[[#This Row],['#_Constructed/Existing hand washing stations]]-WWWW[[#This Row],['#_Non-Functional_hand_washing_stations]]</f>
        <v>0</v>
      </c>
      <c r="DF140" s="757">
        <f>IF(WWWW[[#This Row],['# Functional hand washing stations during reporting period]]*20&gt;WWWW[[#This Row],[Total HH]],WWWW[[#This Row],[Total HH]],WWWW[[#This Row],['# Functional hand washing stations during reporting period]]*20)</f>
        <v>0</v>
      </c>
      <c r="DG140" s="79">
        <f>IF(WWWW[[#This Row],[Is sufficient soap available for TLS? (Yes/No)]]="yes",WWWW[[#This Row],['#_Constructed/Existing hand washing stations at TLS]],0)</f>
        <v>0</v>
      </c>
      <c r="DH140" s="578">
        <f>IF(WWWW[[#This Row],['# Functional hand washing stations during reporting period]]*100&gt;WWWW[[#This Row],[Total PoP ]],WWWW[[#This Row],[Total PoP ]],WWWW[[#This Row],['# Functional hand washing stations during reporting period]]*100)</f>
        <v>0</v>
      </c>
      <c r="DI140" s="578" t="str">
        <f>IF(OR(WWWW[[#This Row],['#_students at TLS_CFS]]="",WWWW[[#This Row],['#_students at TLS_CFS]]=0),"No","Yes")</f>
        <v>Yes</v>
      </c>
      <c r="DJ140" s="231" t="str">
        <f>VLOOKUP(WWWW[[#This Row],[Site Name]],SiteDB6[[Site Name]:[CCCM Management]],6,FALSE)</f>
        <v>Yes</v>
      </c>
      <c r="DK140" s="231" t="str">
        <f>VLOOKUP(WWWW[[#This Row],[Site Name]],SiteDB6[[Site Name]:[CCCM Focal Agency]],7,FALSE)</f>
        <v>KMSS-MYT</v>
      </c>
      <c r="DL140" s="231" t="str">
        <f>VLOOKUP(WWWW[[#This Row],[Site Name]],SiteDB6[[Site Name]:[Location Type 1]],9,FALSE)</f>
        <v>Camp</v>
      </c>
      <c r="DM140" s="231" t="str">
        <f>VLOOKUP(WWWW[[#This Row],[Site Name]],SiteDB6[[Site Name]:[Type of Accommodation]],10,FALSE)</f>
        <v>Camp</v>
      </c>
      <c r="DN140" s="231" t="str">
        <f>VLOOKUP(WWWW[[#This Row],[Site Name]],SiteDB6[[Site Name]:[Ethnic or GCA/NGCA]],11,FALSE)</f>
        <v>GCA</v>
      </c>
      <c r="DO140" s="231">
        <f>VLOOKUP(WWWW[[#This Row],[Site Name]],SiteDB6[[Site Name]:[Lat]],12,FALSE)</f>
        <v>25.645959999999999</v>
      </c>
      <c r="DP140" s="231">
        <f>VLOOKUP(WWWW[[#This Row],[Site Name]],SiteDB6[[Site Name]:[Long]],13,FALSE)</f>
        <v>98.356260000000006</v>
      </c>
      <c r="DQ140" s="231" t="str">
        <f>VLOOKUP(WWWW[[#This Row],[Site Name]],SiteDB6[[Site Name]:[Pcode]],3,FALSE)</f>
        <v>MMR001CMP225</v>
      </c>
      <c r="DR140" s="207" t="str">
        <f t="shared" si="5"/>
        <v>Covered</v>
      </c>
      <c r="DS140" s="207"/>
      <c r="DT140" s="20"/>
      <c r="DU140" s="20"/>
      <c r="DV140" s="20"/>
      <c r="DW140" s="20"/>
      <c r="DX140" s="20"/>
      <c r="DY140" s="20"/>
      <c r="DZ140" s="20"/>
      <c r="EA140" s="20"/>
      <c r="EB140" s="20"/>
      <c r="EC140" s="20"/>
      <c r="ED140" s="20"/>
      <c r="EE140" s="20"/>
      <c r="EF140" s="20"/>
      <c r="EG140" s="20"/>
      <c r="EH140" s="20"/>
    </row>
    <row r="141" spans="1:138" ht="15.75" customHeight="1">
      <c r="A141" s="238" t="s">
        <v>2518</v>
      </c>
      <c r="B141" s="238" t="s">
        <v>149</v>
      </c>
      <c r="C141" s="574" t="s">
        <v>149</v>
      </c>
      <c r="D141" s="574" t="s">
        <v>158</v>
      </c>
      <c r="E141" s="574" t="s">
        <v>39</v>
      </c>
      <c r="F141" s="574" t="s">
        <v>150</v>
      </c>
      <c r="G141" s="574" t="str">
        <f>VLOOKUP(WWWW[[#This Row],[Site Name]],SiteDB6[[Site Name]:[Location Type]],8,FALSE)</f>
        <v>Camp</v>
      </c>
      <c r="H141" s="574" t="s">
        <v>190</v>
      </c>
      <c r="I141" s="583">
        <v>179</v>
      </c>
      <c r="J141" s="583">
        <v>958</v>
      </c>
      <c r="K141" s="553">
        <v>43556</v>
      </c>
      <c r="L141" s="77">
        <v>43677</v>
      </c>
      <c r="M141" s="583"/>
      <c r="N141" s="583"/>
      <c r="O141" s="583"/>
      <c r="P141" s="583"/>
      <c r="Q141" s="574" t="s">
        <v>43</v>
      </c>
      <c r="R141" s="310"/>
      <c r="S141" s="310"/>
      <c r="T141" s="583">
        <v>0</v>
      </c>
      <c r="U141" s="310"/>
      <c r="V141" s="310"/>
      <c r="W141" s="583">
        <v>0</v>
      </c>
      <c r="X141" s="310"/>
      <c r="Y141" s="310"/>
      <c r="Z141" s="310"/>
      <c r="AA141" s="310">
        <v>1</v>
      </c>
      <c r="AB141" s="310">
        <v>1</v>
      </c>
      <c r="AC141" s="310"/>
      <c r="AD141" s="310"/>
      <c r="AE141" s="310"/>
      <c r="AF141" s="310"/>
      <c r="AG141" s="310"/>
      <c r="AH141" s="583">
        <v>0</v>
      </c>
      <c r="AI141" s="310"/>
      <c r="AJ141" s="310"/>
      <c r="AK141" s="310"/>
      <c r="AL141" s="310"/>
      <c r="AM141" s="310"/>
      <c r="AN141" s="310"/>
      <c r="AO141" s="207"/>
      <c r="AP141" s="583">
        <v>158</v>
      </c>
      <c r="AQ141" s="310"/>
      <c r="AR141" s="76"/>
      <c r="AS141" s="310"/>
      <c r="AT141" s="310"/>
      <c r="AU141" s="310"/>
      <c r="AV141" s="310"/>
      <c r="AW141" s="583">
        <v>158</v>
      </c>
      <c r="AX141" s="231" t="s">
        <v>43</v>
      </c>
      <c r="AY141" s="231" t="s">
        <v>145</v>
      </c>
      <c r="AZ141" s="310"/>
      <c r="BA141" s="310"/>
      <c r="BB141" s="310"/>
      <c r="BC141" s="207"/>
      <c r="BD141" s="310"/>
      <c r="BE141" s="310"/>
      <c r="BF141" s="310"/>
      <c r="BG141" s="310">
        <v>4</v>
      </c>
      <c r="BH141" s="310"/>
      <c r="BI141" s="310"/>
      <c r="BJ141" s="310">
        <v>2</v>
      </c>
      <c r="BK141" s="310"/>
      <c r="BL141" s="310"/>
      <c r="BM141" s="207"/>
      <c r="BN141" s="79"/>
      <c r="BO141" s="81"/>
      <c r="BP141" s="207"/>
      <c r="BQ141" s="78" t="str">
        <f>IFERROR(WWWW[[#This Row],['#_Water sources treated]]/WWWW[[#This Row],['#_Water sources tested for contamination]],"no test")</f>
        <v>no test</v>
      </c>
      <c r="BR141" s="81" t="str">
        <f>IFERROR(WWWW[[#This Row],['#_Household received remediation action due to contamination]]/WWWW[[#This Row],['#_Household water samples tested for contamination]],"no test")</f>
        <v>no test</v>
      </c>
      <c r="BS141" s="80" t="str">
        <f>IF(AND(WWWW[[#This Row],[% of water sources treated]]="no test",WWWW[[#This Row],[% Household received corrective actions]]="no test"),"No Test","Tested")</f>
        <v>No Test</v>
      </c>
      <c r="BT141" s="80">
        <f>WWWW[[#This Row],['#_Constructed/existing protected hand dug well]]-WWWW[[#This Row],['#_Non-functional protected hand dug well]]</f>
        <v>0</v>
      </c>
      <c r="BU141" s="80">
        <f>(WWWW[[#This Row],['#_Constructed/Existing tube wells/boreholes/handpumps_WASH_agency]]+WWWW[[#This Row],['#_Non-Cluster partner water tube-wells/boreholes/handpumps]])-WWWW[[#This Row],['#_Non-functional tube wells/boreholes/handpumps]]</f>
        <v>0</v>
      </c>
      <c r="BV141" s="80">
        <f>WWWW[[#This Row],['#_Constructed/Existingwater storage tank with gravity fed reticulation system]]-WWWW[[#This Row],['#_Non-functional storage tank gravity fed reticulation system]]</f>
        <v>0</v>
      </c>
      <c r="BW141" s="80">
        <f>WWWW[[#This Row],['#_Water boating or water trucking]]</f>
        <v>0</v>
      </c>
      <c r="BX141" s="80">
        <f>WWWW[[#This Row],['#_Constructed/Existing water distribution system from river or natural spring]]</f>
        <v>0</v>
      </c>
      <c r="BY14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1" s="81">
        <f>IF(WWWW[[#This Row],[Location Type 1]]="Village",WWWW[[#This Row],[Access to safe drinking water for Village]],WWWW[[#This Row],[Access to safe drinking water for Camp]])</f>
        <v>0</v>
      </c>
      <c r="CB141" s="79">
        <f>WWWW[[#This Row],[%Equitable and continuous access to sufficient quantity of safe drinking water]]*WWWW[[#This Row],[Total PoP ]]</f>
        <v>0</v>
      </c>
      <c r="CC141" s="81">
        <f>IF((WWWW[[#This Row],['#_Constructed/Existing protected/fenced ponds]]*250)/WWWW[[#This Row],[Total PoP ]]&gt;1,1,(WWWW[[#This Row],['#_Constructed/Existing protected/fenced ponds]]*250)/WWWW[[#This Row],[Total PoP ]])</f>
        <v>0</v>
      </c>
      <c r="CD141" s="79">
        <f>WWWW[[#This Row],[% Access to unimproved water points]]*WWWW[[#This Row],[Total PoP ]]</f>
        <v>0</v>
      </c>
      <c r="CE14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1" s="79">
        <f>WWWW[[#This Row],[HRP1]]/500</f>
        <v>0</v>
      </c>
      <c r="CH141" s="78">
        <f>1-WWWW[[#This Row],[% Equitable and continuous access to sufficient quantity of domestic water]]</f>
        <v>1</v>
      </c>
      <c r="CI141" s="79">
        <f>WWWW[[#This Row],[%equitable and continuous access to sufficient quantity of safe drinking and domestic water''s GAP]]*WWWW[[#This Row],[Total PoP ]]</f>
        <v>958</v>
      </c>
      <c r="CJ141" s="80">
        <f>IF(WWWW[[#This Row],[Total required water points]]-WWWW[[#This Row],['#Water points coverage]]&lt;0,0,WWWW[[#This Row],[Total required water points]]-WWWW[[#This Row],['#Water points coverage]])</f>
        <v>2</v>
      </c>
      <c r="CK141" s="80">
        <f>ROUND(IF(WWWW[[#This Row],[Total PoP ]]&lt;500,1,WWWW[[#This Row],[Total PoP ]]/500),0)</f>
        <v>2</v>
      </c>
      <c r="CL141" s="80">
        <f>(WWWW[[#This Row],['#_Constructed latrines_by_WASHAgencies]]+WWWW[[#This Row],['#_Non Cluster partner latrines]])-WWWW[[#This Row],['#_Non-functional latrines]]</f>
        <v>158</v>
      </c>
      <c r="CM14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4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958</v>
      </c>
      <c r="CO14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1" s="80">
        <f>IF(WWWW[[#This Row],[Location Type 1]]="Village","NA",IF(WWWW[[#This Row],['#_Constructed/Existing latrines in TLS]]*50&gt;WWWW[[#This Row],['#_students at TLS_CFS]],WWWW[[#This Row],['#_students at TLS_CFS]],(WWWW[[#This Row],['#_Constructed/Existing latrines in TLS]]*50)))</f>
        <v>0</v>
      </c>
      <c r="CQ141" s="80">
        <f>ROUND(IF(WWWW[[#This Row],[Location Type 1]]="camp",WWWW[[#This Row],[Total PoP ]]/20,IF(WWWW[[#This Row],[Location Type 1]]="Temporary Location",WWWW[[#This Row],[Total PoP ]]/50,(WWWW[[#This Row],[Total PoP ]]/6))),0)</f>
        <v>48</v>
      </c>
      <c r="CR141" s="79">
        <f>IF(WWWW[[#This Row],[Total required Latrines]]-(WWWW[[#This Row],['#_Constructed latrines_by_WASHAgencies]]+WWWW[[#This Row],['#_Non Cluster partner latrines]])&lt;0,0,WWWW[[#This Row],[Total required Latrines]]-(WWWW[[#This Row],['#_Constructed latrines_by_WASHAgencies]]+WWWW[[#This Row],['#_Non Cluster partner latrines]]))</f>
        <v>0</v>
      </c>
      <c r="CS141" s="78">
        <f>1-WWWW[[#This Row],[% people access to functioning Latrine]]</f>
        <v>0</v>
      </c>
      <c r="CT141" s="82">
        <f>IF(OR(WWWW[[#This Row],['#_Non-functional latrines]]="",WWWW[[#This Row],['#_Non-functional latrines]]=0),0,WWWW[[#This Row],['#_Non-functional latrines]]/(WWWW[[#This Row],['#_Constructed latrines_by_WASHAgencies]]+WWWW[[#This Row],['#_Non Cluster partner latrines]]))</f>
        <v>0</v>
      </c>
      <c r="CU141" s="79">
        <f>IF(500*(WWWW[[#This Row],['#_male hygiene promoters]]+WWWW[[#This Row],['#_female hygiene promoters]])&gt;WWWW[[#This Row],[Total PoP ]],WWWW[[#This Row],[Total PoP ]],500*(WWWW[[#This Row],['#_male hygiene promoters]]+WWWW[[#This Row],['#_female hygiene promoters]]))</f>
        <v>958</v>
      </c>
      <c r="CV14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1" s="80">
        <f>IF(WWWW[[#This Row],['# People with access to soap]]&gt;WWWW[[#This Row],['# People with access to Sanity Pads]],WWWW[[#This Row],['# People with access to soap]],WWWW[[#This Row],['# People with access to Sanity Pads]])</f>
        <v>0</v>
      </c>
      <c r="CY141" s="80">
        <f>IF(WWWW[[#This Row],['# people reached by regular dedicated hygiene promotion_5]]&gt;WWWW[[#This Row],['# People received regular supply of hygiene items_6]],WWWW[[#This Row],['# people reached by regular dedicated hygiene promotion_5]],WWWW[[#This Row],['# People received regular supply of hygiene items_6]])</f>
        <v>958</v>
      </c>
      <c r="CZ141" s="78">
        <f>IF(WWWW[[#This Row],[HRP3]]/WWWW[[#This Row],[Total PoP ]]&gt;100%,100%,WWWW[[#This Row],[HRP3]]/WWWW[[#This Row],[Total PoP ]])</f>
        <v>1</v>
      </c>
      <c r="DA141" s="82">
        <f>1-WWWW[[#This Row],[Hygiene Coverage%]]</f>
        <v>0</v>
      </c>
      <c r="DB141" s="81">
        <f>WWWW[[#This Row],['# people reached by regular dedicated hygiene promotion_5]]/WWWW[[#This Row],[Total PoP ]]</f>
        <v>1</v>
      </c>
      <c r="DC141" s="81">
        <f>IF(WWWW[[#This Row],['#_households that received standard amount of soap for this quarter]]/WWWW[[#This Row],[Total HH]]&gt;1,1,WWWW[[#This Row],['#_households that received standard amount of soap for this quarter]]/WWWW[[#This Row],[Total HH]])</f>
        <v>0</v>
      </c>
      <c r="DD141" s="81">
        <f>IF(WWWW[[#This Row],['#_households that received standard amount of sanitary pads for this quarter]]/WWWW[[#This Row],[Total HH]]&gt;1,1,WWWW[[#This Row],['#_households that received standard amount of sanitary pads for this quarter]]/WWWW[[#This Row],[Total HH]])</f>
        <v>0</v>
      </c>
      <c r="DE141" s="80">
        <f>WWWW[[#This Row],['#_Constructed/Existing hand washing stations]]-WWWW[[#This Row],['#_Non-Functional_hand_washing_stations]]</f>
        <v>0</v>
      </c>
      <c r="DF141" s="757">
        <f>IF(WWWW[[#This Row],['# Functional hand washing stations during reporting period]]*20&gt;WWWW[[#This Row],[Total HH]],WWWW[[#This Row],[Total HH]],WWWW[[#This Row],['# Functional hand washing stations during reporting period]]*20)</f>
        <v>0</v>
      </c>
      <c r="DG141" s="79">
        <f>IF(WWWW[[#This Row],[Is sufficient soap available for TLS? (Yes/No)]]="yes",WWWW[[#This Row],['#_Constructed/Existing hand washing stations at TLS]],0)</f>
        <v>0</v>
      </c>
      <c r="DH141" s="578">
        <f>IF(WWWW[[#This Row],['# Functional hand washing stations during reporting period]]*100&gt;WWWW[[#This Row],[Total PoP ]],WWWW[[#This Row],[Total PoP ]],WWWW[[#This Row],['# Functional hand washing stations during reporting period]]*100)</f>
        <v>0</v>
      </c>
      <c r="DI141" s="578" t="str">
        <f>IF(OR(WWWW[[#This Row],['#_students at TLS_CFS]]="",WWWW[[#This Row],['#_students at TLS_CFS]]=0),"No","Yes")</f>
        <v>No</v>
      </c>
      <c r="DJ141" s="231" t="str">
        <f>VLOOKUP(WWWW[[#This Row],[Site Name]],SiteDB6[[Site Name]:[CCCM Management]],6,FALSE)</f>
        <v>Yes</v>
      </c>
      <c r="DK141" s="231" t="str">
        <f>VLOOKUP(WWWW[[#This Row],[Site Name]],SiteDB6[[Site Name]:[CCCM Focal Agency]],7,FALSE)</f>
        <v>KBC-MYT</v>
      </c>
      <c r="DL141" s="231" t="str">
        <f>VLOOKUP(WWWW[[#This Row],[Site Name]],SiteDB6[[Site Name]:[Location Type 1]],9,FALSE)</f>
        <v>Camp</v>
      </c>
      <c r="DM141" s="231" t="str">
        <f>VLOOKUP(WWWW[[#This Row],[Site Name]],SiteDB6[[Site Name]:[Type of Accommodation]],10,FALSE)</f>
        <v>Camp</v>
      </c>
      <c r="DN141" s="231" t="str">
        <f>VLOOKUP(WWWW[[#This Row],[Site Name]],SiteDB6[[Site Name]:[Ethnic or GCA/NGCA]],11,FALSE)</f>
        <v>GCA</v>
      </c>
      <c r="DO141" s="231">
        <f>VLOOKUP(WWWW[[#This Row],[Site Name]],SiteDB6[[Site Name]:[Lat]],12,FALSE)</f>
        <v>25.418084</v>
      </c>
      <c r="DP141" s="231">
        <f>VLOOKUP(WWWW[[#This Row],[Site Name]],SiteDB6[[Site Name]:[Long]],13,FALSE)</f>
        <v>98.025662999999994</v>
      </c>
      <c r="DQ141" s="231" t="str">
        <f>VLOOKUP(WWWW[[#This Row],[Site Name]],SiteDB6[[Site Name]:[Pcode]],3,FALSE)</f>
        <v>MMR001CMP041</v>
      </c>
      <c r="DR141" s="207" t="str">
        <f t="shared" si="5"/>
        <v>Covered</v>
      </c>
      <c r="DS141" s="207"/>
      <c r="DT141" s="20"/>
      <c r="DU141" s="20"/>
      <c r="DV141" s="20"/>
      <c r="DW141" s="20"/>
      <c r="DX141" s="20"/>
      <c r="DY141" s="20"/>
      <c r="DZ141" s="20"/>
      <c r="EA141" s="20"/>
      <c r="EB141" s="20"/>
      <c r="EC141" s="20"/>
      <c r="ED141" s="20"/>
      <c r="EE141" s="20"/>
      <c r="EF141" s="20"/>
      <c r="EG141" s="20"/>
      <c r="EH141" s="20"/>
    </row>
    <row r="142" spans="1:138" ht="15.75" customHeight="1">
      <c r="A142" s="238" t="s">
        <v>2518</v>
      </c>
      <c r="B142" s="574" t="s">
        <v>317</v>
      </c>
      <c r="C142" s="238" t="s">
        <v>317</v>
      </c>
      <c r="D142" s="574"/>
      <c r="E142" s="574" t="s">
        <v>39</v>
      </c>
      <c r="F142" s="574" t="s">
        <v>1153</v>
      </c>
      <c r="G142" s="574" t="str">
        <f>VLOOKUP(WWWW[[#This Row],[Site Name]],SiteDB6[[Site Name]:[Location Type]],8,FALSE)</f>
        <v>Camp</v>
      </c>
      <c r="H142" s="76" t="s">
        <v>2315</v>
      </c>
      <c r="I142" s="583">
        <v>31</v>
      </c>
      <c r="J142" s="583">
        <v>129</v>
      </c>
      <c r="K142" s="553"/>
      <c r="L142" s="77"/>
      <c r="M142" s="583"/>
      <c r="N142" s="583"/>
      <c r="O142" s="583"/>
      <c r="P142" s="583"/>
      <c r="Q142" s="76"/>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207"/>
      <c r="AP142" s="310"/>
      <c r="AQ142" s="310"/>
      <c r="AR142" s="76"/>
      <c r="AS142" s="310"/>
      <c r="AT142" s="310"/>
      <c r="AU142" s="310"/>
      <c r="AV142" s="310"/>
      <c r="AW142" s="310"/>
      <c r="AX142" s="231"/>
      <c r="AY142" s="231"/>
      <c r="AZ142" s="310"/>
      <c r="BA142" s="310"/>
      <c r="BB142" s="310"/>
      <c r="BC142" s="207"/>
      <c r="BD142" s="310"/>
      <c r="BE142" s="310"/>
      <c r="BF142" s="310"/>
      <c r="BG142" s="310"/>
      <c r="BH142" s="310"/>
      <c r="BI142" s="310"/>
      <c r="BJ142" s="310"/>
      <c r="BK142" s="310"/>
      <c r="BL142" s="310"/>
      <c r="BM142" s="207"/>
      <c r="BN142" s="79"/>
      <c r="BO142" s="81"/>
      <c r="BP142" s="207"/>
      <c r="BQ142" s="78" t="str">
        <f>IFERROR(WWWW[[#This Row],['#_Water sources treated]]/WWWW[[#This Row],['#_Water sources tested for contamination]],"no test")</f>
        <v>no test</v>
      </c>
      <c r="BR142" s="81" t="str">
        <f>IFERROR(WWWW[[#This Row],['#_Household received remediation action due to contamination]]/WWWW[[#This Row],['#_Household water samples tested for contamination]],"no test")</f>
        <v>no test</v>
      </c>
      <c r="BS142" s="80" t="str">
        <f>IF(AND(WWWW[[#This Row],[% of water sources treated]]="no test",WWWW[[#This Row],[% Household received corrective actions]]="no test"),"No Test","Tested")</f>
        <v>No Test</v>
      </c>
      <c r="BT142" s="80">
        <f>WWWW[[#This Row],['#_Constructed/existing protected hand dug well]]-WWWW[[#This Row],['#_Non-functional protected hand dug well]]</f>
        <v>0</v>
      </c>
      <c r="BU142" s="80">
        <f>(WWWW[[#This Row],['#_Constructed/Existing tube wells/boreholes/handpumps_WASH_agency]]+WWWW[[#This Row],['#_Non-Cluster partner water tube-wells/boreholes/handpumps]])-WWWW[[#This Row],['#_Non-functional tube wells/boreholes/handpumps]]</f>
        <v>0</v>
      </c>
      <c r="BV142" s="80">
        <f>WWWW[[#This Row],['#_Constructed/Existingwater storage tank with gravity fed reticulation system]]-WWWW[[#This Row],['#_Non-functional storage tank gravity fed reticulation system]]</f>
        <v>0</v>
      </c>
      <c r="BW142" s="80">
        <f>WWWW[[#This Row],['#_Water boating or water trucking]]</f>
        <v>0</v>
      </c>
      <c r="BX142" s="80">
        <f>WWWW[[#This Row],['#_Constructed/Existing water distribution system from river or natural spring]]</f>
        <v>0</v>
      </c>
      <c r="BY14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2" s="81">
        <f>IF(WWWW[[#This Row],[Location Type 1]]="Village",WWWW[[#This Row],[Access to safe drinking water for Village]],WWWW[[#This Row],[Access to safe drinking water for Camp]])</f>
        <v>0</v>
      </c>
      <c r="CB142" s="79">
        <f>WWWW[[#This Row],[%Equitable and continuous access to sufficient quantity of safe drinking water]]*WWWW[[#This Row],[Total PoP ]]</f>
        <v>0</v>
      </c>
      <c r="CC142" s="81">
        <f>IF((WWWW[[#This Row],['#_Constructed/Existing protected/fenced ponds]]*250)/WWWW[[#This Row],[Total PoP ]]&gt;1,1,(WWWW[[#This Row],['#_Constructed/Existing protected/fenced ponds]]*250)/WWWW[[#This Row],[Total PoP ]])</f>
        <v>0</v>
      </c>
      <c r="CD142" s="79">
        <f>WWWW[[#This Row],[% Access to unimproved water points]]*WWWW[[#This Row],[Total PoP ]]</f>
        <v>0</v>
      </c>
      <c r="CE14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2" s="79">
        <f>WWWW[[#This Row],[HRP1]]/500</f>
        <v>0</v>
      </c>
      <c r="CH142" s="78">
        <f>1-WWWW[[#This Row],[% Equitable and continuous access to sufficient quantity of domestic water]]</f>
        <v>1</v>
      </c>
      <c r="CI142" s="79">
        <f>WWWW[[#This Row],[%equitable and continuous access to sufficient quantity of safe drinking and domestic water''s GAP]]*WWWW[[#This Row],[Total PoP ]]</f>
        <v>129</v>
      </c>
      <c r="CJ142" s="80">
        <f>IF(WWWW[[#This Row],[Total required water points]]-WWWW[[#This Row],['#Water points coverage]]&lt;0,0,WWWW[[#This Row],[Total required water points]]-WWWW[[#This Row],['#Water points coverage]])</f>
        <v>1</v>
      </c>
      <c r="CK142" s="80">
        <f>ROUND(IF(WWWW[[#This Row],[Total PoP ]]&lt;500,1,WWWW[[#This Row],[Total PoP ]]/500),0)</f>
        <v>1</v>
      </c>
      <c r="CL142" s="80">
        <f>(WWWW[[#This Row],['#_Constructed latrines_by_WASHAgencies]]+WWWW[[#This Row],['#_Non Cluster partner latrines]])-WWWW[[#This Row],['#_Non-functional latrines]]</f>
        <v>0</v>
      </c>
      <c r="CM14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2" s="80">
        <f>IF(WWWW[[#This Row],[Location Type 1]]="Village","NA",IF(WWWW[[#This Row],['#_Constructed/Existing latrines in TLS]]*50&gt;WWWW[[#This Row],['#_students at TLS_CFS]],WWWW[[#This Row],['#_students at TLS_CFS]],(WWWW[[#This Row],['#_Constructed/Existing latrines in TLS]]*50)))</f>
        <v>0</v>
      </c>
      <c r="CQ142" s="80">
        <f>ROUND(IF(WWWW[[#This Row],[Location Type 1]]="camp",WWWW[[#This Row],[Total PoP ]]/20,IF(WWWW[[#This Row],[Location Type 1]]="Temporary Location",WWWW[[#This Row],[Total PoP ]]/50,(WWWW[[#This Row],[Total PoP ]]/6))),0)</f>
        <v>6</v>
      </c>
      <c r="CR142" s="79">
        <f>IF(WWWW[[#This Row],[Total required Latrines]]-(WWWW[[#This Row],['#_Constructed latrines_by_WASHAgencies]]+WWWW[[#This Row],['#_Non Cluster partner latrines]])&lt;0,0,WWWW[[#This Row],[Total required Latrines]]-(WWWW[[#This Row],['#_Constructed latrines_by_WASHAgencies]]+WWWW[[#This Row],['#_Non Cluster partner latrines]]))</f>
        <v>6</v>
      </c>
      <c r="CS142" s="78">
        <f>1-WWWW[[#This Row],[% people access to functioning Latrine]]</f>
        <v>1</v>
      </c>
      <c r="CT142" s="82">
        <f>IF(OR(WWWW[[#This Row],['#_Non-functional latrines]]="",WWWW[[#This Row],['#_Non-functional latrines]]=0),0,WWWW[[#This Row],['#_Non-functional latrines]]/(WWWW[[#This Row],['#_Constructed latrines_by_WASHAgencies]]+WWWW[[#This Row],['#_Non Cluster partner latrines]]))</f>
        <v>0</v>
      </c>
      <c r="CU142" s="79">
        <f>IF(500*(WWWW[[#This Row],['#_male hygiene promoters]]+WWWW[[#This Row],['#_female hygiene promoters]])&gt;WWWW[[#This Row],[Total PoP ]],WWWW[[#This Row],[Total PoP ]],500*(WWWW[[#This Row],['#_male hygiene promoters]]+WWWW[[#This Row],['#_female hygiene promoters]]))</f>
        <v>0</v>
      </c>
      <c r="CV14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2" s="80">
        <f>IF(WWWW[[#This Row],['# People with access to soap]]&gt;WWWW[[#This Row],['# People with access to Sanity Pads]],WWWW[[#This Row],['# People with access to soap]],WWWW[[#This Row],['# People with access to Sanity Pads]])</f>
        <v>0</v>
      </c>
      <c r="CY142"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2" s="78">
        <f>IF(WWWW[[#This Row],[HRP3]]/WWWW[[#This Row],[Total PoP ]]&gt;100%,100%,WWWW[[#This Row],[HRP3]]/WWWW[[#This Row],[Total PoP ]])</f>
        <v>0</v>
      </c>
      <c r="DA142" s="82">
        <f>1-WWWW[[#This Row],[Hygiene Coverage%]]</f>
        <v>1</v>
      </c>
      <c r="DB142" s="81">
        <f>WWWW[[#This Row],['# people reached by regular dedicated hygiene promotion_5]]/WWWW[[#This Row],[Total PoP ]]</f>
        <v>0</v>
      </c>
      <c r="DC142" s="81">
        <f>IF(WWWW[[#This Row],['#_households that received standard amount of soap for this quarter]]/WWWW[[#This Row],[Total HH]]&gt;1,1,WWWW[[#This Row],['#_households that received standard amount of soap for this quarter]]/WWWW[[#This Row],[Total HH]])</f>
        <v>0</v>
      </c>
      <c r="DD142" s="81">
        <f>IF(WWWW[[#This Row],['#_households that received standard amount of sanitary pads for this quarter]]/WWWW[[#This Row],[Total HH]]&gt;1,1,WWWW[[#This Row],['#_households that received standard amount of sanitary pads for this quarter]]/WWWW[[#This Row],[Total HH]])</f>
        <v>0</v>
      </c>
      <c r="DE142" s="80">
        <f>WWWW[[#This Row],['#_Constructed/Existing hand washing stations]]-WWWW[[#This Row],['#_Non-Functional_hand_washing_stations]]</f>
        <v>0</v>
      </c>
      <c r="DF142" s="757">
        <f>IF(WWWW[[#This Row],['# Functional hand washing stations during reporting period]]*20&gt;WWWW[[#This Row],[Total HH]],WWWW[[#This Row],[Total HH]],WWWW[[#This Row],['# Functional hand washing stations during reporting period]]*20)</f>
        <v>0</v>
      </c>
      <c r="DG142" s="79">
        <f>IF(WWWW[[#This Row],[Is sufficient soap available for TLS? (Yes/No)]]="yes",WWWW[[#This Row],['#_Constructed/Existing hand washing stations at TLS]],0)</f>
        <v>0</v>
      </c>
      <c r="DH142" s="578">
        <f>IF(WWWW[[#This Row],['# Functional hand washing stations during reporting period]]*100&gt;WWWW[[#This Row],[Total PoP ]],WWWW[[#This Row],[Total PoP ]],WWWW[[#This Row],['# Functional hand washing stations during reporting period]]*100)</f>
        <v>0</v>
      </c>
      <c r="DI142" s="578" t="str">
        <f>IF(OR(WWWW[[#This Row],['#_students at TLS_CFS]]="",WWWW[[#This Row],['#_students at TLS_CFS]]=0),"No","Yes")</f>
        <v>No</v>
      </c>
      <c r="DJ142" s="231" t="str">
        <f>VLOOKUP(WWWW[[#This Row],[Site Name]],SiteDB6[[Site Name]:[CCCM Management]],6,FALSE)</f>
        <v>Yes</v>
      </c>
      <c r="DK142" s="231" t="str">
        <f>VLOOKUP(WWWW[[#This Row],[Site Name]],SiteDB6[[Site Name]:[CCCM Focal Agency]],7,FALSE)</f>
        <v>KMSS-MYT</v>
      </c>
      <c r="DL142" s="231" t="str">
        <f>VLOOKUP(WWWW[[#This Row],[Site Name]],SiteDB6[[Site Name]:[Location Type 1]],9,FALSE)</f>
        <v>Camp</v>
      </c>
      <c r="DM142" s="231" t="str">
        <f>VLOOKUP(WWWW[[#This Row],[Site Name]],SiteDB6[[Site Name]:[Type of Accommodation]],10,FALSE)</f>
        <v>Camp</v>
      </c>
      <c r="DN142" s="231" t="str">
        <f>VLOOKUP(WWWW[[#This Row],[Site Name]],SiteDB6[[Site Name]:[Ethnic or GCA/NGCA]],11,FALSE)</f>
        <v>GCA</v>
      </c>
      <c r="DO142" s="231">
        <f>VLOOKUP(WWWW[[#This Row],[Site Name]],SiteDB6[[Site Name]:[Lat]],12,FALSE)</f>
        <v>0</v>
      </c>
      <c r="DP142" s="231">
        <f>VLOOKUP(WWWW[[#This Row],[Site Name]],SiteDB6[[Site Name]:[Long]],13,FALSE)</f>
        <v>0</v>
      </c>
      <c r="DQ142" s="231" t="str">
        <f>VLOOKUP(WWWW[[#This Row],[Site Name]],SiteDB6[[Site Name]:[Pcode]],3,FALSE)</f>
        <v>MMR001CMP251</v>
      </c>
      <c r="DR142" s="207" t="str">
        <f t="shared" si="5"/>
        <v>Notcovered</v>
      </c>
      <c r="DS142" s="207"/>
      <c r="DT142" s="20"/>
      <c r="DU142" s="20"/>
      <c r="DV142" s="20"/>
      <c r="DW142" s="20"/>
      <c r="DX142" s="20"/>
      <c r="DY142" s="20"/>
      <c r="DZ142" s="20"/>
      <c r="EA142" s="20"/>
      <c r="EB142" s="20"/>
      <c r="EC142" s="20"/>
      <c r="ED142" s="20"/>
      <c r="EE142" s="20"/>
      <c r="EF142" s="20"/>
      <c r="EG142" s="20"/>
      <c r="EH142" s="20"/>
    </row>
    <row r="143" spans="1:138" ht="15.75" customHeight="1">
      <c r="A143" s="238" t="s">
        <v>2518</v>
      </c>
      <c r="B143" s="574" t="s">
        <v>38</v>
      </c>
      <c r="C143" s="574" t="s">
        <v>38</v>
      </c>
      <c r="D143" s="574" t="s">
        <v>42</v>
      </c>
      <c r="E143" s="574" t="s">
        <v>39</v>
      </c>
      <c r="F143" s="574" t="s">
        <v>40</v>
      </c>
      <c r="G143" s="574" t="str">
        <f>VLOOKUP(WWWW[[#This Row],[Site Name]],SiteDB6[[Site Name]:[Location Type]],8,FALSE)</f>
        <v>Camp_not registered</v>
      </c>
      <c r="H143" s="574" t="s">
        <v>147</v>
      </c>
      <c r="I143" s="583">
        <v>22</v>
      </c>
      <c r="J143" s="583">
        <v>122</v>
      </c>
      <c r="K143" s="553"/>
      <c r="L143" s="77">
        <v>43585</v>
      </c>
      <c r="M143" s="583"/>
      <c r="N143" s="583"/>
      <c r="O143" s="583"/>
      <c r="P143" s="583"/>
      <c r="Q143" s="76"/>
      <c r="R143" s="310"/>
      <c r="S143" s="310"/>
      <c r="T143" s="310"/>
      <c r="U143" s="310"/>
      <c r="V143" s="310"/>
      <c r="W143" s="310"/>
      <c r="X143" s="310">
        <v>1</v>
      </c>
      <c r="Y143" s="310"/>
      <c r="Z143" s="310"/>
      <c r="AA143" s="310"/>
      <c r="AB143" s="310"/>
      <c r="AC143" s="310"/>
      <c r="AD143" s="310"/>
      <c r="AE143" s="310"/>
      <c r="AF143" s="310"/>
      <c r="AG143" s="310"/>
      <c r="AH143" s="310"/>
      <c r="AI143" s="310"/>
      <c r="AJ143" s="310"/>
      <c r="AK143" s="310"/>
      <c r="AL143" s="310"/>
      <c r="AM143" s="310"/>
      <c r="AN143" s="310"/>
      <c r="AO143" s="207" t="s">
        <v>2961</v>
      </c>
      <c r="AP143" s="310">
        <v>6</v>
      </c>
      <c r="AQ143" s="310"/>
      <c r="AR143" s="76"/>
      <c r="AS143" s="310"/>
      <c r="AT143" s="310"/>
      <c r="AU143" s="310"/>
      <c r="AV143" s="310"/>
      <c r="AW143" s="310"/>
      <c r="AX143" s="231" t="s">
        <v>43</v>
      </c>
      <c r="AY143" s="231" t="s">
        <v>145</v>
      </c>
      <c r="AZ143" s="310"/>
      <c r="BA143" s="310"/>
      <c r="BB143" s="310"/>
      <c r="BC143" s="207"/>
      <c r="BD143" s="310">
        <v>2</v>
      </c>
      <c r="BE143" s="310"/>
      <c r="BF143" s="310"/>
      <c r="BG143" s="310">
        <v>2</v>
      </c>
      <c r="BH143" s="310">
        <v>1</v>
      </c>
      <c r="BI143" s="310"/>
      <c r="BJ143" s="310">
        <v>1</v>
      </c>
      <c r="BK143" s="310">
        <v>122</v>
      </c>
      <c r="BL143" s="310"/>
      <c r="BM143" s="207"/>
      <c r="BN143" s="79"/>
      <c r="BO143" s="81"/>
      <c r="BP143" s="207" t="s">
        <v>2962</v>
      </c>
      <c r="BQ143" s="78" t="str">
        <f>IFERROR(WWWW[[#This Row],['#_Water sources treated]]/WWWW[[#This Row],['#_Water sources tested for contamination]],"no test")</f>
        <v>no test</v>
      </c>
      <c r="BR143" s="81" t="str">
        <f>IFERROR(WWWW[[#This Row],['#_Household received remediation action due to contamination]]/WWWW[[#This Row],['#_Household water samples tested for contamination]],"no test")</f>
        <v>no test</v>
      </c>
      <c r="BS143" s="80" t="str">
        <f>IF(AND(WWWW[[#This Row],[% of water sources treated]]="no test",WWWW[[#This Row],[% Household received corrective actions]]="no test"),"No Test","Tested")</f>
        <v>No Test</v>
      </c>
      <c r="BT143" s="80">
        <f>WWWW[[#This Row],['#_Constructed/existing protected hand dug well]]-WWWW[[#This Row],['#_Non-functional protected hand dug well]]</f>
        <v>0</v>
      </c>
      <c r="BU143" s="80">
        <f>(WWWW[[#This Row],['#_Constructed/Existing tube wells/boreholes/handpumps_WASH_agency]]+WWWW[[#This Row],['#_Non-Cluster partner water tube-wells/boreholes/handpumps]])-WWWW[[#This Row],['#_Non-functional tube wells/boreholes/handpumps]]</f>
        <v>1</v>
      </c>
      <c r="BV143" s="80">
        <f>WWWW[[#This Row],['#_Constructed/Existingwater storage tank with gravity fed reticulation system]]-WWWW[[#This Row],['#_Non-functional storage tank gravity fed reticulation system]]</f>
        <v>0</v>
      </c>
      <c r="BW143" s="80">
        <f>WWWW[[#This Row],['#_Water boating or water trucking]]</f>
        <v>0</v>
      </c>
      <c r="BX143" s="80">
        <f>WWWW[[#This Row],['#_Constructed/Existing water distribution system from river or natural spring]]</f>
        <v>0</v>
      </c>
      <c r="BY14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3" s="81">
        <f>IF(WWWW[[#This Row],[Location Type 1]]="Village",WWWW[[#This Row],[Access to safe drinking water for Village]],WWWW[[#This Row],[Access to safe drinking water for Camp]])</f>
        <v>1</v>
      </c>
      <c r="CB143" s="79">
        <f>WWWW[[#This Row],[%Equitable and continuous access to sufficient quantity of safe drinking water]]*WWWW[[#This Row],[Total PoP ]]</f>
        <v>122</v>
      </c>
      <c r="CC143" s="81">
        <f>IF((WWWW[[#This Row],['#_Constructed/Existing protected/fenced ponds]]*250)/WWWW[[#This Row],[Total PoP ]]&gt;1,1,(WWWW[[#This Row],['#_Constructed/Existing protected/fenced ponds]]*250)/WWWW[[#This Row],[Total PoP ]])</f>
        <v>0</v>
      </c>
      <c r="CD143" s="79">
        <f>WWWW[[#This Row],[% Access to unimproved water points]]*WWWW[[#This Row],[Total PoP ]]</f>
        <v>0</v>
      </c>
      <c r="CE14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v>
      </c>
      <c r="CG143" s="79">
        <f>WWWW[[#This Row],[HRP1]]/500</f>
        <v>0.24399999999999999</v>
      </c>
      <c r="CH143" s="78">
        <f>1-WWWW[[#This Row],[% Equitable and continuous access to sufficient quantity of domestic water]]</f>
        <v>0</v>
      </c>
      <c r="CI143" s="79">
        <f>WWWW[[#This Row],[%equitable and continuous access to sufficient quantity of safe drinking and domestic water''s GAP]]*WWWW[[#This Row],[Total PoP ]]</f>
        <v>0</v>
      </c>
      <c r="CJ143" s="80">
        <f>IF(WWWW[[#This Row],[Total required water points]]-WWWW[[#This Row],['#Water points coverage]]&lt;0,0,WWWW[[#This Row],[Total required water points]]-WWWW[[#This Row],['#Water points coverage]])</f>
        <v>0.75600000000000001</v>
      </c>
      <c r="CK143" s="80">
        <f>ROUND(IF(WWWW[[#This Row],[Total PoP ]]&lt;500,1,WWWW[[#This Row],[Total PoP ]]/500),0)</f>
        <v>1</v>
      </c>
      <c r="CL143" s="80">
        <f>(WWWW[[#This Row],['#_Constructed latrines_by_WASHAgencies]]+WWWW[[#This Row],['#_Non Cluster partner latrines]])-WWWW[[#This Row],['#_Non-functional latrines]]</f>
        <v>6</v>
      </c>
      <c r="CM14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0.98360655737704916</v>
      </c>
      <c r="CN14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4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3" s="80">
        <f>IF(WWWW[[#This Row],[Location Type 1]]="Village","NA",IF(WWWW[[#This Row],['#_Constructed/Existing latrines in TLS]]*50&gt;WWWW[[#This Row],['#_students at TLS_CFS]],WWWW[[#This Row],['#_students at TLS_CFS]],(WWWW[[#This Row],['#_Constructed/Existing latrines in TLS]]*50)))</f>
        <v>0</v>
      </c>
      <c r="CQ143" s="80">
        <f>ROUND(IF(WWWW[[#This Row],[Location Type 1]]="camp",WWWW[[#This Row],[Total PoP ]]/20,IF(WWWW[[#This Row],[Location Type 1]]="Temporary Location",WWWW[[#This Row],[Total PoP ]]/50,(WWWW[[#This Row],[Total PoP ]]/6))),0)</f>
        <v>6</v>
      </c>
      <c r="CR143" s="79">
        <f>IF(WWWW[[#This Row],[Total required Latrines]]-(WWWW[[#This Row],['#_Constructed latrines_by_WASHAgencies]]+WWWW[[#This Row],['#_Non Cluster partner latrines]])&lt;0,0,WWWW[[#This Row],[Total required Latrines]]-(WWWW[[#This Row],['#_Constructed latrines_by_WASHAgencies]]+WWWW[[#This Row],['#_Non Cluster partner latrines]]))</f>
        <v>0</v>
      </c>
      <c r="CS143" s="78">
        <f>1-WWWW[[#This Row],[% people access to functioning Latrine]]</f>
        <v>1.6393442622950838E-2</v>
      </c>
      <c r="CT143" s="82">
        <f>IF(OR(WWWW[[#This Row],['#_Non-functional latrines]]="",WWWW[[#This Row],['#_Non-functional latrines]]=0),0,WWWW[[#This Row],['#_Non-functional latrines]]/(WWWW[[#This Row],['#_Constructed latrines_by_WASHAgencies]]+WWWW[[#This Row],['#_Non Cluster partner latrines]]))</f>
        <v>0</v>
      </c>
      <c r="CU143" s="79">
        <f>IF(500*(WWWW[[#This Row],['#_male hygiene promoters]]+WWWW[[#This Row],['#_female hygiene promoters]])&gt;WWWW[[#This Row],[Total PoP ]],WWWW[[#This Row],[Total PoP ]],500*(WWWW[[#This Row],['#_male hygiene promoters]]+WWWW[[#This Row],['#_female hygiene promoters]]))</f>
        <v>122</v>
      </c>
      <c r="CV14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122</v>
      </c>
      <c r="CW14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3" s="80">
        <f>IF(WWWW[[#This Row],['# People with access to soap]]&gt;WWWW[[#This Row],['# People with access to Sanity Pads]],WWWW[[#This Row],['# People with access to soap]],WWWW[[#This Row],['# People with access to Sanity Pads]])</f>
        <v>122</v>
      </c>
      <c r="CY143" s="80">
        <f>IF(WWWW[[#This Row],['# people reached by regular dedicated hygiene promotion_5]]&gt;WWWW[[#This Row],['# People received regular supply of hygiene items_6]],WWWW[[#This Row],['# people reached by regular dedicated hygiene promotion_5]],WWWW[[#This Row],['# People received regular supply of hygiene items_6]])</f>
        <v>122</v>
      </c>
      <c r="CZ143" s="78">
        <f>IF(WWWW[[#This Row],[HRP3]]/WWWW[[#This Row],[Total PoP ]]&gt;100%,100%,WWWW[[#This Row],[HRP3]]/WWWW[[#This Row],[Total PoP ]])</f>
        <v>1</v>
      </c>
      <c r="DA143" s="82">
        <f>1-WWWW[[#This Row],[Hygiene Coverage%]]</f>
        <v>0</v>
      </c>
      <c r="DB143" s="81">
        <f>WWWW[[#This Row],['# people reached by regular dedicated hygiene promotion_5]]/WWWW[[#This Row],[Total PoP ]]</f>
        <v>1</v>
      </c>
      <c r="DC143" s="81">
        <f>IF(WWWW[[#This Row],['#_households that received standard amount of soap for this quarter]]/WWWW[[#This Row],[Total HH]]&gt;1,1,WWWW[[#This Row],['#_households that received standard amount of soap for this quarter]]/WWWW[[#This Row],[Total HH]])</f>
        <v>1</v>
      </c>
      <c r="DD143" s="81">
        <f>IF(WWWW[[#This Row],['#_households that received standard amount of sanitary pads for this quarter]]/WWWW[[#This Row],[Total HH]]&gt;1,1,WWWW[[#This Row],['#_households that received standard amount of sanitary pads for this quarter]]/WWWW[[#This Row],[Total HH]])</f>
        <v>0</v>
      </c>
      <c r="DE143" s="80">
        <f>WWWW[[#This Row],['#_Constructed/Existing hand washing stations]]-WWWW[[#This Row],['#_Non-Functional_hand_washing_stations]]</f>
        <v>2</v>
      </c>
      <c r="DF143" s="757">
        <f>IF(WWWW[[#This Row],['# Functional hand washing stations during reporting period]]*20&gt;WWWW[[#This Row],[Total HH]],WWWW[[#This Row],[Total HH]],WWWW[[#This Row],['# Functional hand washing stations during reporting period]]*20)</f>
        <v>22</v>
      </c>
      <c r="DG143" s="79">
        <f>IF(WWWW[[#This Row],[Is sufficient soap available for TLS? (Yes/No)]]="yes",WWWW[[#This Row],['#_Constructed/Existing hand washing stations at TLS]],0)</f>
        <v>0</v>
      </c>
      <c r="DH143" s="578">
        <f>IF(WWWW[[#This Row],['# Functional hand washing stations during reporting period]]*100&gt;WWWW[[#This Row],[Total PoP ]],WWWW[[#This Row],[Total PoP ]],WWWW[[#This Row],['# Functional hand washing stations during reporting period]]*100)</f>
        <v>122</v>
      </c>
      <c r="DI143" s="578" t="str">
        <f>IF(OR(WWWW[[#This Row],['#_students at TLS_CFS]]="",WWWW[[#This Row],['#_students at TLS_CFS]]=0),"No","Yes")</f>
        <v>No</v>
      </c>
      <c r="DJ143" s="231">
        <f>VLOOKUP(WWWW[[#This Row],[Site Name]],SiteDB6[[Site Name]:[CCCM Management]],6,FALSE)</f>
        <v>0</v>
      </c>
      <c r="DK143" s="231">
        <f>VLOOKUP(WWWW[[#This Row],[Site Name]],SiteDB6[[Site Name]:[CCCM Focal Agency]],7,FALSE)</f>
        <v>0</v>
      </c>
      <c r="DL143" s="231" t="str">
        <f>VLOOKUP(WWWW[[#This Row],[Site Name]],SiteDB6[[Site Name]:[Location Type 1]],9,FALSE)</f>
        <v>Camp</v>
      </c>
      <c r="DM143" s="231" t="str">
        <f>VLOOKUP(WWWW[[#This Row],[Site Name]],SiteDB6[[Site Name]:[Type of Accommodation]],10,FALSE)</f>
        <v>Camp</v>
      </c>
      <c r="DN143" s="231" t="str">
        <f>VLOOKUP(WWWW[[#This Row],[Site Name]],SiteDB6[[Site Name]:[Ethnic or GCA/NGCA]],11,FALSE)</f>
        <v>GCA</v>
      </c>
      <c r="DO143" s="231">
        <f>VLOOKUP(WWWW[[#This Row],[Site Name]],SiteDB6[[Site Name]:[Lat]],12,FALSE)</f>
        <v>0</v>
      </c>
      <c r="DP143" s="231">
        <f>VLOOKUP(WWWW[[#This Row],[Site Name]],SiteDB6[[Site Name]:[Long]],13,FALSE)</f>
        <v>0</v>
      </c>
      <c r="DQ143" s="231">
        <f>VLOOKUP(WWWW[[#This Row],[Site Name]],SiteDB6[[Site Name]:[Pcode]],3,FALSE)</f>
        <v>0</v>
      </c>
      <c r="DR143" s="207" t="str">
        <f t="shared" si="5"/>
        <v>Covered</v>
      </c>
      <c r="DS143" s="207"/>
      <c r="DT143" s="20"/>
      <c r="DU143" s="20"/>
      <c r="DV143" s="20"/>
      <c r="DW143" s="20"/>
      <c r="DX143" s="20"/>
      <c r="DY143" s="20"/>
      <c r="DZ143" s="20"/>
      <c r="EA143" s="20"/>
      <c r="EB143" s="20"/>
      <c r="EC143" s="20"/>
      <c r="ED143" s="20"/>
      <c r="EE143" s="20"/>
      <c r="EF143" s="20"/>
      <c r="EG143" s="20"/>
      <c r="EH143" s="20"/>
    </row>
    <row r="144" spans="1:138" ht="15.75" customHeight="1">
      <c r="A144" s="238" t="s">
        <v>2518</v>
      </c>
      <c r="B144" s="574" t="s">
        <v>317</v>
      </c>
      <c r="C144" s="574" t="s">
        <v>317</v>
      </c>
      <c r="D144" s="574"/>
      <c r="E144" s="574" t="s">
        <v>39</v>
      </c>
      <c r="F144" s="574" t="s">
        <v>150</v>
      </c>
      <c r="G144" s="574" t="str">
        <f>VLOOKUP(WWWW[[#This Row],[Site Name]],SiteDB6[[Site Name]:[Location Type]],8,FALSE)</f>
        <v>Camp</v>
      </c>
      <c r="H144" s="76" t="s">
        <v>1057</v>
      </c>
      <c r="I144" s="583">
        <v>62</v>
      </c>
      <c r="J144" s="583">
        <v>410</v>
      </c>
      <c r="K144" s="553"/>
      <c r="L144" s="77"/>
      <c r="M144" s="583"/>
      <c r="N144" s="583"/>
      <c r="O144" s="583"/>
      <c r="P144" s="583"/>
      <c r="Q144" s="76"/>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207"/>
      <c r="AP144" s="310"/>
      <c r="AQ144" s="310"/>
      <c r="AR144" s="76"/>
      <c r="AS144" s="310"/>
      <c r="AT144" s="310"/>
      <c r="AU144" s="310"/>
      <c r="AV144" s="310"/>
      <c r="AW144" s="310"/>
      <c r="AX144" s="231"/>
      <c r="AY144" s="231"/>
      <c r="AZ144" s="310"/>
      <c r="BA144" s="310"/>
      <c r="BB144" s="310"/>
      <c r="BC144" s="207"/>
      <c r="BD144" s="310"/>
      <c r="BE144" s="310"/>
      <c r="BF144" s="310"/>
      <c r="BG144" s="310"/>
      <c r="BH144" s="310"/>
      <c r="BI144" s="310"/>
      <c r="BJ144" s="310"/>
      <c r="BK144" s="310"/>
      <c r="BL144" s="310"/>
      <c r="BM144" s="207"/>
      <c r="BN144" s="79"/>
      <c r="BO144" s="81"/>
      <c r="BP144" s="207"/>
      <c r="BQ144" s="78" t="str">
        <f>IFERROR(WWWW[[#This Row],['#_Water sources treated]]/WWWW[[#This Row],['#_Water sources tested for contamination]],"no test")</f>
        <v>no test</v>
      </c>
      <c r="BR144" s="81" t="str">
        <f>IFERROR(WWWW[[#This Row],['#_Household received remediation action due to contamination]]/WWWW[[#This Row],['#_Household water samples tested for contamination]],"no test")</f>
        <v>no test</v>
      </c>
      <c r="BS144" s="80" t="str">
        <f>IF(AND(WWWW[[#This Row],[% of water sources treated]]="no test",WWWW[[#This Row],[% Household received corrective actions]]="no test"),"No Test","Tested")</f>
        <v>No Test</v>
      </c>
      <c r="BT144" s="80">
        <f>WWWW[[#This Row],['#_Constructed/existing protected hand dug well]]-WWWW[[#This Row],['#_Non-functional protected hand dug well]]</f>
        <v>0</v>
      </c>
      <c r="BU144" s="80">
        <f>(WWWW[[#This Row],['#_Constructed/Existing tube wells/boreholes/handpumps_WASH_agency]]+WWWW[[#This Row],['#_Non-Cluster partner water tube-wells/boreholes/handpumps]])-WWWW[[#This Row],['#_Non-functional tube wells/boreholes/handpumps]]</f>
        <v>0</v>
      </c>
      <c r="BV144" s="80">
        <f>WWWW[[#This Row],['#_Constructed/Existingwater storage tank with gravity fed reticulation system]]-WWWW[[#This Row],['#_Non-functional storage tank gravity fed reticulation system]]</f>
        <v>0</v>
      </c>
      <c r="BW144" s="80">
        <f>WWWW[[#This Row],['#_Water boating or water trucking]]</f>
        <v>0</v>
      </c>
      <c r="BX144" s="80">
        <f>WWWW[[#This Row],['#_Constructed/Existing water distribution system from river or natural spring]]</f>
        <v>0</v>
      </c>
      <c r="BY14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4" s="81">
        <f>IF(WWWW[[#This Row],[Location Type 1]]="Village",WWWW[[#This Row],[Access to safe drinking water for Village]],WWWW[[#This Row],[Access to safe drinking water for Camp]])</f>
        <v>0</v>
      </c>
      <c r="CB144" s="79">
        <f>WWWW[[#This Row],[%Equitable and continuous access to sufficient quantity of safe drinking water]]*WWWW[[#This Row],[Total PoP ]]</f>
        <v>0</v>
      </c>
      <c r="CC144" s="81">
        <f>IF((WWWW[[#This Row],['#_Constructed/Existing protected/fenced ponds]]*250)/WWWW[[#This Row],[Total PoP ]]&gt;1,1,(WWWW[[#This Row],['#_Constructed/Existing protected/fenced ponds]]*250)/WWWW[[#This Row],[Total PoP ]])</f>
        <v>0</v>
      </c>
      <c r="CD144" s="79">
        <f>WWWW[[#This Row],[% Access to unimproved water points]]*WWWW[[#This Row],[Total PoP ]]</f>
        <v>0</v>
      </c>
      <c r="CE14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4" s="79">
        <f>WWWW[[#This Row],[HRP1]]/500</f>
        <v>0</v>
      </c>
      <c r="CH144" s="78">
        <f>1-WWWW[[#This Row],[% Equitable and continuous access to sufficient quantity of domestic water]]</f>
        <v>1</v>
      </c>
      <c r="CI144" s="79">
        <f>WWWW[[#This Row],[%equitable and continuous access to sufficient quantity of safe drinking and domestic water''s GAP]]*WWWW[[#This Row],[Total PoP ]]</f>
        <v>410</v>
      </c>
      <c r="CJ144" s="80">
        <f>IF(WWWW[[#This Row],[Total required water points]]-WWWW[[#This Row],['#Water points coverage]]&lt;0,0,WWWW[[#This Row],[Total required water points]]-WWWW[[#This Row],['#Water points coverage]])</f>
        <v>1</v>
      </c>
      <c r="CK144" s="80">
        <f>ROUND(IF(WWWW[[#This Row],[Total PoP ]]&lt;500,1,WWWW[[#This Row],[Total PoP ]]/500),0)</f>
        <v>1</v>
      </c>
      <c r="CL144" s="80">
        <f>(WWWW[[#This Row],['#_Constructed latrines_by_WASHAgencies]]+WWWW[[#This Row],['#_Non Cluster partner latrines]])-WWWW[[#This Row],['#_Non-functional latrines]]</f>
        <v>0</v>
      </c>
      <c r="CM14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4" s="80">
        <f>IF(WWWW[[#This Row],[Location Type 1]]="Village","NA",IF(WWWW[[#This Row],['#_Constructed/Existing latrines in TLS]]*50&gt;WWWW[[#This Row],['#_students at TLS_CFS]],WWWW[[#This Row],['#_students at TLS_CFS]],(WWWW[[#This Row],['#_Constructed/Existing latrines in TLS]]*50)))</f>
        <v>0</v>
      </c>
      <c r="CQ144" s="80">
        <f>ROUND(IF(WWWW[[#This Row],[Location Type 1]]="camp",WWWW[[#This Row],[Total PoP ]]/20,IF(WWWW[[#This Row],[Location Type 1]]="Temporary Location",WWWW[[#This Row],[Total PoP ]]/50,(WWWW[[#This Row],[Total PoP ]]/6))),0)</f>
        <v>21</v>
      </c>
      <c r="CR144" s="79">
        <f>IF(WWWW[[#This Row],[Total required Latrines]]-(WWWW[[#This Row],['#_Constructed latrines_by_WASHAgencies]]+WWWW[[#This Row],['#_Non Cluster partner latrines]])&lt;0,0,WWWW[[#This Row],[Total required Latrines]]-(WWWW[[#This Row],['#_Constructed latrines_by_WASHAgencies]]+WWWW[[#This Row],['#_Non Cluster partner latrines]]))</f>
        <v>21</v>
      </c>
      <c r="CS144" s="78">
        <f>1-WWWW[[#This Row],[% people access to functioning Latrine]]</f>
        <v>1</v>
      </c>
      <c r="CT144" s="82">
        <f>IF(OR(WWWW[[#This Row],['#_Non-functional latrines]]="",WWWW[[#This Row],['#_Non-functional latrines]]=0),0,WWWW[[#This Row],['#_Non-functional latrines]]/(WWWW[[#This Row],['#_Constructed latrines_by_WASHAgencies]]+WWWW[[#This Row],['#_Non Cluster partner latrines]]))</f>
        <v>0</v>
      </c>
      <c r="CU144" s="79">
        <f>IF(500*(WWWW[[#This Row],['#_male hygiene promoters]]+WWWW[[#This Row],['#_female hygiene promoters]])&gt;WWWW[[#This Row],[Total PoP ]],WWWW[[#This Row],[Total PoP ]],500*(WWWW[[#This Row],['#_male hygiene promoters]]+WWWW[[#This Row],['#_female hygiene promoters]]))</f>
        <v>0</v>
      </c>
      <c r="CV14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4" s="80">
        <f>IF(WWWW[[#This Row],['# People with access to soap]]&gt;WWWW[[#This Row],['# People with access to Sanity Pads]],WWWW[[#This Row],['# People with access to soap]],WWWW[[#This Row],['# People with access to Sanity Pads]])</f>
        <v>0</v>
      </c>
      <c r="CY14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4" s="78">
        <f>IF(WWWW[[#This Row],[HRP3]]/WWWW[[#This Row],[Total PoP ]]&gt;100%,100%,WWWW[[#This Row],[HRP3]]/WWWW[[#This Row],[Total PoP ]])</f>
        <v>0</v>
      </c>
      <c r="DA144" s="82">
        <f>1-WWWW[[#This Row],[Hygiene Coverage%]]</f>
        <v>1</v>
      </c>
      <c r="DB144" s="81">
        <f>WWWW[[#This Row],['# people reached by regular dedicated hygiene promotion_5]]/WWWW[[#This Row],[Total PoP ]]</f>
        <v>0</v>
      </c>
      <c r="DC144" s="81">
        <f>IF(WWWW[[#This Row],['#_households that received standard amount of soap for this quarter]]/WWWW[[#This Row],[Total HH]]&gt;1,1,WWWW[[#This Row],['#_households that received standard amount of soap for this quarter]]/WWWW[[#This Row],[Total HH]])</f>
        <v>0</v>
      </c>
      <c r="DD144" s="81">
        <f>IF(WWWW[[#This Row],['#_households that received standard amount of sanitary pads for this quarter]]/WWWW[[#This Row],[Total HH]]&gt;1,1,WWWW[[#This Row],['#_households that received standard amount of sanitary pads for this quarter]]/WWWW[[#This Row],[Total HH]])</f>
        <v>0</v>
      </c>
      <c r="DE144" s="80">
        <f>WWWW[[#This Row],['#_Constructed/Existing hand washing stations]]-WWWW[[#This Row],['#_Non-Functional_hand_washing_stations]]</f>
        <v>0</v>
      </c>
      <c r="DF144" s="757">
        <f>IF(WWWW[[#This Row],['# Functional hand washing stations during reporting period]]*20&gt;WWWW[[#This Row],[Total HH]],WWWW[[#This Row],[Total HH]],WWWW[[#This Row],['# Functional hand washing stations during reporting period]]*20)</f>
        <v>0</v>
      </c>
      <c r="DG144" s="79">
        <f>IF(WWWW[[#This Row],[Is sufficient soap available for TLS? (Yes/No)]]="yes",WWWW[[#This Row],['#_Constructed/Existing hand washing stations at TLS]],0)</f>
        <v>0</v>
      </c>
      <c r="DH144" s="578">
        <f>IF(WWWW[[#This Row],['# Functional hand washing stations during reporting period]]*100&gt;WWWW[[#This Row],[Total PoP ]],WWWW[[#This Row],[Total PoP ]],WWWW[[#This Row],['# Functional hand washing stations during reporting period]]*100)</f>
        <v>0</v>
      </c>
      <c r="DI144" s="578" t="str">
        <f>IF(OR(WWWW[[#This Row],['#_students at TLS_CFS]]="",WWWW[[#This Row],['#_students at TLS_CFS]]=0),"No","Yes")</f>
        <v>No</v>
      </c>
      <c r="DJ144" s="231">
        <f>VLOOKUP(WWWW[[#This Row],[Site Name]],SiteDB6[[Site Name]:[CCCM Management]],6,FALSE)</f>
        <v>0</v>
      </c>
      <c r="DK144" s="231" t="str">
        <f>VLOOKUP(WWWW[[#This Row],[Site Name]],SiteDB6[[Site Name]:[CCCM Focal Agency]],7,FALSE)</f>
        <v>uncovered</v>
      </c>
      <c r="DL144" s="231" t="str">
        <f>VLOOKUP(WWWW[[#This Row],[Site Name]],SiteDB6[[Site Name]:[Location Type 1]],9,FALSE)</f>
        <v>Camp</v>
      </c>
      <c r="DM144" s="231" t="str">
        <f>VLOOKUP(WWWW[[#This Row],[Site Name]],SiteDB6[[Site Name]:[Type of Accommodation]],10,FALSE)</f>
        <v>Camp like setting</v>
      </c>
      <c r="DN144" s="231" t="str">
        <f>VLOOKUP(WWWW[[#This Row],[Site Name]],SiteDB6[[Site Name]:[Ethnic or GCA/NGCA]],11,FALSE)</f>
        <v>GCA</v>
      </c>
      <c r="DO144" s="231">
        <f>VLOOKUP(WWWW[[#This Row],[Site Name]],SiteDB6[[Site Name]:[Lat]],12,FALSE)</f>
        <v>25.305008999999998</v>
      </c>
      <c r="DP144" s="231">
        <f>VLOOKUP(WWWW[[#This Row],[Site Name]],SiteDB6[[Site Name]:[Long]],13,FALSE)</f>
        <v>97.430321000000006</v>
      </c>
      <c r="DQ144" s="231" t="str">
        <f>VLOOKUP(WWWW[[#This Row],[Site Name]],SiteDB6[[Site Name]:[Pcode]],3,FALSE)</f>
        <v>MMR001CMP248</v>
      </c>
      <c r="DR144" s="207" t="str">
        <f t="shared" si="5"/>
        <v>Notcovered</v>
      </c>
      <c r="DS144" s="207"/>
      <c r="DT144" s="20"/>
      <c r="DU144" s="20"/>
      <c r="DV144" s="20"/>
      <c r="DW144" s="20"/>
      <c r="DX144" s="20"/>
      <c r="DY144" s="20"/>
      <c r="DZ144" s="20"/>
      <c r="EA144" s="20"/>
      <c r="EB144" s="20"/>
      <c r="EC144" s="20"/>
      <c r="ED144" s="20"/>
      <c r="EE144" s="20"/>
      <c r="EF144" s="20"/>
      <c r="EG144" s="20"/>
      <c r="EH144" s="20"/>
    </row>
    <row r="145" spans="1:138" ht="15.75" customHeight="1">
      <c r="A145" s="238" t="s">
        <v>2518</v>
      </c>
      <c r="B145" s="574" t="s">
        <v>250</v>
      </c>
      <c r="C145" s="574" t="s">
        <v>250</v>
      </c>
      <c r="D145" s="574" t="s">
        <v>315</v>
      </c>
      <c r="E145" s="574" t="s">
        <v>39</v>
      </c>
      <c r="F145" s="574" t="s">
        <v>150</v>
      </c>
      <c r="G145" s="574" t="str">
        <f>VLOOKUP(WWWW[[#This Row],[Site Name]],SiteDB6[[Site Name]:[Location Type]],8,FALSE)</f>
        <v>Camp</v>
      </c>
      <c r="H145" s="574" t="s">
        <v>276</v>
      </c>
      <c r="I145" s="583">
        <v>92</v>
      </c>
      <c r="J145" s="583">
        <v>448</v>
      </c>
      <c r="K145" s="553">
        <v>43313</v>
      </c>
      <c r="L145" s="58">
        <v>44043</v>
      </c>
      <c r="M145" s="583">
        <v>0</v>
      </c>
      <c r="N145" s="583">
        <v>1</v>
      </c>
      <c r="O145" s="583">
        <v>0</v>
      </c>
      <c r="P145" s="583">
        <v>0</v>
      </c>
      <c r="Q145" s="574" t="s">
        <v>43</v>
      </c>
      <c r="R145" s="310">
        <v>4</v>
      </c>
      <c r="S145" s="310">
        <v>4</v>
      </c>
      <c r="T145" s="310">
        <v>2</v>
      </c>
      <c r="U145" s="310">
        <v>0</v>
      </c>
      <c r="V145" s="310">
        <v>0</v>
      </c>
      <c r="W145" s="310">
        <v>3</v>
      </c>
      <c r="X145" s="310">
        <v>3</v>
      </c>
      <c r="Y145" s="310">
        <v>1</v>
      </c>
      <c r="Z145" s="310">
        <v>1</v>
      </c>
      <c r="AA145" s="583">
        <v>0</v>
      </c>
      <c r="AB145" s="310">
        <v>0</v>
      </c>
      <c r="AC145" s="310">
        <v>0</v>
      </c>
      <c r="AD145" s="310">
        <v>0</v>
      </c>
      <c r="AE145" s="310">
        <v>0</v>
      </c>
      <c r="AF145" s="310">
        <v>0</v>
      </c>
      <c r="AG145" s="310">
        <v>0</v>
      </c>
      <c r="AH145" s="310">
        <v>2</v>
      </c>
      <c r="AI145" s="310"/>
      <c r="AJ145" s="310"/>
      <c r="AK145" s="310"/>
      <c r="AL145" s="310"/>
      <c r="AM145" s="310">
        <v>0</v>
      </c>
      <c r="AN145" s="310">
        <v>0</v>
      </c>
      <c r="AO145" s="207"/>
      <c r="AP145" s="310">
        <v>16</v>
      </c>
      <c r="AQ145" s="310">
        <v>6</v>
      </c>
      <c r="AR145" s="76" t="s">
        <v>3111</v>
      </c>
      <c r="AS145" s="310">
        <v>2</v>
      </c>
      <c r="AT145" s="310">
        <v>0</v>
      </c>
      <c r="AU145" s="310">
        <v>7</v>
      </c>
      <c r="AV145" s="310"/>
      <c r="AW145" s="583">
        <v>0</v>
      </c>
      <c r="AX145" s="581" t="s">
        <v>43</v>
      </c>
      <c r="AY145" s="231" t="s">
        <v>145</v>
      </c>
      <c r="AZ145" s="310">
        <v>2</v>
      </c>
      <c r="BA145" s="310">
        <v>2</v>
      </c>
      <c r="BB145" s="310">
        <v>0</v>
      </c>
      <c r="BC145" s="207"/>
      <c r="BD145" s="310">
        <v>0</v>
      </c>
      <c r="BE145" s="310">
        <v>0</v>
      </c>
      <c r="BF145" s="310">
        <v>0</v>
      </c>
      <c r="BG145" s="310">
        <v>0</v>
      </c>
      <c r="BH145" s="310">
        <v>0</v>
      </c>
      <c r="BI145" s="310">
        <v>0</v>
      </c>
      <c r="BJ145" s="310">
        <v>0</v>
      </c>
      <c r="BK145" s="310">
        <v>0</v>
      </c>
      <c r="BL145" s="310">
        <v>0</v>
      </c>
      <c r="BM145" s="207" t="s">
        <v>144</v>
      </c>
      <c r="BN145" s="79">
        <v>0</v>
      </c>
      <c r="BO145" s="81">
        <v>0</v>
      </c>
      <c r="BP145" s="207"/>
      <c r="BQ145" s="78" t="str">
        <f>IFERROR(WWWW[[#This Row],['#_Water sources treated]]/WWWW[[#This Row],['#_Water sources tested for contamination]],"no test")</f>
        <v>no test</v>
      </c>
      <c r="BR145" s="81" t="str">
        <f>IFERROR(WWWW[[#This Row],['#_Household received remediation action due to contamination]]/WWWW[[#This Row],['#_Household water samples tested for contamination]],"no test")</f>
        <v>no test</v>
      </c>
      <c r="BS145" s="80" t="str">
        <f>IF(AND(WWWW[[#This Row],[% of water sources treated]]="no test",WWWW[[#This Row],[% Household received corrective actions]]="no test"),"No Test","Tested")</f>
        <v>No Test</v>
      </c>
      <c r="BT145" s="80">
        <f>WWWW[[#This Row],['#_Constructed/existing protected hand dug well]]-WWWW[[#This Row],['#_Non-functional protected hand dug well]]</f>
        <v>2</v>
      </c>
      <c r="BU145" s="80">
        <f>(WWWW[[#This Row],['#_Constructed/Existing tube wells/boreholes/handpumps_WASH_agency]]+WWWW[[#This Row],['#_Non-Cluster partner water tube-wells/boreholes/handpumps]])-WWWW[[#This Row],['#_Non-functional tube wells/boreholes/handpumps]]</f>
        <v>5</v>
      </c>
      <c r="BV145" s="80">
        <f>WWWW[[#This Row],['#_Constructed/Existingwater storage tank with gravity fed reticulation system]]-WWWW[[#This Row],['#_Non-functional storage tank gravity fed reticulation system]]</f>
        <v>0</v>
      </c>
      <c r="BW145" s="80">
        <f>WWWW[[#This Row],['#_Water boating or water trucking]]</f>
        <v>0</v>
      </c>
      <c r="BX145" s="80">
        <f>WWWW[[#This Row],['#_Constructed/Existing water distribution system from river or natural spring]]</f>
        <v>0</v>
      </c>
      <c r="BY14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5" s="81">
        <f>IF(WWWW[[#This Row],[Location Type 1]]="Village",WWWW[[#This Row],[Access to safe drinking water for Village]],WWWW[[#This Row],[Access to safe drinking water for Camp]])</f>
        <v>1</v>
      </c>
      <c r="CB145" s="79">
        <f>WWWW[[#This Row],[%Equitable and continuous access to sufficient quantity of safe drinking water]]*WWWW[[#This Row],[Total PoP ]]</f>
        <v>448</v>
      </c>
      <c r="CC145" s="81">
        <f>IF((WWWW[[#This Row],['#_Constructed/Existing protected/fenced ponds]]*250)/WWWW[[#This Row],[Total PoP ]]&gt;1,1,(WWWW[[#This Row],['#_Constructed/Existing protected/fenced ponds]]*250)/WWWW[[#This Row],[Total PoP ]])</f>
        <v>0</v>
      </c>
      <c r="CD145" s="79">
        <f>WWWW[[#This Row],[% Access to unimproved water points]]*WWWW[[#This Row],[Total PoP ]]</f>
        <v>0</v>
      </c>
      <c r="CE14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G145" s="79">
        <f>WWWW[[#This Row],[HRP1]]/500</f>
        <v>0.89600000000000002</v>
      </c>
      <c r="CH145" s="78">
        <f>1-WWWW[[#This Row],[% Equitable and continuous access to sufficient quantity of domestic water]]</f>
        <v>0</v>
      </c>
      <c r="CI145" s="79">
        <f>WWWW[[#This Row],[%equitable and continuous access to sufficient quantity of safe drinking and domestic water''s GAP]]*WWWW[[#This Row],[Total PoP ]]</f>
        <v>0</v>
      </c>
      <c r="CJ145" s="80">
        <f>IF(WWWW[[#This Row],[Total required water points]]-WWWW[[#This Row],['#Water points coverage]]&lt;0,0,WWWW[[#This Row],[Total required water points]]-WWWW[[#This Row],['#Water points coverage]])</f>
        <v>0.10399999999999998</v>
      </c>
      <c r="CK145" s="80">
        <f>ROUND(IF(WWWW[[#This Row],[Total PoP ]]&lt;500,1,WWWW[[#This Row],[Total PoP ]]/500),0)</f>
        <v>1</v>
      </c>
      <c r="CL145" s="80">
        <f>(WWWW[[#This Row],['#_Constructed latrines_by_WASHAgencies]]+WWWW[[#This Row],['#_Non Cluster partner latrines]])-WWWW[[#This Row],['#_Non-functional latrines]]</f>
        <v>20</v>
      </c>
      <c r="CM14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0.8928571428571429</v>
      </c>
      <c r="CN14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400</v>
      </c>
      <c r="CO14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145" s="80">
        <f>IF(WWWW[[#This Row],[Location Type 1]]="Village","NA",IF(WWWW[[#This Row],['#_Constructed/Existing latrines in TLS]]*50&gt;WWWW[[#This Row],['#_students at TLS_CFS]],WWWW[[#This Row],['#_students at TLS_CFS]],(WWWW[[#This Row],['#_Constructed/Existing latrines in TLS]]*50)))</f>
        <v>0</v>
      </c>
      <c r="CQ145" s="80">
        <f>ROUND(IF(WWWW[[#This Row],[Location Type 1]]="camp",WWWW[[#This Row],[Total PoP ]]/20,IF(WWWW[[#This Row],[Location Type 1]]="Temporary Location",WWWW[[#This Row],[Total PoP ]]/50,(WWWW[[#This Row],[Total PoP ]]/6))),0)</f>
        <v>22</v>
      </c>
      <c r="CR145" s="79">
        <f>IF(WWWW[[#This Row],[Total required Latrines]]-(WWWW[[#This Row],['#_Constructed latrines_by_WASHAgencies]]+WWWW[[#This Row],['#_Non Cluster partner latrines]])&lt;0,0,WWWW[[#This Row],[Total required Latrines]]-(WWWW[[#This Row],['#_Constructed latrines_by_WASHAgencies]]+WWWW[[#This Row],['#_Non Cluster partner latrines]]))</f>
        <v>0</v>
      </c>
      <c r="CS145" s="78">
        <f>1-WWWW[[#This Row],[% people access to functioning Latrine]]</f>
        <v>0.1071428571428571</v>
      </c>
      <c r="CT145" s="82">
        <f>IF(OR(WWWW[[#This Row],['#_Non-functional latrines]]="",WWWW[[#This Row],['#_Non-functional latrines]]=0),0,WWWW[[#This Row],['#_Non-functional latrines]]/(WWWW[[#This Row],['#_Constructed latrines_by_WASHAgencies]]+WWWW[[#This Row],['#_Non Cluster partner latrines]]))</f>
        <v>9.0909090909090912E-2</v>
      </c>
      <c r="CU145" s="79">
        <f>IF(500*(WWWW[[#This Row],['#_male hygiene promoters]]+WWWW[[#This Row],['#_female hygiene promoters]])&gt;WWWW[[#This Row],[Total PoP ]],WWWW[[#This Row],[Total PoP ]],500*(WWWW[[#This Row],['#_male hygiene promoters]]+WWWW[[#This Row],['#_female hygiene promoters]]))</f>
        <v>0</v>
      </c>
      <c r="CV14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5" s="80">
        <f>IF(WWWW[[#This Row],['# People with access to soap]]&gt;WWWW[[#This Row],['# People with access to Sanity Pads]],WWWW[[#This Row],['# People with access to soap]],WWWW[[#This Row],['# People with access to Sanity Pads]])</f>
        <v>0</v>
      </c>
      <c r="CY145"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5" s="78">
        <f>IF(WWWW[[#This Row],[HRP3]]/WWWW[[#This Row],[Total PoP ]]&gt;100%,100%,WWWW[[#This Row],[HRP3]]/WWWW[[#This Row],[Total PoP ]])</f>
        <v>0</v>
      </c>
      <c r="DA145" s="82">
        <f>1-WWWW[[#This Row],[Hygiene Coverage%]]</f>
        <v>1</v>
      </c>
      <c r="DB145" s="81">
        <f>WWWW[[#This Row],['# people reached by regular dedicated hygiene promotion_5]]/WWWW[[#This Row],[Total PoP ]]</f>
        <v>0</v>
      </c>
      <c r="DC145" s="81">
        <f>IF(WWWW[[#This Row],['#_households that received standard amount of soap for this quarter]]/WWWW[[#This Row],[Total HH]]&gt;1,1,WWWW[[#This Row],['#_households that received standard amount of soap for this quarter]]/WWWW[[#This Row],[Total HH]])</f>
        <v>0</v>
      </c>
      <c r="DD145" s="81">
        <f>IF(WWWW[[#This Row],['#_households that received standard amount of sanitary pads for this quarter]]/WWWW[[#This Row],[Total HH]]&gt;1,1,WWWW[[#This Row],['#_households that received standard amount of sanitary pads for this quarter]]/WWWW[[#This Row],[Total HH]])</f>
        <v>0</v>
      </c>
      <c r="DE145" s="80">
        <f>WWWW[[#This Row],['#_Constructed/Existing hand washing stations]]-WWWW[[#This Row],['#_Non-Functional_hand_washing_stations]]</f>
        <v>0</v>
      </c>
      <c r="DF145" s="757">
        <f>IF(WWWW[[#This Row],['# Functional hand washing stations during reporting period]]*20&gt;WWWW[[#This Row],[Total HH]],WWWW[[#This Row],[Total HH]],WWWW[[#This Row],['# Functional hand washing stations during reporting period]]*20)</f>
        <v>0</v>
      </c>
      <c r="DG145" s="79">
        <f>IF(WWWW[[#This Row],[Is sufficient soap available for TLS? (Yes/No)]]="yes",WWWW[[#This Row],['#_Constructed/Existing hand washing stations at TLS]],0)</f>
        <v>0</v>
      </c>
      <c r="DH145" s="578">
        <f>IF(WWWW[[#This Row],['# Functional hand washing stations during reporting period]]*100&gt;WWWW[[#This Row],[Total PoP ]],WWWW[[#This Row],[Total PoP ]],WWWW[[#This Row],['# Functional hand washing stations during reporting period]]*100)</f>
        <v>0</v>
      </c>
      <c r="DI145" s="578" t="str">
        <f>IF(OR(WWWW[[#This Row],['#_students at TLS_CFS]]="",WWWW[[#This Row],['#_students at TLS_CFS]]=0),"No","Yes")</f>
        <v>No</v>
      </c>
      <c r="DJ145" s="231" t="str">
        <f>VLOOKUP(WWWW[[#This Row],[Site Name]],SiteDB6[[Site Name]:[CCCM Management]],6,FALSE)</f>
        <v>Yes</v>
      </c>
      <c r="DK145" s="231" t="str">
        <f>VLOOKUP(WWWW[[#This Row],[Site Name]],SiteDB6[[Site Name]:[CCCM Focal Agency]],7,FALSE)</f>
        <v>Shalom</v>
      </c>
      <c r="DL145" s="231" t="str">
        <f>VLOOKUP(WWWW[[#This Row],[Site Name]],SiteDB6[[Site Name]:[Location Type 1]],9,FALSE)</f>
        <v>Camp</v>
      </c>
      <c r="DM145" s="231" t="str">
        <f>VLOOKUP(WWWW[[#This Row],[Site Name]],SiteDB6[[Site Name]:[Type of Accommodation]],10,FALSE)</f>
        <v>Camp</v>
      </c>
      <c r="DN145" s="231" t="str">
        <f>VLOOKUP(WWWW[[#This Row],[Site Name]],SiteDB6[[Site Name]:[Ethnic or GCA/NGCA]],11,FALSE)</f>
        <v>GCA</v>
      </c>
      <c r="DO145" s="231">
        <f>VLOOKUP(WWWW[[#This Row],[Site Name]],SiteDB6[[Site Name]:[Lat]],12,FALSE)</f>
        <v>25.321710740740698</v>
      </c>
      <c r="DP145" s="231">
        <f>VLOOKUP(WWWW[[#This Row],[Site Name]],SiteDB6[[Site Name]:[Long]],13,FALSE)</f>
        <v>97.404195925926004</v>
      </c>
      <c r="DQ145" s="231" t="str">
        <f>VLOOKUP(WWWW[[#This Row],[Site Name]],SiteDB6[[Site Name]:[Pcode]],3,FALSE)</f>
        <v>MMR001CMP028</v>
      </c>
      <c r="DR145" s="207" t="str">
        <f t="shared" si="5"/>
        <v>Covered</v>
      </c>
      <c r="DS145" s="207"/>
      <c r="DT145" s="20"/>
      <c r="DU145" s="20"/>
      <c r="DV145" s="20"/>
      <c r="DW145" s="20"/>
      <c r="DX145" s="20"/>
      <c r="DY145" s="20"/>
      <c r="DZ145" s="20"/>
      <c r="EA145" s="20"/>
      <c r="EB145" s="20"/>
      <c r="EC145" s="20"/>
      <c r="ED145" s="20"/>
      <c r="EE145" s="20"/>
      <c r="EF145" s="20"/>
      <c r="EG145" s="20"/>
      <c r="EH145" s="20"/>
    </row>
    <row r="146" spans="1:138" ht="15.75" customHeight="1">
      <c r="A146" s="238" t="s">
        <v>2518</v>
      </c>
      <c r="B146" s="238" t="s">
        <v>149</v>
      </c>
      <c r="C146" s="574" t="s">
        <v>149</v>
      </c>
      <c r="D146" s="574" t="s">
        <v>152</v>
      </c>
      <c r="E146" s="574" t="s">
        <v>39</v>
      </c>
      <c r="F146" s="574" t="s">
        <v>167</v>
      </c>
      <c r="G146" s="574" t="str">
        <f>VLOOKUP(WWWW[[#This Row],[Site Name]],SiteDB6[[Site Name]:[Location Type]],8,FALSE)</f>
        <v>Camp</v>
      </c>
      <c r="H146" s="574" t="s">
        <v>177</v>
      </c>
      <c r="I146" s="583">
        <v>93</v>
      </c>
      <c r="J146" s="583">
        <v>499</v>
      </c>
      <c r="K146" s="553">
        <v>43556</v>
      </c>
      <c r="L146" s="77">
        <v>43677</v>
      </c>
      <c r="M146" s="583"/>
      <c r="N146" s="583"/>
      <c r="O146" s="583"/>
      <c r="P146" s="583"/>
      <c r="Q146" s="574" t="s">
        <v>43</v>
      </c>
      <c r="R146" s="310"/>
      <c r="S146" s="310"/>
      <c r="T146" s="583">
        <v>2</v>
      </c>
      <c r="U146" s="310"/>
      <c r="V146" s="310"/>
      <c r="W146" s="583">
        <v>2</v>
      </c>
      <c r="X146" s="310"/>
      <c r="Y146" s="310"/>
      <c r="Z146" s="310"/>
      <c r="AA146" s="583"/>
      <c r="AB146" s="310"/>
      <c r="AC146" s="310"/>
      <c r="AD146" s="310"/>
      <c r="AE146" s="310"/>
      <c r="AF146" s="310"/>
      <c r="AG146" s="310"/>
      <c r="AH146" s="583">
        <v>2</v>
      </c>
      <c r="AI146" s="310"/>
      <c r="AJ146" s="310"/>
      <c r="AK146" s="310"/>
      <c r="AL146" s="310"/>
      <c r="AM146" s="310"/>
      <c r="AN146" s="310"/>
      <c r="AO146" s="207"/>
      <c r="AP146" s="583">
        <v>17</v>
      </c>
      <c r="AQ146" s="310"/>
      <c r="AR146" s="76"/>
      <c r="AS146" s="310"/>
      <c r="AT146" s="310"/>
      <c r="AU146" s="310">
        <v>0</v>
      </c>
      <c r="AV146" s="310"/>
      <c r="AW146" s="583">
        <v>17</v>
      </c>
      <c r="AX146" s="231" t="s">
        <v>43</v>
      </c>
      <c r="AY146" s="231" t="s">
        <v>145</v>
      </c>
      <c r="AZ146" s="310"/>
      <c r="BA146" s="310"/>
      <c r="BB146" s="310"/>
      <c r="BC146" s="207"/>
      <c r="BD146" s="310"/>
      <c r="BE146" s="310"/>
      <c r="BF146" s="310"/>
      <c r="BG146" s="310">
        <v>2</v>
      </c>
      <c r="BH146" s="310"/>
      <c r="BI146" s="310"/>
      <c r="BJ146" s="310">
        <v>2</v>
      </c>
      <c r="BK146" s="310"/>
      <c r="BL146" s="310"/>
      <c r="BM146" s="207"/>
      <c r="BN146" s="79"/>
      <c r="BO146" s="81"/>
      <c r="BP146" s="207"/>
      <c r="BQ146" s="78" t="str">
        <f>IFERROR(WWWW[[#This Row],['#_Water sources treated]]/WWWW[[#This Row],['#_Water sources tested for contamination]],"no test")</f>
        <v>no test</v>
      </c>
      <c r="BR146" s="81" t="str">
        <f>IFERROR(WWWW[[#This Row],['#_Household received remediation action due to contamination]]/WWWW[[#This Row],['#_Household water samples tested for contamination]],"no test")</f>
        <v>no test</v>
      </c>
      <c r="BS146" s="80" t="str">
        <f>IF(AND(WWWW[[#This Row],[% of water sources treated]]="no test",WWWW[[#This Row],[% Household received corrective actions]]="no test"),"No Test","Tested")</f>
        <v>No Test</v>
      </c>
      <c r="BT146" s="80">
        <f>WWWW[[#This Row],['#_Constructed/existing protected hand dug well]]-WWWW[[#This Row],['#_Non-functional protected hand dug well]]</f>
        <v>2</v>
      </c>
      <c r="BU146" s="80">
        <f>(WWWW[[#This Row],['#_Constructed/Existing tube wells/boreholes/handpumps_WASH_agency]]+WWWW[[#This Row],['#_Non-Cluster partner water tube-wells/boreholes/handpumps]])-WWWW[[#This Row],['#_Non-functional tube wells/boreholes/handpumps]]</f>
        <v>2</v>
      </c>
      <c r="BV146" s="80">
        <f>WWWW[[#This Row],['#_Constructed/Existingwater storage tank with gravity fed reticulation system]]-WWWW[[#This Row],['#_Non-functional storage tank gravity fed reticulation system]]</f>
        <v>0</v>
      </c>
      <c r="BW146" s="80">
        <f>WWWW[[#This Row],['#_Water boating or water trucking]]</f>
        <v>0</v>
      </c>
      <c r="BX146" s="80">
        <f>WWWW[[#This Row],['#_Constructed/Existing water distribution system from river or natural spring]]</f>
        <v>0</v>
      </c>
      <c r="BY14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6" s="81">
        <f>IF(WWWW[[#This Row],[Location Type 1]]="Village",WWWW[[#This Row],[Access to safe drinking water for Village]],WWWW[[#This Row],[Access to safe drinking water for Camp]])</f>
        <v>1</v>
      </c>
      <c r="CB146" s="79">
        <f>WWWW[[#This Row],[%Equitable and continuous access to sufficient quantity of safe drinking water]]*WWWW[[#This Row],[Total PoP ]]</f>
        <v>499</v>
      </c>
      <c r="CC146" s="81">
        <f>IF((WWWW[[#This Row],['#_Constructed/Existing protected/fenced ponds]]*250)/WWWW[[#This Row],[Total PoP ]]&gt;1,1,(WWWW[[#This Row],['#_Constructed/Existing protected/fenced ponds]]*250)/WWWW[[#This Row],[Total PoP ]])</f>
        <v>0</v>
      </c>
      <c r="CD146" s="79">
        <f>WWWW[[#This Row],[% Access to unimproved water points]]*WWWW[[#This Row],[Total PoP ]]</f>
        <v>0</v>
      </c>
      <c r="CE14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G146" s="79">
        <f>WWWW[[#This Row],[HRP1]]/500</f>
        <v>0.998</v>
      </c>
      <c r="CH146" s="78">
        <f>1-WWWW[[#This Row],[% Equitable and continuous access to sufficient quantity of domestic water]]</f>
        <v>0</v>
      </c>
      <c r="CI146" s="79">
        <f>WWWW[[#This Row],[%equitable and continuous access to sufficient quantity of safe drinking and domestic water''s GAP]]*WWWW[[#This Row],[Total PoP ]]</f>
        <v>0</v>
      </c>
      <c r="CJ146" s="80">
        <f>IF(WWWW[[#This Row],[Total required water points]]-WWWW[[#This Row],['#Water points coverage]]&lt;0,0,WWWW[[#This Row],[Total required water points]]-WWWW[[#This Row],['#Water points coverage]])</f>
        <v>2.0000000000000018E-3</v>
      </c>
      <c r="CK146" s="80">
        <f>ROUND(IF(WWWW[[#This Row],[Total PoP ]]&lt;500,1,WWWW[[#This Row],[Total PoP ]]/500),0)</f>
        <v>1</v>
      </c>
      <c r="CL146" s="80">
        <f>(WWWW[[#This Row],['#_Constructed latrines_by_WASHAgencies]]+WWWW[[#This Row],['#_Non Cluster partner latrines]])-WWWW[[#This Row],['#_Non-functional latrines]]</f>
        <v>17</v>
      </c>
      <c r="CM14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0.68136272545090182</v>
      </c>
      <c r="CN14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340</v>
      </c>
      <c r="CO14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6" s="80">
        <f>IF(WWWW[[#This Row],[Location Type 1]]="Village","NA",IF(WWWW[[#This Row],['#_Constructed/Existing latrines in TLS]]*50&gt;WWWW[[#This Row],['#_students at TLS_CFS]],WWWW[[#This Row],['#_students at TLS_CFS]],(WWWW[[#This Row],['#_Constructed/Existing latrines in TLS]]*50)))</f>
        <v>0</v>
      </c>
      <c r="CQ146" s="80">
        <f>ROUND(IF(WWWW[[#This Row],[Location Type 1]]="camp",WWWW[[#This Row],[Total PoP ]]/20,IF(WWWW[[#This Row],[Location Type 1]]="Temporary Location",WWWW[[#This Row],[Total PoP ]]/50,(WWWW[[#This Row],[Total PoP ]]/6))),0)</f>
        <v>25</v>
      </c>
      <c r="CR146" s="79">
        <f>IF(WWWW[[#This Row],[Total required Latrines]]-(WWWW[[#This Row],['#_Constructed latrines_by_WASHAgencies]]+WWWW[[#This Row],['#_Non Cluster partner latrines]])&lt;0,0,WWWW[[#This Row],[Total required Latrines]]-(WWWW[[#This Row],['#_Constructed latrines_by_WASHAgencies]]+WWWW[[#This Row],['#_Non Cluster partner latrines]]))</f>
        <v>8</v>
      </c>
      <c r="CS146" s="78">
        <f>1-WWWW[[#This Row],[% people access to functioning Latrine]]</f>
        <v>0.31863727454909818</v>
      </c>
      <c r="CT146" s="82">
        <f>IF(OR(WWWW[[#This Row],['#_Non-functional latrines]]="",WWWW[[#This Row],['#_Non-functional latrines]]=0),0,WWWW[[#This Row],['#_Non-functional latrines]]/(WWWW[[#This Row],['#_Constructed latrines_by_WASHAgencies]]+WWWW[[#This Row],['#_Non Cluster partner latrines]]))</f>
        <v>0</v>
      </c>
      <c r="CU146" s="79">
        <f>IF(500*(WWWW[[#This Row],['#_male hygiene promoters]]+WWWW[[#This Row],['#_female hygiene promoters]])&gt;WWWW[[#This Row],[Total PoP ]],WWWW[[#This Row],[Total PoP ]],500*(WWWW[[#This Row],['#_male hygiene promoters]]+WWWW[[#This Row],['#_female hygiene promoters]]))</f>
        <v>499</v>
      </c>
      <c r="CV14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6" s="80">
        <f>IF(WWWW[[#This Row],['# People with access to soap]]&gt;WWWW[[#This Row],['# People with access to Sanity Pads]],WWWW[[#This Row],['# People with access to soap]],WWWW[[#This Row],['# People with access to Sanity Pads]])</f>
        <v>0</v>
      </c>
      <c r="CY146" s="80">
        <f>IF(WWWW[[#This Row],['# people reached by regular dedicated hygiene promotion_5]]&gt;WWWW[[#This Row],['# People received regular supply of hygiene items_6]],WWWW[[#This Row],['# people reached by regular dedicated hygiene promotion_5]],WWWW[[#This Row],['# People received regular supply of hygiene items_6]])</f>
        <v>499</v>
      </c>
      <c r="CZ146" s="78">
        <f>IF(WWWW[[#This Row],[HRP3]]/WWWW[[#This Row],[Total PoP ]]&gt;100%,100%,WWWW[[#This Row],[HRP3]]/WWWW[[#This Row],[Total PoP ]])</f>
        <v>1</v>
      </c>
      <c r="DA146" s="82">
        <f>1-WWWW[[#This Row],[Hygiene Coverage%]]</f>
        <v>0</v>
      </c>
      <c r="DB146" s="81">
        <f>WWWW[[#This Row],['# people reached by regular dedicated hygiene promotion_5]]/WWWW[[#This Row],[Total PoP ]]</f>
        <v>1</v>
      </c>
      <c r="DC146" s="81">
        <f>IF(WWWW[[#This Row],['#_households that received standard amount of soap for this quarter]]/WWWW[[#This Row],[Total HH]]&gt;1,1,WWWW[[#This Row],['#_households that received standard amount of soap for this quarter]]/WWWW[[#This Row],[Total HH]])</f>
        <v>0</v>
      </c>
      <c r="DD146" s="81">
        <f>IF(WWWW[[#This Row],['#_households that received standard amount of sanitary pads for this quarter]]/WWWW[[#This Row],[Total HH]]&gt;1,1,WWWW[[#This Row],['#_households that received standard amount of sanitary pads for this quarter]]/WWWW[[#This Row],[Total HH]])</f>
        <v>0</v>
      </c>
      <c r="DE146" s="80">
        <f>WWWW[[#This Row],['#_Constructed/Existing hand washing stations]]-WWWW[[#This Row],['#_Non-Functional_hand_washing_stations]]</f>
        <v>0</v>
      </c>
      <c r="DF146" s="757">
        <f>IF(WWWW[[#This Row],['# Functional hand washing stations during reporting period]]*20&gt;WWWW[[#This Row],[Total HH]],WWWW[[#This Row],[Total HH]],WWWW[[#This Row],['# Functional hand washing stations during reporting period]]*20)</f>
        <v>0</v>
      </c>
      <c r="DG146" s="79">
        <f>IF(WWWW[[#This Row],[Is sufficient soap available for TLS? (Yes/No)]]="yes",WWWW[[#This Row],['#_Constructed/Existing hand washing stations at TLS]],0)</f>
        <v>0</v>
      </c>
      <c r="DH146" s="578">
        <f>IF(WWWW[[#This Row],['# Functional hand washing stations during reporting period]]*100&gt;WWWW[[#This Row],[Total PoP ]],WWWW[[#This Row],[Total PoP ]],WWWW[[#This Row],['# Functional hand washing stations during reporting period]]*100)</f>
        <v>0</v>
      </c>
      <c r="DI146" s="578" t="str">
        <f>IF(OR(WWWW[[#This Row],['#_students at TLS_CFS]]="",WWWW[[#This Row],['#_students at TLS_CFS]]=0),"No","Yes")</f>
        <v>No</v>
      </c>
      <c r="DJ146" s="231" t="str">
        <f>VLOOKUP(WWWW[[#This Row],[Site Name]],SiteDB6[[Site Name]:[CCCM Management]],6,FALSE)</f>
        <v>Yes</v>
      </c>
      <c r="DK146" s="231" t="str">
        <f>VLOOKUP(WWWW[[#This Row],[Site Name]],SiteDB6[[Site Name]:[CCCM Focal Agency]],7,FALSE)</f>
        <v>KBC-MYT</v>
      </c>
      <c r="DL146" s="231" t="str">
        <f>VLOOKUP(WWWW[[#This Row],[Site Name]],SiteDB6[[Site Name]:[Location Type 1]],9,FALSE)</f>
        <v>Camp</v>
      </c>
      <c r="DM146" s="231" t="str">
        <f>VLOOKUP(WWWW[[#This Row],[Site Name]],SiteDB6[[Site Name]:[Type of Accommodation]],10,FALSE)</f>
        <v>Camp</v>
      </c>
      <c r="DN146" s="231" t="str">
        <f>VLOOKUP(WWWW[[#This Row],[Site Name]],SiteDB6[[Site Name]:[Ethnic or GCA/NGCA]],11,FALSE)</f>
        <v>GCA</v>
      </c>
      <c r="DO146" s="231">
        <f>VLOOKUP(WWWW[[#This Row],[Site Name]],SiteDB6[[Site Name]:[Lat]],12,FALSE)</f>
        <v>25.440928</v>
      </c>
      <c r="DP146" s="231">
        <f>VLOOKUP(WWWW[[#This Row],[Site Name]],SiteDB6[[Site Name]:[Long]],13,FALSE)</f>
        <v>97.419403000000003</v>
      </c>
      <c r="DQ146" s="231" t="str">
        <f>VLOOKUP(WWWW[[#This Row],[Site Name]],SiteDB6[[Site Name]:[Pcode]],3,FALSE)</f>
        <v>MMR001CMP009</v>
      </c>
      <c r="DR146" s="207" t="str">
        <f t="shared" si="5"/>
        <v>Covered</v>
      </c>
      <c r="DS146" s="207"/>
      <c r="DT146" s="20"/>
      <c r="DU146" s="20"/>
      <c r="DV146" s="20"/>
      <c r="DW146" s="20"/>
      <c r="DX146" s="20"/>
      <c r="DY146" s="20"/>
      <c r="DZ146" s="20"/>
      <c r="EA146" s="20"/>
      <c r="EB146" s="20"/>
      <c r="EC146" s="20"/>
      <c r="ED146" s="20"/>
      <c r="EE146" s="20"/>
      <c r="EF146" s="20"/>
      <c r="EG146" s="20"/>
      <c r="EH146" s="20"/>
    </row>
    <row r="147" spans="1:138" ht="15.75" customHeight="1">
      <c r="A147" s="238" t="s">
        <v>2518</v>
      </c>
      <c r="B147" s="574" t="s">
        <v>38</v>
      </c>
      <c r="C147" s="574" t="s">
        <v>38</v>
      </c>
      <c r="D147" s="574" t="s">
        <v>3101</v>
      </c>
      <c r="E147" s="574" t="s">
        <v>39</v>
      </c>
      <c r="F147" s="574" t="s">
        <v>165</v>
      </c>
      <c r="G147" s="574" t="str">
        <f>VLOOKUP(WWWW[[#This Row],[Site Name]],SiteDB6[[Site Name]:[Location Type]],8,FALSE)</f>
        <v>Camp</v>
      </c>
      <c r="H147" s="574" t="s">
        <v>247</v>
      </c>
      <c r="I147" s="583">
        <v>11</v>
      </c>
      <c r="J147" s="583">
        <v>52</v>
      </c>
      <c r="K147" s="553">
        <v>43466</v>
      </c>
      <c r="L147" s="77" t="s">
        <v>2974</v>
      </c>
      <c r="M147" s="583"/>
      <c r="N147" s="583"/>
      <c r="O147" s="583"/>
      <c r="P147" s="583"/>
      <c r="Q147" s="574" t="s">
        <v>43</v>
      </c>
      <c r="R147" s="583"/>
      <c r="S147" s="583"/>
      <c r="T147" s="583">
        <v>1</v>
      </c>
      <c r="U147" s="583"/>
      <c r="V147" s="583"/>
      <c r="W147" s="583"/>
      <c r="X147" s="583"/>
      <c r="Y147" s="583"/>
      <c r="Z147" s="583"/>
      <c r="AA147" s="583"/>
      <c r="AB147" s="583"/>
      <c r="AC147" s="583"/>
      <c r="AD147" s="583"/>
      <c r="AE147" s="583"/>
      <c r="AF147" s="583"/>
      <c r="AG147" s="583"/>
      <c r="AH147" s="583"/>
      <c r="AI147" s="583"/>
      <c r="AJ147" s="583"/>
      <c r="AK147" s="583"/>
      <c r="AL147" s="583"/>
      <c r="AM147" s="583"/>
      <c r="AN147" s="583"/>
      <c r="AO147" s="578"/>
      <c r="AP147" s="601">
        <v>7</v>
      </c>
      <c r="AQ147" s="574"/>
      <c r="AR147" s="574"/>
      <c r="AS147" s="578"/>
      <c r="AT147" s="574"/>
      <c r="AU147" s="578"/>
      <c r="AV147" s="578"/>
      <c r="AW147" s="80"/>
      <c r="AX147" s="80" t="s">
        <v>43</v>
      </c>
      <c r="AY147" s="80" t="s">
        <v>145</v>
      </c>
      <c r="AZ147" s="80"/>
      <c r="BA147" s="80"/>
      <c r="BB147" s="578"/>
      <c r="BC147" s="578"/>
      <c r="BD147" s="578"/>
      <c r="BE147" s="578"/>
      <c r="BF147" s="578"/>
      <c r="BG147" s="602">
        <v>2</v>
      </c>
      <c r="BH147" s="578"/>
      <c r="BI147" s="583"/>
      <c r="BJ147" s="583">
        <v>1</v>
      </c>
      <c r="BK147" s="604">
        <v>11</v>
      </c>
      <c r="BL147" s="578"/>
      <c r="BM147" s="578"/>
      <c r="BN147" s="578"/>
      <c r="BO147" s="81"/>
      <c r="BP147" s="578"/>
      <c r="BQ147" s="78" t="str">
        <f>IFERROR(WWWW[[#This Row],['#_Water sources treated]]/WWWW[[#This Row],['#_Water sources tested for contamination]],"no test")</f>
        <v>no test</v>
      </c>
      <c r="BR147" s="81" t="str">
        <f>IFERROR(WWWW[[#This Row],['#_Household received remediation action due to contamination]]/WWWW[[#This Row],['#_Household water samples tested for contamination]],"no test")</f>
        <v>no test</v>
      </c>
      <c r="BS147" s="80" t="str">
        <f>IF(AND(WWWW[[#This Row],[% of water sources treated]]="no test",WWWW[[#This Row],[% Household received corrective actions]]="no test"),"No Test","Tested")</f>
        <v>No Test</v>
      </c>
      <c r="BT147" s="80">
        <f>WWWW[[#This Row],['#_Constructed/existing protected hand dug well]]-WWWW[[#This Row],['#_Non-functional protected hand dug well]]</f>
        <v>1</v>
      </c>
      <c r="BU147" s="80">
        <f>(WWWW[[#This Row],['#_Constructed/Existing tube wells/boreholes/handpumps_WASH_agency]]+WWWW[[#This Row],['#_Non-Cluster partner water tube-wells/boreholes/handpumps]])-WWWW[[#This Row],['#_Non-functional tube wells/boreholes/handpumps]]</f>
        <v>0</v>
      </c>
      <c r="BV147" s="80">
        <f>WWWW[[#This Row],['#_Constructed/Existingwater storage tank with gravity fed reticulation system]]-WWWW[[#This Row],['#_Non-functional storage tank gravity fed reticulation system]]</f>
        <v>0</v>
      </c>
      <c r="BW147" s="80">
        <f>WWWW[[#This Row],['#_Water boating or water trucking]]</f>
        <v>0</v>
      </c>
      <c r="BX147" s="80">
        <f>WWWW[[#This Row],['#_Constructed/Existing water distribution system from river or natural spring]]</f>
        <v>0</v>
      </c>
      <c r="BY14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4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47" s="81">
        <f>IF(WWWW[[#This Row],[Location Type 1]]="Village",WWWW[[#This Row],[Access to safe drinking water for Village]],WWWW[[#This Row],[Access to safe drinking water for Camp]])</f>
        <v>1</v>
      </c>
      <c r="CB147" s="79">
        <f>WWWW[[#This Row],[%Equitable and continuous access to sufficient quantity of safe drinking water]]*WWWW[[#This Row],[Total PoP ]]</f>
        <v>52</v>
      </c>
      <c r="CC147" s="81">
        <f>IF((WWWW[[#This Row],['#_Constructed/Existing protected/fenced ponds]]*250)/WWWW[[#This Row],[Total PoP ]]&gt;1,1,(WWWW[[#This Row],['#_Constructed/Existing protected/fenced ponds]]*250)/WWWW[[#This Row],[Total PoP ]])</f>
        <v>0</v>
      </c>
      <c r="CD147" s="79">
        <f>WWWW[[#This Row],[% Access to unimproved water points]]*WWWW[[#This Row],[Total PoP ]]</f>
        <v>0</v>
      </c>
      <c r="CE14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4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G147" s="79">
        <f>WWWW[[#This Row],[HRP1]]/500</f>
        <v>0.104</v>
      </c>
      <c r="CH147" s="78">
        <f>1-WWWW[[#This Row],[% Equitable and continuous access to sufficient quantity of domestic water]]</f>
        <v>0</v>
      </c>
      <c r="CI147" s="79">
        <f>WWWW[[#This Row],[%equitable and continuous access to sufficient quantity of safe drinking and domestic water''s GAP]]*WWWW[[#This Row],[Total PoP ]]</f>
        <v>0</v>
      </c>
      <c r="CJ147" s="80">
        <f>IF(WWWW[[#This Row],[Total required water points]]-WWWW[[#This Row],['#Water points coverage]]&lt;0,0,WWWW[[#This Row],[Total required water points]]-WWWW[[#This Row],['#Water points coverage]])</f>
        <v>0.89600000000000002</v>
      </c>
      <c r="CK147" s="80">
        <f>ROUND(IF(WWWW[[#This Row],[Total PoP ]]&lt;500,1,WWWW[[#This Row],[Total PoP ]]/500),0)</f>
        <v>1</v>
      </c>
      <c r="CL147" s="80">
        <f>(WWWW[[#This Row],['#_Constructed latrines_by_WASHAgencies]]+WWWW[[#This Row],['#_Non Cluster partner latrines]])-WWWW[[#This Row],['#_Non-functional latrines]]</f>
        <v>7</v>
      </c>
      <c r="CM14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4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52</v>
      </c>
      <c r="CO14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7" s="80">
        <f>IF(WWWW[[#This Row],[Location Type 1]]="Village","NA",IF(WWWW[[#This Row],['#_Constructed/Existing latrines in TLS]]*50&gt;WWWW[[#This Row],['#_students at TLS_CFS]],WWWW[[#This Row],['#_students at TLS_CFS]],(WWWW[[#This Row],['#_Constructed/Existing latrines in TLS]]*50)))</f>
        <v>0</v>
      </c>
      <c r="CQ147" s="80">
        <f>ROUND(IF(WWWW[[#This Row],[Location Type 1]]="camp",WWWW[[#This Row],[Total PoP ]]/20,IF(WWWW[[#This Row],[Location Type 1]]="Temporary Location",WWWW[[#This Row],[Total PoP ]]/50,(WWWW[[#This Row],[Total PoP ]]/6))),0)</f>
        <v>3</v>
      </c>
      <c r="CR147" s="79">
        <f>IF(WWWW[[#This Row],[Total required Latrines]]-(WWWW[[#This Row],['#_Constructed latrines_by_WASHAgencies]]+WWWW[[#This Row],['#_Non Cluster partner latrines]])&lt;0,0,WWWW[[#This Row],[Total required Latrines]]-(WWWW[[#This Row],['#_Constructed latrines_by_WASHAgencies]]+WWWW[[#This Row],['#_Non Cluster partner latrines]]))</f>
        <v>0</v>
      </c>
      <c r="CS147" s="78">
        <f>1-WWWW[[#This Row],[% people access to functioning Latrine]]</f>
        <v>0</v>
      </c>
      <c r="CT147" s="82">
        <f>IF(OR(WWWW[[#This Row],['#_Non-functional latrines]]="",WWWW[[#This Row],['#_Non-functional latrines]]=0),0,WWWW[[#This Row],['#_Non-functional latrines]]/(WWWW[[#This Row],['#_Constructed latrines_by_WASHAgencies]]+WWWW[[#This Row],['#_Non Cluster partner latrines]]))</f>
        <v>0</v>
      </c>
      <c r="CU147" s="79">
        <f>IF(500*(WWWW[[#This Row],['#_male hygiene promoters]]+WWWW[[#This Row],['#_female hygiene promoters]])&gt;WWWW[[#This Row],[Total PoP ]],WWWW[[#This Row],[Total PoP ]],500*(WWWW[[#This Row],['#_male hygiene promoters]]+WWWW[[#This Row],['#_female hygiene promoters]]))</f>
        <v>52</v>
      </c>
      <c r="CV14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CW14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7" s="80">
        <f>IF(WWWW[[#This Row],['# People with access to soap]]&gt;WWWW[[#This Row],['# People with access to Sanity Pads]],WWWW[[#This Row],['# People with access to soap]],WWWW[[#This Row],['# People with access to Sanity Pads]])</f>
        <v>52</v>
      </c>
      <c r="CY147" s="80">
        <f>IF(WWWW[[#This Row],['# people reached by regular dedicated hygiene promotion_5]]&gt;WWWW[[#This Row],['# People received regular supply of hygiene items_6]],WWWW[[#This Row],['# people reached by regular dedicated hygiene promotion_5]],WWWW[[#This Row],['# People received regular supply of hygiene items_6]])</f>
        <v>52</v>
      </c>
      <c r="CZ147" s="78">
        <f>IF(WWWW[[#This Row],[HRP3]]/WWWW[[#This Row],[Total PoP ]]&gt;100%,100%,WWWW[[#This Row],[HRP3]]/WWWW[[#This Row],[Total PoP ]])</f>
        <v>1</v>
      </c>
      <c r="DA147" s="82">
        <f>1-WWWW[[#This Row],[Hygiene Coverage%]]</f>
        <v>0</v>
      </c>
      <c r="DB147" s="81">
        <f>WWWW[[#This Row],['# people reached by regular dedicated hygiene promotion_5]]/WWWW[[#This Row],[Total PoP ]]</f>
        <v>1</v>
      </c>
      <c r="DC147" s="81">
        <f>IF(WWWW[[#This Row],['#_households that received standard amount of soap for this quarter]]/WWWW[[#This Row],[Total HH]]&gt;1,1,WWWW[[#This Row],['#_households that received standard amount of soap for this quarter]]/WWWW[[#This Row],[Total HH]])</f>
        <v>1</v>
      </c>
      <c r="DD147" s="81">
        <f>IF(WWWW[[#This Row],['#_households that received standard amount of sanitary pads for this quarter]]/WWWW[[#This Row],[Total HH]]&gt;1,1,WWWW[[#This Row],['#_households that received standard amount of sanitary pads for this quarter]]/WWWW[[#This Row],[Total HH]])</f>
        <v>0</v>
      </c>
      <c r="DE147" s="80">
        <f>WWWW[[#This Row],['#_Constructed/Existing hand washing stations]]-WWWW[[#This Row],['#_Non-Functional_hand_washing_stations]]</f>
        <v>0</v>
      </c>
      <c r="DF147" s="757">
        <f>IF(WWWW[[#This Row],['# Functional hand washing stations during reporting period]]*20&gt;WWWW[[#This Row],[Total HH]],WWWW[[#This Row],[Total HH]],WWWW[[#This Row],['# Functional hand washing stations during reporting period]]*20)</f>
        <v>0</v>
      </c>
      <c r="DG147" s="79">
        <f>IF(WWWW[[#This Row],[Is sufficient soap available for TLS? (Yes/No)]]="yes",WWWW[[#This Row],['#_Constructed/Existing hand washing stations at TLS]],0)</f>
        <v>0</v>
      </c>
      <c r="DH147" s="578">
        <f>IF(WWWW[[#This Row],['# Functional hand washing stations during reporting period]]*100&gt;WWWW[[#This Row],[Total PoP ]],WWWW[[#This Row],[Total PoP ]],WWWW[[#This Row],['# Functional hand washing stations during reporting period]]*100)</f>
        <v>0</v>
      </c>
      <c r="DI147" s="578" t="str">
        <f>IF(OR(WWWW[[#This Row],['#_students at TLS_CFS]]="",WWWW[[#This Row],['#_students at TLS_CFS]]=0),"No","Yes")</f>
        <v>No</v>
      </c>
      <c r="DJ147" s="231" t="str">
        <f>VLOOKUP(WWWW[[#This Row],[Site Name]],SiteDB6[[Site Name]:[CCCM Management]],6,FALSE)</f>
        <v>Yes</v>
      </c>
      <c r="DK147" s="231" t="str">
        <f>VLOOKUP(WWWW[[#This Row],[Site Name]],SiteDB6[[Site Name]:[CCCM Focal Agency]],7,FALSE)</f>
        <v>KMSS-MYT</v>
      </c>
      <c r="DL147" s="231" t="str">
        <f>VLOOKUP(WWWW[[#This Row],[Site Name]],SiteDB6[[Site Name]:[Location Type 1]],9,FALSE)</f>
        <v>Camp</v>
      </c>
      <c r="DM147" s="231" t="str">
        <f>VLOOKUP(WWWW[[#This Row],[Site Name]],SiteDB6[[Site Name]:[Type of Accommodation]],10,FALSE)</f>
        <v>Camp</v>
      </c>
      <c r="DN147" s="231" t="str">
        <f>VLOOKUP(WWWW[[#This Row],[Site Name]],SiteDB6[[Site Name]:[Ethnic or GCA/NGCA]],11,FALSE)</f>
        <v>GCA</v>
      </c>
      <c r="DO147" s="231">
        <f>VLOOKUP(WWWW[[#This Row],[Site Name]],SiteDB6[[Site Name]:[Lat]],12,FALSE)</f>
        <v>24.764800000000001</v>
      </c>
      <c r="DP147" s="231">
        <f>VLOOKUP(WWWW[[#This Row],[Site Name]],SiteDB6[[Site Name]:[Long]],13,FALSE)</f>
        <v>96.367059999999995</v>
      </c>
      <c r="DQ147" s="231" t="str">
        <f>VLOOKUP(WWWW[[#This Row],[Site Name]],SiteDB6[[Site Name]:[Pcode]],3,FALSE)</f>
        <v>MMR001CMP080</v>
      </c>
      <c r="DR147" s="207" t="str">
        <f t="shared" si="5"/>
        <v>Covered</v>
      </c>
      <c r="DS147" s="207"/>
      <c r="DT147" s="20"/>
      <c r="DU147" s="20"/>
      <c r="DV147" s="20"/>
      <c r="DW147" s="20"/>
      <c r="DX147" s="20"/>
      <c r="DY147" s="20"/>
      <c r="DZ147" s="20"/>
      <c r="EA147" s="20"/>
      <c r="EB147" s="20"/>
      <c r="EC147" s="20"/>
      <c r="ED147" s="20"/>
      <c r="EE147" s="20"/>
      <c r="EF147" s="20"/>
      <c r="EG147" s="20"/>
      <c r="EH147" s="20"/>
    </row>
    <row r="148" spans="1:138" ht="15.75" customHeight="1">
      <c r="A148" s="238" t="s">
        <v>2518</v>
      </c>
      <c r="B148" s="574" t="s">
        <v>149</v>
      </c>
      <c r="C148" s="574" t="s">
        <v>149</v>
      </c>
      <c r="D148" s="574"/>
      <c r="E148" s="574" t="s">
        <v>39</v>
      </c>
      <c r="F148" s="574" t="s">
        <v>222</v>
      </c>
      <c r="G148" s="574" t="str">
        <f>VLOOKUP(WWWW[[#This Row],[Site Name]],SiteDB6[[Site Name]:[Location Type]],8,FALSE)</f>
        <v>Camp_not registered</v>
      </c>
      <c r="H148" s="574" t="s">
        <v>2092</v>
      </c>
      <c r="I148" s="583">
        <v>63</v>
      </c>
      <c r="J148" s="583">
        <v>270</v>
      </c>
      <c r="K148" s="553"/>
      <c r="L148" s="77"/>
      <c r="M148" s="583"/>
      <c r="N148" s="583"/>
      <c r="O148" s="583"/>
      <c r="P148" s="583"/>
      <c r="Q148" s="76"/>
      <c r="R148" s="310"/>
      <c r="S148" s="310"/>
      <c r="T148" s="583">
        <v>0</v>
      </c>
      <c r="U148" s="310"/>
      <c r="V148" s="310"/>
      <c r="W148" s="583">
        <v>0</v>
      </c>
      <c r="X148" s="310"/>
      <c r="Y148" s="310"/>
      <c r="Z148" s="310"/>
      <c r="AA148" s="583"/>
      <c r="AB148" s="310"/>
      <c r="AC148" s="310"/>
      <c r="AD148" s="310"/>
      <c r="AE148" s="310"/>
      <c r="AF148" s="310"/>
      <c r="AG148" s="310"/>
      <c r="AH148" s="583">
        <v>0</v>
      </c>
      <c r="AI148" s="310"/>
      <c r="AJ148" s="310"/>
      <c r="AK148" s="310"/>
      <c r="AL148" s="310"/>
      <c r="AM148" s="310"/>
      <c r="AN148" s="310"/>
      <c r="AO148" s="207"/>
      <c r="AP148" s="583">
        <v>0</v>
      </c>
      <c r="AQ148" s="310"/>
      <c r="AR148" s="76"/>
      <c r="AS148" s="310"/>
      <c r="AT148" s="310"/>
      <c r="AU148" s="310"/>
      <c r="AV148" s="310"/>
      <c r="AW148" s="583">
        <v>0</v>
      </c>
      <c r="AX148" s="581" t="s">
        <v>144</v>
      </c>
      <c r="AY148" s="581" t="s">
        <v>148</v>
      </c>
      <c r="AZ148" s="310"/>
      <c r="BA148" s="310"/>
      <c r="BB148" s="310"/>
      <c r="BC148" s="207"/>
      <c r="BD148" s="310"/>
      <c r="BE148" s="310"/>
      <c r="BF148" s="310"/>
      <c r="BG148" s="310">
        <v>0</v>
      </c>
      <c r="BH148" s="310"/>
      <c r="BI148" s="310"/>
      <c r="BJ148" s="310"/>
      <c r="BK148" s="310"/>
      <c r="BL148" s="310"/>
      <c r="BM148" s="207"/>
      <c r="BN148" s="79"/>
      <c r="BO148" s="81"/>
      <c r="BP148" s="207"/>
      <c r="BQ148" s="78" t="str">
        <f>IFERROR(WWWW[[#This Row],['#_Water sources treated]]/WWWW[[#This Row],['#_Water sources tested for contamination]],"no test")</f>
        <v>no test</v>
      </c>
      <c r="BR148" s="81" t="str">
        <f>IFERROR(WWWW[[#This Row],['#_Household received remediation action due to contamination]]/WWWW[[#This Row],['#_Household water samples tested for contamination]],"no test")</f>
        <v>no test</v>
      </c>
      <c r="BS148" s="80" t="str">
        <f>IF(AND(WWWW[[#This Row],[% of water sources treated]]="no test",WWWW[[#This Row],[% Household received corrective actions]]="no test"),"No Test","Tested")</f>
        <v>No Test</v>
      </c>
      <c r="BT148" s="80">
        <f>WWWW[[#This Row],['#_Constructed/existing protected hand dug well]]-WWWW[[#This Row],['#_Non-functional protected hand dug well]]</f>
        <v>0</v>
      </c>
      <c r="BU148" s="80">
        <f>(WWWW[[#This Row],['#_Constructed/Existing tube wells/boreholes/handpumps_WASH_agency]]+WWWW[[#This Row],['#_Non-Cluster partner water tube-wells/boreholes/handpumps]])-WWWW[[#This Row],['#_Non-functional tube wells/boreholes/handpumps]]</f>
        <v>0</v>
      </c>
      <c r="BV148" s="80">
        <f>WWWW[[#This Row],['#_Constructed/Existingwater storage tank with gravity fed reticulation system]]-WWWW[[#This Row],['#_Non-functional storage tank gravity fed reticulation system]]</f>
        <v>0</v>
      </c>
      <c r="BW148" s="80">
        <f>WWWW[[#This Row],['#_Water boating or water trucking]]</f>
        <v>0</v>
      </c>
      <c r="BX148" s="80">
        <f>WWWW[[#This Row],['#_Constructed/Existing water distribution system from river or natural spring]]</f>
        <v>0</v>
      </c>
      <c r="BY14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4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48" s="81">
        <f>IF(WWWW[[#This Row],[Location Type 1]]="Village",WWWW[[#This Row],[Access to safe drinking water for Village]],WWWW[[#This Row],[Access to safe drinking water for Camp]])</f>
        <v>0</v>
      </c>
      <c r="CB148" s="79">
        <f>WWWW[[#This Row],[%Equitable and continuous access to sufficient quantity of safe drinking water]]*WWWW[[#This Row],[Total PoP ]]</f>
        <v>0</v>
      </c>
      <c r="CC148" s="81">
        <f>IF((WWWW[[#This Row],['#_Constructed/Existing protected/fenced ponds]]*250)/WWWW[[#This Row],[Total PoP ]]&gt;1,1,(WWWW[[#This Row],['#_Constructed/Existing protected/fenced ponds]]*250)/WWWW[[#This Row],[Total PoP ]])</f>
        <v>0</v>
      </c>
      <c r="CD148" s="79">
        <f>WWWW[[#This Row],[% Access to unimproved water points]]*WWWW[[#This Row],[Total PoP ]]</f>
        <v>0</v>
      </c>
      <c r="CE14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4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48" s="79">
        <f>WWWW[[#This Row],[HRP1]]/500</f>
        <v>0</v>
      </c>
      <c r="CH148" s="78">
        <f>1-WWWW[[#This Row],[% Equitable and continuous access to sufficient quantity of domestic water]]</f>
        <v>1</v>
      </c>
      <c r="CI148" s="79">
        <f>WWWW[[#This Row],[%equitable and continuous access to sufficient quantity of safe drinking and domestic water''s GAP]]*WWWW[[#This Row],[Total PoP ]]</f>
        <v>270</v>
      </c>
      <c r="CJ148" s="80">
        <f>IF(WWWW[[#This Row],[Total required water points]]-WWWW[[#This Row],['#Water points coverage]]&lt;0,0,WWWW[[#This Row],[Total required water points]]-WWWW[[#This Row],['#Water points coverage]])</f>
        <v>1</v>
      </c>
      <c r="CK148" s="80">
        <f>ROUND(IF(WWWW[[#This Row],[Total PoP ]]&lt;500,1,WWWW[[#This Row],[Total PoP ]]/500),0)</f>
        <v>1</v>
      </c>
      <c r="CL148" s="80">
        <f>(WWWW[[#This Row],['#_Constructed latrines_by_WASHAgencies]]+WWWW[[#This Row],['#_Non Cluster partner latrines]])-WWWW[[#This Row],['#_Non-functional latrines]]</f>
        <v>0</v>
      </c>
      <c r="CM14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4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4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8" s="80">
        <f>IF(WWWW[[#This Row],[Location Type 1]]="Village","NA",IF(WWWW[[#This Row],['#_Constructed/Existing latrines in TLS]]*50&gt;WWWW[[#This Row],['#_students at TLS_CFS]],WWWW[[#This Row],['#_students at TLS_CFS]],(WWWW[[#This Row],['#_Constructed/Existing latrines in TLS]]*50)))</f>
        <v>0</v>
      </c>
      <c r="CQ148" s="80">
        <f>ROUND(IF(WWWW[[#This Row],[Location Type 1]]="camp",WWWW[[#This Row],[Total PoP ]]/20,IF(WWWW[[#This Row],[Location Type 1]]="Temporary Location",WWWW[[#This Row],[Total PoP ]]/50,(WWWW[[#This Row],[Total PoP ]]/6))),0)</f>
        <v>14</v>
      </c>
      <c r="CR148" s="79">
        <f>IF(WWWW[[#This Row],[Total required Latrines]]-(WWWW[[#This Row],['#_Constructed latrines_by_WASHAgencies]]+WWWW[[#This Row],['#_Non Cluster partner latrines]])&lt;0,0,WWWW[[#This Row],[Total required Latrines]]-(WWWW[[#This Row],['#_Constructed latrines_by_WASHAgencies]]+WWWW[[#This Row],['#_Non Cluster partner latrines]]))</f>
        <v>14</v>
      </c>
      <c r="CS148" s="78">
        <f>1-WWWW[[#This Row],[% people access to functioning Latrine]]</f>
        <v>1</v>
      </c>
      <c r="CT148" s="82">
        <f>IF(OR(WWWW[[#This Row],['#_Non-functional latrines]]="",WWWW[[#This Row],['#_Non-functional latrines]]=0),0,WWWW[[#This Row],['#_Non-functional latrines]]/(WWWW[[#This Row],['#_Constructed latrines_by_WASHAgencies]]+WWWW[[#This Row],['#_Non Cluster partner latrines]]))</f>
        <v>0</v>
      </c>
      <c r="CU148" s="79">
        <f>IF(500*(WWWW[[#This Row],['#_male hygiene promoters]]+WWWW[[#This Row],['#_female hygiene promoters]])&gt;WWWW[[#This Row],[Total PoP ]],WWWW[[#This Row],[Total PoP ]],500*(WWWW[[#This Row],['#_male hygiene promoters]]+WWWW[[#This Row],['#_female hygiene promoters]]))</f>
        <v>0</v>
      </c>
      <c r="CV14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8" s="80">
        <f>IF(WWWW[[#This Row],['# People with access to soap]]&gt;WWWW[[#This Row],['# People with access to Sanity Pads]],WWWW[[#This Row],['# People with access to soap]],WWWW[[#This Row],['# People with access to Sanity Pads]])</f>
        <v>0</v>
      </c>
      <c r="CY148"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48" s="78">
        <f>IF(WWWW[[#This Row],[HRP3]]/WWWW[[#This Row],[Total PoP ]]&gt;100%,100%,WWWW[[#This Row],[HRP3]]/WWWW[[#This Row],[Total PoP ]])</f>
        <v>0</v>
      </c>
      <c r="DA148" s="82">
        <f>1-WWWW[[#This Row],[Hygiene Coverage%]]</f>
        <v>1</v>
      </c>
      <c r="DB148" s="81">
        <f>WWWW[[#This Row],['# people reached by regular dedicated hygiene promotion_5]]/WWWW[[#This Row],[Total PoP ]]</f>
        <v>0</v>
      </c>
      <c r="DC148" s="81">
        <f>IF(WWWW[[#This Row],['#_households that received standard amount of soap for this quarter]]/WWWW[[#This Row],[Total HH]]&gt;1,1,WWWW[[#This Row],['#_households that received standard amount of soap for this quarter]]/WWWW[[#This Row],[Total HH]])</f>
        <v>0</v>
      </c>
      <c r="DD148" s="81">
        <f>IF(WWWW[[#This Row],['#_households that received standard amount of sanitary pads for this quarter]]/WWWW[[#This Row],[Total HH]]&gt;1,1,WWWW[[#This Row],['#_households that received standard amount of sanitary pads for this quarter]]/WWWW[[#This Row],[Total HH]])</f>
        <v>0</v>
      </c>
      <c r="DE148" s="80">
        <f>WWWW[[#This Row],['#_Constructed/Existing hand washing stations]]-WWWW[[#This Row],['#_Non-Functional_hand_washing_stations]]</f>
        <v>0</v>
      </c>
      <c r="DF148" s="757">
        <f>IF(WWWW[[#This Row],['# Functional hand washing stations during reporting period]]*20&gt;WWWW[[#This Row],[Total HH]],WWWW[[#This Row],[Total HH]],WWWW[[#This Row],['# Functional hand washing stations during reporting period]]*20)</f>
        <v>0</v>
      </c>
      <c r="DG148" s="79">
        <f>IF(WWWW[[#This Row],[Is sufficient soap available for TLS? (Yes/No)]]="yes",WWWW[[#This Row],['#_Constructed/Existing hand washing stations at TLS]],0)</f>
        <v>0</v>
      </c>
      <c r="DH148" s="578">
        <f>IF(WWWW[[#This Row],['# Functional hand washing stations during reporting period]]*100&gt;WWWW[[#This Row],[Total PoP ]],WWWW[[#This Row],[Total PoP ]],WWWW[[#This Row],['# Functional hand washing stations during reporting period]]*100)</f>
        <v>0</v>
      </c>
      <c r="DI148" s="578" t="str">
        <f>IF(OR(WWWW[[#This Row],['#_students at TLS_CFS]]="",WWWW[[#This Row],['#_students at TLS_CFS]]=0),"No","Yes")</f>
        <v>No</v>
      </c>
      <c r="DJ148" s="231">
        <f>VLOOKUP(WWWW[[#This Row],[Site Name]],SiteDB6[[Site Name]:[CCCM Management]],6,FALSE)</f>
        <v>0</v>
      </c>
      <c r="DK148" s="231">
        <f>VLOOKUP(WWWW[[#This Row],[Site Name]],SiteDB6[[Site Name]:[CCCM Focal Agency]],7,FALSE)</f>
        <v>0</v>
      </c>
      <c r="DL148" s="231" t="str">
        <f>VLOOKUP(WWWW[[#This Row],[Site Name]],SiteDB6[[Site Name]:[Location Type 1]],9,FALSE)</f>
        <v>Camp</v>
      </c>
      <c r="DM148" s="231" t="str">
        <f>VLOOKUP(WWWW[[#This Row],[Site Name]],SiteDB6[[Site Name]:[Type of Accommodation]],10,FALSE)</f>
        <v>Camp like setting</v>
      </c>
      <c r="DN148" s="231" t="str">
        <f>VLOOKUP(WWWW[[#This Row],[Site Name]],SiteDB6[[Site Name]:[Ethnic or GCA/NGCA]],11,FALSE)</f>
        <v>NGCA</v>
      </c>
      <c r="DO148" s="231">
        <f>VLOOKUP(WWWW[[#This Row],[Site Name]],SiteDB6[[Site Name]:[Lat]],12,FALSE)</f>
        <v>0</v>
      </c>
      <c r="DP148" s="231">
        <f>VLOOKUP(WWWW[[#This Row],[Site Name]],SiteDB6[[Site Name]:[Long]],13,FALSE)</f>
        <v>0</v>
      </c>
      <c r="DQ148" s="231">
        <f>VLOOKUP(WWWW[[#This Row],[Site Name]],SiteDB6[[Site Name]:[Pcode]],3,FALSE)</f>
        <v>0</v>
      </c>
      <c r="DR148" s="207" t="str">
        <f t="shared" si="5"/>
        <v>Covered</v>
      </c>
      <c r="DS148" s="207"/>
      <c r="DT148" s="20"/>
      <c r="DU148" s="20"/>
      <c r="DV148" s="20"/>
      <c r="DW148" s="20"/>
      <c r="DX148" s="20"/>
      <c r="DY148" s="20"/>
      <c r="DZ148" s="20"/>
      <c r="EA148" s="20"/>
      <c r="EB148" s="20"/>
      <c r="EC148" s="20"/>
      <c r="ED148" s="20"/>
      <c r="EE148" s="20"/>
      <c r="EF148" s="20"/>
      <c r="EG148" s="20"/>
      <c r="EH148" s="20"/>
    </row>
    <row r="149" spans="1:138" ht="15.75" customHeight="1">
      <c r="A149" s="238" t="s">
        <v>2518</v>
      </c>
      <c r="B149" s="574" t="s">
        <v>2975</v>
      </c>
      <c r="C149" s="574" t="s">
        <v>2975</v>
      </c>
      <c r="D149" s="574" t="s">
        <v>2980</v>
      </c>
      <c r="E149" s="574" t="s">
        <v>39</v>
      </c>
      <c r="F149" s="574" t="s">
        <v>150</v>
      </c>
      <c r="G149" s="574" t="str">
        <f>VLOOKUP(WWWW[[#This Row],[Site Name]],SiteDB6[[Site Name]:[Location Type]],8,FALSE)</f>
        <v>Camp</v>
      </c>
      <c r="H149" s="574" t="s">
        <v>229</v>
      </c>
      <c r="I149" s="583">
        <v>1467</v>
      </c>
      <c r="J149" s="583">
        <v>6992</v>
      </c>
      <c r="K149" s="553" t="s">
        <v>2981</v>
      </c>
      <c r="L149" s="77" t="s">
        <v>2982</v>
      </c>
      <c r="M149" s="583">
        <v>313</v>
      </c>
      <c r="N149" s="583"/>
      <c r="O149" s="583"/>
      <c r="P149" s="583">
        <v>0</v>
      </c>
      <c r="Q149" s="76" t="s">
        <v>43</v>
      </c>
      <c r="R149" s="310">
        <v>5</v>
      </c>
      <c r="S149" s="310">
        <v>2</v>
      </c>
      <c r="T149" s="310">
        <v>5</v>
      </c>
      <c r="U149" s="310"/>
      <c r="V149" s="310"/>
      <c r="W149" s="310"/>
      <c r="X149" s="310"/>
      <c r="Y149" s="310"/>
      <c r="Z149" s="310"/>
      <c r="AA149" s="583">
        <v>3</v>
      </c>
      <c r="AB149" s="310"/>
      <c r="AC149" s="310"/>
      <c r="AD149" s="310"/>
      <c r="AE149" s="310">
        <v>2</v>
      </c>
      <c r="AF149" s="310"/>
      <c r="AG149" s="310"/>
      <c r="AH149" s="310">
        <v>3</v>
      </c>
      <c r="AI149" s="310">
        <v>1</v>
      </c>
      <c r="AJ149" s="310">
        <v>0</v>
      </c>
      <c r="AK149" s="310">
        <v>1</v>
      </c>
      <c r="AL149" s="310">
        <v>0</v>
      </c>
      <c r="AM149" s="310"/>
      <c r="AN149" s="310"/>
      <c r="AO149" s="207"/>
      <c r="AP149" s="310">
        <v>225</v>
      </c>
      <c r="AQ149" s="310"/>
      <c r="AR149" s="76"/>
      <c r="AS149" s="310"/>
      <c r="AT149" s="310">
        <v>20</v>
      </c>
      <c r="AU149" s="310"/>
      <c r="AV149" s="310"/>
      <c r="AW149" s="310"/>
      <c r="AX149" s="231" t="s">
        <v>43</v>
      </c>
      <c r="AY149" s="231" t="s">
        <v>145</v>
      </c>
      <c r="AZ149" s="310">
        <v>6</v>
      </c>
      <c r="BA149" s="310">
        <v>2</v>
      </c>
      <c r="BB149" s="310"/>
      <c r="BC149" s="207"/>
      <c r="BD149" s="310">
        <v>50</v>
      </c>
      <c r="BE149" s="310"/>
      <c r="BF149" s="310"/>
      <c r="BG149" s="310">
        <v>22</v>
      </c>
      <c r="BH149" s="310"/>
      <c r="BI149" s="310"/>
      <c r="BJ149" s="310">
        <v>7</v>
      </c>
      <c r="BK149" s="310">
        <v>0</v>
      </c>
      <c r="BL149" s="310">
        <v>0</v>
      </c>
      <c r="BM149" s="207" t="s">
        <v>144</v>
      </c>
      <c r="BN149" s="79"/>
      <c r="BO149" s="81"/>
      <c r="BP149" s="207"/>
      <c r="BQ149" s="78">
        <f>IFERROR(WWWW[[#This Row],['#_Water sources treated]]/WWWW[[#This Row],['#_Water sources tested for contamination]],"no test")</f>
        <v>0</v>
      </c>
      <c r="BR149" s="81">
        <f>IFERROR(WWWW[[#This Row],['#_Household received remediation action due to contamination]]/WWWW[[#This Row],['#_Household water samples tested for contamination]],"no test")</f>
        <v>0</v>
      </c>
      <c r="BS149" s="80" t="str">
        <f>IF(AND(WWWW[[#This Row],[% of water sources treated]]="no test",WWWW[[#This Row],[% Household received corrective actions]]="no test"),"No Test","Tested")</f>
        <v>Tested</v>
      </c>
      <c r="BT149" s="80">
        <f>WWWW[[#This Row],['#_Constructed/existing protected hand dug well]]-WWWW[[#This Row],['#_Non-functional protected hand dug well]]</f>
        <v>5</v>
      </c>
      <c r="BU149" s="80">
        <f>(WWWW[[#This Row],['#_Constructed/Existing tube wells/boreholes/handpumps_WASH_agency]]+WWWW[[#This Row],['#_Non-Cluster partner water tube-wells/boreholes/handpumps]])-WWWW[[#This Row],['#_Non-functional tube wells/boreholes/handpumps]]</f>
        <v>0</v>
      </c>
      <c r="BV149" s="80">
        <f>WWWW[[#This Row],['#_Constructed/Existingwater storage tank with gravity fed reticulation system]]-WWWW[[#This Row],['#_Non-functional storage tank gravity fed reticulation system]]</f>
        <v>3</v>
      </c>
      <c r="BW149" s="80">
        <f>WWWW[[#This Row],['#_Water boating or water trucking]]</f>
        <v>0</v>
      </c>
      <c r="BX149" s="80">
        <f>WWWW[[#This Row],['#_Constructed/Existing water distribution system from river or natural spring]]</f>
        <v>0</v>
      </c>
      <c r="BY14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0.31464530892448511</v>
      </c>
      <c r="BZ14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0.20737986270022885</v>
      </c>
      <c r="CA149" s="81">
        <f>IF(WWWW[[#This Row],[Location Type 1]]="Village",WWWW[[#This Row],[Access to safe drinking water for Village]],WWWW[[#This Row],[Access to safe drinking water for Camp]])</f>
        <v>0.31464530892448511</v>
      </c>
      <c r="CB149" s="79">
        <f>WWWW[[#This Row],[%Equitable and continuous access to sufficient quantity of safe drinking water]]*WWWW[[#This Row],[Total PoP ]]</f>
        <v>2200</v>
      </c>
      <c r="CC149" s="81">
        <f>IF((WWWW[[#This Row],['#_Constructed/Existing protected/fenced ponds]]*250)/WWWW[[#This Row],[Total PoP ]]&gt;1,1,(WWWW[[#This Row],['#_Constructed/Existing protected/fenced ponds]]*250)/WWWW[[#This Row],[Total PoP ]])</f>
        <v>7.1510297482837534E-2</v>
      </c>
      <c r="CD149" s="79">
        <f>WWWW[[#This Row],[% Access to unimproved water points]]*WWWW[[#This Row],[Total PoP ]]</f>
        <v>500.00000000000006</v>
      </c>
      <c r="CE14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0.38615560640732266</v>
      </c>
      <c r="CF14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2700</v>
      </c>
      <c r="CG149" s="79">
        <f>WWWW[[#This Row],[HRP1]]/500</f>
        <v>5.4</v>
      </c>
      <c r="CH149" s="78">
        <f>1-WWWW[[#This Row],[% Equitable and continuous access to sufficient quantity of domestic water]]</f>
        <v>0.6138443935926774</v>
      </c>
      <c r="CI149" s="79">
        <f>WWWW[[#This Row],[%equitable and continuous access to sufficient quantity of safe drinking and domestic water''s GAP]]*WWWW[[#This Row],[Total PoP ]]</f>
        <v>4292</v>
      </c>
      <c r="CJ149" s="80">
        <f>IF(WWWW[[#This Row],[Total required water points]]-WWWW[[#This Row],['#Water points coverage]]&lt;0,0,WWWW[[#This Row],[Total required water points]]-WWWW[[#This Row],['#Water points coverage]])</f>
        <v>8.6</v>
      </c>
      <c r="CK149" s="80">
        <f>ROUND(IF(WWWW[[#This Row],[Total PoP ]]&lt;500,1,WWWW[[#This Row],[Total PoP ]]/500),0)</f>
        <v>14</v>
      </c>
      <c r="CL149" s="80">
        <f>(WWWW[[#This Row],['#_Constructed latrines_by_WASHAgencies]]+WWWW[[#This Row],['#_Non Cluster partner latrines]])-WWWW[[#This Row],['#_Non-functional latrines]]</f>
        <v>225</v>
      </c>
      <c r="CM14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0.64359267734553771</v>
      </c>
      <c r="CN14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4500</v>
      </c>
      <c r="CO14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49" s="80">
        <f>IF(WWWW[[#This Row],[Location Type 1]]="Village","NA",IF(WWWW[[#This Row],['#_Constructed/Existing latrines in TLS]]*50&gt;WWWW[[#This Row],['#_students at TLS_CFS]],WWWW[[#This Row],['#_students at TLS_CFS]],(WWWW[[#This Row],['#_Constructed/Existing latrines in TLS]]*50)))</f>
        <v>0</v>
      </c>
      <c r="CQ149" s="80">
        <f>ROUND(IF(WWWW[[#This Row],[Location Type 1]]="camp",WWWW[[#This Row],[Total PoP ]]/20,IF(WWWW[[#This Row],[Location Type 1]]="Temporary Location",WWWW[[#This Row],[Total PoP ]]/50,(WWWW[[#This Row],[Total PoP ]]/6))),0)</f>
        <v>350</v>
      </c>
      <c r="CR149" s="79">
        <f>IF(WWWW[[#This Row],[Total required Latrines]]-(WWWW[[#This Row],['#_Constructed latrines_by_WASHAgencies]]+WWWW[[#This Row],['#_Non Cluster partner latrines]])&lt;0,0,WWWW[[#This Row],[Total required Latrines]]-(WWWW[[#This Row],['#_Constructed latrines_by_WASHAgencies]]+WWWW[[#This Row],['#_Non Cluster partner latrines]]))</f>
        <v>125</v>
      </c>
      <c r="CS149" s="78">
        <f>1-WWWW[[#This Row],[% people access to functioning Latrine]]</f>
        <v>0.35640732265446229</v>
      </c>
      <c r="CT149" s="82">
        <f>IF(OR(WWWW[[#This Row],['#_Non-functional latrines]]="",WWWW[[#This Row],['#_Non-functional latrines]]=0),0,WWWW[[#This Row],['#_Non-functional latrines]]/(WWWW[[#This Row],['#_Constructed latrines_by_WASHAgencies]]+WWWW[[#This Row],['#_Non Cluster partner latrines]]))</f>
        <v>0</v>
      </c>
      <c r="CU149" s="79">
        <f>IF(500*(WWWW[[#This Row],['#_male hygiene promoters]]+WWWW[[#This Row],['#_female hygiene promoters]])&gt;WWWW[[#This Row],[Total PoP ]],WWWW[[#This Row],[Total PoP ]],500*(WWWW[[#This Row],['#_male hygiene promoters]]+WWWW[[#This Row],['#_female hygiene promoters]]))</f>
        <v>3500</v>
      </c>
      <c r="CV14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4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49" s="80">
        <f>IF(WWWW[[#This Row],['# People with access to soap]]&gt;WWWW[[#This Row],['# People with access to Sanity Pads]],WWWW[[#This Row],['# People with access to soap]],WWWW[[#This Row],['# People with access to Sanity Pads]])</f>
        <v>0</v>
      </c>
      <c r="CY149" s="80">
        <f>IF(WWWW[[#This Row],['# people reached by regular dedicated hygiene promotion_5]]&gt;WWWW[[#This Row],['# People received regular supply of hygiene items_6]],WWWW[[#This Row],['# people reached by regular dedicated hygiene promotion_5]],WWWW[[#This Row],['# People received regular supply of hygiene items_6]])</f>
        <v>3500</v>
      </c>
      <c r="CZ149" s="78">
        <f>IF(WWWW[[#This Row],[HRP3]]/WWWW[[#This Row],[Total PoP ]]&gt;100%,100%,WWWW[[#This Row],[HRP3]]/WWWW[[#This Row],[Total PoP ]])</f>
        <v>0.50057208237986273</v>
      </c>
      <c r="DA149" s="82">
        <f>1-WWWW[[#This Row],[Hygiene Coverage%]]</f>
        <v>0.49942791762013727</v>
      </c>
      <c r="DB149" s="81">
        <f>WWWW[[#This Row],['# people reached by regular dedicated hygiene promotion_5]]/WWWW[[#This Row],[Total PoP ]]</f>
        <v>0.50057208237986273</v>
      </c>
      <c r="DC149" s="81">
        <f>IF(WWWW[[#This Row],['#_households that received standard amount of soap for this quarter]]/WWWW[[#This Row],[Total HH]]&gt;1,1,WWWW[[#This Row],['#_households that received standard amount of soap for this quarter]]/WWWW[[#This Row],[Total HH]])</f>
        <v>0</v>
      </c>
      <c r="DD149" s="81">
        <f>IF(WWWW[[#This Row],['#_households that received standard amount of sanitary pads for this quarter]]/WWWW[[#This Row],[Total HH]]&gt;1,1,WWWW[[#This Row],['#_households that received standard amount of sanitary pads for this quarter]]/WWWW[[#This Row],[Total HH]])</f>
        <v>0</v>
      </c>
      <c r="DE149" s="80">
        <f>WWWW[[#This Row],['#_Constructed/Existing hand washing stations]]-WWWW[[#This Row],['#_Non-Functional_hand_washing_stations]]</f>
        <v>50</v>
      </c>
      <c r="DF149" s="757">
        <f>IF(WWWW[[#This Row],['# Functional hand washing stations during reporting period]]*20&gt;WWWW[[#This Row],[Total HH]],WWWW[[#This Row],[Total HH]],WWWW[[#This Row],['# Functional hand washing stations during reporting period]]*20)</f>
        <v>1000</v>
      </c>
      <c r="DG149" s="79">
        <f>IF(WWWW[[#This Row],[Is sufficient soap available for TLS? (Yes/No)]]="yes",WWWW[[#This Row],['#_Constructed/Existing hand washing stations at TLS]],0)</f>
        <v>0</v>
      </c>
      <c r="DH149" s="578">
        <f>IF(WWWW[[#This Row],['# Functional hand washing stations during reporting period]]*100&gt;WWWW[[#This Row],[Total PoP ]],WWWW[[#This Row],[Total PoP ]],WWWW[[#This Row],['# Functional hand washing stations during reporting period]]*100)</f>
        <v>5000</v>
      </c>
      <c r="DI149" s="578" t="str">
        <f>IF(OR(WWWW[[#This Row],['#_students at TLS_CFS]]="",WWWW[[#This Row],['#_students at TLS_CFS]]=0),"No","Yes")</f>
        <v>Yes</v>
      </c>
      <c r="DJ149" s="231" t="str">
        <f>VLOOKUP(WWWW[[#This Row],[Site Name]],SiteDB6[[Site Name]:[CCCM Management]],6,FALSE)</f>
        <v>Yes</v>
      </c>
      <c r="DK149" s="231" t="str">
        <f>VLOOKUP(WWWW[[#This Row],[Site Name]],SiteDB6[[Site Name]:[CCCM Focal Agency]],7,FALSE)</f>
        <v>KMSS-MYT</v>
      </c>
      <c r="DL149" s="231" t="str">
        <f>VLOOKUP(WWWW[[#This Row],[Site Name]],SiteDB6[[Site Name]:[Location Type 1]],9,FALSE)</f>
        <v>Camp</v>
      </c>
      <c r="DM149" s="231" t="str">
        <f>VLOOKUP(WWWW[[#This Row],[Site Name]],SiteDB6[[Site Name]:[Type of Accommodation]],10,FALSE)</f>
        <v>Camp</v>
      </c>
      <c r="DN149" s="231" t="str">
        <f>VLOOKUP(WWWW[[#This Row],[Site Name]],SiteDB6[[Site Name]:[Ethnic or GCA/NGCA]],11,FALSE)</f>
        <v>NGCA</v>
      </c>
      <c r="DO149" s="231">
        <f>VLOOKUP(WWWW[[#This Row],[Site Name]],SiteDB6[[Site Name]:[Lat]],12,FALSE)</f>
        <v>24.755253</v>
      </c>
      <c r="DP149" s="231">
        <f>VLOOKUP(WWWW[[#This Row],[Site Name]],SiteDB6[[Site Name]:[Long]],13,FALSE)</f>
        <v>97.546893999999995</v>
      </c>
      <c r="DQ149" s="231" t="str">
        <f>VLOOKUP(WWWW[[#This Row],[Site Name]],SiteDB6[[Site Name]:[Pcode]],3,FALSE)</f>
        <v>MMR001CMP116</v>
      </c>
      <c r="DR149" s="207" t="str">
        <f t="shared" si="5"/>
        <v>Covered</v>
      </c>
      <c r="DS149" s="207"/>
      <c r="DT149" s="20"/>
      <c r="DU149" s="20"/>
      <c r="DV149" s="20"/>
      <c r="DW149" s="20"/>
      <c r="DX149" s="20"/>
      <c r="DY149" s="20"/>
      <c r="DZ149" s="20"/>
      <c r="EA149" s="20"/>
      <c r="EB149" s="20"/>
      <c r="EC149" s="20"/>
      <c r="ED149" s="20"/>
      <c r="EE149" s="20"/>
      <c r="EF149" s="20"/>
      <c r="EG149" s="20"/>
      <c r="EH149" s="20"/>
    </row>
    <row r="150" spans="1:138" ht="15.75" customHeight="1">
      <c r="A150" s="238" t="s">
        <v>2518</v>
      </c>
      <c r="B150" s="574" t="s">
        <v>250</v>
      </c>
      <c r="C150" s="574" t="s">
        <v>250</v>
      </c>
      <c r="D150" s="574" t="s">
        <v>315</v>
      </c>
      <c r="E150" s="574" t="s">
        <v>39</v>
      </c>
      <c r="F150" s="574" t="s">
        <v>150</v>
      </c>
      <c r="G150" s="574" t="str">
        <f>VLOOKUP(WWWW[[#This Row],[Site Name]],SiteDB6[[Site Name]:[Location Type]],8,FALSE)</f>
        <v>Camp</v>
      </c>
      <c r="H150" s="574" t="s">
        <v>277</v>
      </c>
      <c r="I150" s="583">
        <v>347</v>
      </c>
      <c r="J150" s="583">
        <v>2065</v>
      </c>
      <c r="K150" s="553">
        <v>43313</v>
      </c>
      <c r="L150" s="58">
        <v>44043</v>
      </c>
      <c r="M150" s="583">
        <v>80</v>
      </c>
      <c r="N150" s="583">
        <v>1</v>
      </c>
      <c r="O150" s="583">
        <v>0</v>
      </c>
      <c r="P150" s="583">
        <v>0</v>
      </c>
      <c r="Q150" s="574" t="s">
        <v>43</v>
      </c>
      <c r="R150" s="310">
        <v>1</v>
      </c>
      <c r="S150" s="310">
        <v>3</v>
      </c>
      <c r="T150" s="310">
        <v>4</v>
      </c>
      <c r="U150" s="310">
        <v>0</v>
      </c>
      <c r="V150" s="310">
        <v>4</v>
      </c>
      <c r="W150" s="310">
        <v>0</v>
      </c>
      <c r="X150" s="310">
        <v>7</v>
      </c>
      <c r="Y150" s="310">
        <v>0</v>
      </c>
      <c r="Z150" s="310">
        <v>0</v>
      </c>
      <c r="AA150" s="583">
        <v>0</v>
      </c>
      <c r="AB150" s="310">
        <v>0</v>
      </c>
      <c r="AC150" s="310">
        <v>0</v>
      </c>
      <c r="AD150" s="310">
        <v>0</v>
      </c>
      <c r="AE150" s="310">
        <v>0</v>
      </c>
      <c r="AF150" s="310">
        <v>0</v>
      </c>
      <c r="AG150" s="310">
        <v>0</v>
      </c>
      <c r="AH150" s="310">
        <v>0</v>
      </c>
      <c r="AI150" s="310"/>
      <c r="AJ150" s="310"/>
      <c r="AK150" s="310"/>
      <c r="AL150" s="310"/>
      <c r="AM150" s="310">
        <v>0</v>
      </c>
      <c r="AN150" s="310">
        <v>0</v>
      </c>
      <c r="AO150" s="207"/>
      <c r="AP150" s="310">
        <v>13</v>
      </c>
      <c r="AQ150" s="310">
        <v>28</v>
      </c>
      <c r="AR150" s="76" t="s">
        <v>3112</v>
      </c>
      <c r="AS150" s="310">
        <v>0</v>
      </c>
      <c r="AT150" s="310">
        <v>0</v>
      </c>
      <c r="AU150" s="310">
        <v>15</v>
      </c>
      <c r="AV150" s="310"/>
      <c r="AW150" s="583">
        <v>0</v>
      </c>
      <c r="AX150" s="581" t="s">
        <v>43</v>
      </c>
      <c r="AY150" s="231" t="s">
        <v>145</v>
      </c>
      <c r="AZ150" s="310">
        <v>0</v>
      </c>
      <c r="BA150" s="310">
        <v>0</v>
      </c>
      <c r="BB150" s="310">
        <v>0</v>
      </c>
      <c r="BC150" s="207"/>
      <c r="BD150" s="310">
        <v>5</v>
      </c>
      <c r="BE150" s="310">
        <v>0</v>
      </c>
      <c r="BF150" s="310">
        <v>0</v>
      </c>
      <c r="BG150" s="310">
        <v>4</v>
      </c>
      <c r="BH150" s="310">
        <v>0</v>
      </c>
      <c r="BI150" s="310">
        <v>0</v>
      </c>
      <c r="BJ150" s="310">
        <v>0</v>
      </c>
      <c r="BK150" s="310">
        <v>0</v>
      </c>
      <c r="BL150" s="310">
        <v>0</v>
      </c>
      <c r="BM150" s="207" t="s">
        <v>144</v>
      </c>
      <c r="BN150" s="79">
        <v>4</v>
      </c>
      <c r="BO150" s="81">
        <v>0</v>
      </c>
      <c r="BP150" s="207"/>
      <c r="BQ150" s="78" t="str">
        <f>IFERROR(WWWW[[#This Row],['#_Water sources treated]]/WWWW[[#This Row],['#_Water sources tested for contamination]],"no test")</f>
        <v>no test</v>
      </c>
      <c r="BR150" s="81" t="str">
        <f>IFERROR(WWWW[[#This Row],['#_Household received remediation action due to contamination]]/WWWW[[#This Row],['#_Household water samples tested for contamination]],"no test")</f>
        <v>no test</v>
      </c>
      <c r="BS150" s="80" t="str">
        <f>IF(AND(WWWW[[#This Row],[% of water sources treated]]="no test",WWWW[[#This Row],[% Household received corrective actions]]="no test"),"No Test","Tested")</f>
        <v>No Test</v>
      </c>
      <c r="BT150" s="80">
        <f>WWWW[[#This Row],['#_Constructed/existing protected hand dug well]]-WWWW[[#This Row],['#_Non-functional protected hand dug well]]</f>
        <v>4</v>
      </c>
      <c r="BU150" s="80">
        <f>(WWWW[[#This Row],['#_Constructed/Existing tube wells/boreholes/handpumps_WASH_agency]]+WWWW[[#This Row],['#_Non-Cluster partner water tube-wells/boreholes/handpumps]])-WWWW[[#This Row],['#_Non-functional tube wells/boreholes/handpumps]]</f>
        <v>7</v>
      </c>
      <c r="BV150" s="80">
        <f>WWWW[[#This Row],['#_Constructed/Existingwater storage tank with gravity fed reticulation system]]-WWWW[[#This Row],['#_Non-functional storage tank gravity fed reticulation system]]</f>
        <v>0</v>
      </c>
      <c r="BW150" s="80">
        <f>WWWW[[#This Row],['#_Water boating or water trucking]]</f>
        <v>0</v>
      </c>
      <c r="BX150" s="80">
        <f>WWWW[[#This Row],['#_Constructed/Existing water distribution system from river or natural spring]]</f>
        <v>0</v>
      </c>
      <c r="BY15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0" s="81">
        <f>IF(WWWW[[#This Row],[Location Type 1]]="Village",WWWW[[#This Row],[Access to safe drinking water for Village]],WWWW[[#This Row],[Access to safe drinking water for Camp]])</f>
        <v>1</v>
      </c>
      <c r="CB150" s="79">
        <f>WWWW[[#This Row],[%Equitable and continuous access to sufficient quantity of safe drinking water]]*WWWW[[#This Row],[Total PoP ]]</f>
        <v>2065</v>
      </c>
      <c r="CC150" s="81">
        <f>IF((WWWW[[#This Row],['#_Constructed/Existing protected/fenced ponds]]*250)/WWWW[[#This Row],[Total PoP ]]&gt;1,1,(WWWW[[#This Row],['#_Constructed/Existing protected/fenced ponds]]*250)/WWWW[[#This Row],[Total PoP ]])</f>
        <v>0</v>
      </c>
      <c r="CD150" s="79">
        <f>WWWW[[#This Row],[% Access to unimproved water points]]*WWWW[[#This Row],[Total PoP ]]</f>
        <v>0</v>
      </c>
      <c r="CE15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G150" s="79">
        <f>WWWW[[#This Row],[HRP1]]/500</f>
        <v>4.13</v>
      </c>
      <c r="CH150" s="78">
        <f>1-WWWW[[#This Row],[% Equitable and continuous access to sufficient quantity of domestic water]]</f>
        <v>0</v>
      </c>
      <c r="CI150" s="79">
        <f>WWWW[[#This Row],[%equitable and continuous access to sufficient quantity of safe drinking and domestic water''s GAP]]*WWWW[[#This Row],[Total PoP ]]</f>
        <v>0</v>
      </c>
      <c r="CJ150" s="80">
        <f>IF(WWWW[[#This Row],[Total required water points]]-WWWW[[#This Row],['#Water points coverage]]&lt;0,0,WWWW[[#This Row],[Total required water points]]-WWWW[[#This Row],['#Water points coverage]])</f>
        <v>0</v>
      </c>
      <c r="CK150" s="80">
        <f>ROUND(IF(WWWW[[#This Row],[Total PoP ]]&lt;500,1,WWWW[[#This Row],[Total PoP ]]/500),0)</f>
        <v>4</v>
      </c>
      <c r="CL150" s="80">
        <f>(WWWW[[#This Row],['#_Constructed latrines_by_WASHAgencies]]+WWWW[[#This Row],['#_Non Cluster partner latrines]])-WWWW[[#This Row],['#_Non-functional latrines]]</f>
        <v>41</v>
      </c>
      <c r="CM15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0.39709443099273606</v>
      </c>
      <c r="CN15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820</v>
      </c>
      <c r="CO15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P150" s="80">
        <f>IF(WWWW[[#This Row],[Location Type 1]]="Village","NA",IF(WWWW[[#This Row],['#_Constructed/Existing latrines in TLS]]*50&gt;WWWW[[#This Row],['#_students at TLS_CFS]],WWWW[[#This Row],['#_students at TLS_CFS]],(WWWW[[#This Row],['#_Constructed/Existing latrines in TLS]]*50)))</f>
        <v>0</v>
      </c>
      <c r="CQ150" s="80">
        <f>ROUND(IF(WWWW[[#This Row],[Location Type 1]]="camp",WWWW[[#This Row],[Total PoP ]]/20,IF(WWWW[[#This Row],[Location Type 1]]="Temporary Location",WWWW[[#This Row],[Total PoP ]]/50,(WWWW[[#This Row],[Total PoP ]]/6))),0)</f>
        <v>103</v>
      </c>
      <c r="CR150" s="79">
        <f>IF(WWWW[[#This Row],[Total required Latrines]]-(WWWW[[#This Row],['#_Constructed latrines_by_WASHAgencies]]+WWWW[[#This Row],['#_Non Cluster partner latrines]])&lt;0,0,WWWW[[#This Row],[Total required Latrines]]-(WWWW[[#This Row],['#_Constructed latrines_by_WASHAgencies]]+WWWW[[#This Row],['#_Non Cluster partner latrines]]))</f>
        <v>62</v>
      </c>
      <c r="CS150" s="78">
        <f>1-WWWW[[#This Row],[% people access to functioning Latrine]]</f>
        <v>0.602905569007264</v>
      </c>
      <c r="CT150" s="82">
        <f>IF(OR(WWWW[[#This Row],['#_Non-functional latrines]]="",WWWW[[#This Row],['#_Non-functional latrines]]=0),0,WWWW[[#This Row],['#_Non-functional latrines]]/(WWWW[[#This Row],['#_Constructed latrines_by_WASHAgencies]]+WWWW[[#This Row],['#_Non Cluster partner latrines]]))</f>
        <v>0</v>
      </c>
      <c r="CU150" s="79">
        <f>IF(500*(WWWW[[#This Row],['#_male hygiene promoters]]+WWWW[[#This Row],['#_female hygiene promoters]])&gt;WWWW[[#This Row],[Total PoP ]],WWWW[[#This Row],[Total PoP ]],500*(WWWW[[#This Row],['#_male hygiene promoters]]+WWWW[[#This Row],['#_female hygiene promoters]]))</f>
        <v>0</v>
      </c>
      <c r="CV15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0" s="80">
        <f>IF(WWWW[[#This Row],['# People with access to soap]]&gt;WWWW[[#This Row],['# People with access to Sanity Pads]],WWWW[[#This Row],['# People with access to soap]],WWWW[[#This Row],['# People with access to Sanity Pads]])</f>
        <v>0</v>
      </c>
      <c r="CY15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0" s="78">
        <f>IF(WWWW[[#This Row],[HRP3]]/WWWW[[#This Row],[Total PoP ]]&gt;100%,100%,WWWW[[#This Row],[HRP3]]/WWWW[[#This Row],[Total PoP ]])</f>
        <v>0</v>
      </c>
      <c r="DA150" s="82">
        <f>1-WWWW[[#This Row],[Hygiene Coverage%]]</f>
        <v>1</v>
      </c>
      <c r="DB150" s="81">
        <f>WWWW[[#This Row],['# people reached by regular dedicated hygiene promotion_5]]/WWWW[[#This Row],[Total PoP ]]</f>
        <v>0</v>
      </c>
      <c r="DC150" s="81">
        <f>IF(WWWW[[#This Row],['#_households that received standard amount of soap for this quarter]]/WWWW[[#This Row],[Total HH]]&gt;1,1,WWWW[[#This Row],['#_households that received standard amount of soap for this quarter]]/WWWW[[#This Row],[Total HH]])</f>
        <v>0</v>
      </c>
      <c r="DD150" s="81">
        <f>IF(WWWW[[#This Row],['#_households that received standard amount of sanitary pads for this quarter]]/WWWW[[#This Row],[Total HH]]&gt;1,1,WWWW[[#This Row],['#_households that received standard amount of sanitary pads for this quarter]]/WWWW[[#This Row],[Total HH]])</f>
        <v>0</v>
      </c>
      <c r="DE150" s="80">
        <f>WWWW[[#This Row],['#_Constructed/Existing hand washing stations]]-WWWW[[#This Row],['#_Non-Functional_hand_washing_stations]]</f>
        <v>5</v>
      </c>
      <c r="DF150" s="757">
        <f>IF(WWWW[[#This Row],['# Functional hand washing stations during reporting period]]*20&gt;WWWW[[#This Row],[Total HH]],WWWW[[#This Row],[Total HH]],WWWW[[#This Row],['# Functional hand washing stations during reporting period]]*20)</f>
        <v>100</v>
      </c>
      <c r="DG150" s="79">
        <f>IF(WWWW[[#This Row],[Is sufficient soap available for TLS? (Yes/No)]]="yes",WWWW[[#This Row],['#_Constructed/Existing hand washing stations at TLS]],0)</f>
        <v>0</v>
      </c>
      <c r="DH150" s="578">
        <f>IF(WWWW[[#This Row],['# Functional hand washing stations during reporting period]]*100&gt;WWWW[[#This Row],[Total PoP ]],WWWW[[#This Row],[Total PoP ]],WWWW[[#This Row],['# Functional hand washing stations during reporting period]]*100)</f>
        <v>500</v>
      </c>
      <c r="DI150" s="578" t="str">
        <f>IF(OR(WWWW[[#This Row],['#_students at TLS_CFS]]="",WWWW[[#This Row],['#_students at TLS_CFS]]=0),"No","Yes")</f>
        <v>Yes</v>
      </c>
      <c r="DJ150" s="231" t="str">
        <f>VLOOKUP(WWWW[[#This Row],[Site Name]],SiteDB6[[Site Name]:[CCCM Management]],6,FALSE)</f>
        <v>Yes</v>
      </c>
      <c r="DK150" s="231" t="str">
        <f>VLOOKUP(WWWW[[#This Row],[Site Name]],SiteDB6[[Site Name]:[CCCM Focal Agency]],7,FALSE)</f>
        <v>Shalom</v>
      </c>
      <c r="DL150" s="231" t="str">
        <f>VLOOKUP(WWWW[[#This Row],[Site Name]],SiteDB6[[Site Name]:[Location Type 1]],9,FALSE)</f>
        <v>Camp</v>
      </c>
      <c r="DM150" s="231" t="str">
        <f>VLOOKUP(WWWW[[#This Row],[Site Name]],SiteDB6[[Site Name]:[Type of Accommodation]],10,FALSE)</f>
        <v>Camp</v>
      </c>
      <c r="DN150" s="231" t="str">
        <f>VLOOKUP(WWWW[[#This Row],[Site Name]],SiteDB6[[Site Name]:[Ethnic or GCA/NGCA]],11,FALSE)</f>
        <v>GCA</v>
      </c>
      <c r="DO150" s="231">
        <f>VLOOKUP(WWWW[[#This Row],[Site Name]],SiteDB6[[Site Name]:[Lat]],12,FALSE)</f>
        <v>25.424529444444399</v>
      </c>
      <c r="DP150" s="231">
        <f>VLOOKUP(WWWW[[#This Row],[Site Name]],SiteDB6[[Site Name]:[Long]],13,FALSE)</f>
        <v>97.433419259259296</v>
      </c>
      <c r="DQ150" s="231" t="str">
        <f>VLOOKUP(WWWW[[#This Row],[Site Name]],SiteDB6[[Site Name]:[Pcode]],3,FALSE)</f>
        <v>MMR001CMP031</v>
      </c>
      <c r="DR150" s="207" t="str">
        <f t="shared" si="5"/>
        <v>Covered</v>
      </c>
      <c r="DS150" s="207"/>
      <c r="DT150" s="20"/>
      <c r="DU150" s="20"/>
      <c r="DV150" s="20"/>
      <c r="DW150" s="20"/>
      <c r="DX150" s="20"/>
      <c r="DY150" s="20"/>
      <c r="DZ150" s="20"/>
      <c r="EA150" s="20"/>
      <c r="EB150" s="20"/>
      <c r="EC150" s="20"/>
      <c r="ED150" s="20"/>
      <c r="EE150" s="20"/>
      <c r="EF150" s="20"/>
      <c r="EG150" s="20"/>
      <c r="EH150" s="20"/>
    </row>
    <row r="151" spans="1:138" ht="15.75" customHeight="1">
      <c r="A151" s="238" t="s">
        <v>2518</v>
      </c>
      <c r="B151" s="238" t="s">
        <v>317</v>
      </c>
      <c r="C151" s="238" t="s">
        <v>317</v>
      </c>
      <c r="D151" s="574"/>
      <c r="E151" s="574" t="s">
        <v>39</v>
      </c>
      <c r="F151" s="574" t="s">
        <v>1153</v>
      </c>
      <c r="G151" s="574" t="str">
        <f>VLOOKUP(WWWW[[#This Row],[Site Name]],SiteDB6[[Site Name]:[Location Type]],8,FALSE)</f>
        <v>Camp</v>
      </c>
      <c r="H151" s="76" t="s">
        <v>1155</v>
      </c>
      <c r="I151" s="583">
        <v>36</v>
      </c>
      <c r="J151" s="583">
        <v>152</v>
      </c>
      <c r="K151" s="553"/>
      <c r="L151" s="77"/>
      <c r="M151" s="583"/>
      <c r="N151" s="583"/>
      <c r="O151" s="583"/>
      <c r="P151" s="583"/>
      <c r="Q151" s="76"/>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207"/>
      <c r="AP151" s="310"/>
      <c r="AQ151" s="310"/>
      <c r="AR151" s="76"/>
      <c r="AS151" s="310"/>
      <c r="AT151" s="310"/>
      <c r="AU151" s="310"/>
      <c r="AV151" s="310"/>
      <c r="AW151" s="310"/>
      <c r="AX151" s="231"/>
      <c r="AY151" s="231"/>
      <c r="AZ151" s="310"/>
      <c r="BA151" s="310"/>
      <c r="BB151" s="310"/>
      <c r="BC151" s="207"/>
      <c r="BD151" s="310"/>
      <c r="BE151" s="310"/>
      <c r="BF151" s="310"/>
      <c r="BG151" s="310"/>
      <c r="BH151" s="310"/>
      <c r="BI151" s="310"/>
      <c r="BJ151" s="310"/>
      <c r="BK151" s="310"/>
      <c r="BL151" s="310"/>
      <c r="BM151" s="207"/>
      <c r="BN151" s="79"/>
      <c r="BO151" s="81"/>
      <c r="BP151" s="207"/>
      <c r="BQ151" s="78" t="str">
        <f>IFERROR(WWWW[[#This Row],['#_Water sources treated]]/WWWW[[#This Row],['#_Water sources tested for contamination]],"no test")</f>
        <v>no test</v>
      </c>
      <c r="BR151" s="81" t="str">
        <f>IFERROR(WWWW[[#This Row],['#_Household received remediation action due to contamination]]/WWWW[[#This Row],['#_Household water samples tested for contamination]],"no test")</f>
        <v>no test</v>
      </c>
      <c r="BS151" s="80" t="str">
        <f>IF(AND(WWWW[[#This Row],[% of water sources treated]]="no test",WWWW[[#This Row],[% Household received corrective actions]]="no test"),"No Test","Tested")</f>
        <v>No Test</v>
      </c>
      <c r="BT151" s="80">
        <f>WWWW[[#This Row],['#_Constructed/existing protected hand dug well]]-WWWW[[#This Row],['#_Non-functional protected hand dug well]]</f>
        <v>0</v>
      </c>
      <c r="BU151" s="80">
        <f>(WWWW[[#This Row],['#_Constructed/Existing tube wells/boreholes/handpumps_WASH_agency]]+WWWW[[#This Row],['#_Non-Cluster partner water tube-wells/boreholes/handpumps]])-WWWW[[#This Row],['#_Non-functional tube wells/boreholes/handpumps]]</f>
        <v>0</v>
      </c>
      <c r="BV151" s="80">
        <f>WWWW[[#This Row],['#_Constructed/Existingwater storage tank with gravity fed reticulation system]]-WWWW[[#This Row],['#_Non-functional storage tank gravity fed reticulation system]]</f>
        <v>0</v>
      </c>
      <c r="BW151" s="80">
        <f>WWWW[[#This Row],['#_Water boating or water trucking]]</f>
        <v>0</v>
      </c>
      <c r="BX151" s="80">
        <f>WWWW[[#This Row],['#_Constructed/Existing water distribution system from river or natural spring]]</f>
        <v>0</v>
      </c>
      <c r="BY15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5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51" s="81">
        <f>IF(WWWW[[#This Row],[Location Type 1]]="Village",WWWW[[#This Row],[Access to safe drinking water for Village]],WWWW[[#This Row],[Access to safe drinking water for Camp]])</f>
        <v>0</v>
      </c>
      <c r="CB151" s="79">
        <f>WWWW[[#This Row],[%Equitable and continuous access to sufficient quantity of safe drinking water]]*WWWW[[#This Row],[Total PoP ]]</f>
        <v>0</v>
      </c>
      <c r="CC151" s="81">
        <f>IF((WWWW[[#This Row],['#_Constructed/Existing protected/fenced ponds]]*250)/WWWW[[#This Row],[Total PoP ]]&gt;1,1,(WWWW[[#This Row],['#_Constructed/Existing protected/fenced ponds]]*250)/WWWW[[#This Row],[Total PoP ]])</f>
        <v>0</v>
      </c>
      <c r="CD151" s="79">
        <f>WWWW[[#This Row],[% Access to unimproved water points]]*WWWW[[#This Row],[Total PoP ]]</f>
        <v>0</v>
      </c>
      <c r="CE15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5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51" s="79">
        <f>WWWW[[#This Row],[HRP1]]/500</f>
        <v>0</v>
      </c>
      <c r="CH151" s="78">
        <f>1-WWWW[[#This Row],[% Equitable and continuous access to sufficient quantity of domestic water]]</f>
        <v>1</v>
      </c>
      <c r="CI151" s="79">
        <f>WWWW[[#This Row],[%equitable and continuous access to sufficient quantity of safe drinking and domestic water''s GAP]]*WWWW[[#This Row],[Total PoP ]]</f>
        <v>152</v>
      </c>
      <c r="CJ151" s="80">
        <f>IF(WWWW[[#This Row],[Total required water points]]-WWWW[[#This Row],['#Water points coverage]]&lt;0,0,WWWW[[#This Row],[Total required water points]]-WWWW[[#This Row],['#Water points coverage]])</f>
        <v>1</v>
      </c>
      <c r="CK151" s="80">
        <f>ROUND(IF(WWWW[[#This Row],[Total PoP ]]&lt;500,1,WWWW[[#This Row],[Total PoP ]]/500),0)</f>
        <v>1</v>
      </c>
      <c r="CL151" s="80">
        <f>(WWWW[[#This Row],['#_Constructed latrines_by_WASHAgencies]]+WWWW[[#This Row],['#_Non Cluster partner latrines]])-WWWW[[#This Row],['#_Non-functional latrines]]</f>
        <v>0</v>
      </c>
      <c r="CM15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5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5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1" s="80">
        <f>IF(WWWW[[#This Row],[Location Type 1]]="Village","NA",IF(WWWW[[#This Row],['#_Constructed/Existing latrines in TLS]]*50&gt;WWWW[[#This Row],['#_students at TLS_CFS]],WWWW[[#This Row],['#_students at TLS_CFS]],(WWWW[[#This Row],['#_Constructed/Existing latrines in TLS]]*50)))</f>
        <v>0</v>
      </c>
      <c r="CQ151" s="80">
        <f>ROUND(IF(WWWW[[#This Row],[Location Type 1]]="camp",WWWW[[#This Row],[Total PoP ]]/20,IF(WWWW[[#This Row],[Location Type 1]]="Temporary Location",WWWW[[#This Row],[Total PoP ]]/50,(WWWW[[#This Row],[Total PoP ]]/6))),0)</f>
        <v>8</v>
      </c>
      <c r="CR151" s="79">
        <f>IF(WWWW[[#This Row],[Total required Latrines]]-(WWWW[[#This Row],['#_Constructed latrines_by_WASHAgencies]]+WWWW[[#This Row],['#_Non Cluster partner latrines]])&lt;0,0,WWWW[[#This Row],[Total required Latrines]]-(WWWW[[#This Row],['#_Constructed latrines_by_WASHAgencies]]+WWWW[[#This Row],['#_Non Cluster partner latrines]]))</f>
        <v>8</v>
      </c>
      <c r="CS151" s="78">
        <f>1-WWWW[[#This Row],[% people access to functioning Latrine]]</f>
        <v>1</v>
      </c>
      <c r="CT151" s="82">
        <f>IF(OR(WWWW[[#This Row],['#_Non-functional latrines]]="",WWWW[[#This Row],['#_Non-functional latrines]]=0),0,WWWW[[#This Row],['#_Non-functional latrines]]/(WWWW[[#This Row],['#_Constructed latrines_by_WASHAgencies]]+WWWW[[#This Row],['#_Non Cluster partner latrines]]))</f>
        <v>0</v>
      </c>
      <c r="CU151" s="79">
        <f>IF(500*(WWWW[[#This Row],['#_male hygiene promoters]]+WWWW[[#This Row],['#_female hygiene promoters]])&gt;WWWW[[#This Row],[Total PoP ]],WWWW[[#This Row],[Total PoP ]],500*(WWWW[[#This Row],['#_male hygiene promoters]]+WWWW[[#This Row],['#_female hygiene promoters]]))</f>
        <v>0</v>
      </c>
      <c r="CV15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1" s="80">
        <f>IF(WWWW[[#This Row],['# People with access to soap]]&gt;WWWW[[#This Row],['# People with access to Sanity Pads]],WWWW[[#This Row],['# People with access to soap]],WWWW[[#This Row],['# People with access to Sanity Pads]])</f>
        <v>0</v>
      </c>
      <c r="CY151"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1" s="78">
        <f>IF(WWWW[[#This Row],[HRP3]]/WWWW[[#This Row],[Total PoP ]]&gt;100%,100%,WWWW[[#This Row],[HRP3]]/WWWW[[#This Row],[Total PoP ]])</f>
        <v>0</v>
      </c>
      <c r="DA151" s="82">
        <f>1-WWWW[[#This Row],[Hygiene Coverage%]]</f>
        <v>1</v>
      </c>
      <c r="DB151" s="81">
        <f>WWWW[[#This Row],['# people reached by regular dedicated hygiene promotion_5]]/WWWW[[#This Row],[Total PoP ]]</f>
        <v>0</v>
      </c>
      <c r="DC151" s="81">
        <f>IF(WWWW[[#This Row],['#_households that received standard amount of soap for this quarter]]/WWWW[[#This Row],[Total HH]]&gt;1,1,WWWW[[#This Row],['#_households that received standard amount of soap for this quarter]]/WWWW[[#This Row],[Total HH]])</f>
        <v>0</v>
      </c>
      <c r="DD151" s="81">
        <f>IF(WWWW[[#This Row],['#_households that received standard amount of sanitary pads for this quarter]]/WWWW[[#This Row],[Total HH]]&gt;1,1,WWWW[[#This Row],['#_households that received standard amount of sanitary pads for this quarter]]/WWWW[[#This Row],[Total HH]])</f>
        <v>0</v>
      </c>
      <c r="DE151" s="80">
        <f>WWWW[[#This Row],['#_Constructed/Existing hand washing stations]]-WWWW[[#This Row],['#_Non-Functional_hand_washing_stations]]</f>
        <v>0</v>
      </c>
      <c r="DF151" s="757">
        <f>IF(WWWW[[#This Row],['# Functional hand washing stations during reporting period]]*20&gt;WWWW[[#This Row],[Total HH]],WWWW[[#This Row],[Total HH]],WWWW[[#This Row],['# Functional hand washing stations during reporting period]]*20)</f>
        <v>0</v>
      </c>
      <c r="DG151" s="79">
        <f>IF(WWWW[[#This Row],[Is sufficient soap available for TLS? (Yes/No)]]="yes",WWWW[[#This Row],['#_Constructed/Existing hand washing stations at TLS]],0)</f>
        <v>0</v>
      </c>
      <c r="DH151" s="578">
        <f>IF(WWWW[[#This Row],['# Functional hand washing stations during reporting period]]*100&gt;WWWW[[#This Row],[Total PoP ]],WWWW[[#This Row],[Total PoP ]],WWWW[[#This Row],['# Functional hand washing stations during reporting period]]*100)</f>
        <v>0</v>
      </c>
      <c r="DI151" s="578" t="str">
        <f>IF(OR(WWWW[[#This Row],['#_students at TLS_CFS]]="",WWWW[[#This Row],['#_students at TLS_CFS]]=0),"No","Yes")</f>
        <v>No</v>
      </c>
      <c r="DJ151" s="231" t="str">
        <f>VLOOKUP(WWWW[[#This Row],[Site Name]],SiteDB6[[Site Name]:[CCCM Management]],6,FALSE)</f>
        <v>Yes</v>
      </c>
      <c r="DK151" s="231" t="str">
        <f>VLOOKUP(WWWW[[#This Row],[Site Name]],SiteDB6[[Site Name]:[CCCM Focal Agency]],7,FALSE)</f>
        <v>KMSS-MYT</v>
      </c>
      <c r="DL151" s="231" t="str">
        <f>VLOOKUP(WWWW[[#This Row],[Site Name]],SiteDB6[[Site Name]:[Location Type 1]],9,FALSE)</f>
        <v>Camp</v>
      </c>
      <c r="DM151" s="231" t="str">
        <f>VLOOKUP(WWWW[[#This Row],[Site Name]],SiteDB6[[Site Name]:[Type of Accommodation]],10,FALSE)</f>
        <v>Camp</v>
      </c>
      <c r="DN151" s="231" t="str">
        <f>VLOOKUP(WWWW[[#This Row],[Site Name]],SiteDB6[[Site Name]:[Ethnic or GCA/NGCA]],11,FALSE)</f>
        <v>GCA</v>
      </c>
      <c r="DO151" s="231">
        <f>VLOOKUP(WWWW[[#This Row],[Site Name]],SiteDB6[[Site Name]:[Lat]],12,FALSE)</f>
        <v>0</v>
      </c>
      <c r="DP151" s="231">
        <f>VLOOKUP(WWWW[[#This Row],[Site Name]],SiteDB6[[Site Name]:[Long]],13,FALSE)</f>
        <v>0</v>
      </c>
      <c r="DQ151" s="231" t="str">
        <f>VLOOKUP(WWWW[[#This Row],[Site Name]],SiteDB6[[Site Name]:[Pcode]],3,FALSE)</f>
        <v>MMR001CMP254</v>
      </c>
      <c r="DR151" s="207" t="str">
        <f t="shared" si="5"/>
        <v>Notcovered</v>
      </c>
      <c r="DS151" s="207"/>
      <c r="DT151" s="20"/>
      <c r="DU151" s="20"/>
      <c r="DV151" s="20"/>
      <c r="DW151" s="20"/>
      <c r="DX151" s="20"/>
      <c r="DY151" s="20"/>
      <c r="DZ151" s="20"/>
      <c r="EA151" s="20"/>
      <c r="EB151" s="20"/>
      <c r="EC151" s="20"/>
      <c r="ED151" s="20"/>
      <c r="EE151" s="20"/>
      <c r="EF151" s="20"/>
      <c r="EG151" s="20"/>
      <c r="EH151" s="20"/>
    </row>
    <row r="152" spans="1:138" ht="15.75" customHeight="1">
      <c r="A152" s="238" t="s">
        <v>2518</v>
      </c>
      <c r="B152" s="238" t="s">
        <v>149</v>
      </c>
      <c r="C152" s="574" t="s">
        <v>149</v>
      </c>
      <c r="D152" s="574" t="s">
        <v>152</v>
      </c>
      <c r="E152" s="574" t="s">
        <v>39</v>
      </c>
      <c r="F152" s="574" t="s">
        <v>167</v>
      </c>
      <c r="G152" s="574" t="str">
        <f>VLOOKUP(WWWW[[#This Row],[Site Name]],SiteDB6[[Site Name]:[Location Type]],8,FALSE)</f>
        <v>Camp</v>
      </c>
      <c r="H152" s="574" t="s">
        <v>178</v>
      </c>
      <c r="I152" s="583">
        <v>69</v>
      </c>
      <c r="J152" s="583">
        <v>351</v>
      </c>
      <c r="K152" s="553">
        <v>43556</v>
      </c>
      <c r="L152" s="77">
        <v>43677</v>
      </c>
      <c r="M152" s="583"/>
      <c r="N152" s="583"/>
      <c r="O152" s="583"/>
      <c r="P152" s="583"/>
      <c r="Q152" s="574" t="s">
        <v>43</v>
      </c>
      <c r="R152" s="310"/>
      <c r="S152" s="310"/>
      <c r="T152" s="583">
        <v>0</v>
      </c>
      <c r="U152" s="310"/>
      <c r="V152" s="310"/>
      <c r="W152" s="583">
        <v>2</v>
      </c>
      <c r="X152" s="310"/>
      <c r="Y152" s="310"/>
      <c r="Z152" s="310"/>
      <c r="AA152" s="310"/>
      <c r="AB152" s="310"/>
      <c r="AC152" s="310"/>
      <c r="AD152" s="310"/>
      <c r="AE152" s="310"/>
      <c r="AF152" s="310"/>
      <c r="AG152" s="310"/>
      <c r="AH152" s="583">
        <v>2</v>
      </c>
      <c r="AI152" s="310"/>
      <c r="AJ152" s="310"/>
      <c r="AK152" s="310"/>
      <c r="AL152" s="310"/>
      <c r="AM152" s="310"/>
      <c r="AN152" s="310"/>
      <c r="AO152" s="207"/>
      <c r="AP152" s="583">
        <v>11</v>
      </c>
      <c r="AQ152" s="310"/>
      <c r="AR152" s="76"/>
      <c r="AS152" s="310"/>
      <c r="AT152" s="310"/>
      <c r="AU152" s="310">
        <v>60</v>
      </c>
      <c r="AV152" s="310"/>
      <c r="AW152" s="583">
        <v>11</v>
      </c>
      <c r="AX152" s="231" t="s">
        <v>43</v>
      </c>
      <c r="AY152" s="231" t="s">
        <v>145</v>
      </c>
      <c r="AZ152" s="310"/>
      <c r="BA152" s="310"/>
      <c r="BB152" s="310"/>
      <c r="BC152" s="207"/>
      <c r="BD152" s="310"/>
      <c r="BE152" s="310"/>
      <c r="BF152" s="310"/>
      <c r="BG152" s="310">
        <v>2</v>
      </c>
      <c r="BH152" s="310"/>
      <c r="BI152" s="310"/>
      <c r="BJ152" s="310">
        <v>1</v>
      </c>
      <c r="BK152" s="310"/>
      <c r="BL152" s="310"/>
      <c r="BM152" s="207"/>
      <c r="BN152" s="79"/>
      <c r="BO152" s="81"/>
      <c r="BP152" s="207"/>
      <c r="BQ152" s="78" t="str">
        <f>IFERROR(WWWW[[#This Row],['#_Water sources treated]]/WWWW[[#This Row],['#_Water sources tested for contamination]],"no test")</f>
        <v>no test</v>
      </c>
      <c r="BR152" s="81" t="str">
        <f>IFERROR(WWWW[[#This Row],['#_Household received remediation action due to contamination]]/WWWW[[#This Row],['#_Household water samples tested for contamination]],"no test")</f>
        <v>no test</v>
      </c>
      <c r="BS152" s="80" t="str">
        <f>IF(AND(WWWW[[#This Row],[% of water sources treated]]="no test",WWWW[[#This Row],[% Household received corrective actions]]="no test"),"No Test","Tested")</f>
        <v>No Test</v>
      </c>
      <c r="BT152" s="80">
        <f>WWWW[[#This Row],['#_Constructed/existing protected hand dug well]]-WWWW[[#This Row],['#_Non-functional protected hand dug well]]</f>
        <v>0</v>
      </c>
      <c r="BU152" s="80">
        <f>(WWWW[[#This Row],['#_Constructed/Existing tube wells/boreholes/handpumps_WASH_agency]]+WWWW[[#This Row],['#_Non-Cluster partner water tube-wells/boreholes/handpumps]])-WWWW[[#This Row],['#_Non-functional tube wells/boreholes/handpumps]]</f>
        <v>2</v>
      </c>
      <c r="BV152" s="80">
        <f>WWWW[[#This Row],['#_Constructed/Existingwater storage tank with gravity fed reticulation system]]-WWWW[[#This Row],['#_Non-functional storage tank gravity fed reticulation system]]</f>
        <v>0</v>
      </c>
      <c r="BW152" s="80">
        <f>WWWW[[#This Row],['#_Water boating or water trucking]]</f>
        <v>0</v>
      </c>
      <c r="BX152" s="80">
        <f>WWWW[[#This Row],['#_Constructed/Existing water distribution system from river or natural spring]]</f>
        <v>0</v>
      </c>
      <c r="BY15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2" s="81">
        <f>IF(WWWW[[#This Row],[Location Type 1]]="Village",WWWW[[#This Row],[Access to safe drinking water for Village]],WWWW[[#This Row],[Access to safe drinking water for Camp]])</f>
        <v>1</v>
      </c>
      <c r="CB152" s="79">
        <f>WWWW[[#This Row],[%Equitable and continuous access to sufficient quantity of safe drinking water]]*WWWW[[#This Row],[Total PoP ]]</f>
        <v>351</v>
      </c>
      <c r="CC152" s="81">
        <f>IF((WWWW[[#This Row],['#_Constructed/Existing protected/fenced ponds]]*250)/WWWW[[#This Row],[Total PoP ]]&gt;1,1,(WWWW[[#This Row],['#_Constructed/Existing protected/fenced ponds]]*250)/WWWW[[#This Row],[Total PoP ]])</f>
        <v>0</v>
      </c>
      <c r="CD152" s="79">
        <f>WWWW[[#This Row],[% Access to unimproved water points]]*WWWW[[#This Row],[Total PoP ]]</f>
        <v>0</v>
      </c>
      <c r="CE15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G152" s="79">
        <f>WWWW[[#This Row],[HRP1]]/500</f>
        <v>0.70199999999999996</v>
      </c>
      <c r="CH152" s="78">
        <f>1-WWWW[[#This Row],[% Equitable and continuous access to sufficient quantity of domestic water]]</f>
        <v>0</v>
      </c>
      <c r="CI152" s="79">
        <f>WWWW[[#This Row],[%equitable and continuous access to sufficient quantity of safe drinking and domestic water''s GAP]]*WWWW[[#This Row],[Total PoP ]]</f>
        <v>0</v>
      </c>
      <c r="CJ152" s="80">
        <f>IF(WWWW[[#This Row],[Total required water points]]-WWWW[[#This Row],['#Water points coverage]]&lt;0,0,WWWW[[#This Row],[Total required water points]]-WWWW[[#This Row],['#Water points coverage]])</f>
        <v>0.29800000000000004</v>
      </c>
      <c r="CK152" s="80">
        <f>ROUND(IF(WWWW[[#This Row],[Total PoP ]]&lt;500,1,WWWW[[#This Row],[Total PoP ]]/500),0)</f>
        <v>1</v>
      </c>
      <c r="CL152" s="80">
        <f>(WWWW[[#This Row],['#_Constructed latrines_by_WASHAgencies]]+WWWW[[#This Row],['#_Non Cluster partner latrines]])-WWWW[[#This Row],['#_Non-functional latrines]]</f>
        <v>11</v>
      </c>
      <c r="CM15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0.62678062678062674</v>
      </c>
      <c r="CN15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220</v>
      </c>
      <c r="CO15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351</v>
      </c>
      <c r="CP152" s="80">
        <f>IF(WWWW[[#This Row],[Location Type 1]]="Village","NA",IF(WWWW[[#This Row],['#_Constructed/Existing latrines in TLS]]*50&gt;WWWW[[#This Row],['#_students at TLS_CFS]],WWWW[[#This Row],['#_students at TLS_CFS]],(WWWW[[#This Row],['#_Constructed/Existing latrines in TLS]]*50)))</f>
        <v>0</v>
      </c>
      <c r="CQ152" s="80">
        <f>ROUND(IF(WWWW[[#This Row],[Location Type 1]]="camp",WWWW[[#This Row],[Total PoP ]]/20,IF(WWWW[[#This Row],[Location Type 1]]="Temporary Location",WWWW[[#This Row],[Total PoP ]]/50,(WWWW[[#This Row],[Total PoP ]]/6))),0)</f>
        <v>18</v>
      </c>
      <c r="CR152" s="79">
        <f>IF(WWWW[[#This Row],[Total required Latrines]]-(WWWW[[#This Row],['#_Constructed latrines_by_WASHAgencies]]+WWWW[[#This Row],['#_Non Cluster partner latrines]])&lt;0,0,WWWW[[#This Row],[Total required Latrines]]-(WWWW[[#This Row],['#_Constructed latrines_by_WASHAgencies]]+WWWW[[#This Row],['#_Non Cluster partner latrines]]))</f>
        <v>7</v>
      </c>
      <c r="CS152" s="78">
        <f>1-WWWW[[#This Row],[% people access to functioning Latrine]]</f>
        <v>0.37321937321937326</v>
      </c>
      <c r="CT152" s="82">
        <f>IF(OR(WWWW[[#This Row],['#_Non-functional latrines]]="",WWWW[[#This Row],['#_Non-functional latrines]]=0),0,WWWW[[#This Row],['#_Non-functional latrines]]/(WWWW[[#This Row],['#_Constructed latrines_by_WASHAgencies]]+WWWW[[#This Row],['#_Non Cluster partner latrines]]))</f>
        <v>0</v>
      </c>
      <c r="CU152" s="79">
        <f>IF(500*(WWWW[[#This Row],['#_male hygiene promoters]]+WWWW[[#This Row],['#_female hygiene promoters]])&gt;WWWW[[#This Row],[Total PoP ]],WWWW[[#This Row],[Total PoP ]],500*(WWWW[[#This Row],['#_male hygiene promoters]]+WWWW[[#This Row],['#_female hygiene promoters]]))</f>
        <v>351</v>
      </c>
      <c r="CV15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2" s="80">
        <f>IF(WWWW[[#This Row],['# People with access to soap]]&gt;WWWW[[#This Row],['# People with access to Sanity Pads]],WWWW[[#This Row],['# People with access to soap]],WWWW[[#This Row],['# People with access to Sanity Pads]])</f>
        <v>0</v>
      </c>
      <c r="CY152" s="80">
        <f>IF(WWWW[[#This Row],['# people reached by regular dedicated hygiene promotion_5]]&gt;WWWW[[#This Row],['# People received regular supply of hygiene items_6]],WWWW[[#This Row],['# people reached by regular dedicated hygiene promotion_5]],WWWW[[#This Row],['# People received regular supply of hygiene items_6]])</f>
        <v>351</v>
      </c>
      <c r="CZ152" s="78">
        <f>IF(WWWW[[#This Row],[HRP3]]/WWWW[[#This Row],[Total PoP ]]&gt;100%,100%,WWWW[[#This Row],[HRP3]]/WWWW[[#This Row],[Total PoP ]])</f>
        <v>1</v>
      </c>
      <c r="DA152" s="82">
        <f>1-WWWW[[#This Row],[Hygiene Coverage%]]</f>
        <v>0</v>
      </c>
      <c r="DB152" s="81">
        <f>WWWW[[#This Row],['# people reached by regular dedicated hygiene promotion_5]]/WWWW[[#This Row],[Total PoP ]]</f>
        <v>1</v>
      </c>
      <c r="DC152" s="81">
        <f>IF(WWWW[[#This Row],['#_households that received standard amount of soap for this quarter]]/WWWW[[#This Row],[Total HH]]&gt;1,1,WWWW[[#This Row],['#_households that received standard amount of soap for this quarter]]/WWWW[[#This Row],[Total HH]])</f>
        <v>0</v>
      </c>
      <c r="DD152" s="81">
        <f>IF(WWWW[[#This Row],['#_households that received standard amount of sanitary pads for this quarter]]/WWWW[[#This Row],[Total HH]]&gt;1,1,WWWW[[#This Row],['#_households that received standard amount of sanitary pads for this quarter]]/WWWW[[#This Row],[Total HH]])</f>
        <v>0</v>
      </c>
      <c r="DE152" s="80">
        <f>WWWW[[#This Row],['#_Constructed/Existing hand washing stations]]-WWWW[[#This Row],['#_Non-Functional_hand_washing_stations]]</f>
        <v>0</v>
      </c>
      <c r="DF152" s="757">
        <f>IF(WWWW[[#This Row],['# Functional hand washing stations during reporting period]]*20&gt;WWWW[[#This Row],[Total HH]],WWWW[[#This Row],[Total HH]],WWWW[[#This Row],['# Functional hand washing stations during reporting period]]*20)</f>
        <v>0</v>
      </c>
      <c r="DG152" s="79">
        <f>IF(WWWW[[#This Row],[Is sufficient soap available for TLS? (Yes/No)]]="yes",WWWW[[#This Row],['#_Constructed/Existing hand washing stations at TLS]],0)</f>
        <v>0</v>
      </c>
      <c r="DH152" s="578">
        <f>IF(WWWW[[#This Row],['# Functional hand washing stations during reporting period]]*100&gt;WWWW[[#This Row],[Total PoP ]],WWWW[[#This Row],[Total PoP ]],WWWW[[#This Row],['# Functional hand washing stations during reporting period]]*100)</f>
        <v>0</v>
      </c>
      <c r="DI152" s="578" t="str">
        <f>IF(OR(WWWW[[#This Row],['#_students at TLS_CFS]]="",WWWW[[#This Row],['#_students at TLS_CFS]]=0),"No","Yes")</f>
        <v>No</v>
      </c>
      <c r="DJ152" s="231" t="str">
        <f>VLOOKUP(WWWW[[#This Row],[Site Name]],SiteDB6[[Site Name]:[CCCM Management]],6,FALSE)</f>
        <v>Yes</v>
      </c>
      <c r="DK152" s="231" t="str">
        <f>VLOOKUP(WWWW[[#This Row],[Site Name]],SiteDB6[[Site Name]:[CCCM Focal Agency]],7,FALSE)</f>
        <v>KBC-MYT</v>
      </c>
      <c r="DL152" s="231" t="str">
        <f>VLOOKUP(WWWW[[#This Row],[Site Name]],SiteDB6[[Site Name]:[Location Type 1]],9,FALSE)</f>
        <v>Camp</v>
      </c>
      <c r="DM152" s="231" t="str">
        <f>VLOOKUP(WWWW[[#This Row],[Site Name]],SiteDB6[[Site Name]:[Type of Accommodation]],10,FALSE)</f>
        <v>Camp</v>
      </c>
      <c r="DN152" s="231" t="str">
        <f>VLOOKUP(WWWW[[#This Row],[Site Name]],SiteDB6[[Site Name]:[Ethnic or GCA/NGCA]],11,FALSE)</f>
        <v>GCA</v>
      </c>
      <c r="DO152" s="231">
        <f>VLOOKUP(WWWW[[#This Row],[Site Name]],SiteDB6[[Site Name]:[Lat]],12,FALSE)</f>
        <v>25.415482000000001</v>
      </c>
      <c r="DP152" s="231">
        <f>VLOOKUP(WWWW[[#This Row],[Site Name]],SiteDB6[[Site Name]:[Long]],13,FALSE)</f>
        <v>97.386718999999999</v>
      </c>
      <c r="DQ152" s="231" t="str">
        <f>VLOOKUP(WWWW[[#This Row],[Site Name]],SiteDB6[[Site Name]:[Pcode]],3,FALSE)</f>
        <v>MMR001CMP001</v>
      </c>
      <c r="DR152" s="207" t="str">
        <f t="shared" si="5"/>
        <v>Covered</v>
      </c>
      <c r="DS152" s="207"/>
      <c r="DT152" s="20"/>
      <c r="DU152" s="20"/>
      <c r="DV152" s="20"/>
      <c r="DW152" s="20"/>
      <c r="DX152" s="20"/>
      <c r="DY152" s="20"/>
      <c r="DZ152" s="20"/>
      <c r="EA152" s="20"/>
      <c r="EB152" s="20"/>
      <c r="EC152" s="20"/>
      <c r="ED152" s="20"/>
      <c r="EE152" s="20"/>
      <c r="EF152" s="20"/>
      <c r="EG152" s="20"/>
      <c r="EH152" s="20"/>
    </row>
    <row r="153" spans="1:138">
      <c r="A153" s="238" t="s">
        <v>2518</v>
      </c>
      <c r="B153" s="238" t="s">
        <v>149</v>
      </c>
      <c r="C153" s="574" t="s">
        <v>149</v>
      </c>
      <c r="D153" s="574" t="s">
        <v>152</v>
      </c>
      <c r="E153" s="574" t="s">
        <v>39</v>
      </c>
      <c r="F153" s="574" t="s">
        <v>167</v>
      </c>
      <c r="G153" s="574" t="str">
        <f>VLOOKUP(WWWW[[#This Row],[Site Name]],SiteDB6[[Site Name]:[Location Type]],8,FALSE)</f>
        <v>Camp</v>
      </c>
      <c r="H153" s="574" t="s">
        <v>179</v>
      </c>
      <c r="I153" s="583">
        <v>30</v>
      </c>
      <c r="J153" s="583">
        <v>165</v>
      </c>
      <c r="K153" s="553">
        <v>43556</v>
      </c>
      <c r="L153" s="77">
        <v>43677</v>
      </c>
      <c r="M153" s="583"/>
      <c r="N153" s="583"/>
      <c r="O153" s="583"/>
      <c r="P153" s="583"/>
      <c r="Q153" s="574" t="s">
        <v>43</v>
      </c>
      <c r="R153" s="310"/>
      <c r="S153" s="310"/>
      <c r="T153" s="583">
        <v>0</v>
      </c>
      <c r="U153" s="310"/>
      <c r="V153" s="310"/>
      <c r="W153" s="583">
        <v>2</v>
      </c>
      <c r="X153" s="310"/>
      <c r="Y153" s="310"/>
      <c r="Z153" s="310"/>
      <c r="AA153" s="310"/>
      <c r="AB153" s="310"/>
      <c r="AC153" s="310"/>
      <c r="AD153" s="310"/>
      <c r="AE153" s="310"/>
      <c r="AF153" s="310"/>
      <c r="AG153" s="310"/>
      <c r="AH153" s="583">
        <v>3</v>
      </c>
      <c r="AI153" s="310"/>
      <c r="AJ153" s="310"/>
      <c r="AK153" s="310"/>
      <c r="AL153" s="310"/>
      <c r="AM153" s="310"/>
      <c r="AN153" s="310"/>
      <c r="AO153" s="207"/>
      <c r="AP153" s="583">
        <v>5</v>
      </c>
      <c r="AQ153" s="310"/>
      <c r="AR153" s="76"/>
      <c r="AS153" s="310"/>
      <c r="AT153" s="310"/>
      <c r="AU153" s="310">
        <v>24</v>
      </c>
      <c r="AV153" s="310"/>
      <c r="AW153" s="583">
        <v>5</v>
      </c>
      <c r="AX153" s="231" t="s">
        <v>43</v>
      </c>
      <c r="AY153" s="231" t="s">
        <v>145</v>
      </c>
      <c r="AZ153" s="310"/>
      <c r="BA153" s="310"/>
      <c r="BB153" s="310"/>
      <c r="BC153" s="207"/>
      <c r="BD153" s="310"/>
      <c r="BE153" s="310"/>
      <c r="BF153" s="310"/>
      <c r="BG153" s="310">
        <v>2</v>
      </c>
      <c r="BH153" s="310"/>
      <c r="BI153" s="310"/>
      <c r="BJ153" s="310">
        <v>1</v>
      </c>
      <c r="BK153" s="310"/>
      <c r="BL153" s="310"/>
      <c r="BM153" s="207"/>
      <c r="BN153" s="79"/>
      <c r="BO153" s="81"/>
      <c r="BP153" s="207"/>
      <c r="BQ153" s="78" t="str">
        <f>IFERROR(WWWW[[#This Row],['#_Water sources treated]]/WWWW[[#This Row],['#_Water sources tested for contamination]],"no test")</f>
        <v>no test</v>
      </c>
      <c r="BR153" s="81" t="str">
        <f>IFERROR(WWWW[[#This Row],['#_Household received remediation action due to contamination]]/WWWW[[#This Row],['#_Household water samples tested for contamination]],"no test")</f>
        <v>no test</v>
      </c>
      <c r="BS153" s="80" t="str">
        <f>IF(AND(WWWW[[#This Row],[% of water sources treated]]="no test",WWWW[[#This Row],[% Household received corrective actions]]="no test"),"No Test","Tested")</f>
        <v>No Test</v>
      </c>
      <c r="BT153" s="80">
        <f>WWWW[[#This Row],['#_Constructed/existing protected hand dug well]]-WWWW[[#This Row],['#_Non-functional protected hand dug well]]</f>
        <v>0</v>
      </c>
      <c r="BU153" s="80">
        <f>(WWWW[[#This Row],['#_Constructed/Existing tube wells/boreholes/handpumps_WASH_agency]]+WWWW[[#This Row],['#_Non-Cluster partner water tube-wells/boreholes/handpumps]])-WWWW[[#This Row],['#_Non-functional tube wells/boreholes/handpumps]]</f>
        <v>2</v>
      </c>
      <c r="BV153" s="80">
        <f>WWWW[[#This Row],['#_Constructed/Existingwater storage tank with gravity fed reticulation system]]-WWWW[[#This Row],['#_Non-functional storage tank gravity fed reticulation system]]</f>
        <v>0</v>
      </c>
      <c r="BW153" s="80">
        <f>WWWW[[#This Row],['#_Water boating or water trucking]]</f>
        <v>0</v>
      </c>
      <c r="BX153" s="80">
        <f>WWWW[[#This Row],['#_Constructed/Existing water distribution system from river or natural spring]]</f>
        <v>0</v>
      </c>
      <c r="BY15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3" s="81">
        <f>IF(WWWW[[#This Row],[Location Type 1]]="Village",WWWW[[#This Row],[Access to safe drinking water for Village]],WWWW[[#This Row],[Access to safe drinking water for Camp]])</f>
        <v>1</v>
      </c>
      <c r="CB153" s="79">
        <f>WWWW[[#This Row],[%Equitable and continuous access to sufficient quantity of safe drinking water]]*WWWW[[#This Row],[Total PoP ]]</f>
        <v>165</v>
      </c>
      <c r="CC153" s="81">
        <f>IF((WWWW[[#This Row],['#_Constructed/Existing protected/fenced ponds]]*250)/WWWW[[#This Row],[Total PoP ]]&gt;1,1,(WWWW[[#This Row],['#_Constructed/Existing protected/fenced ponds]]*250)/WWWW[[#This Row],[Total PoP ]])</f>
        <v>0</v>
      </c>
      <c r="CD153" s="79">
        <f>WWWW[[#This Row],[% Access to unimproved water points]]*WWWW[[#This Row],[Total PoP ]]</f>
        <v>0</v>
      </c>
      <c r="CE15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G153" s="79">
        <f>WWWW[[#This Row],[HRP1]]/500</f>
        <v>0.33</v>
      </c>
      <c r="CH153" s="78">
        <f>1-WWWW[[#This Row],[% Equitable and continuous access to sufficient quantity of domestic water]]</f>
        <v>0</v>
      </c>
      <c r="CI153" s="79">
        <f>WWWW[[#This Row],[%equitable and continuous access to sufficient quantity of safe drinking and domestic water''s GAP]]*WWWW[[#This Row],[Total PoP ]]</f>
        <v>0</v>
      </c>
      <c r="CJ153" s="80">
        <f>IF(WWWW[[#This Row],[Total required water points]]-WWWW[[#This Row],['#Water points coverage]]&lt;0,0,WWWW[[#This Row],[Total required water points]]-WWWW[[#This Row],['#Water points coverage]])</f>
        <v>0.66999999999999993</v>
      </c>
      <c r="CK153" s="80">
        <f>ROUND(IF(WWWW[[#This Row],[Total PoP ]]&lt;500,1,WWWW[[#This Row],[Total PoP ]]/500),0)</f>
        <v>1</v>
      </c>
      <c r="CL153" s="80">
        <f>(WWWW[[#This Row],['#_Constructed latrines_by_WASHAgencies]]+WWWW[[#This Row],['#_Non Cluster partner latrines]])-WWWW[[#This Row],['#_Non-functional latrines]]</f>
        <v>5</v>
      </c>
      <c r="CM15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0.60606060606060608</v>
      </c>
      <c r="CN15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5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165</v>
      </c>
      <c r="CP153" s="80">
        <f>IF(WWWW[[#This Row],[Location Type 1]]="Village","NA",IF(WWWW[[#This Row],['#_Constructed/Existing latrines in TLS]]*50&gt;WWWW[[#This Row],['#_students at TLS_CFS]],WWWW[[#This Row],['#_students at TLS_CFS]],(WWWW[[#This Row],['#_Constructed/Existing latrines in TLS]]*50)))</f>
        <v>0</v>
      </c>
      <c r="CQ153" s="80">
        <f>ROUND(IF(WWWW[[#This Row],[Location Type 1]]="camp",WWWW[[#This Row],[Total PoP ]]/20,IF(WWWW[[#This Row],[Location Type 1]]="Temporary Location",WWWW[[#This Row],[Total PoP ]]/50,(WWWW[[#This Row],[Total PoP ]]/6))),0)</f>
        <v>8</v>
      </c>
      <c r="CR153" s="79">
        <f>IF(WWWW[[#This Row],[Total required Latrines]]-(WWWW[[#This Row],['#_Constructed latrines_by_WASHAgencies]]+WWWW[[#This Row],['#_Non Cluster partner latrines]])&lt;0,0,WWWW[[#This Row],[Total required Latrines]]-(WWWW[[#This Row],['#_Constructed latrines_by_WASHAgencies]]+WWWW[[#This Row],['#_Non Cluster partner latrines]]))</f>
        <v>3</v>
      </c>
      <c r="CS153" s="78">
        <f>1-WWWW[[#This Row],[% people access to functioning Latrine]]</f>
        <v>0.39393939393939392</v>
      </c>
      <c r="CT153" s="82">
        <f>IF(OR(WWWW[[#This Row],['#_Non-functional latrines]]="",WWWW[[#This Row],['#_Non-functional latrines]]=0),0,WWWW[[#This Row],['#_Non-functional latrines]]/(WWWW[[#This Row],['#_Constructed latrines_by_WASHAgencies]]+WWWW[[#This Row],['#_Non Cluster partner latrines]]))</f>
        <v>0</v>
      </c>
      <c r="CU153" s="79">
        <f>IF(500*(WWWW[[#This Row],['#_male hygiene promoters]]+WWWW[[#This Row],['#_female hygiene promoters]])&gt;WWWW[[#This Row],[Total PoP ]],WWWW[[#This Row],[Total PoP ]],500*(WWWW[[#This Row],['#_male hygiene promoters]]+WWWW[[#This Row],['#_female hygiene promoters]]))</f>
        <v>165</v>
      </c>
      <c r="CV15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3" s="80">
        <f>IF(WWWW[[#This Row],['# People with access to soap]]&gt;WWWW[[#This Row],['# People with access to Sanity Pads]],WWWW[[#This Row],['# People with access to soap]],WWWW[[#This Row],['# People with access to Sanity Pads]])</f>
        <v>0</v>
      </c>
      <c r="CY153" s="80">
        <f>IF(WWWW[[#This Row],['# people reached by regular dedicated hygiene promotion_5]]&gt;WWWW[[#This Row],['# People received regular supply of hygiene items_6]],WWWW[[#This Row],['# people reached by regular dedicated hygiene promotion_5]],WWWW[[#This Row],['# People received regular supply of hygiene items_6]])</f>
        <v>165</v>
      </c>
      <c r="CZ153" s="78">
        <f>IF(WWWW[[#This Row],[HRP3]]/WWWW[[#This Row],[Total PoP ]]&gt;100%,100%,WWWW[[#This Row],[HRP3]]/WWWW[[#This Row],[Total PoP ]])</f>
        <v>1</v>
      </c>
      <c r="DA153" s="82">
        <f>1-WWWW[[#This Row],[Hygiene Coverage%]]</f>
        <v>0</v>
      </c>
      <c r="DB153" s="81">
        <f>WWWW[[#This Row],['# people reached by regular dedicated hygiene promotion_5]]/WWWW[[#This Row],[Total PoP ]]</f>
        <v>1</v>
      </c>
      <c r="DC153" s="81">
        <f>IF(WWWW[[#This Row],['#_households that received standard amount of soap for this quarter]]/WWWW[[#This Row],[Total HH]]&gt;1,1,WWWW[[#This Row],['#_households that received standard amount of soap for this quarter]]/WWWW[[#This Row],[Total HH]])</f>
        <v>0</v>
      </c>
      <c r="DD153" s="81">
        <f>IF(WWWW[[#This Row],['#_households that received standard amount of sanitary pads for this quarter]]/WWWW[[#This Row],[Total HH]]&gt;1,1,WWWW[[#This Row],['#_households that received standard amount of sanitary pads for this quarter]]/WWWW[[#This Row],[Total HH]])</f>
        <v>0</v>
      </c>
      <c r="DE153" s="80">
        <f>WWWW[[#This Row],['#_Constructed/Existing hand washing stations]]-WWWW[[#This Row],['#_Non-Functional_hand_washing_stations]]</f>
        <v>0</v>
      </c>
      <c r="DF153" s="757">
        <f>IF(WWWW[[#This Row],['# Functional hand washing stations during reporting period]]*20&gt;WWWW[[#This Row],[Total HH]],WWWW[[#This Row],[Total HH]],WWWW[[#This Row],['# Functional hand washing stations during reporting period]]*20)</f>
        <v>0</v>
      </c>
      <c r="DG153" s="79">
        <f>IF(WWWW[[#This Row],[Is sufficient soap available for TLS? (Yes/No)]]="yes",WWWW[[#This Row],['#_Constructed/Existing hand washing stations at TLS]],0)</f>
        <v>0</v>
      </c>
      <c r="DH153" s="578">
        <f>IF(WWWW[[#This Row],['# Functional hand washing stations during reporting period]]*100&gt;WWWW[[#This Row],[Total PoP ]],WWWW[[#This Row],[Total PoP ]],WWWW[[#This Row],['# Functional hand washing stations during reporting period]]*100)</f>
        <v>0</v>
      </c>
      <c r="DI153" s="578" t="str">
        <f>IF(OR(WWWW[[#This Row],['#_students at TLS_CFS]]="",WWWW[[#This Row],['#_students at TLS_CFS]]=0),"No","Yes")</f>
        <v>No</v>
      </c>
      <c r="DJ153" s="231" t="str">
        <f>VLOOKUP(WWWW[[#This Row],[Site Name]],SiteDB6[[Site Name]:[CCCM Management]],6,FALSE)</f>
        <v>Yes</v>
      </c>
      <c r="DK153" s="231" t="str">
        <f>VLOOKUP(WWWW[[#This Row],[Site Name]],SiteDB6[[Site Name]:[CCCM Focal Agency]],7,FALSE)</f>
        <v>KBC-MYT</v>
      </c>
      <c r="DL153" s="231" t="str">
        <f>VLOOKUP(WWWW[[#This Row],[Site Name]],SiteDB6[[Site Name]:[Location Type 1]],9,FALSE)</f>
        <v>Camp</v>
      </c>
      <c r="DM153" s="231" t="str">
        <f>VLOOKUP(WWWW[[#This Row],[Site Name]],SiteDB6[[Site Name]:[Type of Accommodation]],10,FALSE)</f>
        <v>Camp</v>
      </c>
      <c r="DN153" s="231" t="str">
        <f>VLOOKUP(WWWW[[#This Row],[Site Name]],SiteDB6[[Site Name]:[Ethnic or GCA/NGCA]],11,FALSE)</f>
        <v>GCA</v>
      </c>
      <c r="DO153" s="231">
        <f>VLOOKUP(WWWW[[#This Row],[Site Name]],SiteDB6[[Site Name]:[Lat]],12,FALSE)</f>
        <v>25.404752999999999</v>
      </c>
      <c r="DP153" s="231">
        <f>VLOOKUP(WWWW[[#This Row],[Site Name]],SiteDB6[[Site Name]:[Long]],13,FALSE)</f>
        <v>97.377662999999998</v>
      </c>
      <c r="DQ153" s="231" t="str">
        <f>VLOOKUP(WWWW[[#This Row],[Site Name]],SiteDB6[[Site Name]:[Pcode]],3,FALSE)</f>
        <v>MMR001CMP003</v>
      </c>
      <c r="DR153" s="207" t="str">
        <f t="shared" si="5"/>
        <v>Covered</v>
      </c>
      <c r="DS153" s="207"/>
      <c r="DT153" s="39"/>
      <c r="DU153" s="39"/>
      <c r="DV153" s="20"/>
      <c r="DW153" s="20"/>
      <c r="DX153" s="20"/>
      <c r="DY153" s="20"/>
      <c r="DZ153" s="20"/>
      <c r="EA153" s="20"/>
      <c r="EB153" s="20"/>
      <c r="EC153" s="20"/>
      <c r="ED153" s="20"/>
      <c r="EE153" s="20"/>
      <c r="EF153" s="20"/>
      <c r="EG153" s="20"/>
      <c r="EH153" s="20"/>
    </row>
    <row r="154" spans="1:138">
      <c r="A154" s="238" t="s">
        <v>2518</v>
      </c>
      <c r="B154" s="574" t="s">
        <v>250</v>
      </c>
      <c r="C154" s="574" t="s">
        <v>250</v>
      </c>
      <c r="D154" s="574" t="s">
        <v>315</v>
      </c>
      <c r="E154" s="574" t="s">
        <v>39</v>
      </c>
      <c r="F154" s="574" t="s">
        <v>150</v>
      </c>
      <c r="G154" s="574" t="str">
        <f>VLOOKUP(WWWW[[#This Row],[Site Name]],SiteDB6[[Site Name]:[Location Type]],8,FALSE)</f>
        <v>Camp</v>
      </c>
      <c r="H154" s="574" t="s">
        <v>278</v>
      </c>
      <c r="I154" s="583">
        <v>19</v>
      </c>
      <c r="J154" s="583">
        <v>82</v>
      </c>
      <c r="K154" s="553">
        <v>43313</v>
      </c>
      <c r="L154" s="58">
        <v>44043</v>
      </c>
      <c r="M154" s="583">
        <v>0</v>
      </c>
      <c r="N154" s="583">
        <v>1</v>
      </c>
      <c r="O154" s="583">
        <v>0</v>
      </c>
      <c r="P154" s="583">
        <v>0</v>
      </c>
      <c r="Q154" s="574" t="s">
        <v>43</v>
      </c>
      <c r="R154" s="310">
        <v>0</v>
      </c>
      <c r="S154" s="310">
        <v>4</v>
      </c>
      <c r="T154" s="310">
        <v>1</v>
      </c>
      <c r="U154" s="310">
        <v>0</v>
      </c>
      <c r="V154" s="310">
        <v>0</v>
      </c>
      <c r="W154" s="310">
        <v>2</v>
      </c>
      <c r="X154" s="310">
        <v>0</v>
      </c>
      <c r="Y154" s="310">
        <v>0</v>
      </c>
      <c r="Z154" s="310">
        <v>0</v>
      </c>
      <c r="AA154" s="583">
        <v>0</v>
      </c>
      <c r="AB154" s="310">
        <v>0</v>
      </c>
      <c r="AC154" s="310">
        <v>0</v>
      </c>
      <c r="AD154" s="310">
        <v>0</v>
      </c>
      <c r="AE154" s="310">
        <v>0</v>
      </c>
      <c r="AF154" s="310">
        <v>0</v>
      </c>
      <c r="AG154" s="310">
        <v>0</v>
      </c>
      <c r="AH154" s="310">
        <v>0</v>
      </c>
      <c r="AI154" s="310"/>
      <c r="AJ154" s="310"/>
      <c r="AK154" s="310"/>
      <c r="AL154" s="310"/>
      <c r="AM154" s="310">
        <v>0</v>
      </c>
      <c r="AN154" s="310"/>
      <c r="AO154" s="207"/>
      <c r="AP154" s="310">
        <v>6</v>
      </c>
      <c r="AQ154" s="310">
        <v>0</v>
      </c>
      <c r="AR154" s="76"/>
      <c r="AS154" s="310">
        <v>0</v>
      </c>
      <c r="AT154" s="310">
        <v>0</v>
      </c>
      <c r="AU154" s="310">
        <v>0</v>
      </c>
      <c r="AV154" s="310"/>
      <c r="AW154" s="583">
        <v>0</v>
      </c>
      <c r="AX154" s="581" t="s">
        <v>43</v>
      </c>
      <c r="AY154" s="231" t="s">
        <v>145</v>
      </c>
      <c r="AZ154" s="310">
        <v>0</v>
      </c>
      <c r="BA154" s="310">
        <v>0</v>
      </c>
      <c r="BB154" s="310">
        <v>0</v>
      </c>
      <c r="BC154" s="207"/>
      <c r="BD154" s="310">
        <v>1</v>
      </c>
      <c r="BE154" s="310">
        <v>0</v>
      </c>
      <c r="BF154" s="310">
        <v>0</v>
      </c>
      <c r="BG154" s="310">
        <v>2</v>
      </c>
      <c r="BH154" s="310">
        <v>0</v>
      </c>
      <c r="BI154" s="310">
        <v>0</v>
      </c>
      <c r="BJ154" s="310">
        <v>0</v>
      </c>
      <c r="BK154" s="310">
        <v>0</v>
      </c>
      <c r="BL154" s="310">
        <v>0</v>
      </c>
      <c r="BM154" s="207" t="s">
        <v>144</v>
      </c>
      <c r="BN154" s="79">
        <v>0</v>
      </c>
      <c r="BO154" s="81">
        <v>0</v>
      </c>
      <c r="BP154" s="207"/>
      <c r="BQ154" s="78" t="str">
        <f>IFERROR(WWWW[[#This Row],['#_Water sources treated]]/WWWW[[#This Row],['#_Water sources tested for contamination]],"no test")</f>
        <v>no test</v>
      </c>
      <c r="BR154" s="81" t="str">
        <f>IFERROR(WWWW[[#This Row],['#_Household received remediation action due to contamination]]/WWWW[[#This Row],['#_Household water samples tested for contamination]],"no test")</f>
        <v>no test</v>
      </c>
      <c r="BS154" s="80" t="str">
        <f>IF(AND(WWWW[[#This Row],[% of water sources treated]]="no test",WWWW[[#This Row],[% Household received corrective actions]]="no test"),"No Test","Tested")</f>
        <v>No Test</v>
      </c>
      <c r="BT154" s="80">
        <f>WWWW[[#This Row],['#_Constructed/existing protected hand dug well]]-WWWW[[#This Row],['#_Non-functional protected hand dug well]]</f>
        <v>1</v>
      </c>
      <c r="BU154" s="80">
        <f>(WWWW[[#This Row],['#_Constructed/Existing tube wells/boreholes/handpumps_WASH_agency]]+WWWW[[#This Row],['#_Non-Cluster partner water tube-wells/boreholes/handpumps]])-WWWW[[#This Row],['#_Non-functional tube wells/boreholes/handpumps]]</f>
        <v>2</v>
      </c>
      <c r="BV154" s="80">
        <f>WWWW[[#This Row],['#_Constructed/Existingwater storage tank with gravity fed reticulation system]]-WWWW[[#This Row],['#_Non-functional storage tank gravity fed reticulation system]]</f>
        <v>0</v>
      </c>
      <c r="BW154" s="80">
        <f>WWWW[[#This Row],['#_Water boating or water trucking]]</f>
        <v>0</v>
      </c>
      <c r="BX154" s="80">
        <f>WWWW[[#This Row],['#_Constructed/Existing water distribution system from river or natural spring]]</f>
        <v>0</v>
      </c>
      <c r="BY15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4" s="81">
        <f>IF(WWWW[[#This Row],[Location Type 1]]="Village",WWWW[[#This Row],[Access to safe drinking water for Village]],WWWW[[#This Row],[Access to safe drinking water for Camp]])</f>
        <v>1</v>
      </c>
      <c r="CB154" s="79">
        <f>WWWW[[#This Row],[%Equitable and continuous access to sufficient quantity of safe drinking water]]*WWWW[[#This Row],[Total PoP ]]</f>
        <v>82</v>
      </c>
      <c r="CC154" s="81">
        <f>IF((WWWW[[#This Row],['#_Constructed/Existing protected/fenced ponds]]*250)/WWWW[[#This Row],[Total PoP ]]&gt;1,1,(WWWW[[#This Row],['#_Constructed/Existing protected/fenced ponds]]*250)/WWWW[[#This Row],[Total PoP ]])</f>
        <v>0</v>
      </c>
      <c r="CD154" s="79">
        <f>WWWW[[#This Row],[% Access to unimproved water points]]*WWWW[[#This Row],[Total PoP ]]</f>
        <v>0</v>
      </c>
      <c r="CE15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G154" s="79">
        <f>WWWW[[#This Row],[HRP1]]/500</f>
        <v>0.16400000000000001</v>
      </c>
      <c r="CH154" s="78">
        <f>1-WWWW[[#This Row],[% Equitable and continuous access to sufficient quantity of domestic water]]</f>
        <v>0</v>
      </c>
      <c r="CI154" s="79">
        <f>WWWW[[#This Row],[%equitable and continuous access to sufficient quantity of safe drinking and domestic water''s GAP]]*WWWW[[#This Row],[Total PoP ]]</f>
        <v>0</v>
      </c>
      <c r="CJ154" s="80">
        <f>IF(WWWW[[#This Row],[Total required water points]]-WWWW[[#This Row],['#Water points coverage]]&lt;0,0,WWWW[[#This Row],[Total required water points]]-WWWW[[#This Row],['#Water points coverage]])</f>
        <v>0.83599999999999997</v>
      </c>
      <c r="CK154" s="80">
        <f>ROUND(IF(WWWW[[#This Row],[Total PoP ]]&lt;500,1,WWWW[[#This Row],[Total PoP ]]/500),0)</f>
        <v>1</v>
      </c>
      <c r="CL154" s="80">
        <f>(WWWW[[#This Row],['#_Constructed latrines_by_WASHAgencies]]+WWWW[[#This Row],['#_Non Cluster partner latrines]])-WWWW[[#This Row],['#_Non-functional latrines]]</f>
        <v>6</v>
      </c>
      <c r="CM15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5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v>
      </c>
      <c r="CO15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4" s="80">
        <f>IF(WWWW[[#This Row],[Location Type 1]]="Village","NA",IF(WWWW[[#This Row],['#_Constructed/Existing latrines in TLS]]*50&gt;WWWW[[#This Row],['#_students at TLS_CFS]],WWWW[[#This Row],['#_students at TLS_CFS]],(WWWW[[#This Row],['#_Constructed/Existing latrines in TLS]]*50)))</f>
        <v>0</v>
      </c>
      <c r="CQ154" s="80">
        <f>ROUND(IF(WWWW[[#This Row],[Location Type 1]]="camp",WWWW[[#This Row],[Total PoP ]]/20,IF(WWWW[[#This Row],[Location Type 1]]="Temporary Location",WWWW[[#This Row],[Total PoP ]]/50,(WWWW[[#This Row],[Total PoP ]]/6))),0)</f>
        <v>4</v>
      </c>
      <c r="CR154" s="79">
        <f>IF(WWWW[[#This Row],[Total required Latrines]]-(WWWW[[#This Row],['#_Constructed latrines_by_WASHAgencies]]+WWWW[[#This Row],['#_Non Cluster partner latrines]])&lt;0,0,WWWW[[#This Row],[Total required Latrines]]-(WWWW[[#This Row],['#_Constructed latrines_by_WASHAgencies]]+WWWW[[#This Row],['#_Non Cluster partner latrines]]))</f>
        <v>0</v>
      </c>
      <c r="CS154" s="78">
        <f>1-WWWW[[#This Row],[% people access to functioning Latrine]]</f>
        <v>0</v>
      </c>
      <c r="CT154" s="82">
        <f>IF(OR(WWWW[[#This Row],['#_Non-functional latrines]]="",WWWW[[#This Row],['#_Non-functional latrines]]=0),0,WWWW[[#This Row],['#_Non-functional latrines]]/(WWWW[[#This Row],['#_Constructed latrines_by_WASHAgencies]]+WWWW[[#This Row],['#_Non Cluster partner latrines]]))</f>
        <v>0</v>
      </c>
      <c r="CU154" s="79">
        <f>IF(500*(WWWW[[#This Row],['#_male hygiene promoters]]+WWWW[[#This Row],['#_female hygiene promoters]])&gt;WWWW[[#This Row],[Total PoP ]],WWWW[[#This Row],[Total PoP ]],500*(WWWW[[#This Row],['#_male hygiene promoters]]+WWWW[[#This Row],['#_female hygiene promoters]]))</f>
        <v>0</v>
      </c>
      <c r="CV15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4" s="80">
        <f>IF(WWWW[[#This Row],['# People with access to soap]]&gt;WWWW[[#This Row],['# People with access to Sanity Pads]],WWWW[[#This Row],['# People with access to soap]],WWWW[[#This Row],['# People with access to Sanity Pads]])</f>
        <v>0</v>
      </c>
      <c r="CY15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4" s="78">
        <f>IF(WWWW[[#This Row],[HRP3]]/WWWW[[#This Row],[Total PoP ]]&gt;100%,100%,WWWW[[#This Row],[HRP3]]/WWWW[[#This Row],[Total PoP ]])</f>
        <v>0</v>
      </c>
      <c r="DA154" s="82">
        <f>1-WWWW[[#This Row],[Hygiene Coverage%]]</f>
        <v>1</v>
      </c>
      <c r="DB154" s="81">
        <f>WWWW[[#This Row],['# people reached by regular dedicated hygiene promotion_5]]/WWWW[[#This Row],[Total PoP ]]</f>
        <v>0</v>
      </c>
      <c r="DC154" s="81">
        <f>IF(WWWW[[#This Row],['#_households that received standard amount of soap for this quarter]]/WWWW[[#This Row],[Total HH]]&gt;1,1,WWWW[[#This Row],['#_households that received standard amount of soap for this quarter]]/WWWW[[#This Row],[Total HH]])</f>
        <v>0</v>
      </c>
      <c r="DD154" s="81">
        <f>IF(WWWW[[#This Row],['#_households that received standard amount of sanitary pads for this quarter]]/WWWW[[#This Row],[Total HH]]&gt;1,1,WWWW[[#This Row],['#_households that received standard amount of sanitary pads for this quarter]]/WWWW[[#This Row],[Total HH]])</f>
        <v>0</v>
      </c>
      <c r="DE154" s="80">
        <f>WWWW[[#This Row],['#_Constructed/Existing hand washing stations]]-WWWW[[#This Row],['#_Non-Functional_hand_washing_stations]]</f>
        <v>1</v>
      </c>
      <c r="DF154" s="757">
        <f>IF(WWWW[[#This Row],['# Functional hand washing stations during reporting period]]*20&gt;WWWW[[#This Row],[Total HH]],WWWW[[#This Row],[Total HH]],WWWW[[#This Row],['# Functional hand washing stations during reporting period]]*20)</f>
        <v>19</v>
      </c>
      <c r="DG154" s="79">
        <f>IF(WWWW[[#This Row],[Is sufficient soap available for TLS? (Yes/No)]]="yes",WWWW[[#This Row],['#_Constructed/Existing hand washing stations at TLS]],0)</f>
        <v>0</v>
      </c>
      <c r="DH154" s="578">
        <f>IF(WWWW[[#This Row],['# Functional hand washing stations during reporting period]]*100&gt;WWWW[[#This Row],[Total PoP ]],WWWW[[#This Row],[Total PoP ]],WWWW[[#This Row],['# Functional hand washing stations during reporting period]]*100)</f>
        <v>82</v>
      </c>
      <c r="DI154" s="578" t="str">
        <f>IF(OR(WWWW[[#This Row],['#_students at TLS_CFS]]="",WWWW[[#This Row],['#_students at TLS_CFS]]=0),"No","Yes")</f>
        <v>No</v>
      </c>
      <c r="DJ154" s="231" t="str">
        <f>VLOOKUP(WWWW[[#This Row],[Site Name]],SiteDB6[[Site Name]:[CCCM Management]],6,FALSE)</f>
        <v>Yes</v>
      </c>
      <c r="DK154" s="231" t="str">
        <f>VLOOKUP(WWWW[[#This Row],[Site Name]],SiteDB6[[Site Name]:[CCCM Focal Agency]],7,FALSE)</f>
        <v>Shalom</v>
      </c>
      <c r="DL154" s="231" t="str">
        <f>VLOOKUP(WWWW[[#This Row],[Site Name]],SiteDB6[[Site Name]:[Location Type 1]],9,FALSE)</f>
        <v>Camp</v>
      </c>
      <c r="DM154" s="231" t="str">
        <f>VLOOKUP(WWWW[[#This Row],[Site Name]],SiteDB6[[Site Name]:[Type of Accommodation]],10,FALSE)</f>
        <v>Camp</v>
      </c>
      <c r="DN154" s="231" t="str">
        <f>VLOOKUP(WWWW[[#This Row],[Site Name]],SiteDB6[[Site Name]:[Ethnic or GCA/NGCA]],11,FALSE)</f>
        <v>GCA</v>
      </c>
      <c r="DO154" s="231">
        <f>VLOOKUP(WWWW[[#This Row],[Site Name]],SiteDB6[[Site Name]:[Lat]],12,FALSE)</f>
        <v>25.351965</v>
      </c>
      <c r="DP154" s="231">
        <f>VLOOKUP(WWWW[[#This Row],[Site Name]],SiteDB6[[Site Name]:[Long]],13,FALSE)</f>
        <v>97.345039</v>
      </c>
      <c r="DQ154" s="231" t="str">
        <f>VLOOKUP(WWWW[[#This Row],[Site Name]],SiteDB6[[Site Name]:[Pcode]],3,FALSE)</f>
        <v>MMR001CMP033</v>
      </c>
      <c r="DR154" s="207" t="str">
        <f t="shared" si="5"/>
        <v>Covered</v>
      </c>
      <c r="DS154" s="207"/>
      <c r="DT154" s="39"/>
      <c r="DU154" s="39"/>
      <c r="DV154" s="20"/>
      <c r="DW154" s="20"/>
      <c r="DX154" s="20"/>
      <c r="DY154" s="20"/>
      <c r="DZ154" s="20"/>
      <c r="EA154" s="20"/>
      <c r="EB154" s="20"/>
      <c r="EC154" s="20"/>
      <c r="ED154" s="20"/>
      <c r="EE154" s="20"/>
      <c r="EF154" s="20"/>
      <c r="EG154" s="20"/>
      <c r="EH154" s="20"/>
    </row>
    <row r="155" spans="1:138">
      <c r="A155" s="238" t="s">
        <v>2518</v>
      </c>
      <c r="B155" s="238" t="s">
        <v>149</v>
      </c>
      <c r="C155" s="574" t="s">
        <v>149</v>
      </c>
      <c r="D155" s="574" t="s">
        <v>152</v>
      </c>
      <c r="E155" s="574" t="s">
        <v>39</v>
      </c>
      <c r="F155" s="574" t="s">
        <v>167</v>
      </c>
      <c r="G155" s="574" t="str">
        <f>VLOOKUP(WWWW[[#This Row],[Site Name]],SiteDB6[[Site Name]:[Location Type]],8,FALSE)</f>
        <v>Camp</v>
      </c>
      <c r="H155" s="574" t="s">
        <v>180</v>
      </c>
      <c r="I155" s="583">
        <v>43</v>
      </c>
      <c r="J155" s="583">
        <v>219</v>
      </c>
      <c r="K155" s="553">
        <v>43556</v>
      </c>
      <c r="L155" s="77">
        <v>43677</v>
      </c>
      <c r="M155" s="583"/>
      <c r="N155" s="583"/>
      <c r="O155" s="583"/>
      <c r="P155" s="583"/>
      <c r="Q155" s="574" t="s">
        <v>43</v>
      </c>
      <c r="R155" s="310"/>
      <c r="S155" s="310"/>
      <c r="T155" s="583">
        <v>0</v>
      </c>
      <c r="U155" s="310"/>
      <c r="V155" s="310"/>
      <c r="W155" s="583">
        <v>2</v>
      </c>
      <c r="X155" s="310"/>
      <c r="Y155" s="310"/>
      <c r="Z155" s="310"/>
      <c r="AA155" s="583"/>
      <c r="AB155" s="310"/>
      <c r="AC155" s="310"/>
      <c r="AD155" s="310"/>
      <c r="AE155" s="310"/>
      <c r="AF155" s="310"/>
      <c r="AG155" s="310"/>
      <c r="AH155" s="583">
        <v>3</v>
      </c>
      <c r="AI155" s="310"/>
      <c r="AJ155" s="310"/>
      <c r="AK155" s="310"/>
      <c r="AL155" s="310"/>
      <c r="AM155" s="310"/>
      <c r="AN155" s="310"/>
      <c r="AO155" s="207"/>
      <c r="AP155" s="583">
        <v>13</v>
      </c>
      <c r="AQ155" s="310"/>
      <c r="AR155" s="76"/>
      <c r="AS155" s="310"/>
      <c r="AT155" s="310"/>
      <c r="AU155" s="310">
        <v>7</v>
      </c>
      <c r="AV155" s="310"/>
      <c r="AW155" s="583">
        <v>13</v>
      </c>
      <c r="AX155" s="231" t="s">
        <v>43</v>
      </c>
      <c r="AY155" s="231" t="s">
        <v>145</v>
      </c>
      <c r="AZ155" s="310"/>
      <c r="BA155" s="310"/>
      <c r="BB155" s="310"/>
      <c r="BC155" s="207"/>
      <c r="BD155" s="310"/>
      <c r="BE155" s="310"/>
      <c r="BF155" s="310"/>
      <c r="BG155" s="310">
        <v>3</v>
      </c>
      <c r="BH155" s="310"/>
      <c r="BI155" s="310"/>
      <c r="BJ155" s="310">
        <v>1</v>
      </c>
      <c r="BK155" s="310"/>
      <c r="BL155" s="310"/>
      <c r="BM155" s="207"/>
      <c r="BN155" s="79"/>
      <c r="BO155" s="81"/>
      <c r="BP155" s="207"/>
      <c r="BQ155" s="78" t="str">
        <f>IFERROR(WWWW[[#This Row],['#_Water sources treated]]/WWWW[[#This Row],['#_Water sources tested for contamination]],"no test")</f>
        <v>no test</v>
      </c>
      <c r="BR155" s="81" t="str">
        <f>IFERROR(WWWW[[#This Row],['#_Household received remediation action due to contamination]]/WWWW[[#This Row],['#_Household water samples tested for contamination]],"no test")</f>
        <v>no test</v>
      </c>
      <c r="BS155" s="80" t="str">
        <f>IF(AND(WWWW[[#This Row],[% of water sources treated]]="no test",WWWW[[#This Row],[% Household received corrective actions]]="no test"),"No Test","Tested")</f>
        <v>No Test</v>
      </c>
      <c r="BT155" s="80">
        <f>WWWW[[#This Row],['#_Constructed/existing protected hand dug well]]-WWWW[[#This Row],['#_Non-functional protected hand dug well]]</f>
        <v>0</v>
      </c>
      <c r="BU155" s="80">
        <f>(WWWW[[#This Row],['#_Constructed/Existing tube wells/boreholes/handpumps_WASH_agency]]+WWWW[[#This Row],['#_Non-Cluster partner water tube-wells/boreholes/handpumps]])-WWWW[[#This Row],['#_Non-functional tube wells/boreholes/handpumps]]</f>
        <v>2</v>
      </c>
      <c r="BV155" s="80">
        <f>WWWW[[#This Row],['#_Constructed/Existingwater storage tank with gravity fed reticulation system]]-WWWW[[#This Row],['#_Non-functional storage tank gravity fed reticulation system]]</f>
        <v>0</v>
      </c>
      <c r="BW155" s="80">
        <f>WWWW[[#This Row],['#_Water boating or water trucking]]</f>
        <v>0</v>
      </c>
      <c r="BX155" s="80">
        <f>WWWW[[#This Row],['#_Constructed/Existing water distribution system from river or natural spring]]</f>
        <v>0</v>
      </c>
      <c r="BY15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5" s="81">
        <f>IF(WWWW[[#This Row],[Location Type 1]]="Village",WWWW[[#This Row],[Access to safe drinking water for Village]],WWWW[[#This Row],[Access to safe drinking water for Camp]])</f>
        <v>1</v>
      </c>
      <c r="CB155" s="79">
        <f>WWWW[[#This Row],[%Equitable and continuous access to sufficient quantity of safe drinking water]]*WWWW[[#This Row],[Total PoP ]]</f>
        <v>219</v>
      </c>
      <c r="CC155" s="81">
        <f>IF((WWWW[[#This Row],['#_Constructed/Existing protected/fenced ponds]]*250)/WWWW[[#This Row],[Total PoP ]]&gt;1,1,(WWWW[[#This Row],['#_Constructed/Existing protected/fenced ponds]]*250)/WWWW[[#This Row],[Total PoP ]])</f>
        <v>0</v>
      </c>
      <c r="CD155" s="79">
        <f>WWWW[[#This Row],[% Access to unimproved water points]]*WWWW[[#This Row],[Total PoP ]]</f>
        <v>0</v>
      </c>
      <c r="CE15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G155" s="79">
        <f>WWWW[[#This Row],[HRP1]]/500</f>
        <v>0.438</v>
      </c>
      <c r="CH155" s="78">
        <f>1-WWWW[[#This Row],[% Equitable and continuous access to sufficient quantity of domestic water]]</f>
        <v>0</v>
      </c>
      <c r="CI155" s="79">
        <f>WWWW[[#This Row],[%equitable and continuous access to sufficient quantity of safe drinking and domestic water''s GAP]]*WWWW[[#This Row],[Total PoP ]]</f>
        <v>0</v>
      </c>
      <c r="CJ155" s="80">
        <f>IF(WWWW[[#This Row],[Total required water points]]-WWWW[[#This Row],['#Water points coverage]]&lt;0,0,WWWW[[#This Row],[Total required water points]]-WWWW[[#This Row],['#Water points coverage]])</f>
        <v>0.56200000000000006</v>
      </c>
      <c r="CK155" s="80">
        <f>ROUND(IF(WWWW[[#This Row],[Total PoP ]]&lt;500,1,WWWW[[#This Row],[Total PoP ]]/500),0)</f>
        <v>1</v>
      </c>
      <c r="CL155" s="80">
        <f>(WWWW[[#This Row],['#_Constructed latrines_by_WASHAgencies]]+WWWW[[#This Row],['#_Non Cluster partner latrines]])-WWWW[[#This Row],['#_Non-functional latrines]]</f>
        <v>13</v>
      </c>
      <c r="CM15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5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219</v>
      </c>
      <c r="CO15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155" s="80">
        <f>IF(WWWW[[#This Row],[Location Type 1]]="Village","NA",IF(WWWW[[#This Row],['#_Constructed/Existing latrines in TLS]]*50&gt;WWWW[[#This Row],['#_students at TLS_CFS]],WWWW[[#This Row],['#_students at TLS_CFS]],(WWWW[[#This Row],['#_Constructed/Existing latrines in TLS]]*50)))</f>
        <v>0</v>
      </c>
      <c r="CQ155" s="80">
        <f>ROUND(IF(WWWW[[#This Row],[Location Type 1]]="camp",WWWW[[#This Row],[Total PoP ]]/20,IF(WWWW[[#This Row],[Location Type 1]]="Temporary Location",WWWW[[#This Row],[Total PoP ]]/50,(WWWW[[#This Row],[Total PoP ]]/6))),0)</f>
        <v>11</v>
      </c>
      <c r="CR155" s="79">
        <f>IF(WWWW[[#This Row],[Total required Latrines]]-(WWWW[[#This Row],['#_Constructed latrines_by_WASHAgencies]]+WWWW[[#This Row],['#_Non Cluster partner latrines]])&lt;0,0,WWWW[[#This Row],[Total required Latrines]]-(WWWW[[#This Row],['#_Constructed latrines_by_WASHAgencies]]+WWWW[[#This Row],['#_Non Cluster partner latrines]]))</f>
        <v>0</v>
      </c>
      <c r="CS155" s="78">
        <f>1-WWWW[[#This Row],[% people access to functioning Latrine]]</f>
        <v>0</v>
      </c>
      <c r="CT155" s="82">
        <f>IF(OR(WWWW[[#This Row],['#_Non-functional latrines]]="",WWWW[[#This Row],['#_Non-functional latrines]]=0),0,WWWW[[#This Row],['#_Non-functional latrines]]/(WWWW[[#This Row],['#_Constructed latrines_by_WASHAgencies]]+WWWW[[#This Row],['#_Non Cluster partner latrines]]))</f>
        <v>0</v>
      </c>
      <c r="CU155" s="79">
        <f>IF(500*(WWWW[[#This Row],['#_male hygiene promoters]]+WWWW[[#This Row],['#_female hygiene promoters]])&gt;WWWW[[#This Row],[Total PoP ]],WWWW[[#This Row],[Total PoP ]],500*(WWWW[[#This Row],['#_male hygiene promoters]]+WWWW[[#This Row],['#_female hygiene promoters]]))</f>
        <v>219</v>
      </c>
      <c r="CV15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5" s="80">
        <f>IF(WWWW[[#This Row],['# People with access to soap]]&gt;WWWW[[#This Row],['# People with access to Sanity Pads]],WWWW[[#This Row],['# People with access to soap]],WWWW[[#This Row],['# People with access to Sanity Pads]])</f>
        <v>0</v>
      </c>
      <c r="CY155" s="80">
        <f>IF(WWWW[[#This Row],['# people reached by regular dedicated hygiene promotion_5]]&gt;WWWW[[#This Row],['# People received regular supply of hygiene items_6]],WWWW[[#This Row],['# people reached by regular dedicated hygiene promotion_5]],WWWW[[#This Row],['# People received regular supply of hygiene items_6]])</f>
        <v>219</v>
      </c>
      <c r="CZ155" s="78">
        <f>IF(WWWW[[#This Row],[HRP3]]/WWWW[[#This Row],[Total PoP ]]&gt;100%,100%,WWWW[[#This Row],[HRP3]]/WWWW[[#This Row],[Total PoP ]])</f>
        <v>1</v>
      </c>
      <c r="DA155" s="82">
        <f>1-WWWW[[#This Row],[Hygiene Coverage%]]</f>
        <v>0</v>
      </c>
      <c r="DB155" s="81">
        <f>WWWW[[#This Row],['# people reached by regular dedicated hygiene promotion_5]]/WWWW[[#This Row],[Total PoP ]]</f>
        <v>1</v>
      </c>
      <c r="DC155" s="81">
        <f>IF(WWWW[[#This Row],['#_households that received standard amount of soap for this quarter]]/WWWW[[#This Row],[Total HH]]&gt;1,1,WWWW[[#This Row],['#_households that received standard amount of soap for this quarter]]/WWWW[[#This Row],[Total HH]])</f>
        <v>0</v>
      </c>
      <c r="DD155" s="81">
        <f>IF(WWWW[[#This Row],['#_households that received standard amount of sanitary pads for this quarter]]/WWWW[[#This Row],[Total HH]]&gt;1,1,WWWW[[#This Row],['#_households that received standard amount of sanitary pads for this quarter]]/WWWW[[#This Row],[Total HH]])</f>
        <v>0</v>
      </c>
      <c r="DE155" s="80">
        <f>WWWW[[#This Row],['#_Constructed/Existing hand washing stations]]-WWWW[[#This Row],['#_Non-Functional_hand_washing_stations]]</f>
        <v>0</v>
      </c>
      <c r="DF155" s="757">
        <f>IF(WWWW[[#This Row],['# Functional hand washing stations during reporting period]]*20&gt;WWWW[[#This Row],[Total HH]],WWWW[[#This Row],[Total HH]],WWWW[[#This Row],['# Functional hand washing stations during reporting period]]*20)</f>
        <v>0</v>
      </c>
      <c r="DG155" s="79">
        <f>IF(WWWW[[#This Row],[Is sufficient soap available for TLS? (Yes/No)]]="yes",WWWW[[#This Row],['#_Constructed/Existing hand washing stations at TLS]],0)</f>
        <v>0</v>
      </c>
      <c r="DH155" s="578">
        <f>IF(WWWW[[#This Row],['# Functional hand washing stations during reporting period]]*100&gt;WWWW[[#This Row],[Total PoP ]],WWWW[[#This Row],[Total PoP ]],WWWW[[#This Row],['# Functional hand washing stations during reporting period]]*100)</f>
        <v>0</v>
      </c>
      <c r="DI155" s="578" t="str">
        <f>IF(OR(WWWW[[#This Row],['#_students at TLS_CFS]]="",WWWW[[#This Row],['#_students at TLS_CFS]]=0),"No","Yes")</f>
        <v>No</v>
      </c>
      <c r="DJ155" s="231" t="str">
        <f>VLOOKUP(WWWW[[#This Row],[Site Name]],SiteDB6[[Site Name]:[CCCM Management]],6,FALSE)</f>
        <v>Yes</v>
      </c>
      <c r="DK155" s="231" t="str">
        <f>VLOOKUP(WWWW[[#This Row],[Site Name]],SiteDB6[[Site Name]:[CCCM Focal Agency]],7,FALSE)</f>
        <v>KBC-MYT</v>
      </c>
      <c r="DL155" s="231" t="str">
        <f>VLOOKUP(WWWW[[#This Row],[Site Name]],SiteDB6[[Site Name]:[Location Type 1]],9,FALSE)</f>
        <v>Camp</v>
      </c>
      <c r="DM155" s="231" t="str">
        <f>VLOOKUP(WWWW[[#This Row],[Site Name]],SiteDB6[[Site Name]:[Type of Accommodation]],10,FALSE)</f>
        <v>Camp</v>
      </c>
      <c r="DN155" s="231" t="str">
        <f>VLOOKUP(WWWW[[#This Row],[Site Name]],SiteDB6[[Site Name]:[Ethnic or GCA/NGCA]],11,FALSE)</f>
        <v>GCA</v>
      </c>
      <c r="DO155" s="231">
        <f>VLOOKUP(WWWW[[#This Row],[Site Name]],SiteDB6[[Site Name]:[Lat]],12,FALSE)</f>
        <v>25.404015000000001</v>
      </c>
      <c r="DP155" s="231">
        <f>VLOOKUP(WWWW[[#This Row],[Site Name]],SiteDB6[[Site Name]:[Long]],13,FALSE)</f>
        <v>97.382192000000003</v>
      </c>
      <c r="DQ155" s="231" t="str">
        <f>VLOOKUP(WWWW[[#This Row],[Site Name]],SiteDB6[[Site Name]:[Pcode]],3,FALSE)</f>
        <v>MMR001CMP005</v>
      </c>
      <c r="DR155" s="207" t="str">
        <f t="shared" si="5"/>
        <v>Covered</v>
      </c>
      <c r="DS155" s="207"/>
      <c r="DT155" s="39"/>
      <c r="DU155" s="39"/>
      <c r="DV155" s="20"/>
      <c r="DW155" s="20"/>
      <c r="DX155" s="20"/>
      <c r="DY155" s="20"/>
      <c r="DZ155" s="20"/>
      <c r="EA155" s="20"/>
      <c r="EB155" s="20"/>
      <c r="EC155" s="20"/>
      <c r="ED155" s="20"/>
      <c r="EE155" s="20"/>
      <c r="EF155" s="20"/>
      <c r="EG155" s="20"/>
      <c r="EH155" s="20"/>
    </row>
    <row r="156" spans="1:138" ht="15.75" customHeight="1">
      <c r="A156" s="238" t="s">
        <v>2518</v>
      </c>
      <c r="B156" s="238" t="s">
        <v>317</v>
      </c>
      <c r="C156" s="238" t="s">
        <v>317</v>
      </c>
      <c r="D156" s="574"/>
      <c r="E156" s="574" t="s">
        <v>39</v>
      </c>
      <c r="F156" s="574" t="s">
        <v>1153</v>
      </c>
      <c r="G156" s="574" t="str">
        <f>VLOOKUP(WWWW[[#This Row],[Site Name]],SiteDB6[[Site Name]:[Location Type]],8,FALSE)</f>
        <v>Camp</v>
      </c>
      <c r="H156" s="76" t="s">
        <v>2195</v>
      </c>
      <c r="I156" s="583">
        <v>127</v>
      </c>
      <c r="J156" s="583">
        <v>450</v>
      </c>
      <c r="K156" s="553"/>
      <c r="L156" s="77"/>
      <c r="M156" s="583"/>
      <c r="N156" s="583"/>
      <c r="O156" s="583"/>
      <c r="P156" s="583"/>
      <c r="Q156" s="76"/>
      <c r="R156" s="310"/>
      <c r="S156" s="310"/>
      <c r="T156" s="310"/>
      <c r="U156" s="310"/>
      <c r="V156" s="310"/>
      <c r="W156" s="310"/>
      <c r="X156" s="310"/>
      <c r="Y156" s="310"/>
      <c r="Z156" s="310"/>
      <c r="AA156" s="583"/>
      <c r="AB156" s="310"/>
      <c r="AC156" s="310"/>
      <c r="AD156" s="310"/>
      <c r="AE156" s="310"/>
      <c r="AF156" s="310"/>
      <c r="AG156" s="310"/>
      <c r="AH156" s="310"/>
      <c r="AI156" s="310"/>
      <c r="AJ156" s="310"/>
      <c r="AK156" s="310"/>
      <c r="AL156" s="310"/>
      <c r="AM156" s="310"/>
      <c r="AN156" s="310"/>
      <c r="AO156" s="207"/>
      <c r="AP156" s="310"/>
      <c r="AQ156" s="310"/>
      <c r="AR156" s="76"/>
      <c r="AS156" s="310"/>
      <c r="AT156" s="310"/>
      <c r="AU156" s="310"/>
      <c r="AV156" s="310"/>
      <c r="AW156" s="310"/>
      <c r="AX156" s="231"/>
      <c r="AY156" s="231"/>
      <c r="AZ156" s="310"/>
      <c r="BA156" s="310"/>
      <c r="BB156" s="310"/>
      <c r="BC156" s="207"/>
      <c r="BD156" s="310"/>
      <c r="BE156" s="310"/>
      <c r="BF156" s="310"/>
      <c r="BG156" s="310"/>
      <c r="BH156" s="310"/>
      <c r="BI156" s="310"/>
      <c r="BJ156" s="310"/>
      <c r="BK156" s="310"/>
      <c r="BL156" s="310"/>
      <c r="BM156" s="207"/>
      <c r="BN156" s="79"/>
      <c r="BO156" s="81"/>
      <c r="BP156" s="207"/>
      <c r="BQ156" s="78" t="str">
        <f>IFERROR(WWWW[[#This Row],['#_Water sources treated]]/WWWW[[#This Row],['#_Water sources tested for contamination]],"no test")</f>
        <v>no test</v>
      </c>
      <c r="BR156" s="81" t="str">
        <f>IFERROR(WWWW[[#This Row],['#_Household received remediation action due to contamination]]/WWWW[[#This Row],['#_Household water samples tested for contamination]],"no test")</f>
        <v>no test</v>
      </c>
      <c r="BS156" s="80" t="str">
        <f>IF(AND(WWWW[[#This Row],[% of water sources treated]]="no test",WWWW[[#This Row],[% Household received corrective actions]]="no test"),"No Test","Tested")</f>
        <v>No Test</v>
      </c>
      <c r="BT156" s="80">
        <f>WWWW[[#This Row],['#_Constructed/existing protected hand dug well]]-WWWW[[#This Row],['#_Non-functional protected hand dug well]]</f>
        <v>0</v>
      </c>
      <c r="BU156" s="80">
        <f>(WWWW[[#This Row],['#_Constructed/Existing tube wells/boreholes/handpumps_WASH_agency]]+WWWW[[#This Row],['#_Non-Cluster partner water tube-wells/boreholes/handpumps]])-WWWW[[#This Row],['#_Non-functional tube wells/boreholes/handpumps]]</f>
        <v>0</v>
      </c>
      <c r="BV156" s="80">
        <f>WWWW[[#This Row],['#_Constructed/Existingwater storage tank with gravity fed reticulation system]]-WWWW[[#This Row],['#_Non-functional storage tank gravity fed reticulation system]]</f>
        <v>0</v>
      </c>
      <c r="BW156" s="80">
        <f>WWWW[[#This Row],['#_Water boating or water trucking]]</f>
        <v>0</v>
      </c>
      <c r="BX156" s="80">
        <f>WWWW[[#This Row],['#_Constructed/Existing water distribution system from river or natural spring]]</f>
        <v>0</v>
      </c>
      <c r="BY15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5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56" s="81">
        <f>IF(WWWW[[#This Row],[Location Type 1]]="Village",WWWW[[#This Row],[Access to safe drinking water for Village]],WWWW[[#This Row],[Access to safe drinking water for Camp]])</f>
        <v>0</v>
      </c>
      <c r="CB156" s="79">
        <f>WWWW[[#This Row],[%Equitable and continuous access to sufficient quantity of safe drinking water]]*WWWW[[#This Row],[Total PoP ]]</f>
        <v>0</v>
      </c>
      <c r="CC156" s="81">
        <f>IF((WWWW[[#This Row],['#_Constructed/Existing protected/fenced ponds]]*250)/WWWW[[#This Row],[Total PoP ]]&gt;1,1,(WWWW[[#This Row],['#_Constructed/Existing protected/fenced ponds]]*250)/WWWW[[#This Row],[Total PoP ]])</f>
        <v>0</v>
      </c>
      <c r="CD156" s="79">
        <f>WWWW[[#This Row],[% Access to unimproved water points]]*WWWW[[#This Row],[Total PoP ]]</f>
        <v>0</v>
      </c>
      <c r="CE15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5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56" s="79">
        <f>WWWW[[#This Row],[HRP1]]/500</f>
        <v>0</v>
      </c>
      <c r="CH156" s="78">
        <f>1-WWWW[[#This Row],[% Equitable and continuous access to sufficient quantity of domestic water]]</f>
        <v>1</v>
      </c>
      <c r="CI156" s="79">
        <f>WWWW[[#This Row],[%equitable and continuous access to sufficient quantity of safe drinking and domestic water''s GAP]]*WWWW[[#This Row],[Total PoP ]]</f>
        <v>450</v>
      </c>
      <c r="CJ156" s="80">
        <f>IF(WWWW[[#This Row],[Total required water points]]-WWWW[[#This Row],['#Water points coverage]]&lt;0,0,WWWW[[#This Row],[Total required water points]]-WWWW[[#This Row],['#Water points coverage]])</f>
        <v>1</v>
      </c>
      <c r="CK156" s="80">
        <f>ROUND(IF(WWWW[[#This Row],[Total PoP ]]&lt;500,1,WWWW[[#This Row],[Total PoP ]]/500),0)</f>
        <v>1</v>
      </c>
      <c r="CL156" s="80">
        <f>(WWWW[[#This Row],['#_Constructed latrines_by_WASHAgencies]]+WWWW[[#This Row],['#_Non Cluster partner latrines]])-WWWW[[#This Row],['#_Non-functional latrines]]</f>
        <v>0</v>
      </c>
      <c r="CM15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5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5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6" s="80">
        <f>IF(WWWW[[#This Row],[Location Type 1]]="Village","NA",IF(WWWW[[#This Row],['#_Constructed/Existing latrines in TLS]]*50&gt;WWWW[[#This Row],['#_students at TLS_CFS]],WWWW[[#This Row],['#_students at TLS_CFS]],(WWWW[[#This Row],['#_Constructed/Existing latrines in TLS]]*50)))</f>
        <v>0</v>
      </c>
      <c r="CQ156" s="80">
        <f>ROUND(IF(WWWW[[#This Row],[Location Type 1]]="camp",WWWW[[#This Row],[Total PoP ]]/20,IF(WWWW[[#This Row],[Location Type 1]]="Temporary Location",WWWW[[#This Row],[Total PoP ]]/50,(WWWW[[#This Row],[Total PoP ]]/6))),0)</f>
        <v>23</v>
      </c>
      <c r="CR156" s="79">
        <f>IF(WWWW[[#This Row],[Total required Latrines]]-(WWWW[[#This Row],['#_Constructed latrines_by_WASHAgencies]]+WWWW[[#This Row],['#_Non Cluster partner latrines]])&lt;0,0,WWWW[[#This Row],[Total required Latrines]]-(WWWW[[#This Row],['#_Constructed latrines_by_WASHAgencies]]+WWWW[[#This Row],['#_Non Cluster partner latrines]]))</f>
        <v>23</v>
      </c>
      <c r="CS156" s="78">
        <f>1-WWWW[[#This Row],[% people access to functioning Latrine]]</f>
        <v>1</v>
      </c>
      <c r="CT156" s="82">
        <f>IF(OR(WWWW[[#This Row],['#_Non-functional latrines]]="",WWWW[[#This Row],['#_Non-functional latrines]]=0),0,WWWW[[#This Row],['#_Non-functional latrines]]/(WWWW[[#This Row],['#_Constructed latrines_by_WASHAgencies]]+WWWW[[#This Row],['#_Non Cluster partner latrines]]))</f>
        <v>0</v>
      </c>
      <c r="CU156" s="79">
        <f>IF(500*(WWWW[[#This Row],['#_male hygiene promoters]]+WWWW[[#This Row],['#_female hygiene promoters]])&gt;WWWW[[#This Row],[Total PoP ]],WWWW[[#This Row],[Total PoP ]],500*(WWWW[[#This Row],['#_male hygiene promoters]]+WWWW[[#This Row],['#_female hygiene promoters]]))</f>
        <v>0</v>
      </c>
      <c r="CV15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6" s="80">
        <f>IF(WWWW[[#This Row],['# People with access to soap]]&gt;WWWW[[#This Row],['# People with access to Sanity Pads]],WWWW[[#This Row],['# People with access to soap]],WWWW[[#This Row],['# People with access to Sanity Pads]])</f>
        <v>0</v>
      </c>
      <c r="CY156"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6" s="78">
        <f>IF(WWWW[[#This Row],[HRP3]]/WWWW[[#This Row],[Total PoP ]]&gt;100%,100%,WWWW[[#This Row],[HRP3]]/WWWW[[#This Row],[Total PoP ]])</f>
        <v>0</v>
      </c>
      <c r="DA156" s="82">
        <f>1-WWWW[[#This Row],[Hygiene Coverage%]]</f>
        <v>1</v>
      </c>
      <c r="DB156" s="81">
        <f>WWWW[[#This Row],['# people reached by regular dedicated hygiene promotion_5]]/WWWW[[#This Row],[Total PoP ]]</f>
        <v>0</v>
      </c>
      <c r="DC156" s="81">
        <f>IF(WWWW[[#This Row],['#_households that received standard amount of soap for this quarter]]/WWWW[[#This Row],[Total HH]]&gt;1,1,WWWW[[#This Row],['#_households that received standard amount of soap for this quarter]]/WWWW[[#This Row],[Total HH]])</f>
        <v>0</v>
      </c>
      <c r="DD156" s="81">
        <f>IF(WWWW[[#This Row],['#_households that received standard amount of sanitary pads for this quarter]]/WWWW[[#This Row],[Total HH]]&gt;1,1,WWWW[[#This Row],['#_households that received standard amount of sanitary pads for this quarter]]/WWWW[[#This Row],[Total HH]])</f>
        <v>0</v>
      </c>
      <c r="DE156" s="80">
        <f>WWWW[[#This Row],['#_Constructed/Existing hand washing stations]]-WWWW[[#This Row],['#_Non-Functional_hand_washing_stations]]</f>
        <v>0</v>
      </c>
      <c r="DF156" s="757">
        <f>IF(WWWW[[#This Row],['# Functional hand washing stations during reporting period]]*20&gt;WWWW[[#This Row],[Total HH]],WWWW[[#This Row],[Total HH]],WWWW[[#This Row],['# Functional hand washing stations during reporting period]]*20)</f>
        <v>0</v>
      </c>
      <c r="DG156" s="79">
        <f>IF(WWWW[[#This Row],[Is sufficient soap available for TLS? (Yes/No)]]="yes",WWWW[[#This Row],['#_Constructed/Existing hand washing stations at TLS]],0)</f>
        <v>0</v>
      </c>
      <c r="DH156" s="578">
        <f>IF(WWWW[[#This Row],['# Functional hand washing stations during reporting period]]*100&gt;WWWW[[#This Row],[Total PoP ]],WWWW[[#This Row],[Total PoP ]],WWWW[[#This Row],['# Functional hand washing stations during reporting period]]*100)</f>
        <v>0</v>
      </c>
      <c r="DI156" s="578" t="str">
        <f>IF(OR(WWWW[[#This Row],['#_students at TLS_CFS]]="",WWWW[[#This Row],['#_students at TLS_CFS]]=0),"No","Yes")</f>
        <v>No</v>
      </c>
      <c r="DJ156" s="231" t="str">
        <f>VLOOKUP(WWWW[[#This Row],[Site Name]],SiteDB6[[Site Name]:[CCCM Management]],6,FALSE)</f>
        <v>Yes</v>
      </c>
      <c r="DK156" s="231" t="str">
        <f>VLOOKUP(WWWW[[#This Row],[Site Name]],SiteDB6[[Site Name]:[CCCM Focal Agency]],7,FALSE)</f>
        <v>KBC-MYT</v>
      </c>
      <c r="DL156" s="231" t="str">
        <f>VLOOKUP(WWWW[[#This Row],[Site Name]],SiteDB6[[Site Name]:[Location Type 1]],9,FALSE)</f>
        <v>Camp</v>
      </c>
      <c r="DM156" s="231" t="str">
        <f>VLOOKUP(WWWW[[#This Row],[Site Name]],SiteDB6[[Site Name]:[Type of Accommodation]],10,FALSE)</f>
        <v>Camp</v>
      </c>
      <c r="DN156" s="231" t="str">
        <f>VLOOKUP(WWWW[[#This Row],[Site Name]],SiteDB6[[Site Name]:[Ethnic or GCA/NGCA]],11,FALSE)</f>
        <v>GCA</v>
      </c>
      <c r="DO156" s="231">
        <f>VLOOKUP(WWWW[[#This Row],[Site Name]],SiteDB6[[Site Name]:[Lat]],12,FALSE)</f>
        <v>0</v>
      </c>
      <c r="DP156" s="231">
        <f>VLOOKUP(WWWW[[#This Row],[Site Name]],SiteDB6[[Site Name]:[Long]],13,FALSE)</f>
        <v>0</v>
      </c>
      <c r="DQ156" s="231" t="str">
        <f>VLOOKUP(WWWW[[#This Row],[Site Name]],SiteDB6[[Site Name]:[Pcode]],3,FALSE)</f>
        <v>MMR001CMP253</v>
      </c>
      <c r="DR156" s="207" t="str">
        <f t="shared" si="5"/>
        <v>Notcovered</v>
      </c>
      <c r="DS156" s="207"/>
      <c r="DT156" s="20"/>
      <c r="DU156" s="20"/>
      <c r="DV156" s="20"/>
      <c r="DW156" s="20"/>
      <c r="DX156" s="20"/>
      <c r="DY156" s="20"/>
      <c r="DZ156" s="20"/>
      <c r="EA156" s="20"/>
      <c r="EB156" s="20"/>
      <c r="EC156" s="20"/>
      <c r="ED156" s="20"/>
      <c r="EE156" s="20"/>
      <c r="EF156" s="20"/>
      <c r="EG156" s="20"/>
      <c r="EH156" s="20"/>
    </row>
    <row r="157" spans="1:138" ht="15.75" customHeight="1">
      <c r="A157" s="238" t="s">
        <v>2518</v>
      </c>
      <c r="B157" s="574" t="s">
        <v>250</v>
      </c>
      <c r="C157" s="574" t="s">
        <v>250</v>
      </c>
      <c r="D157" s="574" t="s">
        <v>315</v>
      </c>
      <c r="E157" s="574" t="s">
        <v>39</v>
      </c>
      <c r="F157" s="574" t="s">
        <v>150</v>
      </c>
      <c r="G157" s="574" t="str">
        <f>VLOOKUP(WWWW[[#This Row],[Site Name]],SiteDB6[[Site Name]:[Location Type]],8,FALSE)</f>
        <v>Camp</v>
      </c>
      <c r="H157" s="574" t="s">
        <v>279</v>
      </c>
      <c r="I157" s="583">
        <v>115</v>
      </c>
      <c r="J157" s="583">
        <v>493</v>
      </c>
      <c r="K157" s="553">
        <v>43313</v>
      </c>
      <c r="L157" s="58">
        <v>44043</v>
      </c>
      <c r="M157" s="583">
        <v>134</v>
      </c>
      <c r="N157" s="583">
        <v>1</v>
      </c>
      <c r="O157" s="583">
        <v>0</v>
      </c>
      <c r="P157" s="583">
        <v>0</v>
      </c>
      <c r="Q157" s="574" t="s">
        <v>43</v>
      </c>
      <c r="R157" s="310">
        <v>3</v>
      </c>
      <c r="S157" s="310">
        <v>4</v>
      </c>
      <c r="T157" s="310">
        <v>1</v>
      </c>
      <c r="U157" s="310">
        <v>1</v>
      </c>
      <c r="V157" s="310">
        <v>0</v>
      </c>
      <c r="W157" s="310">
        <v>1</v>
      </c>
      <c r="X157" s="310">
        <v>4</v>
      </c>
      <c r="Y157" s="310">
        <v>1</v>
      </c>
      <c r="Z157" s="310">
        <v>4</v>
      </c>
      <c r="AA157" s="583">
        <v>0</v>
      </c>
      <c r="AB157" s="310">
        <v>0</v>
      </c>
      <c r="AC157" s="310">
        <v>0</v>
      </c>
      <c r="AD157" s="310">
        <v>0</v>
      </c>
      <c r="AE157" s="310">
        <v>0</v>
      </c>
      <c r="AF157" s="310">
        <v>0</v>
      </c>
      <c r="AG157" s="310">
        <v>0</v>
      </c>
      <c r="AH157" s="310">
        <v>0</v>
      </c>
      <c r="AI157" s="310"/>
      <c r="AJ157" s="310"/>
      <c r="AK157" s="310"/>
      <c r="AL157" s="310"/>
      <c r="AM157" s="310">
        <v>0</v>
      </c>
      <c r="AN157" s="310">
        <v>0</v>
      </c>
      <c r="AO157" s="207"/>
      <c r="AP157" s="310">
        <v>0</v>
      </c>
      <c r="AQ157" s="310">
        <v>10</v>
      </c>
      <c r="AR157" s="76" t="s">
        <v>1249</v>
      </c>
      <c r="AS157" s="310">
        <v>0</v>
      </c>
      <c r="AT157" s="310">
        <v>0</v>
      </c>
      <c r="AU157" s="310">
        <v>4</v>
      </c>
      <c r="AV157" s="310"/>
      <c r="AW157" s="583">
        <v>0</v>
      </c>
      <c r="AX157" s="581" t="s">
        <v>43</v>
      </c>
      <c r="AY157" s="231" t="s">
        <v>145</v>
      </c>
      <c r="AZ157" s="310">
        <v>0</v>
      </c>
      <c r="BA157" s="310">
        <v>0</v>
      </c>
      <c r="BB157" s="310">
        <v>0</v>
      </c>
      <c r="BC157" s="207"/>
      <c r="BD157" s="310">
        <v>5</v>
      </c>
      <c r="BE157" s="310">
        <v>0</v>
      </c>
      <c r="BF157" s="310">
        <v>0</v>
      </c>
      <c r="BG157" s="310">
        <v>2</v>
      </c>
      <c r="BH157" s="310">
        <v>0</v>
      </c>
      <c r="BI157" s="310">
        <v>0</v>
      </c>
      <c r="BJ157" s="310">
        <v>0</v>
      </c>
      <c r="BK157" s="310">
        <v>0</v>
      </c>
      <c r="BL157" s="310">
        <v>0</v>
      </c>
      <c r="BM157" s="207" t="s">
        <v>43</v>
      </c>
      <c r="BN157" s="79">
        <v>20</v>
      </c>
      <c r="BO157" s="81">
        <v>0.2</v>
      </c>
      <c r="BP157" s="207"/>
      <c r="BQ157" s="78" t="str">
        <f>IFERROR(WWWW[[#This Row],['#_Water sources treated]]/WWWW[[#This Row],['#_Water sources tested for contamination]],"no test")</f>
        <v>no test</v>
      </c>
      <c r="BR157" s="81" t="str">
        <f>IFERROR(WWWW[[#This Row],['#_Household received remediation action due to contamination]]/WWWW[[#This Row],['#_Household water samples tested for contamination]],"no test")</f>
        <v>no test</v>
      </c>
      <c r="BS157" s="80" t="str">
        <f>IF(AND(WWWW[[#This Row],[% of water sources treated]]="no test",WWWW[[#This Row],[% Household received corrective actions]]="no test"),"No Test","Tested")</f>
        <v>No Test</v>
      </c>
      <c r="BT157" s="80">
        <f>WWWW[[#This Row],['#_Constructed/existing protected hand dug well]]-WWWW[[#This Row],['#_Non-functional protected hand dug well]]</f>
        <v>0</v>
      </c>
      <c r="BU157" s="80">
        <f>(WWWW[[#This Row],['#_Constructed/Existing tube wells/boreholes/handpumps_WASH_agency]]+WWWW[[#This Row],['#_Non-Cluster partner water tube-wells/boreholes/handpumps]])-WWWW[[#This Row],['#_Non-functional tube wells/boreholes/handpumps]]</f>
        <v>4</v>
      </c>
      <c r="BV157" s="80">
        <f>WWWW[[#This Row],['#_Constructed/Existingwater storage tank with gravity fed reticulation system]]-WWWW[[#This Row],['#_Non-functional storage tank gravity fed reticulation system]]</f>
        <v>0</v>
      </c>
      <c r="BW157" s="80">
        <f>WWWW[[#This Row],['#_Water boating or water trucking]]</f>
        <v>0</v>
      </c>
      <c r="BX157" s="80">
        <f>WWWW[[#This Row],['#_Constructed/Existing water distribution system from river or natural spring]]</f>
        <v>0</v>
      </c>
      <c r="BY15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7" s="81">
        <f>IF(WWWW[[#This Row],[Location Type 1]]="Village",WWWW[[#This Row],[Access to safe drinking water for Village]],WWWW[[#This Row],[Access to safe drinking water for Camp]])</f>
        <v>1</v>
      </c>
      <c r="CB157" s="79">
        <f>WWWW[[#This Row],[%Equitable and continuous access to sufficient quantity of safe drinking water]]*WWWW[[#This Row],[Total PoP ]]</f>
        <v>493</v>
      </c>
      <c r="CC157" s="81">
        <f>IF((WWWW[[#This Row],['#_Constructed/Existing protected/fenced ponds]]*250)/WWWW[[#This Row],[Total PoP ]]&gt;1,1,(WWWW[[#This Row],['#_Constructed/Existing protected/fenced ponds]]*250)/WWWW[[#This Row],[Total PoP ]])</f>
        <v>0</v>
      </c>
      <c r="CD157" s="79">
        <f>WWWW[[#This Row],[% Access to unimproved water points]]*WWWW[[#This Row],[Total PoP ]]</f>
        <v>0</v>
      </c>
      <c r="CE15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G157" s="79">
        <f>WWWW[[#This Row],[HRP1]]/500</f>
        <v>0.98599999999999999</v>
      </c>
      <c r="CH157" s="78">
        <f>1-WWWW[[#This Row],[% Equitable and continuous access to sufficient quantity of domestic water]]</f>
        <v>0</v>
      </c>
      <c r="CI157" s="79">
        <f>WWWW[[#This Row],[%equitable and continuous access to sufficient quantity of safe drinking and domestic water''s GAP]]*WWWW[[#This Row],[Total PoP ]]</f>
        <v>0</v>
      </c>
      <c r="CJ157" s="80">
        <f>IF(WWWW[[#This Row],[Total required water points]]-WWWW[[#This Row],['#Water points coverage]]&lt;0,0,WWWW[[#This Row],[Total required water points]]-WWWW[[#This Row],['#Water points coverage]])</f>
        <v>1.4000000000000012E-2</v>
      </c>
      <c r="CK157" s="80">
        <f>ROUND(IF(WWWW[[#This Row],[Total PoP ]]&lt;500,1,WWWW[[#This Row],[Total PoP ]]/500),0)</f>
        <v>1</v>
      </c>
      <c r="CL157" s="80">
        <f>(WWWW[[#This Row],['#_Constructed latrines_by_WASHAgencies]]+WWWW[[#This Row],['#_Non Cluster partner latrines]])-WWWW[[#This Row],['#_Non-functional latrines]]</f>
        <v>10</v>
      </c>
      <c r="CM15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0.40567951318458417</v>
      </c>
      <c r="CN15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15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P157" s="80">
        <f>IF(WWWW[[#This Row],[Location Type 1]]="Village","NA",IF(WWWW[[#This Row],['#_Constructed/Existing latrines in TLS]]*50&gt;WWWW[[#This Row],['#_students at TLS_CFS]],WWWW[[#This Row],['#_students at TLS_CFS]],(WWWW[[#This Row],['#_Constructed/Existing latrines in TLS]]*50)))</f>
        <v>0</v>
      </c>
      <c r="CQ157" s="80">
        <f>ROUND(IF(WWWW[[#This Row],[Location Type 1]]="camp",WWWW[[#This Row],[Total PoP ]]/20,IF(WWWW[[#This Row],[Location Type 1]]="Temporary Location",WWWW[[#This Row],[Total PoP ]]/50,(WWWW[[#This Row],[Total PoP ]]/6))),0)</f>
        <v>25</v>
      </c>
      <c r="CR157" s="79">
        <f>IF(WWWW[[#This Row],[Total required Latrines]]-(WWWW[[#This Row],['#_Constructed latrines_by_WASHAgencies]]+WWWW[[#This Row],['#_Non Cluster partner latrines]])&lt;0,0,WWWW[[#This Row],[Total required Latrines]]-(WWWW[[#This Row],['#_Constructed latrines_by_WASHAgencies]]+WWWW[[#This Row],['#_Non Cluster partner latrines]]))</f>
        <v>15</v>
      </c>
      <c r="CS157" s="78">
        <f>1-WWWW[[#This Row],[% people access to functioning Latrine]]</f>
        <v>0.59432048681541583</v>
      </c>
      <c r="CT157" s="82">
        <f>IF(OR(WWWW[[#This Row],['#_Non-functional latrines]]="",WWWW[[#This Row],['#_Non-functional latrines]]=0),0,WWWW[[#This Row],['#_Non-functional latrines]]/(WWWW[[#This Row],['#_Constructed latrines_by_WASHAgencies]]+WWWW[[#This Row],['#_Non Cluster partner latrines]]))</f>
        <v>0</v>
      </c>
      <c r="CU157" s="79">
        <f>IF(500*(WWWW[[#This Row],['#_male hygiene promoters]]+WWWW[[#This Row],['#_female hygiene promoters]])&gt;WWWW[[#This Row],[Total PoP ]],WWWW[[#This Row],[Total PoP ]],500*(WWWW[[#This Row],['#_male hygiene promoters]]+WWWW[[#This Row],['#_female hygiene promoters]]))</f>
        <v>0</v>
      </c>
      <c r="CV15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7" s="80">
        <f>IF(WWWW[[#This Row],['# People with access to soap]]&gt;WWWW[[#This Row],['# People with access to Sanity Pads]],WWWW[[#This Row],['# People with access to soap]],WWWW[[#This Row],['# People with access to Sanity Pads]])</f>
        <v>0</v>
      </c>
      <c r="CY157"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7" s="78">
        <f>IF(WWWW[[#This Row],[HRP3]]/WWWW[[#This Row],[Total PoP ]]&gt;100%,100%,WWWW[[#This Row],[HRP3]]/WWWW[[#This Row],[Total PoP ]])</f>
        <v>0</v>
      </c>
      <c r="DA157" s="82">
        <f>1-WWWW[[#This Row],[Hygiene Coverage%]]</f>
        <v>1</v>
      </c>
      <c r="DB157" s="81">
        <f>WWWW[[#This Row],['# people reached by regular dedicated hygiene promotion_5]]/WWWW[[#This Row],[Total PoP ]]</f>
        <v>0</v>
      </c>
      <c r="DC157" s="81">
        <f>IF(WWWW[[#This Row],['#_households that received standard amount of soap for this quarter]]/WWWW[[#This Row],[Total HH]]&gt;1,1,WWWW[[#This Row],['#_households that received standard amount of soap for this quarter]]/WWWW[[#This Row],[Total HH]])</f>
        <v>0</v>
      </c>
      <c r="DD157" s="81">
        <f>IF(WWWW[[#This Row],['#_households that received standard amount of sanitary pads for this quarter]]/WWWW[[#This Row],[Total HH]]&gt;1,1,WWWW[[#This Row],['#_households that received standard amount of sanitary pads for this quarter]]/WWWW[[#This Row],[Total HH]])</f>
        <v>0</v>
      </c>
      <c r="DE157" s="80">
        <f>WWWW[[#This Row],['#_Constructed/Existing hand washing stations]]-WWWW[[#This Row],['#_Non-Functional_hand_washing_stations]]</f>
        <v>5</v>
      </c>
      <c r="DF157" s="757">
        <f>IF(WWWW[[#This Row],['# Functional hand washing stations during reporting period]]*20&gt;WWWW[[#This Row],[Total HH]],WWWW[[#This Row],[Total HH]],WWWW[[#This Row],['# Functional hand washing stations during reporting period]]*20)</f>
        <v>100</v>
      </c>
      <c r="DG157" s="79">
        <f>IF(WWWW[[#This Row],[Is sufficient soap available for TLS? (Yes/No)]]="yes",WWWW[[#This Row],['#_Constructed/Existing hand washing stations at TLS]],0)</f>
        <v>0</v>
      </c>
      <c r="DH157" s="578">
        <f>IF(WWWW[[#This Row],['# Functional hand washing stations during reporting period]]*100&gt;WWWW[[#This Row],[Total PoP ]],WWWW[[#This Row],[Total PoP ]],WWWW[[#This Row],['# Functional hand washing stations during reporting period]]*100)</f>
        <v>493</v>
      </c>
      <c r="DI157" s="578" t="str">
        <f>IF(OR(WWWW[[#This Row],['#_students at TLS_CFS]]="",WWWW[[#This Row],['#_students at TLS_CFS]]=0),"No","Yes")</f>
        <v>Yes</v>
      </c>
      <c r="DJ157" s="231" t="str">
        <f>VLOOKUP(WWWW[[#This Row],[Site Name]],SiteDB6[[Site Name]:[CCCM Management]],6,FALSE)</f>
        <v>Yes</v>
      </c>
      <c r="DK157" s="231" t="str">
        <f>VLOOKUP(WWWW[[#This Row],[Site Name]],SiteDB6[[Site Name]:[CCCM Focal Agency]],7,FALSE)</f>
        <v>Shalom</v>
      </c>
      <c r="DL157" s="231" t="str">
        <f>VLOOKUP(WWWW[[#This Row],[Site Name]],SiteDB6[[Site Name]:[Location Type 1]],9,FALSE)</f>
        <v>Camp</v>
      </c>
      <c r="DM157" s="231" t="str">
        <f>VLOOKUP(WWWW[[#This Row],[Site Name]],SiteDB6[[Site Name]:[Type of Accommodation]],10,FALSE)</f>
        <v>Camp</v>
      </c>
      <c r="DN157" s="231" t="str">
        <f>VLOOKUP(WWWW[[#This Row],[Site Name]],SiteDB6[[Site Name]:[Ethnic or GCA/NGCA]],11,FALSE)</f>
        <v>GCA</v>
      </c>
      <c r="DO157" s="231">
        <f>VLOOKUP(WWWW[[#This Row],[Site Name]],SiteDB6[[Site Name]:[Lat]],12,FALSE)</f>
        <v>25.3540362037037</v>
      </c>
      <c r="DP157" s="231">
        <f>VLOOKUP(WWWW[[#This Row],[Site Name]],SiteDB6[[Site Name]:[Long]],13,FALSE)</f>
        <v>97.441166388888902</v>
      </c>
      <c r="DQ157" s="231" t="str">
        <f>VLOOKUP(WWWW[[#This Row],[Site Name]],SiteDB6[[Site Name]:[Pcode]],3,FALSE)</f>
        <v>MMR001CMP032</v>
      </c>
      <c r="DR157" s="207" t="str">
        <f t="shared" si="5"/>
        <v>Covered</v>
      </c>
      <c r="DS157" s="207"/>
      <c r="DT157" s="20"/>
      <c r="DU157" s="20"/>
      <c r="DV157" s="20"/>
      <c r="DW157" s="20"/>
      <c r="DX157" s="20"/>
      <c r="DY157" s="20"/>
      <c r="DZ157" s="20"/>
      <c r="EA157" s="20"/>
      <c r="EB157" s="20"/>
      <c r="EC157" s="20"/>
      <c r="ED157" s="20"/>
      <c r="EE157" s="20"/>
      <c r="EF157" s="20"/>
      <c r="EG157" s="20"/>
      <c r="EH157" s="20"/>
    </row>
    <row r="158" spans="1:138" ht="15.75" customHeight="1">
      <c r="A158" s="238" t="s">
        <v>2518</v>
      </c>
      <c r="B158" s="238" t="s">
        <v>149</v>
      </c>
      <c r="C158" s="574" t="s">
        <v>149</v>
      </c>
      <c r="D158" s="574" t="s">
        <v>158</v>
      </c>
      <c r="E158" s="574" t="s">
        <v>39</v>
      </c>
      <c r="F158" s="574" t="s">
        <v>167</v>
      </c>
      <c r="G158" s="574" t="str">
        <f>VLOOKUP(WWWW[[#This Row],[Site Name]],SiteDB6[[Site Name]:[Location Type]],8,FALSE)</f>
        <v>Camp</v>
      </c>
      <c r="H158" s="574" t="s">
        <v>2017</v>
      </c>
      <c r="I158" s="583">
        <v>18</v>
      </c>
      <c r="J158" s="583">
        <v>87</v>
      </c>
      <c r="K158" s="553">
        <v>43556</v>
      </c>
      <c r="L158" s="77">
        <v>43677</v>
      </c>
      <c r="M158" s="583"/>
      <c r="N158" s="583"/>
      <c r="O158" s="583"/>
      <c r="P158" s="583"/>
      <c r="Q158" s="574" t="s">
        <v>43</v>
      </c>
      <c r="R158" s="310"/>
      <c r="S158" s="310"/>
      <c r="T158" s="583">
        <v>0</v>
      </c>
      <c r="U158" s="310"/>
      <c r="V158" s="310"/>
      <c r="W158" s="583">
        <v>0</v>
      </c>
      <c r="X158" s="310"/>
      <c r="Y158" s="310"/>
      <c r="Z158" s="310"/>
      <c r="AA158" s="583">
        <v>1</v>
      </c>
      <c r="AB158" s="310"/>
      <c r="AC158" s="310"/>
      <c r="AD158" s="310"/>
      <c r="AE158" s="310"/>
      <c r="AF158" s="310"/>
      <c r="AG158" s="310"/>
      <c r="AH158" s="583">
        <v>0</v>
      </c>
      <c r="AI158" s="310"/>
      <c r="AJ158" s="310"/>
      <c r="AK158" s="310"/>
      <c r="AL158" s="310"/>
      <c r="AM158" s="310"/>
      <c r="AN158" s="310"/>
      <c r="AO158" s="207"/>
      <c r="AP158" s="583">
        <v>10</v>
      </c>
      <c r="AQ158" s="310"/>
      <c r="AR158" s="76"/>
      <c r="AS158" s="310"/>
      <c r="AT158" s="310"/>
      <c r="AU158" s="310"/>
      <c r="AV158" s="310"/>
      <c r="AW158" s="583">
        <v>10</v>
      </c>
      <c r="AX158" s="231" t="s">
        <v>43</v>
      </c>
      <c r="AY158" s="231" t="s">
        <v>145</v>
      </c>
      <c r="AZ158" s="310"/>
      <c r="BA158" s="310"/>
      <c r="BB158" s="310"/>
      <c r="BC158" s="207"/>
      <c r="BD158" s="310"/>
      <c r="BE158" s="310"/>
      <c r="BF158" s="310"/>
      <c r="BG158" s="310">
        <v>0</v>
      </c>
      <c r="BH158" s="310"/>
      <c r="BI158" s="310"/>
      <c r="BJ158" s="310">
        <v>1</v>
      </c>
      <c r="BK158" s="310"/>
      <c r="BL158" s="310"/>
      <c r="BM158" s="207"/>
      <c r="BN158" s="79"/>
      <c r="BO158" s="81"/>
      <c r="BP158" s="207"/>
      <c r="BQ158" s="78" t="str">
        <f>IFERROR(WWWW[[#This Row],['#_Water sources treated]]/WWWW[[#This Row],['#_Water sources tested for contamination]],"no test")</f>
        <v>no test</v>
      </c>
      <c r="BR158" s="81" t="str">
        <f>IFERROR(WWWW[[#This Row],['#_Household received remediation action due to contamination]]/WWWW[[#This Row],['#_Household water samples tested for contamination]],"no test")</f>
        <v>no test</v>
      </c>
      <c r="BS158" s="80" t="str">
        <f>IF(AND(WWWW[[#This Row],[% of water sources treated]]="no test",WWWW[[#This Row],[% Household received corrective actions]]="no test"),"No Test","Tested")</f>
        <v>No Test</v>
      </c>
      <c r="BT158" s="80">
        <f>WWWW[[#This Row],['#_Constructed/existing protected hand dug well]]-WWWW[[#This Row],['#_Non-functional protected hand dug well]]</f>
        <v>0</v>
      </c>
      <c r="BU158" s="80">
        <f>(WWWW[[#This Row],['#_Constructed/Existing tube wells/boreholes/handpumps_WASH_agency]]+WWWW[[#This Row],['#_Non-Cluster partner water tube-wells/boreholes/handpumps]])-WWWW[[#This Row],['#_Non-functional tube wells/boreholes/handpumps]]</f>
        <v>0</v>
      </c>
      <c r="BV158" s="80">
        <f>WWWW[[#This Row],['#_Constructed/Existingwater storage tank with gravity fed reticulation system]]-WWWW[[#This Row],['#_Non-functional storage tank gravity fed reticulation system]]</f>
        <v>1</v>
      </c>
      <c r="BW158" s="80">
        <f>WWWW[[#This Row],['#_Water boating or water trucking]]</f>
        <v>0</v>
      </c>
      <c r="BX158" s="80">
        <f>WWWW[[#This Row],['#_Constructed/Existing water distribution system from river or natural spring]]</f>
        <v>0</v>
      </c>
      <c r="BY15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0.76628352490421459</v>
      </c>
      <c r="BZ15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0.76628352490421459</v>
      </c>
      <c r="CA158" s="81">
        <f>IF(WWWW[[#This Row],[Location Type 1]]="Village",WWWW[[#This Row],[Access to safe drinking water for Village]],WWWW[[#This Row],[Access to safe drinking water for Camp]])</f>
        <v>0.76628352490421459</v>
      </c>
      <c r="CB158" s="79">
        <f>WWWW[[#This Row],[%Equitable and continuous access to sufficient quantity of safe drinking water]]*WWWW[[#This Row],[Total PoP ]]</f>
        <v>66.666666666666671</v>
      </c>
      <c r="CC158" s="81">
        <f>IF((WWWW[[#This Row],['#_Constructed/Existing protected/fenced ponds]]*250)/WWWW[[#This Row],[Total PoP ]]&gt;1,1,(WWWW[[#This Row],['#_Constructed/Existing protected/fenced ponds]]*250)/WWWW[[#This Row],[Total PoP ]])</f>
        <v>0</v>
      </c>
      <c r="CD158" s="79">
        <f>WWWW[[#This Row],[% Access to unimproved water points]]*WWWW[[#This Row],[Total PoP ]]</f>
        <v>0</v>
      </c>
      <c r="CE15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F15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158" s="79">
        <f>WWWW[[#This Row],[HRP1]]/500</f>
        <v>0.13333333333333333</v>
      </c>
      <c r="CH158" s="78">
        <f>1-WWWW[[#This Row],[% Equitable and continuous access to sufficient quantity of domestic water]]</f>
        <v>0.23371647509578541</v>
      </c>
      <c r="CI158" s="79">
        <f>WWWW[[#This Row],[%equitable and continuous access to sufficient quantity of safe drinking and domestic water''s GAP]]*WWWW[[#This Row],[Total PoP ]]</f>
        <v>20.333333333333332</v>
      </c>
      <c r="CJ158" s="80">
        <f>IF(WWWW[[#This Row],[Total required water points]]-WWWW[[#This Row],['#Water points coverage]]&lt;0,0,WWWW[[#This Row],[Total required water points]]-WWWW[[#This Row],['#Water points coverage]])</f>
        <v>0.8666666666666667</v>
      </c>
      <c r="CK158" s="80">
        <f>ROUND(IF(WWWW[[#This Row],[Total PoP ]]&lt;500,1,WWWW[[#This Row],[Total PoP ]]/500),0)</f>
        <v>1</v>
      </c>
      <c r="CL158" s="80">
        <f>(WWWW[[#This Row],['#_Constructed latrines_by_WASHAgencies]]+WWWW[[#This Row],['#_Non Cluster partner latrines]])-WWWW[[#This Row],['#_Non-functional latrines]]</f>
        <v>10</v>
      </c>
      <c r="CM15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5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87</v>
      </c>
      <c r="CO15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58" s="80">
        <f>IF(WWWW[[#This Row],[Location Type 1]]="Village","NA",IF(WWWW[[#This Row],['#_Constructed/Existing latrines in TLS]]*50&gt;WWWW[[#This Row],['#_students at TLS_CFS]],WWWW[[#This Row],['#_students at TLS_CFS]],(WWWW[[#This Row],['#_Constructed/Existing latrines in TLS]]*50)))</f>
        <v>0</v>
      </c>
      <c r="CQ158" s="80">
        <f>ROUND(IF(WWWW[[#This Row],[Location Type 1]]="camp",WWWW[[#This Row],[Total PoP ]]/20,IF(WWWW[[#This Row],[Location Type 1]]="Temporary Location",WWWW[[#This Row],[Total PoP ]]/50,(WWWW[[#This Row],[Total PoP ]]/6))),0)</f>
        <v>4</v>
      </c>
      <c r="CR158" s="79">
        <f>IF(WWWW[[#This Row],[Total required Latrines]]-(WWWW[[#This Row],['#_Constructed latrines_by_WASHAgencies]]+WWWW[[#This Row],['#_Non Cluster partner latrines]])&lt;0,0,WWWW[[#This Row],[Total required Latrines]]-(WWWW[[#This Row],['#_Constructed latrines_by_WASHAgencies]]+WWWW[[#This Row],['#_Non Cluster partner latrines]]))</f>
        <v>0</v>
      </c>
      <c r="CS158" s="78">
        <f>1-WWWW[[#This Row],[% people access to functioning Latrine]]</f>
        <v>0</v>
      </c>
      <c r="CT158" s="82">
        <f>IF(OR(WWWW[[#This Row],['#_Non-functional latrines]]="",WWWW[[#This Row],['#_Non-functional latrines]]=0),0,WWWW[[#This Row],['#_Non-functional latrines]]/(WWWW[[#This Row],['#_Constructed latrines_by_WASHAgencies]]+WWWW[[#This Row],['#_Non Cluster partner latrines]]))</f>
        <v>0</v>
      </c>
      <c r="CU158" s="79">
        <f>IF(500*(WWWW[[#This Row],['#_male hygiene promoters]]+WWWW[[#This Row],['#_female hygiene promoters]])&gt;WWWW[[#This Row],[Total PoP ]],WWWW[[#This Row],[Total PoP ]],500*(WWWW[[#This Row],['#_male hygiene promoters]]+WWWW[[#This Row],['#_female hygiene promoters]]))</f>
        <v>87</v>
      </c>
      <c r="CV15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8" s="80">
        <f>IF(WWWW[[#This Row],['# People with access to soap]]&gt;WWWW[[#This Row],['# People with access to Sanity Pads]],WWWW[[#This Row],['# People with access to soap]],WWWW[[#This Row],['# People with access to Sanity Pads]])</f>
        <v>0</v>
      </c>
      <c r="CY158" s="80">
        <f>IF(WWWW[[#This Row],['# people reached by regular dedicated hygiene promotion_5]]&gt;WWWW[[#This Row],['# People received regular supply of hygiene items_6]],WWWW[[#This Row],['# people reached by regular dedicated hygiene promotion_5]],WWWW[[#This Row],['# People received regular supply of hygiene items_6]])</f>
        <v>87</v>
      </c>
      <c r="CZ158" s="78">
        <f>IF(WWWW[[#This Row],[HRP3]]/WWWW[[#This Row],[Total PoP ]]&gt;100%,100%,WWWW[[#This Row],[HRP3]]/WWWW[[#This Row],[Total PoP ]])</f>
        <v>1</v>
      </c>
      <c r="DA158" s="82">
        <f>1-WWWW[[#This Row],[Hygiene Coverage%]]</f>
        <v>0</v>
      </c>
      <c r="DB158" s="81">
        <f>WWWW[[#This Row],['# people reached by regular dedicated hygiene promotion_5]]/WWWW[[#This Row],[Total PoP ]]</f>
        <v>1</v>
      </c>
      <c r="DC158" s="81">
        <f>IF(WWWW[[#This Row],['#_households that received standard amount of soap for this quarter]]/WWWW[[#This Row],[Total HH]]&gt;1,1,WWWW[[#This Row],['#_households that received standard amount of soap for this quarter]]/WWWW[[#This Row],[Total HH]])</f>
        <v>0</v>
      </c>
      <c r="DD158" s="81">
        <f>IF(WWWW[[#This Row],['#_households that received standard amount of sanitary pads for this quarter]]/WWWW[[#This Row],[Total HH]]&gt;1,1,WWWW[[#This Row],['#_households that received standard amount of sanitary pads for this quarter]]/WWWW[[#This Row],[Total HH]])</f>
        <v>0</v>
      </c>
      <c r="DE158" s="80">
        <f>WWWW[[#This Row],['#_Constructed/Existing hand washing stations]]-WWWW[[#This Row],['#_Non-Functional_hand_washing_stations]]</f>
        <v>0</v>
      </c>
      <c r="DF158" s="757">
        <f>IF(WWWW[[#This Row],['# Functional hand washing stations during reporting period]]*20&gt;WWWW[[#This Row],[Total HH]],WWWW[[#This Row],[Total HH]],WWWW[[#This Row],['# Functional hand washing stations during reporting period]]*20)</f>
        <v>0</v>
      </c>
      <c r="DG158" s="79">
        <f>IF(WWWW[[#This Row],[Is sufficient soap available for TLS? (Yes/No)]]="yes",WWWW[[#This Row],['#_Constructed/Existing hand washing stations at TLS]],0)</f>
        <v>0</v>
      </c>
      <c r="DH158" s="578">
        <f>IF(WWWW[[#This Row],['# Functional hand washing stations during reporting period]]*100&gt;WWWW[[#This Row],[Total PoP ]],WWWW[[#This Row],[Total PoP ]],WWWW[[#This Row],['# Functional hand washing stations during reporting period]]*100)</f>
        <v>0</v>
      </c>
      <c r="DI158" s="578" t="str">
        <f>IF(OR(WWWW[[#This Row],['#_students at TLS_CFS]]="",WWWW[[#This Row],['#_students at TLS_CFS]]=0),"No","Yes")</f>
        <v>No</v>
      </c>
      <c r="DJ158" s="231">
        <f>VLOOKUP(WWWW[[#This Row],[Site Name]],SiteDB6[[Site Name]:[CCCM Management]],6,FALSE)</f>
        <v>0</v>
      </c>
      <c r="DK158" s="231" t="str">
        <f>VLOOKUP(WWWW[[#This Row],[Site Name]],SiteDB6[[Site Name]:[CCCM Focal Agency]],7,FALSE)</f>
        <v>uncovered</v>
      </c>
      <c r="DL158" s="231" t="str">
        <f>VLOOKUP(WWWW[[#This Row],[Site Name]],SiteDB6[[Site Name]:[Location Type 1]],9,FALSE)</f>
        <v>Camp</v>
      </c>
      <c r="DM158" s="231" t="str">
        <f>VLOOKUP(WWWW[[#This Row],[Site Name]],SiteDB6[[Site Name]:[Type of Accommodation]],10,FALSE)</f>
        <v>Camp like setting</v>
      </c>
      <c r="DN158" s="231" t="str">
        <f>VLOOKUP(WWWW[[#This Row],[Site Name]],SiteDB6[[Site Name]:[Ethnic or GCA/NGCA]],11,FALSE)</f>
        <v>GCA</v>
      </c>
      <c r="DO158" s="231">
        <f>VLOOKUP(WWWW[[#This Row],[Site Name]],SiteDB6[[Site Name]:[Lat]],12,FALSE)</f>
        <v>0</v>
      </c>
      <c r="DP158" s="231">
        <f>VLOOKUP(WWWW[[#This Row],[Site Name]],SiteDB6[[Site Name]:[Long]],13,FALSE)</f>
        <v>0</v>
      </c>
      <c r="DQ158" s="231" t="str">
        <f>VLOOKUP(WWWW[[#This Row],[Site Name]],SiteDB6[[Site Name]:[Pcode]],3,FALSE)</f>
        <v>MMR001CMP267</v>
      </c>
      <c r="DR158" s="207" t="str">
        <f t="shared" si="5"/>
        <v>Covered</v>
      </c>
      <c r="DS158" s="207"/>
      <c r="DT158" s="20"/>
      <c r="DU158" s="20"/>
      <c r="DV158" s="20"/>
      <c r="DW158" s="20"/>
      <c r="DX158" s="20"/>
      <c r="DY158" s="20"/>
      <c r="DZ158" s="20"/>
      <c r="EA158" s="20"/>
      <c r="EB158" s="20"/>
      <c r="EC158" s="20"/>
      <c r="ED158" s="20"/>
      <c r="EE158" s="20"/>
      <c r="EF158" s="20"/>
      <c r="EG158" s="20"/>
      <c r="EH158" s="20"/>
    </row>
    <row r="159" spans="1:138" ht="15.75" customHeight="1">
      <c r="A159" s="238" t="s">
        <v>2518</v>
      </c>
      <c r="B159" s="574" t="s">
        <v>250</v>
      </c>
      <c r="C159" s="574" t="s">
        <v>250</v>
      </c>
      <c r="D159" s="574" t="s">
        <v>315</v>
      </c>
      <c r="E159" s="574" t="s">
        <v>39</v>
      </c>
      <c r="F159" s="574" t="s">
        <v>150</v>
      </c>
      <c r="G159" s="574" t="str">
        <f>VLOOKUP(WWWW[[#This Row],[Site Name]],SiteDB6[[Site Name]:[Location Type]],8,FALSE)</f>
        <v>Camp</v>
      </c>
      <c r="H159" s="574" t="s">
        <v>280</v>
      </c>
      <c r="I159" s="583">
        <v>36</v>
      </c>
      <c r="J159" s="583">
        <v>189</v>
      </c>
      <c r="K159" s="553">
        <v>43313</v>
      </c>
      <c r="L159" s="58">
        <v>44043</v>
      </c>
      <c r="M159" s="583">
        <v>0</v>
      </c>
      <c r="N159" s="583">
        <v>1</v>
      </c>
      <c r="O159" s="583">
        <v>0</v>
      </c>
      <c r="P159" s="583">
        <v>0</v>
      </c>
      <c r="Q159" s="574" t="s">
        <v>43</v>
      </c>
      <c r="R159" s="310">
        <v>2</v>
      </c>
      <c r="S159" s="310">
        <v>2</v>
      </c>
      <c r="T159" s="310">
        <v>2</v>
      </c>
      <c r="U159" s="310">
        <v>0</v>
      </c>
      <c r="V159" s="310">
        <v>0</v>
      </c>
      <c r="W159" s="310">
        <v>0</v>
      </c>
      <c r="X159" s="310">
        <v>2</v>
      </c>
      <c r="Y159" s="310">
        <v>0</v>
      </c>
      <c r="Z159" s="310">
        <v>0</v>
      </c>
      <c r="AA159" s="583">
        <v>0</v>
      </c>
      <c r="AB159" s="310">
        <v>0</v>
      </c>
      <c r="AC159" s="310">
        <v>0</v>
      </c>
      <c r="AD159" s="310">
        <v>0</v>
      </c>
      <c r="AE159" s="310">
        <v>0</v>
      </c>
      <c r="AF159" s="310">
        <v>0</v>
      </c>
      <c r="AG159" s="310">
        <v>0</v>
      </c>
      <c r="AH159" s="310">
        <v>0</v>
      </c>
      <c r="AI159" s="310"/>
      <c r="AJ159" s="310"/>
      <c r="AK159" s="310"/>
      <c r="AL159" s="310"/>
      <c r="AM159" s="310">
        <v>0</v>
      </c>
      <c r="AN159" s="310">
        <v>0</v>
      </c>
      <c r="AO159" s="207"/>
      <c r="AP159" s="310">
        <v>8</v>
      </c>
      <c r="AQ159" s="310">
        <v>0</v>
      </c>
      <c r="AR159" s="76">
        <v>0</v>
      </c>
      <c r="AS159" s="310">
        <v>0</v>
      </c>
      <c r="AT159" s="310">
        <v>0</v>
      </c>
      <c r="AU159" s="310">
        <v>8</v>
      </c>
      <c r="AV159" s="310"/>
      <c r="AW159" s="583">
        <v>0</v>
      </c>
      <c r="AX159" s="581" t="s">
        <v>43</v>
      </c>
      <c r="AY159" s="231" t="s">
        <v>145</v>
      </c>
      <c r="AZ159" s="310">
        <v>0</v>
      </c>
      <c r="BA159" s="310">
        <v>0</v>
      </c>
      <c r="BB159" s="310">
        <v>0</v>
      </c>
      <c r="BC159" s="207"/>
      <c r="BD159" s="310">
        <v>3</v>
      </c>
      <c r="BE159" s="310">
        <v>1</v>
      </c>
      <c r="BF159" s="310">
        <v>4</v>
      </c>
      <c r="BG159" s="310">
        <v>4</v>
      </c>
      <c r="BH159" s="310">
        <v>0</v>
      </c>
      <c r="BI159" s="310">
        <v>0</v>
      </c>
      <c r="BJ159" s="310">
        <v>0</v>
      </c>
      <c r="BK159" s="310">
        <v>0</v>
      </c>
      <c r="BL159" s="310">
        <v>0</v>
      </c>
      <c r="BM159" s="207" t="s">
        <v>144</v>
      </c>
      <c r="BN159" s="79">
        <v>0</v>
      </c>
      <c r="BO159" s="81">
        <v>0</v>
      </c>
      <c r="BP159" s="207"/>
      <c r="BQ159" s="78" t="str">
        <f>IFERROR(WWWW[[#This Row],['#_Water sources treated]]/WWWW[[#This Row],['#_Water sources tested for contamination]],"no test")</f>
        <v>no test</v>
      </c>
      <c r="BR159" s="81" t="str">
        <f>IFERROR(WWWW[[#This Row],['#_Household received remediation action due to contamination]]/WWWW[[#This Row],['#_Household water samples tested for contamination]],"no test")</f>
        <v>no test</v>
      </c>
      <c r="BS159" s="80" t="str">
        <f>IF(AND(WWWW[[#This Row],[% of water sources treated]]="no test",WWWW[[#This Row],[% Household received corrective actions]]="no test"),"No Test","Tested")</f>
        <v>No Test</v>
      </c>
      <c r="BT159" s="80">
        <f>WWWW[[#This Row],['#_Constructed/existing protected hand dug well]]-WWWW[[#This Row],['#_Non-functional protected hand dug well]]</f>
        <v>2</v>
      </c>
      <c r="BU159" s="80">
        <f>(WWWW[[#This Row],['#_Constructed/Existing tube wells/boreholes/handpumps_WASH_agency]]+WWWW[[#This Row],['#_Non-Cluster partner water tube-wells/boreholes/handpumps]])-WWWW[[#This Row],['#_Non-functional tube wells/boreholes/handpumps]]</f>
        <v>2</v>
      </c>
      <c r="BV159" s="80">
        <f>WWWW[[#This Row],['#_Constructed/Existingwater storage tank with gravity fed reticulation system]]-WWWW[[#This Row],['#_Non-functional storage tank gravity fed reticulation system]]</f>
        <v>0</v>
      </c>
      <c r="BW159" s="80">
        <f>WWWW[[#This Row],['#_Water boating or water trucking]]</f>
        <v>0</v>
      </c>
      <c r="BX159" s="80">
        <f>WWWW[[#This Row],['#_Constructed/Existing water distribution system from river or natural spring]]</f>
        <v>0</v>
      </c>
      <c r="BY159"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59"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59" s="81">
        <f>IF(WWWW[[#This Row],[Location Type 1]]="Village",WWWW[[#This Row],[Access to safe drinking water for Village]],WWWW[[#This Row],[Access to safe drinking water for Camp]])</f>
        <v>1</v>
      </c>
      <c r="CB159" s="79">
        <f>WWWW[[#This Row],[%Equitable and continuous access to sufficient quantity of safe drinking water]]*WWWW[[#This Row],[Total PoP ]]</f>
        <v>189</v>
      </c>
      <c r="CC159" s="81">
        <f>IF((WWWW[[#This Row],['#_Constructed/Existing protected/fenced ponds]]*250)/WWWW[[#This Row],[Total PoP ]]&gt;1,1,(WWWW[[#This Row],['#_Constructed/Existing protected/fenced ponds]]*250)/WWWW[[#This Row],[Total PoP ]])</f>
        <v>0</v>
      </c>
      <c r="CD159" s="79">
        <f>WWWW[[#This Row],[% Access to unimproved water points]]*WWWW[[#This Row],[Total PoP ]]</f>
        <v>0</v>
      </c>
      <c r="CE159"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59"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G159" s="79">
        <f>WWWW[[#This Row],[HRP1]]/500</f>
        <v>0.378</v>
      </c>
      <c r="CH159" s="78">
        <f>1-WWWW[[#This Row],[% Equitable and continuous access to sufficient quantity of domestic water]]</f>
        <v>0</v>
      </c>
      <c r="CI159" s="79">
        <f>WWWW[[#This Row],[%equitable and continuous access to sufficient quantity of safe drinking and domestic water''s GAP]]*WWWW[[#This Row],[Total PoP ]]</f>
        <v>0</v>
      </c>
      <c r="CJ159" s="80">
        <f>IF(WWWW[[#This Row],[Total required water points]]-WWWW[[#This Row],['#Water points coverage]]&lt;0,0,WWWW[[#This Row],[Total required water points]]-WWWW[[#This Row],['#Water points coverage]])</f>
        <v>0.622</v>
      </c>
      <c r="CK159" s="80">
        <f>ROUND(IF(WWWW[[#This Row],[Total PoP ]]&lt;500,1,WWWW[[#This Row],[Total PoP ]]/500),0)</f>
        <v>1</v>
      </c>
      <c r="CL159" s="80">
        <f>(WWWW[[#This Row],['#_Constructed latrines_by_WASHAgencies]]+WWWW[[#This Row],['#_Non Cluster partner latrines]])-WWWW[[#This Row],['#_Non-functional latrines]]</f>
        <v>8</v>
      </c>
      <c r="CM159"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0.84656084656084651</v>
      </c>
      <c r="CN159"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159"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P159" s="80">
        <f>IF(WWWW[[#This Row],[Location Type 1]]="Village","NA",IF(WWWW[[#This Row],['#_Constructed/Existing latrines in TLS]]*50&gt;WWWW[[#This Row],['#_students at TLS_CFS]],WWWW[[#This Row],['#_students at TLS_CFS]],(WWWW[[#This Row],['#_Constructed/Existing latrines in TLS]]*50)))</f>
        <v>0</v>
      </c>
      <c r="CQ159" s="80">
        <f>ROUND(IF(WWWW[[#This Row],[Location Type 1]]="camp",WWWW[[#This Row],[Total PoP ]]/20,IF(WWWW[[#This Row],[Location Type 1]]="Temporary Location",WWWW[[#This Row],[Total PoP ]]/50,(WWWW[[#This Row],[Total PoP ]]/6))),0)</f>
        <v>9</v>
      </c>
      <c r="CR159" s="79">
        <f>IF(WWWW[[#This Row],[Total required Latrines]]-(WWWW[[#This Row],['#_Constructed latrines_by_WASHAgencies]]+WWWW[[#This Row],['#_Non Cluster partner latrines]])&lt;0,0,WWWW[[#This Row],[Total required Latrines]]-(WWWW[[#This Row],['#_Constructed latrines_by_WASHAgencies]]+WWWW[[#This Row],['#_Non Cluster partner latrines]]))</f>
        <v>1</v>
      </c>
      <c r="CS159" s="78">
        <f>1-WWWW[[#This Row],[% people access to functioning Latrine]]</f>
        <v>0.15343915343915349</v>
      </c>
      <c r="CT159" s="82">
        <f>IF(OR(WWWW[[#This Row],['#_Non-functional latrines]]="",WWWW[[#This Row],['#_Non-functional latrines]]=0),0,WWWW[[#This Row],['#_Non-functional latrines]]/(WWWW[[#This Row],['#_Constructed latrines_by_WASHAgencies]]+WWWW[[#This Row],['#_Non Cluster partner latrines]]))</f>
        <v>0</v>
      </c>
      <c r="CU159" s="79">
        <f>IF(500*(WWWW[[#This Row],['#_male hygiene promoters]]+WWWW[[#This Row],['#_female hygiene promoters]])&gt;WWWW[[#This Row],[Total PoP ]],WWWW[[#This Row],[Total PoP ]],500*(WWWW[[#This Row],['#_male hygiene promoters]]+WWWW[[#This Row],['#_female hygiene promoters]]))</f>
        <v>0</v>
      </c>
      <c r="CV159"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59"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59" s="80">
        <f>IF(WWWW[[#This Row],['# People with access to soap]]&gt;WWWW[[#This Row],['# People with access to Sanity Pads]],WWWW[[#This Row],['# People with access to soap]],WWWW[[#This Row],['# People with access to Sanity Pads]])</f>
        <v>0</v>
      </c>
      <c r="CY159"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59" s="78">
        <f>IF(WWWW[[#This Row],[HRP3]]/WWWW[[#This Row],[Total PoP ]]&gt;100%,100%,WWWW[[#This Row],[HRP3]]/WWWW[[#This Row],[Total PoP ]])</f>
        <v>0</v>
      </c>
      <c r="DA159" s="82">
        <f>1-WWWW[[#This Row],[Hygiene Coverage%]]</f>
        <v>1</v>
      </c>
      <c r="DB159" s="81">
        <f>WWWW[[#This Row],['# people reached by regular dedicated hygiene promotion_5]]/WWWW[[#This Row],[Total PoP ]]</f>
        <v>0</v>
      </c>
      <c r="DC159" s="81">
        <f>IF(WWWW[[#This Row],['#_households that received standard amount of soap for this quarter]]/WWWW[[#This Row],[Total HH]]&gt;1,1,WWWW[[#This Row],['#_households that received standard amount of soap for this quarter]]/WWWW[[#This Row],[Total HH]])</f>
        <v>0</v>
      </c>
      <c r="DD159" s="81">
        <f>IF(WWWW[[#This Row],['#_households that received standard amount of sanitary pads for this quarter]]/WWWW[[#This Row],[Total HH]]&gt;1,1,WWWW[[#This Row],['#_households that received standard amount of sanitary pads for this quarter]]/WWWW[[#This Row],[Total HH]])</f>
        <v>0</v>
      </c>
      <c r="DE159" s="80">
        <f>WWWW[[#This Row],['#_Constructed/Existing hand washing stations]]-WWWW[[#This Row],['#_Non-Functional_hand_washing_stations]]</f>
        <v>2</v>
      </c>
      <c r="DF159" s="757">
        <f>IF(WWWW[[#This Row],['# Functional hand washing stations during reporting period]]*20&gt;WWWW[[#This Row],[Total HH]],WWWW[[#This Row],[Total HH]],WWWW[[#This Row],['# Functional hand washing stations during reporting period]]*20)</f>
        <v>36</v>
      </c>
      <c r="DG159" s="79">
        <f>IF(WWWW[[#This Row],[Is sufficient soap available for TLS? (Yes/No)]]="yes",WWWW[[#This Row],['#_Constructed/Existing hand washing stations at TLS]],0)</f>
        <v>0</v>
      </c>
      <c r="DH159" s="578">
        <f>IF(WWWW[[#This Row],['# Functional hand washing stations during reporting period]]*100&gt;WWWW[[#This Row],[Total PoP ]],WWWW[[#This Row],[Total PoP ]],WWWW[[#This Row],['# Functional hand washing stations during reporting period]]*100)</f>
        <v>189</v>
      </c>
      <c r="DI159" s="578" t="str">
        <f>IF(OR(WWWW[[#This Row],['#_students at TLS_CFS]]="",WWWW[[#This Row],['#_students at TLS_CFS]]=0),"No","Yes")</f>
        <v>No</v>
      </c>
      <c r="DJ159" s="231" t="str">
        <f>VLOOKUP(WWWW[[#This Row],[Site Name]],SiteDB6[[Site Name]:[CCCM Management]],6,FALSE)</f>
        <v>Yes</v>
      </c>
      <c r="DK159" s="231" t="str">
        <f>VLOOKUP(WWWW[[#This Row],[Site Name]],SiteDB6[[Site Name]:[CCCM Focal Agency]],7,FALSE)</f>
        <v>Shalom</v>
      </c>
      <c r="DL159" s="231" t="str">
        <f>VLOOKUP(WWWW[[#This Row],[Site Name]],SiteDB6[[Site Name]:[Location Type 1]],9,FALSE)</f>
        <v>Camp</v>
      </c>
      <c r="DM159" s="231" t="str">
        <f>VLOOKUP(WWWW[[#This Row],[Site Name]],SiteDB6[[Site Name]:[Type of Accommodation]],10,FALSE)</f>
        <v>Camp</v>
      </c>
      <c r="DN159" s="231" t="str">
        <f>VLOOKUP(WWWW[[#This Row],[Site Name]],SiteDB6[[Site Name]:[Ethnic or GCA/NGCA]],11,FALSE)</f>
        <v>GCA</v>
      </c>
      <c r="DO159" s="231">
        <f>VLOOKUP(WWWW[[#This Row],[Site Name]],SiteDB6[[Site Name]:[Lat]],12,FALSE)</f>
        <v>25.345918166666699</v>
      </c>
      <c r="DP159" s="231">
        <f>VLOOKUP(WWWW[[#This Row],[Site Name]],SiteDB6[[Site Name]:[Long]],13,FALSE)</f>
        <v>97.437472666666693</v>
      </c>
      <c r="DQ159" s="231" t="str">
        <f>VLOOKUP(WWWW[[#This Row],[Site Name]],SiteDB6[[Site Name]:[Pcode]],3,FALSE)</f>
        <v>MMR001CMP030</v>
      </c>
      <c r="DR159" s="207" t="str">
        <f t="shared" si="5"/>
        <v>Covered</v>
      </c>
      <c r="DS159" s="207"/>
      <c r="DT159" s="20"/>
      <c r="DU159" s="20"/>
      <c r="DV159" s="20"/>
      <c r="DW159" s="20"/>
      <c r="DX159" s="20"/>
      <c r="DY159" s="20"/>
      <c r="DZ159" s="20"/>
      <c r="EA159" s="20"/>
      <c r="EB159" s="20"/>
      <c r="EC159" s="20"/>
      <c r="ED159" s="20"/>
      <c r="EE159" s="20"/>
      <c r="EF159" s="20"/>
      <c r="EG159" s="20"/>
      <c r="EH159" s="20"/>
    </row>
    <row r="160" spans="1:138" ht="15.75" customHeight="1">
      <c r="A160" s="238" t="s">
        <v>2518</v>
      </c>
      <c r="B160" s="574" t="s">
        <v>317</v>
      </c>
      <c r="C160" s="574" t="s">
        <v>317</v>
      </c>
      <c r="D160" s="574"/>
      <c r="E160" s="574" t="s">
        <v>39</v>
      </c>
      <c r="F160" s="574" t="s">
        <v>150</v>
      </c>
      <c r="G160" s="574" t="str">
        <f>VLOOKUP(WWWW[[#This Row],[Site Name]],SiteDB6[[Site Name]:[Location Type]],8,FALSE)</f>
        <v>Camp</v>
      </c>
      <c r="H160" s="76" t="s">
        <v>1064</v>
      </c>
      <c r="I160" s="583">
        <v>80</v>
      </c>
      <c r="J160" s="583">
        <v>449</v>
      </c>
      <c r="K160" s="553"/>
      <c r="L160" s="77"/>
      <c r="M160" s="583"/>
      <c r="N160" s="583"/>
      <c r="O160" s="583"/>
      <c r="P160" s="583"/>
      <c r="Q160" s="76"/>
      <c r="R160" s="310"/>
      <c r="S160" s="310"/>
      <c r="T160" s="310"/>
      <c r="U160" s="310"/>
      <c r="V160" s="310"/>
      <c r="W160" s="310"/>
      <c r="X160" s="310"/>
      <c r="Y160" s="310"/>
      <c r="Z160" s="310"/>
      <c r="AA160" s="583"/>
      <c r="AB160" s="310"/>
      <c r="AC160" s="310"/>
      <c r="AD160" s="310"/>
      <c r="AE160" s="310"/>
      <c r="AF160" s="310"/>
      <c r="AG160" s="310"/>
      <c r="AH160" s="310"/>
      <c r="AI160" s="310"/>
      <c r="AJ160" s="310"/>
      <c r="AK160" s="310"/>
      <c r="AL160" s="310"/>
      <c r="AM160" s="310"/>
      <c r="AN160" s="310"/>
      <c r="AO160" s="207"/>
      <c r="AP160" s="310"/>
      <c r="AQ160" s="310"/>
      <c r="AR160" s="76"/>
      <c r="AS160" s="310"/>
      <c r="AT160" s="310"/>
      <c r="AU160" s="310"/>
      <c r="AV160" s="310"/>
      <c r="AW160" s="310"/>
      <c r="AX160" s="231"/>
      <c r="AY160" s="231"/>
      <c r="AZ160" s="310"/>
      <c r="BA160" s="310"/>
      <c r="BB160" s="310"/>
      <c r="BC160" s="207"/>
      <c r="BD160" s="310"/>
      <c r="BE160" s="310"/>
      <c r="BF160" s="310"/>
      <c r="BG160" s="310"/>
      <c r="BH160" s="310"/>
      <c r="BI160" s="310"/>
      <c r="BJ160" s="310"/>
      <c r="BK160" s="310"/>
      <c r="BL160" s="310"/>
      <c r="BM160" s="207"/>
      <c r="BN160" s="79"/>
      <c r="BO160" s="81"/>
      <c r="BP160" s="207"/>
      <c r="BQ160" s="78" t="str">
        <f>IFERROR(WWWW[[#This Row],['#_Water sources treated]]/WWWW[[#This Row],['#_Water sources tested for contamination]],"no test")</f>
        <v>no test</v>
      </c>
      <c r="BR160" s="81" t="str">
        <f>IFERROR(WWWW[[#This Row],['#_Household received remediation action due to contamination]]/WWWW[[#This Row],['#_Household water samples tested for contamination]],"no test")</f>
        <v>no test</v>
      </c>
      <c r="BS160" s="80" t="str">
        <f>IF(AND(WWWW[[#This Row],[% of water sources treated]]="no test",WWWW[[#This Row],[% Household received corrective actions]]="no test"),"No Test","Tested")</f>
        <v>No Test</v>
      </c>
      <c r="BT160" s="80">
        <f>WWWW[[#This Row],['#_Constructed/existing protected hand dug well]]-WWWW[[#This Row],['#_Non-functional protected hand dug well]]</f>
        <v>0</v>
      </c>
      <c r="BU160" s="80">
        <f>(WWWW[[#This Row],['#_Constructed/Existing tube wells/boreholes/handpumps_WASH_agency]]+WWWW[[#This Row],['#_Non-Cluster partner water tube-wells/boreholes/handpumps]])-WWWW[[#This Row],['#_Non-functional tube wells/boreholes/handpumps]]</f>
        <v>0</v>
      </c>
      <c r="BV160" s="80">
        <f>WWWW[[#This Row],['#_Constructed/Existingwater storage tank with gravity fed reticulation system]]-WWWW[[#This Row],['#_Non-functional storage tank gravity fed reticulation system]]</f>
        <v>0</v>
      </c>
      <c r="BW160" s="80">
        <f>WWWW[[#This Row],['#_Water boating or water trucking]]</f>
        <v>0</v>
      </c>
      <c r="BX160" s="80">
        <f>WWWW[[#This Row],['#_Constructed/Existing water distribution system from river or natural spring]]</f>
        <v>0</v>
      </c>
      <c r="BY160"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0"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0" s="81">
        <f>IF(WWWW[[#This Row],[Location Type 1]]="Village",WWWW[[#This Row],[Access to safe drinking water for Village]],WWWW[[#This Row],[Access to safe drinking water for Camp]])</f>
        <v>0</v>
      </c>
      <c r="CB160" s="79">
        <f>WWWW[[#This Row],[%Equitable and continuous access to sufficient quantity of safe drinking water]]*WWWW[[#This Row],[Total PoP ]]</f>
        <v>0</v>
      </c>
      <c r="CC160" s="81">
        <f>IF((WWWW[[#This Row],['#_Constructed/Existing protected/fenced ponds]]*250)/WWWW[[#This Row],[Total PoP ]]&gt;1,1,(WWWW[[#This Row],['#_Constructed/Existing protected/fenced ponds]]*250)/WWWW[[#This Row],[Total PoP ]])</f>
        <v>0</v>
      </c>
      <c r="CD160" s="79">
        <f>WWWW[[#This Row],[% Access to unimproved water points]]*WWWW[[#This Row],[Total PoP ]]</f>
        <v>0</v>
      </c>
      <c r="CE160"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0"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0" s="79">
        <f>WWWW[[#This Row],[HRP1]]/500</f>
        <v>0</v>
      </c>
      <c r="CH160" s="78">
        <f>1-WWWW[[#This Row],[% Equitable and continuous access to sufficient quantity of domestic water]]</f>
        <v>1</v>
      </c>
      <c r="CI160" s="79">
        <f>WWWW[[#This Row],[%equitable and continuous access to sufficient quantity of safe drinking and domestic water''s GAP]]*WWWW[[#This Row],[Total PoP ]]</f>
        <v>449</v>
      </c>
      <c r="CJ160" s="80">
        <f>IF(WWWW[[#This Row],[Total required water points]]-WWWW[[#This Row],['#Water points coverage]]&lt;0,0,WWWW[[#This Row],[Total required water points]]-WWWW[[#This Row],['#Water points coverage]])</f>
        <v>1</v>
      </c>
      <c r="CK160" s="80">
        <f>ROUND(IF(WWWW[[#This Row],[Total PoP ]]&lt;500,1,WWWW[[#This Row],[Total PoP ]]/500),0)</f>
        <v>1</v>
      </c>
      <c r="CL160" s="80">
        <f>(WWWW[[#This Row],['#_Constructed latrines_by_WASHAgencies]]+WWWW[[#This Row],['#_Non Cluster partner latrines]])-WWWW[[#This Row],['#_Non-functional latrines]]</f>
        <v>0</v>
      </c>
      <c r="CM160"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0"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0"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0" s="80">
        <f>IF(WWWW[[#This Row],[Location Type 1]]="Village","NA",IF(WWWW[[#This Row],['#_Constructed/Existing latrines in TLS]]*50&gt;WWWW[[#This Row],['#_students at TLS_CFS]],WWWW[[#This Row],['#_students at TLS_CFS]],(WWWW[[#This Row],['#_Constructed/Existing latrines in TLS]]*50)))</f>
        <v>0</v>
      </c>
      <c r="CQ160" s="80">
        <f>ROUND(IF(WWWW[[#This Row],[Location Type 1]]="camp",WWWW[[#This Row],[Total PoP ]]/20,IF(WWWW[[#This Row],[Location Type 1]]="Temporary Location",WWWW[[#This Row],[Total PoP ]]/50,(WWWW[[#This Row],[Total PoP ]]/6))),0)</f>
        <v>22</v>
      </c>
      <c r="CR160" s="79">
        <f>IF(WWWW[[#This Row],[Total required Latrines]]-(WWWW[[#This Row],['#_Constructed latrines_by_WASHAgencies]]+WWWW[[#This Row],['#_Non Cluster partner latrines]])&lt;0,0,WWWW[[#This Row],[Total required Latrines]]-(WWWW[[#This Row],['#_Constructed latrines_by_WASHAgencies]]+WWWW[[#This Row],['#_Non Cluster partner latrines]]))</f>
        <v>22</v>
      </c>
      <c r="CS160" s="78">
        <f>1-WWWW[[#This Row],[% people access to functioning Latrine]]</f>
        <v>1</v>
      </c>
      <c r="CT160" s="82">
        <f>IF(OR(WWWW[[#This Row],['#_Non-functional latrines]]="",WWWW[[#This Row],['#_Non-functional latrines]]=0),0,WWWW[[#This Row],['#_Non-functional latrines]]/(WWWW[[#This Row],['#_Constructed latrines_by_WASHAgencies]]+WWWW[[#This Row],['#_Non Cluster partner latrines]]))</f>
        <v>0</v>
      </c>
      <c r="CU160" s="79">
        <f>IF(500*(WWWW[[#This Row],['#_male hygiene promoters]]+WWWW[[#This Row],['#_female hygiene promoters]])&gt;WWWW[[#This Row],[Total PoP ]],WWWW[[#This Row],[Total PoP ]],500*(WWWW[[#This Row],['#_male hygiene promoters]]+WWWW[[#This Row],['#_female hygiene promoters]]))</f>
        <v>0</v>
      </c>
      <c r="CV160"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0"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0" s="80">
        <f>IF(WWWW[[#This Row],['# People with access to soap]]&gt;WWWW[[#This Row],['# People with access to Sanity Pads]],WWWW[[#This Row],['# People with access to soap]],WWWW[[#This Row],['# People with access to Sanity Pads]])</f>
        <v>0</v>
      </c>
      <c r="CY160"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0" s="78">
        <f>IF(WWWW[[#This Row],[HRP3]]/WWWW[[#This Row],[Total PoP ]]&gt;100%,100%,WWWW[[#This Row],[HRP3]]/WWWW[[#This Row],[Total PoP ]])</f>
        <v>0</v>
      </c>
      <c r="DA160" s="82">
        <f>1-WWWW[[#This Row],[Hygiene Coverage%]]</f>
        <v>1</v>
      </c>
      <c r="DB160" s="81">
        <f>WWWW[[#This Row],['# people reached by regular dedicated hygiene promotion_5]]/WWWW[[#This Row],[Total PoP ]]</f>
        <v>0</v>
      </c>
      <c r="DC160" s="81">
        <f>IF(WWWW[[#This Row],['#_households that received standard amount of soap for this quarter]]/WWWW[[#This Row],[Total HH]]&gt;1,1,WWWW[[#This Row],['#_households that received standard amount of soap for this quarter]]/WWWW[[#This Row],[Total HH]])</f>
        <v>0</v>
      </c>
      <c r="DD160" s="81">
        <f>IF(WWWW[[#This Row],['#_households that received standard amount of sanitary pads for this quarter]]/WWWW[[#This Row],[Total HH]]&gt;1,1,WWWW[[#This Row],['#_households that received standard amount of sanitary pads for this quarter]]/WWWW[[#This Row],[Total HH]])</f>
        <v>0</v>
      </c>
      <c r="DE160" s="80">
        <f>WWWW[[#This Row],['#_Constructed/Existing hand washing stations]]-WWWW[[#This Row],['#_Non-Functional_hand_washing_stations]]</f>
        <v>0</v>
      </c>
      <c r="DF160" s="757">
        <f>IF(WWWW[[#This Row],['# Functional hand washing stations during reporting period]]*20&gt;WWWW[[#This Row],[Total HH]],WWWW[[#This Row],[Total HH]],WWWW[[#This Row],['# Functional hand washing stations during reporting period]]*20)</f>
        <v>0</v>
      </c>
      <c r="DG160" s="79">
        <f>IF(WWWW[[#This Row],[Is sufficient soap available for TLS? (Yes/No)]]="yes",WWWW[[#This Row],['#_Constructed/Existing hand washing stations at TLS]],0)</f>
        <v>0</v>
      </c>
      <c r="DH160" s="578">
        <f>IF(WWWW[[#This Row],['# Functional hand washing stations during reporting period]]*100&gt;WWWW[[#This Row],[Total PoP ]],WWWW[[#This Row],[Total PoP ]],WWWW[[#This Row],['# Functional hand washing stations during reporting period]]*100)</f>
        <v>0</v>
      </c>
      <c r="DI160" s="578" t="str">
        <f>IF(OR(WWWW[[#This Row],['#_students at TLS_CFS]]="",WWWW[[#This Row],['#_students at TLS_CFS]]=0),"No","Yes")</f>
        <v>No</v>
      </c>
      <c r="DJ160" s="231">
        <f>VLOOKUP(WWWW[[#This Row],[Site Name]],SiteDB6[[Site Name]:[CCCM Management]],6,FALSE)</f>
        <v>0</v>
      </c>
      <c r="DK160" s="231" t="str">
        <f>VLOOKUP(WWWW[[#This Row],[Site Name]],SiteDB6[[Site Name]:[CCCM Focal Agency]],7,FALSE)</f>
        <v>uncovered</v>
      </c>
      <c r="DL160" s="231" t="str">
        <f>VLOOKUP(WWWW[[#This Row],[Site Name]],SiteDB6[[Site Name]:[Location Type 1]],9,FALSE)</f>
        <v>Camp</v>
      </c>
      <c r="DM160" s="231" t="str">
        <f>VLOOKUP(WWWW[[#This Row],[Site Name]],SiteDB6[[Site Name]:[Type of Accommodation]],10,FALSE)</f>
        <v>Camp like setting</v>
      </c>
      <c r="DN160" s="231" t="str">
        <f>VLOOKUP(WWWW[[#This Row],[Site Name]],SiteDB6[[Site Name]:[Ethnic or GCA/NGCA]],11,FALSE)</f>
        <v>GCA</v>
      </c>
      <c r="DO160" s="231">
        <f>VLOOKUP(WWWW[[#This Row],[Site Name]],SiteDB6[[Site Name]:[Lat]],12,FALSE)</f>
        <v>0</v>
      </c>
      <c r="DP160" s="231">
        <f>VLOOKUP(WWWW[[#This Row],[Site Name]],SiteDB6[[Site Name]:[Long]],13,FALSE)</f>
        <v>0</v>
      </c>
      <c r="DQ160" s="231" t="str">
        <f>VLOOKUP(WWWW[[#This Row],[Site Name]],SiteDB6[[Site Name]:[Pcode]],3,FALSE)</f>
        <v>MMR001CMP258</v>
      </c>
      <c r="DR160" s="207" t="str">
        <f t="shared" si="5"/>
        <v>Notcovered</v>
      </c>
      <c r="DS160" s="207"/>
      <c r="DT160" s="20"/>
      <c r="DU160" s="20"/>
      <c r="DV160" s="20"/>
      <c r="DW160" s="20"/>
      <c r="DX160" s="20"/>
      <c r="DY160" s="20"/>
      <c r="DZ160" s="20"/>
      <c r="EA160" s="20"/>
      <c r="EB160" s="20"/>
      <c r="EC160" s="20"/>
      <c r="ED160" s="20"/>
      <c r="EE160" s="20"/>
      <c r="EF160" s="20"/>
      <c r="EG160" s="20"/>
      <c r="EH160" s="20"/>
    </row>
    <row r="161" spans="1:138" ht="15.75" customHeight="1">
      <c r="A161" s="238" t="s">
        <v>2518</v>
      </c>
      <c r="B161" s="238" t="s">
        <v>149</v>
      </c>
      <c r="C161" s="574" t="s">
        <v>149</v>
      </c>
      <c r="D161" s="574" t="s">
        <v>158</v>
      </c>
      <c r="E161" s="574" t="s">
        <v>39</v>
      </c>
      <c r="F161" s="574" t="s">
        <v>167</v>
      </c>
      <c r="G161" s="574" t="str">
        <f>VLOOKUP(WWWW[[#This Row],[Site Name]],SiteDB6[[Site Name]:[Location Type]],8,FALSE)</f>
        <v>Camp</v>
      </c>
      <c r="H161" s="574" t="s">
        <v>2194</v>
      </c>
      <c r="I161" s="583">
        <v>169</v>
      </c>
      <c r="J161" s="583">
        <v>724</v>
      </c>
      <c r="K161" s="553">
        <v>43556</v>
      </c>
      <c r="L161" s="77">
        <v>43677</v>
      </c>
      <c r="M161" s="583"/>
      <c r="N161" s="583"/>
      <c r="O161" s="583"/>
      <c r="P161" s="583"/>
      <c r="Q161" s="574" t="s">
        <v>43</v>
      </c>
      <c r="R161" s="310"/>
      <c r="S161" s="310"/>
      <c r="T161" s="583">
        <v>1</v>
      </c>
      <c r="U161" s="310"/>
      <c r="V161" s="310"/>
      <c r="W161" s="583">
        <v>3</v>
      </c>
      <c r="X161" s="310"/>
      <c r="Y161" s="310"/>
      <c r="Z161" s="310"/>
      <c r="AA161" s="583"/>
      <c r="AB161" s="310"/>
      <c r="AC161" s="310"/>
      <c r="AD161" s="310">
        <v>900</v>
      </c>
      <c r="AE161" s="310"/>
      <c r="AF161" s="310"/>
      <c r="AG161" s="310"/>
      <c r="AH161" s="583">
        <v>4</v>
      </c>
      <c r="AI161" s="310"/>
      <c r="AJ161" s="310"/>
      <c r="AK161" s="310"/>
      <c r="AL161" s="310"/>
      <c r="AM161" s="310"/>
      <c r="AN161" s="310"/>
      <c r="AO161" s="207"/>
      <c r="AP161" s="583">
        <v>28</v>
      </c>
      <c r="AQ161" s="310"/>
      <c r="AR161" s="76"/>
      <c r="AS161" s="310"/>
      <c r="AT161" s="310"/>
      <c r="AU161" s="310">
        <v>7</v>
      </c>
      <c r="AV161" s="310"/>
      <c r="AW161" s="583">
        <v>10</v>
      </c>
      <c r="AX161" s="231" t="s">
        <v>43</v>
      </c>
      <c r="AY161" s="231" t="s">
        <v>145</v>
      </c>
      <c r="AZ161" s="310"/>
      <c r="BA161" s="310"/>
      <c r="BB161" s="310"/>
      <c r="BC161" s="207"/>
      <c r="BD161" s="310"/>
      <c r="BE161" s="310"/>
      <c r="BF161" s="310"/>
      <c r="BG161" s="310">
        <v>0</v>
      </c>
      <c r="BH161" s="310"/>
      <c r="BI161" s="310"/>
      <c r="BJ161" s="310">
        <v>2</v>
      </c>
      <c r="BK161" s="310"/>
      <c r="BL161" s="310"/>
      <c r="BM161" s="207"/>
      <c r="BN161" s="79"/>
      <c r="BO161" s="81"/>
      <c r="BP161" s="207"/>
      <c r="BQ161" s="78" t="str">
        <f>IFERROR(WWWW[[#This Row],['#_Water sources treated]]/WWWW[[#This Row],['#_Water sources tested for contamination]],"no test")</f>
        <v>no test</v>
      </c>
      <c r="BR161" s="81" t="str">
        <f>IFERROR(WWWW[[#This Row],['#_Household received remediation action due to contamination]]/WWWW[[#This Row],['#_Household water samples tested for contamination]],"no test")</f>
        <v>no test</v>
      </c>
      <c r="BS161" s="80" t="str">
        <f>IF(AND(WWWW[[#This Row],[% of water sources treated]]="no test",WWWW[[#This Row],[% Household received corrective actions]]="no test"),"No Test","Tested")</f>
        <v>No Test</v>
      </c>
      <c r="BT161" s="80">
        <f>WWWW[[#This Row],['#_Constructed/existing protected hand dug well]]-WWWW[[#This Row],['#_Non-functional protected hand dug well]]</f>
        <v>1</v>
      </c>
      <c r="BU161" s="80">
        <f>(WWWW[[#This Row],['#_Constructed/Existing tube wells/boreholes/handpumps_WASH_agency]]+WWWW[[#This Row],['#_Non-Cluster partner water tube-wells/boreholes/handpumps]])-WWWW[[#This Row],['#_Non-functional tube wells/boreholes/handpumps]]</f>
        <v>3</v>
      </c>
      <c r="BV161" s="80">
        <f>WWWW[[#This Row],['#_Constructed/Existingwater storage tank with gravity fed reticulation system]]-WWWW[[#This Row],['#_Non-functional storage tank gravity fed reticulation system]]</f>
        <v>0</v>
      </c>
      <c r="BW161" s="80">
        <f>WWWW[[#This Row],['#_Water boating or water trucking]]</f>
        <v>900</v>
      </c>
      <c r="BX161" s="80">
        <f>WWWW[[#This Row],['#_Constructed/Existing water distribution system from river or natural spring]]</f>
        <v>0</v>
      </c>
      <c r="BY161"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1"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61" s="81">
        <f>IF(WWWW[[#This Row],[Location Type 1]]="Village",WWWW[[#This Row],[Access to safe drinking water for Village]],WWWW[[#This Row],[Access to safe drinking water for Camp]])</f>
        <v>1</v>
      </c>
      <c r="CB161" s="79">
        <f>WWWW[[#This Row],[%Equitable and continuous access to sufficient quantity of safe drinking water]]*WWWW[[#This Row],[Total PoP ]]</f>
        <v>724</v>
      </c>
      <c r="CC161" s="81">
        <f>IF((WWWW[[#This Row],['#_Constructed/Existing protected/fenced ponds]]*250)/WWWW[[#This Row],[Total PoP ]]&gt;1,1,(WWWW[[#This Row],['#_Constructed/Existing protected/fenced ponds]]*250)/WWWW[[#This Row],[Total PoP ]])</f>
        <v>0</v>
      </c>
      <c r="CD161" s="79">
        <f>WWWW[[#This Row],[% Access to unimproved water points]]*WWWW[[#This Row],[Total PoP ]]</f>
        <v>0</v>
      </c>
      <c r="CE161"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1"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724</v>
      </c>
      <c r="CG161" s="79">
        <f>WWWW[[#This Row],[HRP1]]/500</f>
        <v>1.448</v>
      </c>
      <c r="CH161" s="78">
        <f>1-WWWW[[#This Row],[% Equitable and continuous access to sufficient quantity of domestic water]]</f>
        <v>0</v>
      </c>
      <c r="CI161" s="79">
        <f>WWWW[[#This Row],[%equitable and continuous access to sufficient quantity of safe drinking and domestic water''s GAP]]*WWWW[[#This Row],[Total PoP ]]</f>
        <v>0</v>
      </c>
      <c r="CJ161" s="80">
        <f>IF(WWWW[[#This Row],[Total required water points]]-WWWW[[#This Row],['#Water points coverage]]&lt;0,0,WWWW[[#This Row],[Total required water points]]-WWWW[[#This Row],['#Water points coverage]])</f>
        <v>0</v>
      </c>
      <c r="CK161" s="80">
        <f>ROUND(IF(WWWW[[#This Row],[Total PoP ]]&lt;500,1,WWWW[[#This Row],[Total PoP ]]/500),0)</f>
        <v>1</v>
      </c>
      <c r="CL161" s="80">
        <f>(WWWW[[#This Row],['#_Constructed latrines_by_WASHAgencies]]+WWWW[[#This Row],['#_Non Cluster partner latrines]])-WWWW[[#This Row],['#_Non-functional latrines]]</f>
        <v>28</v>
      </c>
      <c r="CM161"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0.77348066298342544</v>
      </c>
      <c r="CN161"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161"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161" s="80">
        <f>IF(WWWW[[#This Row],[Location Type 1]]="Village","NA",IF(WWWW[[#This Row],['#_Constructed/Existing latrines in TLS]]*50&gt;WWWW[[#This Row],['#_students at TLS_CFS]],WWWW[[#This Row],['#_students at TLS_CFS]],(WWWW[[#This Row],['#_Constructed/Existing latrines in TLS]]*50)))</f>
        <v>0</v>
      </c>
      <c r="CQ161" s="80">
        <f>ROUND(IF(WWWW[[#This Row],[Location Type 1]]="camp",WWWW[[#This Row],[Total PoP ]]/20,IF(WWWW[[#This Row],[Location Type 1]]="Temporary Location",WWWW[[#This Row],[Total PoP ]]/50,(WWWW[[#This Row],[Total PoP ]]/6))),0)</f>
        <v>36</v>
      </c>
      <c r="CR161" s="79">
        <f>IF(WWWW[[#This Row],[Total required Latrines]]-(WWWW[[#This Row],['#_Constructed latrines_by_WASHAgencies]]+WWWW[[#This Row],['#_Non Cluster partner latrines]])&lt;0,0,WWWW[[#This Row],[Total required Latrines]]-(WWWW[[#This Row],['#_Constructed latrines_by_WASHAgencies]]+WWWW[[#This Row],['#_Non Cluster partner latrines]]))</f>
        <v>8</v>
      </c>
      <c r="CS161" s="78">
        <f>1-WWWW[[#This Row],[% people access to functioning Latrine]]</f>
        <v>0.22651933701657456</v>
      </c>
      <c r="CT161" s="82">
        <f>IF(OR(WWWW[[#This Row],['#_Non-functional latrines]]="",WWWW[[#This Row],['#_Non-functional latrines]]=0),0,WWWW[[#This Row],['#_Non-functional latrines]]/(WWWW[[#This Row],['#_Constructed latrines_by_WASHAgencies]]+WWWW[[#This Row],['#_Non Cluster partner latrines]]))</f>
        <v>0</v>
      </c>
      <c r="CU161" s="79">
        <f>IF(500*(WWWW[[#This Row],['#_male hygiene promoters]]+WWWW[[#This Row],['#_female hygiene promoters]])&gt;WWWW[[#This Row],[Total PoP ]],WWWW[[#This Row],[Total PoP ]],500*(WWWW[[#This Row],['#_male hygiene promoters]]+WWWW[[#This Row],['#_female hygiene promoters]]))</f>
        <v>724</v>
      </c>
      <c r="CV161"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1"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1" s="80">
        <f>IF(WWWW[[#This Row],['# People with access to soap]]&gt;WWWW[[#This Row],['# People with access to Sanity Pads]],WWWW[[#This Row],['# People with access to soap]],WWWW[[#This Row],['# People with access to Sanity Pads]])</f>
        <v>0</v>
      </c>
      <c r="CY161" s="80">
        <f>IF(WWWW[[#This Row],['# people reached by regular dedicated hygiene promotion_5]]&gt;WWWW[[#This Row],['# People received regular supply of hygiene items_6]],WWWW[[#This Row],['# people reached by regular dedicated hygiene promotion_5]],WWWW[[#This Row],['# People received regular supply of hygiene items_6]])</f>
        <v>724</v>
      </c>
      <c r="CZ161" s="78">
        <f>IF(WWWW[[#This Row],[HRP3]]/WWWW[[#This Row],[Total PoP ]]&gt;100%,100%,WWWW[[#This Row],[HRP3]]/WWWW[[#This Row],[Total PoP ]])</f>
        <v>1</v>
      </c>
      <c r="DA161" s="82">
        <f>1-WWWW[[#This Row],[Hygiene Coverage%]]</f>
        <v>0</v>
      </c>
      <c r="DB161" s="81">
        <f>WWWW[[#This Row],['# people reached by regular dedicated hygiene promotion_5]]/WWWW[[#This Row],[Total PoP ]]</f>
        <v>1</v>
      </c>
      <c r="DC161" s="81">
        <f>IF(WWWW[[#This Row],['#_households that received standard amount of soap for this quarter]]/WWWW[[#This Row],[Total HH]]&gt;1,1,WWWW[[#This Row],['#_households that received standard amount of soap for this quarter]]/WWWW[[#This Row],[Total HH]])</f>
        <v>0</v>
      </c>
      <c r="DD161" s="81">
        <f>IF(WWWW[[#This Row],['#_households that received standard amount of sanitary pads for this quarter]]/WWWW[[#This Row],[Total HH]]&gt;1,1,WWWW[[#This Row],['#_households that received standard amount of sanitary pads for this quarter]]/WWWW[[#This Row],[Total HH]])</f>
        <v>0</v>
      </c>
      <c r="DE161" s="80">
        <f>WWWW[[#This Row],['#_Constructed/Existing hand washing stations]]-WWWW[[#This Row],['#_Non-Functional_hand_washing_stations]]</f>
        <v>0</v>
      </c>
      <c r="DF161" s="757">
        <f>IF(WWWW[[#This Row],['# Functional hand washing stations during reporting period]]*20&gt;WWWW[[#This Row],[Total HH]],WWWW[[#This Row],[Total HH]],WWWW[[#This Row],['# Functional hand washing stations during reporting period]]*20)</f>
        <v>0</v>
      </c>
      <c r="DG161" s="79">
        <f>IF(WWWW[[#This Row],[Is sufficient soap available for TLS? (Yes/No)]]="yes",WWWW[[#This Row],['#_Constructed/Existing hand washing stations at TLS]],0)</f>
        <v>0</v>
      </c>
      <c r="DH161" s="578">
        <f>IF(WWWW[[#This Row],['# Functional hand washing stations during reporting period]]*100&gt;WWWW[[#This Row],[Total PoP ]],WWWW[[#This Row],[Total PoP ]],WWWW[[#This Row],['# Functional hand washing stations during reporting period]]*100)</f>
        <v>0</v>
      </c>
      <c r="DI161" s="578" t="str">
        <f>IF(OR(WWWW[[#This Row],['#_students at TLS_CFS]]="",WWWW[[#This Row],['#_students at TLS_CFS]]=0),"No","Yes")</f>
        <v>No</v>
      </c>
      <c r="DJ161" s="231" t="str">
        <f>VLOOKUP(WWWW[[#This Row],[Site Name]],SiteDB6[[Site Name]:[CCCM Management]],6,FALSE)</f>
        <v>Yes</v>
      </c>
      <c r="DK161" s="231" t="str">
        <f>VLOOKUP(WWWW[[#This Row],[Site Name]],SiteDB6[[Site Name]:[CCCM Focal Agency]],7,FALSE)</f>
        <v>KBC-MYT</v>
      </c>
      <c r="DL161" s="231" t="str">
        <f>VLOOKUP(WWWW[[#This Row],[Site Name]],SiteDB6[[Site Name]:[Location Type 1]],9,FALSE)</f>
        <v>Camp</v>
      </c>
      <c r="DM161" s="231" t="str">
        <f>VLOOKUP(WWWW[[#This Row],[Site Name]],SiteDB6[[Site Name]:[Type of Accommodation]],10,FALSE)</f>
        <v>Camp</v>
      </c>
      <c r="DN161" s="231" t="str">
        <f>VLOOKUP(WWWW[[#This Row],[Site Name]],SiteDB6[[Site Name]:[Ethnic or GCA/NGCA]],11,FALSE)</f>
        <v>GCA</v>
      </c>
      <c r="DO161" s="231">
        <f>VLOOKUP(WWWW[[#This Row],[Site Name]],SiteDB6[[Site Name]:[Lat]],12,FALSE)</f>
        <v>25.480989999999998</v>
      </c>
      <c r="DP161" s="231">
        <f>VLOOKUP(WWWW[[#This Row],[Site Name]],SiteDB6[[Site Name]:[Long]],13,FALSE)</f>
        <v>97.431079999999994</v>
      </c>
      <c r="DQ161" s="231" t="str">
        <f>VLOOKUP(WWWW[[#This Row],[Site Name]],SiteDB6[[Site Name]:[Pcode]],3,FALSE)</f>
        <v>MMR001CMP263</v>
      </c>
      <c r="DR161" s="207" t="str">
        <f t="shared" si="5"/>
        <v>Covered</v>
      </c>
      <c r="DS161" s="207"/>
      <c r="DT161" s="20"/>
      <c r="DU161" s="20"/>
      <c r="DV161" s="20"/>
      <c r="DW161" s="20"/>
      <c r="DX161" s="20"/>
      <c r="DY161" s="20"/>
      <c r="DZ161" s="20"/>
      <c r="EA161" s="20"/>
      <c r="EB161" s="20"/>
      <c r="EC161" s="20"/>
      <c r="ED161" s="20"/>
      <c r="EE161" s="20"/>
      <c r="EF161" s="20"/>
      <c r="EG161" s="20"/>
      <c r="EH161" s="20"/>
    </row>
    <row r="162" spans="1:138" ht="15.75" customHeight="1">
      <c r="A162" s="238" t="s">
        <v>2518</v>
      </c>
      <c r="B162" s="238" t="s">
        <v>149</v>
      </c>
      <c r="C162" s="574" t="s">
        <v>149</v>
      </c>
      <c r="D162" s="574" t="s">
        <v>158</v>
      </c>
      <c r="E162" s="574" t="s">
        <v>39</v>
      </c>
      <c r="F162" s="574" t="s">
        <v>150</v>
      </c>
      <c r="G162" s="574" t="str">
        <f>VLOOKUP(WWWW[[#This Row],[Site Name]],SiteDB6[[Site Name]:[Location Type]],8,FALSE)</f>
        <v>Camp</v>
      </c>
      <c r="H162" s="574" t="s">
        <v>2191</v>
      </c>
      <c r="I162" s="583">
        <v>79</v>
      </c>
      <c r="J162" s="583">
        <v>356</v>
      </c>
      <c r="K162" s="553">
        <v>43556</v>
      </c>
      <c r="L162" s="77">
        <v>43677</v>
      </c>
      <c r="M162" s="583"/>
      <c r="N162" s="583"/>
      <c r="O162" s="583"/>
      <c r="P162" s="583"/>
      <c r="Q162" s="574" t="s">
        <v>43</v>
      </c>
      <c r="R162" s="310"/>
      <c r="S162" s="310"/>
      <c r="T162" s="583">
        <v>0</v>
      </c>
      <c r="U162" s="310"/>
      <c r="V162" s="310"/>
      <c r="W162" s="583">
        <v>1</v>
      </c>
      <c r="X162" s="310"/>
      <c r="Y162" s="310"/>
      <c r="Z162" s="310"/>
      <c r="AA162" s="583"/>
      <c r="AB162" s="310"/>
      <c r="AC162" s="310"/>
      <c r="AD162" s="310"/>
      <c r="AE162" s="310"/>
      <c r="AF162" s="310"/>
      <c r="AG162" s="310"/>
      <c r="AH162" s="583">
        <v>3</v>
      </c>
      <c r="AI162" s="310"/>
      <c r="AJ162" s="310"/>
      <c r="AK162" s="310"/>
      <c r="AL162" s="310"/>
      <c r="AM162" s="310"/>
      <c r="AN162" s="310"/>
      <c r="AO162" s="207"/>
      <c r="AP162" s="583">
        <v>6</v>
      </c>
      <c r="AQ162" s="310"/>
      <c r="AR162" s="76"/>
      <c r="AS162" s="310"/>
      <c r="AT162" s="310"/>
      <c r="AU162" s="310">
        <v>2</v>
      </c>
      <c r="AV162" s="310"/>
      <c r="AW162" s="583">
        <v>6</v>
      </c>
      <c r="AX162" s="231" t="s">
        <v>43</v>
      </c>
      <c r="AY162" s="231" t="s">
        <v>145</v>
      </c>
      <c r="AZ162" s="310"/>
      <c r="BA162" s="310"/>
      <c r="BB162" s="310"/>
      <c r="BC162" s="207"/>
      <c r="BD162" s="310"/>
      <c r="BE162" s="310"/>
      <c r="BF162" s="310"/>
      <c r="BG162" s="310">
        <v>0</v>
      </c>
      <c r="BH162" s="310"/>
      <c r="BI162" s="310"/>
      <c r="BJ162" s="310">
        <v>1</v>
      </c>
      <c r="BK162" s="310"/>
      <c r="BL162" s="310"/>
      <c r="BM162" s="207"/>
      <c r="BN162" s="79"/>
      <c r="BO162" s="81"/>
      <c r="BP162" s="207"/>
      <c r="BQ162" s="78" t="str">
        <f>IFERROR(WWWW[[#This Row],['#_Water sources treated]]/WWWW[[#This Row],['#_Water sources tested for contamination]],"no test")</f>
        <v>no test</v>
      </c>
      <c r="BR162" s="81" t="str">
        <f>IFERROR(WWWW[[#This Row],['#_Household received remediation action due to contamination]]/WWWW[[#This Row],['#_Household water samples tested for contamination]],"no test")</f>
        <v>no test</v>
      </c>
      <c r="BS162" s="80" t="str">
        <f>IF(AND(WWWW[[#This Row],[% of water sources treated]]="no test",WWWW[[#This Row],[% Household received corrective actions]]="no test"),"No Test","Tested")</f>
        <v>No Test</v>
      </c>
      <c r="BT162" s="80">
        <f>WWWW[[#This Row],['#_Constructed/existing protected hand dug well]]-WWWW[[#This Row],['#_Non-functional protected hand dug well]]</f>
        <v>0</v>
      </c>
      <c r="BU162" s="80">
        <f>(WWWW[[#This Row],['#_Constructed/Existing tube wells/boreholes/handpumps_WASH_agency]]+WWWW[[#This Row],['#_Non-Cluster partner water tube-wells/boreholes/handpumps]])-WWWW[[#This Row],['#_Non-functional tube wells/boreholes/handpumps]]</f>
        <v>1</v>
      </c>
      <c r="BV162" s="80">
        <f>WWWW[[#This Row],['#_Constructed/Existingwater storage tank with gravity fed reticulation system]]-WWWW[[#This Row],['#_Non-functional storage tank gravity fed reticulation system]]</f>
        <v>0</v>
      </c>
      <c r="BW162" s="80">
        <f>WWWW[[#This Row],['#_Water boating or water trucking]]</f>
        <v>0</v>
      </c>
      <c r="BX162" s="80">
        <f>WWWW[[#This Row],['#_Constructed/Existing water distribution system from river or natural spring]]</f>
        <v>0</v>
      </c>
      <c r="BY162"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2"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0.702247191011236</v>
      </c>
      <c r="CA162" s="81">
        <f>IF(WWWW[[#This Row],[Location Type 1]]="Village",WWWW[[#This Row],[Access to safe drinking water for Village]],WWWW[[#This Row],[Access to safe drinking water for Camp]])</f>
        <v>1</v>
      </c>
      <c r="CB162" s="79">
        <f>WWWW[[#This Row],[%Equitable and continuous access to sufficient quantity of safe drinking water]]*WWWW[[#This Row],[Total PoP ]]</f>
        <v>356</v>
      </c>
      <c r="CC162" s="81">
        <f>IF((WWWW[[#This Row],['#_Constructed/Existing protected/fenced ponds]]*250)/WWWW[[#This Row],[Total PoP ]]&gt;1,1,(WWWW[[#This Row],['#_Constructed/Existing protected/fenced ponds]]*250)/WWWW[[#This Row],[Total PoP ]])</f>
        <v>0</v>
      </c>
      <c r="CD162" s="79">
        <f>WWWW[[#This Row],[% Access to unimproved water points]]*WWWW[[#This Row],[Total PoP ]]</f>
        <v>0</v>
      </c>
      <c r="CE162"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2"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G162" s="79">
        <f>WWWW[[#This Row],[HRP1]]/500</f>
        <v>0.71199999999999997</v>
      </c>
      <c r="CH162" s="78">
        <f>1-WWWW[[#This Row],[% Equitable and continuous access to sufficient quantity of domestic water]]</f>
        <v>0</v>
      </c>
      <c r="CI162" s="79">
        <f>WWWW[[#This Row],[%equitable and continuous access to sufficient quantity of safe drinking and domestic water''s GAP]]*WWWW[[#This Row],[Total PoP ]]</f>
        <v>0</v>
      </c>
      <c r="CJ162" s="80">
        <f>IF(WWWW[[#This Row],[Total required water points]]-WWWW[[#This Row],['#Water points coverage]]&lt;0,0,WWWW[[#This Row],[Total required water points]]-WWWW[[#This Row],['#Water points coverage]])</f>
        <v>0.28800000000000003</v>
      </c>
      <c r="CK162" s="80">
        <f>ROUND(IF(WWWW[[#This Row],[Total PoP ]]&lt;500,1,WWWW[[#This Row],[Total PoP ]]/500),0)</f>
        <v>1</v>
      </c>
      <c r="CL162" s="80">
        <f>(WWWW[[#This Row],['#_Constructed latrines_by_WASHAgencies]]+WWWW[[#This Row],['#_Non Cluster partner latrines]])-WWWW[[#This Row],['#_Non-functional latrines]]</f>
        <v>6</v>
      </c>
      <c r="CM162"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0.33707865168539325</v>
      </c>
      <c r="CN162"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162"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62" s="80">
        <f>IF(WWWW[[#This Row],[Location Type 1]]="Village","NA",IF(WWWW[[#This Row],['#_Constructed/Existing latrines in TLS]]*50&gt;WWWW[[#This Row],['#_students at TLS_CFS]],WWWW[[#This Row],['#_students at TLS_CFS]],(WWWW[[#This Row],['#_Constructed/Existing latrines in TLS]]*50)))</f>
        <v>0</v>
      </c>
      <c r="CQ162" s="80">
        <f>ROUND(IF(WWWW[[#This Row],[Location Type 1]]="camp",WWWW[[#This Row],[Total PoP ]]/20,IF(WWWW[[#This Row],[Location Type 1]]="Temporary Location",WWWW[[#This Row],[Total PoP ]]/50,(WWWW[[#This Row],[Total PoP ]]/6))),0)</f>
        <v>18</v>
      </c>
      <c r="CR162" s="79">
        <f>IF(WWWW[[#This Row],[Total required Latrines]]-(WWWW[[#This Row],['#_Constructed latrines_by_WASHAgencies]]+WWWW[[#This Row],['#_Non Cluster partner latrines]])&lt;0,0,WWWW[[#This Row],[Total required Latrines]]-(WWWW[[#This Row],['#_Constructed latrines_by_WASHAgencies]]+WWWW[[#This Row],['#_Non Cluster partner latrines]]))</f>
        <v>12</v>
      </c>
      <c r="CS162" s="78">
        <f>1-WWWW[[#This Row],[% people access to functioning Latrine]]</f>
        <v>0.66292134831460681</v>
      </c>
      <c r="CT162" s="82">
        <f>IF(OR(WWWW[[#This Row],['#_Non-functional latrines]]="",WWWW[[#This Row],['#_Non-functional latrines]]=0),0,WWWW[[#This Row],['#_Non-functional latrines]]/(WWWW[[#This Row],['#_Constructed latrines_by_WASHAgencies]]+WWWW[[#This Row],['#_Non Cluster partner latrines]]))</f>
        <v>0</v>
      </c>
      <c r="CU162" s="79">
        <f>IF(500*(WWWW[[#This Row],['#_male hygiene promoters]]+WWWW[[#This Row],['#_female hygiene promoters]])&gt;WWWW[[#This Row],[Total PoP ]],WWWW[[#This Row],[Total PoP ]],500*(WWWW[[#This Row],['#_male hygiene promoters]]+WWWW[[#This Row],['#_female hygiene promoters]]))</f>
        <v>356</v>
      </c>
      <c r="CV162"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2"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2" s="80">
        <f>IF(WWWW[[#This Row],['# People with access to soap]]&gt;WWWW[[#This Row],['# People with access to Sanity Pads]],WWWW[[#This Row],['# People with access to soap]],WWWW[[#This Row],['# People with access to Sanity Pads]])</f>
        <v>0</v>
      </c>
      <c r="CY162" s="80">
        <f>IF(WWWW[[#This Row],['# people reached by regular dedicated hygiene promotion_5]]&gt;WWWW[[#This Row],['# People received regular supply of hygiene items_6]],WWWW[[#This Row],['# people reached by regular dedicated hygiene promotion_5]],WWWW[[#This Row],['# People received regular supply of hygiene items_6]])</f>
        <v>356</v>
      </c>
      <c r="CZ162" s="78">
        <f>IF(WWWW[[#This Row],[HRP3]]/WWWW[[#This Row],[Total PoP ]]&gt;100%,100%,WWWW[[#This Row],[HRP3]]/WWWW[[#This Row],[Total PoP ]])</f>
        <v>1</v>
      </c>
      <c r="DA162" s="82">
        <f>1-WWWW[[#This Row],[Hygiene Coverage%]]</f>
        <v>0</v>
      </c>
      <c r="DB162" s="81">
        <f>WWWW[[#This Row],['# people reached by regular dedicated hygiene promotion_5]]/WWWW[[#This Row],[Total PoP ]]</f>
        <v>1</v>
      </c>
      <c r="DC162" s="81">
        <f>IF(WWWW[[#This Row],['#_households that received standard amount of soap for this quarter]]/WWWW[[#This Row],[Total HH]]&gt;1,1,WWWW[[#This Row],['#_households that received standard amount of soap for this quarter]]/WWWW[[#This Row],[Total HH]])</f>
        <v>0</v>
      </c>
      <c r="DD162" s="81">
        <f>IF(WWWW[[#This Row],['#_households that received standard amount of sanitary pads for this quarter]]/WWWW[[#This Row],[Total HH]]&gt;1,1,WWWW[[#This Row],['#_households that received standard amount of sanitary pads for this quarter]]/WWWW[[#This Row],[Total HH]])</f>
        <v>0</v>
      </c>
      <c r="DE162" s="80">
        <f>WWWW[[#This Row],['#_Constructed/Existing hand washing stations]]-WWWW[[#This Row],['#_Non-Functional_hand_washing_stations]]</f>
        <v>0</v>
      </c>
      <c r="DF162" s="757">
        <f>IF(WWWW[[#This Row],['# Functional hand washing stations during reporting period]]*20&gt;WWWW[[#This Row],[Total HH]],WWWW[[#This Row],[Total HH]],WWWW[[#This Row],['# Functional hand washing stations during reporting period]]*20)</f>
        <v>0</v>
      </c>
      <c r="DG162" s="79">
        <f>IF(WWWW[[#This Row],[Is sufficient soap available for TLS? (Yes/No)]]="yes",WWWW[[#This Row],['#_Constructed/Existing hand washing stations at TLS]],0)</f>
        <v>0</v>
      </c>
      <c r="DH162" s="578">
        <f>IF(WWWW[[#This Row],['# Functional hand washing stations during reporting period]]*100&gt;WWWW[[#This Row],[Total PoP ]],WWWW[[#This Row],[Total PoP ]],WWWW[[#This Row],['# Functional hand washing stations during reporting period]]*100)</f>
        <v>0</v>
      </c>
      <c r="DI162" s="578" t="str">
        <f>IF(OR(WWWW[[#This Row],['#_students at TLS_CFS]]="",WWWW[[#This Row],['#_students at TLS_CFS]]=0),"No","Yes")</f>
        <v>No</v>
      </c>
      <c r="DJ162" s="231" t="str">
        <f>VLOOKUP(WWWW[[#This Row],[Site Name]],SiteDB6[[Site Name]:[CCCM Management]],6,FALSE)</f>
        <v>Yes</v>
      </c>
      <c r="DK162" s="231" t="str">
        <f>VLOOKUP(WWWW[[#This Row],[Site Name]],SiteDB6[[Site Name]:[CCCM Focal Agency]],7,FALSE)</f>
        <v>KBC-MYT</v>
      </c>
      <c r="DL162" s="231" t="str">
        <f>VLOOKUP(WWWW[[#This Row],[Site Name]],SiteDB6[[Site Name]:[Location Type 1]],9,FALSE)</f>
        <v>Camp</v>
      </c>
      <c r="DM162" s="231" t="str">
        <f>VLOOKUP(WWWW[[#This Row],[Site Name]],SiteDB6[[Site Name]:[Type of Accommodation]],10,FALSE)</f>
        <v>Camp</v>
      </c>
      <c r="DN162" s="231" t="str">
        <f>VLOOKUP(WWWW[[#This Row],[Site Name]],SiteDB6[[Site Name]:[Ethnic or GCA/NGCA]],11,FALSE)</f>
        <v>GCA</v>
      </c>
      <c r="DO162" s="231">
        <f>VLOOKUP(WWWW[[#This Row],[Site Name]],SiteDB6[[Site Name]:[Lat]],12,FALSE)</f>
        <v>0</v>
      </c>
      <c r="DP162" s="231">
        <f>VLOOKUP(WWWW[[#This Row],[Site Name]],SiteDB6[[Site Name]:[Long]],13,FALSE)</f>
        <v>0</v>
      </c>
      <c r="DQ162" s="231" t="str">
        <f>VLOOKUP(WWWW[[#This Row],[Site Name]],SiteDB6[[Site Name]:[Pcode]],3,FALSE)</f>
        <v>MMR001CMP269</v>
      </c>
      <c r="DR162" s="207" t="str">
        <f t="shared" si="5"/>
        <v>Covered</v>
      </c>
      <c r="DS162" s="207"/>
      <c r="DT162" s="20"/>
      <c r="DU162" s="20"/>
      <c r="DV162" s="20"/>
      <c r="DW162" s="20"/>
      <c r="DX162" s="20"/>
      <c r="DY162" s="20"/>
      <c r="DZ162" s="20"/>
      <c r="EA162" s="20"/>
      <c r="EB162" s="20"/>
      <c r="EC162" s="20"/>
      <c r="ED162" s="20"/>
      <c r="EE162" s="20"/>
      <c r="EF162" s="20"/>
      <c r="EG162" s="20"/>
      <c r="EH162" s="20"/>
    </row>
    <row r="163" spans="1:138" ht="15.75" customHeight="1">
      <c r="A163" s="238" t="s">
        <v>2518</v>
      </c>
      <c r="B163" s="574" t="s">
        <v>250</v>
      </c>
      <c r="C163" s="574" t="s">
        <v>250</v>
      </c>
      <c r="D163" s="574" t="s">
        <v>315</v>
      </c>
      <c r="E163" s="574" t="s">
        <v>39</v>
      </c>
      <c r="F163" s="574" t="s">
        <v>150</v>
      </c>
      <c r="G163" s="574" t="str">
        <f>VLOOKUP(WWWW[[#This Row],[Site Name]],SiteDB6[[Site Name]:[Location Type]],8,FALSE)</f>
        <v>Camp</v>
      </c>
      <c r="H163" s="574" t="s">
        <v>282</v>
      </c>
      <c r="I163" s="583">
        <v>45</v>
      </c>
      <c r="J163" s="583">
        <v>186</v>
      </c>
      <c r="K163" s="553">
        <v>43313</v>
      </c>
      <c r="L163" s="58">
        <v>44043</v>
      </c>
      <c r="M163" s="583">
        <v>0</v>
      </c>
      <c r="N163" s="583">
        <v>1</v>
      </c>
      <c r="O163" s="583">
        <v>0</v>
      </c>
      <c r="P163" s="583">
        <v>0</v>
      </c>
      <c r="Q163" s="574" t="s">
        <v>43</v>
      </c>
      <c r="R163" s="310">
        <v>0</v>
      </c>
      <c r="S163" s="310">
        <v>5</v>
      </c>
      <c r="T163" s="310">
        <v>1</v>
      </c>
      <c r="U163" s="310">
        <v>1</v>
      </c>
      <c r="V163" s="310">
        <v>0</v>
      </c>
      <c r="W163" s="310">
        <v>0</v>
      </c>
      <c r="X163" s="310">
        <v>1</v>
      </c>
      <c r="Y163" s="310">
        <v>1</v>
      </c>
      <c r="Z163" s="310">
        <v>0</v>
      </c>
      <c r="AA163" s="583">
        <v>0</v>
      </c>
      <c r="AB163" s="310">
        <v>0</v>
      </c>
      <c r="AC163" s="310">
        <v>0</v>
      </c>
      <c r="AD163" s="310">
        <v>0</v>
      </c>
      <c r="AE163" s="310">
        <v>0</v>
      </c>
      <c r="AF163" s="310">
        <v>0</v>
      </c>
      <c r="AG163" s="310">
        <v>0</v>
      </c>
      <c r="AH163" s="310">
        <v>0</v>
      </c>
      <c r="AI163" s="310"/>
      <c r="AJ163" s="310"/>
      <c r="AK163" s="310"/>
      <c r="AL163" s="310"/>
      <c r="AM163" s="310">
        <v>0</v>
      </c>
      <c r="AN163" s="310">
        <v>0</v>
      </c>
      <c r="AO163" s="207"/>
      <c r="AP163" s="310">
        <v>0</v>
      </c>
      <c r="AQ163" s="310">
        <v>7</v>
      </c>
      <c r="AR163" s="76" t="s">
        <v>3113</v>
      </c>
      <c r="AS163" s="310">
        <v>0</v>
      </c>
      <c r="AT163" s="310">
        <v>0</v>
      </c>
      <c r="AU163" s="310">
        <v>0</v>
      </c>
      <c r="AV163" s="310"/>
      <c r="AW163" s="583">
        <v>0</v>
      </c>
      <c r="AX163" s="581" t="s">
        <v>43</v>
      </c>
      <c r="AY163" s="231" t="s">
        <v>145</v>
      </c>
      <c r="AZ163" s="310">
        <v>0</v>
      </c>
      <c r="BA163" s="310">
        <v>0</v>
      </c>
      <c r="BB163" s="310">
        <v>0</v>
      </c>
      <c r="BC163" s="207"/>
      <c r="BD163" s="310">
        <v>2</v>
      </c>
      <c r="BE163" s="310">
        <v>0</v>
      </c>
      <c r="BF163" s="310">
        <v>0</v>
      </c>
      <c r="BG163" s="310">
        <v>2</v>
      </c>
      <c r="BH163" s="310">
        <v>2</v>
      </c>
      <c r="BI163" s="310">
        <v>0</v>
      </c>
      <c r="BJ163" s="310">
        <v>0</v>
      </c>
      <c r="BK163" s="310">
        <v>0</v>
      </c>
      <c r="BL163" s="310">
        <v>0</v>
      </c>
      <c r="BM163" s="207" t="s">
        <v>144</v>
      </c>
      <c r="BN163" s="79">
        <v>0</v>
      </c>
      <c r="BO163" s="81">
        <v>0</v>
      </c>
      <c r="BP163" s="207"/>
      <c r="BQ163" s="78" t="str">
        <f>IFERROR(WWWW[[#This Row],['#_Water sources treated]]/WWWW[[#This Row],['#_Water sources tested for contamination]],"no test")</f>
        <v>no test</v>
      </c>
      <c r="BR163" s="81" t="str">
        <f>IFERROR(WWWW[[#This Row],['#_Household received remediation action due to contamination]]/WWWW[[#This Row],['#_Household water samples tested for contamination]],"no test")</f>
        <v>no test</v>
      </c>
      <c r="BS163" s="80" t="str">
        <f>IF(AND(WWWW[[#This Row],[% of water sources treated]]="no test",WWWW[[#This Row],[% Household received corrective actions]]="no test"),"No Test","Tested")</f>
        <v>No Test</v>
      </c>
      <c r="BT163" s="80">
        <f>WWWW[[#This Row],['#_Constructed/existing protected hand dug well]]-WWWW[[#This Row],['#_Non-functional protected hand dug well]]</f>
        <v>0</v>
      </c>
      <c r="BU163" s="80">
        <f>(WWWW[[#This Row],['#_Constructed/Existing tube wells/boreholes/handpumps_WASH_agency]]+WWWW[[#This Row],['#_Non-Cluster partner water tube-wells/boreholes/handpumps]])-WWWW[[#This Row],['#_Non-functional tube wells/boreholes/handpumps]]</f>
        <v>0</v>
      </c>
      <c r="BV163" s="80">
        <f>WWWW[[#This Row],['#_Constructed/Existingwater storage tank with gravity fed reticulation system]]-WWWW[[#This Row],['#_Non-functional storage tank gravity fed reticulation system]]</f>
        <v>0</v>
      </c>
      <c r="BW163" s="80">
        <f>WWWW[[#This Row],['#_Water boating or water trucking]]</f>
        <v>0</v>
      </c>
      <c r="BX163" s="80">
        <f>WWWW[[#This Row],['#_Constructed/Existing water distribution system from river or natural spring]]</f>
        <v>0</v>
      </c>
      <c r="BY163"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3"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3" s="81">
        <f>IF(WWWW[[#This Row],[Location Type 1]]="Village",WWWW[[#This Row],[Access to safe drinking water for Village]],WWWW[[#This Row],[Access to safe drinking water for Camp]])</f>
        <v>0</v>
      </c>
      <c r="CB163" s="79">
        <f>WWWW[[#This Row],[%Equitable and continuous access to sufficient quantity of safe drinking water]]*WWWW[[#This Row],[Total PoP ]]</f>
        <v>0</v>
      </c>
      <c r="CC163" s="81">
        <f>IF((WWWW[[#This Row],['#_Constructed/Existing protected/fenced ponds]]*250)/WWWW[[#This Row],[Total PoP ]]&gt;1,1,(WWWW[[#This Row],['#_Constructed/Existing protected/fenced ponds]]*250)/WWWW[[#This Row],[Total PoP ]])</f>
        <v>0</v>
      </c>
      <c r="CD163" s="79">
        <f>WWWW[[#This Row],[% Access to unimproved water points]]*WWWW[[#This Row],[Total PoP ]]</f>
        <v>0</v>
      </c>
      <c r="CE163"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3"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3" s="79">
        <f>WWWW[[#This Row],[HRP1]]/500</f>
        <v>0</v>
      </c>
      <c r="CH163" s="78">
        <f>1-WWWW[[#This Row],[% Equitable and continuous access to sufficient quantity of domestic water]]</f>
        <v>1</v>
      </c>
      <c r="CI163" s="79">
        <f>WWWW[[#This Row],[%equitable and continuous access to sufficient quantity of safe drinking and domestic water''s GAP]]*WWWW[[#This Row],[Total PoP ]]</f>
        <v>186</v>
      </c>
      <c r="CJ163" s="80">
        <f>IF(WWWW[[#This Row],[Total required water points]]-WWWW[[#This Row],['#Water points coverage]]&lt;0,0,WWWW[[#This Row],[Total required water points]]-WWWW[[#This Row],['#Water points coverage]])</f>
        <v>1</v>
      </c>
      <c r="CK163" s="80">
        <f>ROUND(IF(WWWW[[#This Row],[Total PoP ]]&lt;500,1,WWWW[[#This Row],[Total PoP ]]/500),0)</f>
        <v>1</v>
      </c>
      <c r="CL163" s="80">
        <f>(WWWW[[#This Row],['#_Constructed latrines_by_WASHAgencies]]+WWWW[[#This Row],['#_Non Cluster partner latrines]])-WWWW[[#This Row],['#_Non-functional latrines]]</f>
        <v>7</v>
      </c>
      <c r="CM163"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0.75268817204301075</v>
      </c>
      <c r="CN163"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163"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3" s="80">
        <f>IF(WWWW[[#This Row],[Location Type 1]]="Village","NA",IF(WWWW[[#This Row],['#_Constructed/Existing latrines in TLS]]*50&gt;WWWW[[#This Row],['#_students at TLS_CFS]],WWWW[[#This Row],['#_students at TLS_CFS]],(WWWW[[#This Row],['#_Constructed/Existing latrines in TLS]]*50)))</f>
        <v>0</v>
      </c>
      <c r="CQ163" s="80">
        <f>ROUND(IF(WWWW[[#This Row],[Location Type 1]]="camp",WWWW[[#This Row],[Total PoP ]]/20,IF(WWWW[[#This Row],[Location Type 1]]="Temporary Location",WWWW[[#This Row],[Total PoP ]]/50,(WWWW[[#This Row],[Total PoP ]]/6))),0)</f>
        <v>9</v>
      </c>
      <c r="CR163" s="79">
        <f>IF(WWWW[[#This Row],[Total required Latrines]]-(WWWW[[#This Row],['#_Constructed latrines_by_WASHAgencies]]+WWWW[[#This Row],['#_Non Cluster partner latrines]])&lt;0,0,WWWW[[#This Row],[Total required Latrines]]-(WWWW[[#This Row],['#_Constructed latrines_by_WASHAgencies]]+WWWW[[#This Row],['#_Non Cluster partner latrines]]))</f>
        <v>2</v>
      </c>
      <c r="CS163" s="78">
        <f>1-WWWW[[#This Row],[% people access to functioning Latrine]]</f>
        <v>0.24731182795698925</v>
      </c>
      <c r="CT163" s="82">
        <f>IF(OR(WWWW[[#This Row],['#_Non-functional latrines]]="",WWWW[[#This Row],['#_Non-functional latrines]]=0),0,WWWW[[#This Row],['#_Non-functional latrines]]/(WWWW[[#This Row],['#_Constructed latrines_by_WASHAgencies]]+WWWW[[#This Row],['#_Non Cluster partner latrines]]))</f>
        <v>0</v>
      </c>
      <c r="CU163" s="79">
        <f>IF(500*(WWWW[[#This Row],['#_male hygiene promoters]]+WWWW[[#This Row],['#_female hygiene promoters]])&gt;WWWW[[#This Row],[Total PoP ]],WWWW[[#This Row],[Total PoP ]],500*(WWWW[[#This Row],['#_male hygiene promoters]]+WWWW[[#This Row],['#_female hygiene promoters]]))</f>
        <v>0</v>
      </c>
      <c r="CV163"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3"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3" s="80">
        <f>IF(WWWW[[#This Row],['# People with access to soap]]&gt;WWWW[[#This Row],['# People with access to Sanity Pads]],WWWW[[#This Row],['# People with access to soap]],WWWW[[#This Row],['# People with access to Sanity Pads]])</f>
        <v>0</v>
      </c>
      <c r="CY163"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3" s="78">
        <f>IF(WWWW[[#This Row],[HRP3]]/WWWW[[#This Row],[Total PoP ]]&gt;100%,100%,WWWW[[#This Row],[HRP3]]/WWWW[[#This Row],[Total PoP ]])</f>
        <v>0</v>
      </c>
      <c r="DA163" s="82">
        <f>1-WWWW[[#This Row],[Hygiene Coverage%]]</f>
        <v>1</v>
      </c>
      <c r="DB163" s="81">
        <f>WWWW[[#This Row],['# people reached by regular dedicated hygiene promotion_5]]/WWWW[[#This Row],[Total PoP ]]</f>
        <v>0</v>
      </c>
      <c r="DC163" s="81">
        <f>IF(WWWW[[#This Row],['#_households that received standard amount of soap for this quarter]]/WWWW[[#This Row],[Total HH]]&gt;1,1,WWWW[[#This Row],['#_households that received standard amount of soap for this quarter]]/WWWW[[#This Row],[Total HH]])</f>
        <v>0</v>
      </c>
      <c r="DD163" s="81">
        <f>IF(WWWW[[#This Row],['#_households that received standard amount of sanitary pads for this quarter]]/WWWW[[#This Row],[Total HH]]&gt;1,1,WWWW[[#This Row],['#_households that received standard amount of sanitary pads for this quarter]]/WWWW[[#This Row],[Total HH]])</f>
        <v>0</v>
      </c>
      <c r="DE163" s="80">
        <f>WWWW[[#This Row],['#_Constructed/Existing hand washing stations]]-WWWW[[#This Row],['#_Non-Functional_hand_washing_stations]]</f>
        <v>2</v>
      </c>
      <c r="DF163" s="757">
        <f>IF(WWWW[[#This Row],['# Functional hand washing stations during reporting period]]*20&gt;WWWW[[#This Row],[Total HH]],WWWW[[#This Row],[Total HH]],WWWW[[#This Row],['# Functional hand washing stations during reporting period]]*20)</f>
        <v>40</v>
      </c>
      <c r="DG163" s="79">
        <f>IF(WWWW[[#This Row],[Is sufficient soap available for TLS? (Yes/No)]]="yes",WWWW[[#This Row],['#_Constructed/Existing hand washing stations at TLS]],0)</f>
        <v>0</v>
      </c>
      <c r="DH163" s="578">
        <f>IF(WWWW[[#This Row],['# Functional hand washing stations during reporting period]]*100&gt;WWWW[[#This Row],[Total PoP ]],WWWW[[#This Row],[Total PoP ]],WWWW[[#This Row],['# Functional hand washing stations during reporting period]]*100)</f>
        <v>186</v>
      </c>
      <c r="DI163" s="578" t="str">
        <f>IF(OR(WWWW[[#This Row],['#_students at TLS_CFS]]="",WWWW[[#This Row],['#_students at TLS_CFS]]=0),"No","Yes")</f>
        <v>No</v>
      </c>
      <c r="DJ163" s="231" t="str">
        <f>VLOOKUP(WWWW[[#This Row],[Site Name]],SiteDB6[[Site Name]:[CCCM Management]],6,FALSE)</f>
        <v>Yes</v>
      </c>
      <c r="DK163" s="231" t="str">
        <f>VLOOKUP(WWWW[[#This Row],[Site Name]],SiteDB6[[Site Name]:[CCCM Focal Agency]],7,FALSE)</f>
        <v>Shalom</v>
      </c>
      <c r="DL163" s="231" t="str">
        <f>VLOOKUP(WWWW[[#This Row],[Site Name]],SiteDB6[[Site Name]:[Location Type 1]],9,FALSE)</f>
        <v>Camp</v>
      </c>
      <c r="DM163" s="231" t="str">
        <f>VLOOKUP(WWWW[[#This Row],[Site Name]],SiteDB6[[Site Name]:[Type of Accommodation]],10,FALSE)</f>
        <v>Camp</v>
      </c>
      <c r="DN163" s="231" t="str">
        <f>VLOOKUP(WWWW[[#This Row],[Site Name]],SiteDB6[[Site Name]:[Ethnic or GCA/NGCA]],11,FALSE)</f>
        <v>GCA</v>
      </c>
      <c r="DO163" s="231">
        <f>VLOOKUP(WWWW[[#This Row],[Site Name]],SiteDB6[[Site Name]:[Lat]],12,FALSE)</f>
        <v>25.333683333333301</v>
      </c>
      <c r="DP163" s="231">
        <f>VLOOKUP(WWWW[[#This Row],[Site Name]],SiteDB6[[Site Name]:[Long]],13,FALSE)</f>
        <v>97.428251153846105</v>
      </c>
      <c r="DQ163" s="231" t="str">
        <f>VLOOKUP(WWWW[[#This Row],[Site Name]],SiteDB6[[Site Name]:[Pcode]],3,FALSE)</f>
        <v>MMR001CMP037</v>
      </c>
      <c r="DR163" s="207" t="str">
        <f t="shared" si="5"/>
        <v>Covered</v>
      </c>
      <c r="DS163" s="207"/>
      <c r="DT163" s="20"/>
      <c r="DU163" s="20"/>
      <c r="DV163" s="20"/>
      <c r="DW163" s="20"/>
      <c r="DX163" s="20"/>
      <c r="DY163" s="20"/>
      <c r="DZ163" s="20"/>
      <c r="EA163" s="20"/>
      <c r="EB163" s="20"/>
      <c r="EC163" s="20"/>
      <c r="ED163" s="20"/>
      <c r="EE163" s="20"/>
      <c r="EF163" s="20"/>
      <c r="EG163" s="20"/>
      <c r="EH163" s="20"/>
    </row>
    <row r="164" spans="1:138" ht="15.75" customHeight="1">
      <c r="A164" s="238" t="s">
        <v>2518</v>
      </c>
      <c r="B164" s="574" t="s">
        <v>149</v>
      </c>
      <c r="C164" s="574" t="s">
        <v>149</v>
      </c>
      <c r="D164" s="574"/>
      <c r="E164" s="574" t="s">
        <v>39</v>
      </c>
      <c r="F164" s="574" t="s">
        <v>222</v>
      </c>
      <c r="G164" s="574" t="str">
        <f>VLOOKUP(WWWW[[#This Row],[Site Name]],SiteDB6[[Site Name]:[Location Type]],8,FALSE)</f>
        <v>Camp_not registered</v>
      </c>
      <c r="H164" s="574" t="s">
        <v>2090</v>
      </c>
      <c r="I164" s="583">
        <v>78</v>
      </c>
      <c r="J164" s="583">
        <v>324</v>
      </c>
      <c r="K164" s="553"/>
      <c r="L164" s="77"/>
      <c r="M164" s="583"/>
      <c r="N164" s="583"/>
      <c r="O164" s="583"/>
      <c r="P164" s="583"/>
      <c r="Q164" s="76"/>
      <c r="R164" s="310"/>
      <c r="S164" s="310"/>
      <c r="T164" s="583">
        <v>0</v>
      </c>
      <c r="U164" s="310"/>
      <c r="V164" s="310"/>
      <c r="W164" s="583">
        <v>0</v>
      </c>
      <c r="X164" s="310"/>
      <c r="Y164" s="310"/>
      <c r="Z164" s="310"/>
      <c r="AA164" s="583"/>
      <c r="AB164" s="310"/>
      <c r="AC164" s="310"/>
      <c r="AD164" s="310"/>
      <c r="AE164" s="310"/>
      <c r="AF164" s="310"/>
      <c r="AG164" s="310"/>
      <c r="AH164" s="583">
        <v>0</v>
      </c>
      <c r="AI164" s="310"/>
      <c r="AJ164" s="310"/>
      <c r="AK164" s="310"/>
      <c r="AL164" s="310"/>
      <c r="AM164" s="310"/>
      <c r="AN164" s="310"/>
      <c r="AO164" s="207"/>
      <c r="AP164" s="583">
        <v>0</v>
      </c>
      <c r="AQ164" s="310"/>
      <c r="AR164" s="76"/>
      <c r="AS164" s="310"/>
      <c r="AT164" s="310"/>
      <c r="AU164" s="310"/>
      <c r="AV164" s="310"/>
      <c r="AW164" s="583">
        <v>0</v>
      </c>
      <c r="AX164" s="231" t="s">
        <v>144</v>
      </c>
      <c r="AY164" s="581" t="s">
        <v>148</v>
      </c>
      <c r="AZ164" s="310"/>
      <c r="BA164" s="310"/>
      <c r="BB164" s="310"/>
      <c r="BC164" s="207"/>
      <c r="BD164" s="310"/>
      <c r="BE164" s="310"/>
      <c r="BF164" s="310"/>
      <c r="BG164" s="310"/>
      <c r="BH164" s="310"/>
      <c r="BI164" s="310"/>
      <c r="BJ164" s="310"/>
      <c r="BK164" s="310"/>
      <c r="BL164" s="310"/>
      <c r="BM164" s="207"/>
      <c r="BN164" s="79"/>
      <c r="BO164" s="81"/>
      <c r="BP164" s="207"/>
      <c r="BQ164" s="78" t="str">
        <f>IFERROR(WWWW[[#This Row],['#_Water sources treated]]/WWWW[[#This Row],['#_Water sources tested for contamination]],"no test")</f>
        <v>no test</v>
      </c>
      <c r="BR164" s="81" t="str">
        <f>IFERROR(WWWW[[#This Row],['#_Household received remediation action due to contamination]]/WWWW[[#This Row],['#_Household water samples tested for contamination]],"no test")</f>
        <v>no test</v>
      </c>
      <c r="BS164" s="80" t="str">
        <f>IF(AND(WWWW[[#This Row],[% of water sources treated]]="no test",WWWW[[#This Row],[% Household received corrective actions]]="no test"),"No Test","Tested")</f>
        <v>No Test</v>
      </c>
      <c r="BT164" s="80">
        <f>WWWW[[#This Row],['#_Constructed/existing protected hand dug well]]-WWWW[[#This Row],['#_Non-functional protected hand dug well]]</f>
        <v>0</v>
      </c>
      <c r="BU164" s="80">
        <f>(WWWW[[#This Row],['#_Constructed/Existing tube wells/boreholes/handpumps_WASH_agency]]+WWWW[[#This Row],['#_Non-Cluster partner water tube-wells/boreholes/handpumps]])-WWWW[[#This Row],['#_Non-functional tube wells/boreholes/handpumps]]</f>
        <v>0</v>
      </c>
      <c r="BV164" s="80">
        <f>WWWW[[#This Row],['#_Constructed/Existingwater storage tank with gravity fed reticulation system]]-WWWW[[#This Row],['#_Non-functional storage tank gravity fed reticulation system]]</f>
        <v>0</v>
      </c>
      <c r="BW164" s="80">
        <f>WWWW[[#This Row],['#_Water boating or water trucking]]</f>
        <v>0</v>
      </c>
      <c r="BX164" s="80">
        <f>WWWW[[#This Row],['#_Constructed/Existing water distribution system from river or natural spring]]</f>
        <v>0</v>
      </c>
      <c r="BY164"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4"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4" s="81">
        <f>IF(WWWW[[#This Row],[Location Type 1]]="Village",WWWW[[#This Row],[Access to safe drinking water for Village]],WWWW[[#This Row],[Access to safe drinking water for Camp]])</f>
        <v>0</v>
      </c>
      <c r="CB164" s="79">
        <f>WWWW[[#This Row],[%Equitable and continuous access to sufficient quantity of safe drinking water]]*WWWW[[#This Row],[Total PoP ]]</f>
        <v>0</v>
      </c>
      <c r="CC164" s="81">
        <f>IF((WWWW[[#This Row],['#_Constructed/Existing protected/fenced ponds]]*250)/WWWW[[#This Row],[Total PoP ]]&gt;1,1,(WWWW[[#This Row],['#_Constructed/Existing protected/fenced ponds]]*250)/WWWW[[#This Row],[Total PoP ]])</f>
        <v>0</v>
      </c>
      <c r="CD164" s="79">
        <f>WWWW[[#This Row],[% Access to unimproved water points]]*WWWW[[#This Row],[Total PoP ]]</f>
        <v>0</v>
      </c>
      <c r="CE164"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4"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4" s="79">
        <f>WWWW[[#This Row],[HRP1]]/500</f>
        <v>0</v>
      </c>
      <c r="CH164" s="78">
        <f>1-WWWW[[#This Row],[% Equitable and continuous access to sufficient quantity of domestic water]]</f>
        <v>1</v>
      </c>
      <c r="CI164" s="79">
        <f>WWWW[[#This Row],[%equitable and continuous access to sufficient quantity of safe drinking and domestic water''s GAP]]*WWWW[[#This Row],[Total PoP ]]</f>
        <v>324</v>
      </c>
      <c r="CJ164" s="80">
        <f>IF(WWWW[[#This Row],[Total required water points]]-WWWW[[#This Row],['#Water points coverage]]&lt;0,0,WWWW[[#This Row],[Total required water points]]-WWWW[[#This Row],['#Water points coverage]])</f>
        <v>1</v>
      </c>
      <c r="CK164" s="80">
        <f>ROUND(IF(WWWW[[#This Row],[Total PoP ]]&lt;500,1,WWWW[[#This Row],[Total PoP ]]/500),0)</f>
        <v>1</v>
      </c>
      <c r="CL164" s="80">
        <f>(WWWW[[#This Row],['#_Constructed latrines_by_WASHAgencies]]+WWWW[[#This Row],['#_Non Cluster partner latrines]])-WWWW[[#This Row],['#_Non-functional latrines]]</f>
        <v>0</v>
      </c>
      <c r="CM164"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4"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4"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4" s="80">
        <f>IF(WWWW[[#This Row],[Location Type 1]]="Village","NA",IF(WWWW[[#This Row],['#_Constructed/Existing latrines in TLS]]*50&gt;WWWW[[#This Row],['#_students at TLS_CFS]],WWWW[[#This Row],['#_students at TLS_CFS]],(WWWW[[#This Row],['#_Constructed/Existing latrines in TLS]]*50)))</f>
        <v>0</v>
      </c>
      <c r="CQ164" s="80">
        <f>ROUND(IF(WWWW[[#This Row],[Location Type 1]]="camp",WWWW[[#This Row],[Total PoP ]]/20,IF(WWWW[[#This Row],[Location Type 1]]="Temporary Location",WWWW[[#This Row],[Total PoP ]]/50,(WWWW[[#This Row],[Total PoP ]]/6))),0)</f>
        <v>16</v>
      </c>
      <c r="CR164" s="79">
        <f>IF(WWWW[[#This Row],[Total required Latrines]]-(WWWW[[#This Row],['#_Constructed latrines_by_WASHAgencies]]+WWWW[[#This Row],['#_Non Cluster partner latrines]])&lt;0,0,WWWW[[#This Row],[Total required Latrines]]-(WWWW[[#This Row],['#_Constructed latrines_by_WASHAgencies]]+WWWW[[#This Row],['#_Non Cluster partner latrines]]))</f>
        <v>16</v>
      </c>
      <c r="CS164" s="78">
        <f>1-WWWW[[#This Row],[% people access to functioning Latrine]]</f>
        <v>1</v>
      </c>
      <c r="CT164" s="82">
        <f>IF(OR(WWWW[[#This Row],['#_Non-functional latrines]]="",WWWW[[#This Row],['#_Non-functional latrines]]=0),0,WWWW[[#This Row],['#_Non-functional latrines]]/(WWWW[[#This Row],['#_Constructed latrines_by_WASHAgencies]]+WWWW[[#This Row],['#_Non Cluster partner latrines]]))</f>
        <v>0</v>
      </c>
      <c r="CU164" s="79">
        <f>IF(500*(WWWW[[#This Row],['#_male hygiene promoters]]+WWWW[[#This Row],['#_female hygiene promoters]])&gt;WWWW[[#This Row],[Total PoP ]],WWWW[[#This Row],[Total PoP ]],500*(WWWW[[#This Row],['#_male hygiene promoters]]+WWWW[[#This Row],['#_female hygiene promoters]]))</f>
        <v>0</v>
      </c>
      <c r="CV164"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4"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4" s="80">
        <f>IF(WWWW[[#This Row],['# People with access to soap]]&gt;WWWW[[#This Row],['# People with access to Sanity Pads]],WWWW[[#This Row],['# People with access to soap]],WWWW[[#This Row],['# People with access to Sanity Pads]])</f>
        <v>0</v>
      </c>
      <c r="CY164"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4" s="78">
        <f>IF(WWWW[[#This Row],[HRP3]]/WWWW[[#This Row],[Total PoP ]]&gt;100%,100%,WWWW[[#This Row],[HRP3]]/WWWW[[#This Row],[Total PoP ]])</f>
        <v>0</v>
      </c>
      <c r="DA164" s="82">
        <f>1-WWWW[[#This Row],[Hygiene Coverage%]]</f>
        <v>1</v>
      </c>
      <c r="DB164" s="81">
        <f>WWWW[[#This Row],['# people reached by regular dedicated hygiene promotion_5]]/WWWW[[#This Row],[Total PoP ]]</f>
        <v>0</v>
      </c>
      <c r="DC164" s="81">
        <f>IF(WWWW[[#This Row],['#_households that received standard amount of soap for this quarter]]/WWWW[[#This Row],[Total HH]]&gt;1,1,WWWW[[#This Row],['#_households that received standard amount of soap for this quarter]]/WWWW[[#This Row],[Total HH]])</f>
        <v>0</v>
      </c>
      <c r="DD164" s="81">
        <f>IF(WWWW[[#This Row],['#_households that received standard amount of sanitary pads for this quarter]]/WWWW[[#This Row],[Total HH]]&gt;1,1,WWWW[[#This Row],['#_households that received standard amount of sanitary pads for this quarter]]/WWWW[[#This Row],[Total HH]])</f>
        <v>0</v>
      </c>
      <c r="DE164" s="80">
        <f>WWWW[[#This Row],['#_Constructed/Existing hand washing stations]]-WWWW[[#This Row],['#_Non-Functional_hand_washing_stations]]</f>
        <v>0</v>
      </c>
      <c r="DF164" s="757">
        <f>IF(WWWW[[#This Row],['# Functional hand washing stations during reporting period]]*20&gt;WWWW[[#This Row],[Total HH]],WWWW[[#This Row],[Total HH]],WWWW[[#This Row],['# Functional hand washing stations during reporting period]]*20)</f>
        <v>0</v>
      </c>
      <c r="DG164" s="79">
        <f>IF(WWWW[[#This Row],[Is sufficient soap available for TLS? (Yes/No)]]="yes",WWWW[[#This Row],['#_Constructed/Existing hand washing stations at TLS]],0)</f>
        <v>0</v>
      </c>
      <c r="DH164" s="578">
        <f>IF(WWWW[[#This Row],['# Functional hand washing stations during reporting period]]*100&gt;WWWW[[#This Row],[Total PoP ]],WWWW[[#This Row],[Total PoP ]],WWWW[[#This Row],['# Functional hand washing stations during reporting period]]*100)</f>
        <v>0</v>
      </c>
      <c r="DI164" s="578" t="str">
        <f>IF(OR(WWWW[[#This Row],['#_students at TLS_CFS]]="",WWWW[[#This Row],['#_students at TLS_CFS]]=0),"No","Yes")</f>
        <v>No</v>
      </c>
      <c r="DJ164" s="231">
        <f>VLOOKUP(WWWW[[#This Row],[Site Name]],SiteDB6[[Site Name]:[CCCM Management]],6,FALSE)</f>
        <v>0</v>
      </c>
      <c r="DK164" s="231">
        <f>VLOOKUP(WWWW[[#This Row],[Site Name]],SiteDB6[[Site Name]:[CCCM Focal Agency]],7,FALSE)</f>
        <v>0</v>
      </c>
      <c r="DL164" s="231" t="str">
        <f>VLOOKUP(WWWW[[#This Row],[Site Name]],SiteDB6[[Site Name]:[Location Type 1]],9,FALSE)</f>
        <v>Camp</v>
      </c>
      <c r="DM164" s="231" t="str">
        <f>VLOOKUP(WWWW[[#This Row],[Site Name]],SiteDB6[[Site Name]:[Type of Accommodation]],10,FALSE)</f>
        <v>Camp like setting</v>
      </c>
      <c r="DN164" s="231" t="str">
        <f>VLOOKUP(WWWW[[#This Row],[Site Name]],SiteDB6[[Site Name]:[Ethnic or GCA/NGCA]],11,FALSE)</f>
        <v>NGCA</v>
      </c>
      <c r="DO164" s="231">
        <f>VLOOKUP(WWWW[[#This Row],[Site Name]],SiteDB6[[Site Name]:[Lat]],12,FALSE)</f>
        <v>0</v>
      </c>
      <c r="DP164" s="231">
        <f>VLOOKUP(WWWW[[#This Row],[Site Name]],SiteDB6[[Site Name]:[Long]],13,FALSE)</f>
        <v>0</v>
      </c>
      <c r="DQ164" s="231">
        <f>VLOOKUP(WWWW[[#This Row],[Site Name]],SiteDB6[[Site Name]:[Pcode]],3,FALSE)</f>
        <v>0</v>
      </c>
      <c r="DR164" s="207" t="str">
        <f t="shared" si="5"/>
        <v>Covered</v>
      </c>
      <c r="DS164" s="207"/>
      <c r="DT164" s="20"/>
      <c r="DU164" s="20"/>
      <c r="DV164" s="20"/>
      <c r="DW164" s="20"/>
      <c r="DX164" s="20"/>
      <c r="DY164" s="20"/>
      <c r="DZ164" s="20"/>
      <c r="EA164" s="20"/>
      <c r="EB164" s="20"/>
      <c r="EC164" s="20"/>
      <c r="ED164" s="20"/>
      <c r="EE164" s="20"/>
      <c r="EF164" s="20"/>
      <c r="EG164" s="20"/>
      <c r="EH164" s="20"/>
    </row>
    <row r="165" spans="1:138" ht="15.75" customHeight="1">
      <c r="A165" s="238" t="s">
        <v>2518</v>
      </c>
      <c r="B165" s="574" t="s">
        <v>250</v>
      </c>
      <c r="C165" s="574" t="s">
        <v>250</v>
      </c>
      <c r="D165" s="574" t="s">
        <v>315</v>
      </c>
      <c r="E165" s="574" t="s">
        <v>39</v>
      </c>
      <c r="F165" s="574" t="s">
        <v>150</v>
      </c>
      <c r="G165" s="574" t="str">
        <f>VLOOKUP(WWWW[[#This Row],[Site Name]],SiteDB6[[Site Name]:[Location Type]],8,FALSE)</f>
        <v>Camp</v>
      </c>
      <c r="H165" s="574" t="s">
        <v>283</v>
      </c>
      <c r="I165" s="583">
        <v>66</v>
      </c>
      <c r="J165" s="583">
        <v>263</v>
      </c>
      <c r="K165" s="553">
        <v>43313</v>
      </c>
      <c r="L165" s="58">
        <v>44043</v>
      </c>
      <c r="M165" s="583">
        <v>0</v>
      </c>
      <c r="N165" s="583">
        <v>1</v>
      </c>
      <c r="O165" s="583">
        <v>0</v>
      </c>
      <c r="P165" s="583">
        <v>0</v>
      </c>
      <c r="Q165" s="574" t="s">
        <v>43</v>
      </c>
      <c r="R165" s="310">
        <v>3</v>
      </c>
      <c r="S165" s="310">
        <v>2</v>
      </c>
      <c r="T165" s="310">
        <v>3</v>
      </c>
      <c r="U165" s="310">
        <v>0</v>
      </c>
      <c r="V165" s="310">
        <v>2</v>
      </c>
      <c r="W165" s="310">
        <v>1</v>
      </c>
      <c r="X165" s="310">
        <v>3</v>
      </c>
      <c r="Y165" s="310">
        <v>0</v>
      </c>
      <c r="Z165" s="310">
        <v>2</v>
      </c>
      <c r="AA165" s="583">
        <v>0</v>
      </c>
      <c r="AB165" s="310">
        <v>0</v>
      </c>
      <c r="AC165" s="310">
        <v>0</v>
      </c>
      <c r="AD165" s="310">
        <v>0</v>
      </c>
      <c r="AE165" s="310">
        <v>0</v>
      </c>
      <c r="AF165" s="310">
        <v>0</v>
      </c>
      <c r="AG165" s="310">
        <v>0</v>
      </c>
      <c r="AH165" s="310">
        <v>0</v>
      </c>
      <c r="AI165" s="310"/>
      <c r="AJ165" s="310"/>
      <c r="AK165" s="310"/>
      <c r="AL165" s="310"/>
      <c r="AM165" s="310">
        <v>0</v>
      </c>
      <c r="AN165" s="310">
        <v>0</v>
      </c>
      <c r="AO165" s="207"/>
      <c r="AP165" s="310">
        <v>0</v>
      </c>
      <c r="AQ165" s="310">
        <v>7</v>
      </c>
      <c r="AR165" s="76">
        <v>0</v>
      </c>
      <c r="AS165" s="310">
        <v>2</v>
      </c>
      <c r="AT165" s="310">
        <v>0</v>
      </c>
      <c r="AU165" s="310">
        <v>2</v>
      </c>
      <c r="AV165" s="310"/>
      <c r="AW165" s="583">
        <v>0</v>
      </c>
      <c r="AX165" s="581" t="s">
        <v>43</v>
      </c>
      <c r="AY165" s="231" t="s">
        <v>145</v>
      </c>
      <c r="AZ165" s="310">
        <v>0</v>
      </c>
      <c r="BA165" s="310">
        <v>0</v>
      </c>
      <c r="BB165" s="310">
        <v>0</v>
      </c>
      <c r="BC165" s="207"/>
      <c r="BD165" s="310">
        <v>2</v>
      </c>
      <c r="BE165" s="310">
        <v>0</v>
      </c>
      <c r="BF165" s="310">
        <v>0</v>
      </c>
      <c r="BG165" s="310">
        <v>4</v>
      </c>
      <c r="BH165" s="310">
        <v>0</v>
      </c>
      <c r="BI165" s="310">
        <v>0</v>
      </c>
      <c r="BJ165" s="310">
        <v>0</v>
      </c>
      <c r="BK165" s="310">
        <v>0</v>
      </c>
      <c r="BL165" s="310">
        <v>0</v>
      </c>
      <c r="BM165" s="207" t="s">
        <v>144</v>
      </c>
      <c r="BN165" s="79">
        <v>0</v>
      </c>
      <c r="BO165" s="81">
        <v>0</v>
      </c>
      <c r="BP165" s="207"/>
      <c r="BQ165" s="78" t="str">
        <f>IFERROR(WWWW[[#This Row],['#_Water sources treated]]/WWWW[[#This Row],['#_Water sources tested for contamination]],"no test")</f>
        <v>no test</v>
      </c>
      <c r="BR165" s="81" t="str">
        <f>IFERROR(WWWW[[#This Row],['#_Household received remediation action due to contamination]]/WWWW[[#This Row],['#_Household water samples tested for contamination]],"no test")</f>
        <v>no test</v>
      </c>
      <c r="BS165" s="80" t="str">
        <f>IF(AND(WWWW[[#This Row],[% of water sources treated]]="no test",WWWW[[#This Row],[% Household received corrective actions]]="no test"),"No Test","Tested")</f>
        <v>No Test</v>
      </c>
      <c r="BT165" s="80">
        <f>WWWW[[#This Row],['#_Constructed/existing protected hand dug well]]-WWWW[[#This Row],['#_Non-functional protected hand dug well]]</f>
        <v>3</v>
      </c>
      <c r="BU165" s="80">
        <f>(WWWW[[#This Row],['#_Constructed/Existing tube wells/boreholes/handpumps_WASH_agency]]+WWWW[[#This Row],['#_Non-Cluster partner water tube-wells/boreholes/handpumps]])-WWWW[[#This Row],['#_Non-functional tube wells/boreholes/handpumps]]</f>
        <v>4</v>
      </c>
      <c r="BV165" s="80">
        <f>WWWW[[#This Row],['#_Constructed/Existingwater storage tank with gravity fed reticulation system]]-WWWW[[#This Row],['#_Non-functional storage tank gravity fed reticulation system]]</f>
        <v>0</v>
      </c>
      <c r="BW165" s="80">
        <f>WWWW[[#This Row],['#_Water boating or water trucking]]</f>
        <v>0</v>
      </c>
      <c r="BX165" s="80">
        <f>WWWW[[#This Row],['#_Constructed/Existing water distribution system from river or natural spring]]</f>
        <v>0</v>
      </c>
      <c r="BY165"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5"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65" s="81">
        <f>IF(WWWW[[#This Row],[Location Type 1]]="Village",WWWW[[#This Row],[Access to safe drinking water for Village]],WWWW[[#This Row],[Access to safe drinking water for Camp]])</f>
        <v>1</v>
      </c>
      <c r="CB165" s="79">
        <f>WWWW[[#This Row],[%Equitable and continuous access to sufficient quantity of safe drinking water]]*WWWW[[#This Row],[Total PoP ]]</f>
        <v>263</v>
      </c>
      <c r="CC165" s="81">
        <f>IF((WWWW[[#This Row],['#_Constructed/Existing protected/fenced ponds]]*250)/WWWW[[#This Row],[Total PoP ]]&gt;1,1,(WWWW[[#This Row],['#_Constructed/Existing protected/fenced ponds]]*250)/WWWW[[#This Row],[Total PoP ]])</f>
        <v>0</v>
      </c>
      <c r="CD165" s="79">
        <f>WWWW[[#This Row],[% Access to unimproved water points]]*WWWW[[#This Row],[Total PoP ]]</f>
        <v>0</v>
      </c>
      <c r="CE165"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5"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G165" s="79">
        <f>WWWW[[#This Row],[HRP1]]/500</f>
        <v>0.52600000000000002</v>
      </c>
      <c r="CH165" s="78">
        <f>1-WWWW[[#This Row],[% Equitable and continuous access to sufficient quantity of domestic water]]</f>
        <v>0</v>
      </c>
      <c r="CI165" s="79">
        <f>WWWW[[#This Row],[%equitable and continuous access to sufficient quantity of safe drinking and domestic water''s GAP]]*WWWW[[#This Row],[Total PoP ]]</f>
        <v>0</v>
      </c>
      <c r="CJ165" s="80">
        <f>IF(WWWW[[#This Row],[Total required water points]]-WWWW[[#This Row],['#Water points coverage]]&lt;0,0,WWWW[[#This Row],[Total required water points]]-WWWW[[#This Row],['#Water points coverage]])</f>
        <v>0.47399999999999998</v>
      </c>
      <c r="CK165" s="80">
        <f>ROUND(IF(WWWW[[#This Row],[Total PoP ]]&lt;500,1,WWWW[[#This Row],[Total PoP ]]/500),0)</f>
        <v>1</v>
      </c>
      <c r="CL165" s="80">
        <f>(WWWW[[#This Row],['#_Constructed latrines_by_WASHAgencies]]+WWWW[[#This Row],['#_Non Cluster partner latrines]])-WWWW[[#This Row],['#_Non-functional latrines]]</f>
        <v>5</v>
      </c>
      <c r="CM165"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0.38022813688212925</v>
      </c>
      <c r="CN165"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165"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165" s="80">
        <f>IF(WWWW[[#This Row],[Location Type 1]]="Village","NA",IF(WWWW[[#This Row],['#_Constructed/Existing latrines in TLS]]*50&gt;WWWW[[#This Row],['#_students at TLS_CFS]],WWWW[[#This Row],['#_students at TLS_CFS]],(WWWW[[#This Row],['#_Constructed/Existing latrines in TLS]]*50)))</f>
        <v>0</v>
      </c>
      <c r="CQ165" s="80">
        <f>ROUND(IF(WWWW[[#This Row],[Location Type 1]]="camp",WWWW[[#This Row],[Total PoP ]]/20,IF(WWWW[[#This Row],[Location Type 1]]="Temporary Location",WWWW[[#This Row],[Total PoP ]]/50,(WWWW[[#This Row],[Total PoP ]]/6))),0)</f>
        <v>13</v>
      </c>
      <c r="CR165" s="79">
        <f>IF(WWWW[[#This Row],[Total required Latrines]]-(WWWW[[#This Row],['#_Constructed latrines_by_WASHAgencies]]+WWWW[[#This Row],['#_Non Cluster partner latrines]])&lt;0,0,WWWW[[#This Row],[Total required Latrines]]-(WWWW[[#This Row],['#_Constructed latrines_by_WASHAgencies]]+WWWW[[#This Row],['#_Non Cluster partner latrines]]))</f>
        <v>6</v>
      </c>
      <c r="CS165" s="78">
        <f>1-WWWW[[#This Row],[% people access to functioning Latrine]]</f>
        <v>0.6197718631178708</v>
      </c>
      <c r="CT165" s="82">
        <f>IF(OR(WWWW[[#This Row],['#_Non-functional latrines]]="",WWWW[[#This Row],['#_Non-functional latrines]]=0),0,WWWW[[#This Row],['#_Non-functional latrines]]/(WWWW[[#This Row],['#_Constructed latrines_by_WASHAgencies]]+WWWW[[#This Row],['#_Non Cluster partner latrines]]))</f>
        <v>0.2857142857142857</v>
      </c>
      <c r="CU165" s="79">
        <f>IF(500*(WWWW[[#This Row],['#_male hygiene promoters]]+WWWW[[#This Row],['#_female hygiene promoters]])&gt;WWWW[[#This Row],[Total PoP ]],WWWW[[#This Row],[Total PoP ]],500*(WWWW[[#This Row],['#_male hygiene promoters]]+WWWW[[#This Row],['#_female hygiene promoters]]))</f>
        <v>0</v>
      </c>
      <c r="CV165"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5"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5" s="80">
        <f>IF(WWWW[[#This Row],['# People with access to soap]]&gt;WWWW[[#This Row],['# People with access to Sanity Pads]],WWWW[[#This Row],['# People with access to soap]],WWWW[[#This Row],['# People with access to Sanity Pads]])</f>
        <v>0</v>
      </c>
      <c r="CY165"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5" s="78">
        <f>IF(WWWW[[#This Row],[HRP3]]/WWWW[[#This Row],[Total PoP ]]&gt;100%,100%,WWWW[[#This Row],[HRP3]]/WWWW[[#This Row],[Total PoP ]])</f>
        <v>0</v>
      </c>
      <c r="DA165" s="82">
        <f>1-WWWW[[#This Row],[Hygiene Coverage%]]</f>
        <v>1</v>
      </c>
      <c r="DB165" s="81">
        <f>WWWW[[#This Row],['# people reached by regular dedicated hygiene promotion_5]]/WWWW[[#This Row],[Total PoP ]]</f>
        <v>0</v>
      </c>
      <c r="DC165" s="81">
        <f>IF(WWWW[[#This Row],['#_households that received standard amount of soap for this quarter]]/WWWW[[#This Row],[Total HH]]&gt;1,1,WWWW[[#This Row],['#_households that received standard amount of soap for this quarter]]/WWWW[[#This Row],[Total HH]])</f>
        <v>0</v>
      </c>
      <c r="DD165" s="81">
        <f>IF(WWWW[[#This Row],['#_households that received standard amount of sanitary pads for this quarter]]/WWWW[[#This Row],[Total HH]]&gt;1,1,WWWW[[#This Row],['#_households that received standard amount of sanitary pads for this quarter]]/WWWW[[#This Row],[Total HH]])</f>
        <v>0</v>
      </c>
      <c r="DE165" s="80">
        <f>WWWW[[#This Row],['#_Constructed/Existing hand washing stations]]-WWWW[[#This Row],['#_Non-Functional_hand_washing_stations]]</f>
        <v>2</v>
      </c>
      <c r="DF165" s="757">
        <f>IF(WWWW[[#This Row],['# Functional hand washing stations during reporting period]]*20&gt;WWWW[[#This Row],[Total HH]],WWWW[[#This Row],[Total HH]],WWWW[[#This Row],['# Functional hand washing stations during reporting period]]*20)</f>
        <v>40</v>
      </c>
      <c r="DG165" s="79">
        <f>IF(WWWW[[#This Row],[Is sufficient soap available for TLS? (Yes/No)]]="yes",WWWW[[#This Row],['#_Constructed/Existing hand washing stations at TLS]],0)</f>
        <v>0</v>
      </c>
      <c r="DH165" s="578">
        <f>IF(WWWW[[#This Row],['# Functional hand washing stations during reporting period]]*100&gt;WWWW[[#This Row],[Total PoP ]],WWWW[[#This Row],[Total PoP ]],WWWW[[#This Row],['# Functional hand washing stations during reporting period]]*100)</f>
        <v>200</v>
      </c>
      <c r="DI165" s="578" t="str">
        <f>IF(OR(WWWW[[#This Row],['#_students at TLS_CFS]]="",WWWW[[#This Row],['#_students at TLS_CFS]]=0),"No","Yes")</f>
        <v>No</v>
      </c>
      <c r="DJ165" s="231" t="str">
        <f>VLOOKUP(WWWW[[#This Row],[Site Name]],SiteDB6[[Site Name]:[CCCM Management]],6,FALSE)</f>
        <v>Yes</v>
      </c>
      <c r="DK165" s="231" t="str">
        <f>VLOOKUP(WWWW[[#This Row],[Site Name]],SiteDB6[[Site Name]:[CCCM Focal Agency]],7,FALSE)</f>
        <v>Shalom</v>
      </c>
      <c r="DL165" s="231" t="str">
        <f>VLOOKUP(WWWW[[#This Row],[Site Name]],SiteDB6[[Site Name]:[Location Type 1]],9,FALSE)</f>
        <v>Camp</v>
      </c>
      <c r="DM165" s="231" t="str">
        <f>VLOOKUP(WWWW[[#This Row],[Site Name]],SiteDB6[[Site Name]:[Type of Accommodation]],10,FALSE)</f>
        <v>Camp</v>
      </c>
      <c r="DN165" s="231" t="str">
        <f>VLOOKUP(WWWW[[#This Row],[Site Name]],SiteDB6[[Site Name]:[Ethnic or GCA/NGCA]],11,FALSE)</f>
        <v>GCA</v>
      </c>
      <c r="DO165" s="231">
        <f>VLOOKUP(WWWW[[#This Row],[Site Name]],SiteDB6[[Site Name]:[Lat]],12,FALSE)</f>
        <v>25.351250396825399</v>
      </c>
      <c r="DP165" s="231">
        <f>VLOOKUP(WWWW[[#This Row],[Site Name]],SiteDB6[[Site Name]:[Long]],13,FALSE)</f>
        <v>97.444283730158702</v>
      </c>
      <c r="DQ165" s="231" t="str">
        <f>VLOOKUP(WWWW[[#This Row],[Site Name]],SiteDB6[[Site Name]:[Pcode]],3,FALSE)</f>
        <v>MMR001CMP038</v>
      </c>
      <c r="DR165" s="207" t="str">
        <f t="shared" ref="DR165:DR196" si="6">IF(C165="none","Notcovered","Covered")</f>
        <v>Covered</v>
      </c>
      <c r="DS165" s="207"/>
      <c r="DT165" s="20"/>
      <c r="DU165" s="20"/>
      <c r="DV165" s="20"/>
      <c r="DW165" s="20"/>
      <c r="DX165" s="20"/>
      <c r="DY165" s="20"/>
      <c r="DZ165" s="20"/>
      <c r="EA165" s="20"/>
      <c r="EB165" s="20"/>
      <c r="EC165" s="20"/>
      <c r="ED165" s="20"/>
      <c r="EE165" s="20"/>
      <c r="EF165" s="20"/>
      <c r="EG165" s="20"/>
      <c r="EH165" s="20"/>
    </row>
    <row r="166" spans="1:138" ht="15.75" customHeight="1">
      <c r="A166" s="238" t="s">
        <v>2518</v>
      </c>
      <c r="B166" s="574" t="s">
        <v>200</v>
      </c>
      <c r="C166" s="574" t="s">
        <v>200</v>
      </c>
      <c r="D166" s="574" t="s">
        <v>226</v>
      </c>
      <c r="E166" s="574" t="s">
        <v>39</v>
      </c>
      <c r="F166" s="574" t="s">
        <v>150</v>
      </c>
      <c r="G166" s="574" t="str">
        <f>VLOOKUP(WWWW[[#This Row],[Site Name]],SiteDB6[[Site Name]:[Location Type]],8,FALSE)</f>
        <v>Camp_not registered</v>
      </c>
      <c r="H166" s="589" t="s">
        <v>231</v>
      </c>
      <c r="I166" s="583">
        <v>134</v>
      </c>
      <c r="J166" s="583">
        <v>709</v>
      </c>
      <c r="K166" s="553"/>
      <c r="L166" s="77">
        <v>43281</v>
      </c>
      <c r="M166" s="583"/>
      <c r="N166" s="583"/>
      <c r="O166" s="583"/>
      <c r="P166" s="583"/>
      <c r="Q166" s="76"/>
      <c r="R166" s="310"/>
      <c r="S166" s="310"/>
      <c r="T166" s="310"/>
      <c r="U166" s="310"/>
      <c r="V166" s="310"/>
      <c r="W166" s="310"/>
      <c r="X166" s="310"/>
      <c r="Y166" s="310"/>
      <c r="Z166" s="310"/>
      <c r="AA166" s="583"/>
      <c r="AB166" s="310"/>
      <c r="AC166" s="310"/>
      <c r="AD166" s="310"/>
      <c r="AE166" s="310"/>
      <c r="AF166" s="310"/>
      <c r="AG166" s="310"/>
      <c r="AH166" s="310"/>
      <c r="AI166" s="310"/>
      <c r="AJ166" s="310"/>
      <c r="AK166" s="310"/>
      <c r="AL166" s="310"/>
      <c r="AM166" s="310"/>
      <c r="AN166" s="310"/>
      <c r="AO166" s="207"/>
      <c r="AP166" s="310"/>
      <c r="AQ166" s="310"/>
      <c r="AR166" s="76"/>
      <c r="AS166" s="310"/>
      <c r="AT166" s="310"/>
      <c r="AU166" s="310"/>
      <c r="AV166" s="310"/>
      <c r="AW166" s="310"/>
      <c r="AX166" s="231" t="s">
        <v>43</v>
      </c>
      <c r="AY166" s="231" t="s">
        <v>1200</v>
      </c>
      <c r="AZ166" s="310"/>
      <c r="BA166" s="310"/>
      <c r="BB166" s="310"/>
      <c r="BC166" s="207"/>
      <c r="BD166" s="310"/>
      <c r="BE166" s="310"/>
      <c r="BF166" s="310"/>
      <c r="BG166" s="310"/>
      <c r="BH166" s="310"/>
      <c r="BI166" s="310"/>
      <c r="BJ166" s="310"/>
      <c r="BK166" s="310"/>
      <c r="BL166" s="310"/>
      <c r="BM166" s="207"/>
      <c r="BN166" s="79"/>
      <c r="BO166" s="81"/>
      <c r="BP166" s="207"/>
      <c r="BQ166" s="78" t="str">
        <f>IFERROR(WWWW[[#This Row],['#_Water sources treated]]/WWWW[[#This Row],['#_Water sources tested for contamination]],"no test")</f>
        <v>no test</v>
      </c>
      <c r="BR166" s="81" t="str">
        <f>IFERROR(WWWW[[#This Row],['#_Household received remediation action due to contamination]]/WWWW[[#This Row],['#_Household water samples tested for contamination]],"no test")</f>
        <v>no test</v>
      </c>
      <c r="BS166" s="80" t="str">
        <f>IF(AND(WWWW[[#This Row],[% of water sources treated]]="no test",WWWW[[#This Row],[% Household received corrective actions]]="no test"),"No Test","Tested")</f>
        <v>No Test</v>
      </c>
      <c r="BT166" s="80">
        <f>WWWW[[#This Row],['#_Constructed/existing protected hand dug well]]-WWWW[[#This Row],['#_Non-functional protected hand dug well]]</f>
        <v>0</v>
      </c>
      <c r="BU166" s="80">
        <f>(WWWW[[#This Row],['#_Constructed/Existing tube wells/boreholes/handpumps_WASH_agency]]+WWWW[[#This Row],['#_Non-Cluster partner water tube-wells/boreholes/handpumps]])-WWWW[[#This Row],['#_Non-functional tube wells/boreholes/handpumps]]</f>
        <v>0</v>
      </c>
      <c r="BV166" s="80">
        <f>WWWW[[#This Row],['#_Constructed/Existingwater storage tank with gravity fed reticulation system]]-WWWW[[#This Row],['#_Non-functional storage tank gravity fed reticulation system]]</f>
        <v>0</v>
      </c>
      <c r="BW166" s="80">
        <f>WWWW[[#This Row],['#_Water boating or water trucking]]</f>
        <v>0</v>
      </c>
      <c r="BX166" s="80">
        <f>WWWW[[#This Row],['#_Constructed/Existing water distribution system from river or natural spring]]</f>
        <v>0</v>
      </c>
      <c r="BY166"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6"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6" s="81">
        <f>IF(WWWW[[#This Row],[Location Type 1]]="Village",WWWW[[#This Row],[Access to safe drinking water for Village]],WWWW[[#This Row],[Access to safe drinking water for Camp]])</f>
        <v>0</v>
      </c>
      <c r="CB166" s="79">
        <f>WWWW[[#This Row],[%Equitable and continuous access to sufficient quantity of safe drinking water]]*WWWW[[#This Row],[Total PoP ]]</f>
        <v>0</v>
      </c>
      <c r="CC166" s="81">
        <f>IF((WWWW[[#This Row],['#_Constructed/Existing protected/fenced ponds]]*250)/WWWW[[#This Row],[Total PoP ]]&gt;1,1,(WWWW[[#This Row],['#_Constructed/Existing protected/fenced ponds]]*250)/WWWW[[#This Row],[Total PoP ]])</f>
        <v>0</v>
      </c>
      <c r="CD166" s="79">
        <f>WWWW[[#This Row],[% Access to unimproved water points]]*WWWW[[#This Row],[Total PoP ]]</f>
        <v>0</v>
      </c>
      <c r="CE166"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6"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6" s="79">
        <f>WWWW[[#This Row],[HRP1]]/500</f>
        <v>0</v>
      </c>
      <c r="CH166" s="78">
        <f>1-WWWW[[#This Row],[% Equitable and continuous access to sufficient quantity of domestic water]]</f>
        <v>1</v>
      </c>
      <c r="CI166" s="79">
        <f>WWWW[[#This Row],[%equitable and continuous access to sufficient quantity of safe drinking and domestic water''s GAP]]*WWWW[[#This Row],[Total PoP ]]</f>
        <v>709</v>
      </c>
      <c r="CJ166" s="80">
        <f>IF(WWWW[[#This Row],[Total required water points]]-WWWW[[#This Row],['#Water points coverage]]&lt;0,0,WWWW[[#This Row],[Total required water points]]-WWWW[[#This Row],['#Water points coverage]])</f>
        <v>1</v>
      </c>
      <c r="CK166" s="80">
        <f>ROUND(IF(WWWW[[#This Row],[Total PoP ]]&lt;500,1,WWWW[[#This Row],[Total PoP ]]/500),0)</f>
        <v>1</v>
      </c>
      <c r="CL166" s="80">
        <f>(WWWW[[#This Row],['#_Constructed latrines_by_WASHAgencies]]+WWWW[[#This Row],['#_Non Cluster partner latrines]])-WWWW[[#This Row],['#_Non-functional latrines]]</f>
        <v>0</v>
      </c>
      <c r="CM166"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6"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6"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6" s="80">
        <f>IF(WWWW[[#This Row],[Location Type 1]]="Village","NA",IF(WWWW[[#This Row],['#_Constructed/Existing latrines in TLS]]*50&gt;WWWW[[#This Row],['#_students at TLS_CFS]],WWWW[[#This Row],['#_students at TLS_CFS]],(WWWW[[#This Row],['#_Constructed/Existing latrines in TLS]]*50)))</f>
        <v>0</v>
      </c>
      <c r="CQ166" s="80">
        <f>ROUND(IF(WWWW[[#This Row],[Location Type 1]]="camp",WWWW[[#This Row],[Total PoP ]]/20,IF(WWWW[[#This Row],[Location Type 1]]="Temporary Location",WWWW[[#This Row],[Total PoP ]]/50,(WWWW[[#This Row],[Total PoP ]]/6))),0)</f>
        <v>35</v>
      </c>
      <c r="CR166" s="79">
        <f>IF(WWWW[[#This Row],[Total required Latrines]]-(WWWW[[#This Row],['#_Constructed latrines_by_WASHAgencies]]+WWWW[[#This Row],['#_Non Cluster partner latrines]])&lt;0,0,WWWW[[#This Row],[Total required Latrines]]-(WWWW[[#This Row],['#_Constructed latrines_by_WASHAgencies]]+WWWW[[#This Row],['#_Non Cluster partner latrines]]))</f>
        <v>35</v>
      </c>
      <c r="CS166" s="78">
        <f>1-WWWW[[#This Row],[% people access to functioning Latrine]]</f>
        <v>1</v>
      </c>
      <c r="CT166" s="82">
        <f>IF(OR(WWWW[[#This Row],['#_Non-functional latrines]]="",WWWW[[#This Row],['#_Non-functional latrines]]=0),0,WWWW[[#This Row],['#_Non-functional latrines]]/(WWWW[[#This Row],['#_Constructed latrines_by_WASHAgencies]]+WWWW[[#This Row],['#_Non Cluster partner latrines]]))</f>
        <v>0</v>
      </c>
      <c r="CU166" s="79">
        <f>IF(500*(WWWW[[#This Row],['#_male hygiene promoters]]+WWWW[[#This Row],['#_female hygiene promoters]])&gt;WWWW[[#This Row],[Total PoP ]],WWWW[[#This Row],[Total PoP ]],500*(WWWW[[#This Row],['#_male hygiene promoters]]+WWWW[[#This Row],['#_female hygiene promoters]]))</f>
        <v>0</v>
      </c>
      <c r="CV166"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6"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6" s="80">
        <f>IF(WWWW[[#This Row],['# People with access to soap]]&gt;WWWW[[#This Row],['# People with access to Sanity Pads]],WWWW[[#This Row],['# People with access to soap]],WWWW[[#This Row],['# People with access to Sanity Pads]])</f>
        <v>0</v>
      </c>
      <c r="CY166"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6" s="78">
        <f>IF(WWWW[[#This Row],[HRP3]]/WWWW[[#This Row],[Total PoP ]]&gt;100%,100%,WWWW[[#This Row],[HRP3]]/WWWW[[#This Row],[Total PoP ]])</f>
        <v>0</v>
      </c>
      <c r="DA166" s="82">
        <f>1-WWWW[[#This Row],[Hygiene Coverage%]]</f>
        <v>1</v>
      </c>
      <c r="DB166" s="81">
        <f>WWWW[[#This Row],['# people reached by regular dedicated hygiene promotion_5]]/WWWW[[#This Row],[Total PoP ]]</f>
        <v>0</v>
      </c>
      <c r="DC166" s="81">
        <f>IF(WWWW[[#This Row],['#_households that received standard amount of soap for this quarter]]/WWWW[[#This Row],[Total HH]]&gt;1,1,WWWW[[#This Row],['#_households that received standard amount of soap for this quarter]]/WWWW[[#This Row],[Total HH]])</f>
        <v>0</v>
      </c>
      <c r="DD166" s="81">
        <f>IF(WWWW[[#This Row],['#_households that received standard amount of sanitary pads for this quarter]]/WWWW[[#This Row],[Total HH]]&gt;1,1,WWWW[[#This Row],['#_households that received standard amount of sanitary pads for this quarter]]/WWWW[[#This Row],[Total HH]])</f>
        <v>0</v>
      </c>
      <c r="DE166" s="80">
        <f>WWWW[[#This Row],['#_Constructed/Existing hand washing stations]]-WWWW[[#This Row],['#_Non-Functional_hand_washing_stations]]</f>
        <v>0</v>
      </c>
      <c r="DF166" s="757">
        <f>IF(WWWW[[#This Row],['# Functional hand washing stations during reporting period]]*20&gt;WWWW[[#This Row],[Total HH]],WWWW[[#This Row],[Total HH]],WWWW[[#This Row],['# Functional hand washing stations during reporting period]]*20)</f>
        <v>0</v>
      </c>
      <c r="DG166" s="79">
        <f>IF(WWWW[[#This Row],[Is sufficient soap available for TLS? (Yes/No)]]="yes",WWWW[[#This Row],['#_Constructed/Existing hand washing stations at TLS]],0)</f>
        <v>0</v>
      </c>
      <c r="DH166" s="578">
        <f>IF(WWWW[[#This Row],['# Functional hand washing stations during reporting period]]*100&gt;WWWW[[#This Row],[Total PoP ]],WWWW[[#This Row],[Total PoP ]],WWWW[[#This Row],['# Functional hand washing stations during reporting period]]*100)</f>
        <v>0</v>
      </c>
      <c r="DI166" s="578" t="str">
        <f>IF(OR(WWWW[[#This Row],['#_students at TLS_CFS]]="",WWWW[[#This Row],['#_students at TLS_CFS]]=0),"No","Yes")</f>
        <v>No</v>
      </c>
      <c r="DJ166" s="231">
        <f>VLOOKUP(WWWW[[#This Row],[Site Name]],SiteDB6[[Site Name]:[CCCM Management]],6,FALSE)</f>
        <v>0</v>
      </c>
      <c r="DK166" s="231">
        <f>VLOOKUP(WWWW[[#This Row],[Site Name]],SiteDB6[[Site Name]:[CCCM Focal Agency]],7,FALSE)</f>
        <v>0</v>
      </c>
      <c r="DL166" s="231" t="str">
        <f>VLOOKUP(WWWW[[#This Row],[Site Name]],SiteDB6[[Site Name]:[Location Type 1]],9,FALSE)</f>
        <v>Camp</v>
      </c>
      <c r="DM166" s="231" t="str">
        <f>VLOOKUP(WWWW[[#This Row],[Site Name]],SiteDB6[[Site Name]:[Type of Accommodation]],10,FALSE)</f>
        <v>CAMP</v>
      </c>
      <c r="DN166" s="231" t="str">
        <f>VLOOKUP(WWWW[[#This Row],[Site Name]],SiteDB6[[Site Name]:[Ethnic or GCA/NGCA]],11,FALSE)</f>
        <v>NGCA</v>
      </c>
      <c r="DO166" s="231">
        <f>VLOOKUP(WWWW[[#This Row],[Site Name]],SiteDB6[[Site Name]:[Lat]],12,FALSE)</f>
        <v>0</v>
      </c>
      <c r="DP166" s="231">
        <f>VLOOKUP(WWWW[[#This Row],[Site Name]],SiteDB6[[Site Name]:[Long]],13,FALSE)</f>
        <v>0</v>
      </c>
      <c r="DQ166" s="231">
        <f>VLOOKUP(WWWW[[#This Row],[Site Name]],SiteDB6[[Site Name]:[Pcode]],3,FALSE)</f>
        <v>0</v>
      </c>
      <c r="DR166" s="207" t="str">
        <f t="shared" si="6"/>
        <v>Covered</v>
      </c>
      <c r="DS166" s="207"/>
      <c r="DT166" s="20"/>
      <c r="DU166" s="20"/>
      <c r="DV166" s="20"/>
      <c r="DW166" s="20"/>
      <c r="DX166" s="20"/>
      <c r="DY166" s="20"/>
      <c r="DZ166" s="20"/>
      <c r="EA166" s="20"/>
      <c r="EB166" s="20"/>
      <c r="EC166" s="20"/>
      <c r="ED166" s="20"/>
      <c r="EE166" s="20"/>
      <c r="EF166" s="20"/>
      <c r="EG166" s="20"/>
      <c r="EH166" s="20"/>
    </row>
    <row r="167" spans="1:138" ht="15.75" customHeight="1">
      <c r="A167" s="238" t="s">
        <v>2518</v>
      </c>
      <c r="B167" s="574" t="s">
        <v>200</v>
      </c>
      <c r="C167" s="574" t="s">
        <v>200</v>
      </c>
      <c r="D167" s="574" t="s">
        <v>226</v>
      </c>
      <c r="E167" s="574" t="s">
        <v>39</v>
      </c>
      <c r="F167" s="574" t="s">
        <v>150</v>
      </c>
      <c r="G167" s="574" t="str">
        <f>VLOOKUP(WWWW[[#This Row],[Site Name]],SiteDB6[[Site Name]:[Location Type]],8,FALSE)</f>
        <v>Camp_not registered</v>
      </c>
      <c r="H167" s="589" t="s">
        <v>230</v>
      </c>
      <c r="I167" s="583">
        <v>546</v>
      </c>
      <c r="J167" s="583">
        <v>2550</v>
      </c>
      <c r="K167" s="553"/>
      <c r="L167" s="77">
        <v>43281</v>
      </c>
      <c r="M167" s="583"/>
      <c r="N167" s="583"/>
      <c r="O167" s="583"/>
      <c r="P167" s="583"/>
      <c r="Q167" s="76"/>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207"/>
      <c r="AP167" s="310"/>
      <c r="AQ167" s="310"/>
      <c r="AR167" s="76"/>
      <c r="AS167" s="310"/>
      <c r="AT167" s="310"/>
      <c r="AU167" s="310"/>
      <c r="AV167" s="310"/>
      <c r="AW167" s="310"/>
      <c r="AX167" s="231" t="s">
        <v>144</v>
      </c>
      <c r="AY167" s="231" t="s">
        <v>144</v>
      </c>
      <c r="AZ167" s="310"/>
      <c r="BA167" s="310"/>
      <c r="BB167" s="310"/>
      <c r="BC167" s="207"/>
      <c r="BD167" s="310"/>
      <c r="BE167" s="310"/>
      <c r="BF167" s="310"/>
      <c r="BG167" s="310"/>
      <c r="BH167" s="310"/>
      <c r="BI167" s="310"/>
      <c r="BJ167" s="310"/>
      <c r="BK167" s="310"/>
      <c r="BL167" s="310"/>
      <c r="BM167" s="207"/>
      <c r="BN167" s="79"/>
      <c r="BO167" s="81"/>
      <c r="BP167" s="207"/>
      <c r="BQ167" s="78" t="str">
        <f>IFERROR(WWWW[[#This Row],['#_Water sources treated]]/WWWW[[#This Row],['#_Water sources tested for contamination]],"no test")</f>
        <v>no test</v>
      </c>
      <c r="BR167" s="81" t="str">
        <f>IFERROR(WWWW[[#This Row],['#_Household received remediation action due to contamination]]/WWWW[[#This Row],['#_Household water samples tested for contamination]],"no test")</f>
        <v>no test</v>
      </c>
      <c r="BS167" s="80" t="str">
        <f>IF(AND(WWWW[[#This Row],[% of water sources treated]]="no test",WWWW[[#This Row],[% Household received corrective actions]]="no test"),"No Test","Tested")</f>
        <v>No Test</v>
      </c>
      <c r="BT167" s="80">
        <f>WWWW[[#This Row],['#_Constructed/existing protected hand dug well]]-WWWW[[#This Row],['#_Non-functional protected hand dug well]]</f>
        <v>0</v>
      </c>
      <c r="BU167" s="80">
        <f>(WWWW[[#This Row],['#_Constructed/Existing tube wells/boreholes/handpumps_WASH_agency]]+WWWW[[#This Row],['#_Non-Cluster partner water tube-wells/boreholes/handpumps]])-WWWW[[#This Row],['#_Non-functional tube wells/boreholes/handpumps]]</f>
        <v>0</v>
      </c>
      <c r="BV167" s="80">
        <f>WWWW[[#This Row],['#_Constructed/Existingwater storage tank with gravity fed reticulation system]]-WWWW[[#This Row],['#_Non-functional storage tank gravity fed reticulation system]]</f>
        <v>0</v>
      </c>
      <c r="BW167" s="80">
        <f>WWWW[[#This Row],['#_Water boating or water trucking]]</f>
        <v>0</v>
      </c>
      <c r="BX167" s="80">
        <f>WWWW[[#This Row],['#_Constructed/Existing water distribution system from river or natural spring]]</f>
        <v>0</v>
      </c>
      <c r="BY167"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7"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7" s="81">
        <f>IF(WWWW[[#This Row],[Location Type 1]]="Village",WWWW[[#This Row],[Access to safe drinking water for Village]],WWWW[[#This Row],[Access to safe drinking water for Camp]])</f>
        <v>0</v>
      </c>
      <c r="CB167" s="79">
        <f>WWWW[[#This Row],[%Equitable and continuous access to sufficient quantity of safe drinking water]]*WWWW[[#This Row],[Total PoP ]]</f>
        <v>0</v>
      </c>
      <c r="CC167" s="81">
        <f>IF((WWWW[[#This Row],['#_Constructed/Existing protected/fenced ponds]]*250)/WWWW[[#This Row],[Total PoP ]]&gt;1,1,(WWWW[[#This Row],['#_Constructed/Existing protected/fenced ponds]]*250)/WWWW[[#This Row],[Total PoP ]])</f>
        <v>0</v>
      </c>
      <c r="CD167" s="79">
        <f>WWWW[[#This Row],[% Access to unimproved water points]]*WWWW[[#This Row],[Total PoP ]]</f>
        <v>0</v>
      </c>
      <c r="CE167"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7"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7" s="79">
        <f>WWWW[[#This Row],[HRP1]]/500</f>
        <v>0</v>
      </c>
      <c r="CH167" s="78">
        <f>1-WWWW[[#This Row],[% Equitable and continuous access to sufficient quantity of domestic water]]</f>
        <v>1</v>
      </c>
      <c r="CI167" s="79">
        <f>WWWW[[#This Row],[%equitable and continuous access to sufficient quantity of safe drinking and domestic water''s GAP]]*WWWW[[#This Row],[Total PoP ]]</f>
        <v>2550</v>
      </c>
      <c r="CJ167" s="80">
        <f>IF(WWWW[[#This Row],[Total required water points]]-WWWW[[#This Row],['#Water points coverage]]&lt;0,0,WWWW[[#This Row],[Total required water points]]-WWWW[[#This Row],['#Water points coverage]])</f>
        <v>5</v>
      </c>
      <c r="CK167" s="80">
        <f>ROUND(IF(WWWW[[#This Row],[Total PoP ]]&lt;500,1,WWWW[[#This Row],[Total PoP ]]/500),0)</f>
        <v>5</v>
      </c>
      <c r="CL167" s="80">
        <f>(WWWW[[#This Row],['#_Constructed latrines_by_WASHAgencies]]+WWWW[[#This Row],['#_Non Cluster partner latrines]])-WWWW[[#This Row],['#_Non-functional latrines]]</f>
        <v>0</v>
      </c>
      <c r="CM167"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7"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7"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7" s="80">
        <f>IF(WWWW[[#This Row],[Location Type 1]]="Village","NA",IF(WWWW[[#This Row],['#_Constructed/Existing latrines in TLS]]*50&gt;WWWW[[#This Row],['#_students at TLS_CFS]],WWWW[[#This Row],['#_students at TLS_CFS]],(WWWW[[#This Row],['#_Constructed/Existing latrines in TLS]]*50)))</f>
        <v>0</v>
      </c>
      <c r="CQ167" s="80">
        <f>ROUND(IF(WWWW[[#This Row],[Location Type 1]]="camp",WWWW[[#This Row],[Total PoP ]]/20,IF(WWWW[[#This Row],[Location Type 1]]="Temporary Location",WWWW[[#This Row],[Total PoP ]]/50,(WWWW[[#This Row],[Total PoP ]]/6))),0)</f>
        <v>128</v>
      </c>
      <c r="CR167" s="79">
        <f>IF(WWWW[[#This Row],[Total required Latrines]]-(WWWW[[#This Row],['#_Constructed latrines_by_WASHAgencies]]+WWWW[[#This Row],['#_Non Cluster partner latrines]])&lt;0,0,WWWW[[#This Row],[Total required Latrines]]-(WWWW[[#This Row],['#_Constructed latrines_by_WASHAgencies]]+WWWW[[#This Row],['#_Non Cluster partner latrines]]))</f>
        <v>128</v>
      </c>
      <c r="CS167" s="78">
        <f>1-WWWW[[#This Row],[% people access to functioning Latrine]]</f>
        <v>1</v>
      </c>
      <c r="CT167" s="82">
        <f>IF(OR(WWWW[[#This Row],['#_Non-functional latrines]]="",WWWW[[#This Row],['#_Non-functional latrines]]=0),0,WWWW[[#This Row],['#_Non-functional latrines]]/(WWWW[[#This Row],['#_Constructed latrines_by_WASHAgencies]]+WWWW[[#This Row],['#_Non Cluster partner latrines]]))</f>
        <v>0</v>
      </c>
      <c r="CU167" s="79">
        <f>IF(500*(WWWW[[#This Row],['#_male hygiene promoters]]+WWWW[[#This Row],['#_female hygiene promoters]])&gt;WWWW[[#This Row],[Total PoP ]],WWWW[[#This Row],[Total PoP ]],500*(WWWW[[#This Row],['#_male hygiene promoters]]+WWWW[[#This Row],['#_female hygiene promoters]]))</f>
        <v>0</v>
      </c>
      <c r="CV167"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7"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7" s="80">
        <f>IF(WWWW[[#This Row],['# People with access to soap]]&gt;WWWW[[#This Row],['# People with access to Sanity Pads]],WWWW[[#This Row],['# People with access to soap]],WWWW[[#This Row],['# People with access to Sanity Pads]])</f>
        <v>0</v>
      </c>
      <c r="CY167" s="8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7" s="78">
        <f>IF(WWWW[[#This Row],[HRP3]]/WWWW[[#This Row],[Total PoP ]]&gt;100%,100%,WWWW[[#This Row],[HRP3]]/WWWW[[#This Row],[Total PoP ]])</f>
        <v>0</v>
      </c>
      <c r="DA167" s="82">
        <f>1-WWWW[[#This Row],[Hygiene Coverage%]]</f>
        <v>1</v>
      </c>
      <c r="DB167" s="81">
        <f>WWWW[[#This Row],['# people reached by regular dedicated hygiene promotion_5]]/WWWW[[#This Row],[Total PoP ]]</f>
        <v>0</v>
      </c>
      <c r="DC167" s="81">
        <f>IF(WWWW[[#This Row],['#_households that received standard amount of soap for this quarter]]/WWWW[[#This Row],[Total HH]]&gt;1,1,WWWW[[#This Row],['#_households that received standard amount of soap for this quarter]]/WWWW[[#This Row],[Total HH]])</f>
        <v>0</v>
      </c>
      <c r="DD167" s="81">
        <f>IF(WWWW[[#This Row],['#_households that received standard amount of sanitary pads for this quarter]]/WWWW[[#This Row],[Total HH]]&gt;1,1,WWWW[[#This Row],['#_households that received standard amount of sanitary pads for this quarter]]/WWWW[[#This Row],[Total HH]])</f>
        <v>0</v>
      </c>
      <c r="DE167" s="80">
        <f>WWWW[[#This Row],['#_Constructed/Existing hand washing stations]]-WWWW[[#This Row],['#_Non-Functional_hand_washing_stations]]</f>
        <v>0</v>
      </c>
      <c r="DF167" s="757">
        <f>IF(WWWW[[#This Row],['# Functional hand washing stations during reporting period]]*20&gt;WWWW[[#This Row],[Total HH]],WWWW[[#This Row],[Total HH]],WWWW[[#This Row],['# Functional hand washing stations during reporting period]]*20)</f>
        <v>0</v>
      </c>
      <c r="DG167" s="79">
        <f>IF(WWWW[[#This Row],[Is sufficient soap available for TLS? (Yes/No)]]="yes",WWWW[[#This Row],['#_Constructed/Existing hand washing stations at TLS]],0)</f>
        <v>0</v>
      </c>
      <c r="DH167" s="578">
        <f>IF(WWWW[[#This Row],['# Functional hand washing stations during reporting period]]*100&gt;WWWW[[#This Row],[Total PoP ]],WWWW[[#This Row],[Total PoP ]],WWWW[[#This Row],['# Functional hand washing stations during reporting period]]*100)</f>
        <v>0</v>
      </c>
      <c r="DI167" s="578" t="str">
        <f>IF(OR(WWWW[[#This Row],['#_students at TLS_CFS]]="",WWWW[[#This Row],['#_students at TLS_CFS]]=0),"No","Yes")</f>
        <v>No</v>
      </c>
      <c r="DJ167" s="231">
        <f>VLOOKUP(WWWW[[#This Row],[Site Name]],SiteDB6[[Site Name]:[CCCM Management]],6,FALSE)</f>
        <v>0</v>
      </c>
      <c r="DK167" s="231">
        <f>VLOOKUP(WWWW[[#This Row],[Site Name]],SiteDB6[[Site Name]:[CCCM Focal Agency]],7,FALSE)</f>
        <v>0</v>
      </c>
      <c r="DL167" s="231" t="str">
        <f>VLOOKUP(WWWW[[#This Row],[Site Name]],SiteDB6[[Site Name]:[Location Type 1]],9,FALSE)</f>
        <v>Camp</v>
      </c>
      <c r="DM167" s="231" t="str">
        <f>VLOOKUP(WWWW[[#This Row],[Site Name]],SiteDB6[[Site Name]:[Type of Accommodation]],10,FALSE)</f>
        <v>Host Families</v>
      </c>
      <c r="DN167" s="231" t="str">
        <f>VLOOKUP(WWWW[[#This Row],[Site Name]],SiteDB6[[Site Name]:[Ethnic or GCA/NGCA]],11,FALSE)</f>
        <v>NGCA</v>
      </c>
      <c r="DO167" s="231">
        <f>VLOOKUP(WWWW[[#This Row],[Site Name]],SiteDB6[[Site Name]:[Lat]],12,FALSE)</f>
        <v>0</v>
      </c>
      <c r="DP167" s="231">
        <f>VLOOKUP(WWWW[[#This Row],[Site Name]],SiteDB6[[Site Name]:[Long]],13,FALSE)</f>
        <v>0</v>
      </c>
      <c r="DQ167" s="231">
        <f>VLOOKUP(WWWW[[#This Row],[Site Name]],SiteDB6[[Site Name]:[Pcode]],3,FALSE)</f>
        <v>0</v>
      </c>
      <c r="DR167" s="207" t="str">
        <f t="shared" si="6"/>
        <v>Covered</v>
      </c>
      <c r="DS167" s="207"/>
      <c r="DT167" s="20"/>
      <c r="DU167" s="20"/>
      <c r="DV167" s="20"/>
      <c r="DW167" s="20"/>
      <c r="DX167" s="20"/>
      <c r="DY167" s="20"/>
      <c r="DZ167" s="20"/>
      <c r="EA167" s="20"/>
      <c r="EB167" s="20"/>
      <c r="EC167" s="20"/>
      <c r="ED167" s="20"/>
      <c r="EE167" s="20"/>
      <c r="EF167" s="20"/>
      <c r="EG167" s="20"/>
      <c r="EH167" s="20"/>
    </row>
    <row r="168" spans="1:138" ht="15.75" customHeight="1">
      <c r="A168" s="238" t="s">
        <v>2518</v>
      </c>
      <c r="B168" s="574" t="s">
        <v>200</v>
      </c>
      <c r="C168" s="574" t="s">
        <v>200</v>
      </c>
      <c r="D168" s="574" t="s">
        <v>2960</v>
      </c>
      <c r="E168" s="574" t="s">
        <v>39</v>
      </c>
      <c r="F168" s="574" t="s">
        <v>203</v>
      </c>
      <c r="G168" s="574" t="str">
        <f>VLOOKUP(WWWW[[#This Row],[Site Name]],SiteDB6[[Site Name]:[Location Type]],8,FALSE)</f>
        <v>Camp</v>
      </c>
      <c r="H168" s="574" t="s">
        <v>212</v>
      </c>
      <c r="I168" s="583">
        <v>10</v>
      </c>
      <c r="J168" s="583">
        <v>59</v>
      </c>
      <c r="K168" s="553">
        <v>43466</v>
      </c>
      <c r="L168" s="77">
        <v>43830</v>
      </c>
      <c r="M168" s="583"/>
      <c r="N168" s="583"/>
      <c r="O168" s="583"/>
      <c r="P168" s="583"/>
      <c r="Q168" s="76" t="s">
        <v>144</v>
      </c>
      <c r="R168" s="310"/>
      <c r="S168" s="310"/>
      <c r="T168" s="310"/>
      <c r="U168" s="310"/>
      <c r="V168" s="310"/>
      <c r="W168" s="310"/>
      <c r="X168" s="310">
        <v>1</v>
      </c>
      <c r="Y168" s="310"/>
      <c r="Z168" s="310"/>
      <c r="AA168" s="310"/>
      <c r="AB168" s="310"/>
      <c r="AC168" s="310"/>
      <c r="AD168" s="310"/>
      <c r="AE168" s="310"/>
      <c r="AF168" s="310"/>
      <c r="AG168" s="310"/>
      <c r="AH168" s="310"/>
      <c r="AI168" s="310"/>
      <c r="AJ168" s="310"/>
      <c r="AK168" s="310"/>
      <c r="AL168" s="310"/>
      <c r="AM168" s="310"/>
      <c r="AN168" s="310"/>
      <c r="AO168" s="207"/>
      <c r="AP168" s="310">
        <v>10</v>
      </c>
      <c r="AQ168" s="310"/>
      <c r="AR168" s="76"/>
      <c r="AS168" s="310"/>
      <c r="AT168" s="310"/>
      <c r="AU168" s="310"/>
      <c r="AV168" s="310"/>
      <c r="AW168" s="310"/>
      <c r="AX168" s="581" t="s">
        <v>43</v>
      </c>
      <c r="AY168" s="581" t="s">
        <v>145</v>
      </c>
      <c r="AZ168" s="310"/>
      <c r="BA168" s="310"/>
      <c r="BB168" s="310"/>
      <c r="BC168" s="207"/>
      <c r="BD168" s="310">
        <v>1</v>
      </c>
      <c r="BE168" s="310"/>
      <c r="BF168" s="310"/>
      <c r="BG168" s="310">
        <v>2</v>
      </c>
      <c r="BH168" s="310"/>
      <c r="BI168" s="310"/>
      <c r="BJ168" s="310"/>
      <c r="BK168" s="310">
        <v>10</v>
      </c>
      <c r="BL168" s="310">
        <v>2</v>
      </c>
      <c r="BM168" s="207"/>
      <c r="BN168" s="79"/>
      <c r="BO168" s="81"/>
      <c r="BP168" s="207"/>
      <c r="BQ168" s="78" t="str">
        <f>IFERROR(WWWW[[#This Row],['#_Water sources treated]]/WWWW[[#This Row],['#_Water sources tested for contamination]],"no test")</f>
        <v>no test</v>
      </c>
      <c r="BR168" s="81" t="str">
        <f>IFERROR(WWWW[[#This Row],['#_Household received remediation action due to contamination]]/WWWW[[#This Row],['#_Household water samples tested for contamination]],"no test")</f>
        <v>no test</v>
      </c>
      <c r="BS168" s="80" t="str">
        <f>IF(AND(WWWW[[#This Row],[% of water sources treated]]="no test",WWWW[[#This Row],[% Household received corrective actions]]="no test"),"No Test","Tested")</f>
        <v>No Test</v>
      </c>
      <c r="BT168" s="80">
        <f>WWWW[[#This Row],['#_Constructed/existing protected hand dug well]]-WWWW[[#This Row],['#_Non-functional protected hand dug well]]</f>
        <v>0</v>
      </c>
      <c r="BU168" s="80">
        <f>(WWWW[[#This Row],['#_Constructed/Existing tube wells/boreholes/handpumps_WASH_agency]]+WWWW[[#This Row],['#_Non-Cluster partner water tube-wells/boreholes/handpumps]])-WWWW[[#This Row],['#_Non-functional tube wells/boreholes/handpumps]]</f>
        <v>1</v>
      </c>
      <c r="BV168" s="80">
        <f>WWWW[[#This Row],['#_Constructed/Existingwater storage tank with gravity fed reticulation system]]-WWWW[[#This Row],['#_Non-functional storage tank gravity fed reticulation system]]</f>
        <v>0</v>
      </c>
      <c r="BW168" s="80">
        <f>WWWW[[#This Row],['#_Water boating or water trucking]]</f>
        <v>0</v>
      </c>
      <c r="BX168" s="80">
        <f>WWWW[[#This Row],['#_Constructed/Existing water distribution system from river or natural spring]]</f>
        <v>0</v>
      </c>
      <c r="BY168" s="8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68" s="8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68" s="81">
        <f>IF(WWWW[[#This Row],[Location Type 1]]="Village",WWWW[[#This Row],[Access to safe drinking water for Village]],WWWW[[#This Row],[Access to safe drinking water for Camp]])</f>
        <v>1</v>
      </c>
      <c r="CB168" s="79">
        <f>WWWW[[#This Row],[%Equitable and continuous access to sufficient quantity of safe drinking water]]*WWWW[[#This Row],[Total PoP ]]</f>
        <v>59</v>
      </c>
      <c r="CC168" s="81">
        <f>IF((WWWW[[#This Row],['#_Constructed/Existing protected/fenced ponds]]*250)/WWWW[[#This Row],[Total PoP ]]&gt;1,1,(WWWW[[#This Row],['#_Constructed/Existing protected/fenced ponds]]*250)/WWWW[[#This Row],[Total PoP ]])</f>
        <v>0</v>
      </c>
      <c r="CD168" s="79">
        <f>WWWW[[#This Row],[% Access to unimproved water points]]*WWWW[[#This Row],[Total PoP ]]</f>
        <v>0</v>
      </c>
      <c r="CE168" s="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68" s="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v>
      </c>
      <c r="CG168" s="79">
        <f>WWWW[[#This Row],[HRP1]]/500</f>
        <v>0.11799999999999999</v>
      </c>
      <c r="CH168" s="78">
        <f>1-WWWW[[#This Row],[% Equitable and continuous access to sufficient quantity of domestic water]]</f>
        <v>0</v>
      </c>
      <c r="CI168" s="79">
        <f>WWWW[[#This Row],[%equitable and continuous access to sufficient quantity of safe drinking and domestic water''s GAP]]*WWWW[[#This Row],[Total PoP ]]</f>
        <v>0</v>
      </c>
      <c r="CJ168" s="80">
        <f>IF(WWWW[[#This Row],[Total required water points]]-WWWW[[#This Row],['#Water points coverage]]&lt;0,0,WWWW[[#This Row],[Total required water points]]-WWWW[[#This Row],['#Water points coverage]])</f>
        <v>0.88200000000000001</v>
      </c>
      <c r="CK168" s="80">
        <f>ROUND(IF(WWWW[[#This Row],[Total PoP ]]&lt;500,1,WWWW[[#This Row],[Total PoP ]]/500),0)</f>
        <v>1</v>
      </c>
      <c r="CL168" s="80">
        <f>(WWWW[[#This Row],['#_Constructed latrines_by_WASHAgencies]]+WWWW[[#This Row],['#_Non Cluster partner latrines]])-WWWW[[#This Row],['#_Non-functional latrines]]</f>
        <v>10</v>
      </c>
      <c r="CM168" s="8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168" s="7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59</v>
      </c>
      <c r="CO168" s="8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68" s="80">
        <f>IF(WWWW[[#This Row],[Location Type 1]]="Village","NA",IF(WWWW[[#This Row],['#_Constructed/Existing latrines in TLS]]*50&gt;WWWW[[#This Row],['#_students at TLS_CFS]],WWWW[[#This Row],['#_students at TLS_CFS]],(WWWW[[#This Row],['#_Constructed/Existing latrines in TLS]]*50)))</f>
        <v>0</v>
      </c>
      <c r="CQ168" s="80">
        <f>ROUND(IF(WWWW[[#This Row],[Location Type 1]]="camp",WWWW[[#This Row],[Total PoP ]]/20,IF(WWWW[[#This Row],[Location Type 1]]="Temporary Location",WWWW[[#This Row],[Total PoP ]]/50,(WWWW[[#This Row],[Total PoP ]]/6))),0)</f>
        <v>3</v>
      </c>
      <c r="CR168" s="79">
        <f>IF(WWWW[[#This Row],[Total required Latrines]]-(WWWW[[#This Row],['#_Constructed latrines_by_WASHAgencies]]+WWWW[[#This Row],['#_Non Cluster partner latrines]])&lt;0,0,WWWW[[#This Row],[Total required Latrines]]-(WWWW[[#This Row],['#_Constructed latrines_by_WASHAgencies]]+WWWW[[#This Row],['#_Non Cluster partner latrines]]))</f>
        <v>0</v>
      </c>
      <c r="CS168" s="78">
        <f>1-WWWW[[#This Row],[% people access to functioning Latrine]]</f>
        <v>0</v>
      </c>
      <c r="CT168" s="82">
        <f>IF(OR(WWWW[[#This Row],['#_Non-functional latrines]]="",WWWW[[#This Row],['#_Non-functional latrines]]=0),0,WWWW[[#This Row],['#_Non-functional latrines]]/(WWWW[[#This Row],['#_Constructed latrines_by_WASHAgencies]]+WWWW[[#This Row],['#_Non Cluster partner latrines]]))</f>
        <v>0</v>
      </c>
      <c r="CU168" s="79">
        <f>IF(500*(WWWW[[#This Row],['#_male hygiene promoters]]+WWWW[[#This Row],['#_female hygiene promoters]])&gt;WWWW[[#This Row],[Total PoP ]],WWWW[[#This Row],[Total PoP ]],500*(WWWW[[#This Row],['#_male hygiene promoters]]+WWWW[[#This Row],['#_female hygiene promoters]]))</f>
        <v>0</v>
      </c>
      <c r="CV168" s="8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v>
      </c>
      <c r="CW168" s="8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168" s="80">
        <f>IF(WWWW[[#This Row],['# People with access to soap]]&gt;WWWW[[#This Row],['# People with access to Sanity Pads]],WWWW[[#This Row],['# People with access to soap]],WWWW[[#This Row],['# People with access to Sanity Pads]])</f>
        <v>59</v>
      </c>
      <c r="CY168" s="80">
        <f>IF(WWWW[[#This Row],['# people reached by regular dedicated hygiene promotion_5]]&gt;WWWW[[#This Row],['# People received regular supply of hygiene items_6]],WWWW[[#This Row],['# people reached by regular dedicated hygiene promotion_5]],WWWW[[#This Row],['# People received regular supply of hygiene items_6]])</f>
        <v>59</v>
      </c>
      <c r="CZ168" s="78">
        <f>IF(WWWW[[#This Row],[HRP3]]/WWWW[[#This Row],[Total PoP ]]&gt;100%,100%,WWWW[[#This Row],[HRP3]]/WWWW[[#This Row],[Total PoP ]])</f>
        <v>1</v>
      </c>
      <c r="DA168" s="82">
        <f>1-WWWW[[#This Row],[Hygiene Coverage%]]</f>
        <v>0</v>
      </c>
      <c r="DB168" s="81">
        <f>WWWW[[#This Row],['# people reached by regular dedicated hygiene promotion_5]]/WWWW[[#This Row],[Total PoP ]]</f>
        <v>0</v>
      </c>
      <c r="DC168" s="81">
        <f>IF(WWWW[[#This Row],['#_households that received standard amount of soap for this quarter]]/WWWW[[#This Row],[Total HH]]&gt;1,1,WWWW[[#This Row],['#_households that received standard amount of soap for this quarter]]/WWWW[[#This Row],[Total HH]])</f>
        <v>1</v>
      </c>
      <c r="DD168" s="81">
        <f>IF(WWWW[[#This Row],['#_households that received standard amount of sanitary pads for this quarter]]/WWWW[[#This Row],[Total HH]]&gt;1,1,WWWW[[#This Row],['#_households that received standard amount of sanitary pads for this quarter]]/WWWW[[#This Row],[Total HH]])</f>
        <v>0.2</v>
      </c>
      <c r="DE168" s="80">
        <f>WWWW[[#This Row],['#_Constructed/Existing hand washing stations]]-WWWW[[#This Row],['#_Non-Functional_hand_washing_stations]]</f>
        <v>1</v>
      </c>
      <c r="DF168" s="757">
        <f>IF(WWWW[[#This Row],['# Functional hand washing stations during reporting period]]*20&gt;WWWW[[#This Row],[Total HH]],WWWW[[#This Row],[Total HH]],WWWW[[#This Row],['# Functional hand washing stations during reporting period]]*20)</f>
        <v>10</v>
      </c>
      <c r="DG168" s="79">
        <f>IF(WWWW[[#This Row],[Is sufficient soap available for TLS? (Yes/No)]]="yes",WWWW[[#This Row],['#_Constructed/Existing hand washing stations at TLS]],0)</f>
        <v>0</v>
      </c>
      <c r="DH168" s="578">
        <f>IF(WWWW[[#This Row],['# Functional hand washing stations during reporting period]]*100&gt;WWWW[[#This Row],[Total PoP ]],WWWW[[#This Row],[Total PoP ]],WWWW[[#This Row],['# Functional hand washing stations during reporting period]]*100)</f>
        <v>59</v>
      </c>
      <c r="DI168" s="578" t="str">
        <f>IF(OR(WWWW[[#This Row],['#_students at TLS_CFS]]="",WWWW[[#This Row],['#_students at TLS_CFS]]=0),"No","Yes")</f>
        <v>No</v>
      </c>
      <c r="DJ168" s="231" t="str">
        <f>VLOOKUP(WWWW[[#This Row],[Site Name]],SiteDB6[[Site Name]:[CCCM Management]],6,FALSE)</f>
        <v>Yes</v>
      </c>
      <c r="DK168" s="231" t="str">
        <f>VLOOKUP(WWWW[[#This Row],[Site Name]],SiteDB6[[Site Name]:[CCCM Focal Agency]],7,FALSE)</f>
        <v>Shalom</v>
      </c>
      <c r="DL168" s="231" t="str">
        <f>VLOOKUP(WWWW[[#This Row],[Site Name]],SiteDB6[[Site Name]:[Location Type 1]],9,FALSE)</f>
        <v>Camp</v>
      </c>
      <c r="DM168" s="231" t="str">
        <f>VLOOKUP(WWWW[[#This Row],[Site Name]],SiteDB6[[Site Name]:[Type of Accommodation]],10,FALSE)</f>
        <v>Closed Camp</v>
      </c>
      <c r="DN168" s="231" t="str">
        <f>VLOOKUP(WWWW[[#This Row],[Site Name]],SiteDB6[[Site Name]:[Ethnic or GCA/NGCA]],11,FALSE)</f>
        <v>GCA</v>
      </c>
      <c r="DO168" s="231">
        <f>VLOOKUP(WWWW[[#This Row],[Site Name]],SiteDB6[[Site Name]:[Lat]],12,FALSE)</f>
        <v>24.24953</v>
      </c>
      <c r="DP168" s="231">
        <f>VLOOKUP(WWWW[[#This Row],[Site Name]],SiteDB6[[Site Name]:[Long]],13,FALSE)</f>
        <v>97.240639999999999</v>
      </c>
      <c r="DQ168" s="231" t="str">
        <f>VLOOKUP(WWWW[[#This Row],[Site Name]],SiteDB6[[Site Name]:[Pcode]],3,FALSE)</f>
        <v>MMR001CMP053</v>
      </c>
      <c r="DR168" s="207" t="str">
        <f t="shared" si="6"/>
        <v>Covered</v>
      </c>
      <c r="DS168" s="207"/>
      <c r="DT168" s="20"/>
      <c r="DU168" s="20"/>
      <c r="DV168" s="20"/>
      <c r="DW168" s="20"/>
      <c r="DX168" s="20"/>
      <c r="DY168" s="20"/>
      <c r="DZ168" s="20"/>
      <c r="EA168" s="20"/>
      <c r="EB168" s="20"/>
      <c r="EC168" s="20"/>
      <c r="ED168" s="20"/>
      <c r="EE168" s="20"/>
      <c r="EF168" s="20"/>
      <c r="EG168" s="20"/>
      <c r="EH168" s="20"/>
    </row>
    <row r="169" spans="1:138">
      <c r="A169" s="552" t="s">
        <v>2518</v>
      </c>
      <c r="B169" s="552" t="s">
        <v>305</v>
      </c>
      <c r="C169" s="555" t="s">
        <v>305</v>
      </c>
      <c r="D169" s="555" t="s">
        <v>345</v>
      </c>
      <c r="E169" s="574" t="s">
        <v>3006</v>
      </c>
      <c r="F169" s="555" t="s">
        <v>420</v>
      </c>
      <c r="G169" s="574" t="str">
        <f>VLOOKUP(WWWW[[#This Row],[Site Name]],SiteDB6[[Site Name]:[Location Type]],8,FALSE)</f>
        <v>Village</v>
      </c>
      <c r="H169" s="555" t="s">
        <v>2819</v>
      </c>
      <c r="I169" s="557">
        <v>217</v>
      </c>
      <c r="J169" s="557">
        <v>663</v>
      </c>
      <c r="K169" s="564">
        <v>43359</v>
      </c>
      <c r="L169" s="565">
        <v>43830</v>
      </c>
      <c r="M169" s="557"/>
      <c r="N169" s="557"/>
      <c r="O169" s="557"/>
      <c r="P169" s="557"/>
      <c r="Q169" s="556"/>
      <c r="R169" s="557"/>
      <c r="S169" s="557"/>
      <c r="T169" s="557"/>
      <c r="U169" s="557"/>
      <c r="V169" s="557"/>
      <c r="W169" s="557"/>
      <c r="X169" s="557"/>
      <c r="Y169" s="557"/>
      <c r="Z169" s="557"/>
      <c r="AA169" s="557"/>
      <c r="AB169" s="557"/>
      <c r="AC169" s="557"/>
      <c r="AD169" s="557"/>
      <c r="AE169" s="557"/>
      <c r="AF169" s="557"/>
      <c r="AG169" s="557"/>
      <c r="AH169" s="557"/>
      <c r="AI169" s="557"/>
      <c r="AJ169" s="557"/>
      <c r="AK169" s="557"/>
      <c r="AL169" s="557"/>
      <c r="AM169" s="557"/>
      <c r="AN169" s="557"/>
      <c r="AO169" s="563"/>
      <c r="AP169" s="557"/>
      <c r="AQ169" s="557"/>
      <c r="AR169" s="559"/>
      <c r="AS169" s="557"/>
      <c r="AT169" s="557"/>
      <c r="AU169" s="557"/>
      <c r="AV169" s="557"/>
      <c r="AW169" s="557"/>
      <c r="AX169" s="554"/>
      <c r="AY169" s="563"/>
      <c r="AZ169" s="557"/>
      <c r="BA169" s="557"/>
      <c r="BB169" s="557"/>
      <c r="BC169" s="554"/>
      <c r="BD169" s="557"/>
      <c r="BE169" s="557"/>
      <c r="BF169" s="557"/>
      <c r="BG169" s="557"/>
      <c r="BH169" s="557"/>
      <c r="BI169" s="557"/>
      <c r="BJ169" s="557"/>
      <c r="BK169" s="557"/>
      <c r="BL169" s="557"/>
      <c r="BM169" s="554"/>
      <c r="BN169" s="558"/>
      <c r="BO169" s="559"/>
      <c r="BP169" s="554"/>
      <c r="BQ169" s="560" t="str">
        <f>IFERROR(WWWW[[#This Row],['#_Water sources treated]]/WWWW[[#This Row],['#_Water sources tested for contamination]],"no test")</f>
        <v>no test</v>
      </c>
      <c r="BR169" s="559" t="str">
        <f>IFERROR(WWWW[[#This Row],['#_Household received remediation action due to contamination]]/WWWW[[#This Row],['#_Household water samples tested for contamination]],"no test")</f>
        <v>no test</v>
      </c>
      <c r="BS169" s="558" t="str">
        <f>IF(AND(WWWW[[#This Row],[% of water sources treated]]="no test",WWWW[[#This Row],[% Household received corrective actions]]="no test"),"No Test","Tested")</f>
        <v>No Test</v>
      </c>
      <c r="BT169" s="558">
        <f>WWWW[[#This Row],['#_Constructed/existing protected hand dug well]]-WWWW[[#This Row],['#_Non-functional protected hand dug well]]</f>
        <v>0</v>
      </c>
      <c r="BU169" s="558">
        <f>(WWWW[[#This Row],['#_Constructed/Existing tube wells/boreholes/handpumps_WASH_agency]]+WWWW[[#This Row],['#_Non-Cluster partner water tube-wells/boreholes/handpumps]])-WWWW[[#This Row],['#_Non-functional tube wells/boreholes/handpumps]]</f>
        <v>0</v>
      </c>
      <c r="BV169" s="558">
        <f>WWWW[[#This Row],['#_Constructed/Existingwater storage tank with gravity fed reticulation system]]-WWWW[[#This Row],['#_Non-functional storage tank gravity fed reticulation system]]</f>
        <v>0</v>
      </c>
      <c r="BW169" s="558">
        <f>WWWW[[#This Row],['#_Water boating or water trucking]]</f>
        <v>0</v>
      </c>
      <c r="BX169" s="558">
        <f>WWWW[[#This Row],['#_Constructed/Existing water distribution system from river or natural spring]]</f>
        <v>0</v>
      </c>
      <c r="BY16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6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69" s="559">
        <f>IF(WWWW[[#This Row],[Location Type 1]]="Village",WWWW[[#This Row],[Access to safe drinking water for Village]],WWWW[[#This Row],[Access to safe drinking water for Camp]])</f>
        <v>0</v>
      </c>
      <c r="CB169" s="556">
        <f>WWWW[[#This Row],[%Equitable and continuous access to sufficient quantity of safe drinking water]]*WWWW[[#This Row],[Total PoP ]]</f>
        <v>0</v>
      </c>
      <c r="CC169" s="559">
        <f>IF((WWWW[[#This Row],['#_Constructed/Existing protected/fenced ponds]]*250)/WWWW[[#This Row],[Total PoP ]]&gt;1,1,(WWWW[[#This Row],['#_Constructed/Existing protected/fenced ponds]]*250)/WWWW[[#This Row],[Total PoP ]])</f>
        <v>0</v>
      </c>
      <c r="CD169" s="556">
        <f>WWWW[[#This Row],[% Access to unimproved water points]]*WWWW[[#This Row],[Total PoP ]]</f>
        <v>0</v>
      </c>
      <c r="CE16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6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69" s="556">
        <f>WWWW[[#This Row],[HRP1]]/500</f>
        <v>0</v>
      </c>
      <c r="CH169" s="561">
        <f>1-WWWW[[#This Row],[% Equitable and continuous access to sufficient quantity of domestic water]]</f>
        <v>1</v>
      </c>
      <c r="CI169" s="556">
        <f>WWWW[[#This Row],[%equitable and continuous access to sufficient quantity of safe drinking and domestic water''s GAP]]*WWWW[[#This Row],[Total PoP ]]</f>
        <v>663</v>
      </c>
      <c r="CJ169" s="558">
        <f>IF(WWWW[[#This Row],[Total required water points]]-WWWW[[#This Row],['#Water points coverage]]&lt;0,0,WWWW[[#This Row],[Total required water points]]-WWWW[[#This Row],['#Water points coverage]])</f>
        <v>1</v>
      </c>
      <c r="CK169" s="558">
        <f>ROUND(IF(WWWW[[#This Row],[Total PoP ]]&lt;500,1,WWWW[[#This Row],[Total PoP ]]/500),0)</f>
        <v>1</v>
      </c>
      <c r="CL169" s="558">
        <f>(WWWW[[#This Row],['#_Constructed latrines_by_WASHAgencies]]+WWWW[[#This Row],['#_Non Cluster partner latrines]])-WWWW[[#This Row],['#_Non-functional latrines]]</f>
        <v>0</v>
      </c>
      <c r="CM16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6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6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69" s="558" t="str">
        <f>IF(WWWW[[#This Row],[Location Type 1]]="Village","NA",IF(WWWW[[#This Row],['#_Constructed/Existing latrines in TLS]]*50&gt;WWWW[[#This Row],['#_students at TLS_CFS]],WWWW[[#This Row],['#_students at TLS_CFS]],(WWWW[[#This Row],['#_Constructed/Existing latrines in TLS]]*50)))</f>
        <v>NA</v>
      </c>
      <c r="CQ169" s="558">
        <f>ROUND(IF(WWWW[[#This Row],[Location Type 1]]="camp",WWWW[[#This Row],[Total PoP ]]/20,IF(WWWW[[#This Row],[Location Type 1]]="Temporary Location",WWWW[[#This Row],[Total PoP ]]/50,(WWWW[[#This Row],[Total PoP ]]/6))),0)</f>
        <v>111</v>
      </c>
      <c r="CR169" s="558">
        <f>IF(WWWW[[#This Row],[Total required Latrines]]-(WWWW[[#This Row],['#_Constructed latrines_by_WASHAgencies]]+WWWW[[#This Row],['#_Non Cluster partner latrines]])&lt;0,0,WWWW[[#This Row],[Total required Latrines]]-(WWWW[[#This Row],['#_Constructed latrines_by_WASHAgencies]]+WWWW[[#This Row],['#_Non Cluster partner latrines]]))</f>
        <v>111</v>
      </c>
      <c r="CS169" s="78">
        <f>1-WWWW[[#This Row],[% people access to functioning Latrine]]</f>
        <v>1</v>
      </c>
      <c r="CT169" s="560">
        <f>IF(OR(WWWW[[#This Row],['#_Non-functional latrines]]="",WWWW[[#This Row],['#_Non-functional latrines]]=0),0,WWWW[[#This Row],['#_Non-functional latrines]]/(WWWW[[#This Row],['#_Constructed latrines_by_WASHAgencies]]+WWWW[[#This Row],['#_Non Cluster partner latrines]]))</f>
        <v>0</v>
      </c>
      <c r="CU169" s="556">
        <f>IF(500*(WWWW[[#This Row],['#_male hygiene promoters]]+WWWW[[#This Row],['#_female hygiene promoters]])&gt;WWWW[[#This Row],[Total PoP ]],WWWW[[#This Row],[Total PoP ]],500*(WWWW[[#This Row],['#_male hygiene promoters]]+WWWW[[#This Row],['#_female hygiene promoters]]))</f>
        <v>0</v>
      </c>
      <c r="CV16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6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69" s="558">
        <f>IF(WWWW[[#This Row],['# People with access to soap]]&gt;WWWW[[#This Row],['# People with access to Sanity Pads]],WWWW[[#This Row],['# People with access to soap]],WWWW[[#This Row],['# People with access to Sanity Pads]])</f>
        <v>0</v>
      </c>
      <c r="CY16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69" s="561">
        <f>IF(WWWW[[#This Row],[HRP3]]/WWWW[[#This Row],[Total PoP ]]&gt;100%,100%,WWWW[[#This Row],[HRP3]]/WWWW[[#This Row],[Total PoP ]])</f>
        <v>0</v>
      </c>
      <c r="DA169" s="560">
        <f>1-WWWW[[#This Row],[Hygiene Coverage%]]</f>
        <v>1</v>
      </c>
      <c r="DB169" s="559">
        <f>WWWW[[#This Row],['# people reached by regular dedicated hygiene promotion_5]]/WWWW[[#This Row],[Total PoP ]]</f>
        <v>0</v>
      </c>
      <c r="DC169" s="559">
        <f>IF(WWWW[[#This Row],['#_households that received standard amount of soap for this quarter]]/WWWW[[#This Row],[Total HH]]&gt;1,1,WWWW[[#This Row],['#_households that received standard amount of soap for this quarter]]/WWWW[[#This Row],[Total HH]])</f>
        <v>0</v>
      </c>
      <c r="DD169" s="559">
        <f>IF(WWWW[[#This Row],['#_households that received standard amount of sanitary pads for this quarter]]/WWWW[[#This Row],[Total HH]]&gt;1,1,WWWW[[#This Row],['#_households that received standard amount of sanitary pads for this quarter]]/WWWW[[#This Row],[Total HH]])</f>
        <v>0</v>
      </c>
      <c r="DE169" s="558">
        <f>WWWW[[#This Row],['#_Constructed/Existing hand washing stations]]-WWWW[[#This Row],['#_Non-Functional_hand_washing_stations]]</f>
        <v>0</v>
      </c>
      <c r="DF169" s="757">
        <f>IF(WWWW[[#This Row],['# Functional hand washing stations during reporting period]]*20&gt;WWWW[[#This Row],[Total HH]],WWWW[[#This Row],[Total HH]],WWWW[[#This Row],['# Functional hand washing stations during reporting period]]*20)</f>
        <v>0</v>
      </c>
      <c r="DG169" s="556">
        <f>IF(WWWW[[#This Row],[Is sufficient soap available for TLS? (Yes/No)]]="yes",WWWW[[#This Row],['#_Constructed/Existing hand washing stations at TLS]],0)</f>
        <v>0</v>
      </c>
      <c r="DH169" s="556">
        <f>IF(WWWW[[#This Row],['# Functional hand washing stations during reporting period]]*100&gt;WWWW[[#This Row],[Total PoP ]],WWWW[[#This Row],[Total PoP ]],WWWW[[#This Row],['# Functional hand washing stations during reporting period]]*100)</f>
        <v>0</v>
      </c>
      <c r="DI169" s="556" t="str">
        <f>IF(OR(WWWW[[#This Row],['#_students at TLS_CFS]]="",WWWW[[#This Row],['#_students at TLS_CFS]]=0),"No","Yes")</f>
        <v>No</v>
      </c>
      <c r="DJ169" s="554">
        <f>VLOOKUP(WWWW[[#This Row],[Site Name]],SiteDB6[[Site Name]:[CCCM Management]],6,FALSE)</f>
        <v>0</v>
      </c>
      <c r="DK169" s="554">
        <f>VLOOKUP(WWWW[[#This Row],[Site Name]],SiteDB6[[Site Name]:[CCCM Focal Agency]],7,FALSE)</f>
        <v>0</v>
      </c>
      <c r="DL169" s="554" t="str">
        <f>VLOOKUP(WWWW[[#This Row],[Site Name]],SiteDB6[[Site Name]:[Location Type 1]],9,FALSE)</f>
        <v>Village</v>
      </c>
      <c r="DM169" s="554" t="str">
        <f>VLOOKUP(WWWW[[#This Row],[Site Name]],SiteDB6[[Site Name]:[Type of Accommodation]],10,FALSE)</f>
        <v>Village</v>
      </c>
      <c r="DN169" s="554">
        <f>VLOOKUP(WWWW[[#This Row],[Site Name]],SiteDB6[[Site Name]:[Ethnic or GCA/NGCA]],11,FALSE)</f>
        <v>0</v>
      </c>
      <c r="DO169" s="554">
        <f>VLOOKUP(WWWW[[#This Row],[Site Name]],SiteDB6[[Site Name]:[Lat]],12,FALSE)</f>
        <v>20.072999954223601</v>
      </c>
      <c r="DP169" s="554">
        <f>VLOOKUP(WWWW[[#This Row],[Site Name]],SiteDB6[[Site Name]:[Long]],13,FALSE)</f>
        <v>92.924957275390597</v>
      </c>
      <c r="DQ169" s="554">
        <f>VLOOKUP(WWWW[[#This Row],[Site Name]],SiteDB6[[Site Name]:[Pcode]],3,FALSE)</f>
        <v>197561</v>
      </c>
      <c r="DR169" s="563" t="str">
        <f t="shared" si="6"/>
        <v>Covered</v>
      </c>
      <c r="DS169" s="563"/>
    </row>
    <row r="170" spans="1:138">
      <c r="A170" s="552" t="s">
        <v>2518</v>
      </c>
      <c r="B170" s="552" t="s">
        <v>284</v>
      </c>
      <c r="C170" s="555" t="s">
        <v>284</v>
      </c>
      <c r="D170" s="555" t="s">
        <v>2354</v>
      </c>
      <c r="E170" s="574" t="s">
        <v>3006</v>
      </c>
      <c r="F170" s="555" t="s">
        <v>420</v>
      </c>
      <c r="G170" s="574" t="str">
        <f>VLOOKUP(WWWW[[#This Row],[Site Name]],SiteDB6[[Site Name]:[Location Type]],8,FALSE)</f>
        <v>Camp</v>
      </c>
      <c r="H170" s="555" t="s">
        <v>430</v>
      </c>
      <c r="I170" s="557">
        <v>1249</v>
      </c>
      <c r="J170" s="557">
        <v>4717</v>
      </c>
      <c r="K170" s="564" t="s">
        <v>2927</v>
      </c>
      <c r="L170" s="565" t="s">
        <v>2928</v>
      </c>
      <c r="M170" s="557"/>
      <c r="N170" s="557"/>
      <c r="O170" s="557"/>
      <c r="P170" s="557" t="s">
        <v>2934</v>
      </c>
      <c r="Q170" s="556" t="s">
        <v>43</v>
      </c>
      <c r="R170" s="557">
        <v>13</v>
      </c>
      <c r="S170" s="557">
        <v>2</v>
      </c>
      <c r="T170" s="557">
        <v>0</v>
      </c>
      <c r="U170" s="557">
        <v>0</v>
      </c>
      <c r="V170" s="557">
        <v>0</v>
      </c>
      <c r="W170" s="557">
        <v>0</v>
      </c>
      <c r="X170" s="557">
        <v>0</v>
      </c>
      <c r="Y170" s="557">
        <v>0</v>
      </c>
      <c r="Z170" s="557">
        <v>0</v>
      </c>
      <c r="AA170" s="557">
        <v>73</v>
      </c>
      <c r="AB170" s="557"/>
      <c r="AC170" s="557">
        <v>73</v>
      </c>
      <c r="AD170" s="557"/>
      <c r="AE170" s="557">
        <v>5</v>
      </c>
      <c r="AF170" s="557">
        <v>0</v>
      </c>
      <c r="AG170" s="557"/>
      <c r="AH170" s="557">
        <v>0</v>
      </c>
      <c r="AI170" s="557">
        <v>1</v>
      </c>
      <c r="AJ170" s="557">
        <v>1</v>
      </c>
      <c r="AK170" s="557">
        <v>27</v>
      </c>
      <c r="AL170" s="557">
        <v>9</v>
      </c>
      <c r="AM170" s="557" t="s">
        <v>2934</v>
      </c>
      <c r="AN170" s="557" t="s">
        <v>2934</v>
      </c>
      <c r="AO170" s="563"/>
      <c r="AP170" s="557">
        <v>178</v>
      </c>
      <c r="AQ170" s="557">
        <v>0</v>
      </c>
      <c r="AR170" s="559"/>
      <c r="AS170" s="557">
        <v>10</v>
      </c>
      <c r="AT170" s="557">
        <v>178</v>
      </c>
      <c r="AU170" s="557"/>
      <c r="AV170" s="557"/>
      <c r="AW170" s="557"/>
      <c r="AX170" s="554" t="s">
        <v>43</v>
      </c>
      <c r="AY170" s="563" t="s">
        <v>145</v>
      </c>
      <c r="AZ170" s="557">
        <v>45</v>
      </c>
      <c r="BA170" s="557">
        <v>0</v>
      </c>
      <c r="BB170" s="557"/>
      <c r="BC170" s="554"/>
      <c r="BD170" s="557">
        <v>0</v>
      </c>
      <c r="BE170" s="557">
        <v>0</v>
      </c>
      <c r="BF170" s="557">
        <v>0</v>
      </c>
      <c r="BG170" s="557">
        <v>0</v>
      </c>
      <c r="BH170" s="557">
        <v>0</v>
      </c>
      <c r="BI170" s="557">
        <v>8</v>
      </c>
      <c r="BJ170" s="557">
        <v>3</v>
      </c>
      <c r="BK170" s="557">
        <v>1245</v>
      </c>
      <c r="BL170" s="557">
        <v>1245</v>
      </c>
      <c r="BM170" s="554" t="s">
        <v>144</v>
      </c>
      <c r="BN170" s="558">
        <v>28</v>
      </c>
      <c r="BO170" s="559"/>
      <c r="BP170" s="554" t="s">
        <v>2926</v>
      </c>
      <c r="BQ170" s="560">
        <f>IFERROR(WWWW[[#This Row],['#_Water sources treated]]/WWWW[[#This Row],['#_Water sources tested for contamination]],"no test")</f>
        <v>1</v>
      </c>
      <c r="BR170" s="559">
        <f>IFERROR(WWWW[[#This Row],['#_Household received remediation action due to contamination]]/WWWW[[#This Row],['#_Household water samples tested for contamination]],"no test")</f>
        <v>0.33333333333333331</v>
      </c>
      <c r="BS170" s="558" t="str">
        <f>IF(AND(WWWW[[#This Row],[% of water sources treated]]="no test",WWWW[[#This Row],[% Household received corrective actions]]="no test"),"No Test","Tested")</f>
        <v>Tested</v>
      </c>
      <c r="BT170" s="558">
        <f>WWWW[[#This Row],['#_Constructed/existing protected hand dug well]]-WWWW[[#This Row],['#_Non-functional protected hand dug well]]</f>
        <v>0</v>
      </c>
      <c r="BU170" s="558">
        <f>(WWWW[[#This Row],['#_Constructed/Existing tube wells/boreholes/handpumps_WASH_agency]]+WWWW[[#This Row],['#_Non-Cluster partner water tube-wells/boreholes/handpumps]])-WWWW[[#This Row],['#_Non-functional tube wells/boreholes/handpumps]]</f>
        <v>0</v>
      </c>
      <c r="BV170" s="558">
        <f>WWWW[[#This Row],['#_Constructed/Existingwater storage tank with gravity fed reticulation system]]-WWWW[[#This Row],['#_Non-functional storage tank gravity fed reticulation system]]</f>
        <v>73</v>
      </c>
      <c r="BW170" s="558">
        <f>WWWW[[#This Row],['#_Water boating or water trucking]]</f>
        <v>0</v>
      </c>
      <c r="BX170" s="558">
        <f>WWWW[[#This Row],['#_Constructed/Existing water distribution system from river or natural spring]]</f>
        <v>0</v>
      </c>
      <c r="BY17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17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170" s="559">
        <f>IF(WWWW[[#This Row],[Location Type 1]]="Village",WWWW[[#This Row],[Access to safe drinking water for Village]],WWWW[[#This Row],[Access to safe drinking water for Camp]])</f>
        <v>1</v>
      </c>
      <c r="CB170" s="556">
        <f>WWWW[[#This Row],[%Equitable and continuous access to sufficient quantity of safe drinking water]]*WWWW[[#This Row],[Total PoP ]]</f>
        <v>4717</v>
      </c>
      <c r="CC170" s="559">
        <f>IF((WWWW[[#This Row],['#_Constructed/Existing protected/fenced ponds]]*250)/WWWW[[#This Row],[Total PoP ]]&gt;1,1,(WWWW[[#This Row],['#_Constructed/Existing protected/fenced ponds]]*250)/WWWW[[#This Row],[Total PoP ]])</f>
        <v>0.26499894000423996</v>
      </c>
      <c r="CD170" s="556">
        <f>WWWW[[#This Row],[% Access to unimproved water points]]*WWWW[[#This Row],[Total PoP ]]</f>
        <v>1249.9999999999998</v>
      </c>
      <c r="CE17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17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4717</v>
      </c>
      <c r="CG170" s="556">
        <f>WWWW[[#This Row],[HRP1]]/500</f>
        <v>9.4339999999999993</v>
      </c>
      <c r="CH170" s="561">
        <f>1-WWWW[[#This Row],[% Equitable and continuous access to sufficient quantity of domestic water]]</f>
        <v>0</v>
      </c>
      <c r="CI170" s="556">
        <f>WWWW[[#This Row],[%equitable and continuous access to sufficient quantity of safe drinking and domestic water''s GAP]]*WWWW[[#This Row],[Total PoP ]]</f>
        <v>0</v>
      </c>
      <c r="CJ170" s="558">
        <f>IF(WWWW[[#This Row],[Total required water points]]-WWWW[[#This Row],['#Water points coverage]]&lt;0,0,WWWW[[#This Row],[Total required water points]]-WWWW[[#This Row],['#Water points coverage]])</f>
        <v>0</v>
      </c>
      <c r="CK170" s="558">
        <f>ROUND(IF(WWWW[[#This Row],[Total PoP ]]&lt;500,1,WWWW[[#This Row],[Total PoP ]]/500),0)</f>
        <v>9</v>
      </c>
      <c r="CL170" s="558">
        <f>(WWWW[[#This Row],['#_Constructed latrines_by_WASHAgencies]]+WWWW[[#This Row],['#_Non Cluster partner latrines]])-WWWW[[#This Row],['#_Non-functional latrines]]</f>
        <v>168</v>
      </c>
      <c r="CM17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0.71231715073139712</v>
      </c>
      <c r="CN17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3360</v>
      </c>
      <c r="CO17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70" s="558">
        <f>IF(WWWW[[#This Row],[Location Type 1]]="Village","NA",IF(WWWW[[#This Row],['#_Constructed/Existing latrines in TLS]]*50&gt;WWWW[[#This Row],['#_students at TLS_CFS]],WWWW[[#This Row],['#_students at TLS_CFS]],(WWWW[[#This Row],['#_Constructed/Existing latrines in TLS]]*50)))</f>
        <v>0</v>
      </c>
      <c r="CQ170" s="558">
        <f>ROUND(IF(WWWW[[#This Row],[Location Type 1]]="camp",WWWW[[#This Row],[Total PoP ]]/20,IF(WWWW[[#This Row],[Location Type 1]]="Temporary Location",WWWW[[#This Row],[Total PoP ]]/50,(WWWW[[#This Row],[Total PoP ]]/6))),0)</f>
        <v>236</v>
      </c>
      <c r="CR170" s="558">
        <f>IF(WWWW[[#This Row],[Total required Latrines]]-(WWWW[[#This Row],['#_Constructed latrines_by_WASHAgencies]]+WWWW[[#This Row],['#_Non Cluster partner latrines]])&lt;0,0,WWWW[[#This Row],[Total required Latrines]]-(WWWW[[#This Row],['#_Constructed latrines_by_WASHAgencies]]+WWWW[[#This Row],['#_Non Cluster partner latrines]]))</f>
        <v>58</v>
      </c>
      <c r="CS170" s="78">
        <f>1-WWWW[[#This Row],[% people access to functioning Latrine]]</f>
        <v>0.28768284926860288</v>
      </c>
      <c r="CT170" s="560">
        <f>IF(OR(WWWW[[#This Row],['#_Non-functional latrines]]="",WWWW[[#This Row],['#_Non-functional latrines]]=0),0,WWWW[[#This Row],['#_Non-functional latrines]]/(WWWW[[#This Row],['#_Constructed latrines_by_WASHAgencies]]+WWWW[[#This Row],['#_Non Cluster partner latrines]]))</f>
        <v>5.6179775280898875E-2</v>
      </c>
      <c r="CU170" s="556">
        <f>IF(500*(WWWW[[#This Row],['#_male hygiene promoters]]+WWWW[[#This Row],['#_female hygiene promoters]])&gt;WWWW[[#This Row],[Total PoP ]],WWWW[[#This Row],[Total PoP ]],500*(WWWW[[#This Row],['#_male hygiene promoters]]+WWWW[[#This Row],['#_female hygiene promoters]]))</f>
        <v>4717</v>
      </c>
      <c r="CV17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4717</v>
      </c>
      <c r="CW17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4717</v>
      </c>
      <c r="CX170" s="558">
        <f>IF(WWWW[[#This Row],['# People with access to soap]]&gt;WWWW[[#This Row],['# People with access to Sanity Pads]],WWWW[[#This Row],['# People with access to soap]],WWWW[[#This Row],['# People with access to Sanity Pads]])</f>
        <v>4717</v>
      </c>
      <c r="CY170" s="558">
        <f>IF(WWWW[[#This Row],['# people reached by regular dedicated hygiene promotion_5]]&gt;WWWW[[#This Row],['# People received regular supply of hygiene items_6]],WWWW[[#This Row],['# people reached by regular dedicated hygiene promotion_5]],WWWW[[#This Row],['# People received regular supply of hygiene items_6]])</f>
        <v>4717</v>
      </c>
      <c r="CZ170" s="561">
        <f>IF(WWWW[[#This Row],[HRP3]]/WWWW[[#This Row],[Total PoP ]]&gt;100%,100%,WWWW[[#This Row],[HRP3]]/WWWW[[#This Row],[Total PoP ]])</f>
        <v>1</v>
      </c>
      <c r="DA170" s="560">
        <f>1-WWWW[[#This Row],[Hygiene Coverage%]]</f>
        <v>0</v>
      </c>
      <c r="DB170" s="559">
        <f>WWWW[[#This Row],['# people reached by regular dedicated hygiene promotion_5]]/WWWW[[#This Row],[Total PoP ]]</f>
        <v>1</v>
      </c>
      <c r="DC170" s="559">
        <f>IF(WWWW[[#This Row],['#_households that received standard amount of soap for this quarter]]/WWWW[[#This Row],[Total HH]]&gt;1,1,WWWW[[#This Row],['#_households that received standard amount of soap for this quarter]]/WWWW[[#This Row],[Total HH]])</f>
        <v>0.99679743795036024</v>
      </c>
      <c r="DD170" s="559">
        <f>IF(WWWW[[#This Row],['#_households that received standard amount of sanitary pads for this quarter]]/WWWW[[#This Row],[Total HH]]&gt;1,1,WWWW[[#This Row],['#_households that received standard amount of sanitary pads for this quarter]]/WWWW[[#This Row],[Total HH]])</f>
        <v>0.99679743795036024</v>
      </c>
      <c r="DE170" s="558">
        <f>WWWW[[#This Row],['#_Constructed/Existing hand washing stations]]-WWWW[[#This Row],['#_Non-Functional_hand_washing_stations]]</f>
        <v>0</v>
      </c>
      <c r="DF170" s="757">
        <f>IF(WWWW[[#This Row],['# Functional hand washing stations during reporting period]]*20&gt;WWWW[[#This Row],[Total HH]],WWWW[[#This Row],[Total HH]],WWWW[[#This Row],['# Functional hand washing stations during reporting period]]*20)</f>
        <v>0</v>
      </c>
      <c r="DG170" s="556">
        <f>IF(WWWW[[#This Row],[Is sufficient soap available for TLS? (Yes/No)]]="yes",WWWW[[#This Row],['#_Constructed/Existing hand washing stations at TLS]],0)</f>
        <v>0</v>
      </c>
      <c r="DH170" s="556">
        <f>IF(WWWW[[#This Row],['# Functional hand washing stations during reporting period]]*100&gt;WWWW[[#This Row],[Total PoP ]],WWWW[[#This Row],[Total PoP ]],WWWW[[#This Row],['# Functional hand washing stations during reporting period]]*100)</f>
        <v>0</v>
      </c>
      <c r="DI170" s="556" t="str">
        <f>IF(OR(WWWW[[#This Row],['#_students at TLS_CFS]]="",WWWW[[#This Row],['#_students at TLS_CFS]]=0),"No","Yes")</f>
        <v>No</v>
      </c>
      <c r="DJ170" s="554" t="str">
        <f>VLOOKUP(WWWW[[#This Row],[Site Name]],SiteDB6[[Site Name]:[CCCM Management]],6,FALSE)</f>
        <v>Yes</v>
      </c>
      <c r="DK170" s="554">
        <f>VLOOKUP(WWWW[[#This Row],[Site Name]],SiteDB6[[Site Name]:[CCCM Focal Agency]],7,FALSE)</f>
        <v>0</v>
      </c>
      <c r="DL170" s="554" t="str">
        <f>VLOOKUP(WWWW[[#This Row],[Site Name]],SiteDB6[[Site Name]:[Location Type 1]],9,FALSE)</f>
        <v>Camp</v>
      </c>
      <c r="DM170" s="554" t="str">
        <f>VLOOKUP(WWWW[[#This Row],[Site Name]],SiteDB6[[Site Name]:[Type of Accommodation]],10,FALSE)</f>
        <v>Planned Camp</v>
      </c>
      <c r="DN170" s="554" t="str">
        <f>VLOOKUP(WWWW[[#This Row],[Site Name]],SiteDB6[[Site Name]:[Ethnic or GCA/NGCA]],11,FALSE)</f>
        <v>Muslim</v>
      </c>
      <c r="DO170" s="554">
        <f>VLOOKUP(WWWW[[#This Row],[Site Name]],SiteDB6[[Site Name]:[Lat]],12,FALSE)</f>
        <v>20.108101999999999</v>
      </c>
      <c r="DP170" s="554">
        <f>VLOOKUP(WWWW[[#This Row],[Site Name]],SiteDB6[[Site Name]:[Long]],13,FALSE)</f>
        <v>92.985095000000001</v>
      </c>
      <c r="DQ170" s="554" t="str">
        <f>VLOOKUP(WWWW[[#This Row],[Site Name]],SiteDB6[[Site Name]:[Pcode]],3,FALSE)</f>
        <v>MMR012CMP016</v>
      </c>
      <c r="DR170" s="563" t="str">
        <f t="shared" si="6"/>
        <v>Covered</v>
      </c>
      <c r="DS170" s="563"/>
    </row>
    <row r="171" spans="1:138">
      <c r="A171" s="552" t="s">
        <v>2518</v>
      </c>
      <c r="B171" s="552" t="s">
        <v>305</v>
      </c>
      <c r="C171" s="555" t="s">
        <v>305</v>
      </c>
      <c r="D171" s="555" t="s">
        <v>345</v>
      </c>
      <c r="E171" s="574" t="s">
        <v>3006</v>
      </c>
      <c r="F171" s="555" t="s">
        <v>420</v>
      </c>
      <c r="G171" s="574" t="str">
        <f>VLOOKUP(WWWW[[#This Row],[Site Name]],SiteDB6[[Site Name]:[Location Type]],8,FALSE)</f>
        <v>Village</v>
      </c>
      <c r="H171" s="555" t="s">
        <v>2827</v>
      </c>
      <c r="I171" s="557">
        <v>90</v>
      </c>
      <c r="J171" s="557">
        <v>393</v>
      </c>
      <c r="K171" s="564">
        <v>43359</v>
      </c>
      <c r="L171" s="565">
        <v>43830</v>
      </c>
      <c r="M171" s="557"/>
      <c r="N171" s="557"/>
      <c r="O171" s="557"/>
      <c r="P171" s="557"/>
      <c r="Q171" s="556"/>
      <c r="R171" s="557"/>
      <c r="S171" s="557"/>
      <c r="T171" s="557"/>
      <c r="U171" s="557"/>
      <c r="V171" s="557"/>
      <c r="W171" s="557"/>
      <c r="X171" s="557"/>
      <c r="Y171" s="557"/>
      <c r="Z171" s="557"/>
      <c r="AA171" s="557"/>
      <c r="AB171" s="557"/>
      <c r="AC171" s="557"/>
      <c r="AD171" s="557"/>
      <c r="AE171" s="557"/>
      <c r="AF171" s="557"/>
      <c r="AG171" s="557"/>
      <c r="AH171" s="557"/>
      <c r="AI171" s="557"/>
      <c r="AJ171" s="557"/>
      <c r="AK171" s="557"/>
      <c r="AL171" s="557"/>
      <c r="AM171" s="557"/>
      <c r="AN171" s="557"/>
      <c r="AO171" s="563"/>
      <c r="AP171" s="557"/>
      <c r="AQ171" s="557"/>
      <c r="AR171" s="559"/>
      <c r="AS171" s="557"/>
      <c r="AT171" s="557"/>
      <c r="AU171" s="557"/>
      <c r="AV171" s="557"/>
      <c r="AW171" s="557"/>
      <c r="AX171" s="554"/>
      <c r="AY171" s="563"/>
      <c r="AZ171" s="557"/>
      <c r="BA171" s="557"/>
      <c r="BB171" s="557"/>
      <c r="BC171" s="554"/>
      <c r="BD171" s="557"/>
      <c r="BE171" s="557"/>
      <c r="BF171" s="557"/>
      <c r="BG171" s="557"/>
      <c r="BH171" s="557"/>
      <c r="BI171" s="557"/>
      <c r="BJ171" s="557"/>
      <c r="BK171" s="557"/>
      <c r="BL171" s="557"/>
      <c r="BM171" s="554"/>
      <c r="BN171" s="558"/>
      <c r="BO171" s="559"/>
      <c r="BP171" s="554"/>
      <c r="BQ171" s="560" t="str">
        <f>IFERROR(WWWW[[#This Row],['#_Water sources treated]]/WWWW[[#This Row],['#_Water sources tested for contamination]],"no test")</f>
        <v>no test</v>
      </c>
      <c r="BR171" s="559" t="str">
        <f>IFERROR(WWWW[[#This Row],['#_Household received remediation action due to contamination]]/WWWW[[#This Row],['#_Household water samples tested for contamination]],"no test")</f>
        <v>no test</v>
      </c>
      <c r="BS171" s="558" t="str">
        <f>IF(AND(WWWW[[#This Row],[% of water sources treated]]="no test",WWWW[[#This Row],[% Household received corrective actions]]="no test"),"No Test","Tested")</f>
        <v>No Test</v>
      </c>
      <c r="BT171" s="558">
        <f>WWWW[[#This Row],['#_Constructed/existing protected hand dug well]]-WWWW[[#This Row],['#_Non-functional protected hand dug well]]</f>
        <v>0</v>
      </c>
      <c r="BU171" s="558">
        <f>(WWWW[[#This Row],['#_Constructed/Existing tube wells/boreholes/handpumps_WASH_agency]]+WWWW[[#This Row],['#_Non-Cluster partner water tube-wells/boreholes/handpumps]])-WWWW[[#This Row],['#_Non-functional tube wells/boreholes/handpumps]]</f>
        <v>0</v>
      </c>
      <c r="BV171" s="558">
        <f>WWWW[[#This Row],['#_Constructed/Existingwater storage tank with gravity fed reticulation system]]-WWWW[[#This Row],['#_Non-functional storage tank gravity fed reticulation system]]</f>
        <v>0</v>
      </c>
      <c r="BW171" s="558">
        <f>WWWW[[#This Row],['#_Water boating or water trucking]]</f>
        <v>0</v>
      </c>
      <c r="BX171" s="558">
        <f>WWWW[[#This Row],['#_Constructed/Existing water distribution system from river or natural spring]]</f>
        <v>0</v>
      </c>
      <c r="BY17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1" s="559">
        <f>IF(WWWW[[#This Row],[Location Type 1]]="Village",WWWW[[#This Row],[Access to safe drinking water for Village]],WWWW[[#This Row],[Access to safe drinking water for Camp]])</f>
        <v>0</v>
      </c>
      <c r="CB171" s="556">
        <f>WWWW[[#This Row],[%Equitable and continuous access to sufficient quantity of safe drinking water]]*WWWW[[#This Row],[Total PoP ]]</f>
        <v>0</v>
      </c>
      <c r="CC171" s="559">
        <f>IF((WWWW[[#This Row],['#_Constructed/Existing protected/fenced ponds]]*250)/WWWW[[#This Row],[Total PoP ]]&gt;1,1,(WWWW[[#This Row],['#_Constructed/Existing protected/fenced ponds]]*250)/WWWW[[#This Row],[Total PoP ]])</f>
        <v>0</v>
      </c>
      <c r="CD171" s="556">
        <f>WWWW[[#This Row],[% Access to unimproved water points]]*WWWW[[#This Row],[Total PoP ]]</f>
        <v>0</v>
      </c>
      <c r="CE17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1" s="556">
        <f>WWWW[[#This Row],[HRP1]]/500</f>
        <v>0</v>
      </c>
      <c r="CH171" s="561">
        <f>1-WWWW[[#This Row],[% Equitable and continuous access to sufficient quantity of domestic water]]</f>
        <v>1</v>
      </c>
      <c r="CI171" s="556">
        <f>WWWW[[#This Row],[%equitable and continuous access to sufficient quantity of safe drinking and domestic water''s GAP]]*WWWW[[#This Row],[Total PoP ]]</f>
        <v>393</v>
      </c>
      <c r="CJ171" s="558">
        <f>IF(WWWW[[#This Row],[Total required water points]]-WWWW[[#This Row],['#Water points coverage]]&lt;0,0,WWWW[[#This Row],[Total required water points]]-WWWW[[#This Row],['#Water points coverage]])</f>
        <v>1</v>
      </c>
      <c r="CK171" s="558">
        <f>ROUND(IF(WWWW[[#This Row],[Total PoP ]]&lt;500,1,WWWW[[#This Row],[Total PoP ]]/500),0)</f>
        <v>1</v>
      </c>
      <c r="CL171" s="558">
        <f>(WWWW[[#This Row],['#_Constructed latrines_by_WASHAgencies]]+WWWW[[#This Row],['#_Non Cluster partner latrines]])-WWWW[[#This Row],['#_Non-functional latrines]]</f>
        <v>0</v>
      </c>
      <c r="CM17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1" s="558" t="str">
        <f>IF(WWWW[[#This Row],[Location Type 1]]="Village","NA",IF(WWWW[[#This Row],['#_Constructed/Existing latrines in TLS]]*50&gt;WWWW[[#This Row],['#_students at TLS_CFS]],WWWW[[#This Row],['#_students at TLS_CFS]],(WWWW[[#This Row],['#_Constructed/Existing latrines in TLS]]*50)))</f>
        <v>NA</v>
      </c>
      <c r="CQ171" s="558">
        <f>ROUND(IF(WWWW[[#This Row],[Location Type 1]]="camp",WWWW[[#This Row],[Total PoP ]]/20,IF(WWWW[[#This Row],[Location Type 1]]="Temporary Location",WWWW[[#This Row],[Total PoP ]]/50,(WWWW[[#This Row],[Total PoP ]]/6))),0)</f>
        <v>66</v>
      </c>
      <c r="CR171" s="558">
        <f>IF(WWWW[[#This Row],[Total required Latrines]]-(WWWW[[#This Row],['#_Constructed latrines_by_WASHAgencies]]+WWWW[[#This Row],['#_Non Cluster partner latrines]])&lt;0,0,WWWW[[#This Row],[Total required Latrines]]-(WWWW[[#This Row],['#_Constructed latrines_by_WASHAgencies]]+WWWW[[#This Row],['#_Non Cluster partner latrines]]))</f>
        <v>66</v>
      </c>
      <c r="CS171" s="78">
        <f>1-WWWW[[#This Row],[% people access to functioning Latrine]]</f>
        <v>1</v>
      </c>
      <c r="CT171" s="560">
        <f>IF(OR(WWWW[[#This Row],['#_Non-functional latrines]]="",WWWW[[#This Row],['#_Non-functional latrines]]=0),0,WWWW[[#This Row],['#_Non-functional latrines]]/(WWWW[[#This Row],['#_Constructed latrines_by_WASHAgencies]]+WWWW[[#This Row],['#_Non Cluster partner latrines]]))</f>
        <v>0</v>
      </c>
      <c r="CU171" s="556">
        <f>IF(500*(WWWW[[#This Row],['#_male hygiene promoters]]+WWWW[[#This Row],['#_female hygiene promoters]])&gt;WWWW[[#This Row],[Total PoP ]],WWWW[[#This Row],[Total PoP ]],500*(WWWW[[#This Row],['#_male hygiene promoters]]+WWWW[[#This Row],['#_female hygiene promoters]]))</f>
        <v>0</v>
      </c>
      <c r="CV17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1" s="558">
        <f>IF(WWWW[[#This Row],['# People with access to soap]]&gt;WWWW[[#This Row],['# People with access to Sanity Pads]],WWWW[[#This Row],['# People with access to soap]],WWWW[[#This Row],['# People with access to Sanity Pads]])</f>
        <v>0</v>
      </c>
      <c r="CY17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71" s="561">
        <f>IF(WWWW[[#This Row],[HRP3]]/WWWW[[#This Row],[Total PoP ]]&gt;100%,100%,WWWW[[#This Row],[HRP3]]/WWWW[[#This Row],[Total PoP ]])</f>
        <v>0</v>
      </c>
      <c r="DA171" s="560">
        <f>1-WWWW[[#This Row],[Hygiene Coverage%]]</f>
        <v>1</v>
      </c>
      <c r="DB171" s="559">
        <f>WWWW[[#This Row],['# people reached by regular dedicated hygiene promotion_5]]/WWWW[[#This Row],[Total PoP ]]</f>
        <v>0</v>
      </c>
      <c r="DC171" s="559">
        <f>IF(WWWW[[#This Row],['#_households that received standard amount of soap for this quarter]]/WWWW[[#This Row],[Total HH]]&gt;1,1,WWWW[[#This Row],['#_households that received standard amount of soap for this quarter]]/WWWW[[#This Row],[Total HH]])</f>
        <v>0</v>
      </c>
      <c r="DD171" s="559">
        <f>IF(WWWW[[#This Row],['#_households that received standard amount of sanitary pads for this quarter]]/WWWW[[#This Row],[Total HH]]&gt;1,1,WWWW[[#This Row],['#_households that received standard amount of sanitary pads for this quarter]]/WWWW[[#This Row],[Total HH]])</f>
        <v>0</v>
      </c>
      <c r="DE171" s="558">
        <f>WWWW[[#This Row],['#_Constructed/Existing hand washing stations]]-WWWW[[#This Row],['#_Non-Functional_hand_washing_stations]]</f>
        <v>0</v>
      </c>
      <c r="DF171" s="757">
        <f>IF(WWWW[[#This Row],['# Functional hand washing stations during reporting period]]*20&gt;WWWW[[#This Row],[Total HH]],WWWW[[#This Row],[Total HH]],WWWW[[#This Row],['# Functional hand washing stations during reporting period]]*20)</f>
        <v>0</v>
      </c>
      <c r="DG171" s="556">
        <f>IF(WWWW[[#This Row],[Is sufficient soap available for TLS? (Yes/No)]]="yes",WWWW[[#This Row],['#_Constructed/Existing hand washing stations at TLS]],0)</f>
        <v>0</v>
      </c>
      <c r="DH171" s="556">
        <f>IF(WWWW[[#This Row],['# Functional hand washing stations during reporting period]]*100&gt;WWWW[[#This Row],[Total PoP ]],WWWW[[#This Row],[Total PoP ]],WWWW[[#This Row],['# Functional hand washing stations during reporting period]]*100)</f>
        <v>0</v>
      </c>
      <c r="DI171" s="556" t="str">
        <f>IF(OR(WWWW[[#This Row],['#_students at TLS_CFS]]="",WWWW[[#This Row],['#_students at TLS_CFS]]=0),"No","Yes")</f>
        <v>No</v>
      </c>
      <c r="DJ171" s="554">
        <f>VLOOKUP(WWWW[[#This Row],[Site Name]],SiteDB6[[Site Name]:[CCCM Management]],6,FALSE)</f>
        <v>0</v>
      </c>
      <c r="DK171" s="554">
        <f>VLOOKUP(WWWW[[#This Row],[Site Name]],SiteDB6[[Site Name]:[CCCM Focal Agency]],7,FALSE)</f>
        <v>0</v>
      </c>
      <c r="DL171" s="554" t="str">
        <f>VLOOKUP(WWWW[[#This Row],[Site Name]],SiteDB6[[Site Name]:[Location Type 1]],9,FALSE)</f>
        <v>Village</v>
      </c>
      <c r="DM171" s="554" t="str">
        <f>VLOOKUP(WWWW[[#This Row],[Site Name]],SiteDB6[[Site Name]:[Type of Accommodation]],10,FALSE)</f>
        <v>Village</v>
      </c>
      <c r="DN171" s="554">
        <f>VLOOKUP(WWWW[[#This Row],[Site Name]],SiteDB6[[Site Name]:[Ethnic or GCA/NGCA]],11,FALSE)</f>
        <v>0</v>
      </c>
      <c r="DO171" s="554">
        <f>VLOOKUP(WWWW[[#This Row],[Site Name]],SiteDB6[[Site Name]:[Lat]],12,FALSE)</f>
        <v>19.986650466918899</v>
      </c>
      <c r="DP171" s="554">
        <f>VLOOKUP(WWWW[[#This Row],[Site Name]],SiteDB6[[Site Name]:[Long]],13,FALSE)</f>
        <v>92.986160278320298</v>
      </c>
      <c r="DQ171" s="554">
        <f>VLOOKUP(WWWW[[#This Row],[Site Name]],SiteDB6[[Site Name]:[Pcode]],3,FALSE)</f>
        <v>197546</v>
      </c>
      <c r="DR171" s="563" t="str">
        <f t="shared" si="6"/>
        <v>Covered</v>
      </c>
      <c r="DS171" s="563"/>
    </row>
    <row r="172" spans="1:138">
      <c r="A172" s="552" t="s">
        <v>2518</v>
      </c>
      <c r="B172" s="552" t="s">
        <v>305</v>
      </c>
      <c r="C172" s="555" t="s">
        <v>305</v>
      </c>
      <c r="D172" s="555" t="s">
        <v>345</v>
      </c>
      <c r="E172" s="574" t="s">
        <v>3006</v>
      </c>
      <c r="F172" s="555" t="s">
        <v>420</v>
      </c>
      <c r="G172" s="574" t="str">
        <f>VLOOKUP(WWWW[[#This Row],[Site Name]],SiteDB6[[Site Name]:[Location Type]],8,FALSE)</f>
        <v>Village</v>
      </c>
      <c r="H172" s="555" t="s">
        <v>2824</v>
      </c>
      <c r="I172" s="557">
        <v>53</v>
      </c>
      <c r="J172" s="557">
        <v>248</v>
      </c>
      <c r="K172" s="564">
        <v>43359</v>
      </c>
      <c r="L172" s="565">
        <v>43830</v>
      </c>
      <c r="M172" s="557"/>
      <c r="N172" s="557"/>
      <c r="O172" s="557"/>
      <c r="P172" s="557"/>
      <c r="Q172" s="556"/>
      <c r="R172" s="557"/>
      <c r="S172" s="557"/>
      <c r="T172" s="557"/>
      <c r="U172" s="557"/>
      <c r="V172" s="557"/>
      <c r="W172" s="557"/>
      <c r="X172" s="557"/>
      <c r="Y172" s="557"/>
      <c r="Z172" s="557"/>
      <c r="AA172" s="557"/>
      <c r="AB172" s="557"/>
      <c r="AC172" s="557"/>
      <c r="AD172" s="557"/>
      <c r="AE172" s="557"/>
      <c r="AF172" s="557"/>
      <c r="AG172" s="557"/>
      <c r="AH172" s="557"/>
      <c r="AI172" s="557"/>
      <c r="AJ172" s="557"/>
      <c r="AK172" s="557"/>
      <c r="AL172" s="557"/>
      <c r="AM172" s="557"/>
      <c r="AN172" s="557"/>
      <c r="AO172" s="563"/>
      <c r="AP172" s="557"/>
      <c r="AQ172" s="557"/>
      <c r="AR172" s="559"/>
      <c r="AS172" s="557"/>
      <c r="AT172" s="557"/>
      <c r="AU172" s="557"/>
      <c r="AV172" s="557"/>
      <c r="AW172" s="557"/>
      <c r="AX172" s="554"/>
      <c r="AY172" s="563"/>
      <c r="AZ172" s="557"/>
      <c r="BA172" s="557"/>
      <c r="BB172" s="557"/>
      <c r="BC172" s="554"/>
      <c r="BD172" s="557"/>
      <c r="BE172" s="557"/>
      <c r="BF172" s="557"/>
      <c r="BG172" s="557"/>
      <c r="BH172" s="557"/>
      <c r="BI172" s="557"/>
      <c r="BJ172" s="557"/>
      <c r="BK172" s="557"/>
      <c r="BL172" s="557"/>
      <c r="BM172" s="554"/>
      <c r="BN172" s="558"/>
      <c r="BO172" s="559"/>
      <c r="BP172" s="554"/>
      <c r="BQ172" s="560" t="str">
        <f>IFERROR(WWWW[[#This Row],['#_Water sources treated]]/WWWW[[#This Row],['#_Water sources tested for contamination]],"no test")</f>
        <v>no test</v>
      </c>
      <c r="BR172" s="559" t="str">
        <f>IFERROR(WWWW[[#This Row],['#_Household received remediation action due to contamination]]/WWWW[[#This Row],['#_Household water samples tested for contamination]],"no test")</f>
        <v>no test</v>
      </c>
      <c r="BS172" s="558" t="str">
        <f>IF(AND(WWWW[[#This Row],[% of water sources treated]]="no test",WWWW[[#This Row],[% Household received corrective actions]]="no test"),"No Test","Tested")</f>
        <v>No Test</v>
      </c>
      <c r="BT172" s="558">
        <f>WWWW[[#This Row],['#_Constructed/existing protected hand dug well]]-WWWW[[#This Row],['#_Non-functional protected hand dug well]]</f>
        <v>0</v>
      </c>
      <c r="BU172" s="558">
        <f>(WWWW[[#This Row],['#_Constructed/Existing tube wells/boreholes/handpumps_WASH_agency]]+WWWW[[#This Row],['#_Non-Cluster partner water tube-wells/boreholes/handpumps]])-WWWW[[#This Row],['#_Non-functional tube wells/boreholes/handpumps]]</f>
        <v>0</v>
      </c>
      <c r="BV172" s="558">
        <f>WWWW[[#This Row],['#_Constructed/Existingwater storage tank with gravity fed reticulation system]]-WWWW[[#This Row],['#_Non-functional storage tank gravity fed reticulation system]]</f>
        <v>0</v>
      </c>
      <c r="BW172" s="558">
        <f>WWWW[[#This Row],['#_Water boating or water trucking]]</f>
        <v>0</v>
      </c>
      <c r="BX172" s="558">
        <f>WWWW[[#This Row],['#_Constructed/Existing water distribution system from river or natural spring]]</f>
        <v>0</v>
      </c>
      <c r="BY17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2" s="559">
        <f>IF(WWWW[[#This Row],[Location Type 1]]="Village",WWWW[[#This Row],[Access to safe drinking water for Village]],WWWW[[#This Row],[Access to safe drinking water for Camp]])</f>
        <v>0</v>
      </c>
      <c r="CB172" s="556">
        <f>WWWW[[#This Row],[%Equitable and continuous access to sufficient quantity of safe drinking water]]*WWWW[[#This Row],[Total PoP ]]</f>
        <v>0</v>
      </c>
      <c r="CC172" s="559">
        <f>IF((WWWW[[#This Row],['#_Constructed/Existing protected/fenced ponds]]*250)/WWWW[[#This Row],[Total PoP ]]&gt;1,1,(WWWW[[#This Row],['#_Constructed/Existing protected/fenced ponds]]*250)/WWWW[[#This Row],[Total PoP ]])</f>
        <v>0</v>
      </c>
      <c r="CD172" s="556">
        <f>WWWW[[#This Row],[% Access to unimproved water points]]*WWWW[[#This Row],[Total PoP ]]</f>
        <v>0</v>
      </c>
      <c r="CE17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2" s="556">
        <f>WWWW[[#This Row],[HRP1]]/500</f>
        <v>0</v>
      </c>
      <c r="CH172" s="561">
        <f>1-WWWW[[#This Row],[% Equitable and continuous access to sufficient quantity of domestic water]]</f>
        <v>1</v>
      </c>
      <c r="CI172" s="556">
        <f>WWWW[[#This Row],[%equitable and continuous access to sufficient quantity of safe drinking and domestic water''s GAP]]*WWWW[[#This Row],[Total PoP ]]</f>
        <v>248</v>
      </c>
      <c r="CJ172" s="558">
        <f>IF(WWWW[[#This Row],[Total required water points]]-WWWW[[#This Row],['#Water points coverage]]&lt;0,0,WWWW[[#This Row],[Total required water points]]-WWWW[[#This Row],['#Water points coverage]])</f>
        <v>1</v>
      </c>
      <c r="CK172" s="558">
        <f>ROUND(IF(WWWW[[#This Row],[Total PoP ]]&lt;500,1,WWWW[[#This Row],[Total PoP ]]/500),0)</f>
        <v>1</v>
      </c>
      <c r="CL172" s="558">
        <f>(WWWW[[#This Row],['#_Constructed latrines_by_WASHAgencies]]+WWWW[[#This Row],['#_Non Cluster partner latrines]])-WWWW[[#This Row],['#_Non-functional latrines]]</f>
        <v>0</v>
      </c>
      <c r="CM17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2" s="558" t="str">
        <f>IF(WWWW[[#This Row],[Location Type 1]]="Village","NA",IF(WWWW[[#This Row],['#_Constructed/Existing latrines in TLS]]*50&gt;WWWW[[#This Row],['#_students at TLS_CFS]],WWWW[[#This Row],['#_students at TLS_CFS]],(WWWW[[#This Row],['#_Constructed/Existing latrines in TLS]]*50)))</f>
        <v>NA</v>
      </c>
      <c r="CQ172" s="558">
        <f>ROUND(IF(WWWW[[#This Row],[Location Type 1]]="camp",WWWW[[#This Row],[Total PoP ]]/20,IF(WWWW[[#This Row],[Location Type 1]]="Temporary Location",WWWW[[#This Row],[Total PoP ]]/50,(WWWW[[#This Row],[Total PoP ]]/6))),0)</f>
        <v>41</v>
      </c>
      <c r="CR172" s="558">
        <f>IF(WWWW[[#This Row],[Total required Latrines]]-(WWWW[[#This Row],['#_Constructed latrines_by_WASHAgencies]]+WWWW[[#This Row],['#_Non Cluster partner latrines]])&lt;0,0,WWWW[[#This Row],[Total required Latrines]]-(WWWW[[#This Row],['#_Constructed latrines_by_WASHAgencies]]+WWWW[[#This Row],['#_Non Cluster partner latrines]]))</f>
        <v>41</v>
      </c>
      <c r="CS172" s="78">
        <f>1-WWWW[[#This Row],[% people access to functioning Latrine]]</f>
        <v>1</v>
      </c>
      <c r="CT172" s="560">
        <f>IF(OR(WWWW[[#This Row],['#_Non-functional latrines]]="",WWWW[[#This Row],['#_Non-functional latrines]]=0),0,WWWW[[#This Row],['#_Non-functional latrines]]/(WWWW[[#This Row],['#_Constructed latrines_by_WASHAgencies]]+WWWW[[#This Row],['#_Non Cluster partner latrines]]))</f>
        <v>0</v>
      </c>
      <c r="CU172" s="556">
        <f>IF(500*(WWWW[[#This Row],['#_male hygiene promoters]]+WWWW[[#This Row],['#_female hygiene promoters]])&gt;WWWW[[#This Row],[Total PoP ]],WWWW[[#This Row],[Total PoP ]],500*(WWWW[[#This Row],['#_male hygiene promoters]]+WWWW[[#This Row],['#_female hygiene promoters]]))</f>
        <v>0</v>
      </c>
      <c r="CV17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2" s="558">
        <f>IF(WWWW[[#This Row],['# People with access to soap]]&gt;WWWW[[#This Row],['# People with access to Sanity Pads]],WWWW[[#This Row],['# People with access to soap]],WWWW[[#This Row],['# People with access to Sanity Pads]])</f>
        <v>0</v>
      </c>
      <c r="CY17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172" s="561">
        <f>IF(WWWW[[#This Row],[HRP3]]/WWWW[[#This Row],[Total PoP ]]&gt;100%,100%,WWWW[[#This Row],[HRP3]]/WWWW[[#This Row],[Total PoP ]])</f>
        <v>0</v>
      </c>
      <c r="DA172" s="560">
        <f>1-WWWW[[#This Row],[Hygiene Coverage%]]</f>
        <v>1</v>
      </c>
      <c r="DB172" s="559">
        <f>WWWW[[#This Row],['# people reached by regular dedicated hygiene promotion_5]]/WWWW[[#This Row],[Total PoP ]]</f>
        <v>0</v>
      </c>
      <c r="DC172" s="559">
        <f>IF(WWWW[[#This Row],['#_households that received standard amount of soap for this quarter]]/WWWW[[#This Row],[Total HH]]&gt;1,1,WWWW[[#This Row],['#_households that received standard amount of soap for this quarter]]/WWWW[[#This Row],[Total HH]])</f>
        <v>0</v>
      </c>
      <c r="DD172" s="559">
        <f>IF(WWWW[[#This Row],['#_households that received standard amount of sanitary pads for this quarter]]/WWWW[[#This Row],[Total HH]]&gt;1,1,WWWW[[#This Row],['#_households that received standard amount of sanitary pads for this quarter]]/WWWW[[#This Row],[Total HH]])</f>
        <v>0</v>
      </c>
      <c r="DE172" s="558">
        <f>WWWW[[#This Row],['#_Constructed/Existing hand washing stations]]-WWWW[[#This Row],['#_Non-Functional_hand_washing_stations]]</f>
        <v>0</v>
      </c>
      <c r="DF172" s="757">
        <f>IF(WWWW[[#This Row],['# Functional hand washing stations during reporting period]]*20&gt;WWWW[[#This Row],[Total HH]],WWWW[[#This Row],[Total HH]],WWWW[[#This Row],['# Functional hand washing stations during reporting period]]*20)</f>
        <v>0</v>
      </c>
      <c r="DG172" s="556">
        <f>IF(WWWW[[#This Row],[Is sufficient soap available for TLS? (Yes/No)]]="yes",WWWW[[#This Row],['#_Constructed/Existing hand washing stations at TLS]],0)</f>
        <v>0</v>
      </c>
      <c r="DH172" s="556">
        <f>IF(WWWW[[#This Row],['# Functional hand washing stations during reporting period]]*100&gt;WWWW[[#This Row],[Total PoP ]],WWWW[[#This Row],[Total PoP ]],WWWW[[#This Row],['# Functional hand washing stations during reporting period]]*100)</f>
        <v>0</v>
      </c>
      <c r="DI172" s="556" t="str">
        <f>IF(OR(WWWW[[#This Row],['#_students at TLS_CFS]]="",WWWW[[#This Row],['#_students at TLS_CFS]]=0),"No","Yes")</f>
        <v>No</v>
      </c>
      <c r="DJ172" s="554">
        <f>VLOOKUP(WWWW[[#This Row],[Site Name]],SiteDB6[[Site Name]:[CCCM Management]],6,FALSE)</f>
        <v>0</v>
      </c>
      <c r="DK172" s="554">
        <f>VLOOKUP(WWWW[[#This Row],[Site Name]],SiteDB6[[Site Name]:[CCCM Focal Agency]],7,FALSE)</f>
        <v>0</v>
      </c>
      <c r="DL172" s="554" t="str">
        <f>VLOOKUP(WWWW[[#This Row],[Site Name]],SiteDB6[[Site Name]:[Location Type 1]],9,FALSE)</f>
        <v>Village</v>
      </c>
      <c r="DM172" s="554" t="str">
        <f>VLOOKUP(WWWW[[#This Row],[Site Name]],SiteDB6[[Site Name]:[Type of Accommodation]],10,FALSE)</f>
        <v>Village</v>
      </c>
      <c r="DN172" s="554">
        <f>VLOOKUP(WWWW[[#This Row],[Site Name]],SiteDB6[[Site Name]:[Ethnic or GCA/NGCA]],11,FALSE)</f>
        <v>0</v>
      </c>
      <c r="DO172" s="554">
        <f>VLOOKUP(WWWW[[#This Row],[Site Name]],SiteDB6[[Site Name]:[Lat]],12,FALSE)</f>
        <v>0</v>
      </c>
      <c r="DP172" s="554">
        <f>VLOOKUP(WWWW[[#This Row],[Site Name]],SiteDB6[[Site Name]:[Long]],13,FALSE)</f>
        <v>0</v>
      </c>
      <c r="DQ172" s="554">
        <f>VLOOKUP(WWWW[[#This Row],[Site Name]],SiteDB6[[Site Name]:[Pcode]],3,FALSE)</f>
        <v>0</v>
      </c>
      <c r="DR172" s="563" t="str">
        <f t="shared" si="6"/>
        <v>Covered</v>
      </c>
      <c r="DS172" s="563"/>
    </row>
    <row r="173" spans="1:138">
      <c r="A173" s="552" t="s">
        <v>2518</v>
      </c>
      <c r="B173" s="552" t="s">
        <v>2795</v>
      </c>
      <c r="C173" s="555" t="s">
        <v>387</v>
      </c>
      <c r="D173" s="555" t="s">
        <v>2796</v>
      </c>
      <c r="E173" s="574" t="s">
        <v>3005</v>
      </c>
      <c r="F173" s="555" t="s">
        <v>337</v>
      </c>
      <c r="G173" s="574" t="str">
        <f>VLOOKUP(WWWW[[#This Row],[Site Name]],SiteDB6[[Site Name]:[Location Type]],8,FALSE)</f>
        <v>Village</v>
      </c>
      <c r="H173" s="584" t="s">
        <v>2798</v>
      </c>
      <c r="I173" s="557">
        <v>153</v>
      </c>
      <c r="J173" s="557">
        <v>838</v>
      </c>
      <c r="K173" s="564">
        <v>43480</v>
      </c>
      <c r="L173" s="565">
        <v>43723</v>
      </c>
      <c r="M173" s="557"/>
      <c r="N173" s="557"/>
      <c r="O173" s="557"/>
      <c r="P173" s="557"/>
      <c r="Q173" s="556"/>
      <c r="R173" s="557"/>
      <c r="S173" s="557"/>
      <c r="T173" s="557"/>
      <c r="U173" s="557"/>
      <c r="V173" s="557"/>
      <c r="W173" s="557"/>
      <c r="X173" s="557"/>
      <c r="Y173" s="557"/>
      <c r="Z173" s="557"/>
      <c r="AA173" s="557"/>
      <c r="AB173" s="557"/>
      <c r="AC173" s="557"/>
      <c r="AD173" s="557"/>
      <c r="AE173" s="557"/>
      <c r="AF173" s="557"/>
      <c r="AG173" s="557"/>
      <c r="AH173" s="557"/>
      <c r="AI173" s="557"/>
      <c r="AJ173" s="557"/>
      <c r="AK173" s="557"/>
      <c r="AL173" s="557"/>
      <c r="AM173" s="557"/>
      <c r="AN173" s="557"/>
      <c r="AO173" s="563"/>
      <c r="AP173" s="557"/>
      <c r="AQ173" s="557"/>
      <c r="AR173" s="559"/>
      <c r="AS173" s="557"/>
      <c r="AT173" s="557"/>
      <c r="AU173" s="557"/>
      <c r="AV173" s="557"/>
      <c r="AW173" s="557"/>
      <c r="AX173" s="554"/>
      <c r="AY173" s="563"/>
      <c r="AZ173" s="557"/>
      <c r="BA173" s="557"/>
      <c r="BB173" s="557"/>
      <c r="BC173" s="554"/>
      <c r="BD173" s="557"/>
      <c r="BE173" s="557"/>
      <c r="BF173" s="557"/>
      <c r="BG173" s="557"/>
      <c r="BH173" s="557"/>
      <c r="BI173" s="557">
        <v>153</v>
      </c>
      <c r="BJ173" s="557">
        <v>153</v>
      </c>
      <c r="BK173" s="557"/>
      <c r="BL173" s="557"/>
      <c r="BM173" s="554"/>
      <c r="BN173" s="558"/>
      <c r="BO173" s="559"/>
      <c r="BP173" s="554"/>
      <c r="BQ173" s="560" t="str">
        <f>IFERROR(WWWW[[#This Row],['#_Water sources treated]]/WWWW[[#This Row],['#_Water sources tested for contamination]],"no test")</f>
        <v>no test</v>
      </c>
      <c r="BR173" s="559" t="str">
        <f>IFERROR(WWWW[[#This Row],['#_Household received remediation action due to contamination]]/WWWW[[#This Row],['#_Household water samples tested for contamination]],"no test")</f>
        <v>no test</v>
      </c>
      <c r="BS173" s="558" t="str">
        <f>IF(AND(WWWW[[#This Row],[% of water sources treated]]="no test",WWWW[[#This Row],[% Household received corrective actions]]="no test"),"No Test","Tested")</f>
        <v>No Test</v>
      </c>
      <c r="BT173" s="558">
        <f>WWWW[[#This Row],['#_Constructed/existing protected hand dug well]]-WWWW[[#This Row],['#_Non-functional protected hand dug well]]</f>
        <v>0</v>
      </c>
      <c r="BU173" s="558">
        <f>(WWWW[[#This Row],['#_Constructed/Existing tube wells/boreholes/handpumps_WASH_agency]]+WWWW[[#This Row],['#_Non-Cluster partner water tube-wells/boreholes/handpumps]])-WWWW[[#This Row],['#_Non-functional tube wells/boreholes/handpumps]]</f>
        <v>0</v>
      </c>
      <c r="BV173" s="558">
        <f>WWWW[[#This Row],['#_Constructed/Existingwater storage tank with gravity fed reticulation system]]-WWWW[[#This Row],['#_Non-functional storage tank gravity fed reticulation system]]</f>
        <v>0</v>
      </c>
      <c r="BW173" s="558">
        <f>WWWW[[#This Row],['#_Water boating or water trucking]]</f>
        <v>0</v>
      </c>
      <c r="BX173" s="558">
        <f>WWWW[[#This Row],['#_Constructed/Existing water distribution system from river or natural spring]]</f>
        <v>0</v>
      </c>
      <c r="BY17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3" s="559">
        <f>IF(WWWW[[#This Row],[Location Type 1]]="Village",WWWW[[#This Row],[Access to safe drinking water for Village]],WWWW[[#This Row],[Access to safe drinking water for Camp]])</f>
        <v>0</v>
      </c>
      <c r="CB173" s="556">
        <f>WWWW[[#This Row],[%Equitable and continuous access to sufficient quantity of safe drinking water]]*WWWW[[#This Row],[Total PoP ]]</f>
        <v>0</v>
      </c>
      <c r="CC173" s="559">
        <f>IF((WWWW[[#This Row],['#_Constructed/Existing protected/fenced ponds]]*250)/WWWW[[#This Row],[Total PoP ]]&gt;1,1,(WWWW[[#This Row],['#_Constructed/Existing protected/fenced ponds]]*250)/WWWW[[#This Row],[Total PoP ]])</f>
        <v>0</v>
      </c>
      <c r="CD173" s="556">
        <f>WWWW[[#This Row],[% Access to unimproved water points]]*WWWW[[#This Row],[Total PoP ]]</f>
        <v>0</v>
      </c>
      <c r="CE17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3" s="556">
        <f>WWWW[[#This Row],[HRP1]]/500</f>
        <v>0</v>
      </c>
      <c r="CH173" s="561">
        <f>1-WWWW[[#This Row],[% Equitable and continuous access to sufficient quantity of domestic water]]</f>
        <v>1</v>
      </c>
      <c r="CI173" s="556">
        <f>WWWW[[#This Row],[%equitable and continuous access to sufficient quantity of safe drinking and domestic water''s GAP]]*WWWW[[#This Row],[Total PoP ]]</f>
        <v>838</v>
      </c>
      <c r="CJ173" s="558">
        <f>IF(WWWW[[#This Row],[Total required water points]]-WWWW[[#This Row],['#Water points coverage]]&lt;0,0,WWWW[[#This Row],[Total required water points]]-WWWW[[#This Row],['#Water points coverage]])</f>
        <v>2</v>
      </c>
      <c r="CK173" s="558">
        <f>ROUND(IF(WWWW[[#This Row],[Total PoP ]]&lt;500,1,WWWW[[#This Row],[Total PoP ]]/500),0)</f>
        <v>2</v>
      </c>
      <c r="CL173" s="558">
        <f>(WWWW[[#This Row],['#_Constructed latrines_by_WASHAgencies]]+WWWW[[#This Row],['#_Non Cluster partner latrines]])-WWWW[[#This Row],['#_Non-functional latrines]]</f>
        <v>0</v>
      </c>
      <c r="CM17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3" s="558" t="str">
        <f>IF(WWWW[[#This Row],[Location Type 1]]="Village","NA",IF(WWWW[[#This Row],['#_Constructed/Existing latrines in TLS]]*50&gt;WWWW[[#This Row],['#_students at TLS_CFS]],WWWW[[#This Row],['#_students at TLS_CFS]],(WWWW[[#This Row],['#_Constructed/Existing latrines in TLS]]*50)))</f>
        <v>NA</v>
      </c>
      <c r="CQ173" s="558">
        <f>ROUND(IF(WWWW[[#This Row],[Location Type 1]]="camp",WWWW[[#This Row],[Total PoP ]]/20,IF(WWWW[[#This Row],[Location Type 1]]="Temporary Location",WWWW[[#This Row],[Total PoP ]]/50,(WWWW[[#This Row],[Total PoP ]]/6))),0)</f>
        <v>140</v>
      </c>
      <c r="CR173" s="558">
        <f>IF(WWWW[[#This Row],[Total required Latrines]]-(WWWW[[#This Row],['#_Constructed latrines_by_WASHAgencies]]+WWWW[[#This Row],['#_Non Cluster partner latrines]])&lt;0,0,WWWW[[#This Row],[Total required Latrines]]-(WWWW[[#This Row],['#_Constructed latrines_by_WASHAgencies]]+WWWW[[#This Row],['#_Non Cluster partner latrines]]))</f>
        <v>140</v>
      </c>
      <c r="CS173" s="78">
        <f>1-WWWW[[#This Row],[% people access to functioning Latrine]]</f>
        <v>1</v>
      </c>
      <c r="CT173" s="560">
        <f>IF(OR(WWWW[[#This Row],['#_Non-functional latrines]]="",WWWW[[#This Row],['#_Non-functional latrines]]=0),0,WWWW[[#This Row],['#_Non-functional latrines]]/(WWWW[[#This Row],['#_Constructed latrines_by_WASHAgencies]]+WWWW[[#This Row],['#_Non Cluster partner latrines]]))</f>
        <v>0</v>
      </c>
      <c r="CU173" s="556">
        <f>IF(500*(WWWW[[#This Row],['#_male hygiene promoters]]+WWWW[[#This Row],['#_female hygiene promoters]])&gt;WWWW[[#This Row],[Total PoP ]],WWWW[[#This Row],[Total PoP ]],500*(WWWW[[#This Row],['#_male hygiene promoters]]+WWWW[[#This Row],['#_female hygiene promoters]]))</f>
        <v>838</v>
      </c>
      <c r="CV17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3" s="558">
        <f>IF(WWWW[[#This Row],['# People with access to soap]]&gt;WWWW[[#This Row],['# People with access to Sanity Pads]],WWWW[[#This Row],['# People with access to soap]],WWWW[[#This Row],['# People with access to Sanity Pads]])</f>
        <v>0</v>
      </c>
      <c r="CY173" s="558">
        <f>IF(WWWW[[#This Row],['# people reached by regular dedicated hygiene promotion_5]]&gt;WWWW[[#This Row],['# People received regular supply of hygiene items_6]],WWWW[[#This Row],['# people reached by regular dedicated hygiene promotion_5]],WWWW[[#This Row],['# People received regular supply of hygiene items_6]])</f>
        <v>838</v>
      </c>
      <c r="CZ173" s="561">
        <f>IF(WWWW[[#This Row],[HRP3]]/WWWW[[#This Row],[Total PoP ]]&gt;100%,100%,WWWW[[#This Row],[HRP3]]/WWWW[[#This Row],[Total PoP ]])</f>
        <v>1</v>
      </c>
      <c r="DA173" s="560">
        <f>1-WWWW[[#This Row],[Hygiene Coverage%]]</f>
        <v>0</v>
      </c>
      <c r="DB173" s="559">
        <f>WWWW[[#This Row],['# people reached by regular dedicated hygiene promotion_5]]/WWWW[[#This Row],[Total PoP ]]</f>
        <v>1</v>
      </c>
      <c r="DC173" s="559">
        <f>IF(WWWW[[#This Row],['#_households that received standard amount of soap for this quarter]]/WWWW[[#This Row],[Total HH]]&gt;1,1,WWWW[[#This Row],['#_households that received standard amount of soap for this quarter]]/WWWW[[#This Row],[Total HH]])</f>
        <v>0</v>
      </c>
      <c r="DD173" s="559">
        <f>IF(WWWW[[#This Row],['#_households that received standard amount of sanitary pads for this quarter]]/WWWW[[#This Row],[Total HH]]&gt;1,1,WWWW[[#This Row],['#_households that received standard amount of sanitary pads for this quarter]]/WWWW[[#This Row],[Total HH]])</f>
        <v>0</v>
      </c>
      <c r="DE173" s="558">
        <f>WWWW[[#This Row],['#_Constructed/Existing hand washing stations]]-WWWW[[#This Row],['#_Non-Functional_hand_washing_stations]]</f>
        <v>0</v>
      </c>
      <c r="DF173" s="757">
        <f>IF(WWWW[[#This Row],['# Functional hand washing stations during reporting period]]*20&gt;WWWW[[#This Row],[Total HH]],WWWW[[#This Row],[Total HH]],WWWW[[#This Row],['# Functional hand washing stations during reporting period]]*20)</f>
        <v>0</v>
      </c>
      <c r="DG173" s="556">
        <f>IF(WWWW[[#This Row],[Is sufficient soap available for TLS? (Yes/No)]]="yes",WWWW[[#This Row],['#_Constructed/Existing hand washing stations at TLS]],0)</f>
        <v>0</v>
      </c>
      <c r="DH173" s="556">
        <f>IF(WWWW[[#This Row],['# Functional hand washing stations during reporting period]]*100&gt;WWWW[[#This Row],[Total PoP ]],WWWW[[#This Row],[Total PoP ]],WWWW[[#This Row],['# Functional hand washing stations during reporting period]]*100)</f>
        <v>0</v>
      </c>
      <c r="DI173" s="556" t="str">
        <f>IF(OR(WWWW[[#This Row],['#_students at TLS_CFS]]="",WWWW[[#This Row],['#_students at TLS_CFS]]=0),"No","Yes")</f>
        <v>No</v>
      </c>
      <c r="DJ173" s="554">
        <f>VLOOKUP(WWWW[[#This Row],[Site Name]],SiteDB6[[Site Name]:[CCCM Management]],6,FALSE)</f>
        <v>0</v>
      </c>
      <c r="DK173" s="554">
        <f>VLOOKUP(WWWW[[#This Row],[Site Name]],SiteDB6[[Site Name]:[CCCM Focal Agency]],7,FALSE)</f>
        <v>0</v>
      </c>
      <c r="DL173" s="554" t="str">
        <f>VLOOKUP(WWWW[[#This Row],[Site Name]],SiteDB6[[Site Name]:[Location Type 1]],9,FALSE)</f>
        <v>Village</v>
      </c>
      <c r="DM173" s="554" t="str">
        <f>VLOOKUP(WWWW[[#This Row],[Site Name]],SiteDB6[[Site Name]:[Type of Accommodation]],10,FALSE)</f>
        <v>Village</v>
      </c>
      <c r="DN173" s="554" t="str">
        <f>VLOOKUP(WWWW[[#This Row],[Site Name]],SiteDB6[[Site Name]:[Ethnic or GCA/NGCA]],11,FALSE)</f>
        <v>Muslim</v>
      </c>
      <c r="DO173" s="554">
        <f>VLOOKUP(WWWW[[#This Row],[Site Name]],SiteDB6[[Site Name]:[Lat]],12,FALSE)</f>
        <v>20.819919586181602</v>
      </c>
      <c r="DP173" s="554">
        <f>VLOOKUP(WWWW[[#This Row],[Site Name]],SiteDB6[[Site Name]:[Long]],13,FALSE)</f>
        <v>92.589729309082003</v>
      </c>
      <c r="DQ173" s="554">
        <f>VLOOKUP(WWWW[[#This Row],[Site Name]],SiteDB6[[Site Name]:[Pcode]],3,FALSE)</f>
        <v>198349</v>
      </c>
      <c r="DR173" s="563" t="str">
        <f t="shared" si="6"/>
        <v>Covered</v>
      </c>
      <c r="DS173" s="563"/>
    </row>
    <row r="174" spans="1:138">
      <c r="A174" s="552" t="s">
        <v>2518</v>
      </c>
      <c r="B174" s="552" t="s">
        <v>2795</v>
      </c>
      <c r="C174" s="555" t="s">
        <v>387</v>
      </c>
      <c r="D174" s="555" t="s">
        <v>2796</v>
      </c>
      <c r="E174" s="574" t="s">
        <v>3005</v>
      </c>
      <c r="F174" s="555" t="s">
        <v>337</v>
      </c>
      <c r="G174" s="574" t="str">
        <f>VLOOKUP(WWWW[[#This Row],[Site Name]],SiteDB6[[Site Name]:[Location Type]],8,FALSE)</f>
        <v>Village</v>
      </c>
      <c r="H174" s="555" t="s">
        <v>2805</v>
      </c>
      <c r="I174" s="557">
        <v>95</v>
      </c>
      <c r="J174" s="557">
        <v>570</v>
      </c>
      <c r="K174" s="564">
        <v>43480</v>
      </c>
      <c r="L174" s="565">
        <v>43723</v>
      </c>
      <c r="M174" s="557"/>
      <c r="N174" s="557"/>
      <c r="O174" s="557"/>
      <c r="P174" s="557"/>
      <c r="Q174" s="556"/>
      <c r="R174" s="557"/>
      <c r="S174" s="557"/>
      <c r="T174" s="557"/>
      <c r="U174" s="557"/>
      <c r="V174" s="557"/>
      <c r="W174" s="557"/>
      <c r="X174" s="557"/>
      <c r="Y174" s="557"/>
      <c r="Z174" s="557"/>
      <c r="AA174" s="557"/>
      <c r="AB174" s="557"/>
      <c r="AC174" s="557"/>
      <c r="AD174" s="557"/>
      <c r="AE174" s="557"/>
      <c r="AF174" s="557"/>
      <c r="AG174" s="557"/>
      <c r="AH174" s="557"/>
      <c r="AI174" s="557"/>
      <c r="AJ174" s="557"/>
      <c r="AK174" s="557"/>
      <c r="AL174" s="557"/>
      <c r="AM174" s="557"/>
      <c r="AN174" s="557"/>
      <c r="AO174" s="563"/>
      <c r="AP174" s="557"/>
      <c r="AQ174" s="557"/>
      <c r="AR174" s="559"/>
      <c r="AS174" s="557"/>
      <c r="AT174" s="557"/>
      <c r="AU174" s="557"/>
      <c r="AV174" s="557"/>
      <c r="AW174" s="557"/>
      <c r="AX174" s="554"/>
      <c r="AY174" s="563"/>
      <c r="AZ174" s="557"/>
      <c r="BA174" s="557"/>
      <c r="BB174" s="557"/>
      <c r="BC174" s="554"/>
      <c r="BD174" s="557"/>
      <c r="BE174" s="557"/>
      <c r="BF174" s="557"/>
      <c r="BG174" s="557"/>
      <c r="BH174" s="557"/>
      <c r="BI174" s="557">
        <v>95</v>
      </c>
      <c r="BJ174" s="557">
        <v>95</v>
      </c>
      <c r="BK174" s="557"/>
      <c r="BL174" s="557"/>
      <c r="BM174" s="554"/>
      <c r="BN174" s="558"/>
      <c r="BO174" s="559"/>
      <c r="BP174" s="554"/>
      <c r="BQ174" s="560" t="str">
        <f>IFERROR(WWWW[[#This Row],['#_Water sources treated]]/WWWW[[#This Row],['#_Water sources tested for contamination]],"no test")</f>
        <v>no test</v>
      </c>
      <c r="BR174" s="559" t="str">
        <f>IFERROR(WWWW[[#This Row],['#_Household received remediation action due to contamination]]/WWWW[[#This Row],['#_Household water samples tested for contamination]],"no test")</f>
        <v>no test</v>
      </c>
      <c r="BS174" s="558" t="str">
        <f>IF(AND(WWWW[[#This Row],[% of water sources treated]]="no test",WWWW[[#This Row],[% Household received corrective actions]]="no test"),"No Test","Tested")</f>
        <v>No Test</v>
      </c>
      <c r="BT174" s="558">
        <f>WWWW[[#This Row],['#_Constructed/existing protected hand dug well]]-WWWW[[#This Row],['#_Non-functional protected hand dug well]]</f>
        <v>0</v>
      </c>
      <c r="BU174" s="558">
        <f>(WWWW[[#This Row],['#_Constructed/Existing tube wells/boreholes/handpumps_WASH_agency]]+WWWW[[#This Row],['#_Non-Cluster partner water tube-wells/boreholes/handpumps]])-WWWW[[#This Row],['#_Non-functional tube wells/boreholes/handpumps]]</f>
        <v>0</v>
      </c>
      <c r="BV174" s="558">
        <f>WWWW[[#This Row],['#_Constructed/Existingwater storage tank with gravity fed reticulation system]]-WWWW[[#This Row],['#_Non-functional storage tank gravity fed reticulation system]]</f>
        <v>0</v>
      </c>
      <c r="BW174" s="558">
        <f>WWWW[[#This Row],['#_Water boating or water trucking]]</f>
        <v>0</v>
      </c>
      <c r="BX174" s="558">
        <f>WWWW[[#This Row],['#_Constructed/Existing water distribution system from river or natural spring]]</f>
        <v>0</v>
      </c>
      <c r="BY17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4" s="559">
        <f>IF(WWWW[[#This Row],[Location Type 1]]="Village",WWWW[[#This Row],[Access to safe drinking water for Village]],WWWW[[#This Row],[Access to safe drinking water for Camp]])</f>
        <v>0</v>
      </c>
      <c r="CB174" s="556">
        <f>WWWW[[#This Row],[%Equitable and continuous access to sufficient quantity of safe drinking water]]*WWWW[[#This Row],[Total PoP ]]</f>
        <v>0</v>
      </c>
      <c r="CC174" s="559">
        <f>IF((WWWW[[#This Row],['#_Constructed/Existing protected/fenced ponds]]*250)/WWWW[[#This Row],[Total PoP ]]&gt;1,1,(WWWW[[#This Row],['#_Constructed/Existing protected/fenced ponds]]*250)/WWWW[[#This Row],[Total PoP ]])</f>
        <v>0</v>
      </c>
      <c r="CD174" s="556">
        <f>WWWW[[#This Row],[% Access to unimproved water points]]*WWWW[[#This Row],[Total PoP ]]</f>
        <v>0</v>
      </c>
      <c r="CE17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4" s="556">
        <f>WWWW[[#This Row],[HRP1]]/500</f>
        <v>0</v>
      </c>
      <c r="CH174" s="561">
        <f>1-WWWW[[#This Row],[% Equitable and continuous access to sufficient quantity of domestic water]]</f>
        <v>1</v>
      </c>
      <c r="CI174" s="556">
        <f>WWWW[[#This Row],[%equitable and continuous access to sufficient quantity of safe drinking and domestic water''s GAP]]*WWWW[[#This Row],[Total PoP ]]</f>
        <v>570</v>
      </c>
      <c r="CJ174" s="558">
        <f>IF(WWWW[[#This Row],[Total required water points]]-WWWW[[#This Row],['#Water points coverage]]&lt;0,0,WWWW[[#This Row],[Total required water points]]-WWWW[[#This Row],['#Water points coverage]])</f>
        <v>1</v>
      </c>
      <c r="CK174" s="558">
        <f>ROUND(IF(WWWW[[#This Row],[Total PoP ]]&lt;500,1,WWWW[[#This Row],[Total PoP ]]/500),0)</f>
        <v>1</v>
      </c>
      <c r="CL174" s="558">
        <f>(WWWW[[#This Row],['#_Constructed latrines_by_WASHAgencies]]+WWWW[[#This Row],['#_Non Cluster partner latrines]])-WWWW[[#This Row],['#_Non-functional latrines]]</f>
        <v>0</v>
      </c>
      <c r="CM17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4" s="558" t="str">
        <f>IF(WWWW[[#This Row],[Location Type 1]]="Village","NA",IF(WWWW[[#This Row],['#_Constructed/Existing latrines in TLS]]*50&gt;WWWW[[#This Row],['#_students at TLS_CFS]],WWWW[[#This Row],['#_students at TLS_CFS]],(WWWW[[#This Row],['#_Constructed/Existing latrines in TLS]]*50)))</f>
        <v>NA</v>
      </c>
      <c r="CQ174" s="558">
        <f>ROUND(IF(WWWW[[#This Row],[Location Type 1]]="camp",WWWW[[#This Row],[Total PoP ]]/20,IF(WWWW[[#This Row],[Location Type 1]]="Temporary Location",WWWW[[#This Row],[Total PoP ]]/50,(WWWW[[#This Row],[Total PoP ]]/6))),0)</f>
        <v>95</v>
      </c>
      <c r="CR174" s="558">
        <f>IF(WWWW[[#This Row],[Total required Latrines]]-(WWWW[[#This Row],['#_Constructed latrines_by_WASHAgencies]]+WWWW[[#This Row],['#_Non Cluster partner latrines]])&lt;0,0,WWWW[[#This Row],[Total required Latrines]]-(WWWW[[#This Row],['#_Constructed latrines_by_WASHAgencies]]+WWWW[[#This Row],['#_Non Cluster partner latrines]]))</f>
        <v>95</v>
      </c>
      <c r="CS174" s="78">
        <f>1-WWWW[[#This Row],[% people access to functioning Latrine]]</f>
        <v>1</v>
      </c>
      <c r="CT174" s="560">
        <f>IF(OR(WWWW[[#This Row],['#_Non-functional latrines]]="",WWWW[[#This Row],['#_Non-functional latrines]]=0),0,WWWW[[#This Row],['#_Non-functional latrines]]/(WWWW[[#This Row],['#_Constructed latrines_by_WASHAgencies]]+WWWW[[#This Row],['#_Non Cluster partner latrines]]))</f>
        <v>0</v>
      </c>
      <c r="CU174" s="556">
        <f>IF(500*(WWWW[[#This Row],['#_male hygiene promoters]]+WWWW[[#This Row],['#_female hygiene promoters]])&gt;WWWW[[#This Row],[Total PoP ]],WWWW[[#This Row],[Total PoP ]],500*(WWWW[[#This Row],['#_male hygiene promoters]]+WWWW[[#This Row],['#_female hygiene promoters]]))</f>
        <v>570</v>
      </c>
      <c r="CV17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4" s="558">
        <f>IF(WWWW[[#This Row],['# People with access to soap]]&gt;WWWW[[#This Row],['# People with access to Sanity Pads]],WWWW[[#This Row],['# People with access to soap]],WWWW[[#This Row],['# People with access to Sanity Pads]])</f>
        <v>0</v>
      </c>
      <c r="CY174" s="558">
        <f>IF(WWWW[[#This Row],['# people reached by regular dedicated hygiene promotion_5]]&gt;WWWW[[#This Row],['# People received regular supply of hygiene items_6]],WWWW[[#This Row],['# people reached by regular dedicated hygiene promotion_5]],WWWW[[#This Row],['# People received regular supply of hygiene items_6]])</f>
        <v>570</v>
      </c>
      <c r="CZ174" s="561">
        <f>IF(WWWW[[#This Row],[HRP3]]/WWWW[[#This Row],[Total PoP ]]&gt;100%,100%,WWWW[[#This Row],[HRP3]]/WWWW[[#This Row],[Total PoP ]])</f>
        <v>1</v>
      </c>
      <c r="DA174" s="560">
        <f>1-WWWW[[#This Row],[Hygiene Coverage%]]</f>
        <v>0</v>
      </c>
      <c r="DB174" s="559">
        <f>WWWW[[#This Row],['# people reached by regular dedicated hygiene promotion_5]]/WWWW[[#This Row],[Total PoP ]]</f>
        <v>1</v>
      </c>
      <c r="DC174" s="559">
        <f>IF(WWWW[[#This Row],['#_households that received standard amount of soap for this quarter]]/WWWW[[#This Row],[Total HH]]&gt;1,1,WWWW[[#This Row],['#_households that received standard amount of soap for this quarter]]/WWWW[[#This Row],[Total HH]])</f>
        <v>0</v>
      </c>
      <c r="DD174" s="559">
        <f>IF(WWWW[[#This Row],['#_households that received standard amount of sanitary pads for this quarter]]/WWWW[[#This Row],[Total HH]]&gt;1,1,WWWW[[#This Row],['#_households that received standard amount of sanitary pads for this quarter]]/WWWW[[#This Row],[Total HH]])</f>
        <v>0</v>
      </c>
      <c r="DE174" s="558">
        <f>WWWW[[#This Row],['#_Constructed/Existing hand washing stations]]-WWWW[[#This Row],['#_Non-Functional_hand_washing_stations]]</f>
        <v>0</v>
      </c>
      <c r="DF174" s="757">
        <f>IF(WWWW[[#This Row],['# Functional hand washing stations during reporting period]]*20&gt;WWWW[[#This Row],[Total HH]],WWWW[[#This Row],[Total HH]],WWWW[[#This Row],['# Functional hand washing stations during reporting period]]*20)</f>
        <v>0</v>
      </c>
      <c r="DG174" s="556">
        <f>IF(WWWW[[#This Row],[Is sufficient soap available for TLS? (Yes/No)]]="yes",WWWW[[#This Row],['#_Constructed/Existing hand washing stations at TLS]],0)</f>
        <v>0</v>
      </c>
      <c r="DH174" s="556">
        <f>IF(WWWW[[#This Row],['# Functional hand washing stations during reporting period]]*100&gt;WWWW[[#This Row],[Total PoP ]],WWWW[[#This Row],[Total PoP ]],WWWW[[#This Row],['# Functional hand washing stations during reporting period]]*100)</f>
        <v>0</v>
      </c>
      <c r="DI174" s="556" t="str">
        <f>IF(OR(WWWW[[#This Row],['#_students at TLS_CFS]]="",WWWW[[#This Row],['#_students at TLS_CFS]]=0),"No","Yes")</f>
        <v>No</v>
      </c>
      <c r="DJ174" s="554">
        <f>VLOOKUP(WWWW[[#This Row],[Site Name]],SiteDB6[[Site Name]:[CCCM Management]],6,FALSE)</f>
        <v>0</v>
      </c>
      <c r="DK174" s="554">
        <f>VLOOKUP(WWWW[[#This Row],[Site Name]],SiteDB6[[Site Name]:[CCCM Focal Agency]],7,FALSE)</f>
        <v>0</v>
      </c>
      <c r="DL174" s="554" t="str">
        <f>VLOOKUP(WWWW[[#This Row],[Site Name]],SiteDB6[[Site Name]:[Location Type 1]],9,FALSE)</f>
        <v>Village</v>
      </c>
      <c r="DM174" s="554" t="str">
        <f>VLOOKUP(WWWW[[#This Row],[Site Name]],SiteDB6[[Site Name]:[Type of Accommodation]],10,FALSE)</f>
        <v>Village</v>
      </c>
      <c r="DN174" s="554" t="str">
        <f>VLOOKUP(WWWW[[#This Row],[Site Name]],SiteDB6[[Site Name]:[Ethnic or GCA/NGCA]],11,FALSE)</f>
        <v>Muslim</v>
      </c>
      <c r="DO174" s="554">
        <f>VLOOKUP(WWWW[[#This Row],[Site Name]],SiteDB6[[Site Name]:[Lat]],12,FALSE)</f>
        <v>0</v>
      </c>
      <c r="DP174" s="554">
        <f>VLOOKUP(WWWW[[#This Row],[Site Name]],SiteDB6[[Site Name]:[Long]],13,FALSE)</f>
        <v>0</v>
      </c>
      <c r="DQ174" s="554">
        <f>VLOOKUP(WWWW[[#This Row],[Site Name]],SiteDB6[[Site Name]:[Pcode]],3,FALSE)</f>
        <v>198427</v>
      </c>
      <c r="DR174" s="563" t="str">
        <f t="shared" si="6"/>
        <v>Covered</v>
      </c>
      <c r="DS174" s="563"/>
    </row>
    <row r="175" spans="1:138">
      <c r="A175" s="552" t="s">
        <v>2518</v>
      </c>
      <c r="B175" s="552" t="s">
        <v>2795</v>
      </c>
      <c r="C175" s="555" t="s">
        <v>387</v>
      </c>
      <c r="D175" s="555" t="s">
        <v>2796</v>
      </c>
      <c r="E175" s="574" t="s">
        <v>3005</v>
      </c>
      <c r="F175" s="555" t="s">
        <v>337</v>
      </c>
      <c r="G175" s="574" t="str">
        <f>VLOOKUP(WWWW[[#This Row],[Site Name]],SiteDB6[[Site Name]:[Location Type]],8,FALSE)</f>
        <v>Village</v>
      </c>
      <c r="H175" s="555" t="s">
        <v>2804</v>
      </c>
      <c r="I175" s="557">
        <v>8</v>
      </c>
      <c r="J175" s="557">
        <v>42</v>
      </c>
      <c r="K175" s="564">
        <v>43480</v>
      </c>
      <c r="L175" s="565">
        <v>43723</v>
      </c>
      <c r="M175" s="557"/>
      <c r="N175" s="557"/>
      <c r="O175" s="557"/>
      <c r="P175" s="557"/>
      <c r="Q175" s="556"/>
      <c r="R175" s="557"/>
      <c r="S175" s="557"/>
      <c r="T175" s="557"/>
      <c r="U175" s="557"/>
      <c r="V175" s="557"/>
      <c r="W175" s="557"/>
      <c r="X175" s="557"/>
      <c r="Y175" s="557"/>
      <c r="Z175" s="557"/>
      <c r="AA175" s="557"/>
      <c r="AB175" s="557"/>
      <c r="AC175" s="557"/>
      <c r="AD175" s="557"/>
      <c r="AE175" s="557"/>
      <c r="AF175" s="557"/>
      <c r="AG175" s="557"/>
      <c r="AH175" s="557"/>
      <c r="AI175" s="557"/>
      <c r="AJ175" s="557"/>
      <c r="AK175" s="557"/>
      <c r="AL175" s="557"/>
      <c r="AM175" s="557"/>
      <c r="AN175" s="557"/>
      <c r="AO175" s="563"/>
      <c r="AP175" s="557"/>
      <c r="AQ175" s="557"/>
      <c r="AR175" s="559"/>
      <c r="AS175" s="557"/>
      <c r="AT175" s="557"/>
      <c r="AU175" s="557"/>
      <c r="AV175" s="557"/>
      <c r="AW175" s="557"/>
      <c r="AX175" s="554"/>
      <c r="AY175" s="563"/>
      <c r="AZ175" s="557"/>
      <c r="BA175" s="557"/>
      <c r="BB175" s="557"/>
      <c r="BC175" s="554"/>
      <c r="BD175" s="557"/>
      <c r="BE175" s="557"/>
      <c r="BF175" s="557"/>
      <c r="BG175" s="557"/>
      <c r="BH175" s="557"/>
      <c r="BI175" s="557">
        <v>8</v>
      </c>
      <c r="BJ175" s="557">
        <v>8</v>
      </c>
      <c r="BK175" s="557"/>
      <c r="BL175" s="557"/>
      <c r="BM175" s="554"/>
      <c r="BN175" s="558"/>
      <c r="BO175" s="559"/>
      <c r="BP175" s="554"/>
      <c r="BQ175" s="560" t="str">
        <f>IFERROR(WWWW[[#This Row],['#_Water sources treated]]/WWWW[[#This Row],['#_Water sources tested for contamination]],"no test")</f>
        <v>no test</v>
      </c>
      <c r="BR175" s="559" t="str">
        <f>IFERROR(WWWW[[#This Row],['#_Household received remediation action due to contamination]]/WWWW[[#This Row],['#_Household water samples tested for contamination]],"no test")</f>
        <v>no test</v>
      </c>
      <c r="BS175" s="558" t="str">
        <f>IF(AND(WWWW[[#This Row],[% of water sources treated]]="no test",WWWW[[#This Row],[% Household received corrective actions]]="no test"),"No Test","Tested")</f>
        <v>No Test</v>
      </c>
      <c r="BT175" s="558">
        <f>WWWW[[#This Row],['#_Constructed/existing protected hand dug well]]-WWWW[[#This Row],['#_Non-functional protected hand dug well]]</f>
        <v>0</v>
      </c>
      <c r="BU175" s="558">
        <f>(WWWW[[#This Row],['#_Constructed/Existing tube wells/boreholes/handpumps_WASH_agency]]+WWWW[[#This Row],['#_Non-Cluster partner water tube-wells/boreholes/handpumps]])-WWWW[[#This Row],['#_Non-functional tube wells/boreholes/handpumps]]</f>
        <v>0</v>
      </c>
      <c r="BV175" s="558">
        <f>WWWW[[#This Row],['#_Constructed/Existingwater storage tank with gravity fed reticulation system]]-WWWW[[#This Row],['#_Non-functional storage tank gravity fed reticulation system]]</f>
        <v>0</v>
      </c>
      <c r="BW175" s="558">
        <f>WWWW[[#This Row],['#_Water boating or water trucking]]</f>
        <v>0</v>
      </c>
      <c r="BX175" s="558">
        <f>WWWW[[#This Row],['#_Constructed/Existing water distribution system from river or natural spring]]</f>
        <v>0</v>
      </c>
      <c r="BY17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5" s="559">
        <f>IF(WWWW[[#This Row],[Location Type 1]]="Village",WWWW[[#This Row],[Access to safe drinking water for Village]],WWWW[[#This Row],[Access to safe drinking water for Camp]])</f>
        <v>0</v>
      </c>
      <c r="CB175" s="556">
        <f>WWWW[[#This Row],[%Equitable and continuous access to sufficient quantity of safe drinking water]]*WWWW[[#This Row],[Total PoP ]]</f>
        <v>0</v>
      </c>
      <c r="CC175" s="559">
        <f>IF((WWWW[[#This Row],['#_Constructed/Existing protected/fenced ponds]]*250)/WWWW[[#This Row],[Total PoP ]]&gt;1,1,(WWWW[[#This Row],['#_Constructed/Existing protected/fenced ponds]]*250)/WWWW[[#This Row],[Total PoP ]])</f>
        <v>0</v>
      </c>
      <c r="CD175" s="556">
        <f>WWWW[[#This Row],[% Access to unimproved water points]]*WWWW[[#This Row],[Total PoP ]]</f>
        <v>0</v>
      </c>
      <c r="CE17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5" s="556">
        <f>WWWW[[#This Row],[HRP1]]/500</f>
        <v>0</v>
      </c>
      <c r="CH175" s="561">
        <f>1-WWWW[[#This Row],[% Equitable and continuous access to sufficient quantity of domestic water]]</f>
        <v>1</v>
      </c>
      <c r="CI175" s="556">
        <f>WWWW[[#This Row],[%equitable and continuous access to sufficient quantity of safe drinking and domestic water''s GAP]]*WWWW[[#This Row],[Total PoP ]]</f>
        <v>42</v>
      </c>
      <c r="CJ175" s="558">
        <f>IF(WWWW[[#This Row],[Total required water points]]-WWWW[[#This Row],['#Water points coverage]]&lt;0,0,WWWW[[#This Row],[Total required water points]]-WWWW[[#This Row],['#Water points coverage]])</f>
        <v>1</v>
      </c>
      <c r="CK175" s="558">
        <f>ROUND(IF(WWWW[[#This Row],[Total PoP ]]&lt;500,1,WWWW[[#This Row],[Total PoP ]]/500),0)</f>
        <v>1</v>
      </c>
      <c r="CL175" s="558">
        <f>(WWWW[[#This Row],['#_Constructed latrines_by_WASHAgencies]]+WWWW[[#This Row],['#_Non Cluster partner latrines]])-WWWW[[#This Row],['#_Non-functional latrines]]</f>
        <v>0</v>
      </c>
      <c r="CM17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5" s="558" t="str">
        <f>IF(WWWW[[#This Row],[Location Type 1]]="Village","NA",IF(WWWW[[#This Row],['#_Constructed/Existing latrines in TLS]]*50&gt;WWWW[[#This Row],['#_students at TLS_CFS]],WWWW[[#This Row],['#_students at TLS_CFS]],(WWWW[[#This Row],['#_Constructed/Existing latrines in TLS]]*50)))</f>
        <v>NA</v>
      </c>
      <c r="CQ175" s="558">
        <f>ROUND(IF(WWWW[[#This Row],[Location Type 1]]="camp",WWWW[[#This Row],[Total PoP ]]/20,IF(WWWW[[#This Row],[Location Type 1]]="Temporary Location",WWWW[[#This Row],[Total PoP ]]/50,(WWWW[[#This Row],[Total PoP ]]/6))),0)</f>
        <v>7</v>
      </c>
      <c r="CR175" s="558">
        <f>IF(WWWW[[#This Row],[Total required Latrines]]-(WWWW[[#This Row],['#_Constructed latrines_by_WASHAgencies]]+WWWW[[#This Row],['#_Non Cluster partner latrines]])&lt;0,0,WWWW[[#This Row],[Total required Latrines]]-(WWWW[[#This Row],['#_Constructed latrines_by_WASHAgencies]]+WWWW[[#This Row],['#_Non Cluster partner latrines]]))</f>
        <v>7</v>
      </c>
      <c r="CS175" s="78">
        <f>1-WWWW[[#This Row],[% people access to functioning Latrine]]</f>
        <v>1</v>
      </c>
      <c r="CT175" s="560">
        <f>IF(OR(WWWW[[#This Row],['#_Non-functional latrines]]="",WWWW[[#This Row],['#_Non-functional latrines]]=0),0,WWWW[[#This Row],['#_Non-functional latrines]]/(WWWW[[#This Row],['#_Constructed latrines_by_WASHAgencies]]+WWWW[[#This Row],['#_Non Cluster partner latrines]]))</f>
        <v>0</v>
      </c>
      <c r="CU175" s="556">
        <f>IF(500*(WWWW[[#This Row],['#_male hygiene promoters]]+WWWW[[#This Row],['#_female hygiene promoters]])&gt;WWWW[[#This Row],[Total PoP ]],WWWW[[#This Row],[Total PoP ]],500*(WWWW[[#This Row],['#_male hygiene promoters]]+WWWW[[#This Row],['#_female hygiene promoters]]))</f>
        <v>42</v>
      </c>
      <c r="CV17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5" s="558">
        <f>IF(WWWW[[#This Row],['# People with access to soap]]&gt;WWWW[[#This Row],['# People with access to Sanity Pads]],WWWW[[#This Row],['# People with access to soap]],WWWW[[#This Row],['# People with access to Sanity Pads]])</f>
        <v>0</v>
      </c>
      <c r="CY175" s="558">
        <f>IF(WWWW[[#This Row],['# people reached by regular dedicated hygiene promotion_5]]&gt;WWWW[[#This Row],['# People received regular supply of hygiene items_6]],WWWW[[#This Row],['# people reached by regular dedicated hygiene promotion_5]],WWWW[[#This Row],['# People received regular supply of hygiene items_6]])</f>
        <v>42</v>
      </c>
      <c r="CZ175" s="561">
        <f>IF(WWWW[[#This Row],[HRP3]]/WWWW[[#This Row],[Total PoP ]]&gt;100%,100%,WWWW[[#This Row],[HRP3]]/WWWW[[#This Row],[Total PoP ]])</f>
        <v>1</v>
      </c>
      <c r="DA175" s="560">
        <f>1-WWWW[[#This Row],[Hygiene Coverage%]]</f>
        <v>0</v>
      </c>
      <c r="DB175" s="559">
        <f>WWWW[[#This Row],['# people reached by regular dedicated hygiene promotion_5]]/WWWW[[#This Row],[Total PoP ]]</f>
        <v>1</v>
      </c>
      <c r="DC175" s="559">
        <f>IF(WWWW[[#This Row],['#_households that received standard amount of soap for this quarter]]/WWWW[[#This Row],[Total HH]]&gt;1,1,WWWW[[#This Row],['#_households that received standard amount of soap for this quarter]]/WWWW[[#This Row],[Total HH]])</f>
        <v>0</v>
      </c>
      <c r="DD175" s="559">
        <f>IF(WWWW[[#This Row],['#_households that received standard amount of sanitary pads for this quarter]]/WWWW[[#This Row],[Total HH]]&gt;1,1,WWWW[[#This Row],['#_households that received standard amount of sanitary pads for this quarter]]/WWWW[[#This Row],[Total HH]])</f>
        <v>0</v>
      </c>
      <c r="DE175" s="558">
        <f>WWWW[[#This Row],['#_Constructed/Existing hand washing stations]]-WWWW[[#This Row],['#_Non-Functional_hand_washing_stations]]</f>
        <v>0</v>
      </c>
      <c r="DF175" s="757">
        <f>IF(WWWW[[#This Row],['# Functional hand washing stations during reporting period]]*20&gt;WWWW[[#This Row],[Total HH]],WWWW[[#This Row],[Total HH]],WWWW[[#This Row],['# Functional hand washing stations during reporting period]]*20)</f>
        <v>0</v>
      </c>
      <c r="DG175" s="556">
        <f>IF(WWWW[[#This Row],[Is sufficient soap available for TLS? (Yes/No)]]="yes",WWWW[[#This Row],['#_Constructed/Existing hand washing stations at TLS]],0)</f>
        <v>0</v>
      </c>
      <c r="DH175" s="556">
        <f>IF(WWWW[[#This Row],['# Functional hand washing stations during reporting period]]*100&gt;WWWW[[#This Row],[Total PoP ]],WWWW[[#This Row],[Total PoP ]],WWWW[[#This Row],['# Functional hand washing stations during reporting period]]*100)</f>
        <v>0</v>
      </c>
      <c r="DI175" s="556" t="str">
        <f>IF(OR(WWWW[[#This Row],['#_students at TLS_CFS]]="",WWWW[[#This Row],['#_students at TLS_CFS]]=0),"No","Yes")</f>
        <v>No</v>
      </c>
      <c r="DJ175" s="554">
        <f>VLOOKUP(WWWW[[#This Row],[Site Name]],SiteDB6[[Site Name]:[CCCM Management]],6,FALSE)</f>
        <v>0</v>
      </c>
      <c r="DK175" s="554">
        <f>VLOOKUP(WWWW[[#This Row],[Site Name]],SiteDB6[[Site Name]:[CCCM Focal Agency]],7,FALSE)</f>
        <v>0</v>
      </c>
      <c r="DL175" s="554" t="str">
        <f>VLOOKUP(WWWW[[#This Row],[Site Name]],SiteDB6[[Site Name]:[Location Type 1]],9,FALSE)</f>
        <v>Village</v>
      </c>
      <c r="DM175" s="554" t="str">
        <f>VLOOKUP(WWWW[[#This Row],[Site Name]],SiteDB6[[Site Name]:[Type of Accommodation]],10,FALSE)</f>
        <v>Village</v>
      </c>
      <c r="DN175" s="554" t="str">
        <f>VLOOKUP(WWWW[[#This Row],[Site Name]],SiteDB6[[Site Name]:[Ethnic or GCA/NGCA]],11,FALSE)</f>
        <v>Rakhine</v>
      </c>
      <c r="DO175" s="554">
        <f>VLOOKUP(WWWW[[#This Row],[Site Name]],SiteDB6[[Site Name]:[Lat]],12,FALSE)</f>
        <v>0</v>
      </c>
      <c r="DP175" s="554">
        <f>VLOOKUP(WWWW[[#This Row],[Site Name]],SiteDB6[[Site Name]:[Long]],13,FALSE)</f>
        <v>0</v>
      </c>
      <c r="DQ175" s="554">
        <f>VLOOKUP(WWWW[[#This Row],[Site Name]],SiteDB6[[Site Name]:[Pcode]],3,FALSE)</f>
        <v>198426</v>
      </c>
      <c r="DR175" s="563" t="str">
        <f t="shared" si="6"/>
        <v>Covered</v>
      </c>
      <c r="DS175" s="563"/>
    </row>
    <row r="176" spans="1:138">
      <c r="A176" s="552" t="s">
        <v>2518</v>
      </c>
      <c r="B176" s="552" t="s">
        <v>2795</v>
      </c>
      <c r="C176" s="555" t="s">
        <v>387</v>
      </c>
      <c r="D176" s="555" t="s">
        <v>2796</v>
      </c>
      <c r="E176" s="574" t="s">
        <v>3005</v>
      </c>
      <c r="F176" s="555" t="s">
        <v>337</v>
      </c>
      <c r="G176" s="574" t="str">
        <f>VLOOKUP(WWWW[[#This Row],[Site Name]],SiteDB6[[Site Name]:[Location Type]],8,FALSE)</f>
        <v>Village</v>
      </c>
      <c r="H176" s="555" t="s">
        <v>665</v>
      </c>
      <c r="I176" s="557">
        <v>96</v>
      </c>
      <c r="J176" s="557">
        <v>533</v>
      </c>
      <c r="K176" s="564">
        <v>43480</v>
      </c>
      <c r="L176" s="565">
        <v>43723</v>
      </c>
      <c r="M176" s="557"/>
      <c r="N176" s="557"/>
      <c r="O176" s="557"/>
      <c r="P176" s="557"/>
      <c r="Q176" s="556"/>
      <c r="R176" s="557"/>
      <c r="S176" s="557"/>
      <c r="T176" s="557"/>
      <c r="U176" s="557"/>
      <c r="V176" s="557"/>
      <c r="W176" s="557"/>
      <c r="X176" s="557"/>
      <c r="Y176" s="557"/>
      <c r="Z176" s="557"/>
      <c r="AA176" s="557"/>
      <c r="AB176" s="557"/>
      <c r="AC176" s="557"/>
      <c r="AD176" s="557"/>
      <c r="AE176" s="557"/>
      <c r="AF176" s="557"/>
      <c r="AG176" s="557"/>
      <c r="AH176" s="557"/>
      <c r="AI176" s="557"/>
      <c r="AJ176" s="557"/>
      <c r="AK176" s="557"/>
      <c r="AL176" s="557"/>
      <c r="AM176" s="557"/>
      <c r="AN176" s="557"/>
      <c r="AO176" s="563"/>
      <c r="AP176" s="557"/>
      <c r="AQ176" s="557"/>
      <c r="AR176" s="559"/>
      <c r="AS176" s="557"/>
      <c r="AT176" s="557"/>
      <c r="AU176" s="557"/>
      <c r="AV176" s="557"/>
      <c r="AW176" s="557"/>
      <c r="AX176" s="554"/>
      <c r="AY176" s="563"/>
      <c r="AZ176" s="557"/>
      <c r="BA176" s="557"/>
      <c r="BB176" s="557"/>
      <c r="BC176" s="554"/>
      <c r="BD176" s="557"/>
      <c r="BE176" s="557"/>
      <c r="BF176" s="557"/>
      <c r="BG176" s="557"/>
      <c r="BH176" s="557"/>
      <c r="BI176" s="557">
        <v>96</v>
      </c>
      <c r="BJ176" s="557">
        <v>96</v>
      </c>
      <c r="BK176" s="557"/>
      <c r="BL176" s="557"/>
      <c r="BM176" s="554"/>
      <c r="BN176" s="558"/>
      <c r="BO176" s="559"/>
      <c r="BP176" s="554"/>
      <c r="BQ176" s="560" t="str">
        <f>IFERROR(WWWW[[#This Row],['#_Water sources treated]]/WWWW[[#This Row],['#_Water sources tested for contamination]],"no test")</f>
        <v>no test</v>
      </c>
      <c r="BR176" s="559" t="str">
        <f>IFERROR(WWWW[[#This Row],['#_Household received remediation action due to contamination]]/WWWW[[#This Row],['#_Household water samples tested for contamination]],"no test")</f>
        <v>no test</v>
      </c>
      <c r="BS176" s="558" t="str">
        <f>IF(AND(WWWW[[#This Row],[% of water sources treated]]="no test",WWWW[[#This Row],[% Household received corrective actions]]="no test"),"No Test","Tested")</f>
        <v>No Test</v>
      </c>
      <c r="BT176" s="558">
        <f>WWWW[[#This Row],['#_Constructed/existing protected hand dug well]]-WWWW[[#This Row],['#_Non-functional protected hand dug well]]</f>
        <v>0</v>
      </c>
      <c r="BU176" s="558">
        <f>(WWWW[[#This Row],['#_Constructed/Existing tube wells/boreholes/handpumps_WASH_agency]]+WWWW[[#This Row],['#_Non-Cluster partner water tube-wells/boreholes/handpumps]])-WWWW[[#This Row],['#_Non-functional tube wells/boreholes/handpumps]]</f>
        <v>0</v>
      </c>
      <c r="BV176" s="558">
        <f>WWWW[[#This Row],['#_Constructed/Existingwater storage tank with gravity fed reticulation system]]-WWWW[[#This Row],['#_Non-functional storage tank gravity fed reticulation system]]</f>
        <v>0</v>
      </c>
      <c r="BW176" s="558">
        <f>WWWW[[#This Row],['#_Water boating or water trucking]]</f>
        <v>0</v>
      </c>
      <c r="BX176" s="558">
        <f>WWWW[[#This Row],['#_Constructed/Existing water distribution system from river or natural spring]]</f>
        <v>0</v>
      </c>
      <c r="BY17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6" s="559">
        <f>IF(WWWW[[#This Row],[Location Type 1]]="Village",WWWW[[#This Row],[Access to safe drinking water for Village]],WWWW[[#This Row],[Access to safe drinking water for Camp]])</f>
        <v>0</v>
      </c>
      <c r="CB176" s="556">
        <f>WWWW[[#This Row],[%Equitable and continuous access to sufficient quantity of safe drinking water]]*WWWW[[#This Row],[Total PoP ]]</f>
        <v>0</v>
      </c>
      <c r="CC176" s="559">
        <f>IF((WWWW[[#This Row],['#_Constructed/Existing protected/fenced ponds]]*250)/WWWW[[#This Row],[Total PoP ]]&gt;1,1,(WWWW[[#This Row],['#_Constructed/Existing protected/fenced ponds]]*250)/WWWW[[#This Row],[Total PoP ]])</f>
        <v>0</v>
      </c>
      <c r="CD176" s="556">
        <f>WWWW[[#This Row],[% Access to unimproved water points]]*WWWW[[#This Row],[Total PoP ]]</f>
        <v>0</v>
      </c>
      <c r="CE17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6" s="556">
        <f>WWWW[[#This Row],[HRP1]]/500</f>
        <v>0</v>
      </c>
      <c r="CH176" s="561">
        <f>1-WWWW[[#This Row],[% Equitable and continuous access to sufficient quantity of domestic water]]</f>
        <v>1</v>
      </c>
      <c r="CI176" s="556">
        <f>WWWW[[#This Row],[%equitable and continuous access to sufficient quantity of safe drinking and domestic water''s GAP]]*WWWW[[#This Row],[Total PoP ]]</f>
        <v>533</v>
      </c>
      <c r="CJ176" s="558">
        <f>IF(WWWW[[#This Row],[Total required water points]]-WWWW[[#This Row],['#Water points coverage]]&lt;0,0,WWWW[[#This Row],[Total required water points]]-WWWW[[#This Row],['#Water points coverage]])</f>
        <v>1</v>
      </c>
      <c r="CK176" s="558">
        <f>ROUND(IF(WWWW[[#This Row],[Total PoP ]]&lt;500,1,WWWW[[#This Row],[Total PoP ]]/500),0)</f>
        <v>1</v>
      </c>
      <c r="CL176" s="558">
        <f>(WWWW[[#This Row],['#_Constructed latrines_by_WASHAgencies]]+WWWW[[#This Row],['#_Non Cluster partner latrines]])-WWWW[[#This Row],['#_Non-functional latrines]]</f>
        <v>0</v>
      </c>
      <c r="CM17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6" s="558" t="str">
        <f>IF(WWWW[[#This Row],[Location Type 1]]="Village","NA",IF(WWWW[[#This Row],['#_Constructed/Existing latrines in TLS]]*50&gt;WWWW[[#This Row],['#_students at TLS_CFS]],WWWW[[#This Row],['#_students at TLS_CFS]],(WWWW[[#This Row],['#_Constructed/Existing latrines in TLS]]*50)))</f>
        <v>NA</v>
      </c>
      <c r="CQ176" s="558">
        <f>ROUND(IF(WWWW[[#This Row],[Location Type 1]]="camp",WWWW[[#This Row],[Total PoP ]]/20,IF(WWWW[[#This Row],[Location Type 1]]="Temporary Location",WWWW[[#This Row],[Total PoP ]]/50,(WWWW[[#This Row],[Total PoP ]]/6))),0)</f>
        <v>89</v>
      </c>
      <c r="CR176" s="558">
        <f>IF(WWWW[[#This Row],[Total required Latrines]]-(WWWW[[#This Row],['#_Constructed latrines_by_WASHAgencies]]+WWWW[[#This Row],['#_Non Cluster partner latrines]])&lt;0,0,WWWW[[#This Row],[Total required Latrines]]-(WWWW[[#This Row],['#_Constructed latrines_by_WASHAgencies]]+WWWW[[#This Row],['#_Non Cluster partner latrines]]))</f>
        <v>89</v>
      </c>
      <c r="CS176" s="78">
        <f>1-WWWW[[#This Row],[% people access to functioning Latrine]]</f>
        <v>1</v>
      </c>
      <c r="CT176" s="560">
        <f>IF(OR(WWWW[[#This Row],['#_Non-functional latrines]]="",WWWW[[#This Row],['#_Non-functional latrines]]=0),0,WWWW[[#This Row],['#_Non-functional latrines]]/(WWWW[[#This Row],['#_Constructed latrines_by_WASHAgencies]]+WWWW[[#This Row],['#_Non Cluster partner latrines]]))</f>
        <v>0</v>
      </c>
      <c r="CU176" s="556">
        <f>IF(500*(WWWW[[#This Row],['#_male hygiene promoters]]+WWWW[[#This Row],['#_female hygiene promoters]])&gt;WWWW[[#This Row],[Total PoP ]],WWWW[[#This Row],[Total PoP ]],500*(WWWW[[#This Row],['#_male hygiene promoters]]+WWWW[[#This Row],['#_female hygiene promoters]]))</f>
        <v>533</v>
      </c>
      <c r="CV17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6" s="558">
        <f>IF(WWWW[[#This Row],['# People with access to soap]]&gt;WWWW[[#This Row],['# People with access to Sanity Pads]],WWWW[[#This Row],['# People with access to soap]],WWWW[[#This Row],['# People with access to Sanity Pads]])</f>
        <v>0</v>
      </c>
      <c r="CY176" s="558">
        <f>IF(WWWW[[#This Row],['# people reached by regular dedicated hygiene promotion_5]]&gt;WWWW[[#This Row],['# People received regular supply of hygiene items_6]],WWWW[[#This Row],['# people reached by regular dedicated hygiene promotion_5]],WWWW[[#This Row],['# People received regular supply of hygiene items_6]])</f>
        <v>533</v>
      </c>
      <c r="CZ176" s="561">
        <f>IF(WWWW[[#This Row],[HRP3]]/WWWW[[#This Row],[Total PoP ]]&gt;100%,100%,WWWW[[#This Row],[HRP3]]/WWWW[[#This Row],[Total PoP ]])</f>
        <v>1</v>
      </c>
      <c r="DA176" s="560">
        <f>1-WWWW[[#This Row],[Hygiene Coverage%]]</f>
        <v>0</v>
      </c>
      <c r="DB176" s="559">
        <f>WWWW[[#This Row],['# people reached by regular dedicated hygiene promotion_5]]/WWWW[[#This Row],[Total PoP ]]</f>
        <v>1</v>
      </c>
      <c r="DC176" s="559">
        <f>IF(WWWW[[#This Row],['#_households that received standard amount of soap for this quarter]]/WWWW[[#This Row],[Total HH]]&gt;1,1,WWWW[[#This Row],['#_households that received standard amount of soap for this quarter]]/WWWW[[#This Row],[Total HH]])</f>
        <v>0</v>
      </c>
      <c r="DD176" s="559">
        <f>IF(WWWW[[#This Row],['#_households that received standard amount of sanitary pads for this quarter]]/WWWW[[#This Row],[Total HH]]&gt;1,1,WWWW[[#This Row],['#_households that received standard amount of sanitary pads for this quarter]]/WWWW[[#This Row],[Total HH]])</f>
        <v>0</v>
      </c>
      <c r="DE176" s="558">
        <f>WWWW[[#This Row],['#_Constructed/Existing hand washing stations]]-WWWW[[#This Row],['#_Non-Functional_hand_washing_stations]]</f>
        <v>0</v>
      </c>
      <c r="DF176" s="757">
        <f>IF(WWWW[[#This Row],['# Functional hand washing stations during reporting period]]*20&gt;WWWW[[#This Row],[Total HH]],WWWW[[#This Row],[Total HH]],WWWW[[#This Row],['# Functional hand washing stations during reporting period]]*20)</f>
        <v>0</v>
      </c>
      <c r="DG176" s="556">
        <f>IF(WWWW[[#This Row],[Is sufficient soap available for TLS? (Yes/No)]]="yes",WWWW[[#This Row],['#_Constructed/Existing hand washing stations at TLS]],0)</f>
        <v>0</v>
      </c>
      <c r="DH176" s="556">
        <f>IF(WWWW[[#This Row],['# Functional hand washing stations during reporting period]]*100&gt;WWWW[[#This Row],[Total PoP ]],WWWW[[#This Row],[Total PoP ]],WWWW[[#This Row],['# Functional hand washing stations during reporting period]]*100)</f>
        <v>0</v>
      </c>
      <c r="DI176" s="556" t="str">
        <f>IF(OR(WWWW[[#This Row],['#_students at TLS_CFS]]="",WWWW[[#This Row],['#_students at TLS_CFS]]=0),"No","Yes")</f>
        <v>No</v>
      </c>
      <c r="DJ176" s="554">
        <f>VLOOKUP(WWWW[[#This Row],[Site Name]],SiteDB6[[Site Name]:[CCCM Management]],6,FALSE)</f>
        <v>0</v>
      </c>
      <c r="DK176" s="554">
        <f>VLOOKUP(WWWW[[#This Row],[Site Name]],SiteDB6[[Site Name]:[CCCM Focal Agency]],7,FALSE)</f>
        <v>0</v>
      </c>
      <c r="DL176" s="554" t="str">
        <f>VLOOKUP(WWWW[[#This Row],[Site Name]],SiteDB6[[Site Name]:[Location Type 1]],9,FALSE)</f>
        <v>Village</v>
      </c>
      <c r="DM176" s="554" t="str">
        <f>VLOOKUP(WWWW[[#This Row],[Site Name]],SiteDB6[[Site Name]:[Type of Accommodation]],10,FALSE)</f>
        <v>Village</v>
      </c>
      <c r="DN176" s="554" t="str">
        <f>VLOOKUP(WWWW[[#This Row],[Site Name]],SiteDB6[[Site Name]:[Ethnic or GCA/NGCA]],11,FALSE)</f>
        <v>Muslim</v>
      </c>
      <c r="DO176" s="554">
        <f>VLOOKUP(WWWW[[#This Row],[Site Name]],SiteDB6[[Site Name]:[Lat]],12,FALSE)</f>
        <v>0</v>
      </c>
      <c r="DP176" s="554">
        <f>VLOOKUP(WWWW[[#This Row],[Site Name]],SiteDB6[[Site Name]:[Long]],13,FALSE)</f>
        <v>0</v>
      </c>
      <c r="DQ176" s="554">
        <f>VLOOKUP(WWWW[[#This Row],[Site Name]],SiteDB6[[Site Name]:[Pcode]],3,FALSE)</f>
        <v>198435</v>
      </c>
      <c r="DR176" s="563" t="str">
        <f t="shared" si="6"/>
        <v>Covered</v>
      </c>
      <c r="DS176" s="563"/>
    </row>
    <row r="177" spans="1:123">
      <c r="A177" s="552" t="s">
        <v>2518</v>
      </c>
      <c r="B177" s="552" t="s">
        <v>2795</v>
      </c>
      <c r="C177" s="555" t="s">
        <v>387</v>
      </c>
      <c r="D177" s="555" t="s">
        <v>2796</v>
      </c>
      <c r="E177" s="574" t="s">
        <v>3005</v>
      </c>
      <c r="F177" s="555" t="s">
        <v>337</v>
      </c>
      <c r="G177" s="574" t="str">
        <f>VLOOKUP(WWWW[[#This Row],[Site Name]],SiteDB6[[Site Name]:[Location Type]],8,FALSE)</f>
        <v>Village</v>
      </c>
      <c r="H177" s="555" t="s">
        <v>2806</v>
      </c>
      <c r="I177" s="557">
        <v>217</v>
      </c>
      <c r="J177" s="557">
        <v>1155</v>
      </c>
      <c r="K177" s="564">
        <v>43480</v>
      </c>
      <c r="L177" s="565">
        <v>43723</v>
      </c>
      <c r="M177" s="557"/>
      <c r="N177" s="557"/>
      <c r="O177" s="557"/>
      <c r="P177" s="557"/>
      <c r="Q177" s="556"/>
      <c r="R177" s="557"/>
      <c r="S177" s="557"/>
      <c r="T177" s="557"/>
      <c r="U177" s="557"/>
      <c r="V177" s="557"/>
      <c r="W177" s="557"/>
      <c r="X177" s="557"/>
      <c r="Y177" s="557"/>
      <c r="Z177" s="557"/>
      <c r="AA177" s="557"/>
      <c r="AB177" s="557"/>
      <c r="AC177" s="557"/>
      <c r="AD177" s="557"/>
      <c r="AE177" s="557"/>
      <c r="AF177" s="557"/>
      <c r="AG177" s="557"/>
      <c r="AH177" s="557"/>
      <c r="AI177" s="557"/>
      <c r="AJ177" s="557"/>
      <c r="AK177" s="557"/>
      <c r="AL177" s="557"/>
      <c r="AM177" s="557"/>
      <c r="AN177" s="557"/>
      <c r="AO177" s="563"/>
      <c r="AP177" s="557"/>
      <c r="AQ177" s="557"/>
      <c r="AR177" s="559"/>
      <c r="AS177" s="557"/>
      <c r="AT177" s="557"/>
      <c r="AU177" s="557"/>
      <c r="AV177" s="557"/>
      <c r="AW177" s="557"/>
      <c r="AX177" s="554"/>
      <c r="AY177" s="563"/>
      <c r="AZ177" s="557"/>
      <c r="BA177" s="557"/>
      <c r="BB177" s="557"/>
      <c r="BC177" s="554"/>
      <c r="BD177" s="557"/>
      <c r="BE177" s="557"/>
      <c r="BF177" s="557"/>
      <c r="BG177" s="557"/>
      <c r="BH177" s="557"/>
      <c r="BI177" s="557">
        <v>217</v>
      </c>
      <c r="BJ177" s="557">
        <v>217</v>
      </c>
      <c r="BK177" s="557"/>
      <c r="BL177" s="557"/>
      <c r="BM177" s="554"/>
      <c r="BN177" s="558"/>
      <c r="BO177" s="559"/>
      <c r="BP177" s="554"/>
      <c r="BQ177" s="560" t="str">
        <f>IFERROR(WWWW[[#This Row],['#_Water sources treated]]/WWWW[[#This Row],['#_Water sources tested for contamination]],"no test")</f>
        <v>no test</v>
      </c>
      <c r="BR177" s="559" t="str">
        <f>IFERROR(WWWW[[#This Row],['#_Household received remediation action due to contamination]]/WWWW[[#This Row],['#_Household water samples tested for contamination]],"no test")</f>
        <v>no test</v>
      </c>
      <c r="BS177" s="558" t="str">
        <f>IF(AND(WWWW[[#This Row],[% of water sources treated]]="no test",WWWW[[#This Row],[% Household received corrective actions]]="no test"),"No Test","Tested")</f>
        <v>No Test</v>
      </c>
      <c r="BT177" s="558">
        <f>WWWW[[#This Row],['#_Constructed/existing protected hand dug well]]-WWWW[[#This Row],['#_Non-functional protected hand dug well]]</f>
        <v>0</v>
      </c>
      <c r="BU177" s="558">
        <f>(WWWW[[#This Row],['#_Constructed/Existing tube wells/boreholes/handpumps_WASH_agency]]+WWWW[[#This Row],['#_Non-Cluster partner water tube-wells/boreholes/handpumps]])-WWWW[[#This Row],['#_Non-functional tube wells/boreholes/handpumps]]</f>
        <v>0</v>
      </c>
      <c r="BV177" s="558">
        <f>WWWW[[#This Row],['#_Constructed/Existingwater storage tank with gravity fed reticulation system]]-WWWW[[#This Row],['#_Non-functional storage tank gravity fed reticulation system]]</f>
        <v>0</v>
      </c>
      <c r="BW177" s="558">
        <f>WWWW[[#This Row],['#_Water boating or water trucking]]</f>
        <v>0</v>
      </c>
      <c r="BX177" s="558">
        <f>WWWW[[#This Row],['#_Constructed/Existing water distribution system from river or natural spring]]</f>
        <v>0</v>
      </c>
      <c r="BY17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7" s="559">
        <f>IF(WWWW[[#This Row],[Location Type 1]]="Village",WWWW[[#This Row],[Access to safe drinking water for Village]],WWWW[[#This Row],[Access to safe drinking water for Camp]])</f>
        <v>0</v>
      </c>
      <c r="CB177" s="556">
        <f>WWWW[[#This Row],[%Equitable and continuous access to sufficient quantity of safe drinking water]]*WWWW[[#This Row],[Total PoP ]]</f>
        <v>0</v>
      </c>
      <c r="CC177" s="559">
        <f>IF((WWWW[[#This Row],['#_Constructed/Existing protected/fenced ponds]]*250)/WWWW[[#This Row],[Total PoP ]]&gt;1,1,(WWWW[[#This Row],['#_Constructed/Existing protected/fenced ponds]]*250)/WWWW[[#This Row],[Total PoP ]])</f>
        <v>0</v>
      </c>
      <c r="CD177" s="556">
        <f>WWWW[[#This Row],[% Access to unimproved water points]]*WWWW[[#This Row],[Total PoP ]]</f>
        <v>0</v>
      </c>
      <c r="CE17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7" s="556">
        <f>WWWW[[#This Row],[HRP1]]/500</f>
        <v>0</v>
      </c>
      <c r="CH177" s="561">
        <f>1-WWWW[[#This Row],[% Equitable and continuous access to sufficient quantity of domestic water]]</f>
        <v>1</v>
      </c>
      <c r="CI177" s="556">
        <f>WWWW[[#This Row],[%equitable and continuous access to sufficient quantity of safe drinking and domestic water''s GAP]]*WWWW[[#This Row],[Total PoP ]]</f>
        <v>1155</v>
      </c>
      <c r="CJ177" s="558">
        <f>IF(WWWW[[#This Row],[Total required water points]]-WWWW[[#This Row],['#Water points coverage]]&lt;0,0,WWWW[[#This Row],[Total required water points]]-WWWW[[#This Row],['#Water points coverage]])</f>
        <v>2</v>
      </c>
      <c r="CK177" s="558">
        <f>ROUND(IF(WWWW[[#This Row],[Total PoP ]]&lt;500,1,WWWW[[#This Row],[Total PoP ]]/500),0)</f>
        <v>2</v>
      </c>
      <c r="CL177" s="558">
        <f>(WWWW[[#This Row],['#_Constructed latrines_by_WASHAgencies]]+WWWW[[#This Row],['#_Non Cluster partner latrines]])-WWWW[[#This Row],['#_Non-functional latrines]]</f>
        <v>0</v>
      </c>
      <c r="CM17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7" s="558" t="str">
        <f>IF(WWWW[[#This Row],[Location Type 1]]="Village","NA",IF(WWWW[[#This Row],['#_Constructed/Existing latrines in TLS]]*50&gt;WWWW[[#This Row],['#_students at TLS_CFS]],WWWW[[#This Row],['#_students at TLS_CFS]],(WWWW[[#This Row],['#_Constructed/Existing latrines in TLS]]*50)))</f>
        <v>NA</v>
      </c>
      <c r="CQ177" s="558">
        <f>ROUND(IF(WWWW[[#This Row],[Location Type 1]]="camp",WWWW[[#This Row],[Total PoP ]]/20,IF(WWWW[[#This Row],[Location Type 1]]="Temporary Location",WWWW[[#This Row],[Total PoP ]]/50,(WWWW[[#This Row],[Total PoP ]]/6))),0)</f>
        <v>193</v>
      </c>
      <c r="CR177" s="558">
        <f>IF(WWWW[[#This Row],[Total required Latrines]]-(WWWW[[#This Row],['#_Constructed latrines_by_WASHAgencies]]+WWWW[[#This Row],['#_Non Cluster partner latrines]])&lt;0,0,WWWW[[#This Row],[Total required Latrines]]-(WWWW[[#This Row],['#_Constructed latrines_by_WASHAgencies]]+WWWW[[#This Row],['#_Non Cluster partner latrines]]))</f>
        <v>193</v>
      </c>
      <c r="CS177" s="78">
        <f>1-WWWW[[#This Row],[% people access to functioning Latrine]]</f>
        <v>1</v>
      </c>
      <c r="CT177" s="560">
        <f>IF(OR(WWWW[[#This Row],['#_Non-functional latrines]]="",WWWW[[#This Row],['#_Non-functional latrines]]=0),0,WWWW[[#This Row],['#_Non-functional latrines]]/(WWWW[[#This Row],['#_Constructed latrines_by_WASHAgencies]]+WWWW[[#This Row],['#_Non Cluster partner latrines]]))</f>
        <v>0</v>
      </c>
      <c r="CU177" s="556">
        <f>IF(500*(WWWW[[#This Row],['#_male hygiene promoters]]+WWWW[[#This Row],['#_female hygiene promoters]])&gt;WWWW[[#This Row],[Total PoP ]],WWWW[[#This Row],[Total PoP ]],500*(WWWW[[#This Row],['#_male hygiene promoters]]+WWWW[[#This Row],['#_female hygiene promoters]]))</f>
        <v>1155</v>
      </c>
      <c r="CV17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7" s="558">
        <f>IF(WWWW[[#This Row],['# People with access to soap]]&gt;WWWW[[#This Row],['# People with access to Sanity Pads]],WWWW[[#This Row],['# People with access to soap]],WWWW[[#This Row],['# People with access to Sanity Pads]])</f>
        <v>0</v>
      </c>
      <c r="CY177" s="558">
        <f>IF(WWWW[[#This Row],['# people reached by regular dedicated hygiene promotion_5]]&gt;WWWW[[#This Row],['# People received regular supply of hygiene items_6]],WWWW[[#This Row],['# people reached by regular dedicated hygiene promotion_5]],WWWW[[#This Row],['# People received regular supply of hygiene items_6]])</f>
        <v>1155</v>
      </c>
      <c r="CZ177" s="561">
        <f>IF(WWWW[[#This Row],[HRP3]]/WWWW[[#This Row],[Total PoP ]]&gt;100%,100%,WWWW[[#This Row],[HRP3]]/WWWW[[#This Row],[Total PoP ]])</f>
        <v>1</v>
      </c>
      <c r="DA177" s="560">
        <f>1-WWWW[[#This Row],[Hygiene Coverage%]]</f>
        <v>0</v>
      </c>
      <c r="DB177" s="559">
        <f>WWWW[[#This Row],['# people reached by regular dedicated hygiene promotion_5]]/WWWW[[#This Row],[Total PoP ]]</f>
        <v>1</v>
      </c>
      <c r="DC177" s="559">
        <f>IF(WWWW[[#This Row],['#_households that received standard amount of soap for this quarter]]/WWWW[[#This Row],[Total HH]]&gt;1,1,WWWW[[#This Row],['#_households that received standard amount of soap for this quarter]]/WWWW[[#This Row],[Total HH]])</f>
        <v>0</v>
      </c>
      <c r="DD177" s="559">
        <f>IF(WWWW[[#This Row],['#_households that received standard amount of sanitary pads for this quarter]]/WWWW[[#This Row],[Total HH]]&gt;1,1,WWWW[[#This Row],['#_households that received standard amount of sanitary pads for this quarter]]/WWWW[[#This Row],[Total HH]])</f>
        <v>0</v>
      </c>
      <c r="DE177" s="558">
        <f>WWWW[[#This Row],['#_Constructed/Existing hand washing stations]]-WWWW[[#This Row],['#_Non-Functional_hand_washing_stations]]</f>
        <v>0</v>
      </c>
      <c r="DF177" s="757">
        <f>IF(WWWW[[#This Row],['# Functional hand washing stations during reporting period]]*20&gt;WWWW[[#This Row],[Total HH]],WWWW[[#This Row],[Total HH]],WWWW[[#This Row],['# Functional hand washing stations during reporting period]]*20)</f>
        <v>0</v>
      </c>
      <c r="DG177" s="556">
        <f>IF(WWWW[[#This Row],[Is sufficient soap available for TLS? (Yes/No)]]="yes",WWWW[[#This Row],['#_Constructed/Existing hand washing stations at TLS]],0)</f>
        <v>0</v>
      </c>
      <c r="DH177" s="556">
        <f>IF(WWWW[[#This Row],['# Functional hand washing stations during reporting period]]*100&gt;WWWW[[#This Row],[Total PoP ]],WWWW[[#This Row],[Total PoP ]],WWWW[[#This Row],['# Functional hand washing stations during reporting period]]*100)</f>
        <v>0</v>
      </c>
      <c r="DI177" s="556" t="str">
        <f>IF(OR(WWWW[[#This Row],['#_students at TLS_CFS]]="",WWWW[[#This Row],['#_students at TLS_CFS]]=0),"No","Yes")</f>
        <v>No</v>
      </c>
      <c r="DJ177" s="554">
        <f>VLOOKUP(WWWW[[#This Row],[Site Name]],SiteDB6[[Site Name]:[CCCM Management]],6,FALSE)</f>
        <v>0</v>
      </c>
      <c r="DK177" s="554">
        <f>VLOOKUP(WWWW[[#This Row],[Site Name]],SiteDB6[[Site Name]:[CCCM Focal Agency]],7,FALSE)</f>
        <v>0</v>
      </c>
      <c r="DL177" s="554" t="str">
        <f>VLOOKUP(WWWW[[#This Row],[Site Name]],SiteDB6[[Site Name]:[Location Type 1]],9,FALSE)</f>
        <v>Village</v>
      </c>
      <c r="DM177" s="554" t="str">
        <f>VLOOKUP(WWWW[[#This Row],[Site Name]],SiteDB6[[Site Name]:[Type of Accommodation]],10,FALSE)</f>
        <v>Village</v>
      </c>
      <c r="DN177" s="554" t="str">
        <f>VLOOKUP(WWWW[[#This Row],[Site Name]],SiteDB6[[Site Name]:[Ethnic or GCA/NGCA]],11,FALSE)</f>
        <v>Muslim</v>
      </c>
      <c r="DO177" s="554">
        <f>VLOOKUP(WWWW[[#This Row],[Site Name]],SiteDB6[[Site Name]:[Lat]],12,FALSE)</f>
        <v>20.703790659999999</v>
      </c>
      <c r="DP177" s="554">
        <f>VLOOKUP(WWWW[[#This Row],[Site Name]],SiteDB6[[Site Name]:[Long]],13,FALSE)</f>
        <v>92.628463749999995</v>
      </c>
      <c r="DQ177" s="554">
        <f>VLOOKUP(WWWW[[#This Row],[Site Name]],SiteDB6[[Site Name]:[Pcode]],3,FALSE)</f>
        <v>198431</v>
      </c>
      <c r="DR177" s="563" t="str">
        <f t="shared" si="6"/>
        <v>Covered</v>
      </c>
      <c r="DS177" s="563"/>
    </row>
    <row r="178" spans="1:123">
      <c r="A178" s="552" t="s">
        <v>2518</v>
      </c>
      <c r="B178" s="552" t="s">
        <v>2795</v>
      </c>
      <c r="C178" s="555" t="s">
        <v>387</v>
      </c>
      <c r="D178" s="555" t="s">
        <v>2796</v>
      </c>
      <c r="E178" s="574" t="s">
        <v>3005</v>
      </c>
      <c r="F178" s="555" t="s">
        <v>337</v>
      </c>
      <c r="G178" s="574" t="str">
        <f>VLOOKUP(WWWW[[#This Row],[Site Name]],SiteDB6[[Site Name]:[Location Type]],8,FALSE)</f>
        <v>Village</v>
      </c>
      <c r="H178" s="555" t="s">
        <v>2807</v>
      </c>
      <c r="I178" s="557">
        <v>129</v>
      </c>
      <c r="J178" s="557">
        <v>664</v>
      </c>
      <c r="K178" s="564">
        <v>43480</v>
      </c>
      <c r="L178" s="565">
        <v>43723</v>
      </c>
      <c r="M178" s="557"/>
      <c r="N178" s="557"/>
      <c r="O178" s="557"/>
      <c r="P178" s="557"/>
      <c r="Q178" s="556"/>
      <c r="R178" s="557"/>
      <c r="S178" s="557"/>
      <c r="T178" s="557"/>
      <c r="U178" s="557"/>
      <c r="V178" s="557"/>
      <c r="W178" s="557"/>
      <c r="X178" s="557"/>
      <c r="Y178" s="557"/>
      <c r="Z178" s="557"/>
      <c r="AA178" s="557"/>
      <c r="AB178" s="557"/>
      <c r="AC178" s="557"/>
      <c r="AD178" s="557"/>
      <c r="AE178" s="557"/>
      <c r="AF178" s="557"/>
      <c r="AG178" s="557"/>
      <c r="AH178" s="557"/>
      <c r="AI178" s="557"/>
      <c r="AJ178" s="557"/>
      <c r="AK178" s="557"/>
      <c r="AL178" s="557"/>
      <c r="AM178" s="557"/>
      <c r="AN178" s="557"/>
      <c r="AO178" s="563"/>
      <c r="AP178" s="557"/>
      <c r="AQ178" s="557"/>
      <c r="AR178" s="559"/>
      <c r="AS178" s="557"/>
      <c r="AT178" s="557"/>
      <c r="AU178" s="557"/>
      <c r="AV178" s="557"/>
      <c r="AW178" s="557"/>
      <c r="AX178" s="554"/>
      <c r="AY178" s="563"/>
      <c r="AZ178" s="557"/>
      <c r="BA178" s="557"/>
      <c r="BB178" s="557"/>
      <c r="BC178" s="554"/>
      <c r="BD178" s="557"/>
      <c r="BE178" s="557"/>
      <c r="BF178" s="557"/>
      <c r="BG178" s="557"/>
      <c r="BH178" s="557"/>
      <c r="BI178" s="557">
        <v>129</v>
      </c>
      <c r="BJ178" s="557">
        <v>129</v>
      </c>
      <c r="BK178" s="557"/>
      <c r="BL178" s="557"/>
      <c r="BM178" s="554"/>
      <c r="BN178" s="558"/>
      <c r="BO178" s="559"/>
      <c r="BP178" s="554"/>
      <c r="BQ178" s="560" t="str">
        <f>IFERROR(WWWW[[#This Row],['#_Water sources treated]]/WWWW[[#This Row],['#_Water sources tested for contamination]],"no test")</f>
        <v>no test</v>
      </c>
      <c r="BR178" s="559" t="str">
        <f>IFERROR(WWWW[[#This Row],['#_Household received remediation action due to contamination]]/WWWW[[#This Row],['#_Household water samples tested for contamination]],"no test")</f>
        <v>no test</v>
      </c>
      <c r="BS178" s="558" t="str">
        <f>IF(AND(WWWW[[#This Row],[% of water sources treated]]="no test",WWWW[[#This Row],[% Household received corrective actions]]="no test"),"No Test","Tested")</f>
        <v>No Test</v>
      </c>
      <c r="BT178" s="558">
        <f>WWWW[[#This Row],['#_Constructed/existing protected hand dug well]]-WWWW[[#This Row],['#_Non-functional protected hand dug well]]</f>
        <v>0</v>
      </c>
      <c r="BU178" s="558">
        <f>(WWWW[[#This Row],['#_Constructed/Existing tube wells/boreholes/handpumps_WASH_agency]]+WWWW[[#This Row],['#_Non-Cluster partner water tube-wells/boreholes/handpumps]])-WWWW[[#This Row],['#_Non-functional tube wells/boreholes/handpumps]]</f>
        <v>0</v>
      </c>
      <c r="BV178" s="558">
        <f>WWWW[[#This Row],['#_Constructed/Existingwater storage tank with gravity fed reticulation system]]-WWWW[[#This Row],['#_Non-functional storage tank gravity fed reticulation system]]</f>
        <v>0</v>
      </c>
      <c r="BW178" s="558">
        <f>WWWW[[#This Row],['#_Water boating or water trucking]]</f>
        <v>0</v>
      </c>
      <c r="BX178" s="558">
        <f>WWWW[[#This Row],['#_Constructed/Existing water distribution system from river or natural spring]]</f>
        <v>0</v>
      </c>
      <c r="BY17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8" s="559">
        <f>IF(WWWW[[#This Row],[Location Type 1]]="Village",WWWW[[#This Row],[Access to safe drinking water for Village]],WWWW[[#This Row],[Access to safe drinking water for Camp]])</f>
        <v>0</v>
      </c>
      <c r="CB178" s="556">
        <f>WWWW[[#This Row],[%Equitable and continuous access to sufficient quantity of safe drinking water]]*WWWW[[#This Row],[Total PoP ]]</f>
        <v>0</v>
      </c>
      <c r="CC178" s="559">
        <f>IF((WWWW[[#This Row],['#_Constructed/Existing protected/fenced ponds]]*250)/WWWW[[#This Row],[Total PoP ]]&gt;1,1,(WWWW[[#This Row],['#_Constructed/Existing protected/fenced ponds]]*250)/WWWW[[#This Row],[Total PoP ]])</f>
        <v>0</v>
      </c>
      <c r="CD178" s="556">
        <f>WWWW[[#This Row],[% Access to unimproved water points]]*WWWW[[#This Row],[Total PoP ]]</f>
        <v>0</v>
      </c>
      <c r="CE17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8" s="556">
        <f>WWWW[[#This Row],[HRP1]]/500</f>
        <v>0</v>
      </c>
      <c r="CH178" s="561">
        <f>1-WWWW[[#This Row],[% Equitable and continuous access to sufficient quantity of domestic water]]</f>
        <v>1</v>
      </c>
      <c r="CI178" s="556">
        <f>WWWW[[#This Row],[%equitable and continuous access to sufficient quantity of safe drinking and domestic water''s GAP]]*WWWW[[#This Row],[Total PoP ]]</f>
        <v>664</v>
      </c>
      <c r="CJ178" s="558">
        <f>IF(WWWW[[#This Row],[Total required water points]]-WWWW[[#This Row],['#Water points coverage]]&lt;0,0,WWWW[[#This Row],[Total required water points]]-WWWW[[#This Row],['#Water points coverage]])</f>
        <v>1</v>
      </c>
      <c r="CK178" s="558">
        <f>ROUND(IF(WWWW[[#This Row],[Total PoP ]]&lt;500,1,WWWW[[#This Row],[Total PoP ]]/500),0)</f>
        <v>1</v>
      </c>
      <c r="CL178" s="558">
        <f>(WWWW[[#This Row],['#_Constructed latrines_by_WASHAgencies]]+WWWW[[#This Row],['#_Non Cluster partner latrines]])-WWWW[[#This Row],['#_Non-functional latrines]]</f>
        <v>0</v>
      </c>
      <c r="CM17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8" s="558" t="str">
        <f>IF(WWWW[[#This Row],[Location Type 1]]="Village","NA",IF(WWWW[[#This Row],['#_Constructed/Existing latrines in TLS]]*50&gt;WWWW[[#This Row],['#_students at TLS_CFS]],WWWW[[#This Row],['#_students at TLS_CFS]],(WWWW[[#This Row],['#_Constructed/Existing latrines in TLS]]*50)))</f>
        <v>NA</v>
      </c>
      <c r="CQ178" s="558">
        <f>ROUND(IF(WWWW[[#This Row],[Location Type 1]]="camp",WWWW[[#This Row],[Total PoP ]]/20,IF(WWWW[[#This Row],[Location Type 1]]="Temporary Location",WWWW[[#This Row],[Total PoP ]]/50,(WWWW[[#This Row],[Total PoP ]]/6))),0)</f>
        <v>111</v>
      </c>
      <c r="CR178" s="558">
        <f>IF(WWWW[[#This Row],[Total required Latrines]]-(WWWW[[#This Row],['#_Constructed latrines_by_WASHAgencies]]+WWWW[[#This Row],['#_Non Cluster partner latrines]])&lt;0,0,WWWW[[#This Row],[Total required Latrines]]-(WWWW[[#This Row],['#_Constructed latrines_by_WASHAgencies]]+WWWW[[#This Row],['#_Non Cluster partner latrines]]))</f>
        <v>111</v>
      </c>
      <c r="CS178" s="78">
        <f>1-WWWW[[#This Row],[% people access to functioning Latrine]]</f>
        <v>1</v>
      </c>
      <c r="CT178" s="560">
        <f>IF(OR(WWWW[[#This Row],['#_Non-functional latrines]]="",WWWW[[#This Row],['#_Non-functional latrines]]=0),0,WWWW[[#This Row],['#_Non-functional latrines]]/(WWWW[[#This Row],['#_Constructed latrines_by_WASHAgencies]]+WWWW[[#This Row],['#_Non Cluster partner latrines]]))</f>
        <v>0</v>
      </c>
      <c r="CU178" s="556">
        <f>IF(500*(WWWW[[#This Row],['#_male hygiene promoters]]+WWWW[[#This Row],['#_female hygiene promoters]])&gt;WWWW[[#This Row],[Total PoP ]],WWWW[[#This Row],[Total PoP ]],500*(WWWW[[#This Row],['#_male hygiene promoters]]+WWWW[[#This Row],['#_female hygiene promoters]]))</f>
        <v>664</v>
      </c>
      <c r="CV17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8" s="558">
        <f>IF(WWWW[[#This Row],['# People with access to soap]]&gt;WWWW[[#This Row],['# People with access to Sanity Pads]],WWWW[[#This Row],['# People with access to soap]],WWWW[[#This Row],['# People with access to Sanity Pads]])</f>
        <v>0</v>
      </c>
      <c r="CY178" s="558">
        <f>IF(WWWW[[#This Row],['# people reached by regular dedicated hygiene promotion_5]]&gt;WWWW[[#This Row],['# People received regular supply of hygiene items_6]],WWWW[[#This Row],['# people reached by regular dedicated hygiene promotion_5]],WWWW[[#This Row],['# People received regular supply of hygiene items_6]])</f>
        <v>664</v>
      </c>
      <c r="CZ178" s="561">
        <f>IF(WWWW[[#This Row],[HRP3]]/WWWW[[#This Row],[Total PoP ]]&gt;100%,100%,WWWW[[#This Row],[HRP3]]/WWWW[[#This Row],[Total PoP ]])</f>
        <v>1</v>
      </c>
      <c r="DA178" s="560">
        <f>1-WWWW[[#This Row],[Hygiene Coverage%]]</f>
        <v>0</v>
      </c>
      <c r="DB178" s="559">
        <f>WWWW[[#This Row],['# people reached by regular dedicated hygiene promotion_5]]/WWWW[[#This Row],[Total PoP ]]</f>
        <v>1</v>
      </c>
      <c r="DC178" s="559">
        <f>IF(WWWW[[#This Row],['#_households that received standard amount of soap for this quarter]]/WWWW[[#This Row],[Total HH]]&gt;1,1,WWWW[[#This Row],['#_households that received standard amount of soap for this quarter]]/WWWW[[#This Row],[Total HH]])</f>
        <v>0</v>
      </c>
      <c r="DD178" s="559">
        <f>IF(WWWW[[#This Row],['#_households that received standard amount of sanitary pads for this quarter]]/WWWW[[#This Row],[Total HH]]&gt;1,1,WWWW[[#This Row],['#_households that received standard amount of sanitary pads for this quarter]]/WWWW[[#This Row],[Total HH]])</f>
        <v>0</v>
      </c>
      <c r="DE178" s="558">
        <f>WWWW[[#This Row],['#_Constructed/Existing hand washing stations]]-WWWW[[#This Row],['#_Non-Functional_hand_washing_stations]]</f>
        <v>0</v>
      </c>
      <c r="DF178" s="757">
        <f>IF(WWWW[[#This Row],['# Functional hand washing stations during reporting period]]*20&gt;WWWW[[#This Row],[Total HH]],WWWW[[#This Row],[Total HH]],WWWW[[#This Row],['# Functional hand washing stations during reporting period]]*20)</f>
        <v>0</v>
      </c>
      <c r="DG178" s="556">
        <f>IF(WWWW[[#This Row],[Is sufficient soap available for TLS? (Yes/No)]]="yes",WWWW[[#This Row],['#_Constructed/Existing hand washing stations at TLS]],0)</f>
        <v>0</v>
      </c>
      <c r="DH178" s="556">
        <f>IF(WWWW[[#This Row],['# Functional hand washing stations during reporting period]]*100&gt;WWWW[[#This Row],[Total PoP ]],WWWW[[#This Row],[Total PoP ]],WWWW[[#This Row],['# Functional hand washing stations during reporting period]]*100)</f>
        <v>0</v>
      </c>
      <c r="DI178" s="556" t="str">
        <f>IF(OR(WWWW[[#This Row],['#_students at TLS_CFS]]="",WWWW[[#This Row],['#_students at TLS_CFS]]=0),"No","Yes")</f>
        <v>No</v>
      </c>
      <c r="DJ178" s="554">
        <f>VLOOKUP(WWWW[[#This Row],[Site Name]],SiteDB6[[Site Name]:[CCCM Management]],6,FALSE)</f>
        <v>0</v>
      </c>
      <c r="DK178" s="554">
        <f>VLOOKUP(WWWW[[#This Row],[Site Name]],SiteDB6[[Site Name]:[CCCM Focal Agency]],7,FALSE)</f>
        <v>0</v>
      </c>
      <c r="DL178" s="554" t="str">
        <f>VLOOKUP(WWWW[[#This Row],[Site Name]],SiteDB6[[Site Name]:[Location Type 1]],9,FALSE)</f>
        <v>Village</v>
      </c>
      <c r="DM178" s="554" t="str">
        <f>VLOOKUP(WWWW[[#This Row],[Site Name]],SiteDB6[[Site Name]:[Type of Accommodation]],10,FALSE)</f>
        <v>Village</v>
      </c>
      <c r="DN178" s="554" t="str">
        <f>VLOOKUP(WWWW[[#This Row],[Site Name]],SiteDB6[[Site Name]:[Ethnic or GCA/NGCA]],11,FALSE)</f>
        <v>Rakhine</v>
      </c>
      <c r="DO178" s="554">
        <f>VLOOKUP(WWWW[[#This Row],[Site Name]],SiteDB6[[Site Name]:[Lat]],12,FALSE)</f>
        <v>20.703920360000001</v>
      </c>
      <c r="DP178" s="554">
        <f>VLOOKUP(WWWW[[#This Row],[Site Name]],SiteDB6[[Site Name]:[Long]],13,FALSE)</f>
        <v>92.631500239999994</v>
      </c>
      <c r="DQ178" s="554">
        <f>VLOOKUP(WWWW[[#This Row],[Site Name]],SiteDB6[[Site Name]:[Pcode]],3,FALSE)</f>
        <v>198428</v>
      </c>
      <c r="DR178" s="563" t="str">
        <f t="shared" si="6"/>
        <v>Covered</v>
      </c>
      <c r="DS178" s="563"/>
    </row>
    <row r="179" spans="1:123">
      <c r="A179" s="552" t="s">
        <v>2518</v>
      </c>
      <c r="B179" s="552" t="s">
        <v>2795</v>
      </c>
      <c r="C179" s="555" t="s">
        <v>387</v>
      </c>
      <c r="D179" s="555" t="s">
        <v>2796</v>
      </c>
      <c r="E179" s="574" t="s">
        <v>3005</v>
      </c>
      <c r="F179" s="555" t="s">
        <v>337</v>
      </c>
      <c r="G179" s="574" t="str">
        <f>VLOOKUP(WWWW[[#This Row],[Site Name]],SiteDB6[[Site Name]:[Location Type]],8,FALSE)</f>
        <v>Village</v>
      </c>
      <c r="H179" s="555" t="s">
        <v>2797</v>
      </c>
      <c r="I179" s="557">
        <v>171</v>
      </c>
      <c r="J179" s="557">
        <v>908</v>
      </c>
      <c r="K179" s="564">
        <v>43480</v>
      </c>
      <c r="L179" s="565">
        <v>43723</v>
      </c>
      <c r="M179" s="557"/>
      <c r="N179" s="557"/>
      <c r="O179" s="557"/>
      <c r="P179" s="557"/>
      <c r="Q179" s="556"/>
      <c r="R179" s="557"/>
      <c r="S179" s="557"/>
      <c r="T179" s="557"/>
      <c r="U179" s="557"/>
      <c r="V179" s="557"/>
      <c r="W179" s="557"/>
      <c r="X179" s="557"/>
      <c r="Y179" s="557"/>
      <c r="Z179" s="557"/>
      <c r="AA179" s="557"/>
      <c r="AB179" s="557"/>
      <c r="AC179" s="557"/>
      <c r="AD179" s="557"/>
      <c r="AE179" s="557"/>
      <c r="AF179" s="557"/>
      <c r="AG179" s="557"/>
      <c r="AH179" s="557"/>
      <c r="AI179" s="557"/>
      <c r="AJ179" s="557"/>
      <c r="AK179" s="557"/>
      <c r="AL179" s="557"/>
      <c r="AM179" s="557"/>
      <c r="AN179" s="557"/>
      <c r="AO179" s="563"/>
      <c r="AP179" s="557"/>
      <c r="AQ179" s="557"/>
      <c r="AR179" s="559"/>
      <c r="AS179" s="557"/>
      <c r="AT179" s="557"/>
      <c r="AU179" s="557"/>
      <c r="AV179" s="557"/>
      <c r="AW179" s="557"/>
      <c r="AX179" s="554"/>
      <c r="AY179" s="563"/>
      <c r="AZ179" s="557"/>
      <c r="BA179" s="557"/>
      <c r="BB179" s="557"/>
      <c r="BC179" s="554"/>
      <c r="BD179" s="557"/>
      <c r="BE179" s="557"/>
      <c r="BF179" s="557"/>
      <c r="BG179" s="557"/>
      <c r="BH179" s="557"/>
      <c r="BI179" s="557">
        <v>171</v>
      </c>
      <c r="BJ179" s="557">
        <v>171</v>
      </c>
      <c r="BK179" s="557"/>
      <c r="BL179" s="557"/>
      <c r="BM179" s="554"/>
      <c r="BN179" s="558"/>
      <c r="BO179" s="559"/>
      <c r="BP179" s="554"/>
      <c r="BQ179" s="560" t="str">
        <f>IFERROR(WWWW[[#This Row],['#_Water sources treated]]/WWWW[[#This Row],['#_Water sources tested for contamination]],"no test")</f>
        <v>no test</v>
      </c>
      <c r="BR179" s="559" t="str">
        <f>IFERROR(WWWW[[#This Row],['#_Household received remediation action due to contamination]]/WWWW[[#This Row],['#_Household water samples tested for contamination]],"no test")</f>
        <v>no test</v>
      </c>
      <c r="BS179" s="558" t="str">
        <f>IF(AND(WWWW[[#This Row],[% of water sources treated]]="no test",WWWW[[#This Row],[% Household received corrective actions]]="no test"),"No Test","Tested")</f>
        <v>No Test</v>
      </c>
      <c r="BT179" s="558">
        <f>WWWW[[#This Row],['#_Constructed/existing protected hand dug well]]-WWWW[[#This Row],['#_Non-functional protected hand dug well]]</f>
        <v>0</v>
      </c>
      <c r="BU179" s="558">
        <f>(WWWW[[#This Row],['#_Constructed/Existing tube wells/boreholes/handpumps_WASH_agency]]+WWWW[[#This Row],['#_Non-Cluster partner water tube-wells/boreholes/handpumps]])-WWWW[[#This Row],['#_Non-functional tube wells/boreholes/handpumps]]</f>
        <v>0</v>
      </c>
      <c r="BV179" s="558">
        <f>WWWW[[#This Row],['#_Constructed/Existingwater storage tank with gravity fed reticulation system]]-WWWW[[#This Row],['#_Non-functional storage tank gravity fed reticulation system]]</f>
        <v>0</v>
      </c>
      <c r="BW179" s="558">
        <f>WWWW[[#This Row],['#_Water boating or water trucking]]</f>
        <v>0</v>
      </c>
      <c r="BX179" s="558">
        <f>WWWW[[#This Row],['#_Constructed/Existing water distribution system from river or natural spring]]</f>
        <v>0</v>
      </c>
      <c r="BY17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7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79" s="559">
        <f>IF(WWWW[[#This Row],[Location Type 1]]="Village",WWWW[[#This Row],[Access to safe drinking water for Village]],WWWW[[#This Row],[Access to safe drinking water for Camp]])</f>
        <v>0</v>
      </c>
      <c r="CB179" s="556">
        <f>WWWW[[#This Row],[%Equitable and continuous access to sufficient quantity of safe drinking water]]*WWWW[[#This Row],[Total PoP ]]</f>
        <v>0</v>
      </c>
      <c r="CC179" s="559">
        <f>IF((WWWW[[#This Row],['#_Constructed/Existing protected/fenced ponds]]*250)/WWWW[[#This Row],[Total PoP ]]&gt;1,1,(WWWW[[#This Row],['#_Constructed/Existing protected/fenced ponds]]*250)/WWWW[[#This Row],[Total PoP ]])</f>
        <v>0</v>
      </c>
      <c r="CD179" s="556">
        <f>WWWW[[#This Row],[% Access to unimproved water points]]*WWWW[[#This Row],[Total PoP ]]</f>
        <v>0</v>
      </c>
      <c r="CE17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7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79" s="556">
        <f>WWWW[[#This Row],[HRP1]]/500</f>
        <v>0</v>
      </c>
      <c r="CH179" s="561">
        <f>1-WWWW[[#This Row],[% Equitable and continuous access to sufficient quantity of domestic water]]</f>
        <v>1</v>
      </c>
      <c r="CI179" s="556">
        <f>WWWW[[#This Row],[%equitable and continuous access to sufficient quantity of safe drinking and domestic water''s GAP]]*WWWW[[#This Row],[Total PoP ]]</f>
        <v>908</v>
      </c>
      <c r="CJ179" s="558">
        <f>IF(WWWW[[#This Row],[Total required water points]]-WWWW[[#This Row],['#Water points coverage]]&lt;0,0,WWWW[[#This Row],[Total required water points]]-WWWW[[#This Row],['#Water points coverage]])</f>
        <v>2</v>
      </c>
      <c r="CK179" s="558">
        <f>ROUND(IF(WWWW[[#This Row],[Total PoP ]]&lt;500,1,WWWW[[#This Row],[Total PoP ]]/500),0)</f>
        <v>2</v>
      </c>
      <c r="CL179" s="558">
        <f>(WWWW[[#This Row],['#_Constructed latrines_by_WASHAgencies]]+WWWW[[#This Row],['#_Non Cluster partner latrines]])-WWWW[[#This Row],['#_Non-functional latrines]]</f>
        <v>0</v>
      </c>
      <c r="CM17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7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7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79" s="558" t="str">
        <f>IF(WWWW[[#This Row],[Location Type 1]]="Village","NA",IF(WWWW[[#This Row],['#_Constructed/Existing latrines in TLS]]*50&gt;WWWW[[#This Row],['#_students at TLS_CFS]],WWWW[[#This Row],['#_students at TLS_CFS]],(WWWW[[#This Row],['#_Constructed/Existing latrines in TLS]]*50)))</f>
        <v>NA</v>
      </c>
      <c r="CQ179" s="558">
        <f>ROUND(IF(WWWW[[#This Row],[Location Type 1]]="camp",WWWW[[#This Row],[Total PoP ]]/20,IF(WWWW[[#This Row],[Location Type 1]]="Temporary Location",WWWW[[#This Row],[Total PoP ]]/50,(WWWW[[#This Row],[Total PoP ]]/6))),0)</f>
        <v>151</v>
      </c>
      <c r="CR179" s="558">
        <f>IF(WWWW[[#This Row],[Total required Latrines]]-(WWWW[[#This Row],['#_Constructed latrines_by_WASHAgencies]]+WWWW[[#This Row],['#_Non Cluster partner latrines]])&lt;0,0,WWWW[[#This Row],[Total required Latrines]]-(WWWW[[#This Row],['#_Constructed latrines_by_WASHAgencies]]+WWWW[[#This Row],['#_Non Cluster partner latrines]]))</f>
        <v>151</v>
      </c>
      <c r="CS179" s="78">
        <f>1-WWWW[[#This Row],[% people access to functioning Latrine]]</f>
        <v>1</v>
      </c>
      <c r="CT179" s="560">
        <f>IF(OR(WWWW[[#This Row],['#_Non-functional latrines]]="",WWWW[[#This Row],['#_Non-functional latrines]]=0),0,WWWW[[#This Row],['#_Non-functional latrines]]/(WWWW[[#This Row],['#_Constructed latrines_by_WASHAgencies]]+WWWW[[#This Row],['#_Non Cluster partner latrines]]))</f>
        <v>0</v>
      </c>
      <c r="CU179" s="556">
        <f>IF(500*(WWWW[[#This Row],['#_male hygiene promoters]]+WWWW[[#This Row],['#_female hygiene promoters]])&gt;WWWW[[#This Row],[Total PoP ]],WWWW[[#This Row],[Total PoP ]],500*(WWWW[[#This Row],['#_male hygiene promoters]]+WWWW[[#This Row],['#_female hygiene promoters]]))</f>
        <v>908</v>
      </c>
      <c r="CV17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7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79" s="558">
        <f>IF(WWWW[[#This Row],['# People with access to soap]]&gt;WWWW[[#This Row],['# People with access to Sanity Pads]],WWWW[[#This Row],['# People with access to soap]],WWWW[[#This Row],['# People with access to Sanity Pads]])</f>
        <v>0</v>
      </c>
      <c r="CY179" s="558">
        <f>IF(WWWW[[#This Row],['# people reached by regular dedicated hygiene promotion_5]]&gt;WWWW[[#This Row],['# People received regular supply of hygiene items_6]],WWWW[[#This Row],['# people reached by regular dedicated hygiene promotion_5]],WWWW[[#This Row],['# People received regular supply of hygiene items_6]])</f>
        <v>908</v>
      </c>
      <c r="CZ179" s="561">
        <f>IF(WWWW[[#This Row],[HRP3]]/WWWW[[#This Row],[Total PoP ]]&gt;100%,100%,WWWW[[#This Row],[HRP3]]/WWWW[[#This Row],[Total PoP ]])</f>
        <v>1</v>
      </c>
      <c r="DA179" s="560">
        <f>1-WWWW[[#This Row],[Hygiene Coverage%]]</f>
        <v>0</v>
      </c>
      <c r="DB179" s="559">
        <f>WWWW[[#This Row],['# people reached by regular dedicated hygiene promotion_5]]/WWWW[[#This Row],[Total PoP ]]</f>
        <v>1</v>
      </c>
      <c r="DC179" s="559">
        <f>IF(WWWW[[#This Row],['#_households that received standard amount of soap for this quarter]]/WWWW[[#This Row],[Total HH]]&gt;1,1,WWWW[[#This Row],['#_households that received standard amount of soap for this quarter]]/WWWW[[#This Row],[Total HH]])</f>
        <v>0</v>
      </c>
      <c r="DD179" s="559">
        <f>IF(WWWW[[#This Row],['#_households that received standard amount of sanitary pads for this quarter]]/WWWW[[#This Row],[Total HH]]&gt;1,1,WWWW[[#This Row],['#_households that received standard amount of sanitary pads for this quarter]]/WWWW[[#This Row],[Total HH]])</f>
        <v>0</v>
      </c>
      <c r="DE179" s="558">
        <f>WWWW[[#This Row],['#_Constructed/Existing hand washing stations]]-WWWW[[#This Row],['#_Non-Functional_hand_washing_stations]]</f>
        <v>0</v>
      </c>
      <c r="DF179" s="757">
        <f>IF(WWWW[[#This Row],['# Functional hand washing stations during reporting period]]*20&gt;WWWW[[#This Row],[Total HH]],WWWW[[#This Row],[Total HH]],WWWW[[#This Row],['# Functional hand washing stations during reporting period]]*20)</f>
        <v>0</v>
      </c>
      <c r="DG179" s="556">
        <f>IF(WWWW[[#This Row],[Is sufficient soap available for TLS? (Yes/No)]]="yes",WWWW[[#This Row],['#_Constructed/Existing hand washing stations at TLS]],0)</f>
        <v>0</v>
      </c>
      <c r="DH179" s="556">
        <f>IF(WWWW[[#This Row],['# Functional hand washing stations during reporting period]]*100&gt;WWWW[[#This Row],[Total PoP ]],WWWW[[#This Row],[Total PoP ]],WWWW[[#This Row],['# Functional hand washing stations during reporting period]]*100)</f>
        <v>0</v>
      </c>
      <c r="DI179" s="556" t="str">
        <f>IF(OR(WWWW[[#This Row],['#_students at TLS_CFS]]="",WWWW[[#This Row],['#_students at TLS_CFS]]=0),"No","Yes")</f>
        <v>No</v>
      </c>
      <c r="DJ179" s="554">
        <f>VLOOKUP(WWWW[[#This Row],[Site Name]],SiteDB6[[Site Name]:[CCCM Management]],6,FALSE)</f>
        <v>0</v>
      </c>
      <c r="DK179" s="554">
        <f>VLOOKUP(WWWW[[#This Row],[Site Name]],SiteDB6[[Site Name]:[CCCM Focal Agency]],7,FALSE)</f>
        <v>0</v>
      </c>
      <c r="DL179" s="554" t="str">
        <f>VLOOKUP(WWWW[[#This Row],[Site Name]],SiteDB6[[Site Name]:[Location Type 1]],9,FALSE)</f>
        <v>Village</v>
      </c>
      <c r="DM179" s="554" t="str">
        <f>VLOOKUP(WWWW[[#This Row],[Site Name]],SiteDB6[[Site Name]:[Type of Accommodation]],10,FALSE)</f>
        <v>Village</v>
      </c>
      <c r="DN179" s="554" t="str">
        <f>VLOOKUP(WWWW[[#This Row],[Site Name]],SiteDB6[[Site Name]:[Ethnic or GCA/NGCA]],11,FALSE)</f>
        <v>Muslim</v>
      </c>
      <c r="DO179" s="554">
        <f>VLOOKUP(WWWW[[#This Row],[Site Name]],SiteDB6[[Site Name]:[Lat]],12,FALSE)</f>
        <v>0</v>
      </c>
      <c r="DP179" s="554">
        <f>VLOOKUP(WWWW[[#This Row],[Site Name]],SiteDB6[[Site Name]:[Long]],13,FALSE)</f>
        <v>0</v>
      </c>
      <c r="DQ179" s="554">
        <f>VLOOKUP(WWWW[[#This Row],[Site Name]],SiteDB6[[Site Name]:[Pcode]],3,FALSE)</f>
        <v>198350</v>
      </c>
      <c r="DR179" s="563" t="str">
        <f t="shared" si="6"/>
        <v>Covered</v>
      </c>
      <c r="DS179" s="563"/>
    </row>
    <row r="180" spans="1:123">
      <c r="A180" s="552" t="s">
        <v>2518</v>
      </c>
      <c r="B180" s="552" t="s">
        <v>2795</v>
      </c>
      <c r="C180" s="555" t="s">
        <v>387</v>
      </c>
      <c r="D180" s="555" t="s">
        <v>2796</v>
      </c>
      <c r="E180" s="574" t="s">
        <v>3005</v>
      </c>
      <c r="F180" s="555" t="s">
        <v>337</v>
      </c>
      <c r="G180" s="574" t="str">
        <f>VLOOKUP(WWWW[[#This Row],[Site Name]],SiteDB6[[Site Name]:[Location Type]],8,FALSE)</f>
        <v>Village</v>
      </c>
      <c r="H180" s="555" t="s">
        <v>627</v>
      </c>
      <c r="I180" s="557">
        <v>22</v>
      </c>
      <c r="J180" s="557">
        <v>100</v>
      </c>
      <c r="K180" s="564">
        <v>43480</v>
      </c>
      <c r="L180" s="565">
        <v>43723</v>
      </c>
      <c r="M180" s="557"/>
      <c r="N180" s="557"/>
      <c r="O180" s="557"/>
      <c r="P180" s="557"/>
      <c r="Q180" s="556"/>
      <c r="R180" s="557"/>
      <c r="S180" s="557"/>
      <c r="T180" s="557"/>
      <c r="U180" s="557"/>
      <c r="V180" s="557"/>
      <c r="W180" s="557"/>
      <c r="X180" s="557"/>
      <c r="Y180" s="557"/>
      <c r="Z180" s="557"/>
      <c r="AA180" s="557"/>
      <c r="AB180" s="557"/>
      <c r="AC180" s="557"/>
      <c r="AD180" s="557"/>
      <c r="AE180" s="557"/>
      <c r="AF180" s="557"/>
      <c r="AG180" s="557"/>
      <c r="AH180" s="557"/>
      <c r="AI180" s="557"/>
      <c r="AJ180" s="557"/>
      <c r="AK180" s="557"/>
      <c r="AL180" s="557"/>
      <c r="AM180" s="557"/>
      <c r="AN180" s="557"/>
      <c r="AO180" s="563"/>
      <c r="AP180" s="557"/>
      <c r="AQ180" s="557"/>
      <c r="AR180" s="559"/>
      <c r="AS180" s="557"/>
      <c r="AT180" s="557"/>
      <c r="AU180" s="557"/>
      <c r="AV180" s="557"/>
      <c r="AW180" s="557"/>
      <c r="AX180" s="554"/>
      <c r="AY180" s="563"/>
      <c r="AZ180" s="557"/>
      <c r="BA180" s="557"/>
      <c r="BB180" s="557"/>
      <c r="BC180" s="554"/>
      <c r="BD180" s="557"/>
      <c r="BE180" s="557"/>
      <c r="BF180" s="557"/>
      <c r="BG180" s="557"/>
      <c r="BH180" s="557"/>
      <c r="BI180" s="557">
        <v>22</v>
      </c>
      <c r="BJ180" s="557">
        <v>22</v>
      </c>
      <c r="BK180" s="557"/>
      <c r="BL180" s="557"/>
      <c r="BM180" s="554"/>
      <c r="BN180" s="558"/>
      <c r="BO180" s="559"/>
      <c r="BP180" s="554"/>
      <c r="BQ180" s="560" t="str">
        <f>IFERROR(WWWW[[#This Row],['#_Water sources treated]]/WWWW[[#This Row],['#_Water sources tested for contamination]],"no test")</f>
        <v>no test</v>
      </c>
      <c r="BR180" s="559" t="str">
        <f>IFERROR(WWWW[[#This Row],['#_Household received remediation action due to contamination]]/WWWW[[#This Row],['#_Household water samples tested for contamination]],"no test")</f>
        <v>no test</v>
      </c>
      <c r="BS180" s="558" t="str">
        <f>IF(AND(WWWW[[#This Row],[% of water sources treated]]="no test",WWWW[[#This Row],[% Household received corrective actions]]="no test"),"No Test","Tested")</f>
        <v>No Test</v>
      </c>
      <c r="BT180" s="558">
        <f>WWWW[[#This Row],['#_Constructed/existing protected hand dug well]]-WWWW[[#This Row],['#_Non-functional protected hand dug well]]</f>
        <v>0</v>
      </c>
      <c r="BU180" s="558">
        <f>(WWWW[[#This Row],['#_Constructed/Existing tube wells/boreholes/handpumps_WASH_agency]]+WWWW[[#This Row],['#_Non-Cluster partner water tube-wells/boreholes/handpumps]])-WWWW[[#This Row],['#_Non-functional tube wells/boreholes/handpumps]]</f>
        <v>0</v>
      </c>
      <c r="BV180" s="558">
        <f>WWWW[[#This Row],['#_Constructed/Existingwater storage tank with gravity fed reticulation system]]-WWWW[[#This Row],['#_Non-functional storage tank gravity fed reticulation system]]</f>
        <v>0</v>
      </c>
      <c r="BW180" s="558">
        <f>WWWW[[#This Row],['#_Water boating or water trucking]]</f>
        <v>0</v>
      </c>
      <c r="BX180" s="558">
        <f>WWWW[[#This Row],['#_Constructed/Existing water distribution system from river or natural spring]]</f>
        <v>0</v>
      </c>
      <c r="BY18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0" s="559">
        <f>IF(WWWW[[#This Row],[Location Type 1]]="Village",WWWW[[#This Row],[Access to safe drinking water for Village]],WWWW[[#This Row],[Access to safe drinking water for Camp]])</f>
        <v>0</v>
      </c>
      <c r="CB180" s="556">
        <f>WWWW[[#This Row],[%Equitable and continuous access to sufficient quantity of safe drinking water]]*WWWW[[#This Row],[Total PoP ]]</f>
        <v>0</v>
      </c>
      <c r="CC180" s="559">
        <f>IF((WWWW[[#This Row],['#_Constructed/Existing protected/fenced ponds]]*250)/WWWW[[#This Row],[Total PoP ]]&gt;1,1,(WWWW[[#This Row],['#_Constructed/Existing protected/fenced ponds]]*250)/WWWW[[#This Row],[Total PoP ]])</f>
        <v>0</v>
      </c>
      <c r="CD180" s="556">
        <f>WWWW[[#This Row],[% Access to unimproved water points]]*WWWW[[#This Row],[Total PoP ]]</f>
        <v>0</v>
      </c>
      <c r="CE18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0" s="556">
        <f>WWWW[[#This Row],[HRP1]]/500</f>
        <v>0</v>
      </c>
      <c r="CH180" s="561">
        <f>1-WWWW[[#This Row],[% Equitable and continuous access to sufficient quantity of domestic water]]</f>
        <v>1</v>
      </c>
      <c r="CI180" s="556">
        <f>WWWW[[#This Row],[%equitable and continuous access to sufficient quantity of safe drinking and domestic water''s GAP]]*WWWW[[#This Row],[Total PoP ]]</f>
        <v>100</v>
      </c>
      <c r="CJ180" s="558">
        <f>IF(WWWW[[#This Row],[Total required water points]]-WWWW[[#This Row],['#Water points coverage]]&lt;0,0,WWWW[[#This Row],[Total required water points]]-WWWW[[#This Row],['#Water points coverage]])</f>
        <v>1</v>
      </c>
      <c r="CK180" s="558">
        <f>ROUND(IF(WWWW[[#This Row],[Total PoP ]]&lt;500,1,WWWW[[#This Row],[Total PoP ]]/500),0)</f>
        <v>1</v>
      </c>
      <c r="CL180" s="558">
        <f>(WWWW[[#This Row],['#_Constructed latrines_by_WASHAgencies]]+WWWW[[#This Row],['#_Non Cluster partner latrines]])-WWWW[[#This Row],['#_Non-functional latrines]]</f>
        <v>0</v>
      </c>
      <c r="CM18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0" s="558" t="str">
        <f>IF(WWWW[[#This Row],[Location Type 1]]="Village","NA",IF(WWWW[[#This Row],['#_Constructed/Existing latrines in TLS]]*50&gt;WWWW[[#This Row],['#_students at TLS_CFS]],WWWW[[#This Row],['#_students at TLS_CFS]],(WWWW[[#This Row],['#_Constructed/Existing latrines in TLS]]*50)))</f>
        <v>NA</v>
      </c>
      <c r="CQ180" s="558">
        <f>ROUND(IF(WWWW[[#This Row],[Location Type 1]]="camp",WWWW[[#This Row],[Total PoP ]]/20,IF(WWWW[[#This Row],[Location Type 1]]="Temporary Location",WWWW[[#This Row],[Total PoP ]]/50,(WWWW[[#This Row],[Total PoP ]]/6))),0)</f>
        <v>17</v>
      </c>
      <c r="CR180" s="558">
        <f>IF(WWWW[[#This Row],[Total required Latrines]]-(WWWW[[#This Row],['#_Constructed latrines_by_WASHAgencies]]+WWWW[[#This Row],['#_Non Cluster partner latrines]])&lt;0,0,WWWW[[#This Row],[Total required Latrines]]-(WWWW[[#This Row],['#_Constructed latrines_by_WASHAgencies]]+WWWW[[#This Row],['#_Non Cluster partner latrines]]))</f>
        <v>17</v>
      </c>
      <c r="CS180" s="78">
        <f>1-WWWW[[#This Row],[% people access to functioning Latrine]]</f>
        <v>1</v>
      </c>
      <c r="CT180" s="560">
        <f>IF(OR(WWWW[[#This Row],['#_Non-functional latrines]]="",WWWW[[#This Row],['#_Non-functional latrines]]=0),0,WWWW[[#This Row],['#_Non-functional latrines]]/(WWWW[[#This Row],['#_Constructed latrines_by_WASHAgencies]]+WWWW[[#This Row],['#_Non Cluster partner latrines]]))</f>
        <v>0</v>
      </c>
      <c r="CU180" s="556">
        <f>IF(500*(WWWW[[#This Row],['#_male hygiene promoters]]+WWWW[[#This Row],['#_female hygiene promoters]])&gt;WWWW[[#This Row],[Total PoP ]],WWWW[[#This Row],[Total PoP ]],500*(WWWW[[#This Row],['#_male hygiene promoters]]+WWWW[[#This Row],['#_female hygiene promoters]]))</f>
        <v>100</v>
      </c>
      <c r="CV18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0" s="558">
        <f>IF(WWWW[[#This Row],['# People with access to soap]]&gt;WWWW[[#This Row],['# People with access to Sanity Pads]],WWWW[[#This Row],['# People with access to soap]],WWWW[[#This Row],['# People with access to Sanity Pads]])</f>
        <v>0</v>
      </c>
      <c r="CY180" s="558">
        <f>IF(WWWW[[#This Row],['# people reached by regular dedicated hygiene promotion_5]]&gt;WWWW[[#This Row],['# People received regular supply of hygiene items_6]],WWWW[[#This Row],['# people reached by regular dedicated hygiene promotion_5]],WWWW[[#This Row],['# People received regular supply of hygiene items_6]])</f>
        <v>100</v>
      </c>
      <c r="CZ180" s="561">
        <f>IF(WWWW[[#This Row],[HRP3]]/WWWW[[#This Row],[Total PoP ]]&gt;100%,100%,WWWW[[#This Row],[HRP3]]/WWWW[[#This Row],[Total PoP ]])</f>
        <v>1</v>
      </c>
      <c r="DA180" s="560">
        <f>1-WWWW[[#This Row],[Hygiene Coverage%]]</f>
        <v>0</v>
      </c>
      <c r="DB180" s="559">
        <f>WWWW[[#This Row],['# people reached by regular dedicated hygiene promotion_5]]/WWWW[[#This Row],[Total PoP ]]</f>
        <v>1</v>
      </c>
      <c r="DC180" s="559">
        <f>IF(WWWW[[#This Row],['#_households that received standard amount of soap for this quarter]]/WWWW[[#This Row],[Total HH]]&gt;1,1,WWWW[[#This Row],['#_households that received standard amount of soap for this quarter]]/WWWW[[#This Row],[Total HH]])</f>
        <v>0</v>
      </c>
      <c r="DD180" s="559">
        <f>IF(WWWW[[#This Row],['#_households that received standard amount of sanitary pads for this quarter]]/WWWW[[#This Row],[Total HH]]&gt;1,1,WWWW[[#This Row],['#_households that received standard amount of sanitary pads for this quarter]]/WWWW[[#This Row],[Total HH]])</f>
        <v>0</v>
      </c>
      <c r="DE180" s="558">
        <f>WWWW[[#This Row],['#_Constructed/Existing hand washing stations]]-WWWW[[#This Row],['#_Non-Functional_hand_washing_stations]]</f>
        <v>0</v>
      </c>
      <c r="DF180" s="757">
        <f>IF(WWWW[[#This Row],['# Functional hand washing stations during reporting period]]*20&gt;WWWW[[#This Row],[Total HH]],WWWW[[#This Row],[Total HH]],WWWW[[#This Row],['# Functional hand washing stations during reporting period]]*20)</f>
        <v>0</v>
      </c>
      <c r="DG180" s="556">
        <f>IF(WWWW[[#This Row],[Is sufficient soap available for TLS? (Yes/No)]]="yes",WWWW[[#This Row],['#_Constructed/Existing hand washing stations at TLS]],0)</f>
        <v>0</v>
      </c>
      <c r="DH180" s="556">
        <f>IF(WWWW[[#This Row],['# Functional hand washing stations during reporting period]]*100&gt;WWWW[[#This Row],[Total PoP ]],WWWW[[#This Row],[Total PoP ]],WWWW[[#This Row],['# Functional hand washing stations during reporting period]]*100)</f>
        <v>0</v>
      </c>
      <c r="DI180" s="556" t="str">
        <f>IF(OR(WWWW[[#This Row],['#_students at TLS_CFS]]="",WWWW[[#This Row],['#_students at TLS_CFS]]=0),"No","Yes")</f>
        <v>No</v>
      </c>
      <c r="DJ180" s="554">
        <f>VLOOKUP(WWWW[[#This Row],[Site Name]],SiteDB6[[Site Name]:[CCCM Management]],6,FALSE)</f>
        <v>0</v>
      </c>
      <c r="DK180" s="554">
        <f>VLOOKUP(WWWW[[#This Row],[Site Name]],SiteDB6[[Site Name]:[CCCM Focal Agency]],7,FALSE)</f>
        <v>0</v>
      </c>
      <c r="DL180" s="554" t="str">
        <f>VLOOKUP(WWWW[[#This Row],[Site Name]],SiteDB6[[Site Name]:[Location Type 1]],9,FALSE)</f>
        <v>Village</v>
      </c>
      <c r="DM180" s="554" t="str">
        <f>VLOOKUP(WWWW[[#This Row],[Site Name]],SiteDB6[[Site Name]:[Type of Accommodation]],10,FALSE)</f>
        <v>Village</v>
      </c>
      <c r="DN180" s="554" t="str">
        <f>VLOOKUP(WWWW[[#This Row],[Site Name]],SiteDB6[[Site Name]:[Ethnic or GCA/NGCA]],11,FALSE)</f>
        <v>Rakhine</v>
      </c>
      <c r="DO180" s="554">
        <f>VLOOKUP(WWWW[[#This Row],[Site Name]],SiteDB6[[Site Name]:[Lat]],12,FALSE)</f>
        <v>20.80558014</v>
      </c>
      <c r="DP180" s="554">
        <f>VLOOKUP(WWWW[[#This Row],[Site Name]],SiteDB6[[Site Name]:[Long]],13,FALSE)</f>
        <v>92.549842830000003</v>
      </c>
      <c r="DQ180" s="554">
        <f>VLOOKUP(WWWW[[#This Row],[Site Name]],SiteDB6[[Site Name]:[Pcode]],3,FALSE)</f>
        <v>198336</v>
      </c>
      <c r="DR180" s="563" t="str">
        <f t="shared" si="6"/>
        <v>Covered</v>
      </c>
      <c r="DS180" s="563"/>
    </row>
    <row r="181" spans="1:123">
      <c r="A181" s="552" t="s">
        <v>2518</v>
      </c>
      <c r="B181" s="701" t="s">
        <v>249</v>
      </c>
      <c r="C181" s="701" t="s">
        <v>249</v>
      </c>
      <c r="D181" s="702"/>
      <c r="E181" s="703" t="s">
        <v>3005</v>
      </c>
      <c r="F181" s="702" t="s">
        <v>337</v>
      </c>
      <c r="G181" s="704" t="str">
        <f>VLOOKUP(WWWW[[#This Row],[Site Name]],SiteDB6[[Site Name]:[Location Type]],8,FALSE)</f>
        <v>New Temporary Site</v>
      </c>
      <c r="H181" s="702" t="s">
        <v>2831</v>
      </c>
      <c r="I181" s="705">
        <v>30</v>
      </c>
      <c r="J181" s="705">
        <v>118</v>
      </c>
      <c r="K181" s="706"/>
      <c r="L181" s="707"/>
      <c r="M181" s="705"/>
      <c r="N181" s="705"/>
      <c r="O181" s="705"/>
      <c r="P181" s="705"/>
      <c r="Q181" s="708"/>
      <c r="R181" s="705"/>
      <c r="S181" s="705"/>
      <c r="T181" s="739"/>
      <c r="U181" s="705"/>
      <c r="V181" s="705"/>
      <c r="W181" s="705"/>
      <c r="X181" s="705"/>
      <c r="Y181" s="705"/>
      <c r="Z181" s="705"/>
      <c r="AA181" s="705"/>
      <c r="AB181" s="705"/>
      <c r="AC181" s="705"/>
      <c r="AD181" s="705"/>
      <c r="AE181" s="705"/>
      <c r="AF181" s="705"/>
      <c r="AG181" s="705"/>
      <c r="AH181" s="705"/>
      <c r="AI181" s="705"/>
      <c r="AJ181" s="705"/>
      <c r="AK181" s="705"/>
      <c r="AL181" s="705"/>
      <c r="AM181" s="705"/>
      <c r="AN181" s="705"/>
      <c r="AO181" s="709"/>
      <c r="AP181" s="705"/>
      <c r="AQ181" s="705"/>
      <c r="AR181" s="710"/>
      <c r="AS181" s="705"/>
      <c r="AT181" s="705"/>
      <c r="AU181" s="705"/>
      <c r="AV181" s="705"/>
      <c r="AW181" s="705"/>
      <c r="AX181" s="711"/>
      <c r="AY181" s="709"/>
      <c r="AZ181" s="705"/>
      <c r="BA181" s="705"/>
      <c r="BB181" s="705"/>
      <c r="BC181" s="711"/>
      <c r="BD181" s="705"/>
      <c r="BE181" s="705"/>
      <c r="BF181" s="705"/>
      <c r="BG181" s="705"/>
      <c r="BH181" s="705"/>
      <c r="BI181" s="705"/>
      <c r="BJ181" s="705"/>
      <c r="BK181" s="705">
        <v>30</v>
      </c>
      <c r="BL181" s="705">
        <v>30</v>
      </c>
      <c r="BM181" s="711"/>
      <c r="BN181" s="712"/>
      <c r="BO181" s="710"/>
      <c r="BP181" s="711"/>
      <c r="BQ181" s="713" t="str">
        <f>IFERROR(WWWW[[#This Row],['#_Water sources treated]]/WWWW[[#This Row],['#_Water sources tested for contamination]],"no test")</f>
        <v>no test</v>
      </c>
      <c r="BR181" s="710" t="str">
        <f>IFERROR(WWWW[[#This Row],['#_Household received remediation action due to contamination]]/WWWW[[#This Row],['#_Household water samples tested for contamination]],"no test")</f>
        <v>no test</v>
      </c>
      <c r="BS181" s="712" t="str">
        <f>IF(AND(WWWW[[#This Row],[% of water sources treated]]="no test",WWWW[[#This Row],[% Household received corrective actions]]="no test"),"No Test","Tested")</f>
        <v>No Test</v>
      </c>
      <c r="BT181" s="712">
        <f>WWWW[[#This Row],['#_Constructed/existing protected hand dug well]]-WWWW[[#This Row],['#_Non-functional protected hand dug well]]</f>
        <v>0</v>
      </c>
      <c r="BU181" s="712">
        <f>(WWWW[[#This Row],['#_Constructed/Existing tube wells/boreholes/handpumps_WASH_agency]]+WWWW[[#This Row],['#_Non-Cluster partner water tube-wells/boreholes/handpumps]])-WWWW[[#This Row],['#_Non-functional tube wells/boreholes/handpumps]]</f>
        <v>0</v>
      </c>
      <c r="BV181" s="712">
        <f>WWWW[[#This Row],['#_Constructed/Existingwater storage tank with gravity fed reticulation system]]-WWWW[[#This Row],['#_Non-functional storage tank gravity fed reticulation system]]</f>
        <v>0</v>
      </c>
      <c r="BW181" s="712">
        <f>WWWW[[#This Row],['#_Water boating or water trucking]]</f>
        <v>0</v>
      </c>
      <c r="BX181" s="712">
        <f>WWWW[[#This Row],['#_Constructed/Existing water distribution system from river or natural spring]]</f>
        <v>0</v>
      </c>
      <c r="BY18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1" s="710">
        <f>IF(WWWW[[#This Row],[Location Type 1]]="Village",WWWW[[#This Row],[Access to safe drinking water for Village]],WWWW[[#This Row],[Access to safe drinking water for Camp]])</f>
        <v>0</v>
      </c>
      <c r="CB181" s="708">
        <f>WWWW[[#This Row],[%Equitable and continuous access to sufficient quantity of safe drinking water]]*WWWW[[#This Row],[Total PoP ]]</f>
        <v>0</v>
      </c>
      <c r="CC181" s="710">
        <f>IF((WWWW[[#This Row],['#_Constructed/Existing protected/fenced ponds]]*250)/WWWW[[#This Row],[Total PoP ]]&gt;1,1,(WWWW[[#This Row],['#_Constructed/Existing protected/fenced ponds]]*250)/WWWW[[#This Row],[Total PoP ]])</f>
        <v>0</v>
      </c>
      <c r="CD181" s="708">
        <f>WWWW[[#This Row],[% Access to unimproved water points]]*WWWW[[#This Row],[Total PoP ]]</f>
        <v>0</v>
      </c>
      <c r="CE18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1" s="708">
        <f>WWWW[[#This Row],[HRP1]]/500</f>
        <v>0</v>
      </c>
      <c r="CH181" s="714">
        <f>1-WWWW[[#This Row],[% Equitable and continuous access to sufficient quantity of domestic water]]</f>
        <v>1</v>
      </c>
      <c r="CI181" s="708">
        <f>WWWW[[#This Row],[%equitable and continuous access to sufficient quantity of safe drinking and domestic water''s GAP]]*WWWW[[#This Row],[Total PoP ]]</f>
        <v>118</v>
      </c>
      <c r="CJ181" s="712">
        <f>IF(WWWW[[#This Row],[Total required water points]]-WWWW[[#This Row],['#Water points coverage]]&lt;0,0,WWWW[[#This Row],[Total required water points]]-WWWW[[#This Row],['#Water points coverage]])</f>
        <v>1</v>
      </c>
      <c r="CK181" s="712">
        <f>ROUND(IF(WWWW[[#This Row],[Total PoP ]]&lt;500,1,WWWW[[#This Row],[Total PoP ]]/500),0)</f>
        <v>1</v>
      </c>
      <c r="CL181" s="712">
        <f>(WWWW[[#This Row],['#_Constructed latrines_by_WASHAgencies]]+WWWW[[#This Row],['#_Non Cluster partner latrines]])-WWWW[[#This Row],['#_Non-functional latrines]]</f>
        <v>0</v>
      </c>
      <c r="CM181" s="738">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181" s="712">
        <f>IF(WWWW[[#This Row],[Location Type 1]]="Village","NA",IF(WWWW[[#This Row],['#_Constructed/Existing latrines in TLS]]*50&gt;WWWW[[#This Row],['#_students at TLS_CFS]],WWWW[[#This Row],['#_students at TLS_CFS]],(WWWW[[#This Row],['#_Constructed/Existing latrines in TLS]]*50)))</f>
        <v>0</v>
      </c>
      <c r="CQ181" s="712">
        <f>ROUND(IF(WWWW[[#This Row],[Location Type 1]]="camp",WWWW[[#This Row],[Total PoP ]]/20,IF(WWWW[[#This Row],[Location Type 1]]="Temporary Location",WWWW[[#This Row],[Total PoP ]]/50,(WWWW[[#This Row],[Total PoP ]]/6))),0)</f>
        <v>2</v>
      </c>
      <c r="CR181" s="712">
        <f>IF(WWWW[[#This Row],[Total required Latrines]]-(WWWW[[#This Row],['#_Constructed latrines_by_WASHAgencies]]+WWWW[[#This Row],['#_Non Cluster partner latrines]])&lt;0,0,WWWW[[#This Row],[Total required Latrines]]-(WWWW[[#This Row],['#_Constructed latrines_by_WASHAgencies]]+WWWW[[#This Row],['#_Non Cluster partner latrines]]))</f>
        <v>2</v>
      </c>
      <c r="CS181" s="716">
        <f>1-WWWW[[#This Row],[% people access to functioning Latrine]]</f>
        <v>1</v>
      </c>
      <c r="CT181" s="713">
        <f>IF(OR(WWWW[[#This Row],['#_Non-functional latrines]]="",WWWW[[#This Row],['#_Non-functional latrines]]=0),0,WWWW[[#This Row],['#_Non-functional latrines]]/(WWWW[[#This Row],['#_Constructed latrines_by_WASHAgencies]]+WWWW[[#This Row],['#_Non Cluster partner latrines]]))</f>
        <v>0</v>
      </c>
      <c r="CU181" s="708">
        <f>IF(500*(WWWW[[#This Row],['#_male hygiene promoters]]+WWWW[[#This Row],['#_female hygiene promoters]])&gt;WWWW[[#This Row],[Total PoP ]],WWWW[[#This Row],[Total PoP ]],500*(WWWW[[#This Row],['#_male hygiene promoters]]+WWWW[[#This Row],['#_female hygiene promoters]]))</f>
        <v>0</v>
      </c>
      <c r="CV18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118</v>
      </c>
      <c r="CW18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118</v>
      </c>
      <c r="CX181" s="712">
        <f>IF(WWWW[[#This Row],['# People with access to soap]]&gt;WWWW[[#This Row],['# People with access to Sanity Pads]],WWWW[[#This Row],['# People with access to soap]],WWWW[[#This Row],['# People with access to Sanity Pads]])</f>
        <v>118</v>
      </c>
      <c r="CY181" s="712">
        <f>IF(WWWW[[#This Row],['# people reached by regular dedicated hygiene promotion_5]]&gt;WWWW[[#This Row],['# People received regular supply of hygiene items_6]],WWWW[[#This Row],['# people reached by regular dedicated hygiene promotion_5]],WWWW[[#This Row],['# People received regular supply of hygiene items_6]])</f>
        <v>118</v>
      </c>
      <c r="CZ181" s="714">
        <f>IF(WWWW[[#This Row],[HRP3]]/WWWW[[#This Row],[Total PoP ]]&gt;100%,100%,WWWW[[#This Row],[HRP3]]/WWWW[[#This Row],[Total PoP ]])</f>
        <v>1</v>
      </c>
      <c r="DA181" s="713">
        <f>1-WWWW[[#This Row],[Hygiene Coverage%]]</f>
        <v>0</v>
      </c>
      <c r="DB181" s="710">
        <f>WWWW[[#This Row],['# people reached by regular dedicated hygiene promotion_5]]/WWWW[[#This Row],[Total PoP ]]</f>
        <v>0</v>
      </c>
      <c r="DC181" s="710">
        <f>IF(WWWW[[#This Row],['#_households that received standard amount of soap for this quarter]]/WWWW[[#This Row],[Total HH]]&gt;1,1,WWWW[[#This Row],['#_households that received standard amount of soap for this quarter]]/WWWW[[#This Row],[Total HH]])</f>
        <v>1</v>
      </c>
      <c r="DD181" s="710">
        <f>IF(WWWW[[#This Row],['#_households that received standard amount of sanitary pads for this quarter]]/WWWW[[#This Row],[Total HH]]&gt;1,1,WWWW[[#This Row],['#_households that received standard amount of sanitary pads for this quarter]]/WWWW[[#This Row],[Total HH]])</f>
        <v>1</v>
      </c>
      <c r="DE181" s="712">
        <f>WWWW[[#This Row],['#_Constructed/Existing hand washing stations]]-WWWW[[#This Row],['#_Non-Functional_hand_washing_stations]]</f>
        <v>0</v>
      </c>
      <c r="DF181" s="757">
        <f>IF(WWWW[[#This Row],['# Functional hand washing stations during reporting period]]*20&gt;WWWW[[#This Row],[Total HH]],WWWW[[#This Row],[Total HH]],WWWW[[#This Row],['# Functional hand washing stations during reporting period]]*20)</f>
        <v>0</v>
      </c>
      <c r="DG181" s="708">
        <f>IF(WWWW[[#This Row],[Is sufficient soap available for TLS? (Yes/No)]]="yes",WWWW[[#This Row],['#_Constructed/Existing hand washing stations at TLS]],0)</f>
        <v>0</v>
      </c>
      <c r="DH181" s="736">
        <f>IF(WWWW[[#This Row],['# Functional hand washing stations during reporting period]]*100&gt;WWWW[[#This Row],[Total PoP ]],WWWW[[#This Row],[Total PoP ]],WWWW[[#This Row],['# Functional hand washing stations during reporting period]]*100)</f>
        <v>0</v>
      </c>
      <c r="DI181" s="736" t="str">
        <f>IF(OR(WWWW[[#This Row],['#_students at TLS_CFS]]="",WWWW[[#This Row],['#_students at TLS_CFS]]=0),"No","Yes")</f>
        <v>No</v>
      </c>
      <c r="DJ181" s="711">
        <f>VLOOKUP(WWWW[[#This Row],[Site Name]],SiteDB6[[Site Name]:[CCCM Management]],6,FALSE)</f>
        <v>0</v>
      </c>
      <c r="DK181" s="711">
        <f>VLOOKUP(WWWW[[#This Row],[Site Name]],SiteDB6[[Site Name]:[CCCM Focal Agency]],7,FALSE)</f>
        <v>0</v>
      </c>
      <c r="DL181" s="711" t="str">
        <f>VLOOKUP(WWWW[[#This Row],[Site Name]],SiteDB6[[Site Name]:[Location Type 1]],9,FALSE)</f>
        <v>Temporary location</v>
      </c>
      <c r="DM181" s="711" t="str">
        <f>VLOOKUP(WWWW[[#This Row],[Site Name]],SiteDB6[[Site Name]:[Type of Accommodation]],10,FALSE)</f>
        <v>Temporary location</v>
      </c>
      <c r="DN181" s="711">
        <f>VLOOKUP(WWWW[[#This Row],[Site Name]],SiteDB6[[Site Name]:[Ethnic or GCA/NGCA]],11,FALSE)</f>
        <v>0</v>
      </c>
      <c r="DO181" s="711">
        <f>VLOOKUP(WWWW[[#This Row],[Site Name]],SiteDB6[[Site Name]:[Lat]],12,FALSE)</f>
        <v>0</v>
      </c>
      <c r="DP181" s="711">
        <f>VLOOKUP(WWWW[[#This Row],[Site Name]],SiteDB6[[Site Name]:[Long]],13,FALSE)</f>
        <v>0</v>
      </c>
      <c r="DQ181" s="711">
        <f>VLOOKUP(WWWW[[#This Row],[Site Name]],SiteDB6[[Site Name]:[Pcode]],3,FALSE)</f>
        <v>0</v>
      </c>
      <c r="DR181" s="709" t="str">
        <f t="shared" si="6"/>
        <v>Covered</v>
      </c>
      <c r="DS181" s="709"/>
    </row>
    <row r="182" spans="1:123">
      <c r="A182" s="552" t="s">
        <v>2518</v>
      </c>
      <c r="B182" s="552" t="s">
        <v>2795</v>
      </c>
      <c r="C182" s="555" t="s">
        <v>387</v>
      </c>
      <c r="D182" s="555" t="s">
        <v>2796</v>
      </c>
      <c r="E182" s="574" t="s">
        <v>3005</v>
      </c>
      <c r="F182" s="555" t="s">
        <v>337</v>
      </c>
      <c r="G182" s="574" t="str">
        <f>VLOOKUP(WWWW[[#This Row],[Site Name]],SiteDB6[[Site Name]:[Location Type]],8,FALSE)</f>
        <v>Village</v>
      </c>
      <c r="H182" s="555" t="s">
        <v>2813</v>
      </c>
      <c r="I182" s="557">
        <v>18</v>
      </c>
      <c r="J182" s="557">
        <v>85</v>
      </c>
      <c r="K182" s="564">
        <v>43480</v>
      </c>
      <c r="L182" s="565">
        <v>43723</v>
      </c>
      <c r="M182" s="557"/>
      <c r="N182" s="557"/>
      <c r="O182" s="557"/>
      <c r="P182" s="557"/>
      <c r="Q182" s="556"/>
      <c r="R182" s="557"/>
      <c r="S182" s="557"/>
      <c r="T182" s="557"/>
      <c r="U182" s="557"/>
      <c r="V182" s="557"/>
      <c r="W182" s="557"/>
      <c r="X182" s="557"/>
      <c r="Y182" s="557"/>
      <c r="Z182" s="557"/>
      <c r="AA182" s="557"/>
      <c r="AB182" s="557"/>
      <c r="AC182" s="557"/>
      <c r="AD182" s="557"/>
      <c r="AE182" s="557"/>
      <c r="AF182" s="557"/>
      <c r="AG182" s="557"/>
      <c r="AH182" s="557"/>
      <c r="AI182" s="557"/>
      <c r="AJ182" s="557"/>
      <c r="AK182" s="557"/>
      <c r="AL182" s="557"/>
      <c r="AM182" s="557"/>
      <c r="AN182" s="557"/>
      <c r="AO182" s="563"/>
      <c r="AP182" s="557"/>
      <c r="AQ182" s="557"/>
      <c r="AR182" s="559"/>
      <c r="AS182" s="557"/>
      <c r="AT182" s="557"/>
      <c r="AU182" s="557"/>
      <c r="AV182" s="557"/>
      <c r="AW182" s="557"/>
      <c r="AX182" s="554"/>
      <c r="AY182" s="563"/>
      <c r="AZ182" s="557"/>
      <c r="BA182" s="557"/>
      <c r="BB182" s="557"/>
      <c r="BC182" s="554"/>
      <c r="BD182" s="557"/>
      <c r="BE182" s="557"/>
      <c r="BF182" s="557"/>
      <c r="BG182" s="557"/>
      <c r="BH182" s="557"/>
      <c r="BI182" s="557">
        <v>18</v>
      </c>
      <c r="BJ182" s="557">
        <v>18</v>
      </c>
      <c r="BK182" s="557"/>
      <c r="BL182" s="557"/>
      <c r="BM182" s="554"/>
      <c r="BN182" s="558"/>
      <c r="BO182" s="559"/>
      <c r="BP182" s="554"/>
      <c r="BQ182" s="560" t="str">
        <f>IFERROR(WWWW[[#This Row],['#_Water sources treated]]/WWWW[[#This Row],['#_Water sources tested for contamination]],"no test")</f>
        <v>no test</v>
      </c>
      <c r="BR182" s="559" t="str">
        <f>IFERROR(WWWW[[#This Row],['#_Household received remediation action due to contamination]]/WWWW[[#This Row],['#_Household water samples tested for contamination]],"no test")</f>
        <v>no test</v>
      </c>
      <c r="BS182" s="558" t="str">
        <f>IF(AND(WWWW[[#This Row],[% of water sources treated]]="no test",WWWW[[#This Row],[% Household received corrective actions]]="no test"),"No Test","Tested")</f>
        <v>No Test</v>
      </c>
      <c r="BT182" s="558">
        <f>WWWW[[#This Row],['#_Constructed/existing protected hand dug well]]-WWWW[[#This Row],['#_Non-functional protected hand dug well]]</f>
        <v>0</v>
      </c>
      <c r="BU182" s="558">
        <f>(WWWW[[#This Row],['#_Constructed/Existing tube wells/boreholes/handpumps_WASH_agency]]+WWWW[[#This Row],['#_Non-Cluster partner water tube-wells/boreholes/handpumps]])-WWWW[[#This Row],['#_Non-functional tube wells/boreholes/handpumps]]</f>
        <v>0</v>
      </c>
      <c r="BV182" s="558">
        <f>WWWW[[#This Row],['#_Constructed/Existingwater storage tank with gravity fed reticulation system]]-WWWW[[#This Row],['#_Non-functional storage tank gravity fed reticulation system]]</f>
        <v>0</v>
      </c>
      <c r="BW182" s="558">
        <f>WWWW[[#This Row],['#_Water boating or water trucking]]</f>
        <v>0</v>
      </c>
      <c r="BX182" s="558">
        <f>WWWW[[#This Row],['#_Constructed/Existing water distribution system from river or natural spring]]</f>
        <v>0</v>
      </c>
      <c r="BY18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2" s="559">
        <f>IF(WWWW[[#This Row],[Location Type 1]]="Village",WWWW[[#This Row],[Access to safe drinking water for Village]],WWWW[[#This Row],[Access to safe drinking water for Camp]])</f>
        <v>0</v>
      </c>
      <c r="CB182" s="556">
        <f>WWWW[[#This Row],[%Equitable and continuous access to sufficient quantity of safe drinking water]]*WWWW[[#This Row],[Total PoP ]]</f>
        <v>0</v>
      </c>
      <c r="CC182" s="559">
        <f>IF((WWWW[[#This Row],['#_Constructed/Existing protected/fenced ponds]]*250)/WWWW[[#This Row],[Total PoP ]]&gt;1,1,(WWWW[[#This Row],['#_Constructed/Existing protected/fenced ponds]]*250)/WWWW[[#This Row],[Total PoP ]])</f>
        <v>0</v>
      </c>
      <c r="CD182" s="556">
        <f>WWWW[[#This Row],[% Access to unimproved water points]]*WWWW[[#This Row],[Total PoP ]]</f>
        <v>0</v>
      </c>
      <c r="CE18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2" s="556">
        <f>WWWW[[#This Row],[HRP1]]/500</f>
        <v>0</v>
      </c>
      <c r="CH182" s="561">
        <f>1-WWWW[[#This Row],[% Equitable and continuous access to sufficient quantity of domestic water]]</f>
        <v>1</v>
      </c>
      <c r="CI182" s="556">
        <f>WWWW[[#This Row],[%equitable and continuous access to sufficient quantity of safe drinking and domestic water''s GAP]]*WWWW[[#This Row],[Total PoP ]]</f>
        <v>85</v>
      </c>
      <c r="CJ182" s="558">
        <f>IF(WWWW[[#This Row],[Total required water points]]-WWWW[[#This Row],['#Water points coverage]]&lt;0,0,WWWW[[#This Row],[Total required water points]]-WWWW[[#This Row],['#Water points coverage]])</f>
        <v>1</v>
      </c>
      <c r="CK182" s="558">
        <f>ROUND(IF(WWWW[[#This Row],[Total PoP ]]&lt;500,1,WWWW[[#This Row],[Total PoP ]]/500),0)</f>
        <v>1</v>
      </c>
      <c r="CL182" s="558">
        <f>(WWWW[[#This Row],['#_Constructed latrines_by_WASHAgencies]]+WWWW[[#This Row],['#_Non Cluster partner latrines]])-WWWW[[#This Row],['#_Non-functional latrines]]</f>
        <v>0</v>
      </c>
      <c r="CM18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2" s="558" t="str">
        <f>IF(WWWW[[#This Row],[Location Type 1]]="Village","NA",IF(WWWW[[#This Row],['#_Constructed/Existing latrines in TLS]]*50&gt;WWWW[[#This Row],['#_students at TLS_CFS]],WWWW[[#This Row],['#_students at TLS_CFS]],(WWWW[[#This Row],['#_Constructed/Existing latrines in TLS]]*50)))</f>
        <v>NA</v>
      </c>
      <c r="CQ182" s="558">
        <f>ROUND(IF(WWWW[[#This Row],[Location Type 1]]="camp",WWWW[[#This Row],[Total PoP ]]/20,IF(WWWW[[#This Row],[Location Type 1]]="Temporary Location",WWWW[[#This Row],[Total PoP ]]/50,(WWWW[[#This Row],[Total PoP ]]/6))),0)</f>
        <v>14</v>
      </c>
      <c r="CR182" s="558">
        <f>IF(WWWW[[#This Row],[Total required Latrines]]-(WWWW[[#This Row],['#_Constructed latrines_by_WASHAgencies]]+WWWW[[#This Row],['#_Non Cluster partner latrines]])&lt;0,0,WWWW[[#This Row],[Total required Latrines]]-(WWWW[[#This Row],['#_Constructed latrines_by_WASHAgencies]]+WWWW[[#This Row],['#_Non Cluster partner latrines]]))</f>
        <v>14</v>
      </c>
      <c r="CS182" s="78">
        <f>1-WWWW[[#This Row],[% people access to functioning Latrine]]</f>
        <v>1</v>
      </c>
      <c r="CT182" s="560">
        <f>IF(OR(WWWW[[#This Row],['#_Non-functional latrines]]="",WWWW[[#This Row],['#_Non-functional latrines]]=0),0,WWWW[[#This Row],['#_Non-functional latrines]]/(WWWW[[#This Row],['#_Constructed latrines_by_WASHAgencies]]+WWWW[[#This Row],['#_Non Cluster partner latrines]]))</f>
        <v>0</v>
      </c>
      <c r="CU182" s="556">
        <f>IF(500*(WWWW[[#This Row],['#_male hygiene promoters]]+WWWW[[#This Row],['#_female hygiene promoters]])&gt;WWWW[[#This Row],[Total PoP ]],WWWW[[#This Row],[Total PoP ]],500*(WWWW[[#This Row],['#_male hygiene promoters]]+WWWW[[#This Row],['#_female hygiene promoters]]))</f>
        <v>85</v>
      </c>
      <c r="CV18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2" s="558">
        <f>IF(WWWW[[#This Row],['# People with access to soap]]&gt;WWWW[[#This Row],['# People with access to Sanity Pads]],WWWW[[#This Row],['# People with access to soap]],WWWW[[#This Row],['# People with access to Sanity Pads]])</f>
        <v>0</v>
      </c>
      <c r="CY182" s="558">
        <f>IF(WWWW[[#This Row],['# people reached by regular dedicated hygiene promotion_5]]&gt;WWWW[[#This Row],['# People received regular supply of hygiene items_6]],WWWW[[#This Row],['# people reached by regular dedicated hygiene promotion_5]],WWWW[[#This Row],['# People received regular supply of hygiene items_6]])</f>
        <v>85</v>
      </c>
      <c r="CZ182" s="561">
        <f>IF(WWWW[[#This Row],[HRP3]]/WWWW[[#This Row],[Total PoP ]]&gt;100%,100%,WWWW[[#This Row],[HRP3]]/WWWW[[#This Row],[Total PoP ]])</f>
        <v>1</v>
      </c>
      <c r="DA182" s="560">
        <f>1-WWWW[[#This Row],[Hygiene Coverage%]]</f>
        <v>0</v>
      </c>
      <c r="DB182" s="559">
        <f>WWWW[[#This Row],['# people reached by regular dedicated hygiene promotion_5]]/WWWW[[#This Row],[Total PoP ]]</f>
        <v>1</v>
      </c>
      <c r="DC182" s="559">
        <f>IF(WWWW[[#This Row],['#_households that received standard amount of soap for this quarter]]/WWWW[[#This Row],[Total HH]]&gt;1,1,WWWW[[#This Row],['#_households that received standard amount of soap for this quarter]]/WWWW[[#This Row],[Total HH]])</f>
        <v>0</v>
      </c>
      <c r="DD182" s="559">
        <f>IF(WWWW[[#This Row],['#_households that received standard amount of sanitary pads for this quarter]]/WWWW[[#This Row],[Total HH]]&gt;1,1,WWWW[[#This Row],['#_households that received standard amount of sanitary pads for this quarter]]/WWWW[[#This Row],[Total HH]])</f>
        <v>0</v>
      </c>
      <c r="DE182" s="558">
        <f>WWWW[[#This Row],['#_Constructed/Existing hand washing stations]]-WWWW[[#This Row],['#_Non-Functional_hand_washing_stations]]</f>
        <v>0</v>
      </c>
      <c r="DF182" s="757">
        <f>IF(WWWW[[#This Row],['# Functional hand washing stations during reporting period]]*20&gt;WWWW[[#This Row],[Total HH]],WWWW[[#This Row],[Total HH]],WWWW[[#This Row],['# Functional hand washing stations during reporting period]]*20)</f>
        <v>0</v>
      </c>
      <c r="DG182" s="556">
        <f>IF(WWWW[[#This Row],[Is sufficient soap available for TLS? (Yes/No)]]="yes",WWWW[[#This Row],['#_Constructed/Existing hand washing stations at TLS]],0)</f>
        <v>0</v>
      </c>
      <c r="DH182" s="556">
        <f>IF(WWWW[[#This Row],['# Functional hand washing stations during reporting period]]*100&gt;WWWW[[#This Row],[Total PoP ]],WWWW[[#This Row],[Total PoP ]],WWWW[[#This Row],['# Functional hand washing stations during reporting period]]*100)</f>
        <v>0</v>
      </c>
      <c r="DI182" s="556" t="str">
        <f>IF(OR(WWWW[[#This Row],['#_students at TLS_CFS]]="",WWWW[[#This Row],['#_students at TLS_CFS]]=0),"No","Yes")</f>
        <v>No</v>
      </c>
      <c r="DJ182" s="554">
        <f>VLOOKUP(WWWW[[#This Row],[Site Name]],SiteDB6[[Site Name]:[CCCM Management]],6,FALSE)</f>
        <v>0</v>
      </c>
      <c r="DK182" s="554">
        <f>VLOOKUP(WWWW[[#This Row],[Site Name]],SiteDB6[[Site Name]:[CCCM Focal Agency]],7,FALSE)</f>
        <v>0</v>
      </c>
      <c r="DL182" s="554" t="str">
        <f>VLOOKUP(WWWW[[#This Row],[Site Name]],SiteDB6[[Site Name]:[Location Type 1]],9,FALSE)</f>
        <v>Village</v>
      </c>
      <c r="DM182" s="554" t="str">
        <f>VLOOKUP(WWWW[[#This Row],[Site Name]],SiteDB6[[Site Name]:[Type of Accommodation]],10,FALSE)</f>
        <v>Village</v>
      </c>
      <c r="DN182" s="554" t="str">
        <f>VLOOKUP(WWWW[[#This Row],[Site Name]],SiteDB6[[Site Name]:[Ethnic or GCA/NGCA]],11,FALSE)</f>
        <v>Rakhine</v>
      </c>
      <c r="DO182" s="554">
        <f>VLOOKUP(WWWW[[#This Row],[Site Name]],SiteDB6[[Site Name]:[Lat]],12,FALSE)</f>
        <v>20.892290119999998</v>
      </c>
      <c r="DP182" s="554">
        <f>VLOOKUP(WWWW[[#This Row],[Site Name]],SiteDB6[[Site Name]:[Long]],13,FALSE)</f>
        <v>92.550079350000004</v>
      </c>
      <c r="DQ182" s="554">
        <f>VLOOKUP(WWWW[[#This Row],[Site Name]],SiteDB6[[Site Name]:[Pcode]],3,FALSE)</f>
        <v>198303</v>
      </c>
      <c r="DR182" s="563" t="str">
        <f t="shared" si="6"/>
        <v>Covered</v>
      </c>
      <c r="DS182" s="563"/>
    </row>
    <row r="183" spans="1:123">
      <c r="A183" s="552" t="s">
        <v>2518</v>
      </c>
      <c r="B183" s="552" t="s">
        <v>2795</v>
      </c>
      <c r="C183" s="555" t="s">
        <v>387</v>
      </c>
      <c r="D183" s="555" t="s">
        <v>2796</v>
      </c>
      <c r="E183" s="574" t="s">
        <v>3005</v>
      </c>
      <c r="F183" s="555" t="s">
        <v>337</v>
      </c>
      <c r="G183" s="574" t="str">
        <f>VLOOKUP(WWWW[[#This Row],[Site Name]],SiteDB6[[Site Name]:[Location Type]],8,FALSE)</f>
        <v>Village</v>
      </c>
      <c r="H183" s="555" t="s">
        <v>2810</v>
      </c>
      <c r="I183" s="557">
        <v>162</v>
      </c>
      <c r="J183" s="557">
        <v>927</v>
      </c>
      <c r="K183" s="564">
        <v>43480</v>
      </c>
      <c r="L183" s="565">
        <v>43723</v>
      </c>
      <c r="M183" s="557"/>
      <c r="N183" s="557"/>
      <c r="O183" s="557"/>
      <c r="P183" s="557"/>
      <c r="Q183" s="556"/>
      <c r="R183" s="557"/>
      <c r="S183" s="557"/>
      <c r="T183" s="557"/>
      <c r="U183" s="557"/>
      <c r="V183" s="557"/>
      <c r="W183" s="557"/>
      <c r="X183" s="557"/>
      <c r="Y183" s="557"/>
      <c r="Z183" s="557"/>
      <c r="AA183" s="557"/>
      <c r="AB183" s="557"/>
      <c r="AC183" s="557"/>
      <c r="AD183" s="557"/>
      <c r="AE183" s="557"/>
      <c r="AF183" s="557"/>
      <c r="AG183" s="557"/>
      <c r="AH183" s="557"/>
      <c r="AI183" s="557"/>
      <c r="AJ183" s="557"/>
      <c r="AK183" s="557"/>
      <c r="AL183" s="557"/>
      <c r="AM183" s="557"/>
      <c r="AN183" s="557"/>
      <c r="AO183" s="563"/>
      <c r="AP183" s="557"/>
      <c r="AQ183" s="557"/>
      <c r="AR183" s="559"/>
      <c r="AS183" s="557"/>
      <c r="AT183" s="557"/>
      <c r="AU183" s="557"/>
      <c r="AV183" s="557"/>
      <c r="AW183" s="557"/>
      <c r="AX183" s="554"/>
      <c r="AY183" s="563"/>
      <c r="AZ183" s="557"/>
      <c r="BA183" s="557"/>
      <c r="BB183" s="557"/>
      <c r="BC183" s="554"/>
      <c r="BD183" s="557"/>
      <c r="BE183" s="557"/>
      <c r="BF183" s="557"/>
      <c r="BG183" s="557"/>
      <c r="BH183" s="557"/>
      <c r="BI183" s="557">
        <v>162</v>
      </c>
      <c r="BJ183" s="557">
        <v>162</v>
      </c>
      <c r="BK183" s="557"/>
      <c r="BL183" s="557"/>
      <c r="BM183" s="554"/>
      <c r="BN183" s="558"/>
      <c r="BO183" s="559"/>
      <c r="BP183" s="554"/>
      <c r="BQ183" s="560" t="str">
        <f>IFERROR(WWWW[[#This Row],['#_Water sources treated]]/WWWW[[#This Row],['#_Water sources tested for contamination]],"no test")</f>
        <v>no test</v>
      </c>
      <c r="BR183" s="559" t="str">
        <f>IFERROR(WWWW[[#This Row],['#_Household received remediation action due to contamination]]/WWWW[[#This Row],['#_Household water samples tested for contamination]],"no test")</f>
        <v>no test</v>
      </c>
      <c r="BS183" s="558" t="str">
        <f>IF(AND(WWWW[[#This Row],[% of water sources treated]]="no test",WWWW[[#This Row],[% Household received corrective actions]]="no test"),"No Test","Tested")</f>
        <v>No Test</v>
      </c>
      <c r="BT183" s="558">
        <f>WWWW[[#This Row],['#_Constructed/existing protected hand dug well]]-WWWW[[#This Row],['#_Non-functional protected hand dug well]]</f>
        <v>0</v>
      </c>
      <c r="BU183" s="558">
        <f>(WWWW[[#This Row],['#_Constructed/Existing tube wells/boreholes/handpumps_WASH_agency]]+WWWW[[#This Row],['#_Non-Cluster partner water tube-wells/boreholes/handpumps]])-WWWW[[#This Row],['#_Non-functional tube wells/boreholes/handpumps]]</f>
        <v>0</v>
      </c>
      <c r="BV183" s="558">
        <f>WWWW[[#This Row],['#_Constructed/Existingwater storage tank with gravity fed reticulation system]]-WWWW[[#This Row],['#_Non-functional storage tank gravity fed reticulation system]]</f>
        <v>0</v>
      </c>
      <c r="BW183" s="558">
        <f>WWWW[[#This Row],['#_Water boating or water trucking]]</f>
        <v>0</v>
      </c>
      <c r="BX183" s="558">
        <f>WWWW[[#This Row],['#_Constructed/Existing water distribution system from river or natural spring]]</f>
        <v>0</v>
      </c>
      <c r="BY18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3" s="559">
        <f>IF(WWWW[[#This Row],[Location Type 1]]="Village",WWWW[[#This Row],[Access to safe drinking water for Village]],WWWW[[#This Row],[Access to safe drinking water for Camp]])</f>
        <v>0</v>
      </c>
      <c r="CB183" s="556">
        <f>WWWW[[#This Row],[%Equitable and continuous access to sufficient quantity of safe drinking water]]*WWWW[[#This Row],[Total PoP ]]</f>
        <v>0</v>
      </c>
      <c r="CC183" s="559">
        <f>IF((WWWW[[#This Row],['#_Constructed/Existing protected/fenced ponds]]*250)/WWWW[[#This Row],[Total PoP ]]&gt;1,1,(WWWW[[#This Row],['#_Constructed/Existing protected/fenced ponds]]*250)/WWWW[[#This Row],[Total PoP ]])</f>
        <v>0</v>
      </c>
      <c r="CD183" s="556">
        <f>WWWW[[#This Row],[% Access to unimproved water points]]*WWWW[[#This Row],[Total PoP ]]</f>
        <v>0</v>
      </c>
      <c r="CE18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3" s="556">
        <f>WWWW[[#This Row],[HRP1]]/500</f>
        <v>0</v>
      </c>
      <c r="CH183" s="561">
        <f>1-WWWW[[#This Row],[% Equitable and continuous access to sufficient quantity of domestic water]]</f>
        <v>1</v>
      </c>
      <c r="CI183" s="556">
        <f>WWWW[[#This Row],[%equitable and continuous access to sufficient quantity of safe drinking and domestic water''s GAP]]*WWWW[[#This Row],[Total PoP ]]</f>
        <v>927</v>
      </c>
      <c r="CJ183" s="558">
        <f>IF(WWWW[[#This Row],[Total required water points]]-WWWW[[#This Row],['#Water points coverage]]&lt;0,0,WWWW[[#This Row],[Total required water points]]-WWWW[[#This Row],['#Water points coverage]])</f>
        <v>2</v>
      </c>
      <c r="CK183" s="558">
        <f>ROUND(IF(WWWW[[#This Row],[Total PoP ]]&lt;500,1,WWWW[[#This Row],[Total PoP ]]/500),0)</f>
        <v>2</v>
      </c>
      <c r="CL183" s="558">
        <f>(WWWW[[#This Row],['#_Constructed latrines_by_WASHAgencies]]+WWWW[[#This Row],['#_Non Cluster partner latrines]])-WWWW[[#This Row],['#_Non-functional latrines]]</f>
        <v>0</v>
      </c>
      <c r="CM18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3" s="558" t="str">
        <f>IF(WWWW[[#This Row],[Location Type 1]]="Village","NA",IF(WWWW[[#This Row],['#_Constructed/Existing latrines in TLS]]*50&gt;WWWW[[#This Row],['#_students at TLS_CFS]],WWWW[[#This Row],['#_students at TLS_CFS]],(WWWW[[#This Row],['#_Constructed/Existing latrines in TLS]]*50)))</f>
        <v>NA</v>
      </c>
      <c r="CQ183" s="558">
        <f>ROUND(IF(WWWW[[#This Row],[Location Type 1]]="camp",WWWW[[#This Row],[Total PoP ]]/20,IF(WWWW[[#This Row],[Location Type 1]]="Temporary Location",WWWW[[#This Row],[Total PoP ]]/50,(WWWW[[#This Row],[Total PoP ]]/6))),0)</f>
        <v>155</v>
      </c>
      <c r="CR183" s="558">
        <f>IF(WWWW[[#This Row],[Total required Latrines]]-(WWWW[[#This Row],['#_Constructed latrines_by_WASHAgencies]]+WWWW[[#This Row],['#_Non Cluster partner latrines]])&lt;0,0,WWWW[[#This Row],[Total required Latrines]]-(WWWW[[#This Row],['#_Constructed latrines_by_WASHAgencies]]+WWWW[[#This Row],['#_Non Cluster partner latrines]]))</f>
        <v>155</v>
      </c>
      <c r="CS183" s="78">
        <f>1-WWWW[[#This Row],[% people access to functioning Latrine]]</f>
        <v>1</v>
      </c>
      <c r="CT183" s="560">
        <f>IF(OR(WWWW[[#This Row],['#_Non-functional latrines]]="",WWWW[[#This Row],['#_Non-functional latrines]]=0),0,WWWW[[#This Row],['#_Non-functional latrines]]/(WWWW[[#This Row],['#_Constructed latrines_by_WASHAgencies]]+WWWW[[#This Row],['#_Non Cluster partner latrines]]))</f>
        <v>0</v>
      </c>
      <c r="CU183" s="556">
        <f>IF(500*(WWWW[[#This Row],['#_male hygiene promoters]]+WWWW[[#This Row],['#_female hygiene promoters]])&gt;WWWW[[#This Row],[Total PoP ]],WWWW[[#This Row],[Total PoP ]],500*(WWWW[[#This Row],['#_male hygiene promoters]]+WWWW[[#This Row],['#_female hygiene promoters]]))</f>
        <v>927</v>
      </c>
      <c r="CV18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3" s="558">
        <f>IF(WWWW[[#This Row],['# People with access to soap]]&gt;WWWW[[#This Row],['# People with access to Sanity Pads]],WWWW[[#This Row],['# People with access to soap]],WWWW[[#This Row],['# People with access to Sanity Pads]])</f>
        <v>0</v>
      </c>
      <c r="CY183" s="558">
        <f>IF(WWWW[[#This Row],['# people reached by regular dedicated hygiene promotion_5]]&gt;WWWW[[#This Row],['# People received regular supply of hygiene items_6]],WWWW[[#This Row],['# people reached by regular dedicated hygiene promotion_5]],WWWW[[#This Row],['# People received regular supply of hygiene items_6]])</f>
        <v>927</v>
      </c>
      <c r="CZ183" s="561">
        <f>IF(WWWW[[#This Row],[HRP3]]/WWWW[[#This Row],[Total PoP ]]&gt;100%,100%,WWWW[[#This Row],[HRP3]]/WWWW[[#This Row],[Total PoP ]])</f>
        <v>1</v>
      </c>
      <c r="DA183" s="560">
        <f>1-WWWW[[#This Row],[Hygiene Coverage%]]</f>
        <v>0</v>
      </c>
      <c r="DB183" s="559">
        <f>WWWW[[#This Row],['# people reached by regular dedicated hygiene promotion_5]]/WWWW[[#This Row],[Total PoP ]]</f>
        <v>1</v>
      </c>
      <c r="DC183" s="559">
        <f>IF(WWWW[[#This Row],['#_households that received standard amount of soap for this quarter]]/WWWW[[#This Row],[Total HH]]&gt;1,1,WWWW[[#This Row],['#_households that received standard amount of soap for this quarter]]/WWWW[[#This Row],[Total HH]])</f>
        <v>0</v>
      </c>
      <c r="DD183" s="559">
        <f>IF(WWWW[[#This Row],['#_households that received standard amount of sanitary pads for this quarter]]/WWWW[[#This Row],[Total HH]]&gt;1,1,WWWW[[#This Row],['#_households that received standard amount of sanitary pads for this quarter]]/WWWW[[#This Row],[Total HH]])</f>
        <v>0</v>
      </c>
      <c r="DE183" s="558">
        <f>WWWW[[#This Row],['#_Constructed/Existing hand washing stations]]-WWWW[[#This Row],['#_Non-Functional_hand_washing_stations]]</f>
        <v>0</v>
      </c>
      <c r="DF183" s="757">
        <f>IF(WWWW[[#This Row],['# Functional hand washing stations during reporting period]]*20&gt;WWWW[[#This Row],[Total HH]],WWWW[[#This Row],[Total HH]],WWWW[[#This Row],['# Functional hand washing stations during reporting period]]*20)</f>
        <v>0</v>
      </c>
      <c r="DG183" s="556">
        <f>IF(WWWW[[#This Row],[Is sufficient soap available for TLS? (Yes/No)]]="yes",WWWW[[#This Row],['#_Constructed/Existing hand washing stations at TLS]],0)</f>
        <v>0</v>
      </c>
      <c r="DH183" s="556">
        <f>IF(WWWW[[#This Row],['# Functional hand washing stations during reporting period]]*100&gt;WWWW[[#This Row],[Total PoP ]],WWWW[[#This Row],[Total PoP ]],WWWW[[#This Row],['# Functional hand washing stations during reporting period]]*100)</f>
        <v>0</v>
      </c>
      <c r="DI183" s="556" t="str">
        <f>IF(OR(WWWW[[#This Row],['#_students at TLS_CFS]]="",WWWW[[#This Row],['#_students at TLS_CFS]]=0),"No","Yes")</f>
        <v>No</v>
      </c>
      <c r="DJ183" s="554">
        <f>VLOOKUP(WWWW[[#This Row],[Site Name]],SiteDB6[[Site Name]:[CCCM Management]],6,FALSE)</f>
        <v>0</v>
      </c>
      <c r="DK183" s="554">
        <f>VLOOKUP(WWWW[[#This Row],[Site Name]],SiteDB6[[Site Name]:[CCCM Focal Agency]],7,FALSE)</f>
        <v>0</v>
      </c>
      <c r="DL183" s="554" t="str">
        <f>VLOOKUP(WWWW[[#This Row],[Site Name]],SiteDB6[[Site Name]:[Location Type 1]],9,FALSE)</f>
        <v>Village</v>
      </c>
      <c r="DM183" s="554" t="str">
        <f>VLOOKUP(WWWW[[#This Row],[Site Name]],SiteDB6[[Site Name]:[Type of Accommodation]],10,FALSE)</f>
        <v>Village</v>
      </c>
      <c r="DN183" s="554" t="str">
        <f>VLOOKUP(WWWW[[#This Row],[Site Name]],SiteDB6[[Site Name]:[Ethnic or GCA/NGCA]],11,FALSE)</f>
        <v>Muslim</v>
      </c>
      <c r="DO183" s="554">
        <f>VLOOKUP(WWWW[[#This Row],[Site Name]],SiteDB6[[Site Name]:[Lat]],12,FALSE)</f>
        <v>0</v>
      </c>
      <c r="DP183" s="554">
        <f>VLOOKUP(WWWW[[#This Row],[Site Name]],SiteDB6[[Site Name]:[Long]],13,FALSE)</f>
        <v>0</v>
      </c>
      <c r="DQ183" s="554">
        <f>VLOOKUP(WWWW[[#This Row],[Site Name]],SiteDB6[[Site Name]:[Pcode]],3,FALSE)</f>
        <v>198405</v>
      </c>
      <c r="DR183" s="563" t="str">
        <f t="shared" si="6"/>
        <v>Covered</v>
      </c>
      <c r="DS183" s="563"/>
    </row>
    <row r="184" spans="1:123">
      <c r="A184" s="552" t="s">
        <v>2518</v>
      </c>
      <c r="B184" s="552" t="s">
        <v>2795</v>
      </c>
      <c r="C184" s="555" t="s">
        <v>387</v>
      </c>
      <c r="D184" s="555" t="s">
        <v>2796</v>
      </c>
      <c r="E184" s="574" t="s">
        <v>3005</v>
      </c>
      <c r="F184" s="555" t="s">
        <v>337</v>
      </c>
      <c r="G184" s="574" t="str">
        <f>VLOOKUP(WWWW[[#This Row],[Site Name]],SiteDB6[[Site Name]:[Location Type]],8,FALSE)</f>
        <v>Village</v>
      </c>
      <c r="H184" s="555" t="s">
        <v>2799</v>
      </c>
      <c r="I184" s="557">
        <v>152</v>
      </c>
      <c r="J184" s="557">
        <v>798</v>
      </c>
      <c r="K184" s="564">
        <v>43480</v>
      </c>
      <c r="L184" s="565">
        <v>43723</v>
      </c>
      <c r="M184" s="557"/>
      <c r="N184" s="557"/>
      <c r="O184" s="557"/>
      <c r="P184" s="557"/>
      <c r="Q184" s="556"/>
      <c r="R184" s="557"/>
      <c r="S184" s="557"/>
      <c r="T184" s="557"/>
      <c r="U184" s="557"/>
      <c r="V184" s="557"/>
      <c r="W184" s="557"/>
      <c r="X184" s="557"/>
      <c r="Y184" s="557"/>
      <c r="Z184" s="557"/>
      <c r="AA184" s="557"/>
      <c r="AB184" s="557"/>
      <c r="AC184" s="557"/>
      <c r="AD184" s="557"/>
      <c r="AE184" s="557"/>
      <c r="AF184" s="557"/>
      <c r="AG184" s="557"/>
      <c r="AH184" s="557"/>
      <c r="AI184" s="557"/>
      <c r="AJ184" s="557"/>
      <c r="AK184" s="557"/>
      <c r="AL184" s="557"/>
      <c r="AM184" s="557"/>
      <c r="AN184" s="557"/>
      <c r="AO184" s="563"/>
      <c r="AP184" s="557"/>
      <c r="AQ184" s="557"/>
      <c r="AR184" s="559"/>
      <c r="AS184" s="557"/>
      <c r="AT184" s="557"/>
      <c r="AU184" s="557"/>
      <c r="AV184" s="557"/>
      <c r="AW184" s="557"/>
      <c r="AX184" s="554"/>
      <c r="AY184" s="563"/>
      <c r="AZ184" s="557"/>
      <c r="BA184" s="557"/>
      <c r="BB184" s="557"/>
      <c r="BC184" s="554"/>
      <c r="BD184" s="557"/>
      <c r="BE184" s="557"/>
      <c r="BF184" s="557"/>
      <c r="BG184" s="557"/>
      <c r="BH184" s="557"/>
      <c r="BI184" s="557">
        <v>152</v>
      </c>
      <c r="BJ184" s="557">
        <v>152</v>
      </c>
      <c r="BK184" s="557"/>
      <c r="BL184" s="557"/>
      <c r="BM184" s="554"/>
      <c r="BN184" s="558"/>
      <c r="BO184" s="559"/>
      <c r="BP184" s="554"/>
      <c r="BQ184" s="560" t="str">
        <f>IFERROR(WWWW[[#This Row],['#_Water sources treated]]/WWWW[[#This Row],['#_Water sources tested for contamination]],"no test")</f>
        <v>no test</v>
      </c>
      <c r="BR184" s="559" t="str">
        <f>IFERROR(WWWW[[#This Row],['#_Household received remediation action due to contamination]]/WWWW[[#This Row],['#_Household water samples tested for contamination]],"no test")</f>
        <v>no test</v>
      </c>
      <c r="BS184" s="558" t="str">
        <f>IF(AND(WWWW[[#This Row],[% of water sources treated]]="no test",WWWW[[#This Row],[% Household received corrective actions]]="no test"),"No Test","Tested")</f>
        <v>No Test</v>
      </c>
      <c r="BT184" s="558">
        <f>WWWW[[#This Row],['#_Constructed/existing protected hand dug well]]-WWWW[[#This Row],['#_Non-functional protected hand dug well]]</f>
        <v>0</v>
      </c>
      <c r="BU184" s="558">
        <f>(WWWW[[#This Row],['#_Constructed/Existing tube wells/boreholes/handpumps_WASH_agency]]+WWWW[[#This Row],['#_Non-Cluster partner water tube-wells/boreholes/handpumps]])-WWWW[[#This Row],['#_Non-functional tube wells/boreholes/handpumps]]</f>
        <v>0</v>
      </c>
      <c r="BV184" s="558">
        <f>WWWW[[#This Row],['#_Constructed/Existingwater storage tank with gravity fed reticulation system]]-WWWW[[#This Row],['#_Non-functional storage tank gravity fed reticulation system]]</f>
        <v>0</v>
      </c>
      <c r="BW184" s="558">
        <f>WWWW[[#This Row],['#_Water boating or water trucking]]</f>
        <v>0</v>
      </c>
      <c r="BX184" s="558">
        <f>WWWW[[#This Row],['#_Constructed/Existing water distribution system from river or natural spring]]</f>
        <v>0</v>
      </c>
      <c r="BY18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4" s="559">
        <f>IF(WWWW[[#This Row],[Location Type 1]]="Village",WWWW[[#This Row],[Access to safe drinking water for Village]],WWWW[[#This Row],[Access to safe drinking water for Camp]])</f>
        <v>0</v>
      </c>
      <c r="CB184" s="556">
        <f>WWWW[[#This Row],[%Equitable and continuous access to sufficient quantity of safe drinking water]]*WWWW[[#This Row],[Total PoP ]]</f>
        <v>0</v>
      </c>
      <c r="CC184" s="559">
        <f>IF((WWWW[[#This Row],['#_Constructed/Existing protected/fenced ponds]]*250)/WWWW[[#This Row],[Total PoP ]]&gt;1,1,(WWWW[[#This Row],['#_Constructed/Existing protected/fenced ponds]]*250)/WWWW[[#This Row],[Total PoP ]])</f>
        <v>0</v>
      </c>
      <c r="CD184" s="556">
        <f>WWWW[[#This Row],[% Access to unimproved water points]]*WWWW[[#This Row],[Total PoP ]]</f>
        <v>0</v>
      </c>
      <c r="CE18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4" s="556">
        <f>WWWW[[#This Row],[HRP1]]/500</f>
        <v>0</v>
      </c>
      <c r="CH184" s="561">
        <f>1-WWWW[[#This Row],[% Equitable and continuous access to sufficient quantity of domestic water]]</f>
        <v>1</v>
      </c>
      <c r="CI184" s="556">
        <f>WWWW[[#This Row],[%equitable and continuous access to sufficient quantity of safe drinking and domestic water''s GAP]]*WWWW[[#This Row],[Total PoP ]]</f>
        <v>798</v>
      </c>
      <c r="CJ184" s="558">
        <f>IF(WWWW[[#This Row],[Total required water points]]-WWWW[[#This Row],['#Water points coverage]]&lt;0,0,WWWW[[#This Row],[Total required water points]]-WWWW[[#This Row],['#Water points coverage]])</f>
        <v>2</v>
      </c>
      <c r="CK184" s="558">
        <f>ROUND(IF(WWWW[[#This Row],[Total PoP ]]&lt;500,1,WWWW[[#This Row],[Total PoP ]]/500),0)</f>
        <v>2</v>
      </c>
      <c r="CL184" s="558">
        <f>(WWWW[[#This Row],['#_Constructed latrines_by_WASHAgencies]]+WWWW[[#This Row],['#_Non Cluster partner latrines]])-WWWW[[#This Row],['#_Non-functional latrines]]</f>
        <v>0</v>
      </c>
      <c r="CM18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4" s="558" t="str">
        <f>IF(WWWW[[#This Row],[Location Type 1]]="Village","NA",IF(WWWW[[#This Row],['#_Constructed/Existing latrines in TLS]]*50&gt;WWWW[[#This Row],['#_students at TLS_CFS]],WWWW[[#This Row],['#_students at TLS_CFS]],(WWWW[[#This Row],['#_Constructed/Existing latrines in TLS]]*50)))</f>
        <v>NA</v>
      </c>
      <c r="CQ184" s="558">
        <f>ROUND(IF(WWWW[[#This Row],[Location Type 1]]="camp",WWWW[[#This Row],[Total PoP ]]/20,IF(WWWW[[#This Row],[Location Type 1]]="Temporary Location",WWWW[[#This Row],[Total PoP ]]/50,(WWWW[[#This Row],[Total PoP ]]/6))),0)</f>
        <v>133</v>
      </c>
      <c r="CR184" s="558">
        <f>IF(WWWW[[#This Row],[Total required Latrines]]-(WWWW[[#This Row],['#_Constructed latrines_by_WASHAgencies]]+WWWW[[#This Row],['#_Non Cluster partner latrines]])&lt;0,0,WWWW[[#This Row],[Total required Latrines]]-(WWWW[[#This Row],['#_Constructed latrines_by_WASHAgencies]]+WWWW[[#This Row],['#_Non Cluster partner latrines]]))</f>
        <v>133</v>
      </c>
      <c r="CS184" s="78">
        <f>1-WWWW[[#This Row],[% people access to functioning Latrine]]</f>
        <v>1</v>
      </c>
      <c r="CT184" s="560">
        <f>IF(OR(WWWW[[#This Row],['#_Non-functional latrines]]="",WWWW[[#This Row],['#_Non-functional latrines]]=0),0,WWWW[[#This Row],['#_Non-functional latrines]]/(WWWW[[#This Row],['#_Constructed latrines_by_WASHAgencies]]+WWWW[[#This Row],['#_Non Cluster partner latrines]]))</f>
        <v>0</v>
      </c>
      <c r="CU184" s="556">
        <f>IF(500*(WWWW[[#This Row],['#_male hygiene promoters]]+WWWW[[#This Row],['#_female hygiene promoters]])&gt;WWWW[[#This Row],[Total PoP ]],WWWW[[#This Row],[Total PoP ]],500*(WWWW[[#This Row],['#_male hygiene promoters]]+WWWW[[#This Row],['#_female hygiene promoters]]))</f>
        <v>798</v>
      </c>
      <c r="CV18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4" s="558">
        <f>IF(WWWW[[#This Row],['# People with access to soap]]&gt;WWWW[[#This Row],['# People with access to Sanity Pads]],WWWW[[#This Row],['# People with access to soap]],WWWW[[#This Row],['# People with access to Sanity Pads]])</f>
        <v>0</v>
      </c>
      <c r="CY184" s="558">
        <f>IF(WWWW[[#This Row],['# people reached by regular dedicated hygiene promotion_5]]&gt;WWWW[[#This Row],['# People received regular supply of hygiene items_6]],WWWW[[#This Row],['# people reached by regular dedicated hygiene promotion_5]],WWWW[[#This Row],['# People received regular supply of hygiene items_6]])</f>
        <v>798</v>
      </c>
      <c r="CZ184" s="561">
        <f>IF(WWWW[[#This Row],[HRP3]]/WWWW[[#This Row],[Total PoP ]]&gt;100%,100%,WWWW[[#This Row],[HRP3]]/WWWW[[#This Row],[Total PoP ]])</f>
        <v>1</v>
      </c>
      <c r="DA184" s="560">
        <f>1-WWWW[[#This Row],[Hygiene Coverage%]]</f>
        <v>0</v>
      </c>
      <c r="DB184" s="559">
        <f>WWWW[[#This Row],['# people reached by regular dedicated hygiene promotion_5]]/WWWW[[#This Row],[Total PoP ]]</f>
        <v>1</v>
      </c>
      <c r="DC184" s="559">
        <f>IF(WWWW[[#This Row],['#_households that received standard amount of soap for this quarter]]/WWWW[[#This Row],[Total HH]]&gt;1,1,WWWW[[#This Row],['#_households that received standard amount of soap for this quarter]]/WWWW[[#This Row],[Total HH]])</f>
        <v>0</v>
      </c>
      <c r="DD184" s="559">
        <f>IF(WWWW[[#This Row],['#_households that received standard amount of sanitary pads for this quarter]]/WWWW[[#This Row],[Total HH]]&gt;1,1,WWWW[[#This Row],['#_households that received standard amount of sanitary pads for this quarter]]/WWWW[[#This Row],[Total HH]])</f>
        <v>0</v>
      </c>
      <c r="DE184" s="558">
        <f>WWWW[[#This Row],['#_Constructed/Existing hand washing stations]]-WWWW[[#This Row],['#_Non-Functional_hand_washing_stations]]</f>
        <v>0</v>
      </c>
      <c r="DF184" s="757">
        <f>IF(WWWW[[#This Row],['# Functional hand washing stations during reporting period]]*20&gt;WWWW[[#This Row],[Total HH]],WWWW[[#This Row],[Total HH]],WWWW[[#This Row],['# Functional hand washing stations during reporting period]]*20)</f>
        <v>0</v>
      </c>
      <c r="DG184" s="556">
        <f>IF(WWWW[[#This Row],[Is sufficient soap available for TLS? (Yes/No)]]="yes",WWWW[[#This Row],['#_Constructed/Existing hand washing stations at TLS]],0)</f>
        <v>0</v>
      </c>
      <c r="DH184" s="556">
        <f>IF(WWWW[[#This Row],['# Functional hand washing stations during reporting period]]*100&gt;WWWW[[#This Row],[Total PoP ]],WWWW[[#This Row],[Total PoP ]],WWWW[[#This Row],['# Functional hand washing stations during reporting period]]*100)</f>
        <v>0</v>
      </c>
      <c r="DI184" s="556" t="str">
        <f>IF(OR(WWWW[[#This Row],['#_students at TLS_CFS]]="",WWWW[[#This Row],['#_students at TLS_CFS]]=0),"No","Yes")</f>
        <v>No</v>
      </c>
      <c r="DJ184" s="554">
        <f>VLOOKUP(WWWW[[#This Row],[Site Name]],SiteDB6[[Site Name]:[CCCM Management]],6,FALSE)</f>
        <v>0</v>
      </c>
      <c r="DK184" s="554">
        <f>VLOOKUP(WWWW[[#This Row],[Site Name]],SiteDB6[[Site Name]:[CCCM Focal Agency]],7,FALSE)</f>
        <v>0</v>
      </c>
      <c r="DL184" s="554" t="str">
        <f>VLOOKUP(WWWW[[#This Row],[Site Name]],SiteDB6[[Site Name]:[Location Type 1]],9,FALSE)</f>
        <v>Village</v>
      </c>
      <c r="DM184" s="554" t="str">
        <f>VLOOKUP(WWWW[[#This Row],[Site Name]],SiteDB6[[Site Name]:[Type of Accommodation]],10,FALSE)</f>
        <v>Village</v>
      </c>
      <c r="DN184" s="554" t="str">
        <f>VLOOKUP(WWWW[[#This Row],[Site Name]],SiteDB6[[Site Name]:[Ethnic or GCA/NGCA]],11,FALSE)</f>
        <v>Muslim</v>
      </c>
      <c r="DO184" s="554">
        <f>VLOOKUP(WWWW[[#This Row],[Site Name]],SiteDB6[[Site Name]:[Lat]],12,FALSE)</f>
        <v>0</v>
      </c>
      <c r="DP184" s="554">
        <f>VLOOKUP(WWWW[[#This Row],[Site Name]],SiteDB6[[Site Name]:[Long]],13,FALSE)</f>
        <v>0</v>
      </c>
      <c r="DQ184" s="554">
        <f>VLOOKUP(WWWW[[#This Row],[Site Name]],SiteDB6[[Site Name]:[Pcode]],3,FALSE)</f>
        <v>198351</v>
      </c>
      <c r="DR184" s="563" t="str">
        <f t="shared" si="6"/>
        <v>Covered</v>
      </c>
      <c r="DS184" s="563"/>
    </row>
    <row r="185" spans="1:123">
      <c r="A185" s="552" t="s">
        <v>2518</v>
      </c>
      <c r="B185" s="552" t="s">
        <v>2795</v>
      </c>
      <c r="C185" s="555" t="s">
        <v>387</v>
      </c>
      <c r="D185" s="555" t="s">
        <v>2796</v>
      </c>
      <c r="E185" s="574" t="s">
        <v>3005</v>
      </c>
      <c r="F185" s="555" t="s">
        <v>337</v>
      </c>
      <c r="G185" s="574" t="str">
        <f>VLOOKUP(WWWW[[#This Row],[Site Name]],SiteDB6[[Site Name]:[Location Type]],8,FALSE)</f>
        <v>Village</v>
      </c>
      <c r="H185" s="555" t="s">
        <v>2801</v>
      </c>
      <c r="I185" s="557">
        <v>136</v>
      </c>
      <c r="J185" s="557">
        <v>847</v>
      </c>
      <c r="K185" s="564">
        <v>43480</v>
      </c>
      <c r="L185" s="565">
        <v>43723</v>
      </c>
      <c r="M185" s="557"/>
      <c r="N185" s="557"/>
      <c r="O185" s="557"/>
      <c r="P185" s="557"/>
      <c r="Q185" s="556"/>
      <c r="R185" s="557"/>
      <c r="S185" s="557"/>
      <c r="T185" s="557"/>
      <c r="U185" s="557"/>
      <c r="V185" s="557"/>
      <c r="W185" s="557"/>
      <c r="X185" s="557"/>
      <c r="Y185" s="557"/>
      <c r="Z185" s="557"/>
      <c r="AA185" s="557"/>
      <c r="AB185" s="557"/>
      <c r="AC185" s="557"/>
      <c r="AD185" s="557"/>
      <c r="AE185" s="557"/>
      <c r="AF185" s="557"/>
      <c r="AG185" s="557"/>
      <c r="AH185" s="557"/>
      <c r="AI185" s="557"/>
      <c r="AJ185" s="557"/>
      <c r="AK185" s="557"/>
      <c r="AL185" s="557"/>
      <c r="AM185" s="557"/>
      <c r="AN185" s="557"/>
      <c r="AO185" s="563"/>
      <c r="AP185" s="557"/>
      <c r="AQ185" s="557"/>
      <c r="AR185" s="559"/>
      <c r="AS185" s="557"/>
      <c r="AT185" s="557"/>
      <c r="AU185" s="557"/>
      <c r="AV185" s="557"/>
      <c r="AW185" s="557"/>
      <c r="AX185" s="554"/>
      <c r="AY185" s="563"/>
      <c r="AZ185" s="557"/>
      <c r="BA185" s="557"/>
      <c r="BB185" s="557"/>
      <c r="BC185" s="554"/>
      <c r="BD185" s="557"/>
      <c r="BE185" s="557"/>
      <c r="BF185" s="557"/>
      <c r="BG185" s="557"/>
      <c r="BH185" s="557"/>
      <c r="BI185" s="557">
        <v>136</v>
      </c>
      <c r="BJ185" s="557">
        <v>136</v>
      </c>
      <c r="BK185" s="557"/>
      <c r="BL185" s="557"/>
      <c r="BM185" s="554"/>
      <c r="BN185" s="558"/>
      <c r="BO185" s="559"/>
      <c r="BP185" s="554"/>
      <c r="BQ185" s="560" t="str">
        <f>IFERROR(WWWW[[#This Row],['#_Water sources treated]]/WWWW[[#This Row],['#_Water sources tested for contamination]],"no test")</f>
        <v>no test</v>
      </c>
      <c r="BR185" s="559" t="str">
        <f>IFERROR(WWWW[[#This Row],['#_Household received remediation action due to contamination]]/WWWW[[#This Row],['#_Household water samples tested for contamination]],"no test")</f>
        <v>no test</v>
      </c>
      <c r="BS185" s="558" t="str">
        <f>IF(AND(WWWW[[#This Row],[% of water sources treated]]="no test",WWWW[[#This Row],[% Household received corrective actions]]="no test"),"No Test","Tested")</f>
        <v>No Test</v>
      </c>
      <c r="BT185" s="558">
        <f>WWWW[[#This Row],['#_Constructed/existing protected hand dug well]]-WWWW[[#This Row],['#_Non-functional protected hand dug well]]</f>
        <v>0</v>
      </c>
      <c r="BU185" s="558">
        <f>(WWWW[[#This Row],['#_Constructed/Existing tube wells/boreholes/handpumps_WASH_agency]]+WWWW[[#This Row],['#_Non-Cluster partner water tube-wells/boreholes/handpumps]])-WWWW[[#This Row],['#_Non-functional tube wells/boreholes/handpumps]]</f>
        <v>0</v>
      </c>
      <c r="BV185" s="558">
        <f>WWWW[[#This Row],['#_Constructed/Existingwater storage tank with gravity fed reticulation system]]-WWWW[[#This Row],['#_Non-functional storage tank gravity fed reticulation system]]</f>
        <v>0</v>
      </c>
      <c r="BW185" s="558">
        <f>WWWW[[#This Row],['#_Water boating or water trucking]]</f>
        <v>0</v>
      </c>
      <c r="BX185" s="558">
        <f>WWWW[[#This Row],['#_Constructed/Existing water distribution system from river or natural spring]]</f>
        <v>0</v>
      </c>
      <c r="BY18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5" s="559">
        <f>IF(WWWW[[#This Row],[Location Type 1]]="Village",WWWW[[#This Row],[Access to safe drinking water for Village]],WWWW[[#This Row],[Access to safe drinking water for Camp]])</f>
        <v>0</v>
      </c>
      <c r="CB185" s="556">
        <f>WWWW[[#This Row],[%Equitable and continuous access to sufficient quantity of safe drinking water]]*WWWW[[#This Row],[Total PoP ]]</f>
        <v>0</v>
      </c>
      <c r="CC185" s="559">
        <f>IF((WWWW[[#This Row],['#_Constructed/Existing protected/fenced ponds]]*250)/WWWW[[#This Row],[Total PoP ]]&gt;1,1,(WWWW[[#This Row],['#_Constructed/Existing protected/fenced ponds]]*250)/WWWW[[#This Row],[Total PoP ]])</f>
        <v>0</v>
      </c>
      <c r="CD185" s="556">
        <f>WWWW[[#This Row],[% Access to unimproved water points]]*WWWW[[#This Row],[Total PoP ]]</f>
        <v>0</v>
      </c>
      <c r="CE18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5" s="556">
        <f>WWWW[[#This Row],[HRP1]]/500</f>
        <v>0</v>
      </c>
      <c r="CH185" s="561">
        <f>1-WWWW[[#This Row],[% Equitable and continuous access to sufficient quantity of domestic water]]</f>
        <v>1</v>
      </c>
      <c r="CI185" s="556">
        <f>WWWW[[#This Row],[%equitable and continuous access to sufficient quantity of safe drinking and domestic water''s GAP]]*WWWW[[#This Row],[Total PoP ]]</f>
        <v>847</v>
      </c>
      <c r="CJ185" s="558">
        <f>IF(WWWW[[#This Row],[Total required water points]]-WWWW[[#This Row],['#Water points coverage]]&lt;0,0,WWWW[[#This Row],[Total required water points]]-WWWW[[#This Row],['#Water points coverage]])</f>
        <v>2</v>
      </c>
      <c r="CK185" s="558">
        <f>ROUND(IF(WWWW[[#This Row],[Total PoP ]]&lt;500,1,WWWW[[#This Row],[Total PoP ]]/500),0)</f>
        <v>2</v>
      </c>
      <c r="CL185" s="558">
        <f>(WWWW[[#This Row],['#_Constructed latrines_by_WASHAgencies]]+WWWW[[#This Row],['#_Non Cluster partner latrines]])-WWWW[[#This Row],['#_Non-functional latrines]]</f>
        <v>0</v>
      </c>
      <c r="CM18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5" s="558" t="str">
        <f>IF(WWWW[[#This Row],[Location Type 1]]="Village","NA",IF(WWWW[[#This Row],['#_Constructed/Existing latrines in TLS]]*50&gt;WWWW[[#This Row],['#_students at TLS_CFS]],WWWW[[#This Row],['#_students at TLS_CFS]],(WWWW[[#This Row],['#_Constructed/Existing latrines in TLS]]*50)))</f>
        <v>NA</v>
      </c>
      <c r="CQ185" s="558">
        <f>ROUND(IF(WWWW[[#This Row],[Location Type 1]]="camp",WWWW[[#This Row],[Total PoP ]]/20,IF(WWWW[[#This Row],[Location Type 1]]="Temporary Location",WWWW[[#This Row],[Total PoP ]]/50,(WWWW[[#This Row],[Total PoP ]]/6))),0)</f>
        <v>141</v>
      </c>
      <c r="CR185" s="558">
        <f>IF(WWWW[[#This Row],[Total required Latrines]]-(WWWW[[#This Row],['#_Constructed latrines_by_WASHAgencies]]+WWWW[[#This Row],['#_Non Cluster partner latrines]])&lt;0,0,WWWW[[#This Row],[Total required Latrines]]-(WWWW[[#This Row],['#_Constructed latrines_by_WASHAgencies]]+WWWW[[#This Row],['#_Non Cluster partner latrines]]))</f>
        <v>141</v>
      </c>
      <c r="CS185" s="78">
        <f>1-WWWW[[#This Row],[% people access to functioning Latrine]]</f>
        <v>1</v>
      </c>
      <c r="CT185" s="560">
        <f>IF(OR(WWWW[[#This Row],['#_Non-functional latrines]]="",WWWW[[#This Row],['#_Non-functional latrines]]=0),0,WWWW[[#This Row],['#_Non-functional latrines]]/(WWWW[[#This Row],['#_Constructed latrines_by_WASHAgencies]]+WWWW[[#This Row],['#_Non Cluster partner latrines]]))</f>
        <v>0</v>
      </c>
      <c r="CU185" s="556">
        <f>IF(500*(WWWW[[#This Row],['#_male hygiene promoters]]+WWWW[[#This Row],['#_female hygiene promoters]])&gt;WWWW[[#This Row],[Total PoP ]],WWWW[[#This Row],[Total PoP ]],500*(WWWW[[#This Row],['#_male hygiene promoters]]+WWWW[[#This Row],['#_female hygiene promoters]]))</f>
        <v>847</v>
      </c>
      <c r="CV18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5" s="558">
        <f>IF(WWWW[[#This Row],['# People with access to soap]]&gt;WWWW[[#This Row],['# People with access to Sanity Pads]],WWWW[[#This Row],['# People with access to soap]],WWWW[[#This Row],['# People with access to Sanity Pads]])</f>
        <v>0</v>
      </c>
      <c r="CY185" s="558">
        <f>IF(WWWW[[#This Row],['# people reached by regular dedicated hygiene promotion_5]]&gt;WWWW[[#This Row],['# People received regular supply of hygiene items_6]],WWWW[[#This Row],['# people reached by regular dedicated hygiene promotion_5]],WWWW[[#This Row],['# People received regular supply of hygiene items_6]])</f>
        <v>847</v>
      </c>
      <c r="CZ185" s="561">
        <f>IF(WWWW[[#This Row],[HRP3]]/WWWW[[#This Row],[Total PoP ]]&gt;100%,100%,WWWW[[#This Row],[HRP3]]/WWWW[[#This Row],[Total PoP ]])</f>
        <v>1</v>
      </c>
      <c r="DA185" s="560">
        <f>1-WWWW[[#This Row],[Hygiene Coverage%]]</f>
        <v>0</v>
      </c>
      <c r="DB185" s="559">
        <f>WWWW[[#This Row],['# people reached by regular dedicated hygiene promotion_5]]/WWWW[[#This Row],[Total PoP ]]</f>
        <v>1</v>
      </c>
      <c r="DC185" s="559">
        <f>IF(WWWW[[#This Row],['#_households that received standard amount of soap for this quarter]]/WWWW[[#This Row],[Total HH]]&gt;1,1,WWWW[[#This Row],['#_households that received standard amount of soap for this quarter]]/WWWW[[#This Row],[Total HH]])</f>
        <v>0</v>
      </c>
      <c r="DD185" s="559">
        <f>IF(WWWW[[#This Row],['#_households that received standard amount of sanitary pads for this quarter]]/WWWW[[#This Row],[Total HH]]&gt;1,1,WWWW[[#This Row],['#_households that received standard amount of sanitary pads for this quarter]]/WWWW[[#This Row],[Total HH]])</f>
        <v>0</v>
      </c>
      <c r="DE185" s="558">
        <f>WWWW[[#This Row],['#_Constructed/Existing hand washing stations]]-WWWW[[#This Row],['#_Non-Functional_hand_washing_stations]]</f>
        <v>0</v>
      </c>
      <c r="DF185" s="757">
        <f>IF(WWWW[[#This Row],['# Functional hand washing stations during reporting period]]*20&gt;WWWW[[#This Row],[Total HH]],WWWW[[#This Row],[Total HH]],WWWW[[#This Row],['# Functional hand washing stations during reporting period]]*20)</f>
        <v>0</v>
      </c>
      <c r="DG185" s="556">
        <f>IF(WWWW[[#This Row],[Is sufficient soap available for TLS? (Yes/No)]]="yes",WWWW[[#This Row],['#_Constructed/Existing hand washing stations at TLS]],0)</f>
        <v>0</v>
      </c>
      <c r="DH185" s="556">
        <f>IF(WWWW[[#This Row],['# Functional hand washing stations during reporting period]]*100&gt;WWWW[[#This Row],[Total PoP ]],WWWW[[#This Row],[Total PoP ]],WWWW[[#This Row],['# Functional hand washing stations during reporting period]]*100)</f>
        <v>0</v>
      </c>
      <c r="DI185" s="556" t="str">
        <f>IF(OR(WWWW[[#This Row],['#_students at TLS_CFS]]="",WWWW[[#This Row],['#_students at TLS_CFS]]=0),"No","Yes")</f>
        <v>No</v>
      </c>
      <c r="DJ185" s="554">
        <f>VLOOKUP(WWWW[[#This Row],[Site Name]],SiteDB6[[Site Name]:[CCCM Management]],6,FALSE)</f>
        <v>0</v>
      </c>
      <c r="DK185" s="554">
        <f>VLOOKUP(WWWW[[#This Row],[Site Name]],SiteDB6[[Site Name]:[CCCM Focal Agency]],7,FALSE)</f>
        <v>0</v>
      </c>
      <c r="DL185" s="554" t="str">
        <f>VLOOKUP(WWWW[[#This Row],[Site Name]],SiteDB6[[Site Name]:[Location Type 1]],9,FALSE)</f>
        <v>Village</v>
      </c>
      <c r="DM185" s="554" t="str">
        <f>VLOOKUP(WWWW[[#This Row],[Site Name]],SiteDB6[[Site Name]:[Type of Accommodation]],10,FALSE)</f>
        <v>Village</v>
      </c>
      <c r="DN185" s="554" t="str">
        <f>VLOOKUP(WWWW[[#This Row],[Site Name]],SiteDB6[[Site Name]:[Ethnic or GCA/NGCA]],11,FALSE)</f>
        <v>Muslim</v>
      </c>
      <c r="DO185" s="554">
        <f>VLOOKUP(WWWW[[#This Row],[Site Name]],SiteDB6[[Site Name]:[Lat]],12,FALSE)</f>
        <v>0</v>
      </c>
      <c r="DP185" s="554">
        <f>VLOOKUP(WWWW[[#This Row],[Site Name]],SiteDB6[[Site Name]:[Long]],13,FALSE)</f>
        <v>0</v>
      </c>
      <c r="DQ185" s="554">
        <f>VLOOKUP(WWWW[[#This Row],[Site Name]],SiteDB6[[Site Name]:[Pcode]],3,FALSE)</f>
        <v>0</v>
      </c>
      <c r="DR185" s="563" t="str">
        <f t="shared" si="6"/>
        <v>Covered</v>
      </c>
      <c r="DS185" s="563"/>
    </row>
    <row r="186" spans="1:123">
      <c r="A186" s="552" t="s">
        <v>2518</v>
      </c>
      <c r="B186" s="552" t="s">
        <v>2795</v>
      </c>
      <c r="C186" s="555" t="s">
        <v>387</v>
      </c>
      <c r="D186" s="555" t="s">
        <v>2796</v>
      </c>
      <c r="E186" s="574" t="s">
        <v>3005</v>
      </c>
      <c r="F186" s="555" t="s">
        <v>337</v>
      </c>
      <c r="G186" s="574" t="str">
        <f>VLOOKUP(WWWW[[#This Row],[Site Name]],SiteDB6[[Site Name]:[Location Type]],8,FALSE)</f>
        <v>Village</v>
      </c>
      <c r="H186" s="555" t="s">
        <v>604</v>
      </c>
      <c r="I186" s="557">
        <v>20</v>
      </c>
      <c r="J186" s="557">
        <v>91</v>
      </c>
      <c r="K186" s="564">
        <v>43480</v>
      </c>
      <c r="L186" s="565">
        <v>43723</v>
      </c>
      <c r="M186" s="557"/>
      <c r="N186" s="557"/>
      <c r="O186" s="557"/>
      <c r="P186" s="557"/>
      <c r="Q186" s="556"/>
      <c r="R186" s="557"/>
      <c r="S186" s="557"/>
      <c r="T186" s="557"/>
      <c r="U186" s="557"/>
      <c r="V186" s="557"/>
      <c r="W186" s="557"/>
      <c r="X186" s="557"/>
      <c r="Y186" s="557"/>
      <c r="Z186" s="557"/>
      <c r="AA186" s="557"/>
      <c r="AB186" s="557"/>
      <c r="AC186" s="557"/>
      <c r="AD186" s="557"/>
      <c r="AE186" s="557"/>
      <c r="AF186" s="557"/>
      <c r="AG186" s="557"/>
      <c r="AH186" s="557"/>
      <c r="AI186" s="557"/>
      <c r="AJ186" s="557"/>
      <c r="AK186" s="557"/>
      <c r="AL186" s="557"/>
      <c r="AM186" s="557"/>
      <c r="AN186" s="557"/>
      <c r="AO186" s="563"/>
      <c r="AP186" s="557"/>
      <c r="AQ186" s="557"/>
      <c r="AR186" s="559"/>
      <c r="AS186" s="557"/>
      <c r="AT186" s="557"/>
      <c r="AU186" s="557"/>
      <c r="AV186" s="557"/>
      <c r="AW186" s="557"/>
      <c r="AX186" s="554"/>
      <c r="AY186" s="563"/>
      <c r="AZ186" s="557"/>
      <c r="BA186" s="557"/>
      <c r="BB186" s="557"/>
      <c r="BC186" s="554"/>
      <c r="BD186" s="557"/>
      <c r="BE186" s="557"/>
      <c r="BF186" s="557"/>
      <c r="BG186" s="557"/>
      <c r="BH186" s="557"/>
      <c r="BI186" s="557">
        <v>20</v>
      </c>
      <c r="BJ186" s="557">
        <v>20</v>
      </c>
      <c r="BK186" s="557"/>
      <c r="BL186" s="557"/>
      <c r="BM186" s="554"/>
      <c r="BN186" s="558"/>
      <c r="BO186" s="559"/>
      <c r="BP186" s="554"/>
      <c r="BQ186" s="560" t="str">
        <f>IFERROR(WWWW[[#This Row],['#_Water sources treated]]/WWWW[[#This Row],['#_Water sources tested for contamination]],"no test")</f>
        <v>no test</v>
      </c>
      <c r="BR186" s="559" t="str">
        <f>IFERROR(WWWW[[#This Row],['#_Household received remediation action due to contamination]]/WWWW[[#This Row],['#_Household water samples tested for contamination]],"no test")</f>
        <v>no test</v>
      </c>
      <c r="BS186" s="558" t="str">
        <f>IF(AND(WWWW[[#This Row],[% of water sources treated]]="no test",WWWW[[#This Row],[% Household received corrective actions]]="no test"),"No Test","Tested")</f>
        <v>No Test</v>
      </c>
      <c r="BT186" s="558">
        <f>WWWW[[#This Row],['#_Constructed/existing protected hand dug well]]-WWWW[[#This Row],['#_Non-functional protected hand dug well]]</f>
        <v>0</v>
      </c>
      <c r="BU186" s="558">
        <f>(WWWW[[#This Row],['#_Constructed/Existing tube wells/boreholes/handpumps_WASH_agency]]+WWWW[[#This Row],['#_Non-Cluster partner water tube-wells/boreholes/handpumps]])-WWWW[[#This Row],['#_Non-functional tube wells/boreholes/handpumps]]</f>
        <v>0</v>
      </c>
      <c r="BV186" s="558">
        <f>WWWW[[#This Row],['#_Constructed/Existingwater storage tank with gravity fed reticulation system]]-WWWW[[#This Row],['#_Non-functional storage tank gravity fed reticulation system]]</f>
        <v>0</v>
      </c>
      <c r="BW186" s="558">
        <f>WWWW[[#This Row],['#_Water boating or water trucking]]</f>
        <v>0</v>
      </c>
      <c r="BX186" s="558">
        <f>WWWW[[#This Row],['#_Constructed/Existing water distribution system from river or natural spring]]</f>
        <v>0</v>
      </c>
      <c r="BY18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6" s="559">
        <f>IF(WWWW[[#This Row],[Location Type 1]]="Village",WWWW[[#This Row],[Access to safe drinking water for Village]],WWWW[[#This Row],[Access to safe drinking water for Camp]])</f>
        <v>0</v>
      </c>
      <c r="CB186" s="556">
        <f>WWWW[[#This Row],[%Equitable and continuous access to sufficient quantity of safe drinking water]]*WWWW[[#This Row],[Total PoP ]]</f>
        <v>0</v>
      </c>
      <c r="CC186" s="559">
        <f>IF((WWWW[[#This Row],['#_Constructed/Existing protected/fenced ponds]]*250)/WWWW[[#This Row],[Total PoP ]]&gt;1,1,(WWWW[[#This Row],['#_Constructed/Existing protected/fenced ponds]]*250)/WWWW[[#This Row],[Total PoP ]])</f>
        <v>0</v>
      </c>
      <c r="CD186" s="556">
        <f>WWWW[[#This Row],[% Access to unimproved water points]]*WWWW[[#This Row],[Total PoP ]]</f>
        <v>0</v>
      </c>
      <c r="CE18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6" s="556">
        <f>WWWW[[#This Row],[HRP1]]/500</f>
        <v>0</v>
      </c>
      <c r="CH186" s="561">
        <f>1-WWWW[[#This Row],[% Equitable and continuous access to sufficient quantity of domestic water]]</f>
        <v>1</v>
      </c>
      <c r="CI186" s="556">
        <f>WWWW[[#This Row],[%equitable and continuous access to sufficient quantity of safe drinking and domestic water''s GAP]]*WWWW[[#This Row],[Total PoP ]]</f>
        <v>91</v>
      </c>
      <c r="CJ186" s="558">
        <f>IF(WWWW[[#This Row],[Total required water points]]-WWWW[[#This Row],['#Water points coverage]]&lt;0,0,WWWW[[#This Row],[Total required water points]]-WWWW[[#This Row],['#Water points coverage]])</f>
        <v>1</v>
      </c>
      <c r="CK186" s="558">
        <f>ROUND(IF(WWWW[[#This Row],[Total PoP ]]&lt;500,1,WWWW[[#This Row],[Total PoP ]]/500),0)</f>
        <v>1</v>
      </c>
      <c r="CL186" s="558">
        <f>(WWWW[[#This Row],['#_Constructed latrines_by_WASHAgencies]]+WWWW[[#This Row],['#_Non Cluster partner latrines]])-WWWW[[#This Row],['#_Non-functional latrines]]</f>
        <v>0</v>
      </c>
      <c r="CM18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6" s="558" t="str">
        <f>IF(WWWW[[#This Row],[Location Type 1]]="Village","NA",IF(WWWW[[#This Row],['#_Constructed/Existing latrines in TLS]]*50&gt;WWWW[[#This Row],['#_students at TLS_CFS]],WWWW[[#This Row],['#_students at TLS_CFS]],(WWWW[[#This Row],['#_Constructed/Existing latrines in TLS]]*50)))</f>
        <v>NA</v>
      </c>
      <c r="CQ186" s="558">
        <f>ROUND(IF(WWWW[[#This Row],[Location Type 1]]="camp",WWWW[[#This Row],[Total PoP ]]/20,IF(WWWW[[#This Row],[Location Type 1]]="Temporary Location",WWWW[[#This Row],[Total PoP ]]/50,(WWWW[[#This Row],[Total PoP ]]/6))),0)</f>
        <v>15</v>
      </c>
      <c r="CR186" s="558">
        <f>IF(WWWW[[#This Row],[Total required Latrines]]-(WWWW[[#This Row],['#_Constructed latrines_by_WASHAgencies]]+WWWW[[#This Row],['#_Non Cluster partner latrines]])&lt;0,0,WWWW[[#This Row],[Total required Latrines]]-(WWWW[[#This Row],['#_Constructed latrines_by_WASHAgencies]]+WWWW[[#This Row],['#_Non Cluster partner latrines]]))</f>
        <v>15</v>
      </c>
      <c r="CS186" s="78">
        <f>1-WWWW[[#This Row],[% people access to functioning Latrine]]</f>
        <v>1</v>
      </c>
      <c r="CT186" s="560">
        <f>IF(OR(WWWW[[#This Row],['#_Non-functional latrines]]="",WWWW[[#This Row],['#_Non-functional latrines]]=0),0,WWWW[[#This Row],['#_Non-functional latrines]]/(WWWW[[#This Row],['#_Constructed latrines_by_WASHAgencies]]+WWWW[[#This Row],['#_Non Cluster partner latrines]]))</f>
        <v>0</v>
      </c>
      <c r="CU186" s="556">
        <f>IF(500*(WWWW[[#This Row],['#_male hygiene promoters]]+WWWW[[#This Row],['#_female hygiene promoters]])&gt;WWWW[[#This Row],[Total PoP ]],WWWW[[#This Row],[Total PoP ]],500*(WWWW[[#This Row],['#_male hygiene promoters]]+WWWW[[#This Row],['#_female hygiene promoters]]))</f>
        <v>91</v>
      </c>
      <c r="CV18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6" s="558">
        <f>IF(WWWW[[#This Row],['# People with access to soap]]&gt;WWWW[[#This Row],['# People with access to Sanity Pads]],WWWW[[#This Row],['# People with access to soap]],WWWW[[#This Row],['# People with access to Sanity Pads]])</f>
        <v>0</v>
      </c>
      <c r="CY186" s="558">
        <f>IF(WWWW[[#This Row],['# people reached by regular dedicated hygiene promotion_5]]&gt;WWWW[[#This Row],['# People received regular supply of hygiene items_6]],WWWW[[#This Row],['# people reached by regular dedicated hygiene promotion_5]],WWWW[[#This Row],['# People received regular supply of hygiene items_6]])</f>
        <v>91</v>
      </c>
      <c r="CZ186" s="561">
        <f>IF(WWWW[[#This Row],[HRP3]]/WWWW[[#This Row],[Total PoP ]]&gt;100%,100%,WWWW[[#This Row],[HRP3]]/WWWW[[#This Row],[Total PoP ]])</f>
        <v>1</v>
      </c>
      <c r="DA186" s="560">
        <f>1-WWWW[[#This Row],[Hygiene Coverage%]]</f>
        <v>0</v>
      </c>
      <c r="DB186" s="559">
        <f>WWWW[[#This Row],['# people reached by regular dedicated hygiene promotion_5]]/WWWW[[#This Row],[Total PoP ]]</f>
        <v>1</v>
      </c>
      <c r="DC186" s="559">
        <f>IF(WWWW[[#This Row],['#_households that received standard amount of soap for this quarter]]/WWWW[[#This Row],[Total HH]]&gt;1,1,WWWW[[#This Row],['#_households that received standard amount of soap for this quarter]]/WWWW[[#This Row],[Total HH]])</f>
        <v>0</v>
      </c>
      <c r="DD186" s="559">
        <f>IF(WWWW[[#This Row],['#_households that received standard amount of sanitary pads for this quarter]]/WWWW[[#This Row],[Total HH]]&gt;1,1,WWWW[[#This Row],['#_households that received standard amount of sanitary pads for this quarter]]/WWWW[[#This Row],[Total HH]])</f>
        <v>0</v>
      </c>
      <c r="DE186" s="558">
        <f>WWWW[[#This Row],['#_Constructed/Existing hand washing stations]]-WWWW[[#This Row],['#_Non-Functional_hand_washing_stations]]</f>
        <v>0</v>
      </c>
      <c r="DF186" s="757">
        <f>IF(WWWW[[#This Row],['# Functional hand washing stations during reporting period]]*20&gt;WWWW[[#This Row],[Total HH]],WWWW[[#This Row],[Total HH]],WWWW[[#This Row],['# Functional hand washing stations during reporting period]]*20)</f>
        <v>0</v>
      </c>
      <c r="DG186" s="556">
        <f>IF(WWWW[[#This Row],[Is sufficient soap available for TLS? (Yes/No)]]="yes",WWWW[[#This Row],['#_Constructed/Existing hand washing stations at TLS]],0)</f>
        <v>0</v>
      </c>
      <c r="DH186" s="556">
        <f>IF(WWWW[[#This Row],['# Functional hand washing stations during reporting period]]*100&gt;WWWW[[#This Row],[Total PoP ]],WWWW[[#This Row],[Total PoP ]],WWWW[[#This Row],['# Functional hand washing stations during reporting period]]*100)</f>
        <v>0</v>
      </c>
      <c r="DI186" s="556" t="str">
        <f>IF(OR(WWWW[[#This Row],['#_students at TLS_CFS]]="",WWWW[[#This Row],['#_students at TLS_CFS]]=0),"No","Yes")</f>
        <v>No</v>
      </c>
      <c r="DJ186" s="554">
        <f>VLOOKUP(WWWW[[#This Row],[Site Name]],SiteDB6[[Site Name]:[CCCM Management]],6,FALSE)</f>
        <v>0</v>
      </c>
      <c r="DK186" s="554">
        <f>VLOOKUP(WWWW[[#This Row],[Site Name]],SiteDB6[[Site Name]:[CCCM Focal Agency]],7,FALSE)</f>
        <v>0</v>
      </c>
      <c r="DL186" s="554" t="str">
        <f>VLOOKUP(WWWW[[#This Row],[Site Name]],SiteDB6[[Site Name]:[Location Type 1]],9,FALSE)</f>
        <v>Village</v>
      </c>
      <c r="DM186" s="554" t="str">
        <f>VLOOKUP(WWWW[[#This Row],[Site Name]],SiteDB6[[Site Name]:[Type of Accommodation]],10,FALSE)</f>
        <v>Village</v>
      </c>
      <c r="DN186" s="554" t="str">
        <f>VLOOKUP(WWWW[[#This Row],[Site Name]],SiteDB6[[Site Name]:[Ethnic or GCA/NGCA]],11,FALSE)</f>
        <v>Rakhine</v>
      </c>
      <c r="DO186" s="554">
        <f>VLOOKUP(WWWW[[#This Row],[Site Name]],SiteDB6[[Site Name]:[Lat]],12,FALSE)</f>
        <v>20.767719270000001</v>
      </c>
      <c r="DP186" s="554">
        <f>VLOOKUP(WWWW[[#This Row],[Site Name]],SiteDB6[[Site Name]:[Long]],13,FALSE)</f>
        <v>92.631736759999995</v>
      </c>
      <c r="DQ186" s="554">
        <f>VLOOKUP(WWWW[[#This Row],[Site Name]],SiteDB6[[Site Name]:[Pcode]],3,FALSE)</f>
        <v>198409</v>
      </c>
      <c r="DR186" s="563" t="str">
        <f t="shared" si="6"/>
        <v>Covered</v>
      </c>
      <c r="DS186" s="563"/>
    </row>
    <row r="187" spans="1:123">
      <c r="A187" s="552" t="s">
        <v>2518</v>
      </c>
      <c r="B187" s="552" t="s">
        <v>2795</v>
      </c>
      <c r="C187" s="555" t="s">
        <v>387</v>
      </c>
      <c r="D187" s="555" t="s">
        <v>2796</v>
      </c>
      <c r="E187" s="574" t="s">
        <v>3005</v>
      </c>
      <c r="F187" s="555" t="s">
        <v>337</v>
      </c>
      <c r="G187" s="574" t="str">
        <f>VLOOKUP(WWWW[[#This Row],[Site Name]],SiteDB6[[Site Name]:[Location Type]],8,FALSE)</f>
        <v>Village</v>
      </c>
      <c r="H187" s="555" t="s">
        <v>2803</v>
      </c>
      <c r="I187" s="557">
        <v>23</v>
      </c>
      <c r="J187" s="557">
        <v>86</v>
      </c>
      <c r="K187" s="564">
        <v>43480</v>
      </c>
      <c r="L187" s="565">
        <v>43723</v>
      </c>
      <c r="M187" s="557"/>
      <c r="N187" s="557"/>
      <c r="O187" s="557"/>
      <c r="P187" s="557"/>
      <c r="Q187" s="556"/>
      <c r="R187" s="557"/>
      <c r="S187" s="557"/>
      <c r="T187" s="557"/>
      <c r="U187" s="557"/>
      <c r="V187" s="557"/>
      <c r="W187" s="557"/>
      <c r="X187" s="557"/>
      <c r="Y187" s="557"/>
      <c r="Z187" s="557"/>
      <c r="AA187" s="557"/>
      <c r="AB187" s="557"/>
      <c r="AC187" s="557"/>
      <c r="AD187" s="557"/>
      <c r="AE187" s="557"/>
      <c r="AF187" s="557"/>
      <c r="AG187" s="557"/>
      <c r="AH187" s="557"/>
      <c r="AI187" s="557"/>
      <c r="AJ187" s="557"/>
      <c r="AK187" s="557"/>
      <c r="AL187" s="557"/>
      <c r="AM187" s="557"/>
      <c r="AN187" s="557"/>
      <c r="AO187" s="563"/>
      <c r="AP187" s="557"/>
      <c r="AQ187" s="557"/>
      <c r="AR187" s="559"/>
      <c r="AS187" s="557"/>
      <c r="AT187" s="557"/>
      <c r="AU187" s="557"/>
      <c r="AV187" s="557"/>
      <c r="AW187" s="557"/>
      <c r="AX187" s="554"/>
      <c r="AY187" s="563"/>
      <c r="AZ187" s="557"/>
      <c r="BA187" s="557"/>
      <c r="BB187" s="557"/>
      <c r="BC187" s="554"/>
      <c r="BD187" s="557"/>
      <c r="BE187" s="557"/>
      <c r="BF187" s="557"/>
      <c r="BG187" s="557"/>
      <c r="BH187" s="557"/>
      <c r="BI187" s="557">
        <v>23</v>
      </c>
      <c r="BJ187" s="557">
        <v>23</v>
      </c>
      <c r="BK187" s="557"/>
      <c r="BL187" s="557"/>
      <c r="BM187" s="554"/>
      <c r="BN187" s="558"/>
      <c r="BO187" s="559"/>
      <c r="BP187" s="554"/>
      <c r="BQ187" s="560" t="str">
        <f>IFERROR(WWWW[[#This Row],['#_Water sources treated]]/WWWW[[#This Row],['#_Water sources tested for contamination]],"no test")</f>
        <v>no test</v>
      </c>
      <c r="BR187" s="559" t="str">
        <f>IFERROR(WWWW[[#This Row],['#_Household received remediation action due to contamination]]/WWWW[[#This Row],['#_Household water samples tested for contamination]],"no test")</f>
        <v>no test</v>
      </c>
      <c r="BS187" s="558" t="str">
        <f>IF(AND(WWWW[[#This Row],[% of water sources treated]]="no test",WWWW[[#This Row],[% Household received corrective actions]]="no test"),"No Test","Tested")</f>
        <v>No Test</v>
      </c>
      <c r="BT187" s="558">
        <f>WWWW[[#This Row],['#_Constructed/existing protected hand dug well]]-WWWW[[#This Row],['#_Non-functional protected hand dug well]]</f>
        <v>0</v>
      </c>
      <c r="BU187" s="558">
        <f>(WWWW[[#This Row],['#_Constructed/Existing tube wells/boreholes/handpumps_WASH_agency]]+WWWW[[#This Row],['#_Non-Cluster partner water tube-wells/boreholes/handpumps]])-WWWW[[#This Row],['#_Non-functional tube wells/boreholes/handpumps]]</f>
        <v>0</v>
      </c>
      <c r="BV187" s="558">
        <f>WWWW[[#This Row],['#_Constructed/Existingwater storage tank with gravity fed reticulation system]]-WWWW[[#This Row],['#_Non-functional storage tank gravity fed reticulation system]]</f>
        <v>0</v>
      </c>
      <c r="BW187" s="558">
        <f>WWWW[[#This Row],['#_Water boating or water trucking]]</f>
        <v>0</v>
      </c>
      <c r="BX187" s="558">
        <f>WWWW[[#This Row],['#_Constructed/Existing water distribution system from river or natural spring]]</f>
        <v>0</v>
      </c>
      <c r="BY18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7" s="559">
        <f>IF(WWWW[[#This Row],[Location Type 1]]="Village",WWWW[[#This Row],[Access to safe drinking water for Village]],WWWW[[#This Row],[Access to safe drinking water for Camp]])</f>
        <v>0</v>
      </c>
      <c r="CB187" s="556">
        <f>WWWW[[#This Row],[%Equitable and continuous access to sufficient quantity of safe drinking water]]*WWWW[[#This Row],[Total PoP ]]</f>
        <v>0</v>
      </c>
      <c r="CC187" s="559">
        <f>IF((WWWW[[#This Row],['#_Constructed/Existing protected/fenced ponds]]*250)/WWWW[[#This Row],[Total PoP ]]&gt;1,1,(WWWW[[#This Row],['#_Constructed/Existing protected/fenced ponds]]*250)/WWWW[[#This Row],[Total PoP ]])</f>
        <v>0</v>
      </c>
      <c r="CD187" s="556">
        <f>WWWW[[#This Row],[% Access to unimproved water points]]*WWWW[[#This Row],[Total PoP ]]</f>
        <v>0</v>
      </c>
      <c r="CE18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7" s="556">
        <f>WWWW[[#This Row],[HRP1]]/500</f>
        <v>0</v>
      </c>
      <c r="CH187" s="561">
        <f>1-WWWW[[#This Row],[% Equitable and continuous access to sufficient quantity of domestic water]]</f>
        <v>1</v>
      </c>
      <c r="CI187" s="556">
        <f>WWWW[[#This Row],[%equitable and continuous access to sufficient quantity of safe drinking and domestic water''s GAP]]*WWWW[[#This Row],[Total PoP ]]</f>
        <v>86</v>
      </c>
      <c r="CJ187" s="558">
        <f>IF(WWWW[[#This Row],[Total required water points]]-WWWW[[#This Row],['#Water points coverage]]&lt;0,0,WWWW[[#This Row],[Total required water points]]-WWWW[[#This Row],['#Water points coverage]])</f>
        <v>1</v>
      </c>
      <c r="CK187" s="558">
        <f>ROUND(IF(WWWW[[#This Row],[Total PoP ]]&lt;500,1,WWWW[[#This Row],[Total PoP ]]/500),0)</f>
        <v>1</v>
      </c>
      <c r="CL187" s="558">
        <f>(WWWW[[#This Row],['#_Constructed latrines_by_WASHAgencies]]+WWWW[[#This Row],['#_Non Cluster partner latrines]])-WWWW[[#This Row],['#_Non-functional latrines]]</f>
        <v>0</v>
      </c>
      <c r="CM18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7" s="558" t="str">
        <f>IF(WWWW[[#This Row],[Location Type 1]]="Village","NA",IF(WWWW[[#This Row],['#_Constructed/Existing latrines in TLS]]*50&gt;WWWW[[#This Row],['#_students at TLS_CFS]],WWWW[[#This Row],['#_students at TLS_CFS]],(WWWW[[#This Row],['#_Constructed/Existing latrines in TLS]]*50)))</f>
        <v>NA</v>
      </c>
      <c r="CQ187" s="558">
        <f>ROUND(IF(WWWW[[#This Row],[Location Type 1]]="camp",WWWW[[#This Row],[Total PoP ]]/20,IF(WWWW[[#This Row],[Location Type 1]]="Temporary Location",WWWW[[#This Row],[Total PoP ]]/50,(WWWW[[#This Row],[Total PoP ]]/6))),0)</f>
        <v>14</v>
      </c>
      <c r="CR187" s="558">
        <f>IF(WWWW[[#This Row],[Total required Latrines]]-(WWWW[[#This Row],['#_Constructed latrines_by_WASHAgencies]]+WWWW[[#This Row],['#_Non Cluster partner latrines]])&lt;0,0,WWWW[[#This Row],[Total required Latrines]]-(WWWW[[#This Row],['#_Constructed latrines_by_WASHAgencies]]+WWWW[[#This Row],['#_Non Cluster partner latrines]]))</f>
        <v>14</v>
      </c>
      <c r="CS187" s="78">
        <f>1-WWWW[[#This Row],[% people access to functioning Latrine]]</f>
        <v>1</v>
      </c>
      <c r="CT187" s="560">
        <f>IF(OR(WWWW[[#This Row],['#_Non-functional latrines]]="",WWWW[[#This Row],['#_Non-functional latrines]]=0),0,WWWW[[#This Row],['#_Non-functional latrines]]/(WWWW[[#This Row],['#_Constructed latrines_by_WASHAgencies]]+WWWW[[#This Row],['#_Non Cluster partner latrines]]))</f>
        <v>0</v>
      </c>
      <c r="CU187" s="556">
        <f>IF(500*(WWWW[[#This Row],['#_male hygiene promoters]]+WWWW[[#This Row],['#_female hygiene promoters]])&gt;WWWW[[#This Row],[Total PoP ]],WWWW[[#This Row],[Total PoP ]],500*(WWWW[[#This Row],['#_male hygiene promoters]]+WWWW[[#This Row],['#_female hygiene promoters]]))</f>
        <v>86</v>
      </c>
      <c r="CV18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7" s="558">
        <f>IF(WWWW[[#This Row],['# People with access to soap]]&gt;WWWW[[#This Row],['# People with access to Sanity Pads]],WWWW[[#This Row],['# People with access to soap]],WWWW[[#This Row],['# People with access to Sanity Pads]])</f>
        <v>0</v>
      </c>
      <c r="CY187" s="558">
        <f>IF(WWWW[[#This Row],['# people reached by regular dedicated hygiene promotion_5]]&gt;WWWW[[#This Row],['# People received regular supply of hygiene items_6]],WWWW[[#This Row],['# people reached by regular dedicated hygiene promotion_5]],WWWW[[#This Row],['# People received regular supply of hygiene items_6]])</f>
        <v>86</v>
      </c>
      <c r="CZ187" s="561">
        <f>IF(WWWW[[#This Row],[HRP3]]/WWWW[[#This Row],[Total PoP ]]&gt;100%,100%,WWWW[[#This Row],[HRP3]]/WWWW[[#This Row],[Total PoP ]])</f>
        <v>1</v>
      </c>
      <c r="DA187" s="560">
        <f>1-WWWW[[#This Row],[Hygiene Coverage%]]</f>
        <v>0</v>
      </c>
      <c r="DB187" s="559">
        <f>WWWW[[#This Row],['# people reached by regular dedicated hygiene promotion_5]]/WWWW[[#This Row],[Total PoP ]]</f>
        <v>1</v>
      </c>
      <c r="DC187" s="559">
        <f>IF(WWWW[[#This Row],['#_households that received standard amount of soap for this quarter]]/WWWW[[#This Row],[Total HH]]&gt;1,1,WWWW[[#This Row],['#_households that received standard amount of soap for this quarter]]/WWWW[[#This Row],[Total HH]])</f>
        <v>0</v>
      </c>
      <c r="DD187" s="559">
        <f>IF(WWWW[[#This Row],['#_households that received standard amount of sanitary pads for this quarter]]/WWWW[[#This Row],[Total HH]]&gt;1,1,WWWW[[#This Row],['#_households that received standard amount of sanitary pads for this quarter]]/WWWW[[#This Row],[Total HH]])</f>
        <v>0</v>
      </c>
      <c r="DE187" s="558">
        <f>WWWW[[#This Row],['#_Constructed/Existing hand washing stations]]-WWWW[[#This Row],['#_Non-Functional_hand_washing_stations]]</f>
        <v>0</v>
      </c>
      <c r="DF187" s="757">
        <f>IF(WWWW[[#This Row],['# Functional hand washing stations during reporting period]]*20&gt;WWWW[[#This Row],[Total HH]],WWWW[[#This Row],[Total HH]],WWWW[[#This Row],['# Functional hand washing stations during reporting period]]*20)</f>
        <v>0</v>
      </c>
      <c r="DG187" s="556">
        <f>IF(WWWW[[#This Row],[Is sufficient soap available for TLS? (Yes/No)]]="yes",WWWW[[#This Row],['#_Constructed/Existing hand washing stations at TLS]],0)</f>
        <v>0</v>
      </c>
      <c r="DH187" s="556">
        <f>IF(WWWW[[#This Row],['# Functional hand washing stations during reporting period]]*100&gt;WWWW[[#This Row],[Total PoP ]],WWWW[[#This Row],[Total PoP ]],WWWW[[#This Row],['# Functional hand washing stations during reporting period]]*100)</f>
        <v>0</v>
      </c>
      <c r="DI187" s="556" t="str">
        <f>IF(OR(WWWW[[#This Row],['#_students at TLS_CFS]]="",WWWW[[#This Row],['#_students at TLS_CFS]]=0),"No","Yes")</f>
        <v>No</v>
      </c>
      <c r="DJ187" s="554">
        <f>VLOOKUP(WWWW[[#This Row],[Site Name]],SiteDB6[[Site Name]:[CCCM Management]],6,FALSE)</f>
        <v>0</v>
      </c>
      <c r="DK187" s="554">
        <f>VLOOKUP(WWWW[[#This Row],[Site Name]],SiteDB6[[Site Name]:[CCCM Focal Agency]],7,FALSE)</f>
        <v>0</v>
      </c>
      <c r="DL187" s="554" t="str">
        <f>VLOOKUP(WWWW[[#This Row],[Site Name]],SiteDB6[[Site Name]:[Location Type 1]],9,FALSE)</f>
        <v>Village</v>
      </c>
      <c r="DM187" s="554" t="str">
        <f>VLOOKUP(WWWW[[#This Row],[Site Name]],SiteDB6[[Site Name]:[Type of Accommodation]],10,FALSE)</f>
        <v>Village</v>
      </c>
      <c r="DN187" s="554" t="str">
        <f>VLOOKUP(WWWW[[#This Row],[Site Name]],SiteDB6[[Site Name]:[Ethnic or GCA/NGCA]],11,FALSE)</f>
        <v>Rakhine</v>
      </c>
      <c r="DO187" s="554">
        <f>VLOOKUP(WWWW[[#This Row],[Site Name]],SiteDB6[[Site Name]:[Lat]],12,FALSE)</f>
        <v>0</v>
      </c>
      <c r="DP187" s="554">
        <f>VLOOKUP(WWWW[[#This Row],[Site Name]],SiteDB6[[Site Name]:[Long]],13,FALSE)</f>
        <v>0</v>
      </c>
      <c r="DQ187" s="554">
        <f>VLOOKUP(WWWW[[#This Row],[Site Name]],SiteDB6[[Site Name]:[Pcode]],3,FALSE)</f>
        <v>198337</v>
      </c>
      <c r="DR187" s="563" t="str">
        <f t="shared" si="6"/>
        <v>Covered</v>
      </c>
      <c r="DS187" s="563"/>
    </row>
    <row r="188" spans="1:123">
      <c r="A188" s="552" t="s">
        <v>2518</v>
      </c>
      <c r="B188" s="552" t="s">
        <v>2795</v>
      </c>
      <c r="C188" s="555" t="s">
        <v>387</v>
      </c>
      <c r="D188" s="555" t="s">
        <v>2796</v>
      </c>
      <c r="E188" s="574" t="s">
        <v>3005</v>
      </c>
      <c r="F188" s="555" t="s">
        <v>337</v>
      </c>
      <c r="G188" s="574" t="str">
        <f>VLOOKUP(WWWW[[#This Row],[Site Name]],SiteDB6[[Site Name]:[Location Type]],8,FALSE)</f>
        <v>Village</v>
      </c>
      <c r="H188" s="555" t="s">
        <v>2802</v>
      </c>
      <c r="I188" s="557">
        <v>74</v>
      </c>
      <c r="J188" s="557">
        <v>343</v>
      </c>
      <c r="K188" s="564">
        <v>43480</v>
      </c>
      <c r="L188" s="565">
        <v>43723</v>
      </c>
      <c r="M188" s="557"/>
      <c r="N188" s="557"/>
      <c r="O188" s="557"/>
      <c r="P188" s="557"/>
      <c r="Q188" s="556"/>
      <c r="R188" s="557"/>
      <c r="S188" s="557"/>
      <c r="T188" s="557"/>
      <c r="U188" s="557"/>
      <c r="V188" s="557"/>
      <c r="W188" s="557"/>
      <c r="X188" s="557"/>
      <c r="Y188" s="557"/>
      <c r="Z188" s="557"/>
      <c r="AA188" s="557"/>
      <c r="AB188" s="557"/>
      <c r="AC188" s="557"/>
      <c r="AD188" s="557"/>
      <c r="AE188" s="557"/>
      <c r="AF188" s="557"/>
      <c r="AG188" s="557"/>
      <c r="AH188" s="557"/>
      <c r="AI188" s="557"/>
      <c r="AJ188" s="557"/>
      <c r="AK188" s="557"/>
      <c r="AL188" s="557"/>
      <c r="AM188" s="557"/>
      <c r="AN188" s="557"/>
      <c r="AO188" s="563"/>
      <c r="AP188" s="557"/>
      <c r="AQ188" s="557"/>
      <c r="AR188" s="559"/>
      <c r="AS188" s="557"/>
      <c r="AT188" s="557"/>
      <c r="AU188" s="557"/>
      <c r="AV188" s="557"/>
      <c r="AW188" s="557"/>
      <c r="AX188" s="554"/>
      <c r="AY188" s="563"/>
      <c r="AZ188" s="557"/>
      <c r="BA188" s="557"/>
      <c r="BB188" s="557"/>
      <c r="BC188" s="554"/>
      <c r="BD188" s="557"/>
      <c r="BE188" s="557"/>
      <c r="BF188" s="557"/>
      <c r="BG188" s="557"/>
      <c r="BH188" s="557"/>
      <c r="BI188" s="557">
        <v>74</v>
      </c>
      <c r="BJ188" s="557">
        <v>74</v>
      </c>
      <c r="BK188" s="557"/>
      <c r="BL188" s="557"/>
      <c r="BM188" s="554"/>
      <c r="BN188" s="558"/>
      <c r="BO188" s="559"/>
      <c r="BP188" s="554"/>
      <c r="BQ188" s="560" t="str">
        <f>IFERROR(WWWW[[#This Row],['#_Water sources treated]]/WWWW[[#This Row],['#_Water sources tested for contamination]],"no test")</f>
        <v>no test</v>
      </c>
      <c r="BR188" s="559" t="str">
        <f>IFERROR(WWWW[[#This Row],['#_Household received remediation action due to contamination]]/WWWW[[#This Row],['#_Household water samples tested for contamination]],"no test")</f>
        <v>no test</v>
      </c>
      <c r="BS188" s="558" t="str">
        <f>IF(AND(WWWW[[#This Row],[% of water sources treated]]="no test",WWWW[[#This Row],[% Household received corrective actions]]="no test"),"No Test","Tested")</f>
        <v>No Test</v>
      </c>
      <c r="BT188" s="558">
        <f>WWWW[[#This Row],['#_Constructed/existing protected hand dug well]]-WWWW[[#This Row],['#_Non-functional protected hand dug well]]</f>
        <v>0</v>
      </c>
      <c r="BU188" s="558">
        <f>(WWWW[[#This Row],['#_Constructed/Existing tube wells/boreholes/handpumps_WASH_agency]]+WWWW[[#This Row],['#_Non-Cluster partner water tube-wells/boreholes/handpumps]])-WWWW[[#This Row],['#_Non-functional tube wells/boreholes/handpumps]]</f>
        <v>0</v>
      </c>
      <c r="BV188" s="558">
        <f>WWWW[[#This Row],['#_Constructed/Existingwater storage tank with gravity fed reticulation system]]-WWWW[[#This Row],['#_Non-functional storage tank gravity fed reticulation system]]</f>
        <v>0</v>
      </c>
      <c r="BW188" s="558">
        <f>WWWW[[#This Row],['#_Water boating or water trucking]]</f>
        <v>0</v>
      </c>
      <c r="BX188" s="558">
        <f>WWWW[[#This Row],['#_Constructed/Existing water distribution system from river or natural spring]]</f>
        <v>0</v>
      </c>
      <c r="BY18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8" s="559">
        <f>IF(WWWW[[#This Row],[Location Type 1]]="Village",WWWW[[#This Row],[Access to safe drinking water for Village]],WWWW[[#This Row],[Access to safe drinking water for Camp]])</f>
        <v>0</v>
      </c>
      <c r="CB188" s="556">
        <f>WWWW[[#This Row],[%Equitable and continuous access to sufficient quantity of safe drinking water]]*WWWW[[#This Row],[Total PoP ]]</f>
        <v>0</v>
      </c>
      <c r="CC188" s="559">
        <f>IF((WWWW[[#This Row],['#_Constructed/Existing protected/fenced ponds]]*250)/WWWW[[#This Row],[Total PoP ]]&gt;1,1,(WWWW[[#This Row],['#_Constructed/Existing protected/fenced ponds]]*250)/WWWW[[#This Row],[Total PoP ]])</f>
        <v>0</v>
      </c>
      <c r="CD188" s="556">
        <f>WWWW[[#This Row],[% Access to unimproved water points]]*WWWW[[#This Row],[Total PoP ]]</f>
        <v>0</v>
      </c>
      <c r="CE18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8" s="556">
        <f>WWWW[[#This Row],[HRP1]]/500</f>
        <v>0</v>
      </c>
      <c r="CH188" s="561">
        <f>1-WWWW[[#This Row],[% Equitable and continuous access to sufficient quantity of domestic water]]</f>
        <v>1</v>
      </c>
      <c r="CI188" s="556">
        <f>WWWW[[#This Row],[%equitable and continuous access to sufficient quantity of safe drinking and domestic water''s GAP]]*WWWW[[#This Row],[Total PoP ]]</f>
        <v>343</v>
      </c>
      <c r="CJ188" s="558">
        <f>IF(WWWW[[#This Row],[Total required water points]]-WWWW[[#This Row],['#Water points coverage]]&lt;0,0,WWWW[[#This Row],[Total required water points]]-WWWW[[#This Row],['#Water points coverage]])</f>
        <v>1</v>
      </c>
      <c r="CK188" s="558">
        <f>ROUND(IF(WWWW[[#This Row],[Total PoP ]]&lt;500,1,WWWW[[#This Row],[Total PoP ]]/500),0)</f>
        <v>1</v>
      </c>
      <c r="CL188" s="558">
        <f>(WWWW[[#This Row],['#_Constructed latrines_by_WASHAgencies]]+WWWW[[#This Row],['#_Non Cluster partner latrines]])-WWWW[[#This Row],['#_Non-functional latrines]]</f>
        <v>0</v>
      </c>
      <c r="CM18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8" s="558" t="str">
        <f>IF(WWWW[[#This Row],[Location Type 1]]="Village","NA",IF(WWWW[[#This Row],['#_Constructed/Existing latrines in TLS]]*50&gt;WWWW[[#This Row],['#_students at TLS_CFS]],WWWW[[#This Row],['#_students at TLS_CFS]],(WWWW[[#This Row],['#_Constructed/Existing latrines in TLS]]*50)))</f>
        <v>NA</v>
      </c>
      <c r="CQ188" s="558">
        <f>ROUND(IF(WWWW[[#This Row],[Location Type 1]]="camp",WWWW[[#This Row],[Total PoP ]]/20,IF(WWWW[[#This Row],[Location Type 1]]="Temporary Location",WWWW[[#This Row],[Total PoP ]]/50,(WWWW[[#This Row],[Total PoP ]]/6))),0)</f>
        <v>57</v>
      </c>
      <c r="CR188" s="558">
        <f>IF(WWWW[[#This Row],[Total required Latrines]]-(WWWW[[#This Row],['#_Constructed latrines_by_WASHAgencies]]+WWWW[[#This Row],['#_Non Cluster partner latrines]])&lt;0,0,WWWW[[#This Row],[Total required Latrines]]-(WWWW[[#This Row],['#_Constructed latrines_by_WASHAgencies]]+WWWW[[#This Row],['#_Non Cluster partner latrines]]))</f>
        <v>57</v>
      </c>
      <c r="CS188" s="78">
        <f>1-WWWW[[#This Row],[% people access to functioning Latrine]]</f>
        <v>1</v>
      </c>
      <c r="CT188" s="560">
        <f>IF(OR(WWWW[[#This Row],['#_Non-functional latrines]]="",WWWW[[#This Row],['#_Non-functional latrines]]=0),0,WWWW[[#This Row],['#_Non-functional latrines]]/(WWWW[[#This Row],['#_Constructed latrines_by_WASHAgencies]]+WWWW[[#This Row],['#_Non Cluster partner latrines]]))</f>
        <v>0</v>
      </c>
      <c r="CU188" s="556">
        <f>IF(500*(WWWW[[#This Row],['#_male hygiene promoters]]+WWWW[[#This Row],['#_female hygiene promoters]])&gt;WWWW[[#This Row],[Total PoP ]],WWWW[[#This Row],[Total PoP ]],500*(WWWW[[#This Row],['#_male hygiene promoters]]+WWWW[[#This Row],['#_female hygiene promoters]]))</f>
        <v>343</v>
      </c>
      <c r="CV18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8" s="558">
        <f>IF(WWWW[[#This Row],['# People with access to soap]]&gt;WWWW[[#This Row],['# People with access to Sanity Pads]],WWWW[[#This Row],['# People with access to soap]],WWWW[[#This Row],['# People with access to Sanity Pads]])</f>
        <v>0</v>
      </c>
      <c r="CY188" s="558">
        <f>IF(WWWW[[#This Row],['# people reached by regular dedicated hygiene promotion_5]]&gt;WWWW[[#This Row],['# People received regular supply of hygiene items_6]],WWWW[[#This Row],['# people reached by regular dedicated hygiene promotion_5]],WWWW[[#This Row],['# People received regular supply of hygiene items_6]])</f>
        <v>343</v>
      </c>
      <c r="CZ188" s="561">
        <f>IF(WWWW[[#This Row],[HRP3]]/WWWW[[#This Row],[Total PoP ]]&gt;100%,100%,WWWW[[#This Row],[HRP3]]/WWWW[[#This Row],[Total PoP ]])</f>
        <v>1</v>
      </c>
      <c r="DA188" s="560">
        <f>1-WWWW[[#This Row],[Hygiene Coverage%]]</f>
        <v>0</v>
      </c>
      <c r="DB188" s="559">
        <f>WWWW[[#This Row],['# people reached by regular dedicated hygiene promotion_5]]/WWWW[[#This Row],[Total PoP ]]</f>
        <v>1</v>
      </c>
      <c r="DC188" s="559">
        <f>IF(WWWW[[#This Row],['#_households that received standard amount of soap for this quarter]]/WWWW[[#This Row],[Total HH]]&gt;1,1,WWWW[[#This Row],['#_households that received standard amount of soap for this quarter]]/WWWW[[#This Row],[Total HH]])</f>
        <v>0</v>
      </c>
      <c r="DD188" s="559">
        <f>IF(WWWW[[#This Row],['#_households that received standard amount of sanitary pads for this quarter]]/WWWW[[#This Row],[Total HH]]&gt;1,1,WWWW[[#This Row],['#_households that received standard amount of sanitary pads for this quarter]]/WWWW[[#This Row],[Total HH]])</f>
        <v>0</v>
      </c>
      <c r="DE188" s="558">
        <f>WWWW[[#This Row],['#_Constructed/Existing hand washing stations]]-WWWW[[#This Row],['#_Non-Functional_hand_washing_stations]]</f>
        <v>0</v>
      </c>
      <c r="DF188" s="757">
        <f>IF(WWWW[[#This Row],['# Functional hand washing stations during reporting period]]*20&gt;WWWW[[#This Row],[Total HH]],WWWW[[#This Row],[Total HH]],WWWW[[#This Row],['# Functional hand washing stations during reporting period]]*20)</f>
        <v>0</v>
      </c>
      <c r="DG188" s="556">
        <f>IF(WWWW[[#This Row],[Is sufficient soap available for TLS? (Yes/No)]]="yes",WWWW[[#This Row],['#_Constructed/Existing hand washing stations at TLS]],0)</f>
        <v>0</v>
      </c>
      <c r="DH188" s="556">
        <f>IF(WWWW[[#This Row],['# Functional hand washing stations during reporting period]]*100&gt;WWWW[[#This Row],[Total PoP ]],WWWW[[#This Row],[Total PoP ]],WWWW[[#This Row],['# Functional hand washing stations during reporting period]]*100)</f>
        <v>0</v>
      </c>
      <c r="DI188" s="556" t="str">
        <f>IF(OR(WWWW[[#This Row],['#_students at TLS_CFS]]="",WWWW[[#This Row],['#_students at TLS_CFS]]=0),"No","Yes")</f>
        <v>No</v>
      </c>
      <c r="DJ188" s="554">
        <f>VLOOKUP(WWWW[[#This Row],[Site Name]],SiteDB6[[Site Name]:[CCCM Management]],6,FALSE)</f>
        <v>0</v>
      </c>
      <c r="DK188" s="554">
        <f>VLOOKUP(WWWW[[#This Row],[Site Name]],SiteDB6[[Site Name]:[CCCM Focal Agency]],7,FALSE)</f>
        <v>0</v>
      </c>
      <c r="DL188" s="554" t="str">
        <f>VLOOKUP(WWWW[[#This Row],[Site Name]],SiteDB6[[Site Name]:[Location Type 1]],9,FALSE)</f>
        <v>Village</v>
      </c>
      <c r="DM188" s="554" t="str">
        <f>VLOOKUP(WWWW[[#This Row],[Site Name]],SiteDB6[[Site Name]:[Type of Accommodation]],10,FALSE)</f>
        <v>Village</v>
      </c>
      <c r="DN188" s="554" t="str">
        <f>VLOOKUP(WWWW[[#This Row],[Site Name]],SiteDB6[[Site Name]:[Ethnic or GCA/NGCA]],11,FALSE)</f>
        <v>Rakhine</v>
      </c>
      <c r="DO188" s="554">
        <f>VLOOKUP(WWWW[[#This Row],[Site Name]],SiteDB6[[Site Name]:[Lat]],12,FALSE)</f>
        <v>0</v>
      </c>
      <c r="DP188" s="554">
        <f>VLOOKUP(WWWW[[#This Row],[Site Name]],SiteDB6[[Site Name]:[Long]],13,FALSE)</f>
        <v>0</v>
      </c>
      <c r="DQ188" s="554">
        <f>VLOOKUP(WWWW[[#This Row],[Site Name]],SiteDB6[[Site Name]:[Pcode]],3,FALSE)</f>
        <v>198363</v>
      </c>
      <c r="DR188" s="563" t="str">
        <f t="shared" si="6"/>
        <v>Covered</v>
      </c>
      <c r="DS188" s="563"/>
    </row>
    <row r="189" spans="1:123">
      <c r="A189" s="552" t="s">
        <v>2518</v>
      </c>
      <c r="B189" s="552" t="s">
        <v>2795</v>
      </c>
      <c r="C189" s="555" t="s">
        <v>387</v>
      </c>
      <c r="D189" s="555" t="s">
        <v>2796</v>
      </c>
      <c r="E189" s="574" t="s">
        <v>3005</v>
      </c>
      <c r="F189" s="555" t="s">
        <v>337</v>
      </c>
      <c r="G189" s="574" t="str">
        <f>VLOOKUP(WWWW[[#This Row],[Site Name]],SiteDB6[[Site Name]:[Location Type]],8,FALSE)</f>
        <v>Village</v>
      </c>
      <c r="H189" s="555" t="s">
        <v>2812</v>
      </c>
      <c r="I189" s="557">
        <v>18</v>
      </c>
      <c r="J189" s="557">
        <v>73</v>
      </c>
      <c r="K189" s="564">
        <v>43480</v>
      </c>
      <c r="L189" s="565">
        <v>43723</v>
      </c>
      <c r="M189" s="557"/>
      <c r="N189" s="557"/>
      <c r="O189" s="557"/>
      <c r="P189" s="557"/>
      <c r="Q189" s="556"/>
      <c r="R189" s="557"/>
      <c r="S189" s="557"/>
      <c r="T189" s="557"/>
      <c r="U189" s="557"/>
      <c r="V189" s="557"/>
      <c r="W189" s="557"/>
      <c r="X189" s="557"/>
      <c r="Y189" s="557"/>
      <c r="Z189" s="557"/>
      <c r="AA189" s="557"/>
      <c r="AB189" s="557"/>
      <c r="AC189" s="557"/>
      <c r="AD189" s="557"/>
      <c r="AE189" s="557"/>
      <c r="AF189" s="557"/>
      <c r="AG189" s="557"/>
      <c r="AH189" s="557"/>
      <c r="AI189" s="557"/>
      <c r="AJ189" s="557"/>
      <c r="AK189" s="557"/>
      <c r="AL189" s="557"/>
      <c r="AM189" s="557"/>
      <c r="AN189" s="557"/>
      <c r="AO189" s="563"/>
      <c r="AP189" s="557"/>
      <c r="AQ189" s="557"/>
      <c r="AR189" s="559"/>
      <c r="AS189" s="557"/>
      <c r="AT189" s="557"/>
      <c r="AU189" s="557"/>
      <c r="AV189" s="557"/>
      <c r="AW189" s="557"/>
      <c r="AX189" s="554"/>
      <c r="AY189" s="563"/>
      <c r="AZ189" s="557"/>
      <c r="BA189" s="557"/>
      <c r="BB189" s="557"/>
      <c r="BC189" s="554"/>
      <c r="BD189" s="557"/>
      <c r="BE189" s="557"/>
      <c r="BF189" s="557"/>
      <c r="BG189" s="557"/>
      <c r="BH189" s="557"/>
      <c r="BI189" s="557">
        <v>18</v>
      </c>
      <c r="BJ189" s="557">
        <v>18</v>
      </c>
      <c r="BK189" s="557"/>
      <c r="BL189" s="557"/>
      <c r="BM189" s="554"/>
      <c r="BN189" s="558"/>
      <c r="BO189" s="559"/>
      <c r="BP189" s="554"/>
      <c r="BQ189" s="560" t="str">
        <f>IFERROR(WWWW[[#This Row],['#_Water sources treated]]/WWWW[[#This Row],['#_Water sources tested for contamination]],"no test")</f>
        <v>no test</v>
      </c>
      <c r="BR189" s="559" t="str">
        <f>IFERROR(WWWW[[#This Row],['#_Household received remediation action due to contamination]]/WWWW[[#This Row],['#_Household water samples tested for contamination]],"no test")</f>
        <v>no test</v>
      </c>
      <c r="BS189" s="558" t="str">
        <f>IF(AND(WWWW[[#This Row],[% of water sources treated]]="no test",WWWW[[#This Row],[% Household received corrective actions]]="no test"),"No Test","Tested")</f>
        <v>No Test</v>
      </c>
      <c r="BT189" s="558">
        <f>WWWW[[#This Row],['#_Constructed/existing protected hand dug well]]-WWWW[[#This Row],['#_Non-functional protected hand dug well]]</f>
        <v>0</v>
      </c>
      <c r="BU189" s="558">
        <f>(WWWW[[#This Row],['#_Constructed/Existing tube wells/boreholes/handpumps_WASH_agency]]+WWWW[[#This Row],['#_Non-Cluster partner water tube-wells/boreholes/handpumps]])-WWWW[[#This Row],['#_Non-functional tube wells/boreholes/handpumps]]</f>
        <v>0</v>
      </c>
      <c r="BV189" s="558">
        <f>WWWW[[#This Row],['#_Constructed/Existingwater storage tank with gravity fed reticulation system]]-WWWW[[#This Row],['#_Non-functional storage tank gravity fed reticulation system]]</f>
        <v>0</v>
      </c>
      <c r="BW189" s="558">
        <f>WWWW[[#This Row],['#_Water boating or water trucking]]</f>
        <v>0</v>
      </c>
      <c r="BX189" s="558">
        <f>WWWW[[#This Row],['#_Constructed/Existing water distribution system from river or natural spring]]</f>
        <v>0</v>
      </c>
      <c r="BY18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8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89" s="559">
        <f>IF(WWWW[[#This Row],[Location Type 1]]="Village",WWWW[[#This Row],[Access to safe drinking water for Village]],WWWW[[#This Row],[Access to safe drinking water for Camp]])</f>
        <v>0</v>
      </c>
      <c r="CB189" s="556">
        <f>WWWW[[#This Row],[%Equitable and continuous access to sufficient quantity of safe drinking water]]*WWWW[[#This Row],[Total PoP ]]</f>
        <v>0</v>
      </c>
      <c r="CC189" s="559">
        <f>IF((WWWW[[#This Row],['#_Constructed/Existing protected/fenced ponds]]*250)/WWWW[[#This Row],[Total PoP ]]&gt;1,1,(WWWW[[#This Row],['#_Constructed/Existing protected/fenced ponds]]*250)/WWWW[[#This Row],[Total PoP ]])</f>
        <v>0</v>
      </c>
      <c r="CD189" s="556">
        <f>WWWW[[#This Row],[% Access to unimproved water points]]*WWWW[[#This Row],[Total PoP ]]</f>
        <v>0</v>
      </c>
      <c r="CE18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8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89" s="556">
        <f>WWWW[[#This Row],[HRP1]]/500</f>
        <v>0</v>
      </c>
      <c r="CH189" s="561">
        <f>1-WWWW[[#This Row],[% Equitable and continuous access to sufficient quantity of domestic water]]</f>
        <v>1</v>
      </c>
      <c r="CI189" s="556">
        <f>WWWW[[#This Row],[%equitable and continuous access to sufficient quantity of safe drinking and domestic water''s GAP]]*WWWW[[#This Row],[Total PoP ]]</f>
        <v>73</v>
      </c>
      <c r="CJ189" s="558">
        <f>IF(WWWW[[#This Row],[Total required water points]]-WWWW[[#This Row],['#Water points coverage]]&lt;0,0,WWWW[[#This Row],[Total required water points]]-WWWW[[#This Row],['#Water points coverage]])</f>
        <v>1</v>
      </c>
      <c r="CK189" s="558">
        <f>ROUND(IF(WWWW[[#This Row],[Total PoP ]]&lt;500,1,WWWW[[#This Row],[Total PoP ]]/500),0)</f>
        <v>1</v>
      </c>
      <c r="CL189" s="558">
        <f>(WWWW[[#This Row],['#_Constructed latrines_by_WASHAgencies]]+WWWW[[#This Row],['#_Non Cluster partner latrines]])-WWWW[[#This Row],['#_Non-functional latrines]]</f>
        <v>0</v>
      </c>
      <c r="CM18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8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8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89" s="558" t="str">
        <f>IF(WWWW[[#This Row],[Location Type 1]]="Village","NA",IF(WWWW[[#This Row],['#_Constructed/Existing latrines in TLS]]*50&gt;WWWW[[#This Row],['#_students at TLS_CFS]],WWWW[[#This Row],['#_students at TLS_CFS]],(WWWW[[#This Row],['#_Constructed/Existing latrines in TLS]]*50)))</f>
        <v>NA</v>
      </c>
      <c r="CQ189" s="558">
        <f>ROUND(IF(WWWW[[#This Row],[Location Type 1]]="camp",WWWW[[#This Row],[Total PoP ]]/20,IF(WWWW[[#This Row],[Location Type 1]]="Temporary Location",WWWW[[#This Row],[Total PoP ]]/50,(WWWW[[#This Row],[Total PoP ]]/6))),0)</f>
        <v>12</v>
      </c>
      <c r="CR189" s="558">
        <f>IF(WWWW[[#This Row],[Total required Latrines]]-(WWWW[[#This Row],['#_Constructed latrines_by_WASHAgencies]]+WWWW[[#This Row],['#_Non Cluster partner latrines]])&lt;0,0,WWWW[[#This Row],[Total required Latrines]]-(WWWW[[#This Row],['#_Constructed latrines_by_WASHAgencies]]+WWWW[[#This Row],['#_Non Cluster partner latrines]]))</f>
        <v>12</v>
      </c>
      <c r="CS189" s="78">
        <f>1-WWWW[[#This Row],[% people access to functioning Latrine]]</f>
        <v>1</v>
      </c>
      <c r="CT189" s="560">
        <f>IF(OR(WWWW[[#This Row],['#_Non-functional latrines]]="",WWWW[[#This Row],['#_Non-functional latrines]]=0),0,WWWW[[#This Row],['#_Non-functional latrines]]/(WWWW[[#This Row],['#_Constructed latrines_by_WASHAgencies]]+WWWW[[#This Row],['#_Non Cluster partner latrines]]))</f>
        <v>0</v>
      </c>
      <c r="CU189" s="556">
        <f>IF(500*(WWWW[[#This Row],['#_male hygiene promoters]]+WWWW[[#This Row],['#_female hygiene promoters]])&gt;WWWW[[#This Row],[Total PoP ]],WWWW[[#This Row],[Total PoP ]],500*(WWWW[[#This Row],['#_male hygiene promoters]]+WWWW[[#This Row],['#_female hygiene promoters]]))</f>
        <v>73</v>
      </c>
      <c r="CV18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8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89" s="558">
        <f>IF(WWWW[[#This Row],['# People with access to soap]]&gt;WWWW[[#This Row],['# People with access to Sanity Pads]],WWWW[[#This Row],['# People with access to soap]],WWWW[[#This Row],['# People with access to Sanity Pads]])</f>
        <v>0</v>
      </c>
      <c r="CY189" s="558">
        <f>IF(WWWW[[#This Row],['# people reached by regular dedicated hygiene promotion_5]]&gt;WWWW[[#This Row],['# People received regular supply of hygiene items_6]],WWWW[[#This Row],['# people reached by regular dedicated hygiene promotion_5]],WWWW[[#This Row],['# People received regular supply of hygiene items_6]])</f>
        <v>73</v>
      </c>
      <c r="CZ189" s="561">
        <f>IF(WWWW[[#This Row],[HRP3]]/WWWW[[#This Row],[Total PoP ]]&gt;100%,100%,WWWW[[#This Row],[HRP3]]/WWWW[[#This Row],[Total PoP ]])</f>
        <v>1</v>
      </c>
      <c r="DA189" s="560">
        <f>1-WWWW[[#This Row],[Hygiene Coverage%]]</f>
        <v>0</v>
      </c>
      <c r="DB189" s="559">
        <f>WWWW[[#This Row],['# people reached by regular dedicated hygiene promotion_5]]/WWWW[[#This Row],[Total PoP ]]</f>
        <v>1</v>
      </c>
      <c r="DC189" s="559">
        <f>IF(WWWW[[#This Row],['#_households that received standard amount of soap for this quarter]]/WWWW[[#This Row],[Total HH]]&gt;1,1,WWWW[[#This Row],['#_households that received standard amount of soap for this quarter]]/WWWW[[#This Row],[Total HH]])</f>
        <v>0</v>
      </c>
      <c r="DD189" s="559">
        <f>IF(WWWW[[#This Row],['#_households that received standard amount of sanitary pads for this quarter]]/WWWW[[#This Row],[Total HH]]&gt;1,1,WWWW[[#This Row],['#_households that received standard amount of sanitary pads for this quarter]]/WWWW[[#This Row],[Total HH]])</f>
        <v>0</v>
      </c>
      <c r="DE189" s="558">
        <f>WWWW[[#This Row],['#_Constructed/Existing hand washing stations]]-WWWW[[#This Row],['#_Non-Functional_hand_washing_stations]]</f>
        <v>0</v>
      </c>
      <c r="DF189" s="757">
        <f>IF(WWWW[[#This Row],['# Functional hand washing stations during reporting period]]*20&gt;WWWW[[#This Row],[Total HH]],WWWW[[#This Row],[Total HH]],WWWW[[#This Row],['# Functional hand washing stations during reporting period]]*20)</f>
        <v>0</v>
      </c>
      <c r="DG189" s="556">
        <f>IF(WWWW[[#This Row],[Is sufficient soap available for TLS? (Yes/No)]]="yes",WWWW[[#This Row],['#_Constructed/Existing hand washing stations at TLS]],0)</f>
        <v>0</v>
      </c>
      <c r="DH189" s="556">
        <f>IF(WWWW[[#This Row],['# Functional hand washing stations during reporting period]]*100&gt;WWWW[[#This Row],[Total PoP ]],WWWW[[#This Row],[Total PoP ]],WWWW[[#This Row],['# Functional hand washing stations during reporting period]]*100)</f>
        <v>0</v>
      </c>
      <c r="DI189" s="556" t="str">
        <f>IF(OR(WWWW[[#This Row],['#_students at TLS_CFS]]="",WWWW[[#This Row],['#_students at TLS_CFS]]=0),"No","Yes")</f>
        <v>No</v>
      </c>
      <c r="DJ189" s="554">
        <f>VLOOKUP(WWWW[[#This Row],[Site Name]],SiteDB6[[Site Name]:[CCCM Management]],6,FALSE)</f>
        <v>0</v>
      </c>
      <c r="DK189" s="554">
        <f>VLOOKUP(WWWW[[#This Row],[Site Name]],SiteDB6[[Site Name]:[CCCM Focal Agency]],7,FALSE)</f>
        <v>0</v>
      </c>
      <c r="DL189" s="554" t="str">
        <f>VLOOKUP(WWWW[[#This Row],[Site Name]],SiteDB6[[Site Name]:[Location Type 1]],9,FALSE)</f>
        <v>Village</v>
      </c>
      <c r="DM189" s="554" t="str">
        <f>VLOOKUP(WWWW[[#This Row],[Site Name]],SiteDB6[[Site Name]:[Type of Accommodation]],10,FALSE)</f>
        <v>Village</v>
      </c>
      <c r="DN189" s="554" t="str">
        <f>VLOOKUP(WWWW[[#This Row],[Site Name]],SiteDB6[[Site Name]:[Ethnic or GCA/NGCA]],11,FALSE)</f>
        <v>Rakhine</v>
      </c>
      <c r="DO189" s="554">
        <f>VLOOKUP(WWWW[[#This Row],[Site Name]],SiteDB6[[Site Name]:[Lat]],12,FALSE)</f>
        <v>20.887420649999999</v>
      </c>
      <c r="DP189" s="554">
        <f>VLOOKUP(WWWW[[#This Row],[Site Name]],SiteDB6[[Site Name]:[Long]],13,FALSE)</f>
        <v>92.545410160000003</v>
      </c>
      <c r="DQ189" s="554">
        <f>VLOOKUP(WWWW[[#This Row],[Site Name]],SiteDB6[[Site Name]:[Pcode]],3,FALSE)</f>
        <v>198300</v>
      </c>
      <c r="DR189" s="563" t="str">
        <f t="shared" si="6"/>
        <v>Covered</v>
      </c>
      <c r="DS189" s="563"/>
    </row>
    <row r="190" spans="1:123">
      <c r="A190" s="552" t="s">
        <v>2518</v>
      </c>
      <c r="B190" s="552" t="s">
        <v>2795</v>
      </c>
      <c r="C190" s="555" t="s">
        <v>387</v>
      </c>
      <c r="D190" s="555" t="s">
        <v>2796</v>
      </c>
      <c r="E190" s="574" t="s">
        <v>3005</v>
      </c>
      <c r="F190" s="555" t="s">
        <v>337</v>
      </c>
      <c r="G190" s="574" t="str">
        <f>VLOOKUP(WWWW[[#This Row],[Site Name]],SiteDB6[[Site Name]:[Location Type]],8,FALSE)</f>
        <v>Village</v>
      </c>
      <c r="H190" s="555" t="s">
        <v>2808</v>
      </c>
      <c r="I190" s="557">
        <v>218</v>
      </c>
      <c r="J190" s="557">
        <v>1207</v>
      </c>
      <c r="K190" s="564">
        <v>43480</v>
      </c>
      <c r="L190" s="565">
        <v>43723</v>
      </c>
      <c r="M190" s="557"/>
      <c r="N190" s="557"/>
      <c r="O190" s="557"/>
      <c r="P190" s="557"/>
      <c r="Q190" s="556"/>
      <c r="R190" s="557"/>
      <c r="S190" s="557"/>
      <c r="T190" s="557"/>
      <c r="U190" s="557"/>
      <c r="V190" s="557"/>
      <c r="W190" s="557"/>
      <c r="X190" s="557"/>
      <c r="Y190" s="557"/>
      <c r="Z190" s="557"/>
      <c r="AA190" s="557"/>
      <c r="AB190" s="557"/>
      <c r="AC190" s="557"/>
      <c r="AD190" s="557"/>
      <c r="AE190" s="557"/>
      <c r="AF190" s="557"/>
      <c r="AG190" s="557"/>
      <c r="AH190" s="557"/>
      <c r="AI190" s="557"/>
      <c r="AJ190" s="557"/>
      <c r="AK190" s="557"/>
      <c r="AL190" s="557"/>
      <c r="AM190" s="557"/>
      <c r="AN190" s="557"/>
      <c r="AO190" s="563"/>
      <c r="AP190" s="557"/>
      <c r="AQ190" s="557"/>
      <c r="AR190" s="559"/>
      <c r="AS190" s="557"/>
      <c r="AT190" s="557"/>
      <c r="AU190" s="557"/>
      <c r="AV190" s="557"/>
      <c r="AW190" s="557"/>
      <c r="AX190" s="554"/>
      <c r="AY190" s="563"/>
      <c r="AZ190" s="557"/>
      <c r="BA190" s="557"/>
      <c r="BB190" s="557"/>
      <c r="BC190" s="554"/>
      <c r="BD190" s="557"/>
      <c r="BE190" s="557"/>
      <c r="BF190" s="557"/>
      <c r="BG190" s="557"/>
      <c r="BH190" s="557"/>
      <c r="BI190" s="557">
        <v>218</v>
      </c>
      <c r="BJ190" s="557">
        <v>218</v>
      </c>
      <c r="BK190" s="557"/>
      <c r="BL190" s="557"/>
      <c r="BM190" s="554"/>
      <c r="BN190" s="558"/>
      <c r="BO190" s="559"/>
      <c r="BP190" s="554"/>
      <c r="BQ190" s="560" t="str">
        <f>IFERROR(WWWW[[#This Row],['#_Water sources treated]]/WWWW[[#This Row],['#_Water sources tested for contamination]],"no test")</f>
        <v>no test</v>
      </c>
      <c r="BR190" s="559" t="str">
        <f>IFERROR(WWWW[[#This Row],['#_Household received remediation action due to contamination]]/WWWW[[#This Row],['#_Household water samples tested for contamination]],"no test")</f>
        <v>no test</v>
      </c>
      <c r="BS190" s="558" t="str">
        <f>IF(AND(WWWW[[#This Row],[% of water sources treated]]="no test",WWWW[[#This Row],[% Household received corrective actions]]="no test"),"No Test","Tested")</f>
        <v>No Test</v>
      </c>
      <c r="BT190" s="558">
        <f>WWWW[[#This Row],['#_Constructed/existing protected hand dug well]]-WWWW[[#This Row],['#_Non-functional protected hand dug well]]</f>
        <v>0</v>
      </c>
      <c r="BU190" s="558">
        <f>(WWWW[[#This Row],['#_Constructed/Existing tube wells/boreholes/handpumps_WASH_agency]]+WWWW[[#This Row],['#_Non-Cluster partner water tube-wells/boreholes/handpumps]])-WWWW[[#This Row],['#_Non-functional tube wells/boreholes/handpumps]]</f>
        <v>0</v>
      </c>
      <c r="BV190" s="558">
        <f>WWWW[[#This Row],['#_Constructed/Existingwater storage tank with gravity fed reticulation system]]-WWWW[[#This Row],['#_Non-functional storage tank gravity fed reticulation system]]</f>
        <v>0</v>
      </c>
      <c r="BW190" s="558">
        <f>WWWW[[#This Row],['#_Water boating or water trucking]]</f>
        <v>0</v>
      </c>
      <c r="BX190" s="558">
        <f>WWWW[[#This Row],['#_Constructed/Existing water distribution system from river or natural spring]]</f>
        <v>0</v>
      </c>
      <c r="BY19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0" s="559">
        <f>IF(WWWW[[#This Row],[Location Type 1]]="Village",WWWW[[#This Row],[Access to safe drinking water for Village]],WWWW[[#This Row],[Access to safe drinking water for Camp]])</f>
        <v>0</v>
      </c>
      <c r="CB190" s="556">
        <f>WWWW[[#This Row],[%Equitable and continuous access to sufficient quantity of safe drinking water]]*WWWW[[#This Row],[Total PoP ]]</f>
        <v>0</v>
      </c>
      <c r="CC190" s="559">
        <f>IF((WWWW[[#This Row],['#_Constructed/Existing protected/fenced ponds]]*250)/WWWW[[#This Row],[Total PoP ]]&gt;1,1,(WWWW[[#This Row],['#_Constructed/Existing protected/fenced ponds]]*250)/WWWW[[#This Row],[Total PoP ]])</f>
        <v>0</v>
      </c>
      <c r="CD190" s="556">
        <f>WWWW[[#This Row],[% Access to unimproved water points]]*WWWW[[#This Row],[Total PoP ]]</f>
        <v>0</v>
      </c>
      <c r="CE19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0" s="556">
        <f>WWWW[[#This Row],[HRP1]]/500</f>
        <v>0</v>
      </c>
      <c r="CH190" s="561">
        <f>1-WWWW[[#This Row],[% Equitable and continuous access to sufficient quantity of domestic water]]</f>
        <v>1</v>
      </c>
      <c r="CI190" s="556">
        <f>WWWW[[#This Row],[%equitable and continuous access to sufficient quantity of safe drinking and domestic water''s GAP]]*WWWW[[#This Row],[Total PoP ]]</f>
        <v>1207</v>
      </c>
      <c r="CJ190" s="558">
        <f>IF(WWWW[[#This Row],[Total required water points]]-WWWW[[#This Row],['#Water points coverage]]&lt;0,0,WWWW[[#This Row],[Total required water points]]-WWWW[[#This Row],['#Water points coverage]])</f>
        <v>2</v>
      </c>
      <c r="CK190" s="558">
        <f>ROUND(IF(WWWW[[#This Row],[Total PoP ]]&lt;500,1,WWWW[[#This Row],[Total PoP ]]/500),0)</f>
        <v>2</v>
      </c>
      <c r="CL190" s="558">
        <f>(WWWW[[#This Row],['#_Constructed latrines_by_WASHAgencies]]+WWWW[[#This Row],['#_Non Cluster partner latrines]])-WWWW[[#This Row],['#_Non-functional latrines]]</f>
        <v>0</v>
      </c>
      <c r="CM19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0" s="558" t="str">
        <f>IF(WWWW[[#This Row],[Location Type 1]]="Village","NA",IF(WWWW[[#This Row],['#_Constructed/Existing latrines in TLS]]*50&gt;WWWW[[#This Row],['#_students at TLS_CFS]],WWWW[[#This Row],['#_students at TLS_CFS]],(WWWW[[#This Row],['#_Constructed/Existing latrines in TLS]]*50)))</f>
        <v>NA</v>
      </c>
      <c r="CQ190" s="558">
        <f>ROUND(IF(WWWW[[#This Row],[Location Type 1]]="camp",WWWW[[#This Row],[Total PoP ]]/20,IF(WWWW[[#This Row],[Location Type 1]]="Temporary Location",WWWW[[#This Row],[Total PoP ]]/50,(WWWW[[#This Row],[Total PoP ]]/6))),0)</f>
        <v>201</v>
      </c>
      <c r="CR190" s="558">
        <f>IF(WWWW[[#This Row],[Total required Latrines]]-(WWWW[[#This Row],['#_Constructed latrines_by_WASHAgencies]]+WWWW[[#This Row],['#_Non Cluster partner latrines]])&lt;0,0,WWWW[[#This Row],[Total required Latrines]]-(WWWW[[#This Row],['#_Constructed latrines_by_WASHAgencies]]+WWWW[[#This Row],['#_Non Cluster partner latrines]]))</f>
        <v>201</v>
      </c>
      <c r="CS190" s="78">
        <f>1-WWWW[[#This Row],[% people access to functioning Latrine]]</f>
        <v>1</v>
      </c>
      <c r="CT190" s="560">
        <f>IF(OR(WWWW[[#This Row],['#_Non-functional latrines]]="",WWWW[[#This Row],['#_Non-functional latrines]]=0),0,WWWW[[#This Row],['#_Non-functional latrines]]/(WWWW[[#This Row],['#_Constructed latrines_by_WASHAgencies]]+WWWW[[#This Row],['#_Non Cluster partner latrines]]))</f>
        <v>0</v>
      </c>
      <c r="CU190" s="556">
        <f>IF(500*(WWWW[[#This Row],['#_male hygiene promoters]]+WWWW[[#This Row],['#_female hygiene promoters]])&gt;WWWW[[#This Row],[Total PoP ]],WWWW[[#This Row],[Total PoP ]],500*(WWWW[[#This Row],['#_male hygiene promoters]]+WWWW[[#This Row],['#_female hygiene promoters]]))</f>
        <v>1207</v>
      </c>
      <c r="CV19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0" s="558">
        <f>IF(WWWW[[#This Row],['# People with access to soap]]&gt;WWWW[[#This Row],['# People with access to Sanity Pads]],WWWW[[#This Row],['# People with access to soap]],WWWW[[#This Row],['# People with access to Sanity Pads]])</f>
        <v>0</v>
      </c>
      <c r="CY190" s="558">
        <f>IF(WWWW[[#This Row],['# people reached by regular dedicated hygiene promotion_5]]&gt;WWWW[[#This Row],['# People received regular supply of hygiene items_6]],WWWW[[#This Row],['# people reached by regular dedicated hygiene promotion_5]],WWWW[[#This Row],['# People received regular supply of hygiene items_6]])</f>
        <v>1207</v>
      </c>
      <c r="CZ190" s="561">
        <f>IF(WWWW[[#This Row],[HRP3]]/WWWW[[#This Row],[Total PoP ]]&gt;100%,100%,WWWW[[#This Row],[HRP3]]/WWWW[[#This Row],[Total PoP ]])</f>
        <v>1</v>
      </c>
      <c r="DA190" s="560">
        <f>1-WWWW[[#This Row],[Hygiene Coverage%]]</f>
        <v>0</v>
      </c>
      <c r="DB190" s="559">
        <f>WWWW[[#This Row],['# people reached by regular dedicated hygiene promotion_5]]/WWWW[[#This Row],[Total PoP ]]</f>
        <v>1</v>
      </c>
      <c r="DC190" s="559">
        <f>IF(WWWW[[#This Row],['#_households that received standard amount of soap for this quarter]]/WWWW[[#This Row],[Total HH]]&gt;1,1,WWWW[[#This Row],['#_households that received standard amount of soap for this quarter]]/WWWW[[#This Row],[Total HH]])</f>
        <v>0</v>
      </c>
      <c r="DD190" s="559">
        <f>IF(WWWW[[#This Row],['#_households that received standard amount of sanitary pads for this quarter]]/WWWW[[#This Row],[Total HH]]&gt;1,1,WWWW[[#This Row],['#_households that received standard amount of sanitary pads for this quarter]]/WWWW[[#This Row],[Total HH]])</f>
        <v>0</v>
      </c>
      <c r="DE190" s="558">
        <f>WWWW[[#This Row],['#_Constructed/Existing hand washing stations]]-WWWW[[#This Row],['#_Non-Functional_hand_washing_stations]]</f>
        <v>0</v>
      </c>
      <c r="DF190" s="757">
        <f>IF(WWWW[[#This Row],['# Functional hand washing stations during reporting period]]*20&gt;WWWW[[#This Row],[Total HH]],WWWW[[#This Row],[Total HH]],WWWW[[#This Row],['# Functional hand washing stations during reporting period]]*20)</f>
        <v>0</v>
      </c>
      <c r="DG190" s="556">
        <f>IF(WWWW[[#This Row],[Is sufficient soap available for TLS? (Yes/No)]]="yes",WWWW[[#This Row],['#_Constructed/Existing hand washing stations at TLS]],0)</f>
        <v>0</v>
      </c>
      <c r="DH190" s="556">
        <f>IF(WWWW[[#This Row],['# Functional hand washing stations during reporting period]]*100&gt;WWWW[[#This Row],[Total PoP ]],WWWW[[#This Row],[Total PoP ]],WWWW[[#This Row],['# Functional hand washing stations during reporting period]]*100)</f>
        <v>0</v>
      </c>
      <c r="DI190" s="556" t="str">
        <f>IF(OR(WWWW[[#This Row],['#_students at TLS_CFS]]="",WWWW[[#This Row],['#_students at TLS_CFS]]=0),"No","Yes")</f>
        <v>No</v>
      </c>
      <c r="DJ190" s="554">
        <f>VLOOKUP(WWWW[[#This Row],[Site Name]],SiteDB6[[Site Name]:[CCCM Management]],6,FALSE)</f>
        <v>0</v>
      </c>
      <c r="DK190" s="554">
        <f>VLOOKUP(WWWW[[#This Row],[Site Name]],SiteDB6[[Site Name]:[CCCM Focal Agency]],7,FALSE)</f>
        <v>0</v>
      </c>
      <c r="DL190" s="554" t="str">
        <f>VLOOKUP(WWWW[[#This Row],[Site Name]],SiteDB6[[Site Name]:[Location Type 1]],9,FALSE)</f>
        <v>Village</v>
      </c>
      <c r="DM190" s="554" t="str">
        <f>VLOOKUP(WWWW[[#This Row],[Site Name]],SiteDB6[[Site Name]:[Type of Accommodation]],10,FALSE)</f>
        <v>Village</v>
      </c>
      <c r="DN190" s="554" t="str">
        <f>VLOOKUP(WWWW[[#This Row],[Site Name]],SiteDB6[[Site Name]:[Ethnic or GCA/NGCA]],11,FALSE)</f>
        <v>Muslim</v>
      </c>
      <c r="DO190" s="554">
        <f>VLOOKUP(WWWW[[#This Row],[Site Name]],SiteDB6[[Site Name]:[Lat]],12,FALSE)</f>
        <v>0</v>
      </c>
      <c r="DP190" s="554">
        <f>VLOOKUP(WWWW[[#This Row],[Site Name]],SiteDB6[[Site Name]:[Long]],13,FALSE)</f>
        <v>0</v>
      </c>
      <c r="DQ190" s="554">
        <f>VLOOKUP(WWWW[[#This Row],[Site Name]],SiteDB6[[Site Name]:[Pcode]],3,FALSE)</f>
        <v>198434</v>
      </c>
      <c r="DR190" s="563" t="str">
        <f t="shared" si="6"/>
        <v>Covered</v>
      </c>
      <c r="DS190" s="563"/>
    </row>
    <row r="191" spans="1:123">
      <c r="A191" s="552" t="s">
        <v>2518</v>
      </c>
      <c r="B191" s="552" t="s">
        <v>2795</v>
      </c>
      <c r="C191" s="555" t="s">
        <v>387</v>
      </c>
      <c r="D191" s="555" t="s">
        <v>2796</v>
      </c>
      <c r="E191" s="574" t="s">
        <v>3005</v>
      </c>
      <c r="F191" s="555" t="s">
        <v>337</v>
      </c>
      <c r="G191" s="574" t="str">
        <f>VLOOKUP(WWWW[[#This Row],[Site Name]],SiteDB6[[Site Name]:[Location Type]],8,FALSE)</f>
        <v>Village</v>
      </c>
      <c r="H191" s="555" t="s">
        <v>2809</v>
      </c>
      <c r="I191" s="557">
        <v>11</v>
      </c>
      <c r="J191" s="557">
        <v>39</v>
      </c>
      <c r="K191" s="564">
        <v>43480</v>
      </c>
      <c r="L191" s="565">
        <v>43723</v>
      </c>
      <c r="M191" s="557"/>
      <c r="N191" s="557"/>
      <c r="O191" s="557"/>
      <c r="P191" s="557"/>
      <c r="Q191" s="556"/>
      <c r="R191" s="557"/>
      <c r="S191" s="557"/>
      <c r="T191" s="557"/>
      <c r="U191" s="557"/>
      <c r="V191" s="557"/>
      <c r="W191" s="557"/>
      <c r="X191" s="557"/>
      <c r="Y191" s="557"/>
      <c r="Z191" s="557"/>
      <c r="AA191" s="557"/>
      <c r="AB191" s="557"/>
      <c r="AC191" s="557"/>
      <c r="AD191" s="557"/>
      <c r="AE191" s="557"/>
      <c r="AF191" s="557"/>
      <c r="AG191" s="557"/>
      <c r="AH191" s="557"/>
      <c r="AI191" s="557"/>
      <c r="AJ191" s="557"/>
      <c r="AK191" s="557"/>
      <c r="AL191" s="557"/>
      <c r="AM191" s="557"/>
      <c r="AN191" s="557"/>
      <c r="AO191" s="563"/>
      <c r="AP191" s="557"/>
      <c r="AQ191" s="557"/>
      <c r="AR191" s="559"/>
      <c r="AS191" s="557"/>
      <c r="AT191" s="557"/>
      <c r="AU191" s="557"/>
      <c r="AV191" s="557"/>
      <c r="AW191" s="557"/>
      <c r="AX191" s="554"/>
      <c r="AY191" s="563"/>
      <c r="AZ191" s="557"/>
      <c r="BA191" s="557"/>
      <c r="BB191" s="557"/>
      <c r="BC191" s="554"/>
      <c r="BD191" s="557"/>
      <c r="BE191" s="557"/>
      <c r="BF191" s="557"/>
      <c r="BG191" s="557"/>
      <c r="BH191" s="557"/>
      <c r="BI191" s="557">
        <v>11</v>
      </c>
      <c r="BJ191" s="557">
        <v>11</v>
      </c>
      <c r="BK191" s="557"/>
      <c r="BL191" s="557"/>
      <c r="BM191" s="554"/>
      <c r="BN191" s="558"/>
      <c r="BO191" s="559"/>
      <c r="BP191" s="554"/>
      <c r="BQ191" s="560" t="str">
        <f>IFERROR(WWWW[[#This Row],['#_Water sources treated]]/WWWW[[#This Row],['#_Water sources tested for contamination]],"no test")</f>
        <v>no test</v>
      </c>
      <c r="BR191" s="559" t="str">
        <f>IFERROR(WWWW[[#This Row],['#_Household received remediation action due to contamination]]/WWWW[[#This Row],['#_Household water samples tested for contamination]],"no test")</f>
        <v>no test</v>
      </c>
      <c r="BS191" s="558" t="str">
        <f>IF(AND(WWWW[[#This Row],[% of water sources treated]]="no test",WWWW[[#This Row],[% Household received corrective actions]]="no test"),"No Test","Tested")</f>
        <v>No Test</v>
      </c>
      <c r="BT191" s="558">
        <f>WWWW[[#This Row],['#_Constructed/existing protected hand dug well]]-WWWW[[#This Row],['#_Non-functional protected hand dug well]]</f>
        <v>0</v>
      </c>
      <c r="BU191" s="558">
        <f>(WWWW[[#This Row],['#_Constructed/Existing tube wells/boreholes/handpumps_WASH_agency]]+WWWW[[#This Row],['#_Non-Cluster partner water tube-wells/boreholes/handpumps]])-WWWW[[#This Row],['#_Non-functional tube wells/boreholes/handpumps]]</f>
        <v>0</v>
      </c>
      <c r="BV191" s="558">
        <f>WWWW[[#This Row],['#_Constructed/Existingwater storage tank with gravity fed reticulation system]]-WWWW[[#This Row],['#_Non-functional storage tank gravity fed reticulation system]]</f>
        <v>0</v>
      </c>
      <c r="BW191" s="558">
        <f>WWWW[[#This Row],['#_Water boating or water trucking]]</f>
        <v>0</v>
      </c>
      <c r="BX191" s="558">
        <f>WWWW[[#This Row],['#_Constructed/Existing water distribution system from river or natural spring]]</f>
        <v>0</v>
      </c>
      <c r="BY19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1" s="559">
        <f>IF(WWWW[[#This Row],[Location Type 1]]="Village",WWWW[[#This Row],[Access to safe drinking water for Village]],WWWW[[#This Row],[Access to safe drinking water for Camp]])</f>
        <v>0</v>
      </c>
      <c r="CB191" s="556">
        <f>WWWW[[#This Row],[%Equitable and continuous access to sufficient quantity of safe drinking water]]*WWWW[[#This Row],[Total PoP ]]</f>
        <v>0</v>
      </c>
      <c r="CC191" s="559">
        <f>IF((WWWW[[#This Row],['#_Constructed/Existing protected/fenced ponds]]*250)/WWWW[[#This Row],[Total PoP ]]&gt;1,1,(WWWW[[#This Row],['#_Constructed/Existing protected/fenced ponds]]*250)/WWWW[[#This Row],[Total PoP ]])</f>
        <v>0</v>
      </c>
      <c r="CD191" s="556">
        <f>WWWW[[#This Row],[% Access to unimproved water points]]*WWWW[[#This Row],[Total PoP ]]</f>
        <v>0</v>
      </c>
      <c r="CE19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1" s="556">
        <f>WWWW[[#This Row],[HRP1]]/500</f>
        <v>0</v>
      </c>
      <c r="CH191" s="561">
        <f>1-WWWW[[#This Row],[% Equitable and continuous access to sufficient quantity of domestic water]]</f>
        <v>1</v>
      </c>
      <c r="CI191" s="556">
        <f>WWWW[[#This Row],[%equitable and continuous access to sufficient quantity of safe drinking and domestic water''s GAP]]*WWWW[[#This Row],[Total PoP ]]</f>
        <v>39</v>
      </c>
      <c r="CJ191" s="558">
        <f>IF(WWWW[[#This Row],[Total required water points]]-WWWW[[#This Row],['#Water points coverage]]&lt;0,0,WWWW[[#This Row],[Total required water points]]-WWWW[[#This Row],['#Water points coverage]])</f>
        <v>1</v>
      </c>
      <c r="CK191" s="558">
        <f>ROUND(IF(WWWW[[#This Row],[Total PoP ]]&lt;500,1,WWWW[[#This Row],[Total PoP ]]/500),0)</f>
        <v>1</v>
      </c>
      <c r="CL191" s="558">
        <f>(WWWW[[#This Row],['#_Constructed latrines_by_WASHAgencies]]+WWWW[[#This Row],['#_Non Cluster partner latrines]])-WWWW[[#This Row],['#_Non-functional latrines]]</f>
        <v>0</v>
      </c>
      <c r="CM19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1" s="558" t="str">
        <f>IF(WWWW[[#This Row],[Location Type 1]]="Village","NA",IF(WWWW[[#This Row],['#_Constructed/Existing latrines in TLS]]*50&gt;WWWW[[#This Row],['#_students at TLS_CFS]],WWWW[[#This Row],['#_students at TLS_CFS]],(WWWW[[#This Row],['#_Constructed/Existing latrines in TLS]]*50)))</f>
        <v>NA</v>
      </c>
      <c r="CQ191" s="558">
        <f>ROUND(IF(WWWW[[#This Row],[Location Type 1]]="camp",WWWW[[#This Row],[Total PoP ]]/20,IF(WWWW[[#This Row],[Location Type 1]]="Temporary Location",WWWW[[#This Row],[Total PoP ]]/50,(WWWW[[#This Row],[Total PoP ]]/6))),0)</f>
        <v>7</v>
      </c>
      <c r="CR191" s="558">
        <f>IF(WWWW[[#This Row],[Total required Latrines]]-(WWWW[[#This Row],['#_Constructed latrines_by_WASHAgencies]]+WWWW[[#This Row],['#_Non Cluster partner latrines]])&lt;0,0,WWWW[[#This Row],[Total required Latrines]]-(WWWW[[#This Row],['#_Constructed latrines_by_WASHAgencies]]+WWWW[[#This Row],['#_Non Cluster partner latrines]]))</f>
        <v>7</v>
      </c>
      <c r="CS191" s="78">
        <f>1-WWWW[[#This Row],[% people access to functioning Latrine]]</f>
        <v>1</v>
      </c>
      <c r="CT191" s="560">
        <f>IF(OR(WWWW[[#This Row],['#_Non-functional latrines]]="",WWWW[[#This Row],['#_Non-functional latrines]]=0),0,WWWW[[#This Row],['#_Non-functional latrines]]/(WWWW[[#This Row],['#_Constructed latrines_by_WASHAgencies]]+WWWW[[#This Row],['#_Non Cluster partner latrines]]))</f>
        <v>0</v>
      </c>
      <c r="CU191" s="556">
        <f>IF(500*(WWWW[[#This Row],['#_male hygiene promoters]]+WWWW[[#This Row],['#_female hygiene promoters]])&gt;WWWW[[#This Row],[Total PoP ]],WWWW[[#This Row],[Total PoP ]],500*(WWWW[[#This Row],['#_male hygiene promoters]]+WWWW[[#This Row],['#_female hygiene promoters]]))</f>
        <v>39</v>
      </c>
      <c r="CV19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1" s="558">
        <f>IF(WWWW[[#This Row],['# People with access to soap]]&gt;WWWW[[#This Row],['# People with access to Sanity Pads]],WWWW[[#This Row],['# People with access to soap]],WWWW[[#This Row],['# People with access to Sanity Pads]])</f>
        <v>0</v>
      </c>
      <c r="CY191" s="558">
        <f>IF(WWWW[[#This Row],['# people reached by regular dedicated hygiene promotion_5]]&gt;WWWW[[#This Row],['# People received regular supply of hygiene items_6]],WWWW[[#This Row],['# people reached by regular dedicated hygiene promotion_5]],WWWW[[#This Row],['# People received regular supply of hygiene items_6]])</f>
        <v>39</v>
      </c>
      <c r="CZ191" s="561">
        <f>IF(WWWW[[#This Row],[HRP3]]/WWWW[[#This Row],[Total PoP ]]&gt;100%,100%,WWWW[[#This Row],[HRP3]]/WWWW[[#This Row],[Total PoP ]])</f>
        <v>1</v>
      </c>
      <c r="DA191" s="560">
        <f>1-WWWW[[#This Row],[Hygiene Coverage%]]</f>
        <v>0</v>
      </c>
      <c r="DB191" s="559">
        <f>WWWW[[#This Row],['# people reached by regular dedicated hygiene promotion_5]]/WWWW[[#This Row],[Total PoP ]]</f>
        <v>1</v>
      </c>
      <c r="DC191" s="559">
        <f>IF(WWWW[[#This Row],['#_households that received standard amount of soap for this quarter]]/WWWW[[#This Row],[Total HH]]&gt;1,1,WWWW[[#This Row],['#_households that received standard amount of soap for this quarter]]/WWWW[[#This Row],[Total HH]])</f>
        <v>0</v>
      </c>
      <c r="DD191" s="559">
        <f>IF(WWWW[[#This Row],['#_households that received standard amount of sanitary pads for this quarter]]/WWWW[[#This Row],[Total HH]]&gt;1,1,WWWW[[#This Row],['#_households that received standard amount of sanitary pads for this quarter]]/WWWW[[#This Row],[Total HH]])</f>
        <v>0</v>
      </c>
      <c r="DE191" s="558">
        <f>WWWW[[#This Row],['#_Constructed/Existing hand washing stations]]-WWWW[[#This Row],['#_Non-Functional_hand_washing_stations]]</f>
        <v>0</v>
      </c>
      <c r="DF191" s="757">
        <f>IF(WWWW[[#This Row],['# Functional hand washing stations during reporting period]]*20&gt;WWWW[[#This Row],[Total HH]],WWWW[[#This Row],[Total HH]],WWWW[[#This Row],['# Functional hand washing stations during reporting period]]*20)</f>
        <v>0</v>
      </c>
      <c r="DG191" s="556">
        <f>IF(WWWW[[#This Row],[Is sufficient soap available for TLS? (Yes/No)]]="yes",WWWW[[#This Row],['#_Constructed/Existing hand washing stations at TLS]],0)</f>
        <v>0</v>
      </c>
      <c r="DH191" s="556">
        <f>IF(WWWW[[#This Row],['# Functional hand washing stations during reporting period]]*100&gt;WWWW[[#This Row],[Total PoP ]],WWWW[[#This Row],[Total PoP ]],WWWW[[#This Row],['# Functional hand washing stations during reporting period]]*100)</f>
        <v>0</v>
      </c>
      <c r="DI191" s="556" t="str">
        <f>IF(OR(WWWW[[#This Row],['#_students at TLS_CFS]]="",WWWW[[#This Row],['#_students at TLS_CFS]]=0),"No","Yes")</f>
        <v>No</v>
      </c>
      <c r="DJ191" s="554">
        <f>VLOOKUP(WWWW[[#This Row],[Site Name]],SiteDB6[[Site Name]:[CCCM Management]],6,FALSE)</f>
        <v>0</v>
      </c>
      <c r="DK191" s="554">
        <f>VLOOKUP(WWWW[[#This Row],[Site Name]],SiteDB6[[Site Name]:[CCCM Focal Agency]],7,FALSE)</f>
        <v>0</v>
      </c>
      <c r="DL191" s="554" t="str">
        <f>VLOOKUP(WWWW[[#This Row],[Site Name]],SiteDB6[[Site Name]:[Location Type 1]],9,FALSE)</f>
        <v>Village</v>
      </c>
      <c r="DM191" s="554" t="str">
        <f>VLOOKUP(WWWW[[#This Row],[Site Name]],SiteDB6[[Site Name]:[Type of Accommodation]],10,FALSE)</f>
        <v>Village</v>
      </c>
      <c r="DN191" s="554" t="str">
        <f>VLOOKUP(WWWW[[#This Row],[Site Name]],SiteDB6[[Site Name]:[Ethnic or GCA/NGCA]],11,FALSE)</f>
        <v>Rakhine</v>
      </c>
      <c r="DO191" s="554">
        <f>VLOOKUP(WWWW[[#This Row],[Site Name]],SiteDB6[[Site Name]:[Lat]],12,FALSE)</f>
        <v>0</v>
      </c>
      <c r="DP191" s="554">
        <f>VLOOKUP(WWWW[[#This Row],[Site Name]],SiteDB6[[Site Name]:[Long]],13,FALSE)</f>
        <v>0</v>
      </c>
      <c r="DQ191" s="554">
        <f>VLOOKUP(WWWW[[#This Row],[Site Name]],SiteDB6[[Site Name]:[Pcode]],3,FALSE)</f>
        <v>198433</v>
      </c>
      <c r="DR191" s="563" t="str">
        <f t="shared" si="6"/>
        <v>Covered</v>
      </c>
      <c r="DS191" s="563"/>
    </row>
    <row r="192" spans="1:123">
      <c r="A192" s="552" t="s">
        <v>2518</v>
      </c>
      <c r="B192" s="552" t="s">
        <v>2795</v>
      </c>
      <c r="C192" s="555" t="s">
        <v>387</v>
      </c>
      <c r="D192" s="555" t="s">
        <v>2796</v>
      </c>
      <c r="E192" s="574" t="s">
        <v>3005</v>
      </c>
      <c r="F192" s="555" t="s">
        <v>337</v>
      </c>
      <c r="G192" s="574" t="str">
        <f>VLOOKUP(WWWW[[#This Row],[Site Name]],SiteDB6[[Site Name]:[Location Type]],8,FALSE)</f>
        <v>Village</v>
      </c>
      <c r="H192" s="555" t="s">
        <v>2800</v>
      </c>
      <c r="I192" s="557">
        <v>125</v>
      </c>
      <c r="J192" s="557">
        <v>580</v>
      </c>
      <c r="K192" s="564">
        <v>43480</v>
      </c>
      <c r="L192" s="565">
        <v>43723</v>
      </c>
      <c r="M192" s="557"/>
      <c r="N192" s="557"/>
      <c r="O192" s="557"/>
      <c r="P192" s="557"/>
      <c r="Q192" s="556"/>
      <c r="R192" s="557"/>
      <c r="S192" s="557"/>
      <c r="T192" s="557"/>
      <c r="U192" s="557"/>
      <c r="V192" s="557"/>
      <c r="W192" s="557"/>
      <c r="X192" s="557"/>
      <c r="Y192" s="557"/>
      <c r="Z192" s="557"/>
      <c r="AA192" s="557"/>
      <c r="AB192" s="557"/>
      <c r="AC192" s="557"/>
      <c r="AD192" s="557"/>
      <c r="AE192" s="557"/>
      <c r="AF192" s="557"/>
      <c r="AG192" s="557"/>
      <c r="AH192" s="557"/>
      <c r="AI192" s="557"/>
      <c r="AJ192" s="557"/>
      <c r="AK192" s="557"/>
      <c r="AL192" s="557"/>
      <c r="AM192" s="557"/>
      <c r="AN192" s="557"/>
      <c r="AO192" s="563"/>
      <c r="AP192" s="557"/>
      <c r="AQ192" s="557"/>
      <c r="AR192" s="559"/>
      <c r="AS192" s="557"/>
      <c r="AT192" s="557"/>
      <c r="AU192" s="557"/>
      <c r="AV192" s="557"/>
      <c r="AW192" s="557"/>
      <c r="AX192" s="554"/>
      <c r="AY192" s="563"/>
      <c r="AZ192" s="557"/>
      <c r="BA192" s="557"/>
      <c r="BB192" s="557"/>
      <c r="BC192" s="554"/>
      <c r="BD192" s="557"/>
      <c r="BE192" s="557"/>
      <c r="BF192" s="557"/>
      <c r="BG192" s="557"/>
      <c r="BH192" s="557"/>
      <c r="BI192" s="557">
        <v>125</v>
      </c>
      <c r="BJ192" s="557">
        <v>125</v>
      </c>
      <c r="BK192" s="557"/>
      <c r="BL192" s="557"/>
      <c r="BM192" s="554"/>
      <c r="BN192" s="558"/>
      <c r="BO192" s="559"/>
      <c r="BP192" s="554"/>
      <c r="BQ192" s="560" t="str">
        <f>IFERROR(WWWW[[#This Row],['#_Water sources treated]]/WWWW[[#This Row],['#_Water sources tested for contamination]],"no test")</f>
        <v>no test</v>
      </c>
      <c r="BR192" s="559" t="str">
        <f>IFERROR(WWWW[[#This Row],['#_Household received remediation action due to contamination]]/WWWW[[#This Row],['#_Household water samples tested for contamination]],"no test")</f>
        <v>no test</v>
      </c>
      <c r="BS192" s="558" t="str">
        <f>IF(AND(WWWW[[#This Row],[% of water sources treated]]="no test",WWWW[[#This Row],[% Household received corrective actions]]="no test"),"No Test","Tested")</f>
        <v>No Test</v>
      </c>
      <c r="BT192" s="558">
        <f>WWWW[[#This Row],['#_Constructed/existing protected hand dug well]]-WWWW[[#This Row],['#_Non-functional protected hand dug well]]</f>
        <v>0</v>
      </c>
      <c r="BU192" s="558">
        <f>(WWWW[[#This Row],['#_Constructed/Existing tube wells/boreholes/handpumps_WASH_agency]]+WWWW[[#This Row],['#_Non-Cluster partner water tube-wells/boreholes/handpumps]])-WWWW[[#This Row],['#_Non-functional tube wells/boreholes/handpumps]]</f>
        <v>0</v>
      </c>
      <c r="BV192" s="558">
        <f>WWWW[[#This Row],['#_Constructed/Existingwater storage tank with gravity fed reticulation system]]-WWWW[[#This Row],['#_Non-functional storage tank gravity fed reticulation system]]</f>
        <v>0</v>
      </c>
      <c r="BW192" s="558">
        <f>WWWW[[#This Row],['#_Water boating or water trucking]]</f>
        <v>0</v>
      </c>
      <c r="BX192" s="558">
        <f>WWWW[[#This Row],['#_Constructed/Existing water distribution system from river or natural spring]]</f>
        <v>0</v>
      </c>
      <c r="BY19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2" s="559">
        <f>IF(WWWW[[#This Row],[Location Type 1]]="Village",WWWW[[#This Row],[Access to safe drinking water for Village]],WWWW[[#This Row],[Access to safe drinking water for Camp]])</f>
        <v>0</v>
      </c>
      <c r="CB192" s="556">
        <f>WWWW[[#This Row],[%Equitable and continuous access to sufficient quantity of safe drinking water]]*WWWW[[#This Row],[Total PoP ]]</f>
        <v>0</v>
      </c>
      <c r="CC192" s="559">
        <f>IF((WWWW[[#This Row],['#_Constructed/Existing protected/fenced ponds]]*250)/WWWW[[#This Row],[Total PoP ]]&gt;1,1,(WWWW[[#This Row],['#_Constructed/Existing protected/fenced ponds]]*250)/WWWW[[#This Row],[Total PoP ]])</f>
        <v>0</v>
      </c>
      <c r="CD192" s="556">
        <f>WWWW[[#This Row],[% Access to unimproved water points]]*WWWW[[#This Row],[Total PoP ]]</f>
        <v>0</v>
      </c>
      <c r="CE19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2" s="556">
        <f>WWWW[[#This Row],[HRP1]]/500</f>
        <v>0</v>
      </c>
      <c r="CH192" s="561">
        <f>1-WWWW[[#This Row],[% Equitable and continuous access to sufficient quantity of domestic water]]</f>
        <v>1</v>
      </c>
      <c r="CI192" s="556">
        <f>WWWW[[#This Row],[%equitable and continuous access to sufficient quantity of safe drinking and domestic water''s GAP]]*WWWW[[#This Row],[Total PoP ]]</f>
        <v>580</v>
      </c>
      <c r="CJ192" s="558">
        <f>IF(WWWW[[#This Row],[Total required water points]]-WWWW[[#This Row],['#Water points coverage]]&lt;0,0,WWWW[[#This Row],[Total required water points]]-WWWW[[#This Row],['#Water points coverage]])</f>
        <v>1</v>
      </c>
      <c r="CK192" s="558">
        <f>ROUND(IF(WWWW[[#This Row],[Total PoP ]]&lt;500,1,WWWW[[#This Row],[Total PoP ]]/500),0)</f>
        <v>1</v>
      </c>
      <c r="CL192" s="558">
        <f>(WWWW[[#This Row],['#_Constructed latrines_by_WASHAgencies]]+WWWW[[#This Row],['#_Non Cluster partner latrines]])-WWWW[[#This Row],['#_Non-functional latrines]]</f>
        <v>0</v>
      </c>
      <c r="CM19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2" s="558" t="str">
        <f>IF(WWWW[[#This Row],[Location Type 1]]="Village","NA",IF(WWWW[[#This Row],['#_Constructed/Existing latrines in TLS]]*50&gt;WWWW[[#This Row],['#_students at TLS_CFS]],WWWW[[#This Row],['#_students at TLS_CFS]],(WWWW[[#This Row],['#_Constructed/Existing latrines in TLS]]*50)))</f>
        <v>NA</v>
      </c>
      <c r="CQ192" s="558">
        <f>ROUND(IF(WWWW[[#This Row],[Location Type 1]]="camp",WWWW[[#This Row],[Total PoP ]]/20,IF(WWWW[[#This Row],[Location Type 1]]="Temporary Location",WWWW[[#This Row],[Total PoP ]]/50,(WWWW[[#This Row],[Total PoP ]]/6))),0)</f>
        <v>97</v>
      </c>
      <c r="CR192" s="558">
        <f>IF(WWWW[[#This Row],[Total required Latrines]]-(WWWW[[#This Row],['#_Constructed latrines_by_WASHAgencies]]+WWWW[[#This Row],['#_Non Cluster partner latrines]])&lt;0,0,WWWW[[#This Row],[Total required Latrines]]-(WWWW[[#This Row],['#_Constructed latrines_by_WASHAgencies]]+WWWW[[#This Row],['#_Non Cluster partner latrines]]))</f>
        <v>97</v>
      </c>
      <c r="CS192" s="78">
        <f>1-WWWW[[#This Row],[% people access to functioning Latrine]]</f>
        <v>1</v>
      </c>
      <c r="CT192" s="560">
        <f>IF(OR(WWWW[[#This Row],['#_Non-functional latrines]]="",WWWW[[#This Row],['#_Non-functional latrines]]=0),0,WWWW[[#This Row],['#_Non-functional latrines]]/(WWWW[[#This Row],['#_Constructed latrines_by_WASHAgencies]]+WWWW[[#This Row],['#_Non Cluster partner latrines]]))</f>
        <v>0</v>
      </c>
      <c r="CU192" s="556">
        <f>IF(500*(WWWW[[#This Row],['#_male hygiene promoters]]+WWWW[[#This Row],['#_female hygiene promoters]])&gt;WWWW[[#This Row],[Total PoP ]],WWWW[[#This Row],[Total PoP ]],500*(WWWW[[#This Row],['#_male hygiene promoters]]+WWWW[[#This Row],['#_female hygiene promoters]]))</f>
        <v>580</v>
      </c>
      <c r="CV19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2" s="558">
        <f>IF(WWWW[[#This Row],['# People with access to soap]]&gt;WWWW[[#This Row],['# People with access to Sanity Pads]],WWWW[[#This Row],['# People with access to soap]],WWWW[[#This Row],['# People with access to Sanity Pads]])</f>
        <v>0</v>
      </c>
      <c r="CY192" s="558">
        <f>IF(WWWW[[#This Row],['# people reached by regular dedicated hygiene promotion_5]]&gt;WWWW[[#This Row],['# People received regular supply of hygiene items_6]],WWWW[[#This Row],['# people reached by regular dedicated hygiene promotion_5]],WWWW[[#This Row],['# People received regular supply of hygiene items_6]])</f>
        <v>580</v>
      </c>
      <c r="CZ192" s="561">
        <f>IF(WWWW[[#This Row],[HRP3]]/WWWW[[#This Row],[Total PoP ]]&gt;100%,100%,WWWW[[#This Row],[HRP3]]/WWWW[[#This Row],[Total PoP ]])</f>
        <v>1</v>
      </c>
      <c r="DA192" s="560">
        <f>1-WWWW[[#This Row],[Hygiene Coverage%]]</f>
        <v>0</v>
      </c>
      <c r="DB192" s="559">
        <f>WWWW[[#This Row],['# people reached by regular dedicated hygiene promotion_5]]/WWWW[[#This Row],[Total PoP ]]</f>
        <v>1</v>
      </c>
      <c r="DC192" s="559">
        <f>IF(WWWW[[#This Row],['#_households that received standard amount of soap for this quarter]]/WWWW[[#This Row],[Total HH]]&gt;1,1,WWWW[[#This Row],['#_households that received standard amount of soap for this quarter]]/WWWW[[#This Row],[Total HH]])</f>
        <v>0</v>
      </c>
      <c r="DD192" s="559">
        <f>IF(WWWW[[#This Row],['#_households that received standard amount of sanitary pads for this quarter]]/WWWW[[#This Row],[Total HH]]&gt;1,1,WWWW[[#This Row],['#_households that received standard amount of sanitary pads for this quarter]]/WWWW[[#This Row],[Total HH]])</f>
        <v>0</v>
      </c>
      <c r="DE192" s="558">
        <f>WWWW[[#This Row],['#_Constructed/Existing hand washing stations]]-WWWW[[#This Row],['#_Non-Functional_hand_washing_stations]]</f>
        <v>0</v>
      </c>
      <c r="DF192" s="757">
        <f>IF(WWWW[[#This Row],['# Functional hand washing stations during reporting period]]*20&gt;WWWW[[#This Row],[Total HH]],WWWW[[#This Row],[Total HH]],WWWW[[#This Row],['# Functional hand washing stations during reporting period]]*20)</f>
        <v>0</v>
      </c>
      <c r="DG192" s="556">
        <f>IF(WWWW[[#This Row],[Is sufficient soap available for TLS? (Yes/No)]]="yes",WWWW[[#This Row],['#_Constructed/Existing hand washing stations at TLS]],0)</f>
        <v>0</v>
      </c>
      <c r="DH192" s="556">
        <f>IF(WWWW[[#This Row],['# Functional hand washing stations during reporting period]]*100&gt;WWWW[[#This Row],[Total PoP ]],WWWW[[#This Row],[Total PoP ]],WWWW[[#This Row],['# Functional hand washing stations during reporting period]]*100)</f>
        <v>0</v>
      </c>
      <c r="DI192" s="556" t="str">
        <f>IF(OR(WWWW[[#This Row],['#_students at TLS_CFS]]="",WWWW[[#This Row],['#_students at TLS_CFS]]=0),"No","Yes")</f>
        <v>No</v>
      </c>
      <c r="DJ192" s="554">
        <f>VLOOKUP(WWWW[[#This Row],[Site Name]],SiteDB6[[Site Name]:[CCCM Management]],6,FALSE)</f>
        <v>0</v>
      </c>
      <c r="DK192" s="554">
        <f>VLOOKUP(WWWW[[#This Row],[Site Name]],SiteDB6[[Site Name]:[CCCM Focal Agency]],7,FALSE)</f>
        <v>0</v>
      </c>
      <c r="DL192" s="554" t="str">
        <f>VLOOKUP(WWWW[[#This Row],[Site Name]],SiteDB6[[Site Name]:[Location Type 1]],9,FALSE)</f>
        <v>Village</v>
      </c>
      <c r="DM192" s="554" t="str">
        <f>VLOOKUP(WWWW[[#This Row],[Site Name]],SiteDB6[[Site Name]:[Type of Accommodation]],10,FALSE)</f>
        <v>Village</v>
      </c>
      <c r="DN192" s="554" t="str">
        <f>VLOOKUP(WWWW[[#This Row],[Site Name]],SiteDB6[[Site Name]:[Ethnic or GCA/NGCA]],11,FALSE)</f>
        <v>Muslim</v>
      </c>
      <c r="DO192" s="554">
        <f>VLOOKUP(WWWW[[#This Row],[Site Name]],SiteDB6[[Site Name]:[Lat]],12,FALSE)</f>
        <v>0</v>
      </c>
      <c r="DP192" s="554">
        <f>VLOOKUP(WWWW[[#This Row],[Site Name]],SiteDB6[[Site Name]:[Long]],13,FALSE)</f>
        <v>0</v>
      </c>
      <c r="DQ192" s="554">
        <f>VLOOKUP(WWWW[[#This Row],[Site Name]],SiteDB6[[Site Name]:[Pcode]],3,FALSE)</f>
        <v>198370</v>
      </c>
      <c r="DR192" s="563" t="str">
        <f t="shared" si="6"/>
        <v>Covered</v>
      </c>
      <c r="DS192" s="563"/>
    </row>
    <row r="193" spans="1:123">
      <c r="A193" s="552" t="s">
        <v>2518</v>
      </c>
      <c r="B193" s="552" t="s">
        <v>2795</v>
      </c>
      <c r="C193" s="555" t="s">
        <v>387</v>
      </c>
      <c r="D193" s="555" t="s">
        <v>2796</v>
      </c>
      <c r="E193" s="574" t="s">
        <v>3005</v>
      </c>
      <c r="F193" s="555" t="s">
        <v>323</v>
      </c>
      <c r="G193" s="574" t="str">
        <f>VLOOKUP(WWWW[[#This Row],[Site Name]],SiteDB6[[Site Name]:[Location Type]],8,FALSE)</f>
        <v>Village</v>
      </c>
      <c r="H193" s="555" t="s">
        <v>388</v>
      </c>
      <c r="I193" s="557">
        <v>119</v>
      </c>
      <c r="J193" s="557">
        <v>428</v>
      </c>
      <c r="K193" s="564">
        <v>43480</v>
      </c>
      <c r="L193" s="565">
        <v>43723</v>
      </c>
      <c r="M193" s="557"/>
      <c r="N193" s="557"/>
      <c r="O193" s="557"/>
      <c r="P193" s="557"/>
      <c r="Q193" s="556"/>
      <c r="R193" s="557"/>
      <c r="S193" s="557"/>
      <c r="T193" s="557"/>
      <c r="U193" s="557"/>
      <c r="V193" s="557"/>
      <c r="W193" s="557"/>
      <c r="X193" s="557"/>
      <c r="Y193" s="557"/>
      <c r="Z193" s="557"/>
      <c r="AA193" s="557"/>
      <c r="AB193" s="557"/>
      <c r="AC193" s="557"/>
      <c r="AD193" s="557"/>
      <c r="AE193" s="557"/>
      <c r="AF193" s="557"/>
      <c r="AG193" s="557"/>
      <c r="AH193" s="557"/>
      <c r="AI193" s="557"/>
      <c r="AJ193" s="557"/>
      <c r="AK193" s="557"/>
      <c r="AL193" s="557"/>
      <c r="AM193" s="557"/>
      <c r="AN193" s="557"/>
      <c r="AO193" s="563"/>
      <c r="AP193" s="557"/>
      <c r="AQ193" s="557"/>
      <c r="AR193" s="559"/>
      <c r="AS193" s="557"/>
      <c r="AT193" s="557"/>
      <c r="AU193" s="557"/>
      <c r="AV193" s="557"/>
      <c r="AW193" s="557"/>
      <c r="AX193" s="554"/>
      <c r="AY193" s="563"/>
      <c r="AZ193" s="557"/>
      <c r="BA193" s="557"/>
      <c r="BB193" s="557"/>
      <c r="BC193" s="554"/>
      <c r="BD193" s="557"/>
      <c r="BE193" s="557"/>
      <c r="BF193" s="557"/>
      <c r="BG193" s="557"/>
      <c r="BH193" s="557"/>
      <c r="BI193" s="557">
        <v>119</v>
      </c>
      <c r="BJ193" s="557">
        <v>119</v>
      </c>
      <c r="BK193" s="557"/>
      <c r="BL193" s="557"/>
      <c r="BM193" s="554"/>
      <c r="BN193" s="558"/>
      <c r="BO193" s="559"/>
      <c r="BP193" s="554"/>
      <c r="BQ193" s="560" t="str">
        <f>IFERROR(WWWW[[#This Row],['#_Water sources treated]]/WWWW[[#This Row],['#_Water sources tested for contamination]],"no test")</f>
        <v>no test</v>
      </c>
      <c r="BR193" s="559" t="str">
        <f>IFERROR(WWWW[[#This Row],['#_Household received remediation action due to contamination]]/WWWW[[#This Row],['#_Household water samples tested for contamination]],"no test")</f>
        <v>no test</v>
      </c>
      <c r="BS193" s="558" t="str">
        <f>IF(AND(WWWW[[#This Row],[% of water sources treated]]="no test",WWWW[[#This Row],[% Household received corrective actions]]="no test"),"No Test","Tested")</f>
        <v>No Test</v>
      </c>
      <c r="BT193" s="558">
        <f>WWWW[[#This Row],['#_Constructed/existing protected hand dug well]]-WWWW[[#This Row],['#_Non-functional protected hand dug well]]</f>
        <v>0</v>
      </c>
      <c r="BU193" s="558">
        <f>(WWWW[[#This Row],['#_Constructed/Existing tube wells/boreholes/handpumps_WASH_agency]]+WWWW[[#This Row],['#_Non-Cluster partner water tube-wells/boreholes/handpumps]])-WWWW[[#This Row],['#_Non-functional tube wells/boreholes/handpumps]]</f>
        <v>0</v>
      </c>
      <c r="BV193" s="558">
        <f>WWWW[[#This Row],['#_Constructed/Existingwater storage tank with gravity fed reticulation system]]-WWWW[[#This Row],['#_Non-functional storage tank gravity fed reticulation system]]</f>
        <v>0</v>
      </c>
      <c r="BW193" s="558">
        <f>WWWW[[#This Row],['#_Water boating or water trucking]]</f>
        <v>0</v>
      </c>
      <c r="BX193" s="558">
        <f>WWWW[[#This Row],['#_Constructed/Existing water distribution system from river or natural spring]]</f>
        <v>0</v>
      </c>
      <c r="BY19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3" s="559">
        <f>IF(WWWW[[#This Row],[Location Type 1]]="Village",WWWW[[#This Row],[Access to safe drinking water for Village]],WWWW[[#This Row],[Access to safe drinking water for Camp]])</f>
        <v>0</v>
      </c>
      <c r="CB193" s="556">
        <f>WWWW[[#This Row],[%Equitable and continuous access to sufficient quantity of safe drinking water]]*WWWW[[#This Row],[Total PoP ]]</f>
        <v>0</v>
      </c>
      <c r="CC193" s="559">
        <f>IF((WWWW[[#This Row],['#_Constructed/Existing protected/fenced ponds]]*250)/WWWW[[#This Row],[Total PoP ]]&gt;1,1,(WWWW[[#This Row],['#_Constructed/Existing protected/fenced ponds]]*250)/WWWW[[#This Row],[Total PoP ]])</f>
        <v>0</v>
      </c>
      <c r="CD193" s="556">
        <f>WWWW[[#This Row],[% Access to unimproved water points]]*WWWW[[#This Row],[Total PoP ]]</f>
        <v>0</v>
      </c>
      <c r="CE19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3" s="556">
        <f>WWWW[[#This Row],[HRP1]]/500</f>
        <v>0</v>
      </c>
      <c r="CH193" s="561">
        <f>1-WWWW[[#This Row],[% Equitable and continuous access to sufficient quantity of domestic water]]</f>
        <v>1</v>
      </c>
      <c r="CI193" s="556">
        <f>WWWW[[#This Row],[%equitable and continuous access to sufficient quantity of safe drinking and domestic water''s GAP]]*WWWW[[#This Row],[Total PoP ]]</f>
        <v>428</v>
      </c>
      <c r="CJ193" s="558">
        <f>IF(WWWW[[#This Row],[Total required water points]]-WWWW[[#This Row],['#Water points coverage]]&lt;0,0,WWWW[[#This Row],[Total required water points]]-WWWW[[#This Row],['#Water points coverage]])</f>
        <v>1</v>
      </c>
      <c r="CK193" s="558">
        <f>ROUND(IF(WWWW[[#This Row],[Total PoP ]]&lt;500,1,WWWW[[#This Row],[Total PoP ]]/500),0)</f>
        <v>1</v>
      </c>
      <c r="CL193" s="558">
        <f>(WWWW[[#This Row],['#_Constructed latrines_by_WASHAgencies]]+WWWW[[#This Row],['#_Non Cluster partner latrines]])-WWWW[[#This Row],['#_Non-functional latrines]]</f>
        <v>0</v>
      </c>
      <c r="CM19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3" s="558" t="str">
        <f>IF(WWWW[[#This Row],[Location Type 1]]="Village","NA",IF(WWWW[[#This Row],['#_Constructed/Existing latrines in TLS]]*50&gt;WWWW[[#This Row],['#_students at TLS_CFS]],WWWW[[#This Row],['#_students at TLS_CFS]],(WWWW[[#This Row],['#_Constructed/Existing latrines in TLS]]*50)))</f>
        <v>NA</v>
      </c>
      <c r="CQ193" s="558">
        <f>ROUND(IF(WWWW[[#This Row],[Location Type 1]]="camp",WWWW[[#This Row],[Total PoP ]]/20,IF(WWWW[[#This Row],[Location Type 1]]="Temporary Location",WWWW[[#This Row],[Total PoP ]]/50,(WWWW[[#This Row],[Total PoP ]]/6))),0)</f>
        <v>71</v>
      </c>
      <c r="CR193" s="558">
        <f>IF(WWWW[[#This Row],[Total required Latrines]]-(WWWW[[#This Row],['#_Constructed latrines_by_WASHAgencies]]+WWWW[[#This Row],['#_Non Cluster partner latrines]])&lt;0,0,WWWW[[#This Row],[Total required Latrines]]-(WWWW[[#This Row],['#_Constructed latrines_by_WASHAgencies]]+WWWW[[#This Row],['#_Non Cluster partner latrines]]))</f>
        <v>71</v>
      </c>
      <c r="CS193" s="78">
        <f>1-WWWW[[#This Row],[% people access to functioning Latrine]]</f>
        <v>1</v>
      </c>
      <c r="CT193" s="560">
        <f>IF(OR(WWWW[[#This Row],['#_Non-functional latrines]]="",WWWW[[#This Row],['#_Non-functional latrines]]=0),0,WWWW[[#This Row],['#_Non-functional latrines]]/(WWWW[[#This Row],['#_Constructed latrines_by_WASHAgencies]]+WWWW[[#This Row],['#_Non Cluster partner latrines]]))</f>
        <v>0</v>
      </c>
      <c r="CU193" s="556">
        <f>IF(500*(WWWW[[#This Row],['#_male hygiene promoters]]+WWWW[[#This Row],['#_female hygiene promoters]])&gt;WWWW[[#This Row],[Total PoP ]],WWWW[[#This Row],[Total PoP ]],500*(WWWW[[#This Row],['#_male hygiene promoters]]+WWWW[[#This Row],['#_female hygiene promoters]]))</f>
        <v>428</v>
      </c>
      <c r="CV19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3" s="558">
        <f>IF(WWWW[[#This Row],['# People with access to soap]]&gt;WWWW[[#This Row],['# People with access to Sanity Pads]],WWWW[[#This Row],['# People with access to soap]],WWWW[[#This Row],['# People with access to Sanity Pads]])</f>
        <v>0</v>
      </c>
      <c r="CY193" s="558">
        <f>IF(WWWW[[#This Row],['# people reached by regular dedicated hygiene promotion_5]]&gt;WWWW[[#This Row],['# People received regular supply of hygiene items_6]],WWWW[[#This Row],['# people reached by regular dedicated hygiene promotion_5]],WWWW[[#This Row],['# People received regular supply of hygiene items_6]])</f>
        <v>428</v>
      </c>
      <c r="CZ193" s="561">
        <f>IF(WWWW[[#This Row],[HRP3]]/WWWW[[#This Row],[Total PoP ]]&gt;100%,100%,WWWW[[#This Row],[HRP3]]/WWWW[[#This Row],[Total PoP ]])</f>
        <v>1</v>
      </c>
      <c r="DA193" s="560">
        <f>1-WWWW[[#This Row],[Hygiene Coverage%]]</f>
        <v>0</v>
      </c>
      <c r="DB193" s="559">
        <f>WWWW[[#This Row],['# people reached by regular dedicated hygiene promotion_5]]/WWWW[[#This Row],[Total PoP ]]</f>
        <v>1</v>
      </c>
      <c r="DC193" s="559">
        <f>IF(WWWW[[#This Row],['#_households that received standard amount of soap for this quarter]]/WWWW[[#This Row],[Total HH]]&gt;1,1,WWWW[[#This Row],['#_households that received standard amount of soap for this quarter]]/WWWW[[#This Row],[Total HH]])</f>
        <v>0</v>
      </c>
      <c r="DD193" s="559">
        <f>IF(WWWW[[#This Row],['#_households that received standard amount of sanitary pads for this quarter]]/WWWW[[#This Row],[Total HH]]&gt;1,1,WWWW[[#This Row],['#_households that received standard amount of sanitary pads for this quarter]]/WWWW[[#This Row],[Total HH]])</f>
        <v>0</v>
      </c>
      <c r="DE193" s="558">
        <f>WWWW[[#This Row],['#_Constructed/Existing hand washing stations]]-WWWW[[#This Row],['#_Non-Functional_hand_washing_stations]]</f>
        <v>0</v>
      </c>
      <c r="DF193" s="757">
        <f>IF(WWWW[[#This Row],['# Functional hand washing stations during reporting period]]*20&gt;WWWW[[#This Row],[Total HH]],WWWW[[#This Row],[Total HH]],WWWW[[#This Row],['# Functional hand washing stations during reporting period]]*20)</f>
        <v>0</v>
      </c>
      <c r="DG193" s="556">
        <f>IF(WWWW[[#This Row],[Is sufficient soap available for TLS? (Yes/No)]]="yes",WWWW[[#This Row],['#_Constructed/Existing hand washing stations at TLS]],0)</f>
        <v>0</v>
      </c>
      <c r="DH193" s="556">
        <f>IF(WWWW[[#This Row],['# Functional hand washing stations during reporting period]]*100&gt;WWWW[[#This Row],[Total PoP ]],WWWW[[#This Row],[Total PoP ]],WWWW[[#This Row],['# Functional hand washing stations during reporting period]]*100)</f>
        <v>0</v>
      </c>
      <c r="DI193" s="556" t="str">
        <f>IF(OR(WWWW[[#This Row],['#_students at TLS_CFS]]="",WWWW[[#This Row],['#_students at TLS_CFS]]=0),"No","Yes")</f>
        <v>No</v>
      </c>
      <c r="DJ193" s="554">
        <f>VLOOKUP(WWWW[[#This Row],[Site Name]],SiteDB6[[Site Name]:[CCCM Management]],6,FALSE)</f>
        <v>0</v>
      </c>
      <c r="DK193" s="554">
        <f>VLOOKUP(WWWW[[#This Row],[Site Name]],SiteDB6[[Site Name]:[CCCM Focal Agency]],7,FALSE)</f>
        <v>0</v>
      </c>
      <c r="DL193" s="554" t="str">
        <f>VLOOKUP(WWWW[[#This Row],[Site Name]],SiteDB6[[Site Name]:[Location Type 1]],9,FALSE)</f>
        <v>Village</v>
      </c>
      <c r="DM193" s="554" t="str">
        <f>VLOOKUP(WWWW[[#This Row],[Site Name]],SiteDB6[[Site Name]:[Type of Accommodation]],10,FALSE)</f>
        <v>Village</v>
      </c>
      <c r="DN193" s="554" t="str">
        <f>VLOOKUP(WWWW[[#This Row],[Site Name]],SiteDB6[[Site Name]:[Ethnic or GCA/NGCA]],11,FALSE)</f>
        <v>Rakhine</v>
      </c>
      <c r="DO193" s="554">
        <f>VLOOKUP(WWWW[[#This Row],[Site Name]],SiteDB6[[Site Name]:[Lat]],12,FALSE)</f>
        <v>0</v>
      </c>
      <c r="DP193" s="554">
        <f>VLOOKUP(WWWW[[#This Row],[Site Name]],SiteDB6[[Site Name]:[Long]],13,FALSE)</f>
        <v>0</v>
      </c>
      <c r="DQ193" s="554">
        <f>VLOOKUP(WWWW[[#This Row],[Site Name]],SiteDB6[[Site Name]:[Pcode]],3,FALSE)</f>
        <v>220977</v>
      </c>
      <c r="DR193" s="563" t="str">
        <f t="shared" si="6"/>
        <v>Covered</v>
      </c>
      <c r="DS193" s="563"/>
    </row>
    <row r="194" spans="1:123">
      <c r="A194" s="552" t="s">
        <v>2518</v>
      </c>
      <c r="B194" s="552" t="s">
        <v>2795</v>
      </c>
      <c r="C194" s="555" t="s">
        <v>387</v>
      </c>
      <c r="D194" s="555" t="s">
        <v>2796</v>
      </c>
      <c r="E194" s="574" t="s">
        <v>3005</v>
      </c>
      <c r="F194" s="555" t="s">
        <v>323</v>
      </c>
      <c r="G194" s="574" t="str">
        <f>VLOOKUP(WWWW[[#This Row],[Site Name]],SiteDB6[[Site Name]:[Location Type]],8,FALSE)</f>
        <v>Village</v>
      </c>
      <c r="H194" s="555" t="s">
        <v>2362</v>
      </c>
      <c r="I194" s="557">
        <v>60</v>
      </c>
      <c r="J194" s="557">
        <v>314</v>
      </c>
      <c r="K194" s="564">
        <v>43480</v>
      </c>
      <c r="L194" s="565">
        <v>43723</v>
      </c>
      <c r="M194" s="557"/>
      <c r="N194" s="557"/>
      <c r="O194" s="557"/>
      <c r="P194" s="557"/>
      <c r="Q194" s="556"/>
      <c r="R194" s="557"/>
      <c r="S194" s="557"/>
      <c r="T194" s="557"/>
      <c r="U194" s="557"/>
      <c r="V194" s="557"/>
      <c r="W194" s="557"/>
      <c r="X194" s="557"/>
      <c r="Y194" s="557"/>
      <c r="Z194" s="557"/>
      <c r="AA194" s="557"/>
      <c r="AB194" s="557"/>
      <c r="AC194" s="557"/>
      <c r="AD194" s="557"/>
      <c r="AE194" s="557"/>
      <c r="AF194" s="557"/>
      <c r="AG194" s="557"/>
      <c r="AH194" s="557"/>
      <c r="AI194" s="557"/>
      <c r="AJ194" s="557"/>
      <c r="AK194" s="557"/>
      <c r="AL194" s="557"/>
      <c r="AM194" s="557"/>
      <c r="AN194" s="557"/>
      <c r="AO194" s="563"/>
      <c r="AP194" s="557"/>
      <c r="AQ194" s="557"/>
      <c r="AR194" s="559"/>
      <c r="AS194" s="557"/>
      <c r="AT194" s="557"/>
      <c r="AU194" s="557"/>
      <c r="AV194" s="557"/>
      <c r="AW194" s="557"/>
      <c r="AX194" s="554"/>
      <c r="AY194" s="563"/>
      <c r="AZ194" s="557"/>
      <c r="BA194" s="557"/>
      <c r="BB194" s="557"/>
      <c r="BC194" s="554"/>
      <c r="BD194" s="557"/>
      <c r="BE194" s="557"/>
      <c r="BF194" s="557"/>
      <c r="BG194" s="557"/>
      <c r="BH194" s="557"/>
      <c r="BI194" s="557">
        <v>60</v>
      </c>
      <c r="BJ194" s="557">
        <v>60</v>
      </c>
      <c r="BK194" s="557"/>
      <c r="BL194" s="557"/>
      <c r="BM194" s="554"/>
      <c r="BN194" s="558"/>
      <c r="BO194" s="559"/>
      <c r="BP194" s="554"/>
      <c r="BQ194" s="560" t="str">
        <f>IFERROR(WWWW[[#This Row],['#_Water sources treated]]/WWWW[[#This Row],['#_Water sources tested for contamination]],"no test")</f>
        <v>no test</v>
      </c>
      <c r="BR194" s="559" t="str">
        <f>IFERROR(WWWW[[#This Row],['#_Household received remediation action due to contamination]]/WWWW[[#This Row],['#_Household water samples tested for contamination]],"no test")</f>
        <v>no test</v>
      </c>
      <c r="BS194" s="558" t="str">
        <f>IF(AND(WWWW[[#This Row],[% of water sources treated]]="no test",WWWW[[#This Row],[% Household received corrective actions]]="no test"),"No Test","Tested")</f>
        <v>No Test</v>
      </c>
      <c r="BT194" s="558">
        <f>WWWW[[#This Row],['#_Constructed/existing protected hand dug well]]-WWWW[[#This Row],['#_Non-functional protected hand dug well]]</f>
        <v>0</v>
      </c>
      <c r="BU194" s="558">
        <f>(WWWW[[#This Row],['#_Constructed/Existing tube wells/boreholes/handpumps_WASH_agency]]+WWWW[[#This Row],['#_Non-Cluster partner water tube-wells/boreholes/handpumps]])-WWWW[[#This Row],['#_Non-functional tube wells/boreholes/handpumps]]</f>
        <v>0</v>
      </c>
      <c r="BV194" s="558">
        <f>WWWW[[#This Row],['#_Constructed/Existingwater storage tank with gravity fed reticulation system]]-WWWW[[#This Row],['#_Non-functional storage tank gravity fed reticulation system]]</f>
        <v>0</v>
      </c>
      <c r="BW194" s="558">
        <f>WWWW[[#This Row],['#_Water boating or water trucking]]</f>
        <v>0</v>
      </c>
      <c r="BX194" s="558">
        <f>WWWW[[#This Row],['#_Constructed/Existing water distribution system from river or natural spring]]</f>
        <v>0</v>
      </c>
      <c r="BY19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4" s="559">
        <f>IF(WWWW[[#This Row],[Location Type 1]]="Village",WWWW[[#This Row],[Access to safe drinking water for Village]],WWWW[[#This Row],[Access to safe drinking water for Camp]])</f>
        <v>0</v>
      </c>
      <c r="CB194" s="556">
        <f>WWWW[[#This Row],[%Equitable and continuous access to sufficient quantity of safe drinking water]]*WWWW[[#This Row],[Total PoP ]]</f>
        <v>0</v>
      </c>
      <c r="CC194" s="559">
        <f>IF((WWWW[[#This Row],['#_Constructed/Existing protected/fenced ponds]]*250)/WWWW[[#This Row],[Total PoP ]]&gt;1,1,(WWWW[[#This Row],['#_Constructed/Existing protected/fenced ponds]]*250)/WWWW[[#This Row],[Total PoP ]])</f>
        <v>0</v>
      </c>
      <c r="CD194" s="556">
        <f>WWWW[[#This Row],[% Access to unimproved water points]]*WWWW[[#This Row],[Total PoP ]]</f>
        <v>0</v>
      </c>
      <c r="CE19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4" s="556">
        <f>WWWW[[#This Row],[HRP1]]/500</f>
        <v>0</v>
      </c>
      <c r="CH194" s="561">
        <f>1-WWWW[[#This Row],[% Equitable and continuous access to sufficient quantity of domestic water]]</f>
        <v>1</v>
      </c>
      <c r="CI194" s="556">
        <f>WWWW[[#This Row],[%equitable and continuous access to sufficient quantity of safe drinking and domestic water''s GAP]]*WWWW[[#This Row],[Total PoP ]]</f>
        <v>314</v>
      </c>
      <c r="CJ194" s="558">
        <f>IF(WWWW[[#This Row],[Total required water points]]-WWWW[[#This Row],['#Water points coverage]]&lt;0,0,WWWW[[#This Row],[Total required water points]]-WWWW[[#This Row],['#Water points coverage]])</f>
        <v>1</v>
      </c>
      <c r="CK194" s="558">
        <f>ROUND(IF(WWWW[[#This Row],[Total PoP ]]&lt;500,1,WWWW[[#This Row],[Total PoP ]]/500),0)</f>
        <v>1</v>
      </c>
      <c r="CL194" s="558">
        <f>(WWWW[[#This Row],['#_Constructed latrines_by_WASHAgencies]]+WWWW[[#This Row],['#_Non Cluster partner latrines]])-WWWW[[#This Row],['#_Non-functional latrines]]</f>
        <v>0</v>
      </c>
      <c r="CM19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4" s="558" t="str">
        <f>IF(WWWW[[#This Row],[Location Type 1]]="Village","NA",IF(WWWW[[#This Row],['#_Constructed/Existing latrines in TLS]]*50&gt;WWWW[[#This Row],['#_students at TLS_CFS]],WWWW[[#This Row],['#_students at TLS_CFS]],(WWWW[[#This Row],['#_Constructed/Existing latrines in TLS]]*50)))</f>
        <v>NA</v>
      </c>
      <c r="CQ194" s="558">
        <f>ROUND(IF(WWWW[[#This Row],[Location Type 1]]="camp",WWWW[[#This Row],[Total PoP ]]/20,IF(WWWW[[#This Row],[Location Type 1]]="Temporary Location",WWWW[[#This Row],[Total PoP ]]/50,(WWWW[[#This Row],[Total PoP ]]/6))),0)</f>
        <v>52</v>
      </c>
      <c r="CR194" s="558">
        <f>IF(WWWW[[#This Row],[Total required Latrines]]-(WWWW[[#This Row],['#_Constructed latrines_by_WASHAgencies]]+WWWW[[#This Row],['#_Non Cluster partner latrines]])&lt;0,0,WWWW[[#This Row],[Total required Latrines]]-(WWWW[[#This Row],['#_Constructed latrines_by_WASHAgencies]]+WWWW[[#This Row],['#_Non Cluster partner latrines]]))</f>
        <v>52</v>
      </c>
      <c r="CS194" s="78">
        <f>1-WWWW[[#This Row],[% people access to functioning Latrine]]</f>
        <v>1</v>
      </c>
      <c r="CT194" s="560">
        <f>IF(OR(WWWW[[#This Row],['#_Non-functional latrines]]="",WWWW[[#This Row],['#_Non-functional latrines]]=0),0,WWWW[[#This Row],['#_Non-functional latrines]]/(WWWW[[#This Row],['#_Constructed latrines_by_WASHAgencies]]+WWWW[[#This Row],['#_Non Cluster partner latrines]]))</f>
        <v>0</v>
      </c>
      <c r="CU194" s="556">
        <f>IF(500*(WWWW[[#This Row],['#_male hygiene promoters]]+WWWW[[#This Row],['#_female hygiene promoters]])&gt;WWWW[[#This Row],[Total PoP ]],WWWW[[#This Row],[Total PoP ]],500*(WWWW[[#This Row],['#_male hygiene promoters]]+WWWW[[#This Row],['#_female hygiene promoters]]))</f>
        <v>314</v>
      </c>
      <c r="CV19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4" s="558">
        <f>IF(WWWW[[#This Row],['# People with access to soap]]&gt;WWWW[[#This Row],['# People with access to Sanity Pads]],WWWW[[#This Row],['# People with access to soap]],WWWW[[#This Row],['# People with access to Sanity Pads]])</f>
        <v>0</v>
      </c>
      <c r="CY194" s="558">
        <f>IF(WWWW[[#This Row],['# people reached by regular dedicated hygiene promotion_5]]&gt;WWWW[[#This Row],['# People received regular supply of hygiene items_6]],WWWW[[#This Row],['# people reached by regular dedicated hygiene promotion_5]],WWWW[[#This Row],['# People received regular supply of hygiene items_6]])</f>
        <v>314</v>
      </c>
      <c r="CZ194" s="561">
        <f>IF(WWWW[[#This Row],[HRP3]]/WWWW[[#This Row],[Total PoP ]]&gt;100%,100%,WWWW[[#This Row],[HRP3]]/WWWW[[#This Row],[Total PoP ]])</f>
        <v>1</v>
      </c>
      <c r="DA194" s="560">
        <f>1-WWWW[[#This Row],[Hygiene Coverage%]]</f>
        <v>0</v>
      </c>
      <c r="DB194" s="559">
        <f>WWWW[[#This Row],['# people reached by regular dedicated hygiene promotion_5]]/WWWW[[#This Row],[Total PoP ]]</f>
        <v>1</v>
      </c>
      <c r="DC194" s="559">
        <f>IF(WWWW[[#This Row],['#_households that received standard amount of soap for this quarter]]/WWWW[[#This Row],[Total HH]]&gt;1,1,WWWW[[#This Row],['#_households that received standard amount of soap for this quarter]]/WWWW[[#This Row],[Total HH]])</f>
        <v>0</v>
      </c>
      <c r="DD194" s="559">
        <f>IF(WWWW[[#This Row],['#_households that received standard amount of sanitary pads for this quarter]]/WWWW[[#This Row],[Total HH]]&gt;1,1,WWWW[[#This Row],['#_households that received standard amount of sanitary pads for this quarter]]/WWWW[[#This Row],[Total HH]])</f>
        <v>0</v>
      </c>
      <c r="DE194" s="558">
        <f>WWWW[[#This Row],['#_Constructed/Existing hand washing stations]]-WWWW[[#This Row],['#_Non-Functional_hand_washing_stations]]</f>
        <v>0</v>
      </c>
      <c r="DF194" s="757">
        <f>IF(WWWW[[#This Row],['# Functional hand washing stations during reporting period]]*20&gt;WWWW[[#This Row],[Total HH]],WWWW[[#This Row],[Total HH]],WWWW[[#This Row],['# Functional hand washing stations during reporting period]]*20)</f>
        <v>0</v>
      </c>
      <c r="DG194" s="556">
        <f>IF(WWWW[[#This Row],[Is sufficient soap available for TLS? (Yes/No)]]="yes",WWWW[[#This Row],['#_Constructed/Existing hand washing stations at TLS]],0)</f>
        <v>0</v>
      </c>
      <c r="DH194" s="556">
        <f>IF(WWWW[[#This Row],['# Functional hand washing stations during reporting period]]*100&gt;WWWW[[#This Row],[Total PoP ]],WWWW[[#This Row],[Total PoP ]],WWWW[[#This Row],['# Functional hand washing stations during reporting period]]*100)</f>
        <v>0</v>
      </c>
      <c r="DI194" s="556" t="str">
        <f>IF(OR(WWWW[[#This Row],['#_students at TLS_CFS]]="",WWWW[[#This Row],['#_students at TLS_CFS]]=0),"No","Yes")</f>
        <v>No</v>
      </c>
      <c r="DJ194" s="554">
        <f>VLOOKUP(WWWW[[#This Row],[Site Name]],SiteDB6[[Site Name]:[CCCM Management]],6,FALSE)</f>
        <v>0</v>
      </c>
      <c r="DK194" s="554">
        <f>VLOOKUP(WWWW[[#This Row],[Site Name]],SiteDB6[[Site Name]:[CCCM Focal Agency]],7,FALSE)</f>
        <v>0</v>
      </c>
      <c r="DL194" s="554" t="str">
        <f>VLOOKUP(WWWW[[#This Row],[Site Name]],SiteDB6[[Site Name]:[Location Type 1]],9,FALSE)</f>
        <v>Village</v>
      </c>
      <c r="DM194" s="554" t="str">
        <f>VLOOKUP(WWWW[[#This Row],[Site Name]],SiteDB6[[Site Name]:[Type of Accommodation]],10,FALSE)</f>
        <v>Village</v>
      </c>
      <c r="DN194" s="554" t="str">
        <f>VLOOKUP(WWWW[[#This Row],[Site Name]],SiteDB6[[Site Name]:[Ethnic or GCA/NGCA]],11,FALSE)</f>
        <v>Rakhine</v>
      </c>
      <c r="DO194" s="554">
        <f>VLOOKUP(WWWW[[#This Row],[Site Name]],SiteDB6[[Site Name]:[Lat]],12,FALSE)</f>
        <v>20.646560668945298</v>
      </c>
      <c r="DP194" s="554">
        <f>VLOOKUP(WWWW[[#This Row],[Site Name]],SiteDB6[[Site Name]:[Long]],13,FALSE)</f>
        <v>92.976043701171903</v>
      </c>
      <c r="DQ194" s="554">
        <f>VLOOKUP(WWWW[[#This Row],[Site Name]],SiteDB6[[Site Name]:[Pcode]],3,FALSE)</f>
        <v>196937</v>
      </c>
      <c r="DR194" s="563" t="str">
        <f t="shared" si="6"/>
        <v>Covered</v>
      </c>
      <c r="DS194" s="563"/>
    </row>
    <row r="195" spans="1:123">
      <c r="A195" s="552" t="s">
        <v>2518</v>
      </c>
      <c r="B195" s="552" t="s">
        <v>2795</v>
      </c>
      <c r="C195" s="555" t="s">
        <v>387</v>
      </c>
      <c r="D195" s="555" t="s">
        <v>2796</v>
      </c>
      <c r="E195" s="574" t="s">
        <v>3005</v>
      </c>
      <c r="F195" s="555" t="s">
        <v>323</v>
      </c>
      <c r="G195" s="574" t="str">
        <f>VLOOKUP(WWWW[[#This Row],[Site Name]],SiteDB6[[Site Name]:[Location Type]],8,FALSE)</f>
        <v>Village</v>
      </c>
      <c r="H195" s="555" t="s">
        <v>2814</v>
      </c>
      <c r="I195" s="557">
        <v>31</v>
      </c>
      <c r="J195" s="557">
        <v>256</v>
      </c>
      <c r="K195" s="564">
        <v>43480</v>
      </c>
      <c r="L195" s="565">
        <v>43723</v>
      </c>
      <c r="M195" s="557"/>
      <c r="N195" s="557"/>
      <c r="O195" s="557"/>
      <c r="P195" s="557"/>
      <c r="Q195" s="556"/>
      <c r="R195" s="557"/>
      <c r="S195" s="557"/>
      <c r="T195" s="557"/>
      <c r="U195" s="557"/>
      <c r="V195" s="557"/>
      <c r="W195" s="557"/>
      <c r="X195" s="557"/>
      <c r="Y195" s="557"/>
      <c r="Z195" s="557"/>
      <c r="AA195" s="557"/>
      <c r="AB195" s="557"/>
      <c r="AC195" s="557"/>
      <c r="AD195" s="557"/>
      <c r="AE195" s="557"/>
      <c r="AF195" s="557"/>
      <c r="AG195" s="557"/>
      <c r="AH195" s="557"/>
      <c r="AI195" s="557"/>
      <c r="AJ195" s="557"/>
      <c r="AK195" s="557"/>
      <c r="AL195" s="557"/>
      <c r="AM195" s="557"/>
      <c r="AN195" s="557"/>
      <c r="AO195" s="563"/>
      <c r="AP195" s="557"/>
      <c r="AQ195" s="557"/>
      <c r="AR195" s="559"/>
      <c r="AS195" s="557"/>
      <c r="AT195" s="557"/>
      <c r="AU195" s="557"/>
      <c r="AV195" s="557"/>
      <c r="AW195" s="557"/>
      <c r="AX195" s="554"/>
      <c r="AY195" s="563"/>
      <c r="AZ195" s="557"/>
      <c r="BA195" s="557"/>
      <c r="BB195" s="557"/>
      <c r="BC195" s="554"/>
      <c r="BD195" s="557"/>
      <c r="BE195" s="557"/>
      <c r="BF195" s="557"/>
      <c r="BG195" s="557"/>
      <c r="BH195" s="557"/>
      <c r="BI195" s="557">
        <v>31</v>
      </c>
      <c r="BJ195" s="557">
        <v>31</v>
      </c>
      <c r="BK195" s="557"/>
      <c r="BL195" s="557"/>
      <c r="BM195" s="554"/>
      <c r="BN195" s="558"/>
      <c r="BO195" s="559"/>
      <c r="BP195" s="554"/>
      <c r="BQ195" s="560" t="str">
        <f>IFERROR(WWWW[[#This Row],['#_Water sources treated]]/WWWW[[#This Row],['#_Water sources tested for contamination]],"no test")</f>
        <v>no test</v>
      </c>
      <c r="BR195" s="559" t="str">
        <f>IFERROR(WWWW[[#This Row],['#_Household received remediation action due to contamination]]/WWWW[[#This Row],['#_Household water samples tested for contamination]],"no test")</f>
        <v>no test</v>
      </c>
      <c r="BS195" s="558" t="str">
        <f>IF(AND(WWWW[[#This Row],[% of water sources treated]]="no test",WWWW[[#This Row],[% Household received corrective actions]]="no test"),"No Test","Tested")</f>
        <v>No Test</v>
      </c>
      <c r="BT195" s="558">
        <f>WWWW[[#This Row],['#_Constructed/existing protected hand dug well]]-WWWW[[#This Row],['#_Non-functional protected hand dug well]]</f>
        <v>0</v>
      </c>
      <c r="BU195" s="558">
        <f>(WWWW[[#This Row],['#_Constructed/Existing tube wells/boreholes/handpumps_WASH_agency]]+WWWW[[#This Row],['#_Non-Cluster partner water tube-wells/boreholes/handpumps]])-WWWW[[#This Row],['#_Non-functional tube wells/boreholes/handpumps]]</f>
        <v>0</v>
      </c>
      <c r="BV195" s="558">
        <f>WWWW[[#This Row],['#_Constructed/Existingwater storage tank with gravity fed reticulation system]]-WWWW[[#This Row],['#_Non-functional storage tank gravity fed reticulation system]]</f>
        <v>0</v>
      </c>
      <c r="BW195" s="558">
        <f>WWWW[[#This Row],['#_Water boating or water trucking]]</f>
        <v>0</v>
      </c>
      <c r="BX195" s="558">
        <f>WWWW[[#This Row],['#_Constructed/Existing water distribution system from river or natural spring]]</f>
        <v>0</v>
      </c>
      <c r="BY19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5" s="559">
        <f>IF(WWWW[[#This Row],[Location Type 1]]="Village",WWWW[[#This Row],[Access to safe drinking water for Village]],WWWW[[#This Row],[Access to safe drinking water for Camp]])</f>
        <v>0</v>
      </c>
      <c r="CB195" s="556">
        <f>WWWW[[#This Row],[%Equitable and continuous access to sufficient quantity of safe drinking water]]*WWWW[[#This Row],[Total PoP ]]</f>
        <v>0</v>
      </c>
      <c r="CC195" s="559">
        <f>IF((WWWW[[#This Row],['#_Constructed/Existing protected/fenced ponds]]*250)/WWWW[[#This Row],[Total PoP ]]&gt;1,1,(WWWW[[#This Row],['#_Constructed/Existing protected/fenced ponds]]*250)/WWWW[[#This Row],[Total PoP ]])</f>
        <v>0</v>
      </c>
      <c r="CD195" s="556">
        <f>WWWW[[#This Row],[% Access to unimproved water points]]*WWWW[[#This Row],[Total PoP ]]</f>
        <v>0</v>
      </c>
      <c r="CE19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5" s="556">
        <f>WWWW[[#This Row],[HRP1]]/500</f>
        <v>0</v>
      </c>
      <c r="CH195" s="561">
        <f>1-WWWW[[#This Row],[% Equitable and continuous access to sufficient quantity of domestic water]]</f>
        <v>1</v>
      </c>
      <c r="CI195" s="556">
        <f>WWWW[[#This Row],[%equitable and continuous access to sufficient quantity of safe drinking and domestic water''s GAP]]*WWWW[[#This Row],[Total PoP ]]</f>
        <v>256</v>
      </c>
      <c r="CJ195" s="558">
        <f>IF(WWWW[[#This Row],[Total required water points]]-WWWW[[#This Row],['#Water points coverage]]&lt;0,0,WWWW[[#This Row],[Total required water points]]-WWWW[[#This Row],['#Water points coverage]])</f>
        <v>1</v>
      </c>
      <c r="CK195" s="558">
        <f>ROUND(IF(WWWW[[#This Row],[Total PoP ]]&lt;500,1,WWWW[[#This Row],[Total PoP ]]/500),0)</f>
        <v>1</v>
      </c>
      <c r="CL195" s="558">
        <f>(WWWW[[#This Row],['#_Constructed latrines_by_WASHAgencies]]+WWWW[[#This Row],['#_Non Cluster partner latrines]])-WWWW[[#This Row],['#_Non-functional latrines]]</f>
        <v>0</v>
      </c>
      <c r="CM19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5" s="558" t="str">
        <f>IF(WWWW[[#This Row],[Location Type 1]]="Village","NA",IF(WWWW[[#This Row],['#_Constructed/Existing latrines in TLS]]*50&gt;WWWW[[#This Row],['#_students at TLS_CFS]],WWWW[[#This Row],['#_students at TLS_CFS]],(WWWW[[#This Row],['#_Constructed/Existing latrines in TLS]]*50)))</f>
        <v>NA</v>
      </c>
      <c r="CQ195" s="558">
        <f>ROUND(IF(WWWW[[#This Row],[Location Type 1]]="camp",WWWW[[#This Row],[Total PoP ]]/20,IF(WWWW[[#This Row],[Location Type 1]]="Temporary Location",WWWW[[#This Row],[Total PoP ]]/50,(WWWW[[#This Row],[Total PoP ]]/6))),0)</f>
        <v>43</v>
      </c>
      <c r="CR195" s="558">
        <f>IF(WWWW[[#This Row],[Total required Latrines]]-(WWWW[[#This Row],['#_Constructed latrines_by_WASHAgencies]]+WWWW[[#This Row],['#_Non Cluster partner latrines]])&lt;0,0,WWWW[[#This Row],[Total required Latrines]]-(WWWW[[#This Row],['#_Constructed latrines_by_WASHAgencies]]+WWWW[[#This Row],['#_Non Cluster partner latrines]]))</f>
        <v>43</v>
      </c>
      <c r="CS195" s="78">
        <f>1-WWWW[[#This Row],[% people access to functioning Latrine]]</f>
        <v>1</v>
      </c>
      <c r="CT195" s="560">
        <f>IF(OR(WWWW[[#This Row],['#_Non-functional latrines]]="",WWWW[[#This Row],['#_Non-functional latrines]]=0),0,WWWW[[#This Row],['#_Non-functional latrines]]/(WWWW[[#This Row],['#_Constructed latrines_by_WASHAgencies]]+WWWW[[#This Row],['#_Non Cluster partner latrines]]))</f>
        <v>0</v>
      </c>
      <c r="CU195" s="556">
        <f>IF(500*(WWWW[[#This Row],['#_male hygiene promoters]]+WWWW[[#This Row],['#_female hygiene promoters]])&gt;WWWW[[#This Row],[Total PoP ]],WWWW[[#This Row],[Total PoP ]],500*(WWWW[[#This Row],['#_male hygiene promoters]]+WWWW[[#This Row],['#_female hygiene promoters]]))</f>
        <v>256</v>
      </c>
      <c r="CV19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5" s="558">
        <f>IF(WWWW[[#This Row],['# People with access to soap]]&gt;WWWW[[#This Row],['# People with access to Sanity Pads]],WWWW[[#This Row],['# People with access to soap]],WWWW[[#This Row],['# People with access to Sanity Pads]])</f>
        <v>0</v>
      </c>
      <c r="CY195" s="558">
        <f>IF(WWWW[[#This Row],['# people reached by regular dedicated hygiene promotion_5]]&gt;WWWW[[#This Row],['# People received regular supply of hygiene items_6]],WWWW[[#This Row],['# people reached by regular dedicated hygiene promotion_5]],WWWW[[#This Row],['# People received regular supply of hygiene items_6]])</f>
        <v>256</v>
      </c>
      <c r="CZ195" s="561">
        <f>IF(WWWW[[#This Row],[HRP3]]/WWWW[[#This Row],[Total PoP ]]&gt;100%,100%,WWWW[[#This Row],[HRP3]]/WWWW[[#This Row],[Total PoP ]])</f>
        <v>1</v>
      </c>
      <c r="DA195" s="560">
        <f>1-WWWW[[#This Row],[Hygiene Coverage%]]</f>
        <v>0</v>
      </c>
      <c r="DB195" s="559">
        <f>WWWW[[#This Row],['# people reached by regular dedicated hygiene promotion_5]]/WWWW[[#This Row],[Total PoP ]]</f>
        <v>1</v>
      </c>
      <c r="DC195" s="559">
        <f>IF(WWWW[[#This Row],['#_households that received standard amount of soap for this quarter]]/WWWW[[#This Row],[Total HH]]&gt;1,1,WWWW[[#This Row],['#_households that received standard amount of soap for this quarter]]/WWWW[[#This Row],[Total HH]])</f>
        <v>0</v>
      </c>
      <c r="DD195" s="559">
        <f>IF(WWWW[[#This Row],['#_households that received standard amount of sanitary pads for this quarter]]/WWWW[[#This Row],[Total HH]]&gt;1,1,WWWW[[#This Row],['#_households that received standard amount of sanitary pads for this quarter]]/WWWW[[#This Row],[Total HH]])</f>
        <v>0</v>
      </c>
      <c r="DE195" s="558">
        <f>WWWW[[#This Row],['#_Constructed/Existing hand washing stations]]-WWWW[[#This Row],['#_Non-Functional_hand_washing_stations]]</f>
        <v>0</v>
      </c>
      <c r="DF195" s="757">
        <f>IF(WWWW[[#This Row],['# Functional hand washing stations during reporting period]]*20&gt;WWWW[[#This Row],[Total HH]],WWWW[[#This Row],[Total HH]],WWWW[[#This Row],['# Functional hand washing stations during reporting period]]*20)</f>
        <v>0</v>
      </c>
      <c r="DG195" s="556">
        <f>IF(WWWW[[#This Row],[Is sufficient soap available for TLS? (Yes/No)]]="yes",WWWW[[#This Row],['#_Constructed/Existing hand washing stations at TLS]],0)</f>
        <v>0</v>
      </c>
      <c r="DH195" s="556">
        <f>IF(WWWW[[#This Row],['# Functional hand washing stations during reporting period]]*100&gt;WWWW[[#This Row],[Total PoP ]],WWWW[[#This Row],[Total PoP ]],WWWW[[#This Row],['# Functional hand washing stations during reporting period]]*100)</f>
        <v>0</v>
      </c>
      <c r="DI195" s="556" t="str">
        <f>IF(OR(WWWW[[#This Row],['#_students at TLS_CFS]]="",WWWW[[#This Row],['#_students at TLS_CFS]]=0),"No","Yes")</f>
        <v>No</v>
      </c>
      <c r="DJ195" s="554">
        <f>VLOOKUP(WWWW[[#This Row],[Site Name]],SiteDB6[[Site Name]:[CCCM Management]],6,FALSE)</f>
        <v>0</v>
      </c>
      <c r="DK195" s="554">
        <f>VLOOKUP(WWWW[[#This Row],[Site Name]],SiteDB6[[Site Name]:[CCCM Focal Agency]],7,FALSE)</f>
        <v>0</v>
      </c>
      <c r="DL195" s="554" t="str">
        <f>VLOOKUP(WWWW[[#This Row],[Site Name]],SiteDB6[[Site Name]:[Location Type 1]],9,FALSE)</f>
        <v>Village</v>
      </c>
      <c r="DM195" s="554" t="str">
        <f>VLOOKUP(WWWW[[#This Row],[Site Name]],SiteDB6[[Site Name]:[Type of Accommodation]],10,FALSE)</f>
        <v>Village</v>
      </c>
      <c r="DN195" s="554" t="str">
        <f>VLOOKUP(WWWW[[#This Row],[Site Name]],SiteDB6[[Site Name]:[Ethnic or GCA/NGCA]],11,FALSE)</f>
        <v>Rakhine</v>
      </c>
      <c r="DO195" s="554">
        <f>VLOOKUP(WWWW[[#This Row],[Site Name]],SiteDB6[[Site Name]:[Lat]],12,FALSE)</f>
        <v>0</v>
      </c>
      <c r="DP195" s="554">
        <f>VLOOKUP(WWWW[[#This Row],[Site Name]],SiteDB6[[Site Name]:[Long]],13,FALSE)</f>
        <v>0</v>
      </c>
      <c r="DQ195" s="554">
        <f>VLOOKUP(WWWW[[#This Row],[Site Name]],SiteDB6[[Site Name]:[Pcode]],3,FALSE)</f>
        <v>0</v>
      </c>
      <c r="DR195" s="563" t="str">
        <f t="shared" si="6"/>
        <v>Covered</v>
      </c>
      <c r="DS195" s="563"/>
    </row>
    <row r="196" spans="1:123">
      <c r="A196" s="552" t="s">
        <v>2518</v>
      </c>
      <c r="B196" s="552" t="s">
        <v>2795</v>
      </c>
      <c r="C196" s="555" t="s">
        <v>387</v>
      </c>
      <c r="D196" s="555" t="s">
        <v>2796</v>
      </c>
      <c r="E196" s="574" t="s">
        <v>3005</v>
      </c>
      <c r="F196" s="555" t="s">
        <v>323</v>
      </c>
      <c r="G196" s="574" t="str">
        <f>VLOOKUP(WWWW[[#This Row],[Site Name]],SiteDB6[[Site Name]:[Location Type]],8,FALSE)</f>
        <v>Village</v>
      </c>
      <c r="H196" s="555" t="s">
        <v>2815</v>
      </c>
      <c r="I196" s="557">
        <v>53</v>
      </c>
      <c r="J196" s="557">
        <v>263</v>
      </c>
      <c r="K196" s="564">
        <v>43480</v>
      </c>
      <c r="L196" s="565">
        <v>43723</v>
      </c>
      <c r="M196" s="557"/>
      <c r="N196" s="557"/>
      <c r="O196" s="557"/>
      <c r="P196" s="557"/>
      <c r="Q196" s="556"/>
      <c r="R196" s="557"/>
      <c r="S196" s="557"/>
      <c r="T196" s="557"/>
      <c r="U196" s="557"/>
      <c r="V196" s="557"/>
      <c r="W196" s="557"/>
      <c r="X196" s="557"/>
      <c r="Y196" s="557"/>
      <c r="Z196" s="557"/>
      <c r="AA196" s="557"/>
      <c r="AB196" s="557"/>
      <c r="AC196" s="557"/>
      <c r="AD196" s="557"/>
      <c r="AE196" s="557"/>
      <c r="AF196" s="557"/>
      <c r="AG196" s="557"/>
      <c r="AH196" s="557"/>
      <c r="AI196" s="557"/>
      <c r="AJ196" s="557"/>
      <c r="AK196" s="557"/>
      <c r="AL196" s="557"/>
      <c r="AM196" s="557"/>
      <c r="AN196" s="557"/>
      <c r="AO196" s="563"/>
      <c r="AP196" s="557"/>
      <c r="AQ196" s="557"/>
      <c r="AR196" s="559"/>
      <c r="AS196" s="557"/>
      <c r="AT196" s="557"/>
      <c r="AU196" s="557"/>
      <c r="AV196" s="557"/>
      <c r="AW196" s="557"/>
      <c r="AX196" s="554"/>
      <c r="AY196" s="563"/>
      <c r="AZ196" s="557"/>
      <c r="BA196" s="557"/>
      <c r="BB196" s="557"/>
      <c r="BC196" s="554"/>
      <c r="BD196" s="557"/>
      <c r="BE196" s="557"/>
      <c r="BF196" s="557"/>
      <c r="BG196" s="557"/>
      <c r="BH196" s="557"/>
      <c r="BI196" s="557">
        <v>53</v>
      </c>
      <c r="BJ196" s="557">
        <v>53</v>
      </c>
      <c r="BK196" s="557"/>
      <c r="BL196" s="557"/>
      <c r="BM196" s="554"/>
      <c r="BN196" s="558"/>
      <c r="BO196" s="559"/>
      <c r="BP196" s="554"/>
      <c r="BQ196" s="560" t="str">
        <f>IFERROR(WWWW[[#This Row],['#_Water sources treated]]/WWWW[[#This Row],['#_Water sources tested for contamination]],"no test")</f>
        <v>no test</v>
      </c>
      <c r="BR196" s="559" t="str">
        <f>IFERROR(WWWW[[#This Row],['#_Household received remediation action due to contamination]]/WWWW[[#This Row],['#_Household water samples tested for contamination]],"no test")</f>
        <v>no test</v>
      </c>
      <c r="BS196" s="558" t="str">
        <f>IF(AND(WWWW[[#This Row],[% of water sources treated]]="no test",WWWW[[#This Row],[% Household received corrective actions]]="no test"),"No Test","Tested")</f>
        <v>No Test</v>
      </c>
      <c r="BT196" s="558">
        <f>WWWW[[#This Row],['#_Constructed/existing protected hand dug well]]-WWWW[[#This Row],['#_Non-functional protected hand dug well]]</f>
        <v>0</v>
      </c>
      <c r="BU196" s="558">
        <f>(WWWW[[#This Row],['#_Constructed/Existing tube wells/boreholes/handpumps_WASH_agency]]+WWWW[[#This Row],['#_Non-Cluster partner water tube-wells/boreholes/handpumps]])-WWWW[[#This Row],['#_Non-functional tube wells/boreholes/handpumps]]</f>
        <v>0</v>
      </c>
      <c r="BV196" s="558">
        <f>WWWW[[#This Row],['#_Constructed/Existingwater storage tank with gravity fed reticulation system]]-WWWW[[#This Row],['#_Non-functional storage tank gravity fed reticulation system]]</f>
        <v>0</v>
      </c>
      <c r="BW196" s="558">
        <f>WWWW[[#This Row],['#_Water boating or water trucking]]</f>
        <v>0</v>
      </c>
      <c r="BX196" s="558">
        <f>WWWW[[#This Row],['#_Constructed/Existing water distribution system from river or natural spring]]</f>
        <v>0</v>
      </c>
      <c r="BY19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6" s="559">
        <f>IF(WWWW[[#This Row],[Location Type 1]]="Village",WWWW[[#This Row],[Access to safe drinking water for Village]],WWWW[[#This Row],[Access to safe drinking water for Camp]])</f>
        <v>0</v>
      </c>
      <c r="CB196" s="556">
        <f>WWWW[[#This Row],[%Equitable and continuous access to sufficient quantity of safe drinking water]]*WWWW[[#This Row],[Total PoP ]]</f>
        <v>0</v>
      </c>
      <c r="CC196" s="559">
        <f>IF((WWWW[[#This Row],['#_Constructed/Existing protected/fenced ponds]]*250)/WWWW[[#This Row],[Total PoP ]]&gt;1,1,(WWWW[[#This Row],['#_Constructed/Existing protected/fenced ponds]]*250)/WWWW[[#This Row],[Total PoP ]])</f>
        <v>0</v>
      </c>
      <c r="CD196" s="556">
        <f>WWWW[[#This Row],[% Access to unimproved water points]]*WWWW[[#This Row],[Total PoP ]]</f>
        <v>0</v>
      </c>
      <c r="CE19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6" s="556">
        <f>WWWW[[#This Row],[HRP1]]/500</f>
        <v>0</v>
      </c>
      <c r="CH196" s="561">
        <f>1-WWWW[[#This Row],[% Equitable and continuous access to sufficient quantity of domestic water]]</f>
        <v>1</v>
      </c>
      <c r="CI196" s="556">
        <f>WWWW[[#This Row],[%equitable and continuous access to sufficient quantity of safe drinking and domestic water''s GAP]]*WWWW[[#This Row],[Total PoP ]]</f>
        <v>263</v>
      </c>
      <c r="CJ196" s="558">
        <f>IF(WWWW[[#This Row],[Total required water points]]-WWWW[[#This Row],['#Water points coverage]]&lt;0,0,WWWW[[#This Row],[Total required water points]]-WWWW[[#This Row],['#Water points coverage]])</f>
        <v>1</v>
      </c>
      <c r="CK196" s="558">
        <f>ROUND(IF(WWWW[[#This Row],[Total PoP ]]&lt;500,1,WWWW[[#This Row],[Total PoP ]]/500),0)</f>
        <v>1</v>
      </c>
      <c r="CL196" s="558">
        <f>(WWWW[[#This Row],['#_Constructed latrines_by_WASHAgencies]]+WWWW[[#This Row],['#_Non Cluster partner latrines]])-WWWW[[#This Row],['#_Non-functional latrines]]</f>
        <v>0</v>
      </c>
      <c r="CM19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6" s="558" t="str">
        <f>IF(WWWW[[#This Row],[Location Type 1]]="Village","NA",IF(WWWW[[#This Row],['#_Constructed/Existing latrines in TLS]]*50&gt;WWWW[[#This Row],['#_students at TLS_CFS]],WWWW[[#This Row],['#_students at TLS_CFS]],(WWWW[[#This Row],['#_Constructed/Existing latrines in TLS]]*50)))</f>
        <v>NA</v>
      </c>
      <c r="CQ196" s="558">
        <f>ROUND(IF(WWWW[[#This Row],[Location Type 1]]="camp",WWWW[[#This Row],[Total PoP ]]/20,IF(WWWW[[#This Row],[Location Type 1]]="Temporary Location",WWWW[[#This Row],[Total PoP ]]/50,(WWWW[[#This Row],[Total PoP ]]/6))),0)</f>
        <v>44</v>
      </c>
      <c r="CR196" s="558">
        <f>IF(WWWW[[#This Row],[Total required Latrines]]-(WWWW[[#This Row],['#_Constructed latrines_by_WASHAgencies]]+WWWW[[#This Row],['#_Non Cluster partner latrines]])&lt;0,0,WWWW[[#This Row],[Total required Latrines]]-(WWWW[[#This Row],['#_Constructed latrines_by_WASHAgencies]]+WWWW[[#This Row],['#_Non Cluster partner latrines]]))</f>
        <v>44</v>
      </c>
      <c r="CS196" s="78">
        <f>1-WWWW[[#This Row],[% people access to functioning Latrine]]</f>
        <v>1</v>
      </c>
      <c r="CT196" s="560">
        <f>IF(OR(WWWW[[#This Row],['#_Non-functional latrines]]="",WWWW[[#This Row],['#_Non-functional latrines]]=0),0,WWWW[[#This Row],['#_Non-functional latrines]]/(WWWW[[#This Row],['#_Constructed latrines_by_WASHAgencies]]+WWWW[[#This Row],['#_Non Cluster partner latrines]]))</f>
        <v>0</v>
      </c>
      <c r="CU196" s="556">
        <f>IF(500*(WWWW[[#This Row],['#_male hygiene promoters]]+WWWW[[#This Row],['#_female hygiene promoters]])&gt;WWWW[[#This Row],[Total PoP ]],WWWW[[#This Row],[Total PoP ]],500*(WWWW[[#This Row],['#_male hygiene promoters]]+WWWW[[#This Row],['#_female hygiene promoters]]))</f>
        <v>263</v>
      </c>
      <c r="CV19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6" s="558">
        <f>IF(WWWW[[#This Row],['# People with access to soap]]&gt;WWWW[[#This Row],['# People with access to Sanity Pads]],WWWW[[#This Row],['# People with access to soap]],WWWW[[#This Row],['# People with access to Sanity Pads]])</f>
        <v>0</v>
      </c>
      <c r="CY196" s="558">
        <f>IF(WWWW[[#This Row],['# people reached by regular dedicated hygiene promotion_5]]&gt;WWWW[[#This Row],['# People received regular supply of hygiene items_6]],WWWW[[#This Row],['# people reached by regular dedicated hygiene promotion_5]],WWWW[[#This Row],['# People received regular supply of hygiene items_6]])</f>
        <v>263</v>
      </c>
      <c r="CZ196" s="561">
        <f>IF(WWWW[[#This Row],[HRP3]]/WWWW[[#This Row],[Total PoP ]]&gt;100%,100%,WWWW[[#This Row],[HRP3]]/WWWW[[#This Row],[Total PoP ]])</f>
        <v>1</v>
      </c>
      <c r="DA196" s="560">
        <f>1-WWWW[[#This Row],[Hygiene Coverage%]]</f>
        <v>0</v>
      </c>
      <c r="DB196" s="559">
        <f>WWWW[[#This Row],['# people reached by regular dedicated hygiene promotion_5]]/WWWW[[#This Row],[Total PoP ]]</f>
        <v>1</v>
      </c>
      <c r="DC196" s="559">
        <f>IF(WWWW[[#This Row],['#_households that received standard amount of soap for this quarter]]/WWWW[[#This Row],[Total HH]]&gt;1,1,WWWW[[#This Row],['#_households that received standard amount of soap for this quarter]]/WWWW[[#This Row],[Total HH]])</f>
        <v>0</v>
      </c>
      <c r="DD196" s="559">
        <f>IF(WWWW[[#This Row],['#_households that received standard amount of sanitary pads for this quarter]]/WWWW[[#This Row],[Total HH]]&gt;1,1,WWWW[[#This Row],['#_households that received standard amount of sanitary pads for this quarter]]/WWWW[[#This Row],[Total HH]])</f>
        <v>0</v>
      </c>
      <c r="DE196" s="558">
        <f>WWWW[[#This Row],['#_Constructed/Existing hand washing stations]]-WWWW[[#This Row],['#_Non-Functional_hand_washing_stations]]</f>
        <v>0</v>
      </c>
      <c r="DF196" s="757">
        <f>IF(WWWW[[#This Row],['# Functional hand washing stations during reporting period]]*20&gt;WWWW[[#This Row],[Total HH]],WWWW[[#This Row],[Total HH]],WWWW[[#This Row],['# Functional hand washing stations during reporting period]]*20)</f>
        <v>0</v>
      </c>
      <c r="DG196" s="556">
        <f>IF(WWWW[[#This Row],[Is sufficient soap available for TLS? (Yes/No)]]="yes",WWWW[[#This Row],['#_Constructed/Existing hand washing stations at TLS]],0)</f>
        <v>0</v>
      </c>
      <c r="DH196" s="556">
        <f>IF(WWWW[[#This Row],['# Functional hand washing stations during reporting period]]*100&gt;WWWW[[#This Row],[Total PoP ]],WWWW[[#This Row],[Total PoP ]],WWWW[[#This Row],['# Functional hand washing stations during reporting period]]*100)</f>
        <v>0</v>
      </c>
      <c r="DI196" s="556" t="str">
        <f>IF(OR(WWWW[[#This Row],['#_students at TLS_CFS]]="",WWWW[[#This Row],['#_students at TLS_CFS]]=0),"No","Yes")</f>
        <v>No</v>
      </c>
      <c r="DJ196" s="554">
        <f>VLOOKUP(WWWW[[#This Row],[Site Name]],SiteDB6[[Site Name]:[CCCM Management]],6,FALSE)</f>
        <v>0</v>
      </c>
      <c r="DK196" s="554">
        <f>VLOOKUP(WWWW[[#This Row],[Site Name]],SiteDB6[[Site Name]:[CCCM Focal Agency]],7,FALSE)</f>
        <v>0</v>
      </c>
      <c r="DL196" s="554" t="str">
        <f>VLOOKUP(WWWW[[#This Row],[Site Name]],SiteDB6[[Site Name]:[Location Type 1]],9,FALSE)</f>
        <v>Village</v>
      </c>
      <c r="DM196" s="554" t="str">
        <f>VLOOKUP(WWWW[[#This Row],[Site Name]],SiteDB6[[Site Name]:[Type of Accommodation]],10,FALSE)</f>
        <v>Village</v>
      </c>
      <c r="DN196" s="554" t="str">
        <f>VLOOKUP(WWWW[[#This Row],[Site Name]],SiteDB6[[Site Name]:[Ethnic or GCA/NGCA]],11,FALSE)</f>
        <v>Rakhine</v>
      </c>
      <c r="DO196" s="554">
        <f>VLOOKUP(WWWW[[#This Row],[Site Name]],SiteDB6[[Site Name]:[Lat]],12,FALSE)</f>
        <v>0</v>
      </c>
      <c r="DP196" s="554">
        <f>VLOOKUP(WWWW[[#This Row],[Site Name]],SiteDB6[[Site Name]:[Long]],13,FALSE)</f>
        <v>0</v>
      </c>
      <c r="DQ196" s="554">
        <f>VLOOKUP(WWWW[[#This Row],[Site Name]],SiteDB6[[Site Name]:[Pcode]],3,FALSE)</f>
        <v>220736</v>
      </c>
      <c r="DR196" s="563" t="str">
        <f t="shared" si="6"/>
        <v>Covered</v>
      </c>
      <c r="DS196" s="563"/>
    </row>
    <row r="197" spans="1:123">
      <c r="A197" s="552" t="s">
        <v>2518</v>
      </c>
      <c r="B197" s="552" t="s">
        <v>2795</v>
      </c>
      <c r="C197" s="555" t="s">
        <v>387</v>
      </c>
      <c r="D197" s="555" t="s">
        <v>2796</v>
      </c>
      <c r="E197" s="574" t="s">
        <v>3005</v>
      </c>
      <c r="F197" s="555" t="s">
        <v>323</v>
      </c>
      <c r="G197" s="574" t="str">
        <f>VLOOKUP(WWWW[[#This Row],[Site Name]],SiteDB6[[Site Name]:[Location Type]],8,FALSE)</f>
        <v>Village</v>
      </c>
      <c r="H197" s="555" t="s">
        <v>2122</v>
      </c>
      <c r="I197" s="557">
        <v>86</v>
      </c>
      <c r="J197" s="557">
        <v>401</v>
      </c>
      <c r="K197" s="564">
        <v>43480</v>
      </c>
      <c r="L197" s="565">
        <v>43723</v>
      </c>
      <c r="M197" s="557"/>
      <c r="N197" s="557"/>
      <c r="O197" s="557"/>
      <c r="P197" s="557"/>
      <c r="Q197" s="556"/>
      <c r="R197" s="557"/>
      <c r="S197" s="557"/>
      <c r="T197" s="557"/>
      <c r="U197" s="557"/>
      <c r="V197" s="557"/>
      <c r="W197" s="557"/>
      <c r="X197" s="557"/>
      <c r="Y197" s="557"/>
      <c r="Z197" s="557"/>
      <c r="AA197" s="557"/>
      <c r="AB197" s="557"/>
      <c r="AC197" s="557"/>
      <c r="AD197" s="557"/>
      <c r="AE197" s="557"/>
      <c r="AF197" s="557"/>
      <c r="AG197" s="557"/>
      <c r="AH197" s="557"/>
      <c r="AI197" s="557"/>
      <c r="AJ197" s="557"/>
      <c r="AK197" s="557"/>
      <c r="AL197" s="557"/>
      <c r="AM197" s="557"/>
      <c r="AN197" s="557"/>
      <c r="AO197" s="563"/>
      <c r="AP197" s="557"/>
      <c r="AQ197" s="557"/>
      <c r="AR197" s="559"/>
      <c r="AS197" s="557"/>
      <c r="AT197" s="557"/>
      <c r="AU197" s="557"/>
      <c r="AV197" s="557"/>
      <c r="AW197" s="557"/>
      <c r="AX197" s="554"/>
      <c r="AY197" s="563"/>
      <c r="AZ197" s="557"/>
      <c r="BA197" s="557"/>
      <c r="BB197" s="557"/>
      <c r="BC197" s="554"/>
      <c r="BD197" s="557"/>
      <c r="BE197" s="557"/>
      <c r="BF197" s="557"/>
      <c r="BG197" s="557"/>
      <c r="BH197" s="557"/>
      <c r="BI197" s="557">
        <v>86</v>
      </c>
      <c r="BJ197" s="557">
        <v>86</v>
      </c>
      <c r="BK197" s="557"/>
      <c r="BL197" s="557"/>
      <c r="BM197" s="554"/>
      <c r="BN197" s="558"/>
      <c r="BO197" s="559"/>
      <c r="BP197" s="554"/>
      <c r="BQ197" s="560" t="str">
        <f>IFERROR(WWWW[[#This Row],['#_Water sources treated]]/WWWW[[#This Row],['#_Water sources tested for contamination]],"no test")</f>
        <v>no test</v>
      </c>
      <c r="BR197" s="559" t="str">
        <f>IFERROR(WWWW[[#This Row],['#_Household received remediation action due to contamination]]/WWWW[[#This Row],['#_Household water samples tested for contamination]],"no test")</f>
        <v>no test</v>
      </c>
      <c r="BS197" s="558" t="str">
        <f>IF(AND(WWWW[[#This Row],[% of water sources treated]]="no test",WWWW[[#This Row],[% Household received corrective actions]]="no test"),"No Test","Tested")</f>
        <v>No Test</v>
      </c>
      <c r="BT197" s="558">
        <f>WWWW[[#This Row],['#_Constructed/existing protected hand dug well]]-WWWW[[#This Row],['#_Non-functional protected hand dug well]]</f>
        <v>0</v>
      </c>
      <c r="BU197" s="558">
        <f>(WWWW[[#This Row],['#_Constructed/Existing tube wells/boreholes/handpumps_WASH_agency]]+WWWW[[#This Row],['#_Non-Cluster partner water tube-wells/boreholes/handpumps]])-WWWW[[#This Row],['#_Non-functional tube wells/boreholes/handpumps]]</f>
        <v>0</v>
      </c>
      <c r="BV197" s="558">
        <f>WWWW[[#This Row],['#_Constructed/Existingwater storage tank with gravity fed reticulation system]]-WWWW[[#This Row],['#_Non-functional storage tank gravity fed reticulation system]]</f>
        <v>0</v>
      </c>
      <c r="BW197" s="558">
        <f>WWWW[[#This Row],['#_Water boating or water trucking]]</f>
        <v>0</v>
      </c>
      <c r="BX197" s="558">
        <f>WWWW[[#This Row],['#_Constructed/Existing water distribution system from river or natural spring]]</f>
        <v>0</v>
      </c>
      <c r="BY19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7" s="559">
        <f>IF(WWWW[[#This Row],[Location Type 1]]="Village",WWWW[[#This Row],[Access to safe drinking water for Village]],WWWW[[#This Row],[Access to safe drinking water for Camp]])</f>
        <v>0</v>
      </c>
      <c r="CB197" s="556">
        <f>WWWW[[#This Row],[%Equitable and continuous access to sufficient quantity of safe drinking water]]*WWWW[[#This Row],[Total PoP ]]</f>
        <v>0</v>
      </c>
      <c r="CC197" s="559">
        <f>IF((WWWW[[#This Row],['#_Constructed/Existing protected/fenced ponds]]*250)/WWWW[[#This Row],[Total PoP ]]&gt;1,1,(WWWW[[#This Row],['#_Constructed/Existing protected/fenced ponds]]*250)/WWWW[[#This Row],[Total PoP ]])</f>
        <v>0</v>
      </c>
      <c r="CD197" s="556">
        <f>WWWW[[#This Row],[% Access to unimproved water points]]*WWWW[[#This Row],[Total PoP ]]</f>
        <v>0</v>
      </c>
      <c r="CE19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7" s="556">
        <f>WWWW[[#This Row],[HRP1]]/500</f>
        <v>0</v>
      </c>
      <c r="CH197" s="561">
        <f>1-WWWW[[#This Row],[% Equitable and continuous access to sufficient quantity of domestic water]]</f>
        <v>1</v>
      </c>
      <c r="CI197" s="556">
        <f>WWWW[[#This Row],[%equitable and continuous access to sufficient quantity of safe drinking and domestic water''s GAP]]*WWWW[[#This Row],[Total PoP ]]</f>
        <v>401</v>
      </c>
      <c r="CJ197" s="558">
        <f>IF(WWWW[[#This Row],[Total required water points]]-WWWW[[#This Row],['#Water points coverage]]&lt;0,0,WWWW[[#This Row],[Total required water points]]-WWWW[[#This Row],['#Water points coverage]])</f>
        <v>1</v>
      </c>
      <c r="CK197" s="558">
        <f>ROUND(IF(WWWW[[#This Row],[Total PoP ]]&lt;500,1,WWWW[[#This Row],[Total PoP ]]/500),0)</f>
        <v>1</v>
      </c>
      <c r="CL197" s="558">
        <f>(WWWW[[#This Row],['#_Constructed latrines_by_WASHAgencies]]+WWWW[[#This Row],['#_Non Cluster partner latrines]])-WWWW[[#This Row],['#_Non-functional latrines]]</f>
        <v>0</v>
      </c>
      <c r="CM19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7" s="558" t="str">
        <f>IF(WWWW[[#This Row],[Location Type 1]]="Village","NA",IF(WWWW[[#This Row],['#_Constructed/Existing latrines in TLS]]*50&gt;WWWW[[#This Row],['#_students at TLS_CFS]],WWWW[[#This Row],['#_students at TLS_CFS]],(WWWW[[#This Row],['#_Constructed/Existing latrines in TLS]]*50)))</f>
        <v>NA</v>
      </c>
      <c r="CQ197" s="558">
        <f>ROUND(IF(WWWW[[#This Row],[Location Type 1]]="camp",WWWW[[#This Row],[Total PoP ]]/20,IF(WWWW[[#This Row],[Location Type 1]]="Temporary Location",WWWW[[#This Row],[Total PoP ]]/50,(WWWW[[#This Row],[Total PoP ]]/6))),0)</f>
        <v>67</v>
      </c>
      <c r="CR197" s="558">
        <f>IF(WWWW[[#This Row],[Total required Latrines]]-(WWWW[[#This Row],['#_Constructed latrines_by_WASHAgencies]]+WWWW[[#This Row],['#_Non Cluster partner latrines]])&lt;0,0,WWWW[[#This Row],[Total required Latrines]]-(WWWW[[#This Row],['#_Constructed latrines_by_WASHAgencies]]+WWWW[[#This Row],['#_Non Cluster partner latrines]]))</f>
        <v>67</v>
      </c>
      <c r="CS197" s="78">
        <f>1-WWWW[[#This Row],[% people access to functioning Latrine]]</f>
        <v>1</v>
      </c>
      <c r="CT197" s="560">
        <f>IF(OR(WWWW[[#This Row],['#_Non-functional latrines]]="",WWWW[[#This Row],['#_Non-functional latrines]]=0),0,WWWW[[#This Row],['#_Non-functional latrines]]/(WWWW[[#This Row],['#_Constructed latrines_by_WASHAgencies]]+WWWW[[#This Row],['#_Non Cluster partner latrines]]))</f>
        <v>0</v>
      </c>
      <c r="CU197" s="556">
        <f>IF(500*(WWWW[[#This Row],['#_male hygiene promoters]]+WWWW[[#This Row],['#_female hygiene promoters]])&gt;WWWW[[#This Row],[Total PoP ]],WWWW[[#This Row],[Total PoP ]],500*(WWWW[[#This Row],['#_male hygiene promoters]]+WWWW[[#This Row],['#_female hygiene promoters]]))</f>
        <v>401</v>
      </c>
      <c r="CV19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7" s="558">
        <f>IF(WWWW[[#This Row],['# People with access to soap]]&gt;WWWW[[#This Row],['# People with access to Sanity Pads]],WWWW[[#This Row],['# People with access to soap]],WWWW[[#This Row],['# People with access to Sanity Pads]])</f>
        <v>0</v>
      </c>
      <c r="CY197" s="558">
        <f>IF(WWWW[[#This Row],['# people reached by regular dedicated hygiene promotion_5]]&gt;WWWW[[#This Row],['# People received regular supply of hygiene items_6]],WWWW[[#This Row],['# people reached by regular dedicated hygiene promotion_5]],WWWW[[#This Row],['# People received regular supply of hygiene items_6]])</f>
        <v>401</v>
      </c>
      <c r="CZ197" s="561">
        <f>IF(WWWW[[#This Row],[HRP3]]/WWWW[[#This Row],[Total PoP ]]&gt;100%,100%,WWWW[[#This Row],[HRP3]]/WWWW[[#This Row],[Total PoP ]])</f>
        <v>1</v>
      </c>
      <c r="DA197" s="560">
        <f>1-WWWW[[#This Row],[Hygiene Coverage%]]</f>
        <v>0</v>
      </c>
      <c r="DB197" s="559">
        <f>WWWW[[#This Row],['# people reached by regular dedicated hygiene promotion_5]]/WWWW[[#This Row],[Total PoP ]]</f>
        <v>1</v>
      </c>
      <c r="DC197" s="559">
        <f>IF(WWWW[[#This Row],['#_households that received standard amount of soap for this quarter]]/WWWW[[#This Row],[Total HH]]&gt;1,1,WWWW[[#This Row],['#_households that received standard amount of soap for this quarter]]/WWWW[[#This Row],[Total HH]])</f>
        <v>0</v>
      </c>
      <c r="DD197" s="559">
        <f>IF(WWWW[[#This Row],['#_households that received standard amount of sanitary pads for this quarter]]/WWWW[[#This Row],[Total HH]]&gt;1,1,WWWW[[#This Row],['#_households that received standard amount of sanitary pads for this quarter]]/WWWW[[#This Row],[Total HH]])</f>
        <v>0</v>
      </c>
      <c r="DE197" s="558">
        <f>WWWW[[#This Row],['#_Constructed/Existing hand washing stations]]-WWWW[[#This Row],['#_Non-Functional_hand_washing_stations]]</f>
        <v>0</v>
      </c>
      <c r="DF197" s="757">
        <f>IF(WWWW[[#This Row],['# Functional hand washing stations during reporting period]]*20&gt;WWWW[[#This Row],[Total HH]],WWWW[[#This Row],[Total HH]],WWWW[[#This Row],['# Functional hand washing stations during reporting period]]*20)</f>
        <v>0</v>
      </c>
      <c r="DG197" s="556">
        <f>IF(WWWW[[#This Row],[Is sufficient soap available for TLS? (Yes/No)]]="yes",WWWW[[#This Row],['#_Constructed/Existing hand washing stations at TLS]],0)</f>
        <v>0</v>
      </c>
      <c r="DH197" s="556">
        <f>IF(WWWW[[#This Row],['# Functional hand washing stations during reporting period]]*100&gt;WWWW[[#This Row],[Total PoP ]],WWWW[[#This Row],[Total PoP ]],WWWW[[#This Row],['# Functional hand washing stations during reporting period]]*100)</f>
        <v>0</v>
      </c>
      <c r="DI197" s="556" t="str">
        <f>IF(OR(WWWW[[#This Row],['#_students at TLS_CFS]]="",WWWW[[#This Row],['#_students at TLS_CFS]]=0),"No","Yes")</f>
        <v>No</v>
      </c>
      <c r="DJ197" s="554">
        <f>VLOOKUP(WWWW[[#This Row],[Site Name]],SiteDB6[[Site Name]:[CCCM Management]],6,FALSE)</f>
        <v>0</v>
      </c>
      <c r="DK197" s="554">
        <f>VLOOKUP(WWWW[[#This Row],[Site Name]],SiteDB6[[Site Name]:[CCCM Focal Agency]],7,FALSE)</f>
        <v>0</v>
      </c>
      <c r="DL197" s="554" t="str">
        <f>VLOOKUP(WWWW[[#This Row],[Site Name]],SiteDB6[[Site Name]:[Location Type 1]],9,FALSE)</f>
        <v>Village</v>
      </c>
      <c r="DM197" s="554" t="str">
        <f>VLOOKUP(WWWW[[#This Row],[Site Name]],SiteDB6[[Site Name]:[Type of Accommodation]],10,FALSE)</f>
        <v>Village</v>
      </c>
      <c r="DN197" s="554" t="str">
        <f>VLOOKUP(WWWW[[#This Row],[Site Name]],SiteDB6[[Site Name]:[Ethnic or GCA/NGCA]],11,FALSE)</f>
        <v>Rakhine</v>
      </c>
      <c r="DO197" s="554">
        <f>VLOOKUP(WWWW[[#This Row],[Site Name]],SiteDB6[[Site Name]:[Lat]],12,FALSE)</f>
        <v>20.806211470000001</v>
      </c>
      <c r="DP197" s="554">
        <f>VLOOKUP(WWWW[[#This Row],[Site Name]],SiteDB6[[Site Name]:[Long]],13,FALSE)</f>
        <v>92.404357910000002</v>
      </c>
      <c r="DQ197" s="554">
        <f>VLOOKUP(WWWW[[#This Row],[Site Name]],SiteDB6[[Site Name]:[Pcode]],3,FALSE)</f>
        <v>220737</v>
      </c>
      <c r="DR197" s="563" t="str">
        <f t="shared" ref="DR197:DR228" si="7">IF(C197="none","Notcovered","Covered")</f>
        <v>Covered</v>
      </c>
      <c r="DS197" s="563"/>
    </row>
    <row r="198" spans="1:123">
      <c r="A198" s="552" t="s">
        <v>2518</v>
      </c>
      <c r="B198" s="552" t="s">
        <v>2795</v>
      </c>
      <c r="C198" s="555" t="s">
        <v>387</v>
      </c>
      <c r="D198" s="555" t="s">
        <v>2796</v>
      </c>
      <c r="E198" s="574" t="s">
        <v>3005</v>
      </c>
      <c r="F198" s="555" t="s">
        <v>323</v>
      </c>
      <c r="G198" s="574" t="str">
        <f>VLOOKUP(WWWW[[#This Row],[Site Name]],SiteDB6[[Site Name]:[Location Type]],8,FALSE)</f>
        <v>Village</v>
      </c>
      <c r="H198" s="555" t="s">
        <v>2816</v>
      </c>
      <c r="I198" s="557">
        <v>275</v>
      </c>
      <c r="J198" s="557">
        <v>1698</v>
      </c>
      <c r="K198" s="564">
        <v>43480</v>
      </c>
      <c r="L198" s="565">
        <v>43723</v>
      </c>
      <c r="M198" s="557"/>
      <c r="N198" s="557"/>
      <c r="O198" s="557"/>
      <c r="P198" s="557"/>
      <c r="Q198" s="556"/>
      <c r="R198" s="557"/>
      <c r="S198" s="557"/>
      <c r="T198" s="557"/>
      <c r="U198" s="557"/>
      <c r="V198" s="557"/>
      <c r="W198" s="557"/>
      <c r="X198" s="557"/>
      <c r="Y198" s="557"/>
      <c r="Z198" s="557"/>
      <c r="AA198" s="557"/>
      <c r="AB198" s="557"/>
      <c r="AC198" s="557"/>
      <c r="AD198" s="557"/>
      <c r="AE198" s="557"/>
      <c r="AF198" s="557"/>
      <c r="AG198" s="557"/>
      <c r="AH198" s="557"/>
      <c r="AI198" s="557"/>
      <c r="AJ198" s="557"/>
      <c r="AK198" s="557"/>
      <c r="AL198" s="557"/>
      <c r="AM198" s="557"/>
      <c r="AN198" s="557"/>
      <c r="AO198" s="563"/>
      <c r="AP198" s="557"/>
      <c r="AQ198" s="557"/>
      <c r="AR198" s="559"/>
      <c r="AS198" s="557"/>
      <c r="AT198" s="557"/>
      <c r="AU198" s="557"/>
      <c r="AV198" s="557"/>
      <c r="AW198" s="557"/>
      <c r="AX198" s="554"/>
      <c r="AY198" s="563"/>
      <c r="AZ198" s="557"/>
      <c r="BA198" s="557"/>
      <c r="BB198" s="557"/>
      <c r="BC198" s="554"/>
      <c r="BD198" s="557"/>
      <c r="BE198" s="557"/>
      <c r="BF198" s="557"/>
      <c r="BG198" s="557"/>
      <c r="BH198" s="557"/>
      <c r="BI198" s="557">
        <v>275</v>
      </c>
      <c r="BJ198" s="557">
        <v>275</v>
      </c>
      <c r="BK198" s="557"/>
      <c r="BL198" s="557"/>
      <c r="BM198" s="554"/>
      <c r="BN198" s="558"/>
      <c r="BO198" s="559"/>
      <c r="BP198" s="554"/>
      <c r="BQ198" s="560" t="str">
        <f>IFERROR(WWWW[[#This Row],['#_Water sources treated]]/WWWW[[#This Row],['#_Water sources tested for contamination]],"no test")</f>
        <v>no test</v>
      </c>
      <c r="BR198" s="559" t="str">
        <f>IFERROR(WWWW[[#This Row],['#_Household received remediation action due to contamination]]/WWWW[[#This Row],['#_Household water samples tested for contamination]],"no test")</f>
        <v>no test</v>
      </c>
      <c r="BS198" s="558" t="str">
        <f>IF(AND(WWWW[[#This Row],[% of water sources treated]]="no test",WWWW[[#This Row],[% Household received corrective actions]]="no test"),"No Test","Tested")</f>
        <v>No Test</v>
      </c>
      <c r="BT198" s="558">
        <f>WWWW[[#This Row],['#_Constructed/existing protected hand dug well]]-WWWW[[#This Row],['#_Non-functional protected hand dug well]]</f>
        <v>0</v>
      </c>
      <c r="BU198" s="558">
        <f>(WWWW[[#This Row],['#_Constructed/Existing tube wells/boreholes/handpumps_WASH_agency]]+WWWW[[#This Row],['#_Non-Cluster partner water tube-wells/boreholes/handpumps]])-WWWW[[#This Row],['#_Non-functional tube wells/boreholes/handpumps]]</f>
        <v>0</v>
      </c>
      <c r="BV198" s="558">
        <f>WWWW[[#This Row],['#_Constructed/Existingwater storage tank with gravity fed reticulation system]]-WWWW[[#This Row],['#_Non-functional storage tank gravity fed reticulation system]]</f>
        <v>0</v>
      </c>
      <c r="BW198" s="558">
        <f>WWWW[[#This Row],['#_Water boating or water trucking]]</f>
        <v>0</v>
      </c>
      <c r="BX198" s="558">
        <f>WWWW[[#This Row],['#_Constructed/Existing water distribution system from river or natural spring]]</f>
        <v>0</v>
      </c>
      <c r="BY19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8" s="559">
        <f>IF(WWWW[[#This Row],[Location Type 1]]="Village",WWWW[[#This Row],[Access to safe drinking water for Village]],WWWW[[#This Row],[Access to safe drinking water for Camp]])</f>
        <v>0</v>
      </c>
      <c r="CB198" s="556">
        <f>WWWW[[#This Row],[%Equitable and continuous access to sufficient quantity of safe drinking water]]*WWWW[[#This Row],[Total PoP ]]</f>
        <v>0</v>
      </c>
      <c r="CC198" s="559">
        <f>IF((WWWW[[#This Row],['#_Constructed/Existing protected/fenced ponds]]*250)/WWWW[[#This Row],[Total PoP ]]&gt;1,1,(WWWW[[#This Row],['#_Constructed/Existing protected/fenced ponds]]*250)/WWWW[[#This Row],[Total PoP ]])</f>
        <v>0</v>
      </c>
      <c r="CD198" s="556">
        <f>WWWW[[#This Row],[% Access to unimproved water points]]*WWWW[[#This Row],[Total PoP ]]</f>
        <v>0</v>
      </c>
      <c r="CE19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8" s="556">
        <f>WWWW[[#This Row],[HRP1]]/500</f>
        <v>0</v>
      </c>
      <c r="CH198" s="561">
        <f>1-WWWW[[#This Row],[% Equitable and continuous access to sufficient quantity of domestic water]]</f>
        <v>1</v>
      </c>
      <c r="CI198" s="556">
        <f>WWWW[[#This Row],[%equitable and continuous access to sufficient quantity of safe drinking and domestic water''s GAP]]*WWWW[[#This Row],[Total PoP ]]</f>
        <v>1698</v>
      </c>
      <c r="CJ198" s="558">
        <f>IF(WWWW[[#This Row],[Total required water points]]-WWWW[[#This Row],['#Water points coverage]]&lt;0,0,WWWW[[#This Row],[Total required water points]]-WWWW[[#This Row],['#Water points coverage]])</f>
        <v>3</v>
      </c>
      <c r="CK198" s="558">
        <f>ROUND(IF(WWWW[[#This Row],[Total PoP ]]&lt;500,1,WWWW[[#This Row],[Total PoP ]]/500),0)</f>
        <v>3</v>
      </c>
      <c r="CL198" s="558">
        <f>(WWWW[[#This Row],['#_Constructed latrines_by_WASHAgencies]]+WWWW[[#This Row],['#_Non Cluster partner latrines]])-WWWW[[#This Row],['#_Non-functional latrines]]</f>
        <v>0</v>
      </c>
      <c r="CM19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8" s="558" t="str">
        <f>IF(WWWW[[#This Row],[Location Type 1]]="Village","NA",IF(WWWW[[#This Row],['#_Constructed/Existing latrines in TLS]]*50&gt;WWWW[[#This Row],['#_students at TLS_CFS]],WWWW[[#This Row],['#_students at TLS_CFS]],(WWWW[[#This Row],['#_Constructed/Existing latrines in TLS]]*50)))</f>
        <v>NA</v>
      </c>
      <c r="CQ198" s="558">
        <f>ROUND(IF(WWWW[[#This Row],[Location Type 1]]="camp",WWWW[[#This Row],[Total PoP ]]/20,IF(WWWW[[#This Row],[Location Type 1]]="Temporary Location",WWWW[[#This Row],[Total PoP ]]/50,(WWWW[[#This Row],[Total PoP ]]/6))),0)</f>
        <v>283</v>
      </c>
      <c r="CR198" s="558">
        <f>IF(WWWW[[#This Row],[Total required Latrines]]-(WWWW[[#This Row],['#_Constructed latrines_by_WASHAgencies]]+WWWW[[#This Row],['#_Non Cluster partner latrines]])&lt;0,0,WWWW[[#This Row],[Total required Latrines]]-(WWWW[[#This Row],['#_Constructed latrines_by_WASHAgencies]]+WWWW[[#This Row],['#_Non Cluster partner latrines]]))</f>
        <v>283</v>
      </c>
      <c r="CS198" s="78">
        <f>1-WWWW[[#This Row],[% people access to functioning Latrine]]</f>
        <v>1</v>
      </c>
      <c r="CT198" s="560">
        <f>IF(OR(WWWW[[#This Row],['#_Non-functional latrines]]="",WWWW[[#This Row],['#_Non-functional latrines]]=0),0,WWWW[[#This Row],['#_Non-functional latrines]]/(WWWW[[#This Row],['#_Constructed latrines_by_WASHAgencies]]+WWWW[[#This Row],['#_Non Cluster partner latrines]]))</f>
        <v>0</v>
      </c>
      <c r="CU198" s="556">
        <f>IF(500*(WWWW[[#This Row],['#_male hygiene promoters]]+WWWW[[#This Row],['#_female hygiene promoters]])&gt;WWWW[[#This Row],[Total PoP ]],WWWW[[#This Row],[Total PoP ]],500*(WWWW[[#This Row],['#_male hygiene promoters]]+WWWW[[#This Row],['#_female hygiene promoters]]))</f>
        <v>1698</v>
      </c>
      <c r="CV19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8" s="558">
        <f>IF(WWWW[[#This Row],['# People with access to soap]]&gt;WWWW[[#This Row],['# People with access to Sanity Pads]],WWWW[[#This Row],['# People with access to soap]],WWWW[[#This Row],['# People with access to Sanity Pads]])</f>
        <v>0</v>
      </c>
      <c r="CY198" s="558">
        <f>IF(WWWW[[#This Row],['# people reached by regular dedicated hygiene promotion_5]]&gt;WWWW[[#This Row],['# People received regular supply of hygiene items_6]],WWWW[[#This Row],['# people reached by regular dedicated hygiene promotion_5]],WWWW[[#This Row],['# People received regular supply of hygiene items_6]])</f>
        <v>1698</v>
      </c>
      <c r="CZ198" s="561">
        <f>IF(WWWW[[#This Row],[HRP3]]/WWWW[[#This Row],[Total PoP ]]&gt;100%,100%,WWWW[[#This Row],[HRP3]]/WWWW[[#This Row],[Total PoP ]])</f>
        <v>1</v>
      </c>
      <c r="DA198" s="560">
        <f>1-WWWW[[#This Row],[Hygiene Coverage%]]</f>
        <v>0</v>
      </c>
      <c r="DB198" s="559">
        <f>WWWW[[#This Row],['# people reached by regular dedicated hygiene promotion_5]]/WWWW[[#This Row],[Total PoP ]]</f>
        <v>1</v>
      </c>
      <c r="DC198" s="559">
        <f>IF(WWWW[[#This Row],['#_households that received standard amount of soap for this quarter]]/WWWW[[#This Row],[Total HH]]&gt;1,1,WWWW[[#This Row],['#_households that received standard amount of soap for this quarter]]/WWWW[[#This Row],[Total HH]])</f>
        <v>0</v>
      </c>
      <c r="DD198" s="559">
        <f>IF(WWWW[[#This Row],['#_households that received standard amount of sanitary pads for this quarter]]/WWWW[[#This Row],[Total HH]]&gt;1,1,WWWW[[#This Row],['#_households that received standard amount of sanitary pads for this quarter]]/WWWW[[#This Row],[Total HH]])</f>
        <v>0</v>
      </c>
      <c r="DE198" s="558">
        <f>WWWW[[#This Row],['#_Constructed/Existing hand washing stations]]-WWWW[[#This Row],['#_Non-Functional_hand_washing_stations]]</f>
        <v>0</v>
      </c>
      <c r="DF198" s="757">
        <f>IF(WWWW[[#This Row],['# Functional hand washing stations during reporting period]]*20&gt;WWWW[[#This Row],[Total HH]],WWWW[[#This Row],[Total HH]],WWWW[[#This Row],['# Functional hand washing stations during reporting period]]*20)</f>
        <v>0</v>
      </c>
      <c r="DG198" s="556">
        <f>IF(WWWW[[#This Row],[Is sufficient soap available for TLS? (Yes/No)]]="yes",WWWW[[#This Row],['#_Constructed/Existing hand washing stations at TLS]],0)</f>
        <v>0</v>
      </c>
      <c r="DH198" s="556">
        <f>IF(WWWW[[#This Row],['# Functional hand washing stations during reporting period]]*100&gt;WWWW[[#This Row],[Total PoP ]],WWWW[[#This Row],[Total PoP ]],WWWW[[#This Row],['# Functional hand washing stations during reporting period]]*100)</f>
        <v>0</v>
      </c>
      <c r="DI198" s="556" t="str">
        <f>IF(OR(WWWW[[#This Row],['#_students at TLS_CFS]]="",WWWW[[#This Row],['#_students at TLS_CFS]]=0),"No","Yes")</f>
        <v>No</v>
      </c>
      <c r="DJ198" s="554">
        <f>VLOOKUP(WWWW[[#This Row],[Site Name]],SiteDB6[[Site Name]:[CCCM Management]],6,FALSE)</f>
        <v>0</v>
      </c>
      <c r="DK198" s="554">
        <f>VLOOKUP(WWWW[[#This Row],[Site Name]],SiteDB6[[Site Name]:[CCCM Focal Agency]],7,FALSE)</f>
        <v>0</v>
      </c>
      <c r="DL198" s="554" t="str">
        <f>VLOOKUP(WWWW[[#This Row],[Site Name]],SiteDB6[[Site Name]:[Location Type 1]],9,FALSE)</f>
        <v>Village</v>
      </c>
      <c r="DM198" s="554" t="str">
        <f>VLOOKUP(WWWW[[#This Row],[Site Name]],SiteDB6[[Site Name]:[Type of Accommodation]],10,FALSE)</f>
        <v>Village</v>
      </c>
      <c r="DN198" s="554" t="str">
        <f>VLOOKUP(WWWW[[#This Row],[Site Name]],SiteDB6[[Site Name]:[Ethnic or GCA/NGCA]],11,FALSE)</f>
        <v>Muslim</v>
      </c>
      <c r="DO198" s="554">
        <f>VLOOKUP(WWWW[[#This Row],[Site Name]],SiteDB6[[Site Name]:[Lat]],12,FALSE)</f>
        <v>0</v>
      </c>
      <c r="DP198" s="554">
        <f>VLOOKUP(WWWW[[#This Row],[Site Name]],SiteDB6[[Site Name]:[Long]],13,FALSE)</f>
        <v>0</v>
      </c>
      <c r="DQ198" s="554">
        <f>VLOOKUP(WWWW[[#This Row],[Site Name]],SiteDB6[[Site Name]:[Pcode]],3,FALSE)</f>
        <v>197968</v>
      </c>
      <c r="DR198" s="563" t="str">
        <f t="shared" si="7"/>
        <v>Covered</v>
      </c>
      <c r="DS198" s="563"/>
    </row>
    <row r="199" spans="1:123">
      <c r="A199" s="552" t="s">
        <v>2518</v>
      </c>
      <c r="B199" s="552" t="s">
        <v>2795</v>
      </c>
      <c r="C199" s="555" t="s">
        <v>387</v>
      </c>
      <c r="D199" s="555" t="s">
        <v>2796</v>
      </c>
      <c r="E199" s="574" t="s">
        <v>3005</v>
      </c>
      <c r="F199" s="555" t="s">
        <v>323</v>
      </c>
      <c r="G199" s="574" t="str">
        <f>VLOOKUP(WWWW[[#This Row],[Site Name]],SiteDB6[[Site Name]:[Location Type]],8,FALSE)</f>
        <v>Village</v>
      </c>
      <c r="H199" s="555" t="s">
        <v>2817</v>
      </c>
      <c r="I199" s="557">
        <v>145</v>
      </c>
      <c r="J199" s="557">
        <v>702</v>
      </c>
      <c r="K199" s="564">
        <v>43480</v>
      </c>
      <c r="L199" s="565">
        <v>43723</v>
      </c>
      <c r="M199" s="557"/>
      <c r="N199" s="557"/>
      <c r="O199" s="557"/>
      <c r="P199" s="557"/>
      <c r="Q199" s="556"/>
      <c r="R199" s="557"/>
      <c r="S199" s="557"/>
      <c r="T199" s="557"/>
      <c r="U199" s="557"/>
      <c r="V199" s="557"/>
      <c r="W199" s="557"/>
      <c r="X199" s="557"/>
      <c r="Y199" s="557"/>
      <c r="Z199" s="557"/>
      <c r="AA199" s="557"/>
      <c r="AB199" s="557"/>
      <c r="AC199" s="557"/>
      <c r="AD199" s="557"/>
      <c r="AE199" s="557"/>
      <c r="AF199" s="557"/>
      <c r="AG199" s="557"/>
      <c r="AH199" s="557"/>
      <c r="AI199" s="557"/>
      <c r="AJ199" s="557"/>
      <c r="AK199" s="557"/>
      <c r="AL199" s="557"/>
      <c r="AM199" s="557"/>
      <c r="AN199" s="557"/>
      <c r="AO199" s="563"/>
      <c r="AP199" s="557"/>
      <c r="AQ199" s="557"/>
      <c r="AR199" s="559"/>
      <c r="AS199" s="557"/>
      <c r="AT199" s="557"/>
      <c r="AU199" s="557"/>
      <c r="AV199" s="557"/>
      <c r="AW199" s="557"/>
      <c r="AX199" s="554"/>
      <c r="AY199" s="563"/>
      <c r="AZ199" s="557"/>
      <c r="BA199" s="557"/>
      <c r="BB199" s="557"/>
      <c r="BC199" s="554"/>
      <c r="BD199" s="557"/>
      <c r="BE199" s="557"/>
      <c r="BF199" s="557"/>
      <c r="BG199" s="557"/>
      <c r="BH199" s="557"/>
      <c r="BI199" s="557">
        <v>145</v>
      </c>
      <c r="BJ199" s="557">
        <v>145</v>
      </c>
      <c r="BK199" s="557"/>
      <c r="BL199" s="557"/>
      <c r="BM199" s="554"/>
      <c r="BN199" s="558"/>
      <c r="BO199" s="559"/>
      <c r="BP199" s="554"/>
      <c r="BQ199" s="560" t="str">
        <f>IFERROR(WWWW[[#This Row],['#_Water sources treated]]/WWWW[[#This Row],['#_Water sources tested for contamination]],"no test")</f>
        <v>no test</v>
      </c>
      <c r="BR199" s="559" t="str">
        <f>IFERROR(WWWW[[#This Row],['#_Household received remediation action due to contamination]]/WWWW[[#This Row],['#_Household water samples tested for contamination]],"no test")</f>
        <v>no test</v>
      </c>
      <c r="BS199" s="558" t="str">
        <f>IF(AND(WWWW[[#This Row],[% of water sources treated]]="no test",WWWW[[#This Row],[% Household received corrective actions]]="no test"),"No Test","Tested")</f>
        <v>No Test</v>
      </c>
      <c r="BT199" s="558">
        <f>WWWW[[#This Row],['#_Constructed/existing protected hand dug well]]-WWWW[[#This Row],['#_Non-functional protected hand dug well]]</f>
        <v>0</v>
      </c>
      <c r="BU199" s="558">
        <f>(WWWW[[#This Row],['#_Constructed/Existing tube wells/boreholes/handpumps_WASH_agency]]+WWWW[[#This Row],['#_Non-Cluster partner water tube-wells/boreholes/handpumps]])-WWWW[[#This Row],['#_Non-functional tube wells/boreholes/handpumps]]</f>
        <v>0</v>
      </c>
      <c r="BV199" s="558">
        <f>WWWW[[#This Row],['#_Constructed/Existingwater storage tank with gravity fed reticulation system]]-WWWW[[#This Row],['#_Non-functional storage tank gravity fed reticulation system]]</f>
        <v>0</v>
      </c>
      <c r="BW199" s="558">
        <f>WWWW[[#This Row],['#_Water boating or water trucking]]</f>
        <v>0</v>
      </c>
      <c r="BX199" s="558">
        <f>WWWW[[#This Row],['#_Constructed/Existing water distribution system from river or natural spring]]</f>
        <v>0</v>
      </c>
      <c r="BY19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19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199" s="559">
        <f>IF(WWWW[[#This Row],[Location Type 1]]="Village",WWWW[[#This Row],[Access to safe drinking water for Village]],WWWW[[#This Row],[Access to safe drinking water for Camp]])</f>
        <v>0</v>
      </c>
      <c r="CB199" s="556">
        <f>WWWW[[#This Row],[%Equitable and continuous access to sufficient quantity of safe drinking water]]*WWWW[[#This Row],[Total PoP ]]</f>
        <v>0</v>
      </c>
      <c r="CC199" s="559">
        <f>IF((WWWW[[#This Row],['#_Constructed/Existing protected/fenced ponds]]*250)/WWWW[[#This Row],[Total PoP ]]&gt;1,1,(WWWW[[#This Row],['#_Constructed/Existing protected/fenced ponds]]*250)/WWWW[[#This Row],[Total PoP ]])</f>
        <v>0</v>
      </c>
      <c r="CD199" s="556">
        <f>WWWW[[#This Row],[% Access to unimproved water points]]*WWWW[[#This Row],[Total PoP ]]</f>
        <v>0</v>
      </c>
      <c r="CE19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19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199" s="556">
        <f>WWWW[[#This Row],[HRP1]]/500</f>
        <v>0</v>
      </c>
      <c r="CH199" s="561">
        <f>1-WWWW[[#This Row],[% Equitable and continuous access to sufficient quantity of domestic water]]</f>
        <v>1</v>
      </c>
      <c r="CI199" s="556">
        <f>WWWW[[#This Row],[%equitable and continuous access to sufficient quantity of safe drinking and domestic water''s GAP]]*WWWW[[#This Row],[Total PoP ]]</f>
        <v>702</v>
      </c>
      <c r="CJ199" s="558">
        <f>IF(WWWW[[#This Row],[Total required water points]]-WWWW[[#This Row],['#Water points coverage]]&lt;0,0,WWWW[[#This Row],[Total required water points]]-WWWW[[#This Row],['#Water points coverage]])</f>
        <v>1</v>
      </c>
      <c r="CK199" s="558">
        <f>ROUND(IF(WWWW[[#This Row],[Total PoP ]]&lt;500,1,WWWW[[#This Row],[Total PoP ]]/500),0)</f>
        <v>1</v>
      </c>
      <c r="CL199" s="558">
        <f>(WWWW[[#This Row],['#_Constructed latrines_by_WASHAgencies]]+WWWW[[#This Row],['#_Non Cluster partner latrines]])-WWWW[[#This Row],['#_Non-functional latrines]]</f>
        <v>0</v>
      </c>
      <c r="CM19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19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19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199" s="558" t="str">
        <f>IF(WWWW[[#This Row],[Location Type 1]]="Village","NA",IF(WWWW[[#This Row],['#_Constructed/Existing latrines in TLS]]*50&gt;WWWW[[#This Row],['#_students at TLS_CFS]],WWWW[[#This Row],['#_students at TLS_CFS]],(WWWW[[#This Row],['#_Constructed/Existing latrines in TLS]]*50)))</f>
        <v>NA</v>
      </c>
      <c r="CQ199" s="558">
        <f>ROUND(IF(WWWW[[#This Row],[Location Type 1]]="camp",WWWW[[#This Row],[Total PoP ]]/20,IF(WWWW[[#This Row],[Location Type 1]]="Temporary Location",WWWW[[#This Row],[Total PoP ]]/50,(WWWW[[#This Row],[Total PoP ]]/6))),0)</f>
        <v>117</v>
      </c>
      <c r="CR199" s="558">
        <f>IF(WWWW[[#This Row],[Total required Latrines]]-(WWWW[[#This Row],['#_Constructed latrines_by_WASHAgencies]]+WWWW[[#This Row],['#_Non Cluster partner latrines]])&lt;0,0,WWWW[[#This Row],[Total required Latrines]]-(WWWW[[#This Row],['#_Constructed latrines_by_WASHAgencies]]+WWWW[[#This Row],['#_Non Cluster partner latrines]]))</f>
        <v>117</v>
      </c>
      <c r="CS199" s="78">
        <f>1-WWWW[[#This Row],[% people access to functioning Latrine]]</f>
        <v>1</v>
      </c>
      <c r="CT199" s="560">
        <f>IF(OR(WWWW[[#This Row],['#_Non-functional latrines]]="",WWWW[[#This Row],['#_Non-functional latrines]]=0),0,WWWW[[#This Row],['#_Non-functional latrines]]/(WWWW[[#This Row],['#_Constructed latrines_by_WASHAgencies]]+WWWW[[#This Row],['#_Non Cluster partner latrines]]))</f>
        <v>0</v>
      </c>
      <c r="CU199" s="556">
        <f>IF(500*(WWWW[[#This Row],['#_male hygiene promoters]]+WWWW[[#This Row],['#_female hygiene promoters]])&gt;WWWW[[#This Row],[Total PoP ]],WWWW[[#This Row],[Total PoP ]],500*(WWWW[[#This Row],['#_male hygiene promoters]]+WWWW[[#This Row],['#_female hygiene promoters]]))</f>
        <v>702</v>
      </c>
      <c r="CV19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19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199" s="558">
        <f>IF(WWWW[[#This Row],['# People with access to soap]]&gt;WWWW[[#This Row],['# People with access to Sanity Pads]],WWWW[[#This Row],['# People with access to soap]],WWWW[[#This Row],['# People with access to Sanity Pads]])</f>
        <v>0</v>
      </c>
      <c r="CY199" s="558">
        <f>IF(WWWW[[#This Row],['# people reached by regular dedicated hygiene promotion_5]]&gt;WWWW[[#This Row],['# People received regular supply of hygiene items_6]],WWWW[[#This Row],['# people reached by regular dedicated hygiene promotion_5]],WWWW[[#This Row],['# People received regular supply of hygiene items_6]])</f>
        <v>702</v>
      </c>
      <c r="CZ199" s="561">
        <f>IF(WWWW[[#This Row],[HRP3]]/WWWW[[#This Row],[Total PoP ]]&gt;100%,100%,WWWW[[#This Row],[HRP3]]/WWWW[[#This Row],[Total PoP ]])</f>
        <v>1</v>
      </c>
      <c r="DA199" s="560">
        <f>1-WWWW[[#This Row],[Hygiene Coverage%]]</f>
        <v>0</v>
      </c>
      <c r="DB199" s="559">
        <f>WWWW[[#This Row],['# people reached by regular dedicated hygiene promotion_5]]/WWWW[[#This Row],[Total PoP ]]</f>
        <v>1</v>
      </c>
      <c r="DC199" s="559">
        <f>IF(WWWW[[#This Row],['#_households that received standard amount of soap for this quarter]]/WWWW[[#This Row],[Total HH]]&gt;1,1,WWWW[[#This Row],['#_households that received standard amount of soap for this quarter]]/WWWW[[#This Row],[Total HH]])</f>
        <v>0</v>
      </c>
      <c r="DD199" s="559">
        <f>IF(WWWW[[#This Row],['#_households that received standard amount of sanitary pads for this quarter]]/WWWW[[#This Row],[Total HH]]&gt;1,1,WWWW[[#This Row],['#_households that received standard amount of sanitary pads for this quarter]]/WWWW[[#This Row],[Total HH]])</f>
        <v>0</v>
      </c>
      <c r="DE199" s="558">
        <f>WWWW[[#This Row],['#_Constructed/Existing hand washing stations]]-WWWW[[#This Row],['#_Non-Functional_hand_washing_stations]]</f>
        <v>0</v>
      </c>
      <c r="DF199" s="757">
        <f>IF(WWWW[[#This Row],['# Functional hand washing stations during reporting period]]*20&gt;WWWW[[#This Row],[Total HH]],WWWW[[#This Row],[Total HH]],WWWW[[#This Row],['# Functional hand washing stations during reporting period]]*20)</f>
        <v>0</v>
      </c>
      <c r="DG199" s="556">
        <f>IF(WWWW[[#This Row],[Is sufficient soap available for TLS? (Yes/No)]]="yes",WWWW[[#This Row],['#_Constructed/Existing hand washing stations at TLS]],0)</f>
        <v>0</v>
      </c>
      <c r="DH199" s="556">
        <f>IF(WWWW[[#This Row],['# Functional hand washing stations during reporting period]]*100&gt;WWWW[[#This Row],[Total PoP ]],WWWW[[#This Row],[Total PoP ]],WWWW[[#This Row],['# Functional hand washing stations during reporting period]]*100)</f>
        <v>0</v>
      </c>
      <c r="DI199" s="556" t="str">
        <f>IF(OR(WWWW[[#This Row],['#_students at TLS_CFS]]="",WWWW[[#This Row],['#_students at TLS_CFS]]=0),"No","Yes")</f>
        <v>No</v>
      </c>
      <c r="DJ199" s="554">
        <f>VLOOKUP(WWWW[[#This Row],[Site Name]],SiteDB6[[Site Name]:[CCCM Management]],6,FALSE)</f>
        <v>0</v>
      </c>
      <c r="DK199" s="554">
        <f>VLOOKUP(WWWW[[#This Row],[Site Name]],SiteDB6[[Site Name]:[CCCM Focal Agency]],7,FALSE)</f>
        <v>0</v>
      </c>
      <c r="DL199" s="554" t="str">
        <f>VLOOKUP(WWWW[[#This Row],[Site Name]],SiteDB6[[Site Name]:[Location Type 1]],9,FALSE)</f>
        <v>Village</v>
      </c>
      <c r="DM199" s="554" t="str">
        <f>VLOOKUP(WWWW[[#This Row],[Site Name]],SiteDB6[[Site Name]:[Type of Accommodation]],10,FALSE)</f>
        <v>Village</v>
      </c>
      <c r="DN199" s="554" t="str">
        <f>VLOOKUP(WWWW[[#This Row],[Site Name]],SiteDB6[[Site Name]:[Ethnic or GCA/NGCA]],11,FALSE)</f>
        <v>Muslim</v>
      </c>
      <c r="DO199" s="554">
        <f>VLOOKUP(WWWW[[#This Row],[Site Name]],SiteDB6[[Site Name]:[Lat]],12,FALSE)</f>
        <v>0</v>
      </c>
      <c r="DP199" s="554">
        <f>VLOOKUP(WWWW[[#This Row],[Site Name]],SiteDB6[[Site Name]:[Long]],13,FALSE)</f>
        <v>0</v>
      </c>
      <c r="DQ199" s="554">
        <f>VLOOKUP(WWWW[[#This Row],[Site Name]],SiteDB6[[Site Name]:[Pcode]],3,FALSE)</f>
        <v>0</v>
      </c>
      <c r="DR199" s="563" t="str">
        <f t="shared" si="7"/>
        <v>Covered</v>
      </c>
      <c r="DS199" s="563"/>
    </row>
    <row r="200" spans="1:123">
      <c r="A200" s="552" t="s">
        <v>2518</v>
      </c>
      <c r="B200" s="552" t="s">
        <v>2795</v>
      </c>
      <c r="C200" s="555" t="s">
        <v>387</v>
      </c>
      <c r="D200" s="555" t="s">
        <v>2796</v>
      </c>
      <c r="E200" s="574" t="s">
        <v>3005</v>
      </c>
      <c r="F200" s="555" t="s">
        <v>323</v>
      </c>
      <c r="G200" s="574" t="str">
        <f>VLOOKUP(WWWW[[#This Row],[Site Name]],SiteDB6[[Site Name]:[Location Type]],8,FALSE)</f>
        <v>Village</v>
      </c>
      <c r="H200" s="555" t="s">
        <v>385</v>
      </c>
      <c r="I200" s="557">
        <v>376</v>
      </c>
      <c r="J200" s="557">
        <v>2392</v>
      </c>
      <c r="K200" s="564">
        <v>43480</v>
      </c>
      <c r="L200" s="565">
        <v>43723</v>
      </c>
      <c r="M200" s="557"/>
      <c r="N200" s="557"/>
      <c r="O200" s="557"/>
      <c r="P200" s="557"/>
      <c r="Q200" s="556"/>
      <c r="R200" s="557"/>
      <c r="S200" s="557"/>
      <c r="T200" s="557"/>
      <c r="U200" s="557"/>
      <c r="V200" s="557"/>
      <c r="W200" s="557"/>
      <c r="X200" s="557"/>
      <c r="Y200" s="557"/>
      <c r="Z200" s="557"/>
      <c r="AA200" s="557"/>
      <c r="AB200" s="557"/>
      <c r="AC200" s="557"/>
      <c r="AD200" s="557"/>
      <c r="AE200" s="557"/>
      <c r="AF200" s="557"/>
      <c r="AG200" s="557"/>
      <c r="AH200" s="557"/>
      <c r="AI200" s="557"/>
      <c r="AJ200" s="557"/>
      <c r="AK200" s="557"/>
      <c r="AL200" s="557"/>
      <c r="AM200" s="557"/>
      <c r="AN200" s="557"/>
      <c r="AO200" s="563"/>
      <c r="AP200" s="557"/>
      <c r="AQ200" s="557"/>
      <c r="AR200" s="559"/>
      <c r="AS200" s="557"/>
      <c r="AT200" s="557"/>
      <c r="AU200" s="557"/>
      <c r="AV200" s="557"/>
      <c r="AW200" s="557"/>
      <c r="AX200" s="554"/>
      <c r="AY200" s="563"/>
      <c r="AZ200" s="557"/>
      <c r="BA200" s="557"/>
      <c r="BB200" s="557"/>
      <c r="BC200" s="554"/>
      <c r="BD200" s="557"/>
      <c r="BE200" s="557"/>
      <c r="BF200" s="557"/>
      <c r="BG200" s="557"/>
      <c r="BH200" s="557"/>
      <c r="BI200" s="557">
        <v>376</v>
      </c>
      <c r="BJ200" s="557">
        <v>376</v>
      </c>
      <c r="BK200" s="557"/>
      <c r="BL200" s="557"/>
      <c r="BM200" s="554"/>
      <c r="BN200" s="558"/>
      <c r="BO200" s="559"/>
      <c r="BP200" s="554"/>
      <c r="BQ200" s="560" t="str">
        <f>IFERROR(WWWW[[#This Row],['#_Water sources treated]]/WWWW[[#This Row],['#_Water sources tested for contamination]],"no test")</f>
        <v>no test</v>
      </c>
      <c r="BR200" s="559" t="str">
        <f>IFERROR(WWWW[[#This Row],['#_Household received remediation action due to contamination]]/WWWW[[#This Row],['#_Household water samples tested for contamination]],"no test")</f>
        <v>no test</v>
      </c>
      <c r="BS200" s="558" t="str">
        <f>IF(AND(WWWW[[#This Row],[% of water sources treated]]="no test",WWWW[[#This Row],[% Household received corrective actions]]="no test"),"No Test","Tested")</f>
        <v>No Test</v>
      </c>
      <c r="BT200" s="558">
        <f>WWWW[[#This Row],['#_Constructed/existing protected hand dug well]]-WWWW[[#This Row],['#_Non-functional protected hand dug well]]</f>
        <v>0</v>
      </c>
      <c r="BU200" s="558">
        <f>(WWWW[[#This Row],['#_Constructed/Existing tube wells/boreholes/handpumps_WASH_agency]]+WWWW[[#This Row],['#_Non-Cluster partner water tube-wells/boreholes/handpumps]])-WWWW[[#This Row],['#_Non-functional tube wells/boreholes/handpumps]]</f>
        <v>0</v>
      </c>
      <c r="BV200" s="558">
        <f>WWWW[[#This Row],['#_Constructed/Existingwater storage tank with gravity fed reticulation system]]-WWWW[[#This Row],['#_Non-functional storage tank gravity fed reticulation system]]</f>
        <v>0</v>
      </c>
      <c r="BW200" s="558">
        <f>WWWW[[#This Row],['#_Water boating or water trucking]]</f>
        <v>0</v>
      </c>
      <c r="BX200" s="558">
        <f>WWWW[[#This Row],['#_Constructed/Existing water distribution system from river or natural spring]]</f>
        <v>0</v>
      </c>
      <c r="BY20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0" s="559">
        <f>IF(WWWW[[#This Row],[Location Type 1]]="Village",WWWW[[#This Row],[Access to safe drinking water for Village]],WWWW[[#This Row],[Access to safe drinking water for Camp]])</f>
        <v>0</v>
      </c>
      <c r="CB200" s="556">
        <f>WWWW[[#This Row],[%Equitable and continuous access to sufficient quantity of safe drinking water]]*WWWW[[#This Row],[Total PoP ]]</f>
        <v>0</v>
      </c>
      <c r="CC200" s="559">
        <f>IF((WWWW[[#This Row],['#_Constructed/Existing protected/fenced ponds]]*250)/WWWW[[#This Row],[Total PoP ]]&gt;1,1,(WWWW[[#This Row],['#_Constructed/Existing protected/fenced ponds]]*250)/WWWW[[#This Row],[Total PoP ]])</f>
        <v>0</v>
      </c>
      <c r="CD200" s="556">
        <f>WWWW[[#This Row],[% Access to unimproved water points]]*WWWW[[#This Row],[Total PoP ]]</f>
        <v>0</v>
      </c>
      <c r="CE20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0" s="556">
        <f>WWWW[[#This Row],[HRP1]]/500</f>
        <v>0</v>
      </c>
      <c r="CH200" s="561">
        <f>1-WWWW[[#This Row],[% Equitable and continuous access to sufficient quantity of domestic water]]</f>
        <v>1</v>
      </c>
      <c r="CI200" s="556">
        <f>WWWW[[#This Row],[%equitable and continuous access to sufficient quantity of safe drinking and domestic water''s GAP]]*WWWW[[#This Row],[Total PoP ]]</f>
        <v>2392</v>
      </c>
      <c r="CJ200" s="558">
        <f>IF(WWWW[[#This Row],[Total required water points]]-WWWW[[#This Row],['#Water points coverage]]&lt;0,0,WWWW[[#This Row],[Total required water points]]-WWWW[[#This Row],['#Water points coverage]])</f>
        <v>5</v>
      </c>
      <c r="CK200" s="558">
        <f>ROUND(IF(WWWW[[#This Row],[Total PoP ]]&lt;500,1,WWWW[[#This Row],[Total PoP ]]/500),0)</f>
        <v>5</v>
      </c>
      <c r="CL200" s="558">
        <f>(WWWW[[#This Row],['#_Constructed latrines_by_WASHAgencies]]+WWWW[[#This Row],['#_Non Cluster partner latrines]])-WWWW[[#This Row],['#_Non-functional latrines]]</f>
        <v>0</v>
      </c>
      <c r="CM20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0" s="558" t="str">
        <f>IF(WWWW[[#This Row],[Location Type 1]]="Village","NA",IF(WWWW[[#This Row],['#_Constructed/Existing latrines in TLS]]*50&gt;WWWW[[#This Row],['#_students at TLS_CFS]],WWWW[[#This Row],['#_students at TLS_CFS]],(WWWW[[#This Row],['#_Constructed/Existing latrines in TLS]]*50)))</f>
        <v>NA</v>
      </c>
      <c r="CQ200" s="558">
        <f>ROUND(IF(WWWW[[#This Row],[Location Type 1]]="camp",WWWW[[#This Row],[Total PoP ]]/20,IF(WWWW[[#This Row],[Location Type 1]]="Temporary Location",WWWW[[#This Row],[Total PoP ]]/50,(WWWW[[#This Row],[Total PoP ]]/6))),0)</f>
        <v>399</v>
      </c>
      <c r="CR200" s="558">
        <f>IF(WWWW[[#This Row],[Total required Latrines]]-(WWWW[[#This Row],['#_Constructed latrines_by_WASHAgencies]]+WWWW[[#This Row],['#_Non Cluster partner latrines]])&lt;0,0,WWWW[[#This Row],[Total required Latrines]]-(WWWW[[#This Row],['#_Constructed latrines_by_WASHAgencies]]+WWWW[[#This Row],['#_Non Cluster partner latrines]]))</f>
        <v>399</v>
      </c>
      <c r="CS200" s="78">
        <f>1-WWWW[[#This Row],[% people access to functioning Latrine]]</f>
        <v>1</v>
      </c>
      <c r="CT200" s="560">
        <f>IF(OR(WWWW[[#This Row],['#_Non-functional latrines]]="",WWWW[[#This Row],['#_Non-functional latrines]]=0),0,WWWW[[#This Row],['#_Non-functional latrines]]/(WWWW[[#This Row],['#_Constructed latrines_by_WASHAgencies]]+WWWW[[#This Row],['#_Non Cluster partner latrines]]))</f>
        <v>0</v>
      </c>
      <c r="CU200" s="556">
        <f>IF(500*(WWWW[[#This Row],['#_male hygiene promoters]]+WWWW[[#This Row],['#_female hygiene promoters]])&gt;WWWW[[#This Row],[Total PoP ]],WWWW[[#This Row],[Total PoP ]],500*(WWWW[[#This Row],['#_male hygiene promoters]]+WWWW[[#This Row],['#_female hygiene promoters]]))</f>
        <v>2392</v>
      </c>
      <c r="CV20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0" s="558">
        <f>IF(WWWW[[#This Row],['# People with access to soap]]&gt;WWWW[[#This Row],['# People with access to Sanity Pads]],WWWW[[#This Row],['# People with access to soap]],WWWW[[#This Row],['# People with access to Sanity Pads]])</f>
        <v>0</v>
      </c>
      <c r="CY200" s="558">
        <f>IF(WWWW[[#This Row],['# people reached by regular dedicated hygiene promotion_5]]&gt;WWWW[[#This Row],['# People received regular supply of hygiene items_6]],WWWW[[#This Row],['# people reached by regular dedicated hygiene promotion_5]],WWWW[[#This Row],['# People received regular supply of hygiene items_6]])</f>
        <v>2392</v>
      </c>
      <c r="CZ200" s="561">
        <f>IF(WWWW[[#This Row],[HRP3]]/WWWW[[#This Row],[Total PoP ]]&gt;100%,100%,WWWW[[#This Row],[HRP3]]/WWWW[[#This Row],[Total PoP ]])</f>
        <v>1</v>
      </c>
      <c r="DA200" s="560">
        <f>1-WWWW[[#This Row],[Hygiene Coverage%]]</f>
        <v>0</v>
      </c>
      <c r="DB200" s="559">
        <f>WWWW[[#This Row],['# people reached by regular dedicated hygiene promotion_5]]/WWWW[[#This Row],[Total PoP ]]</f>
        <v>1</v>
      </c>
      <c r="DC200" s="559">
        <f>IF(WWWW[[#This Row],['#_households that received standard amount of soap for this quarter]]/WWWW[[#This Row],[Total HH]]&gt;1,1,WWWW[[#This Row],['#_households that received standard amount of soap for this quarter]]/WWWW[[#This Row],[Total HH]])</f>
        <v>0</v>
      </c>
      <c r="DD200" s="559">
        <f>IF(WWWW[[#This Row],['#_households that received standard amount of sanitary pads for this quarter]]/WWWW[[#This Row],[Total HH]]&gt;1,1,WWWW[[#This Row],['#_households that received standard amount of sanitary pads for this quarter]]/WWWW[[#This Row],[Total HH]])</f>
        <v>0</v>
      </c>
      <c r="DE200" s="558">
        <f>WWWW[[#This Row],['#_Constructed/Existing hand washing stations]]-WWWW[[#This Row],['#_Non-Functional_hand_washing_stations]]</f>
        <v>0</v>
      </c>
      <c r="DF200" s="757">
        <f>IF(WWWW[[#This Row],['# Functional hand washing stations during reporting period]]*20&gt;WWWW[[#This Row],[Total HH]],WWWW[[#This Row],[Total HH]],WWWW[[#This Row],['# Functional hand washing stations during reporting period]]*20)</f>
        <v>0</v>
      </c>
      <c r="DG200" s="556">
        <f>IF(WWWW[[#This Row],[Is sufficient soap available for TLS? (Yes/No)]]="yes",WWWW[[#This Row],['#_Constructed/Existing hand washing stations at TLS]],0)</f>
        <v>0</v>
      </c>
      <c r="DH200" s="556">
        <f>IF(WWWW[[#This Row],['# Functional hand washing stations during reporting period]]*100&gt;WWWW[[#This Row],[Total PoP ]],WWWW[[#This Row],[Total PoP ]],WWWW[[#This Row],['# Functional hand washing stations during reporting period]]*100)</f>
        <v>0</v>
      </c>
      <c r="DI200" s="556" t="str">
        <f>IF(OR(WWWW[[#This Row],['#_students at TLS_CFS]]="",WWWW[[#This Row],['#_students at TLS_CFS]]=0),"No","Yes")</f>
        <v>No</v>
      </c>
      <c r="DJ200" s="554" t="str">
        <f>VLOOKUP(WWWW[[#This Row],[Site Name]],SiteDB6[[Site Name]:[CCCM Management]],6,FALSE)</f>
        <v>Yes</v>
      </c>
      <c r="DK200" s="554">
        <f>VLOOKUP(WWWW[[#This Row],[Site Name]],SiteDB6[[Site Name]:[CCCM Focal Agency]],7,FALSE)</f>
        <v>0</v>
      </c>
      <c r="DL200" s="554" t="str">
        <f>VLOOKUP(WWWW[[#This Row],[Site Name]],SiteDB6[[Site Name]:[Location Type 1]],9,FALSE)</f>
        <v>Village</v>
      </c>
      <c r="DM200" s="554" t="str">
        <f>VLOOKUP(WWWW[[#This Row],[Site Name]],SiteDB6[[Site Name]:[Type of Accommodation]],10,FALSE)</f>
        <v>Relocated</v>
      </c>
      <c r="DN200" s="554" t="str">
        <f>VLOOKUP(WWWW[[#This Row],[Site Name]],SiteDB6[[Site Name]:[Ethnic or GCA/NGCA]],11,FALSE)</f>
        <v>Rakhine</v>
      </c>
      <c r="DO200" s="554">
        <f>VLOOKUP(WWWW[[#This Row],[Site Name]],SiteDB6[[Site Name]:[Lat]],12,FALSE)</f>
        <v>19.421102000000001</v>
      </c>
      <c r="DP200" s="554">
        <f>VLOOKUP(WWWW[[#This Row],[Site Name]],SiteDB6[[Site Name]:[Long]],13,FALSE)</f>
        <v>93.552452000000002</v>
      </c>
      <c r="DQ200" s="554" t="str">
        <f>VLOOKUP(WWWW[[#This Row],[Site Name]],SiteDB6[[Site Name]:[Pcode]],3,FALSE)</f>
        <v>MMR012CMP036</v>
      </c>
      <c r="DR200" s="563" t="str">
        <f t="shared" si="7"/>
        <v>Covered</v>
      </c>
      <c r="DS200" s="563"/>
    </row>
    <row r="201" spans="1:123">
      <c r="A201" s="552" t="s">
        <v>2518</v>
      </c>
      <c r="B201" s="552" t="s">
        <v>2795</v>
      </c>
      <c r="C201" s="555" t="s">
        <v>387</v>
      </c>
      <c r="D201" s="555" t="s">
        <v>2796</v>
      </c>
      <c r="E201" s="574" t="s">
        <v>3005</v>
      </c>
      <c r="F201" s="555" t="s">
        <v>323</v>
      </c>
      <c r="G201" s="574" t="str">
        <f>VLOOKUP(WWWW[[#This Row],[Site Name]],SiteDB6[[Site Name]:[Location Type]],8,FALSE)</f>
        <v>Village</v>
      </c>
      <c r="H201" s="555" t="s">
        <v>562</v>
      </c>
      <c r="I201" s="557">
        <v>181</v>
      </c>
      <c r="J201" s="557">
        <v>1089</v>
      </c>
      <c r="K201" s="564">
        <v>43480</v>
      </c>
      <c r="L201" s="565">
        <v>43723</v>
      </c>
      <c r="M201" s="557"/>
      <c r="N201" s="557"/>
      <c r="O201" s="557"/>
      <c r="P201" s="557"/>
      <c r="Q201" s="556"/>
      <c r="R201" s="557"/>
      <c r="S201" s="557"/>
      <c r="T201" s="557"/>
      <c r="U201" s="557"/>
      <c r="V201" s="557"/>
      <c r="W201" s="557"/>
      <c r="X201" s="557"/>
      <c r="Y201" s="557"/>
      <c r="Z201" s="557"/>
      <c r="AA201" s="557"/>
      <c r="AB201" s="557"/>
      <c r="AC201" s="557"/>
      <c r="AD201" s="557"/>
      <c r="AE201" s="557"/>
      <c r="AF201" s="557"/>
      <c r="AG201" s="557"/>
      <c r="AH201" s="557"/>
      <c r="AI201" s="557"/>
      <c r="AJ201" s="557"/>
      <c r="AK201" s="557"/>
      <c r="AL201" s="557"/>
      <c r="AM201" s="557"/>
      <c r="AN201" s="557"/>
      <c r="AO201" s="563"/>
      <c r="AP201" s="557"/>
      <c r="AQ201" s="557"/>
      <c r="AR201" s="559"/>
      <c r="AS201" s="557"/>
      <c r="AT201" s="557"/>
      <c r="AU201" s="557"/>
      <c r="AV201" s="557"/>
      <c r="AW201" s="557"/>
      <c r="AX201" s="554"/>
      <c r="AY201" s="563"/>
      <c r="AZ201" s="557"/>
      <c r="BA201" s="557"/>
      <c r="BB201" s="557"/>
      <c r="BC201" s="554"/>
      <c r="BD201" s="557"/>
      <c r="BE201" s="557"/>
      <c r="BF201" s="557"/>
      <c r="BG201" s="557"/>
      <c r="BH201" s="557"/>
      <c r="BI201" s="557">
        <v>181</v>
      </c>
      <c r="BJ201" s="557">
        <v>181</v>
      </c>
      <c r="BK201" s="557"/>
      <c r="BL201" s="557"/>
      <c r="BM201" s="554"/>
      <c r="BN201" s="558"/>
      <c r="BO201" s="559"/>
      <c r="BP201" s="554"/>
      <c r="BQ201" s="560" t="str">
        <f>IFERROR(WWWW[[#This Row],['#_Water sources treated]]/WWWW[[#This Row],['#_Water sources tested for contamination]],"no test")</f>
        <v>no test</v>
      </c>
      <c r="BR201" s="559" t="str">
        <f>IFERROR(WWWW[[#This Row],['#_Household received remediation action due to contamination]]/WWWW[[#This Row],['#_Household water samples tested for contamination]],"no test")</f>
        <v>no test</v>
      </c>
      <c r="BS201" s="558" t="str">
        <f>IF(AND(WWWW[[#This Row],[% of water sources treated]]="no test",WWWW[[#This Row],[% Household received corrective actions]]="no test"),"No Test","Tested")</f>
        <v>No Test</v>
      </c>
      <c r="BT201" s="558">
        <f>WWWW[[#This Row],['#_Constructed/existing protected hand dug well]]-WWWW[[#This Row],['#_Non-functional protected hand dug well]]</f>
        <v>0</v>
      </c>
      <c r="BU201" s="558">
        <f>(WWWW[[#This Row],['#_Constructed/Existing tube wells/boreholes/handpumps_WASH_agency]]+WWWW[[#This Row],['#_Non-Cluster partner water tube-wells/boreholes/handpumps]])-WWWW[[#This Row],['#_Non-functional tube wells/boreholes/handpumps]]</f>
        <v>0</v>
      </c>
      <c r="BV201" s="558">
        <f>WWWW[[#This Row],['#_Constructed/Existingwater storage tank with gravity fed reticulation system]]-WWWW[[#This Row],['#_Non-functional storage tank gravity fed reticulation system]]</f>
        <v>0</v>
      </c>
      <c r="BW201" s="558">
        <f>WWWW[[#This Row],['#_Water boating or water trucking]]</f>
        <v>0</v>
      </c>
      <c r="BX201" s="558">
        <f>WWWW[[#This Row],['#_Constructed/Existing water distribution system from river or natural spring]]</f>
        <v>0</v>
      </c>
      <c r="BY20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1" s="559">
        <f>IF(WWWW[[#This Row],[Location Type 1]]="Village",WWWW[[#This Row],[Access to safe drinking water for Village]],WWWW[[#This Row],[Access to safe drinking water for Camp]])</f>
        <v>0</v>
      </c>
      <c r="CB201" s="556">
        <f>WWWW[[#This Row],[%Equitable and continuous access to sufficient quantity of safe drinking water]]*WWWW[[#This Row],[Total PoP ]]</f>
        <v>0</v>
      </c>
      <c r="CC201" s="559">
        <f>IF((WWWW[[#This Row],['#_Constructed/Existing protected/fenced ponds]]*250)/WWWW[[#This Row],[Total PoP ]]&gt;1,1,(WWWW[[#This Row],['#_Constructed/Existing protected/fenced ponds]]*250)/WWWW[[#This Row],[Total PoP ]])</f>
        <v>0</v>
      </c>
      <c r="CD201" s="556">
        <f>WWWW[[#This Row],[% Access to unimproved water points]]*WWWW[[#This Row],[Total PoP ]]</f>
        <v>0</v>
      </c>
      <c r="CE20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1" s="556">
        <f>WWWW[[#This Row],[HRP1]]/500</f>
        <v>0</v>
      </c>
      <c r="CH201" s="561">
        <f>1-WWWW[[#This Row],[% Equitable and continuous access to sufficient quantity of domestic water]]</f>
        <v>1</v>
      </c>
      <c r="CI201" s="556">
        <f>WWWW[[#This Row],[%equitable and continuous access to sufficient quantity of safe drinking and domestic water''s GAP]]*WWWW[[#This Row],[Total PoP ]]</f>
        <v>1089</v>
      </c>
      <c r="CJ201" s="558">
        <f>IF(WWWW[[#This Row],[Total required water points]]-WWWW[[#This Row],['#Water points coverage]]&lt;0,0,WWWW[[#This Row],[Total required water points]]-WWWW[[#This Row],['#Water points coverage]])</f>
        <v>2</v>
      </c>
      <c r="CK201" s="558">
        <f>ROUND(IF(WWWW[[#This Row],[Total PoP ]]&lt;500,1,WWWW[[#This Row],[Total PoP ]]/500),0)</f>
        <v>2</v>
      </c>
      <c r="CL201" s="558">
        <f>(WWWW[[#This Row],['#_Constructed latrines_by_WASHAgencies]]+WWWW[[#This Row],['#_Non Cluster partner latrines]])-WWWW[[#This Row],['#_Non-functional latrines]]</f>
        <v>0</v>
      </c>
      <c r="CM20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1" s="558" t="str">
        <f>IF(WWWW[[#This Row],[Location Type 1]]="Village","NA",IF(WWWW[[#This Row],['#_Constructed/Existing latrines in TLS]]*50&gt;WWWW[[#This Row],['#_students at TLS_CFS]],WWWW[[#This Row],['#_students at TLS_CFS]],(WWWW[[#This Row],['#_Constructed/Existing latrines in TLS]]*50)))</f>
        <v>NA</v>
      </c>
      <c r="CQ201" s="558">
        <f>ROUND(IF(WWWW[[#This Row],[Location Type 1]]="camp",WWWW[[#This Row],[Total PoP ]]/20,IF(WWWW[[#This Row],[Location Type 1]]="Temporary Location",WWWW[[#This Row],[Total PoP ]]/50,(WWWW[[#This Row],[Total PoP ]]/6))),0)</f>
        <v>182</v>
      </c>
      <c r="CR201" s="558">
        <f>IF(WWWW[[#This Row],[Total required Latrines]]-(WWWW[[#This Row],['#_Constructed latrines_by_WASHAgencies]]+WWWW[[#This Row],['#_Non Cluster partner latrines]])&lt;0,0,WWWW[[#This Row],[Total required Latrines]]-(WWWW[[#This Row],['#_Constructed latrines_by_WASHAgencies]]+WWWW[[#This Row],['#_Non Cluster partner latrines]]))</f>
        <v>182</v>
      </c>
      <c r="CS201" s="78">
        <f>1-WWWW[[#This Row],[% people access to functioning Latrine]]</f>
        <v>1</v>
      </c>
      <c r="CT201" s="560">
        <f>IF(OR(WWWW[[#This Row],['#_Non-functional latrines]]="",WWWW[[#This Row],['#_Non-functional latrines]]=0),0,WWWW[[#This Row],['#_Non-functional latrines]]/(WWWW[[#This Row],['#_Constructed latrines_by_WASHAgencies]]+WWWW[[#This Row],['#_Non Cluster partner latrines]]))</f>
        <v>0</v>
      </c>
      <c r="CU201" s="556">
        <f>IF(500*(WWWW[[#This Row],['#_male hygiene promoters]]+WWWW[[#This Row],['#_female hygiene promoters]])&gt;WWWW[[#This Row],[Total PoP ]],WWWW[[#This Row],[Total PoP ]],500*(WWWW[[#This Row],['#_male hygiene promoters]]+WWWW[[#This Row],['#_female hygiene promoters]]))</f>
        <v>1089</v>
      </c>
      <c r="CV20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1" s="558">
        <f>IF(WWWW[[#This Row],['# People with access to soap]]&gt;WWWW[[#This Row],['# People with access to Sanity Pads]],WWWW[[#This Row],['# People with access to soap]],WWWW[[#This Row],['# People with access to Sanity Pads]])</f>
        <v>0</v>
      </c>
      <c r="CY201" s="558">
        <f>IF(WWWW[[#This Row],['# people reached by regular dedicated hygiene promotion_5]]&gt;WWWW[[#This Row],['# People received regular supply of hygiene items_6]],WWWW[[#This Row],['# people reached by regular dedicated hygiene promotion_5]],WWWW[[#This Row],['# People received regular supply of hygiene items_6]])</f>
        <v>1089</v>
      </c>
      <c r="CZ201" s="561">
        <f>IF(WWWW[[#This Row],[HRP3]]/WWWW[[#This Row],[Total PoP ]]&gt;100%,100%,WWWW[[#This Row],[HRP3]]/WWWW[[#This Row],[Total PoP ]])</f>
        <v>1</v>
      </c>
      <c r="DA201" s="560">
        <f>1-WWWW[[#This Row],[Hygiene Coverage%]]</f>
        <v>0</v>
      </c>
      <c r="DB201" s="559">
        <f>WWWW[[#This Row],['# people reached by regular dedicated hygiene promotion_5]]/WWWW[[#This Row],[Total PoP ]]</f>
        <v>1</v>
      </c>
      <c r="DC201" s="559">
        <f>IF(WWWW[[#This Row],['#_households that received standard amount of soap for this quarter]]/WWWW[[#This Row],[Total HH]]&gt;1,1,WWWW[[#This Row],['#_households that received standard amount of soap for this quarter]]/WWWW[[#This Row],[Total HH]])</f>
        <v>0</v>
      </c>
      <c r="DD201" s="559">
        <f>IF(WWWW[[#This Row],['#_households that received standard amount of sanitary pads for this quarter]]/WWWW[[#This Row],[Total HH]]&gt;1,1,WWWW[[#This Row],['#_households that received standard amount of sanitary pads for this quarter]]/WWWW[[#This Row],[Total HH]])</f>
        <v>0</v>
      </c>
      <c r="DE201" s="558">
        <f>WWWW[[#This Row],['#_Constructed/Existing hand washing stations]]-WWWW[[#This Row],['#_Non-Functional_hand_washing_stations]]</f>
        <v>0</v>
      </c>
      <c r="DF201" s="757">
        <f>IF(WWWW[[#This Row],['# Functional hand washing stations during reporting period]]*20&gt;WWWW[[#This Row],[Total HH]],WWWW[[#This Row],[Total HH]],WWWW[[#This Row],['# Functional hand washing stations during reporting period]]*20)</f>
        <v>0</v>
      </c>
      <c r="DG201" s="556">
        <f>IF(WWWW[[#This Row],[Is sufficient soap available for TLS? (Yes/No)]]="yes",WWWW[[#This Row],['#_Constructed/Existing hand washing stations at TLS]],0)</f>
        <v>0</v>
      </c>
      <c r="DH201" s="556">
        <f>IF(WWWW[[#This Row],['# Functional hand washing stations during reporting period]]*100&gt;WWWW[[#This Row],[Total PoP ]],WWWW[[#This Row],[Total PoP ]],WWWW[[#This Row],['# Functional hand washing stations during reporting period]]*100)</f>
        <v>0</v>
      </c>
      <c r="DI201" s="556" t="str">
        <f>IF(OR(WWWW[[#This Row],['#_students at TLS_CFS]]="",WWWW[[#This Row],['#_students at TLS_CFS]]=0),"No","Yes")</f>
        <v>No</v>
      </c>
      <c r="DJ201" s="554">
        <f>VLOOKUP(WWWW[[#This Row],[Site Name]],SiteDB6[[Site Name]:[CCCM Management]],6,FALSE)</f>
        <v>0</v>
      </c>
      <c r="DK201" s="554">
        <f>VLOOKUP(WWWW[[#This Row],[Site Name]],SiteDB6[[Site Name]:[CCCM Focal Agency]],7,FALSE)</f>
        <v>0</v>
      </c>
      <c r="DL201" s="554" t="str">
        <f>VLOOKUP(WWWW[[#This Row],[Site Name]],SiteDB6[[Site Name]:[Location Type 1]],9,FALSE)</f>
        <v>Village</v>
      </c>
      <c r="DM201" s="554" t="str">
        <f>VLOOKUP(WWWW[[#This Row],[Site Name]],SiteDB6[[Site Name]:[Type of Accommodation]],10,FALSE)</f>
        <v>Village</v>
      </c>
      <c r="DN201" s="554" t="str">
        <f>VLOOKUP(WWWW[[#This Row],[Site Name]],SiteDB6[[Site Name]:[Ethnic or GCA/NGCA]],11,FALSE)</f>
        <v>Rakhine</v>
      </c>
      <c r="DO201" s="554">
        <f>VLOOKUP(WWWW[[#This Row],[Site Name]],SiteDB6[[Site Name]:[Lat]],12,FALSE)</f>
        <v>20.691099170000001</v>
      </c>
      <c r="DP201" s="554">
        <f>VLOOKUP(WWWW[[#This Row],[Site Name]],SiteDB6[[Site Name]:[Long]],13,FALSE)</f>
        <v>92.590652469999995</v>
      </c>
      <c r="DQ201" s="554">
        <f>VLOOKUP(WWWW[[#This Row],[Site Name]],SiteDB6[[Site Name]:[Pcode]],3,FALSE)</f>
        <v>198446</v>
      </c>
      <c r="DR201" s="563" t="str">
        <f t="shared" si="7"/>
        <v>Covered</v>
      </c>
      <c r="DS201" s="563"/>
    </row>
    <row r="202" spans="1:123">
      <c r="A202" s="552" t="s">
        <v>2518</v>
      </c>
      <c r="B202" s="552" t="s">
        <v>2795</v>
      </c>
      <c r="C202" s="555" t="s">
        <v>387</v>
      </c>
      <c r="D202" s="555" t="s">
        <v>2796</v>
      </c>
      <c r="E202" s="574" t="s">
        <v>3005</v>
      </c>
      <c r="F202" s="555" t="s">
        <v>323</v>
      </c>
      <c r="G202" s="574" t="str">
        <f>VLOOKUP(WWWW[[#This Row],[Site Name]],SiteDB6[[Site Name]:[Location Type]],8,FALSE)</f>
        <v>Village</v>
      </c>
      <c r="H202" s="555" t="s">
        <v>1948</v>
      </c>
      <c r="I202" s="557">
        <v>241</v>
      </c>
      <c r="J202" s="557">
        <v>1397</v>
      </c>
      <c r="K202" s="564">
        <v>43480</v>
      </c>
      <c r="L202" s="565">
        <v>43723</v>
      </c>
      <c r="M202" s="557"/>
      <c r="N202" s="557"/>
      <c r="O202" s="557"/>
      <c r="P202" s="557"/>
      <c r="Q202" s="556"/>
      <c r="R202" s="557"/>
      <c r="S202" s="557"/>
      <c r="T202" s="557"/>
      <c r="U202" s="557"/>
      <c r="V202" s="557"/>
      <c r="W202" s="557"/>
      <c r="X202" s="557"/>
      <c r="Y202" s="557"/>
      <c r="Z202" s="557"/>
      <c r="AA202" s="557"/>
      <c r="AB202" s="557"/>
      <c r="AC202" s="557"/>
      <c r="AD202" s="557"/>
      <c r="AE202" s="557"/>
      <c r="AF202" s="557"/>
      <c r="AG202" s="557"/>
      <c r="AH202" s="557"/>
      <c r="AI202" s="557"/>
      <c r="AJ202" s="557"/>
      <c r="AK202" s="557"/>
      <c r="AL202" s="557"/>
      <c r="AM202" s="557"/>
      <c r="AN202" s="557"/>
      <c r="AO202" s="563"/>
      <c r="AP202" s="557"/>
      <c r="AQ202" s="557"/>
      <c r="AR202" s="559"/>
      <c r="AS202" s="557"/>
      <c r="AT202" s="557"/>
      <c r="AU202" s="557"/>
      <c r="AV202" s="557"/>
      <c r="AW202" s="557"/>
      <c r="AX202" s="554"/>
      <c r="AY202" s="563"/>
      <c r="AZ202" s="557"/>
      <c r="BA202" s="557"/>
      <c r="BB202" s="557"/>
      <c r="BC202" s="554"/>
      <c r="BD202" s="557"/>
      <c r="BE202" s="557"/>
      <c r="BF202" s="557"/>
      <c r="BG202" s="557"/>
      <c r="BH202" s="557"/>
      <c r="BI202" s="557">
        <v>241</v>
      </c>
      <c r="BJ202" s="557">
        <v>241</v>
      </c>
      <c r="BK202" s="557"/>
      <c r="BL202" s="557"/>
      <c r="BM202" s="554"/>
      <c r="BN202" s="558"/>
      <c r="BO202" s="559"/>
      <c r="BP202" s="554"/>
      <c r="BQ202" s="560" t="str">
        <f>IFERROR(WWWW[[#This Row],['#_Water sources treated]]/WWWW[[#This Row],['#_Water sources tested for contamination]],"no test")</f>
        <v>no test</v>
      </c>
      <c r="BR202" s="559" t="str">
        <f>IFERROR(WWWW[[#This Row],['#_Household received remediation action due to contamination]]/WWWW[[#This Row],['#_Household water samples tested for contamination]],"no test")</f>
        <v>no test</v>
      </c>
      <c r="BS202" s="558" t="str">
        <f>IF(AND(WWWW[[#This Row],[% of water sources treated]]="no test",WWWW[[#This Row],[% Household received corrective actions]]="no test"),"No Test","Tested")</f>
        <v>No Test</v>
      </c>
      <c r="BT202" s="558">
        <f>WWWW[[#This Row],['#_Constructed/existing protected hand dug well]]-WWWW[[#This Row],['#_Non-functional protected hand dug well]]</f>
        <v>0</v>
      </c>
      <c r="BU202" s="558">
        <f>(WWWW[[#This Row],['#_Constructed/Existing tube wells/boreholes/handpumps_WASH_agency]]+WWWW[[#This Row],['#_Non-Cluster partner water tube-wells/boreholes/handpumps]])-WWWW[[#This Row],['#_Non-functional tube wells/boreholes/handpumps]]</f>
        <v>0</v>
      </c>
      <c r="BV202" s="558">
        <f>WWWW[[#This Row],['#_Constructed/Existingwater storage tank with gravity fed reticulation system]]-WWWW[[#This Row],['#_Non-functional storage tank gravity fed reticulation system]]</f>
        <v>0</v>
      </c>
      <c r="BW202" s="558">
        <f>WWWW[[#This Row],['#_Water boating or water trucking]]</f>
        <v>0</v>
      </c>
      <c r="BX202" s="558">
        <f>WWWW[[#This Row],['#_Constructed/Existing water distribution system from river or natural spring]]</f>
        <v>0</v>
      </c>
      <c r="BY20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2" s="559">
        <f>IF(WWWW[[#This Row],[Location Type 1]]="Village",WWWW[[#This Row],[Access to safe drinking water for Village]],WWWW[[#This Row],[Access to safe drinking water for Camp]])</f>
        <v>0</v>
      </c>
      <c r="CB202" s="556">
        <f>WWWW[[#This Row],[%Equitable and continuous access to sufficient quantity of safe drinking water]]*WWWW[[#This Row],[Total PoP ]]</f>
        <v>0</v>
      </c>
      <c r="CC202" s="559">
        <f>IF((WWWW[[#This Row],['#_Constructed/Existing protected/fenced ponds]]*250)/WWWW[[#This Row],[Total PoP ]]&gt;1,1,(WWWW[[#This Row],['#_Constructed/Existing protected/fenced ponds]]*250)/WWWW[[#This Row],[Total PoP ]])</f>
        <v>0</v>
      </c>
      <c r="CD202" s="556">
        <f>WWWW[[#This Row],[% Access to unimproved water points]]*WWWW[[#This Row],[Total PoP ]]</f>
        <v>0</v>
      </c>
      <c r="CE20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2" s="556">
        <f>WWWW[[#This Row],[HRP1]]/500</f>
        <v>0</v>
      </c>
      <c r="CH202" s="561">
        <f>1-WWWW[[#This Row],[% Equitable and continuous access to sufficient quantity of domestic water]]</f>
        <v>1</v>
      </c>
      <c r="CI202" s="556">
        <f>WWWW[[#This Row],[%equitable and continuous access to sufficient quantity of safe drinking and domestic water''s GAP]]*WWWW[[#This Row],[Total PoP ]]</f>
        <v>1397</v>
      </c>
      <c r="CJ202" s="558">
        <f>IF(WWWW[[#This Row],[Total required water points]]-WWWW[[#This Row],['#Water points coverage]]&lt;0,0,WWWW[[#This Row],[Total required water points]]-WWWW[[#This Row],['#Water points coverage]])</f>
        <v>3</v>
      </c>
      <c r="CK202" s="558">
        <f>ROUND(IF(WWWW[[#This Row],[Total PoP ]]&lt;500,1,WWWW[[#This Row],[Total PoP ]]/500),0)</f>
        <v>3</v>
      </c>
      <c r="CL202" s="558">
        <f>(WWWW[[#This Row],['#_Constructed latrines_by_WASHAgencies]]+WWWW[[#This Row],['#_Non Cluster partner latrines]])-WWWW[[#This Row],['#_Non-functional latrines]]</f>
        <v>0</v>
      </c>
      <c r="CM20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2" s="558" t="str">
        <f>IF(WWWW[[#This Row],[Location Type 1]]="Village","NA",IF(WWWW[[#This Row],['#_Constructed/Existing latrines in TLS]]*50&gt;WWWW[[#This Row],['#_students at TLS_CFS]],WWWW[[#This Row],['#_students at TLS_CFS]],(WWWW[[#This Row],['#_Constructed/Existing latrines in TLS]]*50)))</f>
        <v>NA</v>
      </c>
      <c r="CQ202" s="558">
        <f>ROUND(IF(WWWW[[#This Row],[Location Type 1]]="camp",WWWW[[#This Row],[Total PoP ]]/20,IF(WWWW[[#This Row],[Location Type 1]]="Temporary Location",WWWW[[#This Row],[Total PoP ]]/50,(WWWW[[#This Row],[Total PoP ]]/6))),0)</f>
        <v>233</v>
      </c>
      <c r="CR202" s="558">
        <f>IF(WWWW[[#This Row],[Total required Latrines]]-(WWWW[[#This Row],['#_Constructed latrines_by_WASHAgencies]]+WWWW[[#This Row],['#_Non Cluster partner latrines]])&lt;0,0,WWWW[[#This Row],[Total required Latrines]]-(WWWW[[#This Row],['#_Constructed latrines_by_WASHAgencies]]+WWWW[[#This Row],['#_Non Cluster partner latrines]]))</f>
        <v>233</v>
      </c>
      <c r="CS202" s="78">
        <f>1-WWWW[[#This Row],[% people access to functioning Latrine]]</f>
        <v>1</v>
      </c>
      <c r="CT202" s="560">
        <f>IF(OR(WWWW[[#This Row],['#_Non-functional latrines]]="",WWWW[[#This Row],['#_Non-functional latrines]]=0),0,WWWW[[#This Row],['#_Non-functional latrines]]/(WWWW[[#This Row],['#_Constructed latrines_by_WASHAgencies]]+WWWW[[#This Row],['#_Non Cluster partner latrines]]))</f>
        <v>0</v>
      </c>
      <c r="CU202" s="556">
        <f>IF(500*(WWWW[[#This Row],['#_male hygiene promoters]]+WWWW[[#This Row],['#_female hygiene promoters]])&gt;WWWW[[#This Row],[Total PoP ]],WWWW[[#This Row],[Total PoP ]],500*(WWWW[[#This Row],['#_male hygiene promoters]]+WWWW[[#This Row],['#_female hygiene promoters]]))</f>
        <v>1397</v>
      </c>
      <c r="CV20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2" s="558">
        <f>IF(WWWW[[#This Row],['# People with access to soap]]&gt;WWWW[[#This Row],['# People with access to Sanity Pads]],WWWW[[#This Row],['# People with access to soap]],WWWW[[#This Row],['# People with access to Sanity Pads]])</f>
        <v>0</v>
      </c>
      <c r="CY202" s="558">
        <f>IF(WWWW[[#This Row],['# people reached by regular dedicated hygiene promotion_5]]&gt;WWWW[[#This Row],['# People received regular supply of hygiene items_6]],WWWW[[#This Row],['# people reached by regular dedicated hygiene promotion_5]],WWWW[[#This Row],['# People received regular supply of hygiene items_6]])</f>
        <v>1397</v>
      </c>
      <c r="CZ202" s="561">
        <f>IF(WWWW[[#This Row],[HRP3]]/WWWW[[#This Row],[Total PoP ]]&gt;100%,100%,WWWW[[#This Row],[HRP3]]/WWWW[[#This Row],[Total PoP ]])</f>
        <v>1</v>
      </c>
      <c r="DA202" s="560">
        <f>1-WWWW[[#This Row],[Hygiene Coverage%]]</f>
        <v>0</v>
      </c>
      <c r="DB202" s="559">
        <f>WWWW[[#This Row],['# people reached by regular dedicated hygiene promotion_5]]/WWWW[[#This Row],[Total PoP ]]</f>
        <v>1</v>
      </c>
      <c r="DC202" s="559">
        <f>IF(WWWW[[#This Row],['#_households that received standard amount of soap for this quarter]]/WWWW[[#This Row],[Total HH]]&gt;1,1,WWWW[[#This Row],['#_households that received standard amount of soap for this quarter]]/WWWW[[#This Row],[Total HH]])</f>
        <v>0</v>
      </c>
      <c r="DD202" s="559">
        <f>IF(WWWW[[#This Row],['#_households that received standard amount of sanitary pads for this quarter]]/WWWW[[#This Row],[Total HH]]&gt;1,1,WWWW[[#This Row],['#_households that received standard amount of sanitary pads for this quarter]]/WWWW[[#This Row],[Total HH]])</f>
        <v>0</v>
      </c>
      <c r="DE202" s="558">
        <f>WWWW[[#This Row],['#_Constructed/Existing hand washing stations]]-WWWW[[#This Row],['#_Non-Functional_hand_washing_stations]]</f>
        <v>0</v>
      </c>
      <c r="DF202" s="757">
        <f>IF(WWWW[[#This Row],['# Functional hand washing stations during reporting period]]*20&gt;WWWW[[#This Row],[Total HH]],WWWW[[#This Row],[Total HH]],WWWW[[#This Row],['# Functional hand washing stations during reporting period]]*20)</f>
        <v>0</v>
      </c>
      <c r="DG202" s="556">
        <f>IF(WWWW[[#This Row],[Is sufficient soap available for TLS? (Yes/No)]]="yes",WWWW[[#This Row],['#_Constructed/Existing hand washing stations at TLS]],0)</f>
        <v>0</v>
      </c>
      <c r="DH202" s="556">
        <f>IF(WWWW[[#This Row],['# Functional hand washing stations during reporting period]]*100&gt;WWWW[[#This Row],[Total PoP ]],WWWW[[#This Row],[Total PoP ]],WWWW[[#This Row],['# Functional hand washing stations during reporting period]]*100)</f>
        <v>0</v>
      </c>
      <c r="DI202" s="556" t="str">
        <f>IF(OR(WWWW[[#This Row],['#_students at TLS_CFS]]="",WWWW[[#This Row],['#_students at TLS_CFS]]=0),"No","Yes")</f>
        <v>No</v>
      </c>
      <c r="DJ202" s="554">
        <f>VLOOKUP(WWWW[[#This Row],[Site Name]],SiteDB6[[Site Name]:[CCCM Management]],6,FALSE)</f>
        <v>0</v>
      </c>
      <c r="DK202" s="554">
        <f>VLOOKUP(WWWW[[#This Row],[Site Name]],SiteDB6[[Site Name]:[CCCM Focal Agency]],7,FALSE)</f>
        <v>0</v>
      </c>
      <c r="DL202" s="554" t="str">
        <f>VLOOKUP(WWWW[[#This Row],[Site Name]],SiteDB6[[Site Name]:[Location Type 1]],9,FALSE)</f>
        <v>Village</v>
      </c>
      <c r="DM202" s="554" t="str">
        <f>VLOOKUP(WWWW[[#This Row],[Site Name]],SiteDB6[[Site Name]:[Type of Accommodation]],10,FALSE)</f>
        <v>Village</v>
      </c>
      <c r="DN202" s="554" t="str">
        <f>VLOOKUP(WWWW[[#This Row],[Site Name]],SiteDB6[[Site Name]:[Ethnic or GCA/NGCA]],11,FALSE)</f>
        <v>Muslim</v>
      </c>
      <c r="DO202" s="554">
        <f>VLOOKUP(WWWW[[#This Row],[Site Name]],SiteDB6[[Site Name]:[Lat]],12,FALSE)</f>
        <v>20.872400280000001</v>
      </c>
      <c r="DP202" s="554">
        <f>VLOOKUP(WWWW[[#This Row],[Site Name]],SiteDB6[[Site Name]:[Long]],13,FALSE)</f>
        <v>92.337608340000003</v>
      </c>
      <c r="DQ202" s="554">
        <f>VLOOKUP(WWWW[[#This Row],[Site Name]],SiteDB6[[Site Name]:[Pcode]],3,FALSE)</f>
        <v>197971</v>
      </c>
      <c r="DR202" s="563" t="str">
        <f t="shared" si="7"/>
        <v>Covered</v>
      </c>
      <c r="DS202" s="563"/>
    </row>
    <row r="203" spans="1:123">
      <c r="A203" s="552" t="s">
        <v>2518</v>
      </c>
      <c r="B203" s="552" t="s">
        <v>305</v>
      </c>
      <c r="C203" s="555" t="s">
        <v>305</v>
      </c>
      <c r="D203" s="555" t="s">
        <v>345</v>
      </c>
      <c r="E203" s="574" t="s">
        <v>3006</v>
      </c>
      <c r="F203" s="555" t="s">
        <v>420</v>
      </c>
      <c r="G203" s="574" t="str">
        <f>VLOOKUP(WWWW[[#This Row],[Site Name]],SiteDB6[[Site Name]:[Location Type]],8,FALSE)</f>
        <v>Village</v>
      </c>
      <c r="H203" s="555" t="s">
        <v>3224</v>
      </c>
      <c r="I203" s="557">
        <v>43</v>
      </c>
      <c r="J203" s="557">
        <v>193</v>
      </c>
      <c r="K203" s="564">
        <v>43359</v>
      </c>
      <c r="L203" s="565">
        <v>43830</v>
      </c>
      <c r="M203" s="557"/>
      <c r="N203" s="557"/>
      <c r="O203" s="557"/>
      <c r="P203" s="557"/>
      <c r="Q203" s="556"/>
      <c r="R203" s="557"/>
      <c r="S203" s="557"/>
      <c r="T203" s="557"/>
      <c r="U203" s="557"/>
      <c r="V203" s="557"/>
      <c r="W203" s="557"/>
      <c r="X203" s="557"/>
      <c r="Y203" s="557"/>
      <c r="Z203" s="557"/>
      <c r="AA203" s="557"/>
      <c r="AB203" s="557"/>
      <c r="AC203" s="557"/>
      <c r="AD203" s="557"/>
      <c r="AE203" s="557"/>
      <c r="AF203" s="557"/>
      <c r="AG203" s="557"/>
      <c r="AH203" s="557"/>
      <c r="AI203" s="557"/>
      <c r="AJ203" s="557"/>
      <c r="AK203" s="557"/>
      <c r="AL203" s="557"/>
      <c r="AM203" s="557"/>
      <c r="AN203" s="557"/>
      <c r="AO203" s="563"/>
      <c r="AP203" s="557"/>
      <c r="AQ203" s="557"/>
      <c r="AR203" s="559"/>
      <c r="AS203" s="557"/>
      <c r="AT203" s="557"/>
      <c r="AU203" s="557"/>
      <c r="AV203" s="557"/>
      <c r="AW203" s="557"/>
      <c r="AX203" s="554"/>
      <c r="AY203" s="563"/>
      <c r="AZ203" s="557"/>
      <c r="BA203" s="557"/>
      <c r="BB203" s="557"/>
      <c r="BC203" s="554"/>
      <c r="BD203" s="557"/>
      <c r="BE203" s="557"/>
      <c r="BF203" s="557"/>
      <c r="BG203" s="557"/>
      <c r="BH203" s="557"/>
      <c r="BI203" s="557"/>
      <c r="BJ203" s="557"/>
      <c r="BK203" s="557"/>
      <c r="BL203" s="557"/>
      <c r="BM203" s="554"/>
      <c r="BN203" s="558"/>
      <c r="BO203" s="559"/>
      <c r="BP203" s="554"/>
      <c r="BQ203" s="560" t="str">
        <f>IFERROR(WWWW[[#This Row],['#_Water sources treated]]/WWWW[[#This Row],['#_Water sources tested for contamination]],"no test")</f>
        <v>no test</v>
      </c>
      <c r="BR203" s="559" t="str">
        <f>IFERROR(WWWW[[#This Row],['#_Household received remediation action due to contamination]]/WWWW[[#This Row],['#_Household water samples tested for contamination]],"no test")</f>
        <v>no test</v>
      </c>
      <c r="BS203" s="558" t="str">
        <f>IF(AND(WWWW[[#This Row],[% of water sources treated]]="no test",WWWW[[#This Row],[% Household received corrective actions]]="no test"),"No Test","Tested")</f>
        <v>No Test</v>
      </c>
      <c r="BT203" s="558">
        <f>WWWW[[#This Row],['#_Constructed/existing protected hand dug well]]-WWWW[[#This Row],['#_Non-functional protected hand dug well]]</f>
        <v>0</v>
      </c>
      <c r="BU203" s="558">
        <f>(WWWW[[#This Row],['#_Constructed/Existing tube wells/boreholes/handpumps_WASH_agency]]+WWWW[[#This Row],['#_Non-Cluster partner water tube-wells/boreholes/handpumps]])-WWWW[[#This Row],['#_Non-functional tube wells/boreholes/handpumps]]</f>
        <v>0</v>
      </c>
      <c r="BV203" s="558">
        <f>WWWW[[#This Row],['#_Constructed/Existingwater storage tank with gravity fed reticulation system]]-WWWW[[#This Row],['#_Non-functional storage tank gravity fed reticulation system]]</f>
        <v>0</v>
      </c>
      <c r="BW203" s="558">
        <f>WWWW[[#This Row],['#_Water boating or water trucking]]</f>
        <v>0</v>
      </c>
      <c r="BX203" s="558">
        <f>WWWW[[#This Row],['#_Constructed/Existing water distribution system from river or natural spring]]</f>
        <v>0</v>
      </c>
      <c r="BY20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3" s="559">
        <f>IF(WWWW[[#This Row],[Location Type 1]]="Village",WWWW[[#This Row],[Access to safe drinking water for Village]],WWWW[[#This Row],[Access to safe drinking water for Camp]])</f>
        <v>0</v>
      </c>
      <c r="CB203" s="556">
        <f>WWWW[[#This Row],[%Equitable and continuous access to sufficient quantity of safe drinking water]]*WWWW[[#This Row],[Total PoP ]]</f>
        <v>0</v>
      </c>
      <c r="CC203" s="559">
        <f>IF((WWWW[[#This Row],['#_Constructed/Existing protected/fenced ponds]]*250)/WWWW[[#This Row],[Total PoP ]]&gt;1,1,(WWWW[[#This Row],['#_Constructed/Existing protected/fenced ponds]]*250)/WWWW[[#This Row],[Total PoP ]])</f>
        <v>0</v>
      </c>
      <c r="CD203" s="556">
        <f>WWWW[[#This Row],[% Access to unimproved water points]]*WWWW[[#This Row],[Total PoP ]]</f>
        <v>0</v>
      </c>
      <c r="CE20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3" s="556">
        <f>WWWW[[#This Row],[HRP1]]/500</f>
        <v>0</v>
      </c>
      <c r="CH203" s="561">
        <f>1-WWWW[[#This Row],[% Equitable and continuous access to sufficient quantity of domestic water]]</f>
        <v>1</v>
      </c>
      <c r="CI203" s="556">
        <f>WWWW[[#This Row],[%equitable and continuous access to sufficient quantity of safe drinking and domestic water''s GAP]]*WWWW[[#This Row],[Total PoP ]]</f>
        <v>193</v>
      </c>
      <c r="CJ203" s="558">
        <f>IF(WWWW[[#This Row],[Total required water points]]-WWWW[[#This Row],['#Water points coverage]]&lt;0,0,WWWW[[#This Row],[Total required water points]]-WWWW[[#This Row],['#Water points coverage]])</f>
        <v>1</v>
      </c>
      <c r="CK203" s="558">
        <f>ROUND(IF(WWWW[[#This Row],[Total PoP ]]&lt;500,1,WWWW[[#This Row],[Total PoP ]]/500),0)</f>
        <v>1</v>
      </c>
      <c r="CL203" s="558">
        <f>(WWWW[[#This Row],['#_Constructed latrines_by_WASHAgencies]]+WWWW[[#This Row],['#_Non Cluster partner latrines]])-WWWW[[#This Row],['#_Non-functional latrines]]</f>
        <v>0</v>
      </c>
      <c r="CM20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3" s="558" t="str">
        <f>IF(WWWW[[#This Row],[Location Type 1]]="Village","NA",IF(WWWW[[#This Row],['#_Constructed/Existing latrines in TLS]]*50&gt;WWWW[[#This Row],['#_students at TLS_CFS]],WWWW[[#This Row],['#_students at TLS_CFS]],(WWWW[[#This Row],['#_Constructed/Existing latrines in TLS]]*50)))</f>
        <v>NA</v>
      </c>
      <c r="CQ203" s="558">
        <f>ROUND(IF(WWWW[[#This Row],[Location Type 1]]="camp",WWWW[[#This Row],[Total PoP ]]/20,IF(WWWW[[#This Row],[Location Type 1]]="Temporary Location",WWWW[[#This Row],[Total PoP ]]/50,(WWWW[[#This Row],[Total PoP ]]/6))),0)</f>
        <v>32</v>
      </c>
      <c r="CR203" s="558">
        <f>IF(WWWW[[#This Row],[Total required Latrines]]-(WWWW[[#This Row],['#_Constructed latrines_by_WASHAgencies]]+WWWW[[#This Row],['#_Non Cluster partner latrines]])&lt;0,0,WWWW[[#This Row],[Total required Latrines]]-(WWWW[[#This Row],['#_Constructed latrines_by_WASHAgencies]]+WWWW[[#This Row],['#_Non Cluster partner latrines]]))</f>
        <v>32</v>
      </c>
      <c r="CS203" s="78">
        <f>1-WWWW[[#This Row],[% people access to functioning Latrine]]</f>
        <v>1</v>
      </c>
      <c r="CT203" s="560">
        <f>IF(OR(WWWW[[#This Row],['#_Non-functional latrines]]="",WWWW[[#This Row],['#_Non-functional latrines]]=0),0,WWWW[[#This Row],['#_Non-functional latrines]]/(WWWW[[#This Row],['#_Constructed latrines_by_WASHAgencies]]+WWWW[[#This Row],['#_Non Cluster partner latrines]]))</f>
        <v>0</v>
      </c>
      <c r="CU203" s="556">
        <f>IF(500*(WWWW[[#This Row],['#_male hygiene promoters]]+WWWW[[#This Row],['#_female hygiene promoters]])&gt;WWWW[[#This Row],[Total PoP ]],WWWW[[#This Row],[Total PoP ]],500*(WWWW[[#This Row],['#_male hygiene promoters]]+WWWW[[#This Row],['#_female hygiene promoters]]))</f>
        <v>0</v>
      </c>
      <c r="CV20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3" s="558">
        <f>IF(WWWW[[#This Row],['# People with access to soap]]&gt;WWWW[[#This Row],['# People with access to Sanity Pads]],WWWW[[#This Row],['# People with access to soap]],WWWW[[#This Row],['# People with access to Sanity Pads]])</f>
        <v>0</v>
      </c>
      <c r="CY20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3" s="561">
        <f>IF(WWWW[[#This Row],[HRP3]]/WWWW[[#This Row],[Total PoP ]]&gt;100%,100%,WWWW[[#This Row],[HRP3]]/WWWW[[#This Row],[Total PoP ]])</f>
        <v>0</v>
      </c>
      <c r="DA203" s="560">
        <f>1-WWWW[[#This Row],[Hygiene Coverage%]]</f>
        <v>1</v>
      </c>
      <c r="DB203" s="559">
        <f>WWWW[[#This Row],['# people reached by regular dedicated hygiene promotion_5]]/WWWW[[#This Row],[Total PoP ]]</f>
        <v>0</v>
      </c>
      <c r="DC203" s="559">
        <f>IF(WWWW[[#This Row],['#_households that received standard amount of soap for this quarter]]/WWWW[[#This Row],[Total HH]]&gt;1,1,WWWW[[#This Row],['#_households that received standard amount of soap for this quarter]]/WWWW[[#This Row],[Total HH]])</f>
        <v>0</v>
      </c>
      <c r="DD203" s="559">
        <f>IF(WWWW[[#This Row],['#_households that received standard amount of sanitary pads for this quarter]]/WWWW[[#This Row],[Total HH]]&gt;1,1,WWWW[[#This Row],['#_households that received standard amount of sanitary pads for this quarter]]/WWWW[[#This Row],[Total HH]])</f>
        <v>0</v>
      </c>
      <c r="DE203" s="558">
        <f>WWWW[[#This Row],['#_Constructed/Existing hand washing stations]]-WWWW[[#This Row],['#_Non-Functional_hand_washing_stations]]</f>
        <v>0</v>
      </c>
      <c r="DF203" s="757">
        <f>IF(WWWW[[#This Row],['# Functional hand washing stations during reporting period]]*20&gt;WWWW[[#This Row],[Total HH]],WWWW[[#This Row],[Total HH]],WWWW[[#This Row],['# Functional hand washing stations during reporting period]]*20)</f>
        <v>0</v>
      </c>
      <c r="DG203" s="556">
        <f>IF(WWWW[[#This Row],[Is sufficient soap available for TLS? (Yes/No)]]="yes",WWWW[[#This Row],['#_Constructed/Existing hand washing stations at TLS]],0)</f>
        <v>0</v>
      </c>
      <c r="DH203" s="556">
        <f>IF(WWWW[[#This Row],['# Functional hand washing stations during reporting period]]*100&gt;WWWW[[#This Row],[Total PoP ]],WWWW[[#This Row],[Total PoP ]],WWWW[[#This Row],['# Functional hand washing stations during reporting period]]*100)</f>
        <v>0</v>
      </c>
      <c r="DI203" s="556" t="str">
        <f>IF(OR(WWWW[[#This Row],['#_students at TLS_CFS]]="",WWWW[[#This Row],['#_students at TLS_CFS]]=0),"No","Yes")</f>
        <v>No</v>
      </c>
      <c r="DJ203" s="554">
        <f>VLOOKUP(WWWW[[#This Row],[Site Name]],SiteDB6[[Site Name]:[CCCM Management]],6,FALSE)</f>
        <v>0</v>
      </c>
      <c r="DK203" s="554">
        <f>VLOOKUP(WWWW[[#This Row],[Site Name]],SiteDB6[[Site Name]:[CCCM Focal Agency]],7,FALSE)</f>
        <v>0</v>
      </c>
      <c r="DL203" s="554" t="str">
        <f>VLOOKUP(WWWW[[#This Row],[Site Name]],SiteDB6[[Site Name]:[Location Type 1]],9,FALSE)</f>
        <v>Village</v>
      </c>
      <c r="DM203" s="554" t="str">
        <f>VLOOKUP(WWWW[[#This Row],[Site Name]],SiteDB6[[Site Name]:[Type of Accommodation]],10,FALSE)</f>
        <v>Village</v>
      </c>
      <c r="DN203" s="554">
        <f>VLOOKUP(WWWW[[#This Row],[Site Name]],SiteDB6[[Site Name]:[Ethnic or GCA/NGCA]],11,FALSE)</f>
        <v>0</v>
      </c>
      <c r="DO203" s="554">
        <f>VLOOKUP(WWWW[[#This Row],[Site Name]],SiteDB6[[Site Name]:[Lat]],12,FALSE)</f>
        <v>19.9233303070068</v>
      </c>
      <c r="DP203" s="554">
        <f>VLOOKUP(WWWW[[#This Row],[Site Name]],SiteDB6[[Site Name]:[Long]],13,FALSE)</f>
        <v>93.018592834472699</v>
      </c>
      <c r="DQ203" s="554">
        <f>VLOOKUP(WWWW[[#This Row],[Site Name]],SiteDB6[[Site Name]:[Pcode]],3,FALSE)</f>
        <v>197547</v>
      </c>
      <c r="DR203" s="563" t="str">
        <f t="shared" si="7"/>
        <v>Covered</v>
      </c>
      <c r="DS203" s="563"/>
    </row>
    <row r="204" spans="1:123">
      <c r="A204" s="552" t="s">
        <v>2518</v>
      </c>
      <c r="B204" s="552" t="s">
        <v>305</v>
      </c>
      <c r="C204" s="555" t="s">
        <v>305</v>
      </c>
      <c r="D204" s="555" t="s">
        <v>345</v>
      </c>
      <c r="E204" s="574" t="s">
        <v>3006</v>
      </c>
      <c r="F204" s="555" t="s">
        <v>420</v>
      </c>
      <c r="G204" s="574" t="str">
        <f>VLOOKUP(WWWW[[#This Row],[Site Name]],SiteDB6[[Site Name]:[Location Type]],8,FALSE)</f>
        <v>Village</v>
      </c>
      <c r="H204" s="555" t="s">
        <v>2822</v>
      </c>
      <c r="I204" s="557">
        <v>38</v>
      </c>
      <c r="J204" s="557">
        <v>81</v>
      </c>
      <c r="K204" s="564">
        <v>43359</v>
      </c>
      <c r="L204" s="565">
        <v>43830</v>
      </c>
      <c r="M204" s="557"/>
      <c r="N204" s="557"/>
      <c r="O204" s="557"/>
      <c r="P204" s="557"/>
      <c r="Q204" s="556"/>
      <c r="R204" s="557"/>
      <c r="S204" s="557"/>
      <c r="T204" s="557"/>
      <c r="U204" s="557"/>
      <c r="V204" s="557"/>
      <c r="W204" s="557"/>
      <c r="X204" s="557"/>
      <c r="Y204" s="557"/>
      <c r="Z204" s="557"/>
      <c r="AA204" s="557"/>
      <c r="AB204" s="557"/>
      <c r="AC204" s="557"/>
      <c r="AD204" s="557"/>
      <c r="AE204" s="557"/>
      <c r="AF204" s="557"/>
      <c r="AG204" s="557"/>
      <c r="AH204" s="557"/>
      <c r="AI204" s="557"/>
      <c r="AJ204" s="557"/>
      <c r="AK204" s="557"/>
      <c r="AL204" s="557"/>
      <c r="AM204" s="557"/>
      <c r="AN204" s="557"/>
      <c r="AO204" s="563"/>
      <c r="AP204" s="557"/>
      <c r="AQ204" s="557"/>
      <c r="AR204" s="559"/>
      <c r="AS204" s="557"/>
      <c r="AT204" s="557"/>
      <c r="AU204" s="557"/>
      <c r="AV204" s="557"/>
      <c r="AW204" s="557"/>
      <c r="AX204" s="554"/>
      <c r="AY204" s="563"/>
      <c r="AZ204" s="557"/>
      <c r="BA204" s="557"/>
      <c r="BB204" s="557"/>
      <c r="BC204" s="554"/>
      <c r="BD204" s="557"/>
      <c r="BE204" s="557"/>
      <c r="BF204" s="557"/>
      <c r="BG204" s="557"/>
      <c r="BH204" s="557"/>
      <c r="BI204" s="557"/>
      <c r="BJ204" s="557"/>
      <c r="BK204" s="557"/>
      <c r="BL204" s="557"/>
      <c r="BM204" s="554"/>
      <c r="BN204" s="558"/>
      <c r="BO204" s="559"/>
      <c r="BP204" s="554"/>
      <c r="BQ204" s="560" t="str">
        <f>IFERROR(WWWW[[#This Row],['#_Water sources treated]]/WWWW[[#This Row],['#_Water sources tested for contamination]],"no test")</f>
        <v>no test</v>
      </c>
      <c r="BR204" s="559" t="str">
        <f>IFERROR(WWWW[[#This Row],['#_Household received remediation action due to contamination]]/WWWW[[#This Row],['#_Household water samples tested for contamination]],"no test")</f>
        <v>no test</v>
      </c>
      <c r="BS204" s="558" t="str">
        <f>IF(AND(WWWW[[#This Row],[% of water sources treated]]="no test",WWWW[[#This Row],[% Household received corrective actions]]="no test"),"No Test","Tested")</f>
        <v>No Test</v>
      </c>
      <c r="BT204" s="558">
        <f>WWWW[[#This Row],['#_Constructed/existing protected hand dug well]]-WWWW[[#This Row],['#_Non-functional protected hand dug well]]</f>
        <v>0</v>
      </c>
      <c r="BU204" s="558">
        <f>(WWWW[[#This Row],['#_Constructed/Existing tube wells/boreholes/handpumps_WASH_agency]]+WWWW[[#This Row],['#_Non-Cluster partner water tube-wells/boreholes/handpumps]])-WWWW[[#This Row],['#_Non-functional tube wells/boreholes/handpumps]]</f>
        <v>0</v>
      </c>
      <c r="BV204" s="558">
        <f>WWWW[[#This Row],['#_Constructed/Existingwater storage tank with gravity fed reticulation system]]-WWWW[[#This Row],['#_Non-functional storage tank gravity fed reticulation system]]</f>
        <v>0</v>
      </c>
      <c r="BW204" s="558">
        <f>WWWW[[#This Row],['#_Water boating or water trucking]]</f>
        <v>0</v>
      </c>
      <c r="BX204" s="558">
        <f>WWWW[[#This Row],['#_Constructed/Existing water distribution system from river or natural spring]]</f>
        <v>0</v>
      </c>
      <c r="BY20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4" s="559">
        <f>IF(WWWW[[#This Row],[Location Type 1]]="Village",WWWW[[#This Row],[Access to safe drinking water for Village]],WWWW[[#This Row],[Access to safe drinking water for Camp]])</f>
        <v>0</v>
      </c>
      <c r="CB204" s="556">
        <f>WWWW[[#This Row],[%Equitable and continuous access to sufficient quantity of safe drinking water]]*WWWW[[#This Row],[Total PoP ]]</f>
        <v>0</v>
      </c>
      <c r="CC204" s="559">
        <f>IF((WWWW[[#This Row],['#_Constructed/Existing protected/fenced ponds]]*250)/WWWW[[#This Row],[Total PoP ]]&gt;1,1,(WWWW[[#This Row],['#_Constructed/Existing protected/fenced ponds]]*250)/WWWW[[#This Row],[Total PoP ]])</f>
        <v>0</v>
      </c>
      <c r="CD204" s="556">
        <f>WWWW[[#This Row],[% Access to unimproved water points]]*WWWW[[#This Row],[Total PoP ]]</f>
        <v>0</v>
      </c>
      <c r="CE20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4" s="556">
        <f>WWWW[[#This Row],[HRP1]]/500</f>
        <v>0</v>
      </c>
      <c r="CH204" s="561">
        <f>1-WWWW[[#This Row],[% Equitable and continuous access to sufficient quantity of domestic water]]</f>
        <v>1</v>
      </c>
      <c r="CI204" s="556">
        <f>WWWW[[#This Row],[%equitable and continuous access to sufficient quantity of safe drinking and domestic water''s GAP]]*WWWW[[#This Row],[Total PoP ]]</f>
        <v>81</v>
      </c>
      <c r="CJ204" s="558">
        <f>IF(WWWW[[#This Row],[Total required water points]]-WWWW[[#This Row],['#Water points coverage]]&lt;0,0,WWWW[[#This Row],[Total required water points]]-WWWW[[#This Row],['#Water points coverage]])</f>
        <v>1</v>
      </c>
      <c r="CK204" s="558">
        <f>ROUND(IF(WWWW[[#This Row],[Total PoP ]]&lt;500,1,WWWW[[#This Row],[Total PoP ]]/500),0)</f>
        <v>1</v>
      </c>
      <c r="CL204" s="558">
        <f>(WWWW[[#This Row],['#_Constructed latrines_by_WASHAgencies]]+WWWW[[#This Row],['#_Non Cluster partner latrines]])-WWWW[[#This Row],['#_Non-functional latrines]]</f>
        <v>0</v>
      </c>
      <c r="CM20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4" s="558" t="str">
        <f>IF(WWWW[[#This Row],[Location Type 1]]="Village","NA",IF(WWWW[[#This Row],['#_Constructed/Existing latrines in TLS]]*50&gt;WWWW[[#This Row],['#_students at TLS_CFS]],WWWW[[#This Row],['#_students at TLS_CFS]],(WWWW[[#This Row],['#_Constructed/Existing latrines in TLS]]*50)))</f>
        <v>NA</v>
      </c>
      <c r="CQ204" s="558">
        <f>ROUND(IF(WWWW[[#This Row],[Location Type 1]]="camp",WWWW[[#This Row],[Total PoP ]]/20,IF(WWWW[[#This Row],[Location Type 1]]="Temporary Location",WWWW[[#This Row],[Total PoP ]]/50,(WWWW[[#This Row],[Total PoP ]]/6))),0)</f>
        <v>14</v>
      </c>
      <c r="CR204" s="558">
        <f>IF(WWWW[[#This Row],[Total required Latrines]]-(WWWW[[#This Row],['#_Constructed latrines_by_WASHAgencies]]+WWWW[[#This Row],['#_Non Cluster partner latrines]])&lt;0,0,WWWW[[#This Row],[Total required Latrines]]-(WWWW[[#This Row],['#_Constructed latrines_by_WASHAgencies]]+WWWW[[#This Row],['#_Non Cluster partner latrines]]))</f>
        <v>14</v>
      </c>
      <c r="CS204" s="78">
        <f>1-WWWW[[#This Row],[% people access to functioning Latrine]]</f>
        <v>1</v>
      </c>
      <c r="CT204" s="560">
        <f>IF(OR(WWWW[[#This Row],['#_Non-functional latrines]]="",WWWW[[#This Row],['#_Non-functional latrines]]=0),0,WWWW[[#This Row],['#_Non-functional latrines]]/(WWWW[[#This Row],['#_Constructed latrines_by_WASHAgencies]]+WWWW[[#This Row],['#_Non Cluster partner latrines]]))</f>
        <v>0</v>
      </c>
      <c r="CU204" s="556">
        <f>IF(500*(WWWW[[#This Row],['#_male hygiene promoters]]+WWWW[[#This Row],['#_female hygiene promoters]])&gt;WWWW[[#This Row],[Total PoP ]],WWWW[[#This Row],[Total PoP ]],500*(WWWW[[#This Row],['#_male hygiene promoters]]+WWWW[[#This Row],['#_female hygiene promoters]]))</f>
        <v>0</v>
      </c>
      <c r="CV20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4" s="558">
        <f>IF(WWWW[[#This Row],['# People with access to soap]]&gt;WWWW[[#This Row],['# People with access to Sanity Pads]],WWWW[[#This Row],['# People with access to soap]],WWWW[[#This Row],['# People with access to Sanity Pads]])</f>
        <v>0</v>
      </c>
      <c r="CY20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4" s="561">
        <f>IF(WWWW[[#This Row],[HRP3]]/WWWW[[#This Row],[Total PoP ]]&gt;100%,100%,WWWW[[#This Row],[HRP3]]/WWWW[[#This Row],[Total PoP ]])</f>
        <v>0</v>
      </c>
      <c r="DA204" s="560">
        <f>1-WWWW[[#This Row],[Hygiene Coverage%]]</f>
        <v>1</v>
      </c>
      <c r="DB204" s="559">
        <f>WWWW[[#This Row],['# people reached by regular dedicated hygiene promotion_5]]/WWWW[[#This Row],[Total PoP ]]</f>
        <v>0</v>
      </c>
      <c r="DC204" s="559">
        <f>IF(WWWW[[#This Row],['#_households that received standard amount of soap for this quarter]]/WWWW[[#This Row],[Total HH]]&gt;1,1,WWWW[[#This Row],['#_households that received standard amount of soap for this quarter]]/WWWW[[#This Row],[Total HH]])</f>
        <v>0</v>
      </c>
      <c r="DD204" s="559">
        <f>IF(WWWW[[#This Row],['#_households that received standard amount of sanitary pads for this quarter]]/WWWW[[#This Row],[Total HH]]&gt;1,1,WWWW[[#This Row],['#_households that received standard amount of sanitary pads for this quarter]]/WWWW[[#This Row],[Total HH]])</f>
        <v>0</v>
      </c>
      <c r="DE204" s="558">
        <f>WWWW[[#This Row],['#_Constructed/Existing hand washing stations]]-WWWW[[#This Row],['#_Non-Functional_hand_washing_stations]]</f>
        <v>0</v>
      </c>
      <c r="DF204" s="757">
        <f>IF(WWWW[[#This Row],['# Functional hand washing stations during reporting period]]*20&gt;WWWW[[#This Row],[Total HH]],WWWW[[#This Row],[Total HH]],WWWW[[#This Row],['# Functional hand washing stations during reporting period]]*20)</f>
        <v>0</v>
      </c>
      <c r="DG204" s="556">
        <f>IF(WWWW[[#This Row],[Is sufficient soap available for TLS? (Yes/No)]]="yes",WWWW[[#This Row],['#_Constructed/Existing hand washing stations at TLS]],0)</f>
        <v>0</v>
      </c>
      <c r="DH204" s="556">
        <f>IF(WWWW[[#This Row],['# Functional hand washing stations during reporting period]]*100&gt;WWWW[[#This Row],[Total PoP ]],WWWW[[#This Row],[Total PoP ]],WWWW[[#This Row],['# Functional hand washing stations during reporting period]]*100)</f>
        <v>0</v>
      </c>
      <c r="DI204" s="556" t="str">
        <f>IF(OR(WWWW[[#This Row],['#_students at TLS_CFS]]="",WWWW[[#This Row],['#_students at TLS_CFS]]=0),"No","Yes")</f>
        <v>No</v>
      </c>
      <c r="DJ204" s="554">
        <f>VLOOKUP(WWWW[[#This Row],[Site Name]],SiteDB6[[Site Name]:[CCCM Management]],6,FALSE)</f>
        <v>0</v>
      </c>
      <c r="DK204" s="554">
        <f>VLOOKUP(WWWW[[#This Row],[Site Name]],SiteDB6[[Site Name]:[CCCM Focal Agency]],7,FALSE)</f>
        <v>0</v>
      </c>
      <c r="DL204" s="554" t="str">
        <f>VLOOKUP(WWWW[[#This Row],[Site Name]],SiteDB6[[Site Name]:[Location Type 1]],9,FALSE)</f>
        <v>Village</v>
      </c>
      <c r="DM204" s="554" t="str">
        <f>VLOOKUP(WWWW[[#This Row],[Site Name]],SiteDB6[[Site Name]:[Type of Accommodation]],10,FALSE)</f>
        <v>Village</v>
      </c>
      <c r="DN204" s="554">
        <f>VLOOKUP(WWWW[[#This Row],[Site Name]],SiteDB6[[Site Name]:[Ethnic or GCA/NGCA]],11,FALSE)</f>
        <v>0</v>
      </c>
      <c r="DO204" s="554">
        <f>VLOOKUP(WWWW[[#This Row],[Site Name]],SiteDB6[[Site Name]:[Lat]],12,FALSE)</f>
        <v>20.005199432373001</v>
      </c>
      <c r="DP204" s="554">
        <f>VLOOKUP(WWWW[[#This Row],[Site Name]],SiteDB6[[Site Name]:[Long]],13,FALSE)</f>
        <v>92.948463439941406</v>
      </c>
      <c r="DQ204" s="554">
        <f>VLOOKUP(WWWW[[#This Row],[Site Name]],SiteDB6[[Site Name]:[Pcode]],3,FALSE)</f>
        <v>197565</v>
      </c>
      <c r="DR204" s="563" t="str">
        <f t="shared" si="7"/>
        <v>Covered</v>
      </c>
      <c r="DS204" s="563"/>
    </row>
    <row r="205" spans="1:123">
      <c r="A205" s="552" t="s">
        <v>2518</v>
      </c>
      <c r="B205" s="552" t="s">
        <v>305</v>
      </c>
      <c r="C205" s="555" t="s">
        <v>305</v>
      </c>
      <c r="D205" s="555" t="s">
        <v>252</v>
      </c>
      <c r="E205" s="574" t="s">
        <v>3006</v>
      </c>
      <c r="F205" s="744" t="s">
        <v>420</v>
      </c>
      <c r="G205" s="574" t="str">
        <f>VLOOKUP(WWWW[[#This Row],[Site Name]],SiteDB6[[Site Name]:[Location Type]],8,FALSE)</f>
        <v>Village</v>
      </c>
      <c r="H205" s="555" t="s">
        <v>426</v>
      </c>
      <c r="I205" s="557">
        <v>204</v>
      </c>
      <c r="J205" s="557">
        <v>1055</v>
      </c>
      <c r="K205" s="564">
        <v>43556</v>
      </c>
      <c r="L205" s="565">
        <v>43921</v>
      </c>
      <c r="M205" s="557">
        <v>0</v>
      </c>
      <c r="N205" s="557">
        <v>0</v>
      </c>
      <c r="O205" s="557">
        <v>3</v>
      </c>
      <c r="P205" s="557">
        <v>0</v>
      </c>
      <c r="Q205" s="556" t="s">
        <v>144</v>
      </c>
      <c r="R205" s="557">
        <v>1</v>
      </c>
      <c r="S205" s="557">
        <v>2</v>
      </c>
      <c r="T205" s="557">
        <v>0</v>
      </c>
      <c r="U205" s="557"/>
      <c r="V205" s="557"/>
      <c r="W205" s="557"/>
      <c r="X205" s="557"/>
      <c r="Y205" s="557"/>
      <c r="Z205" s="557"/>
      <c r="AA205" s="557"/>
      <c r="AB205" s="557"/>
      <c r="AC205" s="557"/>
      <c r="AD205" s="557"/>
      <c r="AE205" s="557">
        <v>4</v>
      </c>
      <c r="AF205" s="557"/>
      <c r="AG205" s="557"/>
      <c r="AH205" s="557">
        <v>4</v>
      </c>
      <c r="AI205" s="557">
        <v>4</v>
      </c>
      <c r="AJ205" s="557"/>
      <c r="AK205" s="557">
        <v>109</v>
      </c>
      <c r="AL205" s="557"/>
      <c r="AM205" s="557"/>
      <c r="AN205" s="557"/>
      <c r="AO205" s="563"/>
      <c r="AP205" s="557">
        <v>79</v>
      </c>
      <c r="AQ205" s="557"/>
      <c r="AR205" s="559"/>
      <c r="AS205" s="557"/>
      <c r="AT205" s="557"/>
      <c r="AU205" s="557"/>
      <c r="AV205" s="557"/>
      <c r="AW205" s="557">
        <v>79</v>
      </c>
      <c r="AX205" s="752" t="s">
        <v>43</v>
      </c>
      <c r="AY205" s="782" t="s">
        <v>145</v>
      </c>
      <c r="AZ205" s="557"/>
      <c r="BA205" s="557"/>
      <c r="BB205" s="557"/>
      <c r="BC205" s="554"/>
      <c r="BD205" s="557">
        <v>0</v>
      </c>
      <c r="BE205" s="557"/>
      <c r="BF205" s="557"/>
      <c r="BG205" s="557"/>
      <c r="BH205" s="557"/>
      <c r="BI205" s="557">
        <v>1</v>
      </c>
      <c r="BJ205" s="557">
        <v>2</v>
      </c>
      <c r="BK205" s="557"/>
      <c r="BL205" s="557"/>
      <c r="BM205" s="554"/>
      <c r="BN205" s="558"/>
      <c r="BO205" s="559"/>
      <c r="BP205" s="554"/>
      <c r="BQ205" s="560">
        <f>IFERROR(WWWW[[#This Row],['#_Water sources treated]]/WWWW[[#This Row],['#_Water sources tested for contamination]],"no test")</f>
        <v>0</v>
      </c>
      <c r="BR205" s="559">
        <f>IFERROR(WWWW[[#This Row],['#_Household received remediation action due to contamination]]/WWWW[[#This Row],['#_Household water samples tested for contamination]],"no test")</f>
        <v>0</v>
      </c>
      <c r="BS205" s="558" t="str">
        <f>IF(AND(WWWW[[#This Row],[% of water sources treated]]="no test",WWWW[[#This Row],[% Household received corrective actions]]="no test"),"No Test","Tested")</f>
        <v>Tested</v>
      </c>
      <c r="BT205" s="558">
        <f>WWWW[[#This Row],['#_Constructed/existing protected hand dug well]]-WWWW[[#This Row],['#_Non-functional protected hand dug well]]</f>
        <v>0</v>
      </c>
      <c r="BU205" s="558">
        <f>(WWWW[[#This Row],['#_Constructed/Existing tube wells/boreholes/handpumps_WASH_agency]]+WWWW[[#This Row],['#_Non-Cluster partner water tube-wells/boreholes/handpumps]])-WWWW[[#This Row],['#_Non-functional tube wells/boreholes/handpumps]]</f>
        <v>0</v>
      </c>
      <c r="BV205" s="558">
        <f>WWWW[[#This Row],['#_Constructed/Existingwater storage tank with gravity fed reticulation system]]-WWWW[[#This Row],['#_Non-functional storage tank gravity fed reticulation system]]</f>
        <v>0</v>
      </c>
      <c r="BW205" s="558">
        <f>WWWW[[#This Row],['#_Water boating or water trucking]]</f>
        <v>0</v>
      </c>
      <c r="BX205" s="558">
        <f>WWWW[[#This Row],['#_Constructed/Existing water distribution system from river or natural spring]]</f>
        <v>0</v>
      </c>
      <c r="BY20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5" s="559">
        <f>IF(WWWW[[#This Row],[Location Type 1]]="Village",WWWW[[#This Row],[Access to safe drinking water for Village]],WWWW[[#This Row],[Access to safe drinking water for Camp]])</f>
        <v>0</v>
      </c>
      <c r="CB205" s="556">
        <f>WWWW[[#This Row],[%Equitable and continuous access to sufficient quantity of safe drinking water]]*WWWW[[#This Row],[Total PoP ]]</f>
        <v>0</v>
      </c>
      <c r="CC205" s="559">
        <f>IF((WWWW[[#This Row],['#_Constructed/Existing protected/fenced ponds]]*250)/WWWW[[#This Row],[Total PoP ]]&gt;1,1,(WWWW[[#This Row],['#_Constructed/Existing protected/fenced ponds]]*250)/WWWW[[#This Row],[Total PoP ]])</f>
        <v>0.94786729857819907</v>
      </c>
      <c r="CD205" s="556">
        <f>WWWW[[#This Row],[% Access to unimproved water points]]*WWWW[[#This Row],[Total PoP ]]</f>
        <v>1000</v>
      </c>
      <c r="CE20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0.94786729857819907</v>
      </c>
      <c r="CF20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1000</v>
      </c>
      <c r="CG205" s="556">
        <f>WWWW[[#This Row],[HRP1]]/500</f>
        <v>2</v>
      </c>
      <c r="CH205" s="561">
        <f>1-WWWW[[#This Row],[% Equitable and continuous access to sufficient quantity of domestic water]]</f>
        <v>5.2132701421800931E-2</v>
      </c>
      <c r="CI205" s="556">
        <f>WWWW[[#This Row],[%equitable and continuous access to sufficient quantity of safe drinking and domestic water''s GAP]]*WWWW[[#This Row],[Total PoP ]]</f>
        <v>54.999999999999986</v>
      </c>
      <c r="CJ205" s="558">
        <f>IF(WWWW[[#This Row],[Total required water points]]-WWWW[[#This Row],['#Water points coverage]]&lt;0,0,WWWW[[#This Row],[Total required water points]]-WWWW[[#This Row],['#Water points coverage]])</f>
        <v>0</v>
      </c>
      <c r="CK205" s="558">
        <f>ROUND(IF(WWWW[[#This Row],[Total PoP ]]&lt;500,1,WWWW[[#This Row],[Total PoP ]]/500),0)</f>
        <v>2</v>
      </c>
      <c r="CL205" s="558">
        <f>(WWWW[[#This Row],['#_Constructed latrines_by_WASHAgencies]]+WWWW[[#This Row],['#_Non Cluster partner latrines]])-WWWW[[#This Row],['#_Non-functional latrines]]</f>
        <v>79</v>
      </c>
      <c r="CM20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0.44928909952606633</v>
      </c>
      <c r="CN20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474</v>
      </c>
      <c r="CO20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5" s="558" t="str">
        <f>IF(WWWW[[#This Row],[Location Type 1]]="Village","NA",IF(WWWW[[#This Row],['#_Constructed/Existing latrines in TLS]]*50&gt;WWWW[[#This Row],['#_students at TLS_CFS]],WWWW[[#This Row],['#_students at TLS_CFS]],(WWWW[[#This Row],['#_Constructed/Existing latrines in TLS]]*50)))</f>
        <v>NA</v>
      </c>
      <c r="CQ205" s="558">
        <f>ROUND(IF(WWWW[[#This Row],[Location Type 1]]="camp",WWWW[[#This Row],[Total PoP ]]/20,IF(WWWW[[#This Row],[Location Type 1]]="Temporary Location",WWWW[[#This Row],[Total PoP ]]/50,(WWWW[[#This Row],[Total PoP ]]/6))),0)</f>
        <v>176</v>
      </c>
      <c r="CR205" s="558">
        <f>IF(WWWW[[#This Row],[Total required Latrines]]-(WWWW[[#This Row],['#_Constructed latrines_by_WASHAgencies]]+WWWW[[#This Row],['#_Non Cluster partner latrines]])&lt;0,0,WWWW[[#This Row],[Total required Latrines]]-(WWWW[[#This Row],['#_Constructed latrines_by_WASHAgencies]]+WWWW[[#This Row],['#_Non Cluster partner latrines]]))</f>
        <v>97</v>
      </c>
      <c r="CS205" s="78">
        <f>1-WWWW[[#This Row],[% people access to functioning Latrine]]</f>
        <v>0.55071090047393367</v>
      </c>
      <c r="CT205" s="560">
        <f>IF(OR(WWWW[[#This Row],['#_Non-functional latrines]]="",WWWW[[#This Row],['#_Non-functional latrines]]=0),0,WWWW[[#This Row],['#_Non-functional latrines]]/(WWWW[[#This Row],['#_Constructed latrines_by_WASHAgencies]]+WWWW[[#This Row],['#_Non Cluster partner latrines]]))</f>
        <v>0</v>
      </c>
      <c r="CU205" s="556">
        <f>IF(500*(WWWW[[#This Row],['#_male hygiene promoters]]+WWWW[[#This Row],['#_female hygiene promoters]])&gt;WWWW[[#This Row],[Total PoP ]],WWWW[[#This Row],[Total PoP ]],500*(WWWW[[#This Row],['#_male hygiene promoters]]+WWWW[[#This Row],['#_female hygiene promoters]]))</f>
        <v>1055</v>
      </c>
      <c r="CV20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5" s="558">
        <f>IF(WWWW[[#This Row],['# People with access to soap]]&gt;WWWW[[#This Row],['# People with access to Sanity Pads]],WWWW[[#This Row],['# People with access to soap]],WWWW[[#This Row],['# People with access to Sanity Pads]])</f>
        <v>0</v>
      </c>
      <c r="CY205" s="558">
        <f>IF(WWWW[[#This Row],['# people reached by regular dedicated hygiene promotion_5]]&gt;WWWW[[#This Row],['# People received regular supply of hygiene items_6]],WWWW[[#This Row],['# people reached by regular dedicated hygiene promotion_5]],WWWW[[#This Row],['# People received regular supply of hygiene items_6]])</f>
        <v>1055</v>
      </c>
      <c r="CZ205" s="561">
        <f>IF(WWWW[[#This Row],[HRP3]]/WWWW[[#This Row],[Total PoP ]]&gt;100%,100%,WWWW[[#This Row],[HRP3]]/WWWW[[#This Row],[Total PoP ]])</f>
        <v>1</v>
      </c>
      <c r="DA205" s="560">
        <f>1-WWWW[[#This Row],[Hygiene Coverage%]]</f>
        <v>0</v>
      </c>
      <c r="DB205" s="559">
        <f>WWWW[[#This Row],['# people reached by regular dedicated hygiene promotion_5]]/WWWW[[#This Row],[Total PoP ]]</f>
        <v>1</v>
      </c>
      <c r="DC205" s="559">
        <f>IF(WWWW[[#This Row],['#_households that received standard amount of soap for this quarter]]/WWWW[[#This Row],[Total HH]]&gt;1,1,WWWW[[#This Row],['#_households that received standard amount of soap for this quarter]]/WWWW[[#This Row],[Total HH]])</f>
        <v>0</v>
      </c>
      <c r="DD205" s="559">
        <f>IF(WWWW[[#This Row],['#_households that received standard amount of sanitary pads for this quarter]]/WWWW[[#This Row],[Total HH]]&gt;1,1,WWWW[[#This Row],['#_households that received standard amount of sanitary pads for this quarter]]/WWWW[[#This Row],[Total HH]])</f>
        <v>0</v>
      </c>
      <c r="DE205" s="558">
        <f>WWWW[[#This Row],['#_Constructed/Existing hand washing stations]]-WWWW[[#This Row],['#_Non-Functional_hand_washing_stations]]</f>
        <v>0</v>
      </c>
      <c r="DF205" s="757">
        <f>IF(WWWW[[#This Row],['# Functional hand washing stations during reporting period]]*20&gt;WWWW[[#This Row],[Total HH]],WWWW[[#This Row],[Total HH]],WWWW[[#This Row],['# Functional hand washing stations during reporting period]]*20)</f>
        <v>0</v>
      </c>
      <c r="DG205" s="556">
        <f>IF(WWWW[[#This Row],[Is sufficient soap available for TLS? (Yes/No)]]="yes",WWWW[[#This Row],['#_Constructed/Existing hand washing stations at TLS]],0)</f>
        <v>0</v>
      </c>
      <c r="DH205" s="556">
        <f>IF(WWWW[[#This Row],['# Functional hand washing stations during reporting period]]*100&gt;WWWW[[#This Row],[Total PoP ]],WWWW[[#This Row],[Total PoP ]],WWWW[[#This Row],['# Functional hand washing stations during reporting period]]*100)</f>
        <v>0</v>
      </c>
      <c r="DI205" s="556" t="str">
        <f>IF(OR(WWWW[[#This Row],['#_students at TLS_CFS]]="",WWWW[[#This Row],['#_students at TLS_CFS]]=0),"No","Yes")</f>
        <v>No</v>
      </c>
      <c r="DJ205" s="554">
        <f>VLOOKUP(WWWW[[#This Row],[Site Name]],SiteDB6[[Site Name]:[CCCM Management]],6,FALSE)</f>
        <v>0</v>
      </c>
      <c r="DK205" s="554">
        <f>VLOOKUP(WWWW[[#This Row],[Site Name]],SiteDB6[[Site Name]:[CCCM Focal Agency]],7,FALSE)</f>
        <v>0</v>
      </c>
      <c r="DL205" s="554" t="str">
        <f>VLOOKUP(WWWW[[#This Row],[Site Name]],SiteDB6[[Site Name]:[Location Type 1]],9,FALSE)</f>
        <v>Village</v>
      </c>
      <c r="DM205" s="554" t="str">
        <f>VLOOKUP(WWWW[[#This Row],[Site Name]],SiteDB6[[Site Name]:[Type of Accommodation]],10,FALSE)</f>
        <v>Village</v>
      </c>
      <c r="DN205" s="554" t="str">
        <f>VLOOKUP(WWWW[[#This Row],[Site Name]],SiteDB6[[Site Name]:[Ethnic or GCA/NGCA]],11,FALSE)</f>
        <v>Rakhine</v>
      </c>
      <c r="DO205" s="554">
        <f>VLOOKUP(WWWW[[#This Row],[Site Name]],SiteDB6[[Site Name]:[Lat]],12,FALSE)</f>
        <v>20.0839</v>
      </c>
      <c r="DP205" s="554">
        <f>VLOOKUP(WWWW[[#This Row],[Site Name]],SiteDB6[[Site Name]:[Long]],13,FALSE)</f>
        <v>92.993799999999993</v>
      </c>
      <c r="DQ205" s="554">
        <f>VLOOKUP(WWWW[[#This Row],[Site Name]],SiteDB6[[Site Name]:[Pcode]],3,FALSE)</f>
        <v>197557</v>
      </c>
      <c r="DR205" s="563" t="str">
        <f t="shared" si="7"/>
        <v>Covered</v>
      </c>
      <c r="DS205" s="563"/>
    </row>
    <row r="206" spans="1:123">
      <c r="A206" s="552" t="s">
        <v>2518</v>
      </c>
      <c r="B206" s="552" t="s">
        <v>305</v>
      </c>
      <c r="C206" s="555" t="s">
        <v>305</v>
      </c>
      <c r="D206" s="555" t="s">
        <v>252</v>
      </c>
      <c r="E206" s="574" t="s">
        <v>3006</v>
      </c>
      <c r="F206" s="555" t="s">
        <v>420</v>
      </c>
      <c r="G206" s="574" t="str">
        <f>VLOOKUP(WWWW[[#This Row],[Site Name]],SiteDB6[[Site Name]:[Location Type]],8,FALSE)</f>
        <v>Camp</v>
      </c>
      <c r="H206" s="555" t="s">
        <v>423</v>
      </c>
      <c r="I206" s="557">
        <v>744</v>
      </c>
      <c r="J206" s="557">
        <v>2810</v>
      </c>
      <c r="K206" s="564">
        <v>43556</v>
      </c>
      <c r="L206" s="565">
        <v>43921</v>
      </c>
      <c r="M206" s="557">
        <v>510</v>
      </c>
      <c r="N206" s="557">
        <v>3</v>
      </c>
      <c r="O206" s="557">
        <v>15</v>
      </c>
      <c r="P206" s="557">
        <v>0</v>
      </c>
      <c r="Q206" s="556" t="s">
        <v>43</v>
      </c>
      <c r="R206" s="557">
        <v>13</v>
      </c>
      <c r="S206" s="557">
        <v>5</v>
      </c>
      <c r="T206" s="557">
        <v>25</v>
      </c>
      <c r="U206" s="557"/>
      <c r="V206" s="557">
        <v>25</v>
      </c>
      <c r="W206" s="557">
        <v>10</v>
      </c>
      <c r="X206" s="557"/>
      <c r="Y206" s="557"/>
      <c r="Z206" s="557">
        <v>10</v>
      </c>
      <c r="AA206" s="557">
        <v>2</v>
      </c>
      <c r="AB206" s="557"/>
      <c r="AC206" s="557">
        <v>2</v>
      </c>
      <c r="AD206" s="557"/>
      <c r="AE206" s="557">
        <v>1</v>
      </c>
      <c r="AF206" s="557"/>
      <c r="AG206" s="557"/>
      <c r="AH206" s="557">
        <v>1</v>
      </c>
      <c r="AI206" s="557">
        <v>1</v>
      </c>
      <c r="AJ206" s="557"/>
      <c r="AK206" s="557"/>
      <c r="AL206" s="557"/>
      <c r="AM206" s="557">
        <v>75</v>
      </c>
      <c r="AN206" s="557">
        <v>3</v>
      </c>
      <c r="AO206" s="563"/>
      <c r="AP206" s="557">
        <v>370</v>
      </c>
      <c r="AQ206" s="557"/>
      <c r="AR206" s="559"/>
      <c r="AS206" s="557"/>
      <c r="AT206" s="557">
        <v>370</v>
      </c>
      <c r="AU206" s="557">
        <v>370</v>
      </c>
      <c r="AV206" s="557"/>
      <c r="AW206" s="557">
        <v>370</v>
      </c>
      <c r="AX206" s="752" t="s">
        <v>43</v>
      </c>
      <c r="AY206" s="782" t="s">
        <v>145</v>
      </c>
      <c r="AZ206" s="557">
        <v>4</v>
      </c>
      <c r="BA206" s="557">
        <v>15</v>
      </c>
      <c r="BB206" s="557">
        <v>10</v>
      </c>
      <c r="BC206" s="554"/>
      <c r="BD206" s="557">
        <v>77</v>
      </c>
      <c r="BE206" s="557"/>
      <c r="BF206" s="557">
        <v>660</v>
      </c>
      <c r="BG206" s="557"/>
      <c r="BH206" s="557"/>
      <c r="BI206" s="557">
        <v>4</v>
      </c>
      <c r="BJ206" s="557">
        <v>4</v>
      </c>
      <c r="BK206" s="757">
        <v>744</v>
      </c>
      <c r="BL206" s="757">
        <v>744</v>
      </c>
      <c r="BM206" s="752" t="s">
        <v>43</v>
      </c>
      <c r="BN206" s="558">
        <v>13</v>
      </c>
      <c r="BO206" s="559"/>
      <c r="BP206" s="554"/>
      <c r="BQ206" s="560">
        <f>IFERROR(WWWW[[#This Row],['#_Water sources treated]]/WWWW[[#This Row],['#_Water sources tested for contamination]],"no test")</f>
        <v>0</v>
      </c>
      <c r="BR206" s="559" t="str">
        <f>IFERROR(WWWW[[#This Row],['#_Household received remediation action due to contamination]]/WWWW[[#This Row],['#_Household water samples tested for contamination]],"no test")</f>
        <v>no test</v>
      </c>
      <c r="BS206" s="558" t="str">
        <f>IF(AND(WWWW[[#This Row],[% of water sources treated]]="no test",WWWW[[#This Row],[% Household received corrective actions]]="no test"),"No Test","Tested")</f>
        <v>Tested</v>
      </c>
      <c r="BT206" s="558">
        <f>WWWW[[#This Row],['#_Constructed/existing protected hand dug well]]-WWWW[[#This Row],['#_Non-functional protected hand dug well]]</f>
        <v>25</v>
      </c>
      <c r="BU206" s="558">
        <f>(WWWW[[#This Row],['#_Constructed/Existing tube wells/boreholes/handpumps_WASH_agency]]+WWWW[[#This Row],['#_Non-Cluster partner water tube-wells/boreholes/handpumps]])-WWWW[[#This Row],['#_Non-functional tube wells/boreholes/handpumps]]</f>
        <v>10</v>
      </c>
      <c r="BV206" s="558">
        <f>WWWW[[#This Row],['#_Constructed/Existingwater storage tank with gravity fed reticulation system]]-WWWW[[#This Row],['#_Non-functional storage tank gravity fed reticulation system]]</f>
        <v>2</v>
      </c>
      <c r="BW206" s="558">
        <f>WWWW[[#This Row],['#_Water boating or water trucking]]</f>
        <v>0</v>
      </c>
      <c r="BX206" s="558">
        <f>WWWW[[#This Row],['#_Constructed/Existing water distribution system from river or natural spring]]</f>
        <v>0</v>
      </c>
      <c r="BY20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6" s="559">
        <f>IF(WWWW[[#This Row],[Location Type 1]]="Village",WWWW[[#This Row],[Access to safe drinking water for Village]],WWWW[[#This Row],[Access to safe drinking water for Camp]])</f>
        <v>1</v>
      </c>
      <c r="CB206" s="556">
        <f>WWWW[[#This Row],[%Equitable and continuous access to sufficient quantity of safe drinking water]]*WWWW[[#This Row],[Total PoP ]]</f>
        <v>2810</v>
      </c>
      <c r="CC206" s="559">
        <f>IF((WWWW[[#This Row],['#_Constructed/Existing protected/fenced ponds]]*250)/WWWW[[#This Row],[Total PoP ]]&gt;1,1,(WWWW[[#This Row],['#_Constructed/Existing protected/fenced ponds]]*250)/WWWW[[#This Row],[Total PoP ]])</f>
        <v>8.8967971530249115E-2</v>
      </c>
      <c r="CD206" s="556">
        <f>WWWW[[#This Row],[% Access to unimproved water points]]*WWWW[[#This Row],[Total PoP ]]</f>
        <v>250</v>
      </c>
      <c r="CE20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2810</v>
      </c>
      <c r="CG206" s="556">
        <f>WWWW[[#This Row],[HRP1]]/500</f>
        <v>5.62</v>
      </c>
      <c r="CH206" s="561">
        <f>1-WWWW[[#This Row],[% Equitable and continuous access to sufficient quantity of domestic water]]</f>
        <v>0</v>
      </c>
      <c r="CI206" s="556">
        <f>WWWW[[#This Row],[%equitable and continuous access to sufficient quantity of safe drinking and domestic water''s GAP]]*WWWW[[#This Row],[Total PoP ]]</f>
        <v>0</v>
      </c>
      <c r="CJ206" s="558">
        <f>IF(WWWW[[#This Row],[Total required water points]]-WWWW[[#This Row],['#Water points coverage]]&lt;0,0,WWWW[[#This Row],[Total required water points]]-WWWW[[#This Row],['#Water points coverage]])</f>
        <v>0.37999999999999989</v>
      </c>
      <c r="CK206" s="558">
        <f>ROUND(IF(WWWW[[#This Row],[Total PoP ]]&lt;500,1,WWWW[[#This Row],[Total PoP ]]/500),0)</f>
        <v>6</v>
      </c>
      <c r="CL206" s="558">
        <f>(WWWW[[#This Row],['#_Constructed latrines_by_WASHAgencies]]+WWWW[[#This Row],['#_Non Cluster partner latrines]])-WWWW[[#This Row],['#_Non-functional latrines]]</f>
        <v>370</v>
      </c>
      <c r="CM20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0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2810</v>
      </c>
      <c r="CO206"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2810</v>
      </c>
      <c r="CP206" s="558">
        <f>IF(WWWW[[#This Row],[Location Type 1]]="Village","NA",IF(WWWW[[#This Row],['#_Constructed/Existing latrines in TLS]]*50&gt;WWWW[[#This Row],['#_students at TLS_CFS]],WWWW[[#This Row],['#_students at TLS_CFS]],(WWWW[[#This Row],['#_Constructed/Existing latrines in TLS]]*50)))</f>
        <v>500</v>
      </c>
      <c r="CQ206" s="558">
        <f>ROUND(IF(WWWW[[#This Row],[Location Type 1]]="camp",WWWW[[#This Row],[Total PoP ]]/20,IF(WWWW[[#This Row],[Location Type 1]]="Temporary Location",WWWW[[#This Row],[Total PoP ]]/50,(WWWW[[#This Row],[Total PoP ]]/6))),0)</f>
        <v>141</v>
      </c>
      <c r="CR206" s="558">
        <f>IF(WWWW[[#This Row],[Total required Latrines]]-(WWWW[[#This Row],['#_Constructed latrines_by_WASHAgencies]]+WWWW[[#This Row],['#_Non Cluster partner latrines]])&lt;0,0,WWWW[[#This Row],[Total required Latrines]]-(WWWW[[#This Row],['#_Constructed latrines_by_WASHAgencies]]+WWWW[[#This Row],['#_Non Cluster partner latrines]]))</f>
        <v>0</v>
      </c>
      <c r="CS206" s="78">
        <f>1-WWWW[[#This Row],[% people access to functioning Latrine]]</f>
        <v>0</v>
      </c>
      <c r="CT206" s="560">
        <f>IF(OR(WWWW[[#This Row],['#_Non-functional latrines]]="",WWWW[[#This Row],['#_Non-functional latrines]]=0),0,WWWW[[#This Row],['#_Non-functional latrines]]/(WWWW[[#This Row],['#_Constructed latrines_by_WASHAgencies]]+WWWW[[#This Row],['#_Non Cluster partner latrines]]))</f>
        <v>0</v>
      </c>
      <c r="CU206" s="556">
        <f>IF(500*(WWWW[[#This Row],['#_male hygiene promoters]]+WWWW[[#This Row],['#_female hygiene promoters]])&gt;WWWW[[#This Row],[Total PoP ]],WWWW[[#This Row],[Total PoP ]],500*(WWWW[[#This Row],['#_male hygiene promoters]]+WWWW[[#This Row],['#_female hygiene promoters]]))</f>
        <v>2810</v>
      </c>
      <c r="CV20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2810</v>
      </c>
      <c r="CW20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2810</v>
      </c>
      <c r="CX206" s="558">
        <f>IF(WWWW[[#This Row],['# People with access to soap]]&gt;WWWW[[#This Row],['# People with access to Sanity Pads]],WWWW[[#This Row],['# People with access to soap]],WWWW[[#This Row],['# People with access to Sanity Pads]])</f>
        <v>2810</v>
      </c>
      <c r="CY206" s="558">
        <f>IF(WWWW[[#This Row],['# people reached by regular dedicated hygiene promotion_5]]&gt;WWWW[[#This Row],['# People received regular supply of hygiene items_6]],WWWW[[#This Row],['# people reached by regular dedicated hygiene promotion_5]],WWWW[[#This Row],['# People received regular supply of hygiene items_6]])</f>
        <v>2810</v>
      </c>
      <c r="CZ206" s="561">
        <f>IF(WWWW[[#This Row],[HRP3]]/WWWW[[#This Row],[Total PoP ]]&gt;100%,100%,WWWW[[#This Row],[HRP3]]/WWWW[[#This Row],[Total PoP ]])</f>
        <v>1</v>
      </c>
      <c r="DA206" s="560">
        <f>1-WWWW[[#This Row],[Hygiene Coverage%]]</f>
        <v>0</v>
      </c>
      <c r="DB206" s="559">
        <f>WWWW[[#This Row],['# people reached by regular dedicated hygiene promotion_5]]/WWWW[[#This Row],[Total PoP ]]</f>
        <v>1</v>
      </c>
      <c r="DC206" s="559">
        <f>IF(WWWW[[#This Row],['#_households that received standard amount of soap for this quarter]]/WWWW[[#This Row],[Total HH]]&gt;1,1,WWWW[[#This Row],['#_households that received standard amount of soap for this quarter]]/WWWW[[#This Row],[Total HH]])</f>
        <v>1</v>
      </c>
      <c r="DD206" s="559">
        <f>IF(WWWW[[#This Row],['#_households that received standard amount of sanitary pads for this quarter]]/WWWW[[#This Row],[Total HH]]&gt;1,1,WWWW[[#This Row],['#_households that received standard amount of sanitary pads for this quarter]]/WWWW[[#This Row],[Total HH]])</f>
        <v>1</v>
      </c>
      <c r="DE206" s="558">
        <f>WWWW[[#This Row],['#_Constructed/Existing hand washing stations]]-WWWW[[#This Row],['#_Non-Functional_hand_washing_stations]]</f>
        <v>77</v>
      </c>
      <c r="DF206" s="757">
        <f>IF(WWWW[[#This Row],['# Functional hand washing stations during reporting period]]*20&gt;WWWW[[#This Row],[Total HH]],WWWW[[#This Row],[Total HH]],WWWW[[#This Row],['# Functional hand washing stations during reporting period]]*20)</f>
        <v>744</v>
      </c>
      <c r="DG206" s="556">
        <f>IF(WWWW[[#This Row],[Is sufficient soap available for TLS? (Yes/No)]]="yes",WWWW[[#This Row],['#_Constructed/Existing hand washing stations at TLS]],0)</f>
        <v>75</v>
      </c>
      <c r="DH206" s="556">
        <f>IF(WWWW[[#This Row],['# Functional hand washing stations during reporting period]]*100&gt;WWWW[[#This Row],[Total PoP ]],WWWW[[#This Row],[Total PoP ]],WWWW[[#This Row],['# Functional hand washing stations during reporting period]]*100)</f>
        <v>2810</v>
      </c>
      <c r="DI206" s="556" t="str">
        <f>IF(OR(WWWW[[#This Row],['#_students at TLS_CFS]]="",WWWW[[#This Row],['#_students at TLS_CFS]]=0),"No","Yes")</f>
        <v>Yes</v>
      </c>
      <c r="DJ206" s="554" t="str">
        <f>VLOOKUP(WWWW[[#This Row],[Site Name]],SiteDB6[[Site Name]:[CCCM Management]],6,FALSE)</f>
        <v>Yes</v>
      </c>
      <c r="DK206" s="554">
        <f>VLOOKUP(WWWW[[#This Row],[Site Name]],SiteDB6[[Site Name]:[CCCM Focal Agency]],7,FALSE)</f>
        <v>0</v>
      </c>
      <c r="DL206" s="554" t="str">
        <f>VLOOKUP(WWWW[[#This Row],[Site Name]],SiteDB6[[Site Name]:[Location Type 1]],9,FALSE)</f>
        <v>Camp</v>
      </c>
      <c r="DM206" s="554" t="str">
        <f>VLOOKUP(WWWW[[#This Row],[Site Name]],SiteDB6[[Site Name]:[Type of Accommodation]],10,FALSE)</f>
        <v>Planned Camp</v>
      </c>
      <c r="DN206" s="554" t="str">
        <f>VLOOKUP(WWWW[[#This Row],[Site Name]],SiteDB6[[Site Name]:[Ethnic or GCA/NGCA]],11,FALSE)</f>
        <v>Muslim</v>
      </c>
      <c r="DO206" s="554">
        <f>VLOOKUP(WWWW[[#This Row],[Site Name]],SiteDB6[[Site Name]:[Lat]],12,FALSE)</f>
        <v>20.064226000000001</v>
      </c>
      <c r="DP206" s="554">
        <f>VLOOKUP(WWWW[[#This Row],[Site Name]],SiteDB6[[Site Name]:[Long]],13,FALSE)</f>
        <v>92.993758999999997</v>
      </c>
      <c r="DQ206" s="554" t="str">
        <f>VLOOKUP(WWWW[[#This Row],[Site Name]],SiteDB6[[Site Name]:[Pcode]],3,FALSE)</f>
        <v>MMR012CMP019</v>
      </c>
      <c r="DR206" s="563" t="str">
        <f t="shared" si="7"/>
        <v>Covered</v>
      </c>
      <c r="DS206" s="563"/>
    </row>
    <row r="207" spans="1:123">
      <c r="A207" s="552" t="s">
        <v>2518</v>
      </c>
      <c r="B207" s="552" t="s">
        <v>305</v>
      </c>
      <c r="C207" s="555" t="s">
        <v>305</v>
      </c>
      <c r="D207" s="555" t="s">
        <v>252</v>
      </c>
      <c r="E207" s="574" t="s">
        <v>3006</v>
      </c>
      <c r="F207" s="555" t="s">
        <v>420</v>
      </c>
      <c r="G207" s="574" t="str">
        <f>VLOOKUP(WWWW[[#This Row],[Site Name]],SiteDB6[[Site Name]:[Location Type]],8,FALSE)</f>
        <v>Village</v>
      </c>
      <c r="H207" s="555" t="s">
        <v>422</v>
      </c>
      <c r="I207" s="557">
        <v>948</v>
      </c>
      <c r="J207" s="557">
        <v>3946</v>
      </c>
      <c r="K207" s="564">
        <v>43556</v>
      </c>
      <c r="L207" s="565">
        <v>43921</v>
      </c>
      <c r="M207" s="557">
        <v>342</v>
      </c>
      <c r="N207" s="557">
        <v>1</v>
      </c>
      <c r="O207" s="557">
        <v>8</v>
      </c>
      <c r="P207" s="557">
        <v>0</v>
      </c>
      <c r="Q207" s="556" t="s">
        <v>144</v>
      </c>
      <c r="R207" s="557">
        <v>5</v>
      </c>
      <c r="S207" s="557">
        <v>4</v>
      </c>
      <c r="T207" s="557">
        <v>8</v>
      </c>
      <c r="U207" s="557"/>
      <c r="V207" s="557">
        <v>8</v>
      </c>
      <c r="W207" s="557">
        <v>59</v>
      </c>
      <c r="X207" s="557"/>
      <c r="Y207" s="557"/>
      <c r="Z207" s="557">
        <v>59</v>
      </c>
      <c r="AA207" s="557">
        <v>2</v>
      </c>
      <c r="AB207" s="557"/>
      <c r="AC207" s="557">
        <v>2</v>
      </c>
      <c r="AD207" s="557"/>
      <c r="AE207" s="557">
        <v>3</v>
      </c>
      <c r="AF207" s="557"/>
      <c r="AG207" s="557"/>
      <c r="AH207" s="557">
        <v>3</v>
      </c>
      <c r="AI207" s="557">
        <v>3</v>
      </c>
      <c r="AJ207" s="557"/>
      <c r="AK207" s="557">
        <v>148</v>
      </c>
      <c r="AL207" s="557"/>
      <c r="AM207" s="557">
        <v>15</v>
      </c>
      <c r="AN207" s="557">
        <v>2</v>
      </c>
      <c r="AO207" s="563"/>
      <c r="AP207" s="557">
        <v>343</v>
      </c>
      <c r="AQ207" s="557"/>
      <c r="AR207" s="559"/>
      <c r="AS207" s="557"/>
      <c r="AT207" s="557"/>
      <c r="AU207" s="557"/>
      <c r="AV207" s="557"/>
      <c r="AW207" s="557">
        <v>343</v>
      </c>
      <c r="AX207" s="752" t="s">
        <v>43</v>
      </c>
      <c r="AY207" s="782" t="s">
        <v>145</v>
      </c>
      <c r="AZ207" s="557">
        <v>4</v>
      </c>
      <c r="BA207" s="557">
        <v>0</v>
      </c>
      <c r="BB207" s="557">
        <v>10</v>
      </c>
      <c r="BC207" s="554"/>
      <c r="BD207" s="557">
        <v>17</v>
      </c>
      <c r="BE207" s="557"/>
      <c r="BF207" s="557"/>
      <c r="BG207" s="557"/>
      <c r="BH207" s="557"/>
      <c r="BI207" s="557">
        <v>4</v>
      </c>
      <c r="BJ207" s="557">
        <v>4</v>
      </c>
      <c r="BK207" s="557"/>
      <c r="BL207" s="557"/>
      <c r="BM207" s="752" t="s">
        <v>43</v>
      </c>
      <c r="BN207" s="558">
        <v>46</v>
      </c>
      <c r="BO207" s="559"/>
      <c r="BP207" s="554"/>
      <c r="BQ207" s="560">
        <f>IFERROR(WWWW[[#This Row],['#_Water sources treated]]/WWWW[[#This Row],['#_Water sources tested for contamination]],"no test")</f>
        <v>0</v>
      </c>
      <c r="BR207" s="559">
        <f>IFERROR(WWWW[[#This Row],['#_Household received remediation action due to contamination]]/WWWW[[#This Row],['#_Household water samples tested for contamination]],"no test")</f>
        <v>0</v>
      </c>
      <c r="BS207" s="558" t="str">
        <f>IF(AND(WWWW[[#This Row],[% of water sources treated]]="no test",WWWW[[#This Row],[% Household received corrective actions]]="no test"),"No Test","Tested")</f>
        <v>Tested</v>
      </c>
      <c r="BT207" s="558">
        <f>WWWW[[#This Row],['#_Constructed/existing protected hand dug well]]-WWWW[[#This Row],['#_Non-functional protected hand dug well]]</f>
        <v>8</v>
      </c>
      <c r="BU207" s="558">
        <f>(WWWW[[#This Row],['#_Constructed/Existing tube wells/boreholes/handpumps_WASH_agency]]+WWWW[[#This Row],['#_Non-Cluster partner water tube-wells/boreholes/handpumps]])-WWWW[[#This Row],['#_Non-functional tube wells/boreholes/handpumps]]</f>
        <v>59</v>
      </c>
      <c r="BV207" s="558">
        <f>WWWW[[#This Row],['#_Constructed/Existingwater storage tank with gravity fed reticulation system]]-WWWW[[#This Row],['#_Non-functional storage tank gravity fed reticulation system]]</f>
        <v>2</v>
      </c>
      <c r="BW207" s="558">
        <f>WWWW[[#This Row],['#_Water boating or water trucking]]</f>
        <v>0</v>
      </c>
      <c r="BX207" s="558">
        <f>WWWW[[#This Row],['#_Constructed/Existing water distribution system from river or natural spring]]</f>
        <v>0</v>
      </c>
      <c r="BY20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7" s="559">
        <f>IF(WWWW[[#This Row],[Location Type 1]]="Village",WWWW[[#This Row],[Access to safe drinking water for Village]],WWWW[[#This Row],[Access to safe drinking water for Camp]])</f>
        <v>1</v>
      </c>
      <c r="CB207" s="556">
        <f>WWWW[[#This Row],[%Equitable and continuous access to sufficient quantity of safe drinking water]]*WWWW[[#This Row],[Total PoP ]]</f>
        <v>3946</v>
      </c>
      <c r="CC207" s="559">
        <f>IF((WWWW[[#This Row],['#_Constructed/Existing protected/fenced ponds]]*250)/WWWW[[#This Row],[Total PoP ]]&gt;1,1,(WWWW[[#This Row],['#_Constructed/Existing protected/fenced ponds]]*250)/WWWW[[#This Row],[Total PoP ]])</f>
        <v>0.1900658895083629</v>
      </c>
      <c r="CD207" s="556">
        <f>WWWW[[#This Row],[% Access to unimproved water points]]*WWWW[[#This Row],[Total PoP ]]</f>
        <v>750</v>
      </c>
      <c r="CE20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CG207" s="556">
        <f>WWWW[[#This Row],[HRP1]]/500</f>
        <v>7.8920000000000003</v>
      </c>
      <c r="CH207" s="561">
        <f>1-WWWW[[#This Row],[% Equitable and continuous access to sufficient quantity of domestic water]]</f>
        <v>0</v>
      </c>
      <c r="CI207" s="556">
        <f>WWWW[[#This Row],[%equitable and continuous access to sufficient quantity of safe drinking and domestic water''s GAP]]*WWWW[[#This Row],[Total PoP ]]</f>
        <v>0</v>
      </c>
      <c r="CJ207" s="558">
        <f>IF(WWWW[[#This Row],[Total required water points]]-WWWW[[#This Row],['#Water points coverage]]&lt;0,0,WWWW[[#This Row],[Total required water points]]-WWWW[[#This Row],['#Water points coverage]])</f>
        <v>0.10799999999999965</v>
      </c>
      <c r="CK207" s="558">
        <f>ROUND(IF(WWWW[[#This Row],[Total PoP ]]&lt;500,1,WWWW[[#This Row],[Total PoP ]]/500),0)</f>
        <v>8</v>
      </c>
      <c r="CL207" s="558">
        <f>(WWWW[[#This Row],['#_Constructed latrines_by_WASHAgencies]]+WWWW[[#This Row],['#_Non Cluster partner latrines]])-WWWW[[#This Row],['#_Non-functional latrines]]</f>
        <v>343</v>
      </c>
      <c r="CM20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0.52154080081094778</v>
      </c>
      <c r="CN20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2058</v>
      </c>
      <c r="CO20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7" s="558" t="str">
        <f>IF(WWWW[[#This Row],[Location Type 1]]="Village","NA",IF(WWWW[[#This Row],['#_Constructed/Existing latrines in TLS]]*50&gt;WWWW[[#This Row],['#_students at TLS_CFS]],WWWW[[#This Row],['#_students at TLS_CFS]],(WWWW[[#This Row],['#_Constructed/Existing latrines in TLS]]*50)))</f>
        <v>NA</v>
      </c>
      <c r="CQ207" s="558">
        <f>ROUND(IF(WWWW[[#This Row],[Location Type 1]]="camp",WWWW[[#This Row],[Total PoP ]]/20,IF(WWWW[[#This Row],[Location Type 1]]="Temporary Location",WWWW[[#This Row],[Total PoP ]]/50,(WWWW[[#This Row],[Total PoP ]]/6))),0)</f>
        <v>658</v>
      </c>
      <c r="CR207" s="558">
        <f>IF(WWWW[[#This Row],[Total required Latrines]]-(WWWW[[#This Row],['#_Constructed latrines_by_WASHAgencies]]+WWWW[[#This Row],['#_Non Cluster partner latrines]])&lt;0,0,WWWW[[#This Row],[Total required Latrines]]-(WWWW[[#This Row],['#_Constructed latrines_by_WASHAgencies]]+WWWW[[#This Row],['#_Non Cluster partner latrines]]))</f>
        <v>315</v>
      </c>
      <c r="CS207" s="78">
        <f>1-WWWW[[#This Row],[% people access to functioning Latrine]]</f>
        <v>0.47845919918905222</v>
      </c>
      <c r="CT207" s="560">
        <f>IF(OR(WWWW[[#This Row],['#_Non-functional latrines]]="",WWWW[[#This Row],['#_Non-functional latrines]]=0),0,WWWW[[#This Row],['#_Non-functional latrines]]/(WWWW[[#This Row],['#_Constructed latrines_by_WASHAgencies]]+WWWW[[#This Row],['#_Non Cluster partner latrines]]))</f>
        <v>0</v>
      </c>
      <c r="CU207" s="556">
        <f>IF(500*(WWWW[[#This Row],['#_male hygiene promoters]]+WWWW[[#This Row],['#_female hygiene promoters]])&gt;WWWW[[#This Row],[Total PoP ]],WWWW[[#This Row],[Total PoP ]],500*(WWWW[[#This Row],['#_male hygiene promoters]]+WWWW[[#This Row],['#_female hygiene promoters]]))</f>
        <v>3946</v>
      </c>
      <c r="CV20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7" s="558">
        <f>IF(WWWW[[#This Row],['# People with access to soap]]&gt;WWWW[[#This Row],['# People with access to Sanity Pads]],WWWW[[#This Row],['# People with access to soap]],WWWW[[#This Row],['# People with access to Sanity Pads]])</f>
        <v>0</v>
      </c>
      <c r="CY207" s="558">
        <f>IF(WWWW[[#This Row],['# people reached by regular dedicated hygiene promotion_5]]&gt;WWWW[[#This Row],['# People received regular supply of hygiene items_6]],WWWW[[#This Row],['# people reached by regular dedicated hygiene promotion_5]],WWWW[[#This Row],['# People received regular supply of hygiene items_6]])</f>
        <v>3946</v>
      </c>
      <c r="CZ207" s="561">
        <f>IF(WWWW[[#This Row],[HRP3]]/WWWW[[#This Row],[Total PoP ]]&gt;100%,100%,WWWW[[#This Row],[HRP3]]/WWWW[[#This Row],[Total PoP ]])</f>
        <v>1</v>
      </c>
      <c r="DA207" s="560">
        <f>1-WWWW[[#This Row],[Hygiene Coverage%]]</f>
        <v>0</v>
      </c>
      <c r="DB207" s="559">
        <f>WWWW[[#This Row],['# people reached by regular dedicated hygiene promotion_5]]/WWWW[[#This Row],[Total PoP ]]</f>
        <v>1</v>
      </c>
      <c r="DC207" s="559">
        <f>IF(WWWW[[#This Row],['#_households that received standard amount of soap for this quarter]]/WWWW[[#This Row],[Total HH]]&gt;1,1,WWWW[[#This Row],['#_households that received standard amount of soap for this quarter]]/WWWW[[#This Row],[Total HH]])</f>
        <v>0</v>
      </c>
      <c r="DD207" s="559">
        <f>IF(WWWW[[#This Row],['#_households that received standard amount of sanitary pads for this quarter]]/WWWW[[#This Row],[Total HH]]&gt;1,1,WWWW[[#This Row],['#_households that received standard amount of sanitary pads for this quarter]]/WWWW[[#This Row],[Total HH]])</f>
        <v>0</v>
      </c>
      <c r="DE207" s="558">
        <f>WWWW[[#This Row],['#_Constructed/Existing hand washing stations]]-WWWW[[#This Row],['#_Non-Functional_hand_washing_stations]]</f>
        <v>17</v>
      </c>
      <c r="DF207" s="757">
        <f>IF(WWWW[[#This Row],['# Functional hand washing stations during reporting period]]*20&gt;WWWW[[#This Row],[Total HH]],WWWW[[#This Row],[Total HH]],WWWW[[#This Row],['# Functional hand washing stations during reporting period]]*20)</f>
        <v>340</v>
      </c>
      <c r="DG207" s="556">
        <f>IF(WWWW[[#This Row],[Is sufficient soap available for TLS? (Yes/No)]]="yes",WWWW[[#This Row],['#_Constructed/Existing hand washing stations at TLS]],0)</f>
        <v>15</v>
      </c>
      <c r="DH207" s="556">
        <f>IF(WWWW[[#This Row],['# Functional hand washing stations during reporting period]]*100&gt;WWWW[[#This Row],[Total PoP ]],WWWW[[#This Row],[Total PoP ]],WWWW[[#This Row],['# Functional hand washing stations during reporting period]]*100)</f>
        <v>1700</v>
      </c>
      <c r="DI207" s="556" t="str">
        <f>IF(OR(WWWW[[#This Row],['#_students at TLS_CFS]]="",WWWW[[#This Row],['#_students at TLS_CFS]]=0),"No","Yes")</f>
        <v>Yes</v>
      </c>
      <c r="DJ207" s="554">
        <f>VLOOKUP(WWWW[[#This Row],[Site Name]],SiteDB6[[Site Name]:[CCCM Management]],6,FALSE)</f>
        <v>0</v>
      </c>
      <c r="DK207" s="554">
        <f>VLOOKUP(WWWW[[#This Row],[Site Name]],SiteDB6[[Site Name]:[CCCM Focal Agency]],7,FALSE)</f>
        <v>0</v>
      </c>
      <c r="DL207" s="554" t="str">
        <f>VLOOKUP(WWWW[[#This Row],[Site Name]],SiteDB6[[Site Name]:[Location Type 1]],9,FALSE)</f>
        <v>Village</v>
      </c>
      <c r="DM207" s="554" t="str">
        <f>VLOOKUP(WWWW[[#This Row],[Site Name]],SiteDB6[[Site Name]:[Type of Accommodation]],10,FALSE)</f>
        <v>Village</v>
      </c>
      <c r="DN207" s="554" t="str">
        <f>VLOOKUP(WWWW[[#This Row],[Site Name]],SiteDB6[[Site Name]:[Ethnic or GCA/NGCA]],11,FALSE)</f>
        <v>Muslim</v>
      </c>
      <c r="DO207" s="554">
        <f>VLOOKUP(WWWW[[#This Row],[Site Name]],SiteDB6[[Site Name]:[Lat]],12,FALSE)</f>
        <v>20.0641</v>
      </c>
      <c r="DP207" s="554">
        <f>VLOOKUP(WWWW[[#This Row],[Site Name]],SiteDB6[[Site Name]:[Long]],13,FALSE)</f>
        <v>92.994600000000005</v>
      </c>
      <c r="DQ207" s="554">
        <f>VLOOKUP(WWWW[[#This Row],[Site Name]],SiteDB6[[Site Name]:[Pcode]],3,FALSE)</f>
        <v>197548</v>
      </c>
      <c r="DR207" s="563" t="str">
        <f t="shared" si="7"/>
        <v>Covered</v>
      </c>
      <c r="DS207" s="563"/>
    </row>
    <row r="208" spans="1:123">
      <c r="A208" s="552" t="s">
        <v>2518</v>
      </c>
      <c r="B208" s="552" t="s">
        <v>305</v>
      </c>
      <c r="C208" s="555" t="s">
        <v>305</v>
      </c>
      <c r="D208" s="555" t="s">
        <v>252</v>
      </c>
      <c r="E208" s="574" t="s">
        <v>3006</v>
      </c>
      <c r="F208" s="555" t="s">
        <v>420</v>
      </c>
      <c r="G208" s="574" t="str">
        <f>VLOOKUP(WWWW[[#This Row],[Site Name]],SiteDB6[[Site Name]:[Location Type]],8,FALSE)</f>
        <v>Village</v>
      </c>
      <c r="H208" s="555" t="s">
        <v>421</v>
      </c>
      <c r="I208" s="557">
        <v>477</v>
      </c>
      <c r="J208" s="557">
        <v>2034</v>
      </c>
      <c r="K208" s="564">
        <v>43556</v>
      </c>
      <c r="L208" s="565">
        <v>43921</v>
      </c>
      <c r="M208" s="557">
        <v>0</v>
      </c>
      <c r="N208" s="557">
        <v>1</v>
      </c>
      <c r="O208" s="557">
        <v>4</v>
      </c>
      <c r="P208" s="557">
        <v>0</v>
      </c>
      <c r="Q208" s="556" t="s">
        <v>144</v>
      </c>
      <c r="R208" s="557">
        <v>1</v>
      </c>
      <c r="S208" s="557">
        <v>4</v>
      </c>
      <c r="T208" s="557">
        <v>4</v>
      </c>
      <c r="U208" s="557"/>
      <c r="V208" s="557">
        <v>4</v>
      </c>
      <c r="W208" s="557">
        <v>28</v>
      </c>
      <c r="X208" s="557"/>
      <c r="Y208" s="557"/>
      <c r="Z208" s="557">
        <v>28</v>
      </c>
      <c r="AA208" s="557"/>
      <c r="AB208" s="557"/>
      <c r="AC208" s="557"/>
      <c r="AD208" s="557"/>
      <c r="AE208" s="557">
        <v>2</v>
      </c>
      <c r="AF208" s="557"/>
      <c r="AG208" s="557"/>
      <c r="AH208" s="557">
        <v>2</v>
      </c>
      <c r="AI208" s="557">
        <v>2</v>
      </c>
      <c r="AJ208" s="557"/>
      <c r="AK208" s="557">
        <v>125</v>
      </c>
      <c r="AL208" s="557"/>
      <c r="AM208" s="557">
        <v>15</v>
      </c>
      <c r="AN208" s="557"/>
      <c r="AO208" s="563"/>
      <c r="AP208" s="557">
        <v>200</v>
      </c>
      <c r="AQ208" s="557"/>
      <c r="AR208" s="559"/>
      <c r="AS208" s="557"/>
      <c r="AT208" s="557"/>
      <c r="AU208" s="557"/>
      <c r="AV208" s="557"/>
      <c r="AW208" s="557">
        <v>200</v>
      </c>
      <c r="AX208" s="752" t="s">
        <v>43</v>
      </c>
      <c r="AY208" s="782" t="s">
        <v>145</v>
      </c>
      <c r="AZ208" s="557">
        <v>0</v>
      </c>
      <c r="BA208" s="557">
        <v>0</v>
      </c>
      <c r="BB208" s="557">
        <v>4</v>
      </c>
      <c r="BC208" s="554"/>
      <c r="BD208" s="557">
        <v>15</v>
      </c>
      <c r="BE208" s="557"/>
      <c r="BF208" s="557"/>
      <c r="BG208" s="557"/>
      <c r="BH208" s="557"/>
      <c r="BI208" s="557">
        <v>1</v>
      </c>
      <c r="BJ208" s="557">
        <v>3</v>
      </c>
      <c r="BK208" s="557"/>
      <c r="BL208" s="557"/>
      <c r="BM208" s="554"/>
      <c r="BN208" s="558"/>
      <c r="BO208" s="559"/>
      <c r="BP208" s="554"/>
      <c r="BQ208" s="560">
        <f>IFERROR(WWWW[[#This Row],['#_Water sources treated]]/WWWW[[#This Row],['#_Water sources tested for contamination]],"no test")</f>
        <v>0</v>
      </c>
      <c r="BR208" s="559">
        <f>IFERROR(WWWW[[#This Row],['#_Household received remediation action due to contamination]]/WWWW[[#This Row],['#_Household water samples tested for contamination]],"no test")</f>
        <v>0</v>
      </c>
      <c r="BS208" s="558" t="str">
        <f>IF(AND(WWWW[[#This Row],[% of water sources treated]]="no test",WWWW[[#This Row],[% Household received corrective actions]]="no test"),"No Test","Tested")</f>
        <v>Tested</v>
      </c>
      <c r="BT208" s="558">
        <f>WWWW[[#This Row],['#_Constructed/existing protected hand dug well]]-WWWW[[#This Row],['#_Non-functional protected hand dug well]]</f>
        <v>4</v>
      </c>
      <c r="BU208" s="558">
        <f>(WWWW[[#This Row],['#_Constructed/Existing tube wells/boreholes/handpumps_WASH_agency]]+WWWW[[#This Row],['#_Non-Cluster partner water tube-wells/boreholes/handpumps]])-WWWW[[#This Row],['#_Non-functional tube wells/boreholes/handpumps]]</f>
        <v>28</v>
      </c>
      <c r="BV208" s="558">
        <f>WWWW[[#This Row],['#_Constructed/Existingwater storage tank with gravity fed reticulation system]]-WWWW[[#This Row],['#_Non-functional storage tank gravity fed reticulation system]]</f>
        <v>0</v>
      </c>
      <c r="BW208" s="558">
        <f>WWWW[[#This Row],['#_Water boating or water trucking]]</f>
        <v>0</v>
      </c>
      <c r="BX208" s="558">
        <f>WWWW[[#This Row],['#_Constructed/Existing water distribution system from river or natural spring]]</f>
        <v>0</v>
      </c>
      <c r="BY20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0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08" s="559">
        <f>IF(WWWW[[#This Row],[Location Type 1]]="Village",WWWW[[#This Row],[Access to safe drinking water for Village]],WWWW[[#This Row],[Access to safe drinking water for Camp]])</f>
        <v>1</v>
      </c>
      <c r="CB208" s="556">
        <f>WWWW[[#This Row],[%Equitable and continuous access to sufficient quantity of safe drinking water]]*WWWW[[#This Row],[Total PoP ]]</f>
        <v>2034</v>
      </c>
      <c r="CC208" s="559">
        <f>IF((WWWW[[#This Row],['#_Constructed/Existing protected/fenced ponds]]*250)/WWWW[[#This Row],[Total PoP ]]&gt;1,1,(WWWW[[#This Row],['#_Constructed/Existing protected/fenced ponds]]*250)/WWWW[[#This Row],[Total PoP ]])</f>
        <v>0.24582104228121926</v>
      </c>
      <c r="CD208" s="556">
        <f>WWWW[[#This Row],[% Access to unimproved water points]]*WWWW[[#This Row],[Total PoP ]]</f>
        <v>500</v>
      </c>
      <c r="CE20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0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CG208" s="556">
        <f>WWWW[[#This Row],[HRP1]]/500</f>
        <v>4.0679999999999996</v>
      </c>
      <c r="CH208" s="561">
        <f>1-WWWW[[#This Row],[% Equitable and continuous access to sufficient quantity of domestic water]]</f>
        <v>0</v>
      </c>
      <c r="CI208" s="556">
        <f>WWWW[[#This Row],[%equitable and continuous access to sufficient quantity of safe drinking and domestic water''s GAP]]*WWWW[[#This Row],[Total PoP ]]</f>
        <v>0</v>
      </c>
      <c r="CJ208" s="558">
        <f>IF(WWWW[[#This Row],[Total required water points]]-WWWW[[#This Row],['#Water points coverage]]&lt;0,0,WWWW[[#This Row],[Total required water points]]-WWWW[[#This Row],['#Water points coverage]])</f>
        <v>0</v>
      </c>
      <c r="CK208" s="558">
        <f>ROUND(IF(WWWW[[#This Row],[Total PoP ]]&lt;500,1,WWWW[[#This Row],[Total PoP ]]/500),0)</f>
        <v>4</v>
      </c>
      <c r="CL208" s="558">
        <f>(WWWW[[#This Row],['#_Constructed latrines_by_WASHAgencies]]+WWWW[[#This Row],['#_Non Cluster partner latrines]])-WWWW[[#This Row],['#_Non-functional latrines]]</f>
        <v>200</v>
      </c>
      <c r="CM20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0.58997050147492625</v>
      </c>
      <c r="CN20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1200</v>
      </c>
      <c r="CO20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8" s="558" t="str">
        <f>IF(WWWW[[#This Row],[Location Type 1]]="Village","NA",IF(WWWW[[#This Row],['#_Constructed/Existing latrines in TLS]]*50&gt;WWWW[[#This Row],['#_students at TLS_CFS]],WWWW[[#This Row],['#_students at TLS_CFS]],(WWWW[[#This Row],['#_Constructed/Existing latrines in TLS]]*50)))</f>
        <v>NA</v>
      </c>
      <c r="CQ208" s="558">
        <f>ROUND(IF(WWWW[[#This Row],[Location Type 1]]="camp",WWWW[[#This Row],[Total PoP ]]/20,IF(WWWW[[#This Row],[Location Type 1]]="Temporary Location",WWWW[[#This Row],[Total PoP ]]/50,(WWWW[[#This Row],[Total PoP ]]/6))),0)</f>
        <v>339</v>
      </c>
      <c r="CR208" s="558">
        <f>IF(WWWW[[#This Row],[Total required Latrines]]-(WWWW[[#This Row],['#_Constructed latrines_by_WASHAgencies]]+WWWW[[#This Row],['#_Non Cluster partner latrines]])&lt;0,0,WWWW[[#This Row],[Total required Latrines]]-(WWWW[[#This Row],['#_Constructed latrines_by_WASHAgencies]]+WWWW[[#This Row],['#_Non Cluster partner latrines]]))</f>
        <v>139</v>
      </c>
      <c r="CS208" s="78">
        <f>1-WWWW[[#This Row],[% people access to functioning Latrine]]</f>
        <v>0.41002949852507375</v>
      </c>
      <c r="CT208" s="560">
        <f>IF(OR(WWWW[[#This Row],['#_Non-functional latrines]]="",WWWW[[#This Row],['#_Non-functional latrines]]=0),0,WWWW[[#This Row],['#_Non-functional latrines]]/(WWWW[[#This Row],['#_Constructed latrines_by_WASHAgencies]]+WWWW[[#This Row],['#_Non Cluster partner latrines]]))</f>
        <v>0</v>
      </c>
      <c r="CU208" s="556">
        <f>IF(500*(WWWW[[#This Row],['#_male hygiene promoters]]+WWWW[[#This Row],['#_female hygiene promoters]])&gt;WWWW[[#This Row],[Total PoP ]],WWWW[[#This Row],[Total PoP ]],500*(WWWW[[#This Row],['#_male hygiene promoters]]+WWWW[[#This Row],['#_female hygiene promoters]]))</f>
        <v>2000</v>
      </c>
      <c r="CV20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8" s="558">
        <f>IF(WWWW[[#This Row],['# People with access to soap]]&gt;WWWW[[#This Row],['# People with access to Sanity Pads]],WWWW[[#This Row],['# People with access to soap]],WWWW[[#This Row],['# People with access to Sanity Pads]])</f>
        <v>0</v>
      </c>
      <c r="CY208" s="558">
        <f>IF(WWWW[[#This Row],['# people reached by regular dedicated hygiene promotion_5]]&gt;WWWW[[#This Row],['# People received regular supply of hygiene items_6]],WWWW[[#This Row],['# people reached by regular dedicated hygiene promotion_5]],WWWW[[#This Row],['# People received regular supply of hygiene items_6]])</f>
        <v>2000</v>
      </c>
      <c r="CZ208" s="561">
        <f>IF(WWWW[[#This Row],[HRP3]]/WWWW[[#This Row],[Total PoP ]]&gt;100%,100%,WWWW[[#This Row],[HRP3]]/WWWW[[#This Row],[Total PoP ]])</f>
        <v>0.98328416912487704</v>
      </c>
      <c r="DA208" s="560">
        <f>1-WWWW[[#This Row],[Hygiene Coverage%]]</f>
        <v>1.6715830875122961E-2</v>
      </c>
      <c r="DB208" s="559">
        <f>WWWW[[#This Row],['# people reached by regular dedicated hygiene promotion_5]]/WWWW[[#This Row],[Total PoP ]]</f>
        <v>0.98328416912487704</v>
      </c>
      <c r="DC208" s="559">
        <f>IF(WWWW[[#This Row],['#_households that received standard amount of soap for this quarter]]/WWWW[[#This Row],[Total HH]]&gt;1,1,WWWW[[#This Row],['#_households that received standard amount of soap for this quarter]]/WWWW[[#This Row],[Total HH]])</f>
        <v>0</v>
      </c>
      <c r="DD208" s="559">
        <f>IF(WWWW[[#This Row],['#_households that received standard amount of sanitary pads for this quarter]]/WWWW[[#This Row],[Total HH]]&gt;1,1,WWWW[[#This Row],['#_households that received standard amount of sanitary pads for this quarter]]/WWWW[[#This Row],[Total HH]])</f>
        <v>0</v>
      </c>
      <c r="DE208" s="558">
        <f>WWWW[[#This Row],['#_Constructed/Existing hand washing stations]]-WWWW[[#This Row],['#_Non-Functional_hand_washing_stations]]</f>
        <v>15</v>
      </c>
      <c r="DF208" s="757">
        <f>IF(WWWW[[#This Row],['# Functional hand washing stations during reporting period]]*20&gt;WWWW[[#This Row],[Total HH]],WWWW[[#This Row],[Total HH]],WWWW[[#This Row],['# Functional hand washing stations during reporting period]]*20)</f>
        <v>300</v>
      </c>
      <c r="DG208" s="556">
        <f>IF(WWWW[[#This Row],[Is sufficient soap available for TLS? (Yes/No)]]="yes",WWWW[[#This Row],['#_Constructed/Existing hand washing stations at TLS]],0)</f>
        <v>0</v>
      </c>
      <c r="DH208" s="556">
        <f>IF(WWWW[[#This Row],['# Functional hand washing stations during reporting period]]*100&gt;WWWW[[#This Row],[Total PoP ]],WWWW[[#This Row],[Total PoP ]],WWWW[[#This Row],['# Functional hand washing stations during reporting period]]*100)</f>
        <v>1500</v>
      </c>
      <c r="DI208" s="556" t="str">
        <f>IF(OR(WWWW[[#This Row],['#_students at TLS_CFS]]="",WWWW[[#This Row],['#_students at TLS_CFS]]=0),"No","Yes")</f>
        <v>No</v>
      </c>
      <c r="DJ208" s="554">
        <f>VLOOKUP(WWWW[[#This Row],[Site Name]],SiteDB6[[Site Name]:[CCCM Management]],6,FALSE)</f>
        <v>0</v>
      </c>
      <c r="DK208" s="554">
        <f>VLOOKUP(WWWW[[#This Row],[Site Name]],SiteDB6[[Site Name]:[CCCM Focal Agency]],7,FALSE)</f>
        <v>0</v>
      </c>
      <c r="DL208" s="554" t="str">
        <f>VLOOKUP(WWWW[[#This Row],[Site Name]],SiteDB6[[Site Name]:[Location Type 1]],9,FALSE)</f>
        <v>Village</v>
      </c>
      <c r="DM208" s="554" t="str">
        <f>VLOOKUP(WWWW[[#This Row],[Site Name]],SiteDB6[[Site Name]:[Type of Accommodation]],10,FALSE)</f>
        <v>Village</v>
      </c>
      <c r="DN208" s="554" t="str">
        <f>VLOOKUP(WWWW[[#This Row],[Site Name]],SiteDB6[[Site Name]:[Ethnic or GCA/NGCA]],11,FALSE)</f>
        <v>Rakhine</v>
      </c>
      <c r="DO208" s="554">
        <f>VLOOKUP(WWWW[[#This Row],[Site Name]],SiteDB6[[Site Name]:[Lat]],12,FALSE)</f>
        <v>20.057860999999999</v>
      </c>
      <c r="DP208" s="554">
        <f>VLOOKUP(WWWW[[#This Row],[Site Name]],SiteDB6[[Site Name]:[Long]],13,FALSE)</f>
        <v>92.995181000000002</v>
      </c>
      <c r="DQ208" s="554">
        <f>VLOOKUP(WWWW[[#This Row],[Site Name]],SiteDB6[[Site Name]:[Pcode]],3,FALSE)</f>
        <v>197550</v>
      </c>
      <c r="DR208" s="563" t="str">
        <f t="shared" si="7"/>
        <v>Covered</v>
      </c>
      <c r="DS208" s="563"/>
    </row>
    <row r="209" spans="1:126">
      <c r="A209" s="552" t="s">
        <v>2518</v>
      </c>
      <c r="B209" s="552" t="s">
        <v>305</v>
      </c>
      <c r="C209" s="555" t="s">
        <v>305</v>
      </c>
      <c r="D209" s="555" t="s">
        <v>345</v>
      </c>
      <c r="E209" s="574" t="s">
        <v>3006</v>
      </c>
      <c r="F209" s="555" t="s">
        <v>420</v>
      </c>
      <c r="G209" s="574" t="str">
        <f>VLOOKUP(WWWW[[#This Row],[Site Name]],SiteDB6[[Site Name]:[Location Type]],8,FALSE)</f>
        <v>Village</v>
      </c>
      <c r="H209" s="584" t="s">
        <v>3223</v>
      </c>
      <c r="I209" s="557">
        <v>97</v>
      </c>
      <c r="J209" s="557">
        <v>97</v>
      </c>
      <c r="K209" s="564">
        <v>43359</v>
      </c>
      <c r="L209" s="565">
        <v>43830</v>
      </c>
      <c r="M209" s="557"/>
      <c r="N209" s="557"/>
      <c r="O209" s="557"/>
      <c r="P209" s="557"/>
      <c r="Q209" s="556"/>
      <c r="R209" s="557"/>
      <c r="S209" s="557"/>
      <c r="T209" s="557"/>
      <c r="U209" s="557"/>
      <c r="V209" s="557"/>
      <c r="W209" s="557"/>
      <c r="X209" s="557"/>
      <c r="Y209" s="557"/>
      <c r="Z209" s="557"/>
      <c r="AA209" s="557"/>
      <c r="AB209" s="557"/>
      <c r="AC209" s="557"/>
      <c r="AD209" s="557"/>
      <c r="AE209" s="557"/>
      <c r="AF209" s="557"/>
      <c r="AG209" s="557"/>
      <c r="AH209" s="557"/>
      <c r="AI209" s="557"/>
      <c r="AJ209" s="557"/>
      <c r="AK209" s="557"/>
      <c r="AL209" s="557"/>
      <c r="AM209" s="557"/>
      <c r="AN209" s="557"/>
      <c r="AO209" s="563"/>
      <c r="AP209" s="557"/>
      <c r="AQ209" s="557"/>
      <c r="AR209" s="559"/>
      <c r="AS209" s="557"/>
      <c r="AT209" s="557"/>
      <c r="AU209" s="557"/>
      <c r="AV209" s="557"/>
      <c r="AW209" s="557"/>
      <c r="AX209" s="554"/>
      <c r="AY209" s="563"/>
      <c r="AZ209" s="557"/>
      <c r="BA209" s="557"/>
      <c r="BB209" s="557"/>
      <c r="BC209" s="554"/>
      <c r="BD209" s="557"/>
      <c r="BE209" s="557"/>
      <c r="BF209" s="557"/>
      <c r="BG209" s="557"/>
      <c r="BH209" s="557"/>
      <c r="BI209" s="557"/>
      <c r="BJ209" s="557"/>
      <c r="BK209" s="557"/>
      <c r="BL209" s="557"/>
      <c r="BM209" s="554"/>
      <c r="BN209" s="558"/>
      <c r="BO209" s="559"/>
      <c r="BP209" s="554"/>
      <c r="BQ209" s="560" t="str">
        <f>IFERROR(WWWW[[#This Row],['#_Water sources treated]]/WWWW[[#This Row],['#_Water sources tested for contamination]],"no test")</f>
        <v>no test</v>
      </c>
      <c r="BR209" s="559" t="str">
        <f>IFERROR(WWWW[[#This Row],['#_Household received remediation action due to contamination]]/WWWW[[#This Row],['#_Household water samples tested for contamination]],"no test")</f>
        <v>no test</v>
      </c>
      <c r="BS209" s="558" t="str">
        <f>IF(AND(WWWW[[#This Row],[% of water sources treated]]="no test",WWWW[[#This Row],[% Household received corrective actions]]="no test"),"No Test","Tested")</f>
        <v>No Test</v>
      </c>
      <c r="BT209" s="558">
        <f>WWWW[[#This Row],['#_Constructed/existing protected hand dug well]]-WWWW[[#This Row],['#_Non-functional protected hand dug well]]</f>
        <v>0</v>
      </c>
      <c r="BU209" s="558">
        <f>(WWWW[[#This Row],['#_Constructed/Existing tube wells/boreholes/handpumps_WASH_agency]]+WWWW[[#This Row],['#_Non-Cluster partner water tube-wells/boreholes/handpumps]])-WWWW[[#This Row],['#_Non-functional tube wells/boreholes/handpumps]]</f>
        <v>0</v>
      </c>
      <c r="BV209" s="558">
        <f>WWWW[[#This Row],['#_Constructed/Existingwater storage tank with gravity fed reticulation system]]-WWWW[[#This Row],['#_Non-functional storage tank gravity fed reticulation system]]</f>
        <v>0</v>
      </c>
      <c r="BW209" s="558">
        <f>WWWW[[#This Row],['#_Water boating or water trucking]]</f>
        <v>0</v>
      </c>
      <c r="BX209" s="558">
        <f>WWWW[[#This Row],['#_Constructed/Existing water distribution system from river or natural spring]]</f>
        <v>0</v>
      </c>
      <c r="BY20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0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09" s="559">
        <f>IF(WWWW[[#This Row],[Location Type 1]]="Village",WWWW[[#This Row],[Access to safe drinking water for Village]],WWWW[[#This Row],[Access to safe drinking water for Camp]])</f>
        <v>0</v>
      </c>
      <c r="CB209" s="556">
        <f>WWWW[[#This Row],[%Equitable and continuous access to sufficient quantity of safe drinking water]]*WWWW[[#This Row],[Total PoP ]]</f>
        <v>0</v>
      </c>
      <c r="CC209" s="559">
        <f>IF((WWWW[[#This Row],['#_Constructed/Existing protected/fenced ponds]]*250)/WWWW[[#This Row],[Total PoP ]]&gt;1,1,(WWWW[[#This Row],['#_Constructed/Existing protected/fenced ponds]]*250)/WWWW[[#This Row],[Total PoP ]])</f>
        <v>0</v>
      </c>
      <c r="CD209" s="556">
        <f>WWWW[[#This Row],[% Access to unimproved water points]]*WWWW[[#This Row],[Total PoP ]]</f>
        <v>0</v>
      </c>
      <c r="CE20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0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09" s="556">
        <f>WWWW[[#This Row],[HRP1]]/500</f>
        <v>0</v>
      </c>
      <c r="CH209" s="561">
        <f>1-WWWW[[#This Row],[% Equitable and continuous access to sufficient quantity of domestic water]]</f>
        <v>1</v>
      </c>
      <c r="CI209" s="556">
        <f>WWWW[[#This Row],[%equitable and continuous access to sufficient quantity of safe drinking and domestic water''s GAP]]*WWWW[[#This Row],[Total PoP ]]</f>
        <v>97</v>
      </c>
      <c r="CJ209" s="558">
        <f>IF(WWWW[[#This Row],[Total required water points]]-WWWW[[#This Row],['#Water points coverage]]&lt;0,0,WWWW[[#This Row],[Total required water points]]-WWWW[[#This Row],['#Water points coverage]])</f>
        <v>1</v>
      </c>
      <c r="CK209" s="558">
        <f>ROUND(IF(WWWW[[#This Row],[Total PoP ]]&lt;500,1,WWWW[[#This Row],[Total PoP ]]/500),0)</f>
        <v>1</v>
      </c>
      <c r="CL209" s="558">
        <f>(WWWW[[#This Row],['#_Constructed latrines_by_WASHAgencies]]+WWWW[[#This Row],['#_Non Cluster partner latrines]])-WWWW[[#This Row],['#_Non-functional latrines]]</f>
        <v>0</v>
      </c>
      <c r="CM20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0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0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09" s="558" t="str">
        <f>IF(WWWW[[#This Row],[Location Type 1]]="Village","NA",IF(WWWW[[#This Row],['#_Constructed/Existing latrines in TLS]]*50&gt;WWWW[[#This Row],['#_students at TLS_CFS]],WWWW[[#This Row],['#_students at TLS_CFS]],(WWWW[[#This Row],['#_Constructed/Existing latrines in TLS]]*50)))</f>
        <v>NA</v>
      </c>
      <c r="CQ209" s="558">
        <f>ROUND(IF(WWWW[[#This Row],[Location Type 1]]="camp",WWWW[[#This Row],[Total PoP ]]/20,IF(WWWW[[#This Row],[Location Type 1]]="Temporary Location",WWWW[[#This Row],[Total PoP ]]/50,(WWWW[[#This Row],[Total PoP ]]/6))),0)</f>
        <v>16</v>
      </c>
      <c r="CR209" s="558">
        <f>IF(WWWW[[#This Row],[Total required Latrines]]-(WWWW[[#This Row],['#_Constructed latrines_by_WASHAgencies]]+WWWW[[#This Row],['#_Non Cluster partner latrines]])&lt;0,0,WWWW[[#This Row],[Total required Latrines]]-(WWWW[[#This Row],['#_Constructed latrines_by_WASHAgencies]]+WWWW[[#This Row],['#_Non Cluster partner latrines]]))</f>
        <v>16</v>
      </c>
      <c r="CS209" s="78">
        <f>1-WWWW[[#This Row],[% people access to functioning Latrine]]</f>
        <v>1</v>
      </c>
      <c r="CT209" s="560">
        <f>IF(OR(WWWW[[#This Row],['#_Non-functional latrines]]="",WWWW[[#This Row],['#_Non-functional latrines]]=0),0,WWWW[[#This Row],['#_Non-functional latrines]]/(WWWW[[#This Row],['#_Constructed latrines_by_WASHAgencies]]+WWWW[[#This Row],['#_Non Cluster partner latrines]]))</f>
        <v>0</v>
      </c>
      <c r="CU209" s="556">
        <f>IF(500*(WWWW[[#This Row],['#_male hygiene promoters]]+WWWW[[#This Row],['#_female hygiene promoters]])&gt;WWWW[[#This Row],[Total PoP ]],WWWW[[#This Row],[Total PoP ]],500*(WWWW[[#This Row],['#_male hygiene promoters]]+WWWW[[#This Row],['#_female hygiene promoters]]))</f>
        <v>0</v>
      </c>
      <c r="CV20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0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09" s="558">
        <f>IF(WWWW[[#This Row],['# People with access to soap]]&gt;WWWW[[#This Row],['# People with access to Sanity Pads]],WWWW[[#This Row],['# People with access to soap]],WWWW[[#This Row],['# People with access to Sanity Pads]])</f>
        <v>0</v>
      </c>
      <c r="CY20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09" s="561">
        <f>IF(WWWW[[#This Row],[HRP3]]/WWWW[[#This Row],[Total PoP ]]&gt;100%,100%,WWWW[[#This Row],[HRP3]]/WWWW[[#This Row],[Total PoP ]])</f>
        <v>0</v>
      </c>
      <c r="DA209" s="560">
        <f>1-WWWW[[#This Row],[Hygiene Coverage%]]</f>
        <v>1</v>
      </c>
      <c r="DB209" s="559">
        <f>WWWW[[#This Row],['# people reached by regular dedicated hygiene promotion_5]]/WWWW[[#This Row],[Total PoP ]]</f>
        <v>0</v>
      </c>
      <c r="DC209" s="559">
        <f>IF(WWWW[[#This Row],['#_households that received standard amount of soap for this quarter]]/WWWW[[#This Row],[Total HH]]&gt;1,1,WWWW[[#This Row],['#_households that received standard amount of soap for this quarter]]/WWWW[[#This Row],[Total HH]])</f>
        <v>0</v>
      </c>
      <c r="DD209" s="559">
        <f>IF(WWWW[[#This Row],['#_households that received standard amount of sanitary pads for this quarter]]/WWWW[[#This Row],[Total HH]]&gt;1,1,WWWW[[#This Row],['#_households that received standard amount of sanitary pads for this quarter]]/WWWW[[#This Row],[Total HH]])</f>
        <v>0</v>
      </c>
      <c r="DE209" s="558">
        <f>WWWW[[#This Row],['#_Constructed/Existing hand washing stations]]-WWWW[[#This Row],['#_Non-Functional_hand_washing_stations]]</f>
        <v>0</v>
      </c>
      <c r="DF209" s="757">
        <f>IF(WWWW[[#This Row],['# Functional hand washing stations during reporting period]]*20&gt;WWWW[[#This Row],[Total HH]],WWWW[[#This Row],[Total HH]],WWWW[[#This Row],['# Functional hand washing stations during reporting period]]*20)</f>
        <v>0</v>
      </c>
      <c r="DG209" s="556">
        <f>IF(WWWW[[#This Row],[Is sufficient soap available for TLS? (Yes/No)]]="yes",WWWW[[#This Row],['#_Constructed/Existing hand washing stations at TLS]],0)</f>
        <v>0</v>
      </c>
      <c r="DH209" s="556">
        <f>IF(WWWW[[#This Row],['# Functional hand washing stations during reporting period]]*100&gt;WWWW[[#This Row],[Total PoP ]],WWWW[[#This Row],[Total PoP ]],WWWW[[#This Row],['# Functional hand washing stations during reporting period]]*100)</f>
        <v>0</v>
      </c>
      <c r="DI209" s="556" t="str">
        <f>IF(OR(WWWW[[#This Row],['#_students at TLS_CFS]]="",WWWW[[#This Row],['#_students at TLS_CFS]]=0),"No","Yes")</f>
        <v>No</v>
      </c>
      <c r="DJ209" s="554">
        <f>VLOOKUP(WWWW[[#This Row],[Site Name]],SiteDB6[[Site Name]:[CCCM Management]],6,FALSE)</f>
        <v>0</v>
      </c>
      <c r="DK209" s="554">
        <f>VLOOKUP(WWWW[[#This Row],[Site Name]],SiteDB6[[Site Name]:[CCCM Focal Agency]],7,FALSE)</f>
        <v>0</v>
      </c>
      <c r="DL209" s="554" t="str">
        <f>VLOOKUP(WWWW[[#This Row],[Site Name]],SiteDB6[[Site Name]:[Location Type 1]],9,FALSE)</f>
        <v>Village</v>
      </c>
      <c r="DM209" s="554" t="str">
        <f>VLOOKUP(WWWW[[#This Row],[Site Name]],SiteDB6[[Site Name]:[Type of Accommodation]],10,FALSE)</f>
        <v>Village</v>
      </c>
      <c r="DN209" s="554">
        <f>VLOOKUP(WWWW[[#This Row],[Site Name]],SiteDB6[[Site Name]:[Ethnic or GCA/NGCA]],11,FALSE)</f>
        <v>0</v>
      </c>
      <c r="DO209" s="554">
        <f>VLOOKUP(WWWW[[#This Row],[Site Name]],SiteDB6[[Site Name]:[Lat]],12,FALSE)</f>
        <v>19.9964408874512</v>
      </c>
      <c r="DP209" s="554">
        <f>VLOOKUP(WWWW[[#This Row],[Site Name]],SiteDB6[[Site Name]:[Long]],13,FALSE)</f>
        <v>92.951683044433594</v>
      </c>
      <c r="DQ209" s="554">
        <f>VLOOKUP(WWWW[[#This Row],[Site Name]],SiteDB6[[Site Name]:[Pcode]],3,FALSE)</f>
        <v>217986</v>
      </c>
      <c r="DR209" s="563" t="str">
        <f t="shared" si="7"/>
        <v>Covered</v>
      </c>
      <c r="DS209" s="563"/>
    </row>
    <row r="210" spans="1:126">
      <c r="A210" s="552" t="s">
        <v>2518</v>
      </c>
      <c r="B210" s="552" t="s">
        <v>305</v>
      </c>
      <c r="C210" s="555" t="s">
        <v>305</v>
      </c>
      <c r="D210" s="555" t="s">
        <v>345</v>
      </c>
      <c r="E210" s="574" t="s">
        <v>3006</v>
      </c>
      <c r="F210" s="555" t="s">
        <v>420</v>
      </c>
      <c r="G210" s="574" t="str">
        <f>VLOOKUP(WWWW[[#This Row],[Site Name]],SiteDB6[[Site Name]:[Location Type]],8,FALSE)</f>
        <v>Village</v>
      </c>
      <c r="H210" s="555" t="s">
        <v>2820</v>
      </c>
      <c r="I210" s="557">
        <v>47</v>
      </c>
      <c r="J210" s="557">
        <v>239</v>
      </c>
      <c r="K210" s="564">
        <v>43359</v>
      </c>
      <c r="L210" s="565">
        <v>43830</v>
      </c>
      <c r="M210" s="557"/>
      <c r="N210" s="557"/>
      <c r="O210" s="557"/>
      <c r="P210" s="557"/>
      <c r="Q210" s="556"/>
      <c r="R210" s="557"/>
      <c r="S210" s="557"/>
      <c r="T210" s="557"/>
      <c r="U210" s="557"/>
      <c r="V210" s="557"/>
      <c r="W210" s="557"/>
      <c r="X210" s="557"/>
      <c r="Y210" s="557"/>
      <c r="Z210" s="557"/>
      <c r="AA210" s="557"/>
      <c r="AB210" s="557"/>
      <c r="AC210" s="557"/>
      <c r="AD210" s="557"/>
      <c r="AE210" s="557"/>
      <c r="AF210" s="557"/>
      <c r="AG210" s="557"/>
      <c r="AH210" s="557"/>
      <c r="AI210" s="557"/>
      <c r="AJ210" s="557"/>
      <c r="AK210" s="557"/>
      <c r="AL210" s="557"/>
      <c r="AM210" s="557"/>
      <c r="AN210" s="557"/>
      <c r="AO210" s="563"/>
      <c r="AP210" s="557"/>
      <c r="AQ210" s="557"/>
      <c r="AR210" s="559"/>
      <c r="AS210" s="557"/>
      <c r="AT210" s="557"/>
      <c r="AU210" s="557"/>
      <c r="AV210" s="557"/>
      <c r="AW210" s="557"/>
      <c r="AX210" s="554"/>
      <c r="AY210" s="563"/>
      <c r="AZ210" s="557"/>
      <c r="BA210" s="557"/>
      <c r="BB210" s="557"/>
      <c r="BC210" s="554"/>
      <c r="BD210" s="557"/>
      <c r="BE210" s="557"/>
      <c r="BF210" s="557"/>
      <c r="BG210" s="557"/>
      <c r="BH210" s="557"/>
      <c r="BI210" s="557"/>
      <c r="BJ210" s="557"/>
      <c r="BK210" s="557"/>
      <c r="BL210" s="557"/>
      <c r="BM210" s="554"/>
      <c r="BN210" s="558"/>
      <c r="BO210" s="559"/>
      <c r="BP210" s="554"/>
      <c r="BQ210" s="560" t="str">
        <f>IFERROR(WWWW[[#This Row],['#_Water sources treated]]/WWWW[[#This Row],['#_Water sources tested for contamination]],"no test")</f>
        <v>no test</v>
      </c>
      <c r="BR210" s="559" t="str">
        <f>IFERROR(WWWW[[#This Row],['#_Household received remediation action due to contamination]]/WWWW[[#This Row],['#_Household water samples tested for contamination]],"no test")</f>
        <v>no test</v>
      </c>
      <c r="BS210" s="558" t="str">
        <f>IF(AND(WWWW[[#This Row],[% of water sources treated]]="no test",WWWW[[#This Row],[% Household received corrective actions]]="no test"),"No Test","Tested")</f>
        <v>No Test</v>
      </c>
      <c r="BT210" s="558">
        <f>WWWW[[#This Row],['#_Constructed/existing protected hand dug well]]-WWWW[[#This Row],['#_Non-functional protected hand dug well]]</f>
        <v>0</v>
      </c>
      <c r="BU210" s="558">
        <f>(WWWW[[#This Row],['#_Constructed/Existing tube wells/boreholes/handpumps_WASH_agency]]+WWWW[[#This Row],['#_Non-Cluster partner water tube-wells/boreholes/handpumps]])-WWWW[[#This Row],['#_Non-functional tube wells/boreholes/handpumps]]</f>
        <v>0</v>
      </c>
      <c r="BV210" s="558">
        <f>WWWW[[#This Row],['#_Constructed/Existingwater storage tank with gravity fed reticulation system]]-WWWW[[#This Row],['#_Non-functional storage tank gravity fed reticulation system]]</f>
        <v>0</v>
      </c>
      <c r="BW210" s="558">
        <f>WWWW[[#This Row],['#_Water boating or water trucking]]</f>
        <v>0</v>
      </c>
      <c r="BX210" s="558">
        <f>WWWW[[#This Row],['#_Constructed/Existing water distribution system from river or natural spring]]</f>
        <v>0</v>
      </c>
      <c r="BY21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0" s="559">
        <f>IF(WWWW[[#This Row],[Location Type 1]]="Village",WWWW[[#This Row],[Access to safe drinking water for Village]],WWWW[[#This Row],[Access to safe drinking water for Camp]])</f>
        <v>0</v>
      </c>
      <c r="CB210" s="556">
        <f>WWWW[[#This Row],[%Equitable and continuous access to sufficient quantity of safe drinking water]]*WWWW[[#This Row],[Total PoP ]]</f>
        <v>0</v>
      </c>
      <c r="CC210" s="559">
        <f>IF((WWWW[[#This Row],['#_Constructed/Existing protected/fenced ponds]]*250)/WWWW[[#This Row],[Total PoP ]]&gt;1,1,(WWWW[[#This Row],['#_Constructed/Existing protected/fenced ponds]]*250)/WWWW[[#This Row],[Total PoP ]])</f>
        <v>0</v>
      </c>
      <c r="CD210" s="556">
        <f>WWWW[[#This Row],[% Access to unimproved water points]]*WWWW[[#This Row],[Total PoP ]]</f>
        <v>0</v>
      </c>
      <c r="CE21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0" s="556">
        <f>WWWW[[#This Row],[HRP1]]/500</f>
        <v>0</v>
      </c>
      <c r="CH210" s="561">
        <f>1-WWWW[[#This Row],[% Equitable and continuous access to sufficient quantity of domestic water]]</f>
        <v>1</v>
      </c>
      <c r="CI210" s="556">
        <f>WWWW[[#This Row],[%equitable and continuous access to sufficient quantity of safe drinking and domestic water''s GAP]]*WWWW[[#This Row],[Total PoP ]]</f>
        <v>239</v>
      </c>
      <c r="CJ210" s="558">
        <f>IF(WWWW[[#This Row],[Total required water points]]-WWWW[[#This Row],['#Water points coverage]]&lt;0,0,WWWW[[#This Row],[Total required water points]]-WWWW[[#This Row],['#Water points coverage]])</f>
        <v>1</v>
      </c>
      <c r="CK210" s="558">
        <f>ROUND(IF(WWWW[[#This Row],[Total PoP ]]&lt;500,1,WWWW[[#This Row],[Total PoP ]]/500),0)</f>
        <v>1</v>
      </c>
      <c r="CL210" s="558">
        <f>(WWWW[[#This Row],['#_Constructed latrines_by_WASHAgencies]]+WWWW[[#This Row],['#_Non Cluster partner latrines]])-WWWW[[#This Row],['#_Non-functional latrines]]</f>
        <v>0</v>
      </c>
      <c r="CM21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0" s="558" t="str">
        <f>IF(WWWW[[#This Row],[Location Type 1]]="Village","NA",IF(WWWW[[#This Row],['#_Constructed/Existing latrines in TLS]]*50&gt;WWWW[[#This Row],['#_students at TLS_CFS]],WWWW[[#This Row],['#_students at TLS_CFS]],(WWWW[[#This Row],['#_Constructed/Existing latrines in TLS]]*50)))</f>
        <v>NA</v>
      </c>
      <c r="CQ210" s="558">
        <f>ROUND(IF(WWWW[[#This Row],[Location Type 1]]="camp",WWWW[[#This Row],[Total PoP ]]/20,IF(WWWW[[#This Row],[Location Type 1]]="Temporary Location",WWWW[[#This Row],[Total PoP ]]/50,(WWWW[[#This Row],[Total PoP ]]/6))),0)</f>
        <v>40</v>
      </c>
      <c r="CR210" s="558">
        <f>IF(WWWW[[#This Row],[Total required Latrines]]-(WWWW[[#This Row],['#_Constructed latrines_by_WASHAgencies]]+WWWW[[#This Row],['#_Non Cluster partner latrines]])&lt;0,0,WWWW[[#This Row],[Total required Latrines]]-(WWWW[[#This Row],['#_Constructed latrines_by_WASHAgencies]]+WWWW[[#This Row],['#_Non Cluster partner latrines]]))</f>
        <v>40</v>
      </c>
      <c r="CS210" s="78">
        <f>1-WWWW[[#This Row],[% people access to functioning Latrine]]</f>
        <v>1</v>
      </c>
      <c r="CT210" s="560">
        <f>IF(OR(WWWW[[#This Row],['#_Non-functional latrines]]="",WWWW[[#This Row],['#_Non-functional latrines]]=0),0,WWWW[[#This Row],['#_Non-functional latrines]]/(WWWW[[#This Row],['#_Constructed latrines_by_WASHAgencies]]+WWWW[[#This Row],['#_Non Cluster partner latrines]]))</f>
        <v>0</v>
      </c>
      <c r="CU210" s="556">
        <f>IF(500*(WWWW[[#This Row],['#_male hygiene promoters]]+WWWW[[#This Row],['#_female hygiene promoters]])&gt;WWWW[[#This Row],[Total PoP ]],WWWW[[#This Row],[Total PoP ]],500*(WWWW[[#This Row],['#_male hygiene promoters]]+WWWW[[#This Row],['#_female hygiene promoters]]))</f>
        <v>0</v>
      </c>
      <c r="CV21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0" s="558">
        <f>IF(WWWW[[#This Row],['# People with access to soap]]&gt;WWWW[[#This Row],['# People with access to Sanity Pads]],WWWW[[#This Row],['# People with access to soap]],WWWW[[#This Row],['# People with access to Sanity Pads]])</f>
        <v>0</v>
      </c>
      <c r="CY21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0" s="561">
        <f>IF(WWWW[[#This Row],[HRP3]]/WWWW[[#This Row],[Total PoP ]]&gt;100%,100%,WWWW[[#This Row],[HRP3]]/WWWW[[#This Row],[Total PoP ]])</f>
        <v>0</v>
      </c>
      <c r="DA210" s="560">
        <f>1-WWWW[[#This Row],[Hygiene Coverage%]]</f>
        <v>1</v>
      </c>
      <c r="DB210" s="559">
        <f>WWWW[[#This Row],['# people reached by regular dedicated hygiene promotion_5]]/WWWW[[#This Row],[Total PoP ]]</f>
        <v>0</v>
      </c>
      <c r="DC210" s="559">
        <f>IF(WWWW[[#This Row],['#_households that received standard amount of soap for this quarter]]/WWWW[[#This Row],[Total HH]]&gt;1,1,WWWW[[#This Row],['#_households that received standard amount of soap for this quarter]]/WWWW[[#This Row],[Total HH]])</f>
        <v>0</v>
      </c>
      <c r="DD210" s="559">
        <f>IF(WWWW[[#This Row],['#_households that received standard amount of sanitary pads for this quarter]]/WWWW[[#This Row],[Total HH]]&gt;1,1,WWWW[[#This Row],['#_households that received standard amount of sanitary pads for this quarter]]/WWWW[[#This Row],[Total HH]])</f>
        <v>0</v>
      </c>
      <c r="DE210" s="558">
        <f>WWWW[[#This Row],['#_Constructed/Existing hand washing stations]]-WWWW[[#This Row],['#_Non-Functional_hand_washing_stations]]</f>
        <v>0</v>
      </c>
      <c r="DF210" s="757">
        <f>IF(WWWW[[#This Row],['# Functional hand washing stations during reporting period]]*20&gt;WWWW[[#This Row],[Total HH]],WWWW[[#This Row],[Total HH]],WWWW[[#This Row],['# Functional hand washing stations during reporting period]]*20)</f>
        <v>0</v>
      </c>
      <c r="DG210" s="556">
        <f>IF(WWWW[[#This Row],[Is sufficient soap available for TLS? (Yes/No)]]="yes",WWWW[[#This Row],['#_Constructed/Existing hand washing stations at TLS]],0)</f>
        <v>0</v>
      </c>
      <c r="DH210" s="556">
        <f>IF(WWWW[[#This Row],['# Functional hand washing stations during reporting period]]*100&gt;WWWW[[#This Row],[Total PoP ]],WWWW[[#This Row],[Total PoP ]],WWWW[[#This Row],['# Functional hand washing stations during reporting period]]*100)</f>
        <v>0</v>
      </c>
      <c r="DI210" s="556" t="str">
        <f>IF(OR(WWWW[[#This Row],['#_students at TLS_CFS]]="",WWWW[[#This Row],['#_students at TLS_CFS]]=0),"No","Yes")</f>
        <v>No</v>
      </c>
      <c r="DJ210" s="554">
        <f>VLOOKUP(WWWW[[#This Row],[Site Name]],SiteDB6[[Site Name]:[CCCM Management]],6,FALSE)</f>
        <v>0</v>
      </c>
      <c r="DK210" s="554">
        <f>VLOOKUP(WWWW[[#This Row],[Site Name]],SiteDB6[[Site Name]:[CCCM Focal Agency]],7,FALSE)</f>
        <v>0</v>
      </c>
      <c r="DL210" s="554" t="str">
        <f>VLOOKUP(WWWW[[#This Row],[Site Name]],SiteDB6[[Site Name]:[Location Type 1]],9,FALSE)</f>
        <v>Village</v>
      </c>
      <c r="DM210" s="554" t="str">
        <f>VLOOKUP(WWWW[[#This Row],[Site Name]],SiteDB6[[Site Name]:[Type of Accommodation]],10,FALSE)</f>
        <v>Village</v>
      </c>
      <c r="DN210" s="554">
        <f>VLOOKUP(WWWW[[#This Row],[Site Name]],SiteDB6[[Site Name]:[Ethnic or GCA/NGCA]],11,FALSE)</f>
        <v>0</v>
      </c>
      <c r="DO210" s="554">
        <f>VLOOKUP(WWWW[[#This Row],[Site Name]],SiteDB6[[Site Name]:[Lat]],12,FALSE)</f>
        <v>0</v>
      </c>
      <c r="DP210" s="554">
        <f>VLOOKUP(WWWW[[#This Row],[Site Name]],SiteDB6[[Site Name]:[Long]],13,FALSE)</f>
        <v>0</v>
      </c>
      <c r="DQ210" s="554">
        <f>VLOOKUP(WWWW[[#This Row],[Site Name]],SiteDB6[[Site Name]:[Pcode]],3,FALSE)</f>
        <v>0</v>
      </c>
      <c r="DR210" s="563" t="str">
        <f t="shared" si="7"/>
        <v>Covered</v>
      </c>
      <c r="DS210" s="563"/>
    </row>
    <row r="211" spans="1:126">
      <c r="A211" s="552" t="s">
        <v>2518</v>
      </c>
      <c r="B211" s="552" t="s">
        <v>305</v>
      </c>
      <c r="C211" s="555" t="s">
        <v>305</v>
      </c>
      <c r="D211" s="555" t="s">
        <v>345</v>
      </c>
      <c r="E211" s="574" t="s">
        <v>3006</v>
      </c>
      <c r="F211" s="555" t="s">
        <v>420</v>
      </c>
      <c r="G211" s="574" t="str">
        <f>VLOOKUP(WWWW[[#This Row],[Site Name]],SiteDB6[[Site Name]:[Location Type]],8,FALSE)</f>
        <v>Village</v>
      </c>
      <c r="H211" s="555" t="s">
        <v>2821</v>
      </c>
      <c r="I211" s="557">
        <v>113</v>
      </c>
      <c r="J211" s="557">
        <v>506</v>
      </c>
      <c r="K211" s="564">
        <v>43359</v>
      </c>
      <c r="L211" s="565">
        <v>43830</v>
      </c>
      <c r="M211" s="557"/>
      <c r="N211" s="557"/>
      <c r="O211" s="557"/>
      <c r="P211" s="557"/>
      <c r="Q211" s="556"/>
      <c r="R211" s="557"/>
      <c r="S211" s="557"/>
      <c r="T211" s="557"/>
      <c r="U211" s="557"/>
      <c r="V211" s="557"/>
      <c r="W211" s="557"/>
      <c r="X211" s="557"/>
      <c r="Y211" s="557"/>
      <c r="Z211" s="557"/>
      <c r="AA211" s="557"/>
      <c r="AB211" s="557"/>
      <c r="AC211" s="557"/>
      <c r="AD211" s="557"/>
      <c r="AE211" s="557"/>
      <c r="AF211" s="557"/>
      <c r="AG211" s="557"/>
      <c r="AH211" s="557"/>
      <c r="AI211" s="557"/>
      <c r="AJ211" s="557"/>
      <c r="AK211" s="557"/>
      <c r="AL211" s="557"/>
      <c r="AM211" s="557"/>
      <c r="AN211" s="557"/>
      <c r="AO211" s="563"/>
      <c r="AP211" s="557"/>
      <c r="AQ211" s="557"/>
      <c r="AR211" s="559"/>
      <c r="AS211" s="557"/>
      <c r="AT211" s="557"/>
      <c r="AU211" s="557"/>
      <c r="AV211" s="557"/>
      <c r="AW211" s="557"/>
      <c r="AX211" s="554"/>
      <c r="AY211" s="563"/>
      <c r="AZ211" s="557"/>
      <c r="BA211" s="557"/>
      <c r="BB211" s="557"/>
      <c r="BC211" s="554"/>
      <c r="BD211" s="557"/>
      <c r="BE211" s="557"/>
      <c r="BF211" s="557"/>
      <c r="BG211" s="557"/>
      <c r="BH211" s="557"/>
      <c r="BI211" s="557"/>
      <c r="BJ211" s="557"/>
      <c r="BK211" s="557"/>
      <c r="BL211" s="557"/>
      <c r="BM211" s="554"/>
      <c r="BN211" s="558"/>
      <c r="BO211" s="559"/>
      <c r="BP211" s="554"/>
      <c r="BQ211" s="560" t="str">
        <f>IFERROR(WWWW[[#This Row],['#_Water sources treated]]/WWWW[[#This Row],['#_Water sources tested for contamination]],"no test")</f>
        <v>no test</v>
      </c>
      <c r="BR211" s="559" t="str">
        <f>IFERROR(WWWW[[#This Row],['#_Household received remediation action due to contamination]]/WWWW[[#This Row],['#_Household water samples tested for contamination]],"no test")</f>
        <v>no test</v>
      </c>
      <c r="BS211" s="558" t="str">
        <f>IF(AND(WWWW[[#This Row],[% of water sources treated]]="no test",WWWW[[#This Row],[% Household received corrective actions]]="no test"),"No Test","Tested")</f>
        <v>No Test</v>
      </c>
      <c r="BT211" s="558">
        <f>WWWW[[#This Row],['#_Constructed/existing protected hand dug well]]-WWWW[[#This Row],['#_Non-functional protected hand dug well]]</f>
        <v>0</v>
      </c>
      <c r="BU211" s="558">
        <f>(WWWW[[#This Row],['#_Constructed/Existing tube wells/boreholes/handpumps_WASH_agency]]+WWWW[[#This Row],['#_Non-Cluster partner water tube-wells/boreholes/handpumps]])-WWWW[[#This Row],['#_Non-functional tube wells/boreholes/handpumps]]</f>
        <v>0</v>
      </c>
      <c r="BV211" s="558">
        <f>WWWW[[#This Row],['#_Constructed/Existingwater storage tank with gravity fed reticulation system]]-WWWW[[#This Row],['#_Non-functional storage tank gravity fed reticulation system]]</f>
        <v>0</v>
      </c>
      <c r="BW211" s="558">
        <f>WWWW[[#This Row],['#_Water boating or water trucking]]</f>
        <v>0</v>
      </c>
      <c r="BX211" s="558">
        <f>WWWW[[#This Row],['#_Constructed/Existing water distribution system from river or natural spring]]</f>
        <v>0</v>
      </c>
      <c r="BY21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1" s="559">
        <f>IF(WWWW[[#This Row],[Location Type 1]]="Village",WWWW[[#This Row],[Access to safe drinking water for Village]],WWWW[[#This Row],[Access to safe drinking water for Camp]])</f>
        <v>0</v>
      </c>
      <c r="CB211" s="556">
        <f>WWWW[[#This Row],[%Equitable and continuous access to sufficient quantity of safe drinking water]]*WWWW[[#This Row],[Total PoP ]]</f>
        <v>0</v>
      </c>
      <c r="CC211" s="559">
        <f>IF((WWWW[[#This Row],['#_Constructed/Existing protected/fenced ponds]]*250)/WWWW[[#This Row],[Total PoP ]]&gt;1,1,(WWWW[[#This Row],['#_Constructed/Existing protected/fenced ponds]]*250)/WWWW[[#This Row],[Total PoP ]])</f>
        <v>0</v>
      </c>
      <c r="CD211" s="556">
        <f>WWWW[[#This Row],[% Access to unimproved water points]]*WWWW[[#This Row],[Total PoP ]]</f>
        <v>0</v>
      </c>
      <c r="CE21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1" s="556">
        <f>WWWW[[#This Row],[HRP1]]/500</f>
        <v>0</v>
      </c>
      <c r="CH211" s="561">
        <f>1-WWWW[[#This Row],[% Equitable and continuous access to sufficient quantity of domestic water]]</f>
        <v>1</v>
      </c>
      <c r="CI211" s="556">
        <f>WWWW[[#This Row],[%equitable and continuous access to sufficient quantity of safe drinking and domestic water''s GAP]]*WWWW[[#This Row],[Total PoP ]]</f>
        <v>506</v>
      </c>
      <c r="CJ211" s="558">
        <f>IF(WWWW[[#This Row],[Total required water points]]-WWWW[[#This Row],['#Water points coverage]]&lt;0,0,WWWW[[#This Row],[Total required water points]]-WWWW[[#This Row],['#Water points coverage]])</f>
        <v>1</v>
      </c>
      <c r="CK211" s="558">
        <f>ROUND(IF(WWWW[[#This Row],[Total PoP ]]&lt;500,1,WWWW[[#This Row],[Total PoP ]]/500),0)</f>
        <v>1</v>
      </c>
      <c r="CL211" s="558">
        <f>(WWWW[[#This Row],['#_Constructed latrines_by_WASHAgencies]]+WWWW[[#This Row],['#_Non Cluster partner latrines]])-WWWW[[#This Row],['#_Non-functional latrines]]</f>
        <v>0</v>
      </c>
      <c r="CM21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1" s="558" t="str">
        <f>IF(WWWW[[#This Row],[Location Type 1]]="Village","NA",IF(WWWW[[#This Row],['#_Constructed/Existing latrines in TLS]]*50&gt;WWWW[[#This Row],['#_students at TLS_CFS]],WWWW[[#This Row],['#_students at TLS_CFS]],(WWWW[[#This Row],['#_Constructed/Existing latrines in TLS]]*50)))</f>
        <v>NA</v>
      </c>
      <c r="CQ211" s="558">
        <f>ROUND(IF(WWWW[[#This Row],[Location Type 1]]="camp",WWWW[[#This Row],[Total PoP ]]/20,IF(WWWW[[#This Row],[Location Type 1]]="Temporary Location",WWWW[[#This Row],[Total PoP ]]/50,(WWWW[[#This Row],[Total PoP ]]/6))),0)</f>
        <v>84</v>
      </c>
      <c r="CR211" s="558">
        <f>IF(WWWW[[#This Row],[Total required Latrines]]-(WWWW[[#This Row],['#_Constructed latrines_by_WASHAgencies]]+WWWW[[#This Row],['#_Non Cluster partner latrines]])&lt;0,0,WWWW[[#This Row],[Total required Latrines]]-(WWWW[[#This Row],['#_Constructed latrines_by_WASHAgencies]]+WWWW[[#This Row],['#_Non Cluster partner latrines]]))</f>
        <v>84</v>
      </c>
      <c r="CS211" s="78">
        <f>1-WWWW[[#This Row],[% people access to functioning Latrine]]</f>
        <v>1</v>
      </c>
      <c r="CT211" s="560">
        <f>IF(OR(WWWW[[#This Row],['#_Non-functional latrines]]="",WWWW[[#This Row],['#_Non-functional latrines]]=0),0,WWWW[[#This Row],['#_Non-functional latrines]]/(WWWW[[#This Row],['#_Constructed latrines_by_WASHAgencies]]+WWWW[[#This Row],['#_Non Cluster partner latrines]]))</f>
        <v>0</v>
      </c>
      <c r="CU211" s="556">
        <f>IF(500*(WWWW[[#This Row],['#_male hygiene promoters]]+WWWW[[#This Row],['#_female hygiene promoters]])&gt;WWWW[[#This Row],[Total PoP ]],WWWW[[#This Row],[Total PoP ]],500*(WWWW[[#This Row],['#_male hygiene promoters]]+WWWW[[#This Row],['#_female hygiene promoters]]))</f>
        <v>0</v>
      </c>
      <c r="CV21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1" s="558">
        <f>IF(WWWW[[#This Row],['# People with access to soap]]&gt;WWWW[[#This Row],['# People with access to Sanity Pads]],WWWW[[#This Row],['# People with access to soap]],WWWW[[#This Row],['# People with access to Sanity Pads]])</f>
        <v>0</v>
      </c>
      <c r="CY21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1" s="561">
        <f>IF(WWWW[[#This Row],[HRP3]]/WWWW[[#This Row],[Total PoP ]]&gt;100%,100%,WWWW[[#This Row],[HRP3]]/WWWW[[#This Row],[Total PoP ]])</f>
        <v>0</v>
      </c>
      <c r="DA211" s="560">
        <f>1-WWWW[[#This Row],[Hygiene Coverage%]]</f>
        <v>1</v>
      </c>
      <c r="DB211" s="559">
        <f>WWWW[[#This Row],['# people reached by regular dedicated hygiene promotion_5]]/WWWW[[#This Row],[Total PoP ]]</f>
        <v>0</v>
      </c>
      <c r="DC211" s="559">
        <f>IF(WWWW[[#This Row],['#_households that received standard amount of soap for this quarter]]/WWWW[[#This Row],[Total HH]]&gt;1,1,WWWW[[#This Row],['#_households that received standard amount of soap for this quarter]]/WWWW[[#This Row],[Total HH]])</f>
        <v>0</v>
      </c>
      <c r="DD211" s="559">
        <f>IF(WWWW[[#This Row],['#_households that received standard amount of sanitary pads for this quarter]]/WWWW[[#This Row],[Total HH]]&gt;1,1,WWWW[[#This Row],['#_households that received standard amount of sanitary pads for this quarter]]/WWWW[[#This Row],[Total HH]])</f>
        <v>0</v>
      </c>
      <c r="DE211" s="558">
        <f>WWWW[[#This Row],['#_Constructed/Existing hand washing stations]]-WWWW[[#This Row],['#_Non-Functional_hand_washing_stations]]</f>
        <v>0</v>
      </c>
      <c r="DF211" s="757">
        <f>IF(WWWW[[#This Row],['# Functional hand washing stations during reporting period]]*20&gt;WWWW[[#This Row],[Total HH]],WWWW[[#This Row],[Total HH]],WWWW[[#This Row],['# Functional hand washing stations during reporting period]]*20)</f>
        <v>0</v>
      </c>
      <c r="DG211" s="556">
        <f>IF(WWWW[[#This Row],[Is sufficient soap available for TLS? (Yes/No)]]="yes",WWWW[[#This Row],['#_Constructed/Existing hand washing stations at TLS]],0)</f>
        <v>0</v>
      </c>
      <c r="DH211" s="556">
        <f>IF(WWWW[[#This Row],['# Functional hand washing stations during reporting period]]*100&gt;WWWW[[#This Row],[Total PoP ]],WWWW[[#This Row],[Total PoP ]],WWWW[[#This Row],['# Functional hand washing stations during reporting period]]*100)</f>
        <v>0</v>
      </c>
      <c r="DI211" s="556" t="str">
        <f>IF(OR(WWWW[[#This Row],['#_students at TLS_CFS]]="",WWWW[[#This Row],['#_students at TLS_CFS]]=0),"No","Yes")</f>
        <v>No</v>
      </c>
      <c r="DJ211" s="554">
        <f>VLOOKUP(WWWW[[#This Row],[Site Name]],SiteDB6[[Site Name]:[CCCM Management]],6,FALSE)</f>
        <v>0</v>
      </c>
      <c r="DK211" s="554">
        <f>VLOOKUP(WWWW[[#This Row],[Site Name]],SiteDB6[[Site Name]:[CCCM Focal Agency]],7,FALSE)</f>
        <v>0</v>
      </c>
      <c r="DL211" s="554" t="str">
        <f>VLOOKUP(WWWW[[#This Row],[Site Name]],SiteDB6[[Site Name]:[Location Type 1]],9,FALSE)</f>
        <v>Village</v>
      </c>
      <c r="DM211" s="554" t="str">
        <f>VLOOKUP(WWWW[[#This Row],[Site Name]],SiteDB6[[Site Name]:[Type of Accommodation]],10,FALSE)</f>
        <v>Village</v>
      </c>
      <c r="DN211" s="554">
        <f>VLOOKUP(WWWW[[#This Row],[Site Name]],SiteDB6[[Site Name]:[Ethnic or GCA/NGCA]],11,FALSE)</f>
        <v>0</v>
      </c>
      <c r="DO211" s="554">
        <f>VLOOKUP(WWWW[[#This Row],[Site Name]],SiteDB6[[Site Name]:[Lat]],12,FALSE)</f>
        <v>0</v>
      </c>
      <c r="DP211" s="554">
        <f>VLOOKUP(WWWW[[#This Row],[Site Name]],SiteDB6[[Site Name]:[Long]],13,FALSE)</f>
        <v>0</v>
      </c>
      <c r="DQ211" s="554">
        <f>VLOOKUP(WWWW[[#This Row],[Site Name]],SiteDB6[[Site Name]:[Pcode]],3,FALSE)</f>
        <v>0</v>
      </c>
      <c r="DR211" s="563" t="str">
        <f t="shared" si="7"/>
        <v>Covered</v>
      </c>
      <c r="DS211" s="563"/>
    </row>
    <row r="212" spans="1:126">
      <c r="A212" s="552" t="s">
        <v>2518</v>
      </c>
      <c r="B212" s="552" t="s">
        <v>305</v>
      </c>
      <c r="C212" s="555" t="s">
        <v>305</v>
      </c>
      <c r="D212" s="555" t="s">
        <v>345</v>
      </c>
      <c r="E212" s="574" t="s">
        <v>3006</v>
      </c>
      <c r="F212" s="555" t="s">
        <v>420</v>
      </c>
      <c r="G212" s="574" t="str">
        <f>VLOOKUP(WWWW[[#This Row],[Site Name]],SiteDB6[[Site Name]:[Location Type]],8,FALSE)</f>
        <v>Village</v>
      </c>
      <c r="H212" s="555" t="s">
        <v>2825</v>
      </c>
      <c r="I212" s="557">
        <v>66</v>
      </c>
      <c r="J212" s="557">
        <v>315</v>
      </c>
      <c r="K212" s="564">
        <v>43359</v>
      </c>
      <c r="L212" s="565">
        <v>43830</v>
      </c>
      <c r="M212" s="557"/>
      <c r="N212" s="557"/>
      <c r="O212" s="557"/>
      <c r="P212" s="557"/>
      <c r="Q212" s="556"/>
      <c r="R212" s="557"/>
      <c r="S212" s="557"/>
      <c r="T212" s="557"/>
      <c r="U212" s="557"/>
      <c r="V212" s="557"/>
      <c r="W212" s="557"/>
      <c r="X212" s="557"/>
      <c r="Y212" s="557"/>
      <c r="Z212" s="557"/>
      <c r="AA212" s="557"/>
      <c r="AB212" s="557"/>
      <c r="AC212" s="557"/>
      <c r="AD212" s="557"/>
      <c r="AE212" s="557"/>
      <c r="AF212" s="557"/>
      <c r="AG212" s="557"/>
      <c r="AH212" s="557"/>
      <c r="AI212" s="557"/>
      <c r="AJ212" s="557"/>
      <c r="AK212" s="557"/>
      <c r="AL212" s="557"/>
      <c r="AM212" s="557"/>
      <c r="AN212" s="557"/>
      <c r="AO212" s="563"/>
      <c r="AP212" s="557"/>
      <c r="AQ212" s="557"/>
      <c r="AR212" s="559"/>
      <c r="AS212" s="557"/>
      <c r="AT212" s="557"/>
      <c r="AU212" s="557"/>
      <c r="AV212" s="557"/>
      <c r="AW212" s="557"/>
      <c r="AX212" s="554"/>
      <c r="AY212" s="563"/>
      <c r="AZ212" s="557"/>
      <c r="BA212" s="557"/>
      <c r="BB212" s="557"/>
      <c r="BC212" s="554"/>
      <c r="BD212" s="557"/>
      <c r="BE212" s="557"/>
      <c r="BF212" s="557"/>
      <c r="BG212" s="557"/>
      <c r="BH212" s="557"/>
      <c r="BI212" s="557"/>
      <c r="BJ212" s="557"/>
      <c r="BK212" s="557"/>
      <c r="BL212" s="557"/>
      <c r="BM212" s="554"/>
      <c r="BN212" s="558"/>
      <c r="BO212" s="559"/>
      <c r="BP212" s="554"/>
      <c r="BQ212" s="560" t="str">
        <f>IFERROR(WWWW[[#This Row],['#_Water sources treated]]/WWWW[[#This Row],['#_Water sources tested for contamination]],"no test")</f>
        <v>no test</v>
      </c>
      <c r="BR212" s="559" t="str">
        <f>IFERROR(WWWW[[#This Row],['#_Household received remediation action due to contamination]]/WWWW[[#This Row],['#_Household water samples tested for contamination]],"no test")</f>
        <v>no test</v>
      </c>
      <c r="BS212" s="558" t="str">
        <f>IF(AND(WWWW[[#This Row],[% of water sources treated]]="no test",WWWW[[#This Row],[% Household received corrective actions]]="no test"),"No Test","Tested")</f>
        <v>No Test</v>
      </c>
      <c r="BT212" s="558">
        <f>WWWW[[#This Row],['#_Constructed/existing protected hand dug well]]-WWWW[[#This Row],['#_Non-functional protected hand dug well]]</f>
        <v>0</v>
      </c>
      <c r="BU212" s="558">
        <f>(WWWW[[#This Row],['#_Constructed/Existing tube wells/boreholes/handpumps_WASH_agency]]+WWWW[[#This Row],['#_Non-Cluster partner water tube-wells/boreholes/handpumps]])-WWWW[[#This Row],['#_Non-functional tube wells/boreholes/handpumps]]</f>
        <v>0</v>
      </c>
      <c r="BV212" s="558">
        <f>WWWW[[#This Row],['#_Constructed/Existingwater storage tank with gravity fed reticulation system]]-WWWW[[#This Row],['#_Non-functional storage tank gravity fed reticulation system]]</f>
        <v>0</v>
      </c>
      <c r="BW212" s="558">
        <f>WWWW[[#This Row],['#_Water boating or water trucking]]</f>
        <v>0</v>
      </c>
      <c r="BX212" s="558">
        <f>WWWW[[#This Row],['#_Constructed/Existing water distribution system from river or natural spring]]</f>
        <v>0</v>
      </c>
      <c r="BY21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2" s="559">
        <f>IF(WWWW[[#This Row],[Location Type 1]]="Village",WWWW[[#This Row],[Access to safe drinking water for Village]],WWWW[[#This Row],[Access to safe drinking water for Camp]])</f>
        <v>0</v>
      </c>
      <c r="CB212" s="556">
        <f>WWWW[[#This Row],[%Equitable and continuous access to sufficient quantity of safe drinking water]]*WWWW[[#This Row],[Total PoP ]]</f>
        <v>0</v>
      </c>
      <c r="CC212" s="559">
        <f>IF((WWWW[[#This Row],['#_Constructed/Existing protected/fenced ponds]]*250)/WWWW[[#This Row],[Total PoP ]]&gt;1,1,(WWWW[[#This Row],['#_Constructed/Existing protected/fenced ponds]]*250)/WWWW[[#This Row],[Total PoP ]])</f>
        <v>0</v>
      </c>
      <c r="CD212" s="556">
        <f>WWWW[[#This Row],[% Access to unimproved water points]]*WWWW[[#This Row],[Total PoP ]]</f>
        <v>0</v>
      </c>
      <c r="CE21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2" s="556">
        <f>WWWW[[#This Row],[HRP1]]/500</f>
        <v>0</v>
      </c>
      <c r="CH212" s="561">
        <f>1-WWWW[[#This Row],[% Equitable and continuous access to sufficient quantity of domestic water]]</f>
        <v>1</v>
      </c>
      <c r="CI212" s="556">
        <f>WWWW[[#This Row],[%equitable and continuous access to sufficient quantity of safe drinking and domestic water''s GAP]]*WWWW[[#This Row],[Total PoP ]]</f>
        <v>315</v>
      </c>
      <c r="CJ212" s="558">
        <f>IF(WWWW[[#This Row],[Total required water points]]-WWWW[[#This Row],['#Water points coverage]]&lt;0,0,WWWW[[#This Row],[Total required water points]]-WWWW[[#This Row],['#Water points coverage]])</f>
        <v>1</v>
      </c>
      <c r="CK212" s="558">
        <f>ROUND(IF(WWWW[[#This Row],[Total PoP ]]&lt;500,1,WWWW[[#This Row],[Total PoP ]]/500),0)</f>
        <v>1</v>
      </c>
      <c r="CL212" s="558">
        <f>(WWWW[[#This Row],['#_Constructed latrines_by_WASHAgencies]]+WWWW[[#This Row],['#_Non Cluster partner latrines]])-WWWW[[#This Row],['#_Non-functional latrines]]</f>
        <v>0</v>
      </c>
      <c r="CM21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2" s="558" t="str">
        <f>IF(WWWW[[#This Row],[Location Type 1]]="Village","NA",IF(WWWW[[#This Row],['#_Constructed/Existing latrines in TLS]]*50&gt;WWWW[[#This Row],['#_students at TLS_CFS]],WWWW[[#This Row],['#_students at TLS_CFS]],(WWWW[[#This Row],['#_Constructed/Existing latrines in TLS]]*50)))</f>
        <v>NA</v>
      </c>
      <c r="CQ212" s="558">
        <f>ROUND(IF(WWWW[[#This Row],[Location Type 1]]="camp",WWWW[[#This Row],[Total PoP ]]/20,IF(WWWW[[#This Row],[Location Type 1]]="Temporary Location",WWWW[[#This Row],[Total PoP ]]/50,(WWWW[[#This Row],[Total PoP ]]/6))),0)</f>
        <v>53</v>
      </c>
      <c r="CR212" s="558">
        <f>IF(WWWW[[#This Row],[Total required Latrines]]-(WWWW[[#This Row],['#_Constructed latrines_by_WASHAgencies]]+WWWW[[#This Row],['#_Non Cluster partner latrines]])&lt;0,0,WWWW[[#This Row],[Total required Latrines]]-(WWWW[[#This Row],['#_Constructed latrines_by_WASHAgencies]]+WWWW[[#This Row],['#_Non Cluster partner latrines]]))</f>
        <v>53</v>
      </c>
      <c r="CS212" s="78">
        <f>1-WWWW[[#This Row],[% people access to functioning Latrine]]</f>
        <v>1</v>
      </c>
      <c r="CT212" s="560">
        <f>IF(OR(WWWW[[#This Row],['#_Non-functional latrines]]="",WWWW[[#This Row],['#_Non-functional latrines]]=0),0,WWWW[[#This Row],['#_Non-functional latrines]]/(WWWW[[#This Row],['#_Constructed latrines_by_WASHAgencies]]+WWWW[[#This Row],['#_Non Cluster partner latrines]]))</f>
        <v>0</v>
      </c>
      <c r="CU212" s="556">
        <f>IF(500*(WWWW[[#This Row],['#_male hygiene promoters]]+WWWW[[#This Row],['#_female hygiene promoters]])&gt;WWWW[[#This Row],[Total PoP ]],WWWW[[#This Row],[Total PoP ]],500*(WWWW[[#This Row],['#_male hygiene promoters]]+WWWW[[#This Row],['#_female hygiene promoters]]))</f>
        <v>0</v>
      </c>
      <c r="CV21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2" s="558">
        <f>IF(WWWW[[#This Row],['# People with access to soap]]&gt;WWWW[[#This Row],['# People with access to Sanity Pads]],WWWW[[#This Row],['# People with access to soap]],WWWW[[#This Row],['# People with access to Sanity Pads]])</f>
        <v>0</v>
      </c>
      <c r="CY21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2" s="561">
        <f>IF(WWWW[[#This Row],[HRP3]]/WWWW[[#This Row],[Total PoP ]]&gt;100%,100%,WWWW[[#This Row],[HRP3]]/WWWW[[#This Row],[Total PoP ]])</f>
        <v>0</v>
      </c>
      <c r="DA212" s="560">
        <f>1-WWWW[[#This Row],[Hygiene Coverage%]]</f>
        <v>1</v>
      </c>
      <c r="DB212" s="559">
        <f>WWWW[[#This Row],['# people reached by regular dedicated hygiene promotion_5]]/WWWW[[#This Row],[Total PoP ]]</f>
        <v>0</v>
      </c>
      <c r="DC212" s="559">
        <f>IF(WWWW[[#This Row],['#_households that received standard amount of soap for this quarter]]/WWWW[[#This Row],[Total HH]]&gt;1,1,WWWW[[#This Row],['#_households that received standard amount of soap for this quarter]]/WWWW[[#This Row],[Total HH]])</f>
        <v>0</v>
      </c>
      <c r="DD212" s="559">
        <f>IF(WWWW[[#This Row],['#_households that received standard amount of sanitary pads for this quarter]]/WWWW[[#This Row],[Total HH]]&gt;1,1,WWWW[[#This Row],['#_households that received standard amount of sanitary pads for this quarter]]/WWWW[[#This Row],[Total HH]])</f>
        <v>0</v>
      </c>
      <c r="DE212" s="558">
        <f>WWWW[[#This Row],['#_Constructed/Existing hand washing stations]]-WWWW[[#This Row],['#_Non-Functional_hand_washing_stations]]</f>
        <v>0</v>
      </c>
      <c r="DF212" s="757">
        <f>IF(WWWW[[#This Row],['# Functional hand washing stations during reporting period]]*20&gt;WWWW[[#This Row],[Total HH]],WWWW[[#This Row],[Total HH]],WWWW[[#This Row],['# Functional hand washing stations during reporting period]]*20)</f>
        <v>0</v>
      </c>
      <c r="DG212" s="556">
        <f>IF(WWWW[[#This Row],[Is sufficient soap available for TLS? (Yes/No)]]="yes",WWWW[[#This Row],['#_Constructed/Existing hand washing stations at TLS]],0)</f>
        <v>0</v>
      </c>
      <c r="DH212" s="556">
        <f>IF(WWWW[[#This Row],['# Functional hand washing stations during reporting period]]*100&gt;WWWW[[#This Row],[Total PoP ]],WWWW[[#This Row],[Total PoP ]],WWWW[[#This Row],['# Functional hand washing stations during reporting period]]*100)</f>
        <v>0</v>
      </c>
      <c r="DI212" s="556" t="str">
        <f>IF(OR(WWWW[[#This Row],['#_students at TLS_CFS]]="",WWWW[[#This Row],['#_students at TLS_CFS]]=0),"No","Yes")</f>
        <v>No</v>
      </c>
      <c r="DJ212" s="554">
        <f>VLOOKUP(WWWW[[#This Row],[Site Name]],SiteDB6[[Site Name]:[CCCM Management]],6,FALSE)</f>
        <v>0</v>
      </c>
      <c r="DK212" s="554">
        <f>VLOOKUP(WWWW[[#This Row],[Site Name]],SiteDB6[[Site Name]:[CCCM Focal Agency]],7,FALSE)</f>
        <v>0</v>
      </c>
      <c r="DL212" s="554" t="str">
        <f>VLOOKUP(WWWW[[#This Row],[Site Name]],SiteDB6[[Site Name]:[Location Type 1]],9,FALSE)</f>
        <v>Village</v>
      </c>
      <c r="DM212" s="554" t="str">
        <f>VLOOKUP(WWWW[[#This Row],[Site Name]],SiteDB6[[Site Name]:[Type of Accommodation]],10,FALSE)</f>
        <v>Village</v>
      </c>
      <c r="DN212" s="554">
        <f>VLOOKUP(WWWW[[#This Row],[Site Name]],SiteDB6[[Site Name]:[Ethnic or GCA/NGCA]],11,FALSE)</f>
        <v>0</v>
      </c>
      <c r="DO212" s="554">
        <f>VLOOKUP(WWWW[[#This Row],[Site Name]],SiteDB6[[Site Name]:[Lat]],12,FALSE)</f>
        <v>19.9403591156006</v>
      </c>
      <c r="DP212" s="554">
        <f>VLOOKUP(WWWW[[#This Row],[Site Name]],SiteDB6[[Site Name]:[Long]],13,FALSE)</f>
        <v>93.009452819824205</v>
      </c>
      <c r="DQ212" s="554">
        <f>VLOOKUP(WWWW[[#This Row],[Site Name]],SiteDB6[[Site Name]:[Pcode]],3,FALSE)</f>
        <v>197543</v>
      </c>
      <c r="DR212" s="563" t="str">
        <f t="shared" si="7"/>
        <v>Covered</v>
      </c>
      <c r="DS212" s="563"/>
    </row>
    <row r="213" spans="1:126">
      <c r="A213" s="552" t="s">
        <v>2518</v>
      </c>
      <c r="B213" s="599" t="s">
        <v>311</v>
      </c>
      <c r="C213" s="599" t="s">
        <v>311</v>
      </c>
      <c r="D213" s="574" t="s">
        <v>2998</v>
      </c>
      <c r="E213" s="574" t="s">
        <v>3006</v>
      </c>
      <c r="F213" s="555" t="s">
        <v>320</v>
      </c>
      <c r="G213" s="581" t="str">
        <f>VLOOKUP(WWWW[[#This Row],[Site Name]],SiteDB6[[Site Name]:[Location Type]],8,FALSE)</f>
        <v>Camp</v>
      </c>
      <c r="H213" s="584" t="s">
        <v>2999</v>
      </c>
      <c r="I213" s="583">
        <v>91</v>
      </c>
      <c r="J213" s="583">
        <v>581</v>
      </c>
      <c r="K213" s="593"/>
      <c r="L213" s="77">
        <v>43554</v>
      </c>
      <c r="M213" s="312"/>
      <c r="N213" s="312"/>
      <c r="O213" s="312"/>
      <c r="P213" s="312"/>
      <c r="Q213" s="585"/>
      <c r="R213" s="312"/>
      <c r="S213" s="312"/>
      <c r="T213" s="312"/>
      <c r="U213" s="312"/>
      <c r="V213" s="312"/>
      <c r="W213" s="312"/>
      <c r="X213" s="312"/>
      <c r="Y213" s="312"/>
      <c r="Z213" s="312"/>
      <c r="AA213" s="312"/>
      <c r="AB213" s="312"/>
      <c r="AC213" s="312"/>
      <c r="AD213" s="312"/>
      <c r="AE213" s="312">
        <v>3</v>
      </c>
      <c r="AF213" s="312"/>
      <c r="AG213" s="312"/>
      <c r="AH213" s="312"/>
      <c r="AI213" s="312"/>
      <c r="AJ213" s="312"/>
      <c r="AK213" s="312"/>
      <c r="AL213" s="312"/>
      <c r="AM213" s="312"/>
      <c r="AN213" s="312"/>
      <c r="AO213" s="586"/>
      <c r="AP213" s="312">
        <v>13</v>
      </c>
      <c r="AQ213" s="312"/>
      <c r="AR213" s="594"/>
      <c r="AS213" s="312"/>
      <c r="AT213" s="312"/>
      <c r="AU213" s="312"/>
      <c r="AV213" s="312"/>
      <c r="AW213" s="312"/>
      <c r="AX213" s="592" t="s">
        <v>144</v>
      </c>
      <c r="AY213" s="586" t="s">
        <v>1200</v>
      </c>
      <c r="AZ213" s="312"/>
      <c r="BA213" s="312"/>
      <c r="BB213" s="312"/>
      <c r="BC213" s="592"/>
      <c r="BD213" s="312"/>
      <c r="BE213" s="312"/>
      <c r="BF213" s="312"/>
      <c r="BG213" s="312"/>
      <c r="BH213" s="312"/>
      <c r="BI213" s="312"/>
      <c r="BJ213" s="312"/>
      <c r="BK213" s="312"/>
      <c r="BL213" s="312"/>
      <c r="BM213" s="592"/>
      <c r="BN213" s="595"/>
      <c r="BO213" s="594"/>
      <c r="BP213" s="592"/>
      <c r="BQ213" s="596" t="str">
        <f>IFERROR(WWWW[[#This Row],['#_Water sources treated]]/WWWW[[#This Row],['#_Water sources tested for contamination]],"no test")</f>
        <v>no test</v>
      </c>
      <c r="BR213" s="594" t="str">
        <f>IFERROR(WWWW[[#This Row],['#_Household received remediation action due to contamination]]/WWWW[[#This Row],['#_Household water samples tested for contamination]],"no test")</f>
        <v>no test</v>
      </c>
      <c r="BS213" s="595" t="str">
        <f>IF(AND(WWWW[[#This Row],[% of water sources treated]]="no test",WWWW[[#This Row],[% Household received corrective actions]]="no test"),"No Test","Tested")</f>
        <v>No Test</v>
      </c>
      <c r="BT213" s="595">
        <f>WWWW[[#This Row],['#_Constructed/existing protected hand dug well]]-WWWW[[#This Row],['#_Non-functional protected hand dug well]]</f>
        <v>0</v>
      </c>
      <c r="BU213" s="595">
        <f>(WWWW[[#This Row],['#_Constructed/Existing tube wells/boreholes/handpumps_WASH_agency]]+WWWW[[#This Row],['#_Non-Cluster partner water tube-wells/boreholes/handpumps]])-WWWW[[#This Row],['#_Non-functional tube wells/boreholes/handpumps]]</f>
        <v>0</v>
      </c>
      <c r="BV213" s="595">
        <f>WWWW[[#This Row],['#_Constructed/Existingwater storage tank with gravity fed reticulation system]]-WWWW[[#This Row],['#_Non-functional storage tank gravity fed reticulation system]]</f>
        <v>0</v>
      </c>
      <c r="BW213" s="595">
        <f>WWWW[[#This Row],['#_Water boating or water trucking]]</f>
        <v>0</v>
      </c>
      <c r="BX213" s="595">
        <f>WWWW[[#This Row],['#_Constructed/Existing water distribution system from river or natural spring]]</f>
        <v>0</v>
      </c>
      <c r="BY213"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3"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3" s="594">
        <f>IF(WWWW[[#This Row],[Location Type 1]]="Village",WWWW[[#This Row],[Access to safe drinking water for Village]],WWWW[[#This Row],[Access to safe drinking water for Camp]])</f>
        <v>0</v>
      </c>
      <c r="CB213" s="585">
        <f>WWWW[[#This Row],[%Equitable and continuous access to sufficient quantity of safe drinking water]]*WWWW[[#This Row],[Total PoP ]]</f>
        <v>0</v>
      </c>
      <c r="CC213" s="594">
        <f>IF((WWWW[[#This Row],['#_Constructed/Existing protected/fenced ponds]]*250)/WWWW[[#This Row],[Total PoP ]]&gt;1,1,(WWWW[[#This Row],['#_Constructed/Existing protected/fenced ponds]]*250)/WWWW[[#This Row],[Total PoP ]])</f>
        <v>1</v>
      </c>
      <c r="CD213" s="585">
        <f>WWWW[[#This Row],[% Access to unimproved water points]]*WWWW[[#This Row],[Total PoP ]]</f>
        <v>581</v>
      </c>
      <c r="CE213"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13"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581</v>
      </c>
      <c r="CG213" s="585">
        <f>WWWW[[#This Row],[HRP1]]/500</f>
        <v>1.1619999999999999</v>
      </c>
      <c r="CH213" s="597">
        <f>1-WWWW[[#This Row],[% Equitable and continuous access to sufficient quantity of domestic water]]</f>
        <v>0</v>
      </c>
      <c r="CI213" s="585">
        <f>WWWW[[#This Row],[%equitable and continuous access to sufficient quantity of safe drinking and domestic water''s GAP]]*WWWW[[#This Row],[Total PoP ]]</f>
        <v>0</v>
      </c>
      <c r="CJ213" s="595">
        <f>IF(WWWW[[#This Row],[Total required water points]]-WWWW[[#This Row],['#Water points coverage]]&lt;0,0,WWWW[[#This Row],[Total required water points]]-WWWW[[#This Row],['#Water points coverage]])</f>
        <v>0</v>
      </c>
      <c r="CK213" s="595">
        <f>ROUND(IF(WWWW[[#This Row],[Total PoP ]]&lt;500,1,WWWW[[#This Row],[Total PoP ]]/500),0)</f>
        <v>1</v>
      </c>
      <c r="CL213" s="595">
        <f>(WWWW[[#This Row],['#_Constructed latrines_by_WASHAgencies]]+WWWW[[#This Row],['#_Non Cluster partner latrines]])-WWWW[[#This Row],['#_Non-functional latrines]]</f>
        <v>13</v>
      </c>
      <c r="CM213"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0.44750430292598969</v>
      </c>
      <c r="CN213"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213"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213" s="595">
        <f>IF(WWWW[[#This Row],[Location Type 1]]="Village","NA",IF(WWWW[[#This Row],['#_Constructed/Existing latrines in TLS]]*50&gt;WWWW[[#This Row],['#_students at TLS_CFS]],WWWW[[#This Row],['#_students at TLS_CFS]],(WWWW[[#This Row],['#_Constructed/Existing latrines in TLS]]*50)))</f>
        <v>0</v>
      </c>
      <c r="CQ213" s="595">
        <f>ROUND(IF(WWWW[[#This Row],[Location Type 1]]="camp",WWWW[[#This Row],[Total PoP ]]/20,IF(WWWW[[#This Row],[Location Type 1]]="Temporary Location",WWWW[[#This Row],[Total PoP ]]/50,(WWWW[[#This Row],[Total PoP ]]/6))),0)</f>
        <v>29</v>
      </c>
      <c r="CR213" s="595">
        <f>IF(WWWW[[#This Row],[Total required Latrines]]-(WWWW[[#This Row],['#_Constructed latrines_by_WASHAgencies]]+WWWW[[#This Row],['#_Non Cluster partner latrines]])&lt;0,0,WWWW[[#This Row],[Total required Latrines]]-(WWWW[[#This Row],['#_Constructed latrines_by_WASHAgencies]]+WWWW[[#This Row],['#_Non Cluster partner latrines]]))</f>
        <v>16</v>
      </c>
      <c r="CS213" s="78">
        <f>1-WWWW[[#This Row],[% people access to functioning Latrine]]</f>
        <v>0.55249569707401025</v>
      </c>
      <c r="CT213" s="596">
        <f>IF(OR(WWWW[[#This Row],['#_Non-functional latrines]]="",WWWW[[#This Row],['#_Non-functional latrines]]=0),0,WWWW[[#This Row],['#_Non-functional latrines]]/(WWWW[[#This Row],['#_Constructed latrines_by_WASHAgencies]]+WWWW[[#This Row],['#_Non Cluster partner latrines]]))</f>
        <v>0</v>
      </c>
      <c r="CU213" s="585">
        <f>IF(500*(WWWW[[#This Row],['#_male hygiene promoters]]+WWWW[[#This Row],['#_female hygiene promoters]])&gt;WWWW[[#This Row],[Total PoP ]],WWWW[[#This Row],[Total PoP ]],500*(WWWW[[#This Row],['#_male hygiene promoters]]+WWWW[[#This Row],['#_female hygiene promoters]]))</f>
        <v>0</v>
      </c>
      <c r="CV213"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13"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3" s="595">
        <f>IF(WWWW[[#This Row],['# People with access to soap]]&gt;WWWW[[#This Row],['# People with access to Sanity Pads]],WWWW[[#This Row],['# People with access to soap]],WWWW[[#This Row],['# People with access to Sanity Pads]])</f>
        <v>0</v>
      </c>
      <c r="CY213"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13" s="597">
        <f>IF(WWWW[[#This Row],[HRP3]]/WWWW[[#This Row],[Total PoP ]]&gt;100%,100%,WWWW[[#This Row],[HRP3]]/WWWW[[#This Row],[Total PoP ]])</f>
        <v>0</v>
      </c>
      <c r="DA213" s="596">
        <f>1-WWWW[[#This Row],[Hygiene Coverage%]]</f>
        <v>1</v>
      </c>
      <c r="DB213" s="594">
        <f>WWWW[[#This Row],['# people reached by regular dedicated hygiene promotion_5]]/WWWW[[#This Row],[Total PoP ]]</f>
        <v>0</v>
      </c>
      <c r="DC213" s="594">
        <f>IF(WWWW[[#This Row],['#_households that received standard amount of soap for this quarter]]/WWWW[[#This Row],[Total HH]]&gt;1,1,WWWW[[#This Row],['#_households that received standard amount of soap for this quarter]]/WWWW[[#This Row],[Total HH]])</f>
        <v>0</v>
      </c>
      <c r="DD213" s="594">
        <f>IF(WWWW[[#This Row],['#_households that received standard amount of sanitary pads for this quarter]]/WWWW[[#This Row],[Total HH]]&gt;1,1,WWWW[[#This Row],['#_households that received standard amount of sanitary pads for this quarter]]/WWWW[[#This Row],[Total HH]])</f>
        <v>0</v>
      </c>
      <c r="DE213" s="595">
        <f>WWWW[[#This Row],['#_Constructed/Existing hand washing stations]]-WWWW[[#This Row],['#_Non-Functional_hand_washing_stations]]</f>
        <v>0</v>
      </c>
      <c r="DF213" s="757">
        <f>IF(WWWW[[#This Row],['# Functional hand washing stations during reporting period]]*20&gt;WWWW[[#This Row],[Total HH]],WWWW[[#This Row],[Total HH]],WWWW[[#This Row],['# Functional hand washing stations during reporting period]]*20)</f>
        <v>0</v>
      </c>
      <c r="DG213" s="585">
        <f>IF(WWWW[[#This Row],[Is sufficient soap available for TLS? (Yes/No)]]="yes",WWWW[[#This Row],['#_Constructed/Existing hand washing stations at TLS]],0)</f>
        <v>0</v>
      </c>
      <c r="DH213" s="585">
        <f>IF(WWWW[[#This Row],['# Functional hand washing stations during reporting period]]*100&gt;WWWW[[#This Row],[Total PoP ]],WWWW[[#This Row],[Total PoP ]],WWWW[[#This Row],['# Functional hand washing stations during reporting period]]*100)</f>
        <v>0</v>
      </c>
      <c r="DI213" s="585" t="str">
        <f>IF(OR(WWWW[[#This Row],['#_students at TLS_CFS]]="",WWWW[[#This Row],['#_students at TLS_CFS]]=0),"No","Yes")</f>
        <v>No</v>
      </c>
      <c r="DJ213" s="592" t="str">
        <f>VLOOKUP(WWWW[[#This Row],[Site Name]],SiteDB6[[Site Name]:[CCCM Management]],6,FALSE)</f>
        <v>Yes</v>
      </c>
      <c r="DK213" s="592">
        <f>VLOOKUP(WWWW[[#This Row],[Site Name]],SiteDB6[[Site Name]:[CCCM Focal Agency]],7,FALSE)</f>
        <v>0</v>
      </c>
      <c r="DL213" s="592" t="str">
        <f>VLOOKUP(WWWW[[#This Row],[Site Name]],SiteDB6[[Site Name]:[Location Type 1]],9,FALSE)</f>
        <v>Camp</v>
      </c>
      <c r="DM213" s="592" t="str">
        <f>VLOOKUP(WWWW[[#This Row],[Site Name]],SiteDB6[[Site Name]:[Type of Accommodation]],10,FALSE)</f>
        <v>Self Settled Camp</v>
      </c>
      <c r="DN213" s="592" t="str">
        <f>VLOOKUP(WWWW[[#This Row],[Site Name]],SiteDB6[[Site Name]:[Ethnic or GCA/NGCA]],11,FALSE)</f>
        <v>Muslim</v>
      </c>
      <c r="DO213" s="592">
        <f>VLOOKUP(WWWW[[#This Row],[Site Name]],SiteDB6[[Site Name]:[Lat]],12,FALSE)</f>
        <v>20.865687000000001</v>
      </c>
      <c r="DP213" s="592">
        <f>VLOOKUP(WWWW[[#This Row],[Site Name]],SiteDB6[[Site Name]:[Long]],13,FALSE)</f>
        <v>92.965980999999999</v>
      </c>
      <c r="DQ213" s="592" t="str">
        <f>VLOOKUP(WWWW[[#This Row],[Site Name]],SiteDB6[[Site Name]:[Pcode]],3,FALSE)</f>
        <v>MMR012CMP023</v>
      </c>
      <c r="DR213" s="586" t="str">
        <f t="shared" si="7"/>
        <v>Covered</v>
      </c>
      <c r="DS213" s="586"/>
      <c r="DV213" s="572"/>
    </row>
    <row r="214" spans="1:126">
      <c r="A214" s="552" t="s">
        <v>2518</v>
      </c>
      <c r="B214" s="552" t="s">
        <v>1270</v>
      </c>
      <c r="C214" s="647" t="s">
        <v>3072</v>
      </c>
      <c r="D214" s="647"/>
      <c r="E214" s="574" t="s">
        <v>3005</v>
      </c>
      <c r="F214" s="647" t="s">
        <v>337</v>
      </c>
      <c r="G214" s="648" t="str">
        <f>VLOOKUP(WWWW[[#This Row],[Site Name]],SiteDB6[[Site Name]:[Location Type]],8,FALSE)</f>
        <v>Village</v>
      </c>
      <c r="H214" s="647" t="s">
        <v>3060</v>
      </c>
      <c r="I214" s="662">
        <v>935.8</v>
      </c>
      <c r="J214" s="662">
        <v>4679</v>
      </c>
      <c r="K214" s="650"/>
      <c r="L214" s="651"/>
      <c r="M214" s="652"/>
      <c r="N214" s="652"/>
      <c r="O214" s="652"/>
      <c r="P214" s="652"/>
      <c r="Q214" s="649"/>
      <c r="R214" s="652"/>
      <c r="S214" s="652"/>
      <c r="T214" s="312"/>
      <c r="U214" s="652"/>
      <c r="V214" s="652"/>
      <c r="W214" s="652"/>
      <c r="X214" s="652"/>
      <c r="Y214" s="652"/>
      <c r="Z214" s="652"/>
      <c r="AA214" s="652"/>
      <c r="AB214" s="652"/>
      <c r="AC214" s="652"/>
      <c r="AD214" s="652"/>
      <c r="AE214" s="652"/>
      <c r="AF214" s="652"/>
      <c r="AG214" s="652"/>
      <c r="AH214" s="652"/>
      <c r="AI214" s="652"/>
      <c r="AJ214" s="652"/>
      <c r="AK214" s="652"/>
      <c r="AL214" s="652"/>
      <c r="AM214" s="652"/>
      <c r="AN214" s="652"/>
      <c r="AO214" s="653"/>
      <c r="AP214" s="652"/>
      <c r="AQ214" s="652"/>
      <c r="AR214" s="654"/>
      <c r="AS214" s="652"/>
      <c r="AT214" s="652"/>
      <c r="AU214" s="652"/>
      <c r="AV214" s="652"/>
      <c r="AW214" s="652"/>
      <c r="AX214" s="655"/>
      <c r="AY214" s="653"/>
      <c r="AZ214" s="652"/>
      <c r="BA214" s="652"/>
      <c r="BB214" s="652"/>
      <c r="BC214" s="655"/>
      <c r="BD214" s="652"/>
      <c r="BE214" s="652"/>
      <c r="BF214" s="652"/>
      <c r="BG214" s="652"/>
      <c r="BH214" s="652"/>
      <c r="BI214" s="652"/>
      <c r="BJ214" s="652"/>
      <c r="BK214" s="652">
        <v>935.8</v>
      </c>
      <c r="BL214" s="652"/>
      <c r="BM214" s="655"/>
      <c r="BN214" s="656"/>
      <c r="BO214" s="654"/>
      <c r="BP214" s="655"/>
      <c r="BQ214" s="657" t="str">
        <f>IFERROR(WWWW[[#This Row],['#_Water sources treated]]/WWWW[[#This Row],['#_Water sources tested for contamination]],"no test")</f>
        <v>no test</v>
      </c>
      <c r="BR214" s="654" t="str">
        <f>IFERROR(WWWW[[#This Row],['#_Household received remediation action due to contamination]]/WWWW[[#This Row],['#_Household water samples tested for contamination]],"no test")</f>
        <v>no test</v>
      </c>
      <c r="BS214" s="656" t="str">
        <f>IF(AND(WWWW[[#This Row],[% of water sources treated]]="no test",WWWW[[#This Row],[% Household received corrective actions]]="no test"),"No Test","Tested")</f>
        <v>No Test</v>
      </c>
      <c r="BT214" s="656">
        <f>WWWW[[#This Row],['#_Constructed/existing protected hand dug well]]-WWWW[[#This Row],['#_Non-functional protected hand dug well]]</f>
        <v>0</v>
      </c>
      <c r="BU214" s="656">
        <f>(WWWW[[#This Row],['#_Constructed/Existing tube wells/boreholes/handpumps_WASH_agency]]+WWWW[[#This Row],['#_Non-Cluster partner water tube-wells/boreholes/handpumps]])-WWWW[[#This Row],['#_Non-functional tube wells/boreholes/handpumps]]</f>
        <v>0</v>
      </c>
      <c r="BV214" s="656">
        <f>WWWW[[#This Row],['#_Constructed/Existingwater storage tank with gravity fed reticulation system]]-WWWW[[#This Row],['#_Non-functional storage tank gravity fed reticulation system]]</f>
        <v>0</v>
      </c>
      <c r="BW214" s="656">
        <f>WWWW[[#This Row],['#_Water boating or water trucking]]</f>
        <v>0</v>
      </c>
      <c r="BX214" s="656">
        <f>WWWW[[#This Row],['#_Constructed/Existing water distribution system from river or natural spring]]</f>
        <v>0</v>
      </c>
      <c r="BY214"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4"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4" s="654">
        <f>IF(WWWW[[#This Row],[Location Type 1]]="Village",WWWW[[#This Row],[Access to safe drinking water for Village]],WWWW[[#This Row],[Access to safe drinking water for Camp]])</f>
        <v>0</v>
      </c>
      <c r="CB214" s="649">
        <f>WWWW[[#This Row],[%Equitable and continuous access to sufficient quantity of safe drinking water]]*WWWW[[#This Row],[Total PoP ]]</f>
        <v>0</v>
      </c>
      <c r="CC214" s="654">
        <f>IF((WWWW[[#This Row],['#_Constructed/Existing protected/fenced ponds]]*250)/WWWW[[#This Row],[Total PoP ]]&gt;1,1,(WWWW[[#This Row],['#_Constructed/Existing protected/fenced ponds]]*250)/WWWW[[#This Row],[Total PoP ]])</f>
        <v>0</v>
      </c>
      <c r="CD214" s="649">
        <f>WWWW[[#This Row],[% Access to unimproved water points]]*WWWW[[#This Row],[Total PoP ]]</f>
        <v>0</v>
      </c>
      <c r="CE214"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4"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4" s="649">
        <f>WWWW[[#This Row],[HRP1]]/500</f>
        <v>0</v>
      </c>
      <c r="CH214" s="658">
        <f>1-WWWW[[#This Row],[% Equitable and continuous access to sufficient quantity of domestic water]]</f>
        <v>1</v>
      </c>
      <c r="CI214" s="649">
        <f>WWWW[[#This Row],[%equitable and continuous access to sufficient quantity of safe drinking and domestic water''s GAP]]*WWWW[[#This Row],[Total PoP ]]</f>
        <v>4679</v>
      </c>
      <c r="CJ214" s="656">
        <f>IF(WWWW[[#This Row],[Total required water points]]-WWWW[[#This Row],['#Water points coverage]]&lt;0,0,WWWW[[#This Row],[Total required water points]]-WWWW[[#This Row],['#Water points coverage]])</f>
        <v>9</v>
      </c>
      <c r="CK214" s="656">
        <f>ROUND(IF(WWWW[[#This Row],[Total PoP ]]&lt;500,1,WWWW[[#This Row],[Total PoP ]]/500),0)</f>
        <v>9</v>
      </c>
      <c r="CL214" s="656">
        <f>(WWWW[[#This Row],['#_Constructed latrines_by_WASHAgencies]]+WWWW[[#This Row],['#_Non Cluster partner latrines]])-WWWW[[#This Row],['#_Non-functional latrines]]</f>
        <v>0</v>
      </c>
      <c r="CM21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4"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4"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4" s="656" t="str">
        <f>IF(WWWW[[#This Row],[Location Type 1]]="Village","NA",IF(WWWW[[#This Row],['#_Constructed/Existing latrines in TLS]]*50&gt;WWWW[[#This Row],['#_students at TLS_CFS]],WWWW[[#This Row],['#_students at TLS_CFS]],(WWWW[[#This Row],['#_Constructed/Existing latrines in TLS]]*50)))</f>
        <v>NA</v>
      </c>
      <c r="CQ214" s="656">
        <f>ROUND(IF(WWWW[[#This Row],[Location Type 1]]="camp",WWWW[[#This Row],[Total PoP ]]/20,IF(WWWW[[#This Row],[Location Type 1]]="Temporary Location",WWWW[[#This Row],[Total PoP ]]/50,(WWWW[[#This Row],[Total PoP ]]/6))),0)</f>
        <v>780</v>
      </c>
      <c r="CR214" s="656">
        <f>IF(WWWW[[#This Row],[Total required Latrines]]-(WWWW[[#This Row],['#_Constructed latrines_by_WASHAgencies]]+WWWW[[#This Row],['#_Non Cluster partner latrines]])&lt;0,0,WWWW[[#This Row],[Total required Latrines]]-(WWWW[[#This Row],['#_Constructed latrines_by_WASHAgencies]]+WWWW[[#This Row],['#_Non Cluster partner latrines]]))</f>
        <v>780</v>
      </c>
      <c r="CS214" s="660">
        <f>1-WWWW[[#This Row],[% people access to functioning Latrine]]</f>
        <v>1</v>
      </c>
      <c r="CT214" s="657">
        <f>IF(OR(WWWW[[#This Row],['#_Non-functional latrines]]="",WWWW[[#This Row],['#_Non-functional latrines]]=0),0,WWWW[[#This Row],['#_Non-functional latrines]]/(WWWW[[#This Row],['#_Constructed latrines_by_WASHAgencies]]+WWWW[[#This Row],['#_Non Cluster partner latrines]]))</f>
        <v>0</v>
      </c>
      <c r="CU214" s="649">
        <f>IF(500*(WWWW[[#This Row],['#_male hygiene promoters]]+WWWW[[#This Row],['#_female hygiene promoters]])&gt;WWWW[[#This Row],[Total PoP ]],WWWW[[#This Row],[Total PoP ]],500*(WWWW[[#This Row],['#_male hygiene promoters]]+WWWW[[#This Row],['#_female hygiene promoters]]))</f>
        <v>0</v>
      </c>
      <c r="CV214"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4679</v>
      </c>
      <c r="CW214"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4" s="656">
        <f>IF(WWWW[[#This Row],['# People with access to soap]]&gt;WWWW[[#This Row],['# People with access to Sanity Pads]],WWWW[[#This Row],['# People with access to soap]],WWWW[[#This Row],['# People with access to Sanity Pads]])</f>
        <v>4679</v>
      </c>
      <c r="CY214" s="656">
        <f>IF(WWWW[[#This Row],['# people reached by regular dedicated hygiene promotion_5]]&gt;WWWW[[#This Row],['# People received regular supply of hygiene items_6]],WWWW[[#This Row],['# people reached by regular dedicated hygiene promotion_5]],WWWW[[#This Row],['# People received regular supply of hygiene items_6]])</f>
        <v>4679</v>
      </c>
      <c r="CZ214" s="658">
        <f>IF(WWWW[[#This Row],[HRP3]]/WWWW[[#This Row],[Total PoP ]]&gt;100%,100%,WWWW[[#This Row],[HRP3]]/WWWW[[#This Row],[Total PoP ]])</f>
        <v>1</v>
      </c>
      <c r="DA214" s="657">
        <f>1-WWWW[[#This Row],[Hygiene Coverage%]]</f>
        <v>0</v>
      </c>
      <c r="DB214" s="654">
        <f>WWWW[[#This Row],['# people reached by regular dedicated hygiene promotion_5]]/WWWW[[#This Row],[Total PoP ]]</f>
        <v>0</v>
      </c>
      <c r="DC214" s="654">
        <f>IF(WWWW[[#This Row],['#_households that received standard amount of soap for this quarter]]/WWWW[[#This Row],[Total HH]]&gt;1,1,WWWW[[#This Row],['#_households that received standard amount of soap for this quarter]]/WWWW[[#This Row],[Total HH]])</f>
        <v>1</v>
      </c>
      <c r="DD214" s="654">
        <f>IF(WWWW[[#This Row],['#_households that received standard amount of sanitary pads for this quarter]]/WWWW[[#This Row],[Total HH]]&gt;1,1,WWWW[[#This Row],['#_households that received standard amount of sanitary pads for this quarter]]/WWWW[[#This Row],[Total HH]])</f>
        <v>0</v>
      </c>
      <c r="DE214" s="656">
        <f>WWWW[[#This Row],['#_Constructed/Existing hand washing stations]]-WWWW[[#This Row],['#_Non-Functional_hand_washing_stations]]</f>
        <v>0</v>
      </c>
      <c r="DF214" s="757">
        <f>IF(WWWW[[#This Row],['# Functional hand washing stations during reporting period]]*20&gt;WWWW[[#This Row],[Total HH]],WWWW[[#This Row],[Total HH]],WWWW[[#This Row],['# Functional hand washing stations during reporting period]]*20)</f>
        <v>0</v>
      </c>
      <c r="DG214" s="649">
        <f>IF(WWWW[[#This Row],[Is sufficient soap available for TLS? (Yes/No)]]="yes",WWWW[[#This Row],['#_Constructed/Existing hand washing stations at TLS]],0)</f>
        <v>0</v>
      </c>
      <c r="DH214" s="585">
        <f>IF(WWWW[[#This Row],['# Functional hand washing stations during reporting period]]*100&gt;WWWW[[#This Row],[Total PoP ]],WWWW[[#This Row],[Total PoP ]],WWWW[[#This Row],['# Functional hand washing stations during reporting period]]*100)</f>
        <v>0</v>
      </c>
      <c r="DI214" s="585" t="str">
        <f>IF(OR(WWWW[[#This Row],['#_students at TLS_CFS]]="",WWWW[[#This Row],['#_students at TLS_CFS]]=0),"No","Yes")</f>
        <v>No</v>
      </c>
      <c r="DJ214" s="655">
        <f>VLOOKUP(WWWW[[#This Row],[Site Name]],SiteDB6[[Site Name]:[CCCM Management]],6,FALSE)</f>
        <v>0</v>
      </c>
      <c r="DK214" s="655">
        <f>VLOOKUP(WWWW[[#This Row],[Site Name]],SiteDB6[[Site Name]:[CCCM Focal Agency]],7,FALSE)</f>
        <v>0</v>
      </c>
      <c r="DL214" s="655" t="str">
        <f>VLOOKUP(WWWW[[#This Row],[Site Name]],SiteDB6[[Site Name]:[Location Type 1]],9,FALSE)</f>
        <v>village</v>
      </c>
      <c r="DM214" s="655" t="str">
        <f>VLOOKUP(WWWW[[#This Row],[Site Name]],SiteDB6[[Site Name]:[Type of Accommodation]],10,FALSE)</f>
        <v>village</v>
      </c>
      <c r="DN214" s="655">
        <f>VLOOKUP(WWWW[[#This Row],[Site Name]],SiteDB6[[Site Name]:[Ethnic or GCA/NGCA]],11,FALSE)</f>
        <v>0</v>
      </c>
      <c r="DO214" s="655">
        <f>VLOOKUP(WWWW[[#This Row],[Site Name]],SiteDB6[[Site Name]:[Lat]],12,FALSE)</f>
        <v>0</v>
      </c>
      <c r="DP214" s="655">
        <f>VLOOKUP(WWWW[[#This Row],[Site Name]],SiteDB6[[Site Name]:[Long]],13,FALSE)</f>
        <v>0</v>
      </c>
      <c r="DQ214" s="655">
        <f>VLOOKUP(WWWW[[#This Row],[Site Name]],SiteDB6[[Site Name]:[Pcode]],3,FALSE)</f>
        <v>0</v>
      </c>
      <c r="DR214" s="653" t="str">
        <f t="shared" si="7"/>
        <v>Covered</v>
      </c>
      <c r="DS214" s="653"/>
      <c r="DV214" s="572"/>
    </row>
    <row r="215" spans="1:126">
      <c r="A215" s="552" t="s">
        <v>2518</v>
      </c>
      <c r="B215" s="552" t="s">
        <v>1270</v>
      </c>
      <c r="C215" s="647" t="s">
        <v>3072</v>
      </c>
      <c r="D215" s="647"/>
      <c r="E215" s="574" t="s">
        <v>3005</v>
      </c>
      <c r="F215" s="647" t="s">
        <v>337</v>
      </c>
      <c r="G215" s="648" t="str">
        <f>VLOOKUP(WWWW[[#This Row],[Site Name]],SiteDB6[[Site Name]:[Location Type]],8,FALSE)</f>
        <v>Village</v>
      </c>
      <c r="H215" s="647" t="s">
        <v>3061</v>
      </c>
      <c r="I215" s="662">
        <v>3210</v>
      </c>
      <c r="J215" s="662">
        <v>16050</v>
      </c>
      <c r="K215" s="650"/>
      <c r="L215" s="651"/>
      <c r="M215" s="652"/>
      <c r="N215" s="652"/>
      <c r="O215" s="652"/>
      <c r="P215" s="652"/>
      <c r="Q215" s="649"/>
      <c r="R215" s="652"/>
      <c r="S215" s="652"/>
      <c r="T215" s="312"/>
      <c r="U215" s="652"/>
      <c r="V215" s="652"/>
      <c r="W215" s="652"/>
      <c r="X215" s="652"/>
      <c r="Y215" s="652"/>
      <c r="Z215" s="652"/>
      <c r="AA215" s="652"/>
      <c r="AB215" s="652"/>
      <c r="AC215" s="652"/>
      <c r="AD215" s="652"/>
      <c r="AE215" s="652"/>
      <c r="AF215" s="652"/>
      <c r="AG215" s="652"/>
      <c r="AH215" s="652"/>
      <c r="AI215" s="652"/>
      <c r="AJ215" s="652"/>
      <c r="AK215" s="652"/>
      <c r="AL215" s="652"/>
      <c r="AM215" s="652"/>
      <c r="AN215" s="652"/>
      <c r="AO215" s="653"/>
      <c r="AP215" s="652"/>
      <c r="AQ215" s="652"/>
      <c r="AR215" s="654"/>
      <c r="AS215" s="652"/>
      <c r="AT215" s="652"/>
      <c r="AU215" s="652"/>
      <c r="AV215" s="652"/>
      <c r="AW215" s="652"/>
      <c r="AX215" s="655"/>
      <c r="AY215" s="653"/>
      <c r="AZ215" s="652"/>
      <c r="BA215" s="652"/>
      <c r="BB215" s="652"/>
      <c r="BC215" s="655"/>
      <c r="BD215" s="652"/>
      <c r="BE215" s="652"/>
      <c r="BF215" s="652"/>
      <c r="BG215" s="652"/>
      <c r="BH215" s="652"/>
      <c r="BI215" s="652"/>
      <c r="BJ215" s="652"/>
      <c r="BK215" s="652">
        <v>3210</v>
      </c>
      <c r="BL215" s="652"/>
      <c r="BM215" s="655"/>
      <c r="BN215" s="656"/>
      <c r="BO215" s="654"/>
      <c r="BP215" s="655"/>
      <c r="BQ215" s="657" t="str">
        <f>IFERROR(WWWW[[#This Row],['#_Water sources treated]]/WWWW[[#This Row],['#_Water sources tested for contamination]],"no test")</f>
        <v>no test</v>
      </c>
      <c r="BR215" s="654" t="str">
        <f>IFERROR(WWWW[[#This Row],['#_Household received remediation action due to contamination]]/WWWW[[#This Row],['#_Household water samples tested for contamination]],"no test")</f>
        <v>no test</v>
      </c>
      <c r="BS215" s="656" t="str">
        <f>IF(AND(WWWW[[#This Row],[% of water sources treated]]="no test",WWWW[[#This Row],[% Household received corrective actions]]="no test"),"No Test","Tested")</f>
        <v>No Test</v>
      </c>
      <c r="BT215" s="656">
        <f>WWWW[[#This Row],['#_Constructed/existing protected hand dug well]]-WWWW[[#This Row],['#_Non-functional protected hand dug well]]</f>
        <v>0</v>
      </c>
      <c r="BU215" s="656">
        <f>(WWWW[[#This Row],['#_Constructed/Existing tube wells/boreholes/handpumps_WASH_agency]]+WWWW[[#This Row],['#_Non-Cluster partner water tube-wells/boreholes/handpumps]])-WWWW[[#This Row],['#_Non-functional tube wells/boreholes/handpumps]]</f>
        <v>0</v>
      </c>
      <c r="BV215" s="656">
        <f>WWWW[[#This Row],['#_Constructed/Existingwater storage tank with gravity fed reticulation system]]-WWWW[[#This Row],['#_Non-functional storage tank gravity fed reticulation system]]</f>
        <v>0</v>
      </c>
      <c r="BW215" s="656">
        <f>WWWW[[#This Row],['#_Water boating or water trucking]]</f>
        <v>0</v>
      </c>
      <c r="BX215" s="656">
        <f>WWWW[[#This Row],['#_Constructed/Existing water distribution system from river or natural spring]]</f>
        <v>0</v>
      </c>
      <c r="BY215"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5"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5" s="654">
        <f>IF(WWWW[[#This Row],[Location Type 1]]="Village",WWWW[[#This Row],[Access to safe drinking water for Village]],WWWW[[#This Row],[Access to safe drinking water for Camp]])</f>
        <v>0</v>
      </c>
      <c r="CB215" s="649">
        <f>WWWW[[#This Row],[%Equitable and continuous access to sufficient quantity of safe drinking water]]*WWWW[[#This Row],[Total PoP ]]</f>
        <v>0</v>
      </c>
      <c r="CC215" s="654">
        <f>IF((WWWW[[#This Row],['#_Constructed/Existing protected/fenced ponds]]*250)/WWWW[[#This Row],[Total PoP ]]&gt;1,1,(WWWW[[#This Row],['#_Constructed/Existing protected/fenced ponds]]*250)/WWWW[[#This Row],[Total PoP ]])</f>
        <v>0</v>
      </c>
      <c r="CD215" s="649">
        <f>WWWW[[#This Row],[% Access to unimproved water points]]*WWWW[[#This Row],[Total PoP ]]</f>
        <v>0</v>
      </c>
      <c r="CE215"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5"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5" s="649">
        <f>WWWW[[#This Row],[HRP1]]/500</f>
        <v>0</v>
      </c>
      <c r="CH215" s="658">
        <f>1-WWWW[[#This Row],[% Equitable and continuous access to sufficient quantity of domestic water]]</f>
        <v>1</v>
      </c>
      <c r="CI215" s="649">
        <f>WWWW[[#This Row],[%equitable and continuous access to sufficient quantity of safe drinking and domestic water''s GAP]]*WWWW[[#This Row],[Total PoP ]]</f>
        <v>16050</v>
      </c>
      <c r="CJ215" s="656">
        <f>IF(WWWW[[#This Row],[Total required water points]]-WWWW[[#This Row],['#Water points coverage]]&lt;0,0,WWWW[[#This Row],[Total required water points]]-WWWW[[#This Row],['#Water points coverage]])</f>
        <v>32</v>
      </c>
      <c r="CK215" s="656">
        <f>ROUND(IF(WWWW[[#This Row],[Total PoP ]]&lt;500,1,WWWW[[#This Row],[Total PoP ]]/500),0)</f>
        <v>32</v>
      </c>
      <c r="CL215" s="656">
        <f>(WWWW[[#This Row],['#_Constructed latrines_by_WASHAgencies]]+WWWW[[#This Row],['#_Non Cluster partner latrines]])-WWWW[[#This Row],['#_Non-functional latrines]]</f>
        <v>0</v>
      </c>
      <c r="CM21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5"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5"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5" s="656" t="str">
        <f>IF(WWWW[[#This Row],[Location Type 1]]="Village","NA",IF(WWWW[[#This Row],['#_Constructed/Existing latrines in TLS]]*50&gt;WWWW[[#This Row],['#_students at TLS_CFS]],WWWW[[#This Row],['#_students at TLS_CFS]],(WWWW[[#This Row],['#_Constructed/Existing latrines in TLS]]*50)))</f>
        <v>NA</v>
      </c>
      <c r="CQ215" s="656">
        <f>ROUND(IF(WWWW[[#This Row],[Location Type 1]]="camp",WWWW[[#This Row],[Total PoP ]]/20,IF(WWWW[[#This Row],[Location Type 1]]="Temporary Location",WWWW[[#This Row],[Total PoP ]]/50,(WWWW[[#This Row],[Total PoP ]]/6))),0)</f>
        <v>2675</v>
      </c>
      <c r="CR215" s="656">
        <f>IF(WWWW[[#This Row],[Total required Latrines]]-(WWWW[[#This Row],['#_Constructed latrines_by_WASHAgencies]]+WWWW[[#This Row],['#_Non Cluster partner latrines]])&lt;0,0,WWWW[[#This Row],[Total required Latrines]]-(WWWW[[#This Row],['#_Constructed latrines_by_WASHAgencies]]+WWWW[[#This Row],['#_Non Cluster partner latrines]]))</f>
        <v>2675</v>
      </c>
      <c r="CS215" s="660">
        <f>1-WWWW[[#This Row],[% people access to functioning Latrine]]</f>
        <v>1</v>
      </c>
      <c r="CT215" s="657">
        <f>IF(OR(WWWW[[#This Row],['#_Non-functional latrines]]="",WWWW[[#This Row],['#_Non-functional latrines]]=0),0,WWWW[[#This Row],['#_Non-functional latrines]]/(WWWW[[#This Row],['#_Constructed latrines_by_WASHAgencies]]+WWWW[[#This Row],['#_Non Cluster partner latrines]]))</f>
        <v>0</v>
      </c>
      <c r="CU215" s="649">
        <f>IF(500*(WWWW[[#This Row],['#_male hygiene promoters]]+WWWW[[#This Row],['#_female hygiene promoters]])&gt;WWWW[[#This Row],[Total PoP ]],WWWW[[#This Row],[Total PoP ]],500*(WWWW[[#This Row],['#_male hygiene promoters]]+WWWW[[#This Row],['#_female hygiene promoters]]))</f>
        <v>0</v>
      </c>
      <c r="CV215"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16050</v>
      </c>
      <c r="CW215"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5" s="656">
        <f>IF(WWWW[[#This Row],['# People with access to soap]]&gt;WWWW[[#This Row],['# People with access to Sanity Pads]],WWWW[[#This Row],['# People with access to soap]],WWWW[[#This Row],['# People with access to Sanity Pads]])</f>
        <v>16050</v>
      </c>
      <c r="CY215" s="656">
        <f>IF(WWWW[[#This Row],['# people reached by regular dedicated hygiene promotion_5]]&gt;WWWW[[#This Row],['# People received regular supply of hygiene items_6]],WWWW[[#This Row],['# people reached by regular dedicated hygiene promotion_5]],WWWW[[#This Row],['# People received regular supply of hygiene items_6]])</f>
        <v>16050</v>
      </c>
      <c r="CZ215" s="658">
        <f>IF(WWWW[[#This Row],[HRP3]]/WWWW[[#This Row],[Total PoP ]]&gt;100%,100%,WWWW[[#This Row],[HRP3]]/WWWW[[#This Row],[Total PoP ]])</f>
        <v>1</v>
      </c>
      <c r="DA215" s="657">
        <f>1-WWWW[[#This Row],[Hygiene Coverage%]]</f>
        <v>0</v>
      </c>
      <c r="DB215" s="654">
        <f>WWWW[[#This Row],['# people reached by regular dedicated hygiene promotion_5]]/WWWW[[#This Row],[Total PoP ]]</f>
        <v>0</v>
      </c>
      <c r="DC215" s="654">
        <f>IF(WWWW[[#This Row],['#_households that received standard amount of soap for this quarter]]/WWWW[[#This Row],[Total HH]]&gt;1,1,WWWW[[#This Row],['#_households that received standard amount of soap for this quarter]]/WWWW[[#This Row],[Total HH]])</f>
        <v>1</v>
      </c>
      <c r="DD215" s="654">
        <f>IF(WWWW[[#This Row],['#_households that received standard amount of sanitary pads for this quarter]]/WWWW[[#This Row],[Total HH]]&gt;1,1,WWWW[[#This Row],['#_households that received standard amount of sanitary pads for this quarter]]/WWWW[[#This Row],[Total HH]])</f>
        <v>0</v>
      </c>
      <c r="DE215" s="656">
        <f>WWWW[[#This Row],['#_Constructed/Existing hand washing stations]]-WWWW[[#This Row],['#_Non-Functional_hand_washing_stations]]</f>
        <v>0</v>
      </c>
      <c r="DF215" s="757">
        <f>IF(WWWW[[#This Row],['# Functional hand washing stations during reporting period]]*20&gt;WWWW[[#This Row],[Total HH]],WWWW[[#This Row],[Total HH]],WWWW[[#This Row],['# Functional hand washing stations during reporting period]]*20)</f>
        <v>0</v>
      </c>
      <c r="DG215" s="649">
        <f>IF(WWWW[[#This Row],[Is sufficient soap available for TLS? (Yes/No)]]="yes",WWWW[[#This Row],['#_Constructed/Existing hand washing stations at TLS]],0)</f>
        <v>0</v>
      </c>
      <c r="DH215" s="585">
        <f>IF(WWWW[[#This Row],['# Functional hand washing stations during reporting period]]*100&gt;WWWW[[#This Row],[Total PoP ]],WWWW[[#This Row],[Total PoP ]],WWWW[[#This Row],['# Functional hand washing stations during reporting period]]*100)</f>
        <v>0</v>
      </c>
      <c r="DI215" s="585" t="str">
        <f>IF(OR(WWWW[[#This Row],['#_students at TLS_CFS]]="",WWWW[[#This Row],['#_students at TLS_CFS]]=0),"No","Yes")</f>
        <v>No</v>
      </c>
      <c r="DJ215" s="655">
        <f>VLOOKUP(WWWW[[#This Row],[Site Name]],SiteDB6[[Site Name]:[CCCM Management]],6,FALSE)</f>
        <v>0</v>
      </c>
      <c r="DK215" s="655">
        <f>VLOOKUP(WWWW[[#This Row],[Site Name]],SiteDB6[[Site Name]:[CCCM Focal Agency]],7,FALSE)</f>
        <v>0</v>
      </c>
      <c r="DL215" s="655" t="str">
        <f>VLOOKUP(WWWW[[#This Row],[Site Name]],SiteDB6[[Site Name]:[Location Type 1]],9,FALSE)</f>
        <v>Village</v>
      </c>
      <c r="DM215" s="655" t="str">
        <f>VLOOKUP(WWWW[[#This Row],[Site Name]],SiteDB6[[Site Name]:[Type of Accommodation]],10,FALSE)</f>
        <v>Village</v>
      </c>
      <c r="DN215" s="655">
        <f>VLOOKUP(WWWW[[#This Row],[Site Name]],SiteDB6[[Site Name]:[Ethnic or GCA/NGCA]],11,FALSE)</f>
        <v>0</v>
      </c>
      <c r="DO215" s="655">
        <f>VLOOKUP(WWWW[[#This Row],[Site Name]],SiteDB6[[Site Name]:[Lat]],12,FALSE)</f>
        <v>20.825700759887699</v>
      </c>
      <c r="DP215" s="655">
        <f>VLOOKUP(WWWW[[#This Row],[Site Name]],SiteDB6[[Site Name]:[Long]],13,FALSE)</f>
        <v>92.542686462402301</v>
      </c>
      <c r="DQ215" s="655">
        <f>VLOOKUP(WWWW[[#This Row],[Site Name]],SiteDB6[[Site Name]:[Pcode]],3,FALSE)</f>
        <v>198334</v>
      </c>
      <c r="DR215" s="653" t="str">
        <f t="shared" si="7"/>
        <v>Covered</v>
      </c>
      <c r="DS215" s="653"/>
      <c r="DV215" s="572"/>
    </row>
    <row r="216" spans="1:126">
      <c r="A216" s="552" t="s">
        <v>2518</v>
      </c>
      <c r="B216" s="552" t="s">
        <v>1270</v>
      </c>
      <c r="C216" s="647" t="s">
        <v>3072</v>
      </c>
      <c r="D216" s="647"/>
      <c r="E216" s="574" t="s">
        <v>3005</v>
      </c>
      <c r="F216" s="647" t="s">
        <v>337</v>
      </c>
      <c r="G216" s="648" t="str">
        <f>VLOOKUP(WWWW[[#This Row],[Site Name]],SiteDB6[[Site Name]:[Location Type]],8,FALSE)</f>
        <v>Village</v>
      </c>
      <c r="H216" s="647" t="s">
        <v>3062</v>
      </c>
      <c r="I216" s="662">
        <v>1048</v>
      </c>
      <c r="J216" s="662">
        <v>5240</v>
      </c>
      <c r="K216" s="650"/>
      <c r="L216" s="651"/>
      <c r="M216" s="652"/>
      <c r="N216" s="652"/>
      <c r="O216" s="652"/>
      <c r="P216" s="652"/>
      <c r="Q216" s="649"/>
      <c r="R216" s="652"/>
      <c r="S216" s="652"/>
      <c r="T216" s="312"/>
      <c r="U216" s="652"/>
      <c r="V216" s="652"/>
      <c r="W216" s="652"/>
      <c r="X216" s="652"/>
      <c r="Y216" s="652"/>
      <c r="Z216" s="652"/>
      <c r="AA216" s="652"/>
      <c r="AB216" s="652"/>
      <c r="AC216" s="652"/>
      <c r="AD216" s="652"/>
      <c r="AE216" s="652"/>
      <c r="AF216" s="652"/>
      <c r="AG216" s="652"/>
      <c r="AH216" s="652"/>
      <c r="AI216" s="652"/>
      <c r="AJ216" s="652"/>
      <c r="AK216" s="652"/>
      <c r="AL216" s="652"/>
      <c r="AM216" s="652"/>
      <c r="AN216" s="652"/>
      <c r="AO216" s="653"/>
      <c r="AP216" s="652"/>
      <c r="AQ216" s="652"/>
      <c r="AR216" s="654"/>
      <c r="AS216" s="652"/>
      <c r="AT216" s="652"/>
      <c r="AU216" s="652"/>
      <c r="AV216" s="652"/>
      <c r="AW216" s="652"/>
      <c r="AX216" s="655"/>
      <c r="AY216" s="653"/>
      <c r="AZ216" s="652"/>
      <c r="BA216" s="652"/>
      <c r="BB216" s="652"/>
      <c r="BC216" s="655"/>
      <c r="BD216" s="652"/>
      <c r="BE216" s="652"/>
      <c r="BF216" s="652"/>
      <c r="BG216" s="652"/>
      <c r="BH216" s="652"/>
      <c r="BI216" s="652"/>
      <c r="BJ216" s="652"/>
      <c r="BK216" s="652">
        <v>1048</v>
      </c>
      <c r="BL216" s="652"/>
      <c r="BM216" s="655"/>
      <c r="BN216" s="656"/>
      <c r="BO216" s="654"/>
      <c r="BP216" s="655"/>
      <c r="BQ216" s="657" t="str">
        <f>IFERROR(WWWW[[#This Row],['#_Water sources treated]]/WWWW[[#This Row],['#_Water sources tested for contamination]],"no test")</f>
        <v>no test</v>
      </c>
      <c r="BR216" s="654" t="str">
        <f>IFERROR(WWWW[[#This Row],['#_Household received remediation action due to contamination]]/WWWW[[#This Row],['#_Household water samples tested for contamination]],"no test")</f>
        <v>no test</v>
      </c>
      <c r="BS216" s="656" t="str">
        <f>IF(AND(WWWW[[#This Row],[% of water sources treated]]="no test",WWWW[[#This Row],[% Household received corrective actions]]="no test"),"No Test","Tested")</f>
        <v>No Test</v>
      </c>
      <c r="BT216" s="656">
        <f>WWWW[[#This Row],['#_Constructed/existing protected hand dug well]]-WWWW[[#This Row],['#_Non-functional protected hand dug well]]</f>
        <v>0</v>
      </c>
      <c r="BU216" s="656">
        <f>(WWWW[[#This Row],['#_Constructed/Existing tube wells/boreholes/handpumps_WASH_agency]]+WWWW[[#This Row],['#_Non-Cluster partner water tube-wells/boreholes/handpumps]])-WWWW[[#This Row],['#_Non-functional tube wells/boreholes/handpumps]]</f>
        <v>0</v>
      </c>
      <c r="BV216" s="656">
        <f>WWWW[[#This Row],['#_Constructed/Existingwater storage tank with gravity fed reticulation system]]-WWWW[[#This Row],['#_Non-functional storage tank gravity fed reticulation system]]</f>
        <v>0</v>
      </c>
      <c r="BW216" s="656">
        <f>WWWW[[#This Row],['#_Water boating or water trucking]]</f>
        <v>0</v>
      </c>
      <c r="BX216" s="656">
        <f>WWWW[[#This Row],['#_Constructed/Existing water distribution system from river or natural spring]]</f>
        <v>0</v>
      </c>
      <c r="BY216"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6"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6" s="654">
        <f>IF(WWWW[[#This Row],[Location Type 1]]="Village",WWWW[[#This Row],[Access to safe drinking water for Village]],WWWW[[#This Row],[Access to safe drinking water for Camp]])</f>
        <v>0</v>
      </c>
      <c r="CB216" s="649">
        <f>WWWW[[#This Row],[%Equitable and continuous access to sufficient quantity of safe drinking water]]*WWWW[[#This Row],[Total PoP ]]</f>
        <v>0</v>
      </c>
      <c r="CC216" s="654">
        <f>IF((WWWW[[#This Row],['#_Constructed/Existing protected/fenced ponds]]*250)/WWWW[[#This Row],[Total PoP ]]&gt;1,1,(WWWW[[#This Row],['#_Constructed/Existing protected/fenced ponds]]*250)/WWWW[[#This Row],[Total PoP ]])</f>
        <v>0</v>
      </c>
      <c r="CD216" s="649">
        <f>WWWW[[#This Row],[% Access to unimproved water points]]*WWWW[[#This Row],[Total PoP ]]</f>
        <v>0</v>
      </c>
      <c r="CE216"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6"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6" s="649">
        <f>WWWW[[#This Row],[HRP1]]/500</f>
        <v>0</v>
      </c>
      <c r="CH216" s="658">
        <f>1-WWWW[[#This Row],[% Equitable and continuous access to sufficient quantity of domestic water]]</f>
        <v>1</v>
      </c>
      <c r="CI216" s="649">
        <f>WWWW[[#This Row],[%equitable and continuous access to sufficient quantity of safe drinking and domestic water''s GAP]]*WWWW[[#This Row],[Total PoP ]]</f>
        <v>5240</v>
      </c>
      <c r="CJ216" s="656">
        <f>IF(WWWW[[#This Row],[Total required water points]]-WWWW[[#This Row],['#Water points coverage]]&lt;0,0,WWWW[[#This Row],[Total required water points]]-WWWW[[#This Row],['#Water points coverage]])</f>
        <v>10</v>
      </c>
      <c r="CK216" s="656">
        <f>ROUND(IF(WWWW[[#This Row],[Total PoP ]]&lt;500,1,WWWW[[#This Row],[Total PoP ]]/500),0)</f>
        <v>10</v>
      </c>
      <c r="CL216" s="656">
        <f>(WWWW[[#This Row],['#_Constructed latrines_by_WASHAgencies]]+WWWW[[#This Row],['#_Non Cluster partner latrines]])-WWWW[[#This Row],['#_Non-functional latrines]]</f>
        <v>0</v>
      </c>
      <c r="CM21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6"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6"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6" s="656" t="str">
        <f>IF(WWWW[[#This Row],[Location Type 1]]="Village","NA",IF(WWWW[[#This Row],['#_Constructed/Existing latrines in TLS]]*50&gt;WWWW[[#This Row],['#_students at TLS_CFS]],WWWW[[#This Row],['#_students at TLS_CFS]],(WWWW[[#This Row],['#_Constructed/Existing latrines in TLS]]*50)))</f>
        <v>NA</v>
      </c>
      <c r="CQ216" s="656">
        <f>ROUND(IF(WWWW[[#This Row],[Location Type 1]]="camp",WWWW[[#This Row],[Total PoP ]]/20,IF(WWWW[[#This Row],[Location Type 1]]="Temporary Location",WWWW[[#This Row],[Total PoP ]]/50,(WWWW[[#This Row],[Total PoP ]]/6))),0)</f>
        <v>873</v>
      </c>
      <c r="CR216" s="656">
        <f>IF(WWWW[[#This Row],[Total required Latrines]]-(WWWW[[#This Row],['#_Constructed latrines_by_WASHAgencies]]+WWWW[[#This Row],['#_Non Cluster partner latrines]])&lt;0,0,WWWW[[#This Row],[Total required Latrines]]-(WWWW[[#This Row],['#_Constructed latrines_by_WASHAgencies]]+WWWW[[#This Row],['#_Non Cluster partner latrines]]))</f>
        <v>873</v>
      </c>
      <c r="CS216" s="660">
        <f>1-WWWW[[#This Row],[% people access to functioning Latrine]]</f>
        <v>1</v>
      </c>
      <c r="CT216" s="657">
        <f>IF(OR(WWWW[[#This Row],['#_Non-functional latrines]]="",WWWW[[#This Row],['#_Non-functional latrines]]=0),0,WWWW[[#This Row],['#_Non-functional latrines]]/(WWWW[[#This Row],['#_Constructed latrines_by_WASHAgencies]]+WWWW[[#This Row],['#_Non Cluster partner latrines]]))</f>
        <v>0</v>
      </c>
      <c r="CU216" s="649">
        <f>IF(500*(WWWW[[#This Row],['#_male hygiene promoters]]+WWWW[[#This Row],['#_female hygiene promoters]])&gt;WWWW[[#This Row],[Total PoP ]],WWWW[[#This Row],[Total PoP ]],500*(WWWW[[#This Row],['#_male hygiene promoters]]+WWWW[[#This Row],['#_female hygiene promoters]]))</f>
        <v>0</v>
      </c>
      <c r="CV216"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5240</v>
      </c>
      <c r="CW216"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6" s="656">
        <f>IF(WWWW[[#This Row],['# People with access to soap]]&gt;WWWW[[#This Row],['# People with access to Sanity Pads]],WWWW[[#This Row],['# People with access to soap]],WWWW[[#This Row],['# People with access to Sanity Pads]])</f>
        <v>5240</v>
      </c>
      <c r="CY216" s="656">
        <f>IF(WWWW[[#This Row],['# people reached by regular dedicated hygiene promotion_5]]&gt;WWWW[[#This Row],['# People received regular supply of hygiene items_6]],WWWW[[#This Row],['# people reached by regular dedicated hygiene promotion_5]],WWWW[[#This Row],['# People received regular supply of hygiene items_6]])</f>
        <v>5240</v>
      </c>
      <c r="CZ216" s="658">
        <f>IF(WWWW[[#This Row],[HRP3]]/WWWW[[#This Row],[Total PoP ]]&gt;100%,100%,WWWW[[#This Row],[HRP3]]/WWWW[[#This Row],[Total PoP ]])</f>
        <v>1</v>
      </c>
      <c r="DA216" s="657">
        <f>1-WWWW[[#This Row],[Hygiene Coverage%]]</f>
        <v>0</v>
      </c>
      <c r="DB216" s="654">
        <f>WWWW[[#This Row],['# people reached by regular dedicated hygiene promotion_5]]/WWWW[[#This Row],[Total PoP ]]</f>
        <v>0</v>
      </c>
      <c r="DC216" s="654">
        <f>IF(WWWW[[#This Row],['#_households that received standard amount of soap for this quarter]]/WWWW[[#This Row],[Total HH]]&gt;1,1,WWWW[[#This Row],['#_households that received standard amount of soap for this quarter]]/WWWW[[#This Row],[Total HH]])</f>
        <v>1</v>
      </c>
      <c r="DD216" s="654">
        <f>IF(WWWW[[#This Row],['#_households that received standard amount of sanitary pads for this quarter]]/WWWW[[#This Row],[Total HH]]&gt;1,1,WWWW[[#This Row],['#_households that received standard amount of sanitary pads for this quarter]]/WWWW[[#This Row],[Total HH]])</f>
        <v>0</v>
      </c>
      <c r="DE216" s="656">
        <f>WWWW[[#This Row],['#_Constructed/Existing hand washing stations]]-WWWW[[#This Row],['#_Non-Functional_hand_washing_stations]]</f>
        <v>0</v>
      </c>
      <c r="DF216" s="757">
        <f>IF(WWWW[[#This Row],['# Functional hand washing stations during reporting period]]*20&gt;WWWW[[#This Row],[Total HH]],WWWW[[#This Row],[Total HH]],WWWW[[#This Row],['# Functional hand washing stations during reporting period]]*20)</f>
        <v>0</v>
      </c>
      <c r="DG216" s="649">
        <f>IF(WWWW[[#This Row],[Is sufficient soap available for TLS? (Yes/No)]]="yes",WWWW[[#This Row],['#_Constructed/Existing hand washing stations at TLS]],0)</f>
        <v>0</v>
      </c>
      <c r="DH216" s="585">
        <f>IF(WWWW[[#This Row],['# Functional hand washing stations during reporting period]]*100&gt;WWWW[[#This Row],[Total PoP ]],WWWW[[#This Row],[Total PoP ]],WWWW[[#This Row],['# Functional hand washing stations during reporting period]]*100)</f>
        <v>0</v>
      </c>
      <c r="DI216" s="585" t="str">
        <f>IF(OR(WWWW[[#This Row],['#_students at TLS_CFS]]="",WWWW[[#This Row],['#_students at TLS_CFS]]=0),"No","Yes")</f>
        <v>No</v>
      </c>
      <c r="DJ216" s="655">
        <f>VLOOKUP(WWWW[[#This Row],[Site Name]],SiteDB6[[Site Name]:[CCCM Management]],6,FALSE)</f>
        <v>0</v>
      </c>
      <c r="DK216" s="655">
        <f>VLOOKUP(WWWW[[#This Row],[Site Name]],SiteDB6[[Site Name]:[CCCM Focal Agency]],7,FALSE)</f>
        <v>0</v>
      </c>
      <c r="DL216" s="655" t="str">
        <f>VLOOKUP(WWWW[[#This Row],[Site Name]],SiteDB6[[Site Name]:[Location Type 1]],9,FALSE)</f>
        <v>Village</v>
      </c>
      <c r="DM216" s="655" t="str">
        <f>VLOOKUP(WWWW[[#This Row],[Site Name]],SiteDB6[[Site Name]:[Type of Accommodation]],10,FALSE)</f>
        <v>Village</v>
      </c>
      <c r="DN216" s="655">
        <f>VLOOKUP(WWWW[[#This Row],[Site Name]],SiteDB6[[Site Name]:[Ethnic or GCA/NGCA]],11,FALSE)</f>
        <v>0</v>
      </c>
      <c r="DO216" s="655">
        <f>VLOOKUP(WWWW[[#This Row],[Site Name]],SiteDB6[[Site Name]:[Lat]],12,FALSE)</f>
        <v>20.8608493804932</v>
      </c>
      <c r="DP216" s="655">
        <f>VLOOKUP(WWWW[[#This Row],[Site Name]],SiteDB6[[Site Name]:[Long]],13,FALSE)</f>
        <v>92.539390563964801</v>
      </c>
      <c r="DQ216" s="655">
        <f>VLOOKUP(WWWW[[#This Row],[Site Name]],SiteDB6[[Site Name]:[Pcode]],3,FALSE)</f>
        <v>198326</v>
      </c>
      <c r="DR216" s="653" t="str">
        <f t="shared" si="7"/>
        <v>Covered</v>
      </c>
      <c r="DS216" s="653"/>
      <c r="DV216" s="572"/>
    </row>
    <row r="217" spans="1:126">
      <c r="A217" s="552" t="s">
        <v>2518</v>
      </c>
      <c r="B217" s="552" t="s">
        <v>1270</v>
      </c>
      <c r="C217" s="647" t="s">
        <v>3072</v>
      </c>
      <c r="D217" s="647"/>
      <c r="E217" s="574" t="s">
        <v>3005</v>
      </c>
      <c r="F217" s="647" t="s">
        <v>337</v>
      </c>
      <c r="G217" s="648" t="str">
        <f>VLOOKUP(WWWW[[#This Row],[Site Name]],SiteDB6[[Site Name]:[Location Type]],8,FALSE)</f>
        <v>Village</v>
      </c>
      <c r="H217" s="647" t="s">
        <v>2941</v>
      </c>
      <c r="I217" s="662">
        <v>1634.4</v>
      </c>
      <c r="J217" s="662">
        <v>8172</v>
      </c>
      <c r="K217" s="650"/>
      <c r="L217" s="651"/>
      <c r="M217" s="652"/>
      <c r="N217" s="652"/>
      <c r="O217" s="652"/>
      <c r="P217" s="652"/>
      <c r="Q217" s="649"/>
      <c r="R217" s="652"/>
      <c r="S217" s="652"/>
      <c r="T217" s="312"/>
      <c r="U217" s="652"/>
      <c r="V217" s="652"/>
      <c r="W217" s="652"/>
      <c r="X217" s="652"/>
      <c r="Y217" s="652"/>
      <c r="Z217" s="652"/>
      <c r="AA217" s="652"/>
      <c r="AB217" s="652"/>
      <c r="AC217" s="652"/>
      <c r="AD217" s="652"/>
      <c r="AE217" s="652"/>
      <c r="AF217" s="652"/>
      <c r="AG217" s="652"/>
      <c r="AH217" s="652"/>
      <c r="AI217" s="652"/>
      <c r="AJ217" s="652"/>
      <c r="AK217" s="652"/>
      <c r="AL217" s="652"/>
      <c r="AM217" s="652"/>
      <c r="AN217" s="652"/>
      <c r="AO217" s="653"/>
      <c r="AP217" s="652"/>
      <c r="AQ217" s="652"/>
      <c r="AR217" s="654"/>
      <c r="AS217" s="652"/>
      <c r="AT217" s="652"/>
      <c r="AU217" s="652"/>
      <c r="AV217" s="652"/>
      <c r="AW217" s="652"/>
      <c r="AX217" s="655"/>
      <c r="AY217" s="653"/>
      <c r="AZ217" s="652"/>
      <c r="BA217" s="652"/>
      <c r="BB217" s="652"/>
      <c r="BC217" s="655"/>
      <c r="BD217" s="652"/>
      <c r="BE217" s="652"/>
      <c r="BF217" s="652"/>
      <c r="BG217" s="652"/>
      <c r="BH217" s="652"/>
      <c r="BI217" s="652"/>
      <c r="BJ217" s="652"/>
      <c r="BK217" s="652">
        <v>1634.4</v>
      </c>
      <c r="BL217" s="652"/>
      <c r="BM217" s="655"/>
      <c r="BN217" s="656"/>
      <c r="BO217" s="654"/>
      <c r="BP217" s="655"/>
      <c r="BQ217" s="657" t="str">
        <f>IFERROR(WWWW[[#This Row],['#_Water sources treated]]/WWWW[[#This Row],['#_Water sources tested for contamination]],"no test")</f>
        <v>no test</v>
      </c>
      <c r="BR217" s="654" t="str">
        <f>IFERROR(WWWW[[#This Row],['#_Household received remediation action due to contamination]]/WWWW[[#This Row],['#_Household water samples tested for contamination]],"no test")</f>
        <v>no test</v>
      </c>
      <c r="BS217" s="656" t="str">
        <f>IF(AND(WWWW[[#This Row],[% of water sources treated]]="no test",WWWW[[#This Row],[% Household received corrective actions]]="no test"),"No Test","Tested")</f>
        <v>No Test</v>
      </c>
      <c r="BT217" s="656">
        <f>WWWW[[#This Row],['#_Constructed/existing protected hand dug well]]-WWWW[[#This Row],['#_Non-functional protected hand dug well]]</f>
        <v>0</v>
      </c>
      <c r="BU217" s="656">
        <f>(WWWW[[#This Row],['#_Constructed/Existing tube wells/boreholes/handpumps_WASH_agency]]+WWWW[[#This Row],['#_Non-Cluster partner water tube-wells/boreholes/handpumps]])-WWWW[[#This Row],['#_Non-functional tube wells/boreholes/handpumps]]</f>
        <v>0</v>
      </c>
      <c r="BV217" s="656">
        <f>WWWW[[#This Row],['#_Constructed/Existingwater storage tank with gravity fed reticulation system]]-WWWW[[#This Row],['#_Non-functional storage tank gravity fed reticulation system]]</f>
        <v>0</v>
      </c>
      <c r="BW217" s="656">
        <f>WWWW[[#This Row],['#_Water boating or water trucking]]</f>
        <v>0</v>
      </c>
      <c r="BX217" s="656">
        <f>WWWW[[#This Row],['#_Constructed/Existing water distribution system from river or natural spring]]</f>
        <v>0</v>
      </c>
      <c r="BY217"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7"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7" s="654">
        <f>IF(WWWW[[#This Row],[Location Type 1]]="Village",WWWW[[#This Row],[Access to safe drinking water for Village]],WWWW[[#This Row],[Access to safe drinking water for Camp]])</f>
        <v>0</v>
      </c>
      <c r="CB217" s="649">
        <f>WWWW[[#This Row],[%Equitable and continuous access to sufficient quantity of safe drinking water]]*WWWW[[#This Row],[Total PoP ]]</f>
        <v>0</v>
      </c>
      <c r="CC217" s="654">
        <f>IF((WWWW[[#This Row],['#_Constructed/Existing protected/fenced ponds]]*250)/WWWW[[#This Row],[Total PoP ]]&gt;1,1,(WWWW[[#This Row],['#_Constructed/Existing protected/fenced ponds]]*250)/WWWW[[#This Row],[Total PoP ]])</f>
        <v>0</v>
      </c>
      <c r="CD217" s="649">
        <f>WWWW[[#This Row],[% Access to unimproved water points]]*WWWW[[#This Row],[Total PoP ]]</f>
        <v>0</v>
      </c>
      <c r="CE217"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7"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7" s="649">
        <f>WWWW[[#This Row],[HRP1]]/500</f>
        <v>0</v>
      </c>
      <c r="CH217" s="658">
        <f>1-WWWW[[#This Row],[% Equitable and continuous access to sufficient quantity of domestic water]]</f>
        <v>1</v>
      </c>
      <c r="CI217" s="649">
        <f>WWWW[[#This Row],[%equitable and continuous access to sufficient quantity of safe drinking and domestic water''s GAP]]*WWWW[[#This Row],[Total PoP ]]</f>
        <v>8172</v>
      </c>
      <c r="CJ217" s="656">
        <f>IF(WWWW[[#This Row],[Total required water points]]-WWWW[[#This Row],['#Water points coverage]]&lt;0,0,WWWW[[#This Row],[Total required water points]]-WWWW[[#This Row],['#Water points coverage]])</f>
        <v>16</v>
      </c>
      <c r="CK217" s="656">
        <f>ROUND(IF(WWWW[[#This Row],[Total PoP ]]&lt;500,1,WWWW[[#This Row],[Total PoP ]]/500),0)</f>
        <v>16</v>
      </c>
      <c r="CL217" s="656">
        <f>(WWWW[[#This Row],['#_Constructed latrines_by_WASHAgencies]]+WWWW[[#This Row],['#_Non Cluster partner latrines]])-WWWW[[#This Row],['#_Non-functional latrines]]</f>
        <v>0</v>
      </c>
      <c r="CM21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7"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7"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7" s="656" t="str">
        <f>IF(WWWW[[#This Row],[Location Type 1]]="Village","NA",IF(WWWW[[#This Row],['#_Constructed/Existing latrines in TLS]]*50&gt;WWWW[[#This Row],['#_students at TLS_CFS]],WWWW[[#This Row],['#_students at TLS_CFS]],(WWWW[[#This Row],['#_Constructed/Existing latrines in TLS]]*50)))</f>
        <v>NA</v>
      </c>
      <c r="CQ217" s="656">
        <f>ROUND(IF(WWWW[[#This Row],[Location Type 1]]="camp",WWWW[[#This Row],[Total PoP ]]/20,IF(WWWW[[#This Row],[Location Type 1]]="Temporary Location",WWWW[[#This Row],[Total PoP ]]/50,(WWWW[[#This Row],[Total PoP ]]/6))),0)</f>
        <v>1362</v>
      </c>
      <c r="CR217" s="656">
        <f>IF(WWWW[[#This Row],[Total required Latrines]]-(WWWW[[#This Row],['#_Constructed latrines_by_WASHAgencies]]+WWWW[[#This Row],['#_Non Cluster partner latrines]])&lt;0,0,WWWW[[#This Row],[Total required Latrines]]-(WWWW[[#This Row],['#_Constructed latrines_by_WASHAgencies]]+WWWW[[#This Row],['#_Non Cluster partner latrines]]))</f>
        <v>1362</v>
      </c>
      <c r="CS217" s="660">
        <f>1-WWWW[[#This Row],[% people access to functioning Latrine]]</f>
        <v>1</v>
      </c>
      <c r="CT217" s="657">
        <f>IF(OR(WWWW[[#This Row],['#_Non-functional latrines]]="",WWWW[[#This Row],['#_Non-functional latrines]]=0),0,WWWW[[#This Row],['#_Non-functional latrines]]/(WWWW[[#This Row],['#_Constructed latrines_by_WASHAgencies]]+WWWW[[#This Row],['#_Non Cluster partner latrines]]))</f>
        <v>0</v>
      </c>
      <c r="CU217" s="649">
        <f>IF(500*(WWWW[[#This Row],['#_male hygiene promoters]]+WWWW[[#This Row],['#_female hygiene promoters]])&gt;WWWW[[#This Row],[Total PoP ]],WWWW[[#This Row],[Total PoP ]],500*(WWWW[[#This Row],['#_male hygiene promoters]]+WWWW[[#This Row],['#_female hygiene promoters]]))</f>
        <v>0</v>
      </c>
      <c r="CV217"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8172</v>
      </c>
      <c r="CW217"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7" s="656">
        <f>IF(WWWW[[#This Row],['# People with access to soap]]&gt;WWWW[[#This Row],['# People with access to Sanity Pads]],WWWW[[#This Row],['# People with access to soap]],WWWW[[#This Row],['# People with access to Sanity Pads]])</f>
        <v>8172</v>
      </c>
      <c r="CY217" s="656">
        <f>IF(WWWW[[#This Row],['# people reached by regular dedicated hygiene promotion_5]]&gt;WWWW[[#This Row],['# People received regular supply of hygiene items_6]],WWWW[[#This Row],['# people reached by regular dedicated hygiene promotion_5]],WWWW[[#This Row],['# People received regular supply of hygiene items_6]])</f>
        <v>8172</v>
      </c>
      <c r="CZ217" s="658">
        <f>IF(WWWW[[#This Row],[HRP3]]/WWWW[[#This Row],[Total PoP ]]&gt;100%,100%,WWWW[[#This Row],[HRP3]]/WWWW[[#This Row],[Total PoP ]])</f>
        <v>1</v>
      </c>
      <c r="DA217" s="657">
        <f>1-WWWW[[#This Row],[Hygiene Coverage%]]</f>
        <v>0</v>
      </c>
      <c r="DB217" s="654">
        <f>WWWW[[#This Row],['# people reached by regular dedicated hygiene promotion_5]]/WWWW[[#This Row],[Total PoP ]]</f>
        <v>0</v>
      </c>
      <c r="DC217" s="654">
        <f>IF(WWWW[[#This Row],['#_households that received standard amount of soap for this quarter]]/WWWW[[#This Row],[Total HH]]&gt;1,1,WWWW[[#This Row],['#_households that received standard amount of soap for this quarter]]/WWWW[[#This Row],[Total HH]])</f>
        <v>1</v>
      </c>
      <c r="DD217" s="654">
        <f>IF(WWWW[[#This Row],['#_households that received standard amount of sanitary pads for this quarter]]/WWWW[[#This Row],[Total HH]]&gt;1,1,WWWW[[#This Row],['#_households that received standard amount of sanitary pads for this quarter]]/WWWW[[#This Row],[Total HH]])</f>
        <v>0</v>
      </c>
      <c r="DE217" s="656">
        <f>WWWW[[#This Row],['#_Constructed/Existing hand washing stations]]-WWWW[[#This Row],['#_Non-Functional_hand_washing_stations]]</f>
        <v>0</v>
      </c>
      <c r="DF217" s="757">
        <f>IF(WWWW[[#This Row],['# Functional hand washing stations during reporting period]]*20&gt;WWWW[[#This Row],[Total HH]],WWWW[[#This Row],[Total HH]],WWWW[[#This Row],['# Functional hand washing stations during reporting period]]*20)</f>
        <v>0</v>
      </c>
      <c r="DG217" s="649">
        <f>IF(WWWW[[#This Row],[Is sufficient soap available for TLS? (Yes/No)]]="yes",WWWW[[#This Row],['#_Constructed/Existing hand washing stations at TLS]],0)</f>
        <v>0</v>
      </c>
      <c r="DH217" s="585">
        <f>IF(WWWW[[#This Row],['# Functional hand washing stations during reporting period]]*100&gt;WWWW[[#This Row],[Total PoP ]],WWWW[[#This Row],[Total PoP ]],WWWW[[#This Row],['# Functional hand washing stations during reporting period]]*100)</f>
        <v>0</v>
      </c>
      <c r="DI217" s="585" t="str">
        <f>IF(OR(WWWW[[#This Row],['#_students at TLS_CFS]]="",WWWW[[#This Row],['#_students at TLS_CFS]]=0),"No","Yes")</f>
        <v>No</v>
      </c>
      <c r="DJ217" s="655">
        <f>VLOOKUP(WWWW[[#This Row],[Site Name]],SiteDB6[[Site Name]:[CCCM Management]],6,FALSE)</f>
        <v>0</v>
      </c>
      <c r="DK217" s="655">
        <f>VLOOKUP(WWWW[[#This Row],[Site Name]],SiteDB6[[Site Name]:[CCCM Focal Agency]],7,FALSE)</f>
        <v>0</v>
      </c>
      <c r="DL217" s="655" t="str">
        <f>VLOOKUP(WWWW[[#This Row],[Site Name]],SiteDB6[[Site Name]:[Location Type 1]],9,FALSE)</f>
        <v>Village</v>
      </c>
      <c r="DM217" s="655" t="str">
        <f>VLOOKUP(WWWW[[#This Row],[Site Name]],SiteDB6[[Site Name]:[Type of Accommodation]],10,FALSE)</f>
        <v>Village</v>
      </c>
      <c r="DN217" s="655">
        <f>VLOOKUP(WWWW[[#This Row],[Site Name]],SiteDB6[[Site Name]:[Ethnic or GCA/NGCA]],11,FALSE)</f>
        <v>0</v>
      </c>
      <c r="DO217" s="655">
        <f>VLOOKUP(WWWW[[#This Row],[Site Name]],SiteDB6[[Site Name]:[Lat]],12,FALSE)</f>
        <v>20.793779373168899</v>
      </c>
      <c r="DP217" s="655">
        <f>VLOOKUP(WWWW[[#This Row],[Site Name]],SiteDB6[[Site Name]:[Long]],13,FALSE)</f>
        <v>92.597961425781307</v>
      </c>
      <c r="DQ217" s="655">
        <f>VLOOKUP(WWWW[[#This Row],[Site Name]],SiteDB6[[Site Name]:[Pcode]],3,FALSE)</f>
        <v>198370</v>
      </c>
      <c r="DR217" s="653" t="str">
        <f t="shared" si="7"/>
        <v>Covered</v>
      </c>
      <c r="DS217" s="653"/>
      <c r="DV217" s="572"/>
    </row>
    <row r="218" spans="1:126">
      <c r="A218" s="552" t="s">
        <v>2518</v>
      </c>
      <c r="B218" s="552" t="s">
        <v>1270</v>
      </c>
      <c r="C218" s="647" t="s">
        <v>3072</v>
      </c>
      <c r="D218" s="647"/>
      <c r="E218" s="574" t="s">
        <v>3005</v>
      </c>
      <c r="F218" s="647" t="s">
        <v>337</v>
      </c>
      <c r="G218" s="648" t="str">
        <f>VLOOKUP(WWWW[[#This Row],[Site Name]],SiteDB6[[Site Name]:[Location Type]],8,FALSE)</f>
        <v>Village</v>
      </c>
      <c r="H218" s="647" t="s">
        <v>3056</v>
      </c>
      <c r="I218" s="662">
        <v>403</v>
      </c>
      <c r="J218" s="662">
        <v>2015</v>
      </c>
      <c r="K218" s="650"/>
      <c r="L218" s="651"/>
      <c r="M218" s="652"/>
      <c r="N218" s="652"/>
      <c r="O218" s="652"/>
      <c r="P218" s="652"/>
      <c r="Q218" s="649"/>
      <c r="R218" s="652"/>
      <c r="S218" s="652"/>
      <c r="T218" s="312"/>
      <c r="U218" s="652"/>
      <c r="V218" s="652"/>
      <c r="W218" s="652"/>
      <c r="X218" s="652"/>
      <c r="Y218" s="652"/>
      <c r="Z218" s="652"/>
      <c r="AA218" s="652"/>
      <c r="AB218" s="652"/>
      <c r="AC218" s="652"/>
      <c r="AD218" s="652"/>
      <c r="AE218" s="652"/>
      <c r="AF218" s="652"/>
      <c r="AG218" s="652"/>
      <c r="AH218" s="652"/>
      <c r="AI218" s="652"/>
      <c r="AJ218" s="652"/>
      <c r="AK218" s="652"/>
      <c r="AL218" s="652"/>
      <c r="AM218" s="652"/>
      <c r="AN218" s="652"/>
      <c r="AO218" s="653"/>
      <c r="AP218" s="652"/>
      <c r="AQ218" s="652"/>
      <c r="AR218" s="654"/>
      <c r="AS218" s="652"/>
      <c r="AT218" s="652"/>
      <c r="AU218" s="652"/>
      <c r="AV218" s="652"/>
      <c r="AW218" s="652"/>
      <c r="AX218" s="655"/>
      <c r="AY218" s="653"/>
      <c r="AZ218" s="652"/>
      <c r="BA218" s="652"/>
      <c r="BB218" s="652"/>
      <c r="BC218" s="655"/>
      <c r="BD218" s="652"/>
      <c r="BE218" s="652"/>
      <c r="BF218" s="652"/>
      <c r="BG218" s="652"/>
      <c r="BH218" s="652"/>
      <c r="BI218" s="652"/>
      <c r="BJ218" s="652"/>
      <c r="BK218" s="652">
        <v>403</v>
      </c>
      <c r="BL218" s="652"/>
      <c r="BM218" s="655"/>
      <c r="BN218" s="656"/>
      <c r="BO218" s="654"/>
      <c r="BP218" s="655"/>
      <c r="BQ218" s="657" t="str">
        <f>IFERROR(WWWW[[#This Row],['#_Water sources treated]]/WWWW[[#This Row],['#_Water sources tested for contamination]],"no test")</f>
        <v>no test</v>
      </c>
      <c r="BR218" s="654" t="str">
        <f>IFERROR(WWWW[[#This Row],['#_Household received remediation action due to contamination]]/WWWW[[#This Row],['#_Household water samples tested for contamination]],"no test")</f>
        <v>no test</v>
      </c>
      <c r="BS218" s="656" t="str">
        <f>IF(AND(WWWW[[#This Row],[% of water sources treated]]="no test",WWWW[[#This Row],[% Household received corrective actions]]="no test"),"No Test","Tested")</f>
        <v>No Test</v>
      </c>
      <c r="BT218" s="656">
        <f>WWWW[[#This Row],['#_Constructed/existing protected hand dug well]]-WWWW[[#This Row],['#_Non-functional protected hand dug well]]</f>
        <v>0</v>
      </c>
      <c r="BU218" s="656">
        <f>(WWWW[[#This Row],['#_Constructed/Existing tube wells/boreholes/handpumps_WASH_agency]]+WWWW[[#This Row],['#_Non-Cluster partner water tube-wells/boreholes/handpumps]])-WWWW[[#This Row],['#_Non-functional tube wells/boreholes/handpumps]]</f>
        <v>0</v>
      </c>
      <c r="BV218" s="656">
        <f>WWWW[[#This Row],['#_Constructed/Existingwater storage tank with gravity fed reticulation system]]-WWWW[[#This Row],['#_Non-functional storage tank gravity fed reticulation system]]</f>
        <v>0</v>
      </c>
      <c r="BW218" s="656">
        <f>WWWW[[#This Row],['#_Water boating or water trucking]]</f>
        <v>0</v>
      </c>
      <c r="BX218" s="656">
        <f>WWWW[[#This Row],['#_Constructed/Existing water distribution system from river or natural spring]]</f>
        <v>0</v>
      </c>
      <c r="BY218"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8"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8" s="654">
        <f>IF(WWWW[[#This Row],[Location Type 1]]="Village",WWWW[[#This Row],[Access to safe drinking water for Village]],WWWW[[#This Row],[Access to safe drinking water for Camp]])</f>
        <v>0</v>
      </c>
      <c r="CB218" s="649">
        <f>WWWW[[#This Row],[%Equitable and continuous access to sufficient quantity of safe drinking water]]*WWWW[[#This Row],[Total PoP ]]</f>
        <v>0</v>
      </c>
      <c r="CC218" s="654">
        <f>IF((WWWW[[#This Row],['#_Constructed/Existing protected/fenced ponds]]*250)/WWWW[[#This Row],[Total PoP ]]&gt;1,1,(WWWW[[#This Row],['#_Constructed/Existing protected/fenced ponds]]*250)/WWWW[[#This Row],[Total PoP ]])</f>
        <v>0</v>
      </c>
      <c r="CD218" s="649">
        <f>WWWW[[#This Row],[% Access to unimproved water points]]*WWWW[[#This Row],[Total PoP ]]</f>
        <v>0</v>
      </c>
      <c r="CE218"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8"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8" s="649">
        <f>WWWW[[#This Row],[HRP1]]/500</f>
        <v>0</v>
      </c>
      <c r="CH218" s="658">
        <f>1-WWWW[[#This Row],[% Equitable and continuous access to sufficient quantity of domestic water]]</f>
        <v>1</v>
      </c>
      <c r="CI218" s="649">
        <f>WWWW[[#This Row],[%equitable and continuous access to sufficient quantity of safe drinking and domestic water''s GAP]]*WWWW[[#This Row],[Total PoP ]]</f>
        <v>2015</v>
      </c>
      <c r="CJ218" s="656">
        <f>IF(WWWW[[#This Row],[Total required water points]]-WWWW[[#This Row],['#Water points coverage]]&lt;0,0,WWWW[[#This Row],[Total required water points]]-WWWW[[#This Row],['#Water points coverage]])</f>
        <v>4</v>
      </c>
      <c r="CK218" s="656">
        <f>ROUND(IF(WWWW[[#This Row],[Total PoP ]]&lt;500,1,WWWW[[#This Row],[Total PoP ]]/500),0)</f>
        <v>4</v>
      </c>
      <c r="CL218" s="656">
        <f>(WWWW[[#This Row],['#_Constructed latrines_by_WASHAgencies]]+WWWW[[#This Row],['#_Non Cluster partner latrines]])-WWWW[[#This Row],['#_Non-functional latrines]]</f>
        <v>0</v>
      </c>
      <c r="CM21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8"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8"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8" s="656" t="str">
        <f>IF(WWWW[[#This Row],[Location Type 1]]="Village","NA",IF(WWWW[[#This Row],['#_Constructed/Existing latrines in TLS]]*50&gt;WWWW[[#This Row],['#_students at TLS_CFS]],WWWW[[#This Row],['#_students at TLS_CFS]],(WWWW[[#This Row],['#_Constructed/Existing latrines in TLS]]*50)))</f>
        <v>NA</v>
      </c>
      <c r="CQ218" s="656">
        <f>ROUND(IF(WWWW[[#This Row],[Location Type 1]]="camp",WWWW[[#This Row],[Total PoP ]]/20,IF(WWWW[[#This Row],[Location Type 1]]="Temporary Location",WWWW[[#This Row],[Total PoP ]]/50,(WWWW[[#This Row],[Total PoP ]]/6))),0)</f>
        <v>336</v>
      </c>
      <c r="CR218" s="656">
        <f>IF(WWWW[[#This Row],[Total required Latrines]]-(WWWW[[#This Row],['#_Constructed latrines_by_WASHAgencies]]+WWWW[[#This Row],['#_Non Cluster partner latrines]])&lt;0,0,WWWW[[#This Row],[Total required Latrines]]-(WWWW[[#This Row],['#_Constructed latrines_by_WASHAgencies]]+WWWW[[#This Row],['#_Non Cluster partner latrines]]))</f>
        <v>336</v>
      </c>
      <c r="CS218" s="660">
        <f>1-WWWW[[#This Row],[% people access to functioning Latrine]]</f>
        <v>1</v>
      </c>
      <c r="CT218" s="657">
        <f>IF(OR(WWWW[[#This Row],['#_Non-functional latrines]]="",WWWW[[#This Row],['#_Non-functional latrines]]=0),0,WWWW[[#This Row],['#_Non-functional latrines]]/(WWWW[[#This Row],['#_Constructed latrines_by_WASHAgencies]]+WWWW[[#This Row],['#_Non Cluster partner latrines]]))</f>
        <v>0</v>
      </c>
      <c r="CU218" s="649">
        <f>IF(500*(WWWW[[#This Row],['#_male hygiene promoters]]+WWWW[[#This Row],['#_female hygiene promoters]])&gt;WWWW[[#This Row],[Total PoP ]],WWWW[[#This Row],[Total PoP ]],500*(WWWW[[#This Row],['#_male hygiene promoters]]+WWWW[[#This Row],['#_female hygiene promoters]]))</f>
        <v>0</v>
      </c>
      <c r="CV218"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2015</v>
      </c>
      <c r="CW218"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8" s="656">
        <f>IF(WWWW[[#This Row],['# People with access to soap]]&gt;WWWW[[#This Row],['# People with access to Sanity Pads]],WWWW[[#This Row],['# People with access to soap]],WWWW[[#This Row],['# People with access to Sanity Pads]])</f>
        <v>2015</v>
      </c>
      <c r="CY218" s="656">
        <f>IF(WWWW[[#This Row],['# people reached by regular dedicated hygiene promotion_5]]&gt;WWWW[[#This Row],['# People received regular supply of hygiene items_6]],WWWW[[#This Row],['# people reached by regular dedicated hygiene promotion_5]],WWWW[[#This Row],['# People received regular supply of hygiene items_6]])</f>
        <v>2015</v>
      </c>
      <c r="CZ218" s="658">
        <f>IF(WWWW[[#This Row],[HRP3]]/WWWW[[#This Row],[Total PoP ]]&gt;100%,100%,WWWW[[#This Row],[HRP3]]/WWWW[[#This Row],[Total PoP ]])</f>
        <v>1</v>
      </c>
      <c r="DA218" s="657">
        <f>1-WWWW[[#This Row],[Hygiene Coverage%]]</f>
        <v>0</v>
      </c>
      <c r="DB218" s="654">
        <f>WWWW[[#This Row],['# people reached by regular dedicated hygiene promotion_5]]/WWWW[[#This Row],[Total PoP ]]</f>
        <v>0</v>
      </c>
      <c r="DC218" s="654">
        <f>IF(WWWW[[#This Row],['#_households that received standard amount of soap for this quarter]]/WWWW[[#This Row],[Total HH]]&gt;1,1,WWWW[[#This Row],['#_households that received standard amount of soap for this quarter]]/WWWW[[#This Row],[Total HH]])</f>
        <v>1</v>
      </c>
      <c r="DD218" s="654">
        <f>IF(WWWW[[#This Row],['#_households that received standard amount of sanitary pads for this quarter]]/WWWW[[#This Row],[Total HH]]&gt;1,1,WWWW[[#This Row],['#_households that received standard amount of sanitary pads for this quarter]]/WWWW[[#This Row],[Total HH]])</f>
        <v>0</v>
      </c>
      <c r="DE218" s="656">
        <f>WWWW[[#This Row],['#_Constructed/Existing hand washing stations]]-WWWW[[#This Row],['#_Non-Functional_hand_washing_stations]]</f>
        <v>0</v>
      </c>
      <c r="DF218" s="757">
        <f>IF(WWWW[[#This Row],['# Functional hand washing stations during reporting period]]*20&gt;WWWW[[#This Row],[Total HH]],WWWW[[#This Row],[Total HH]],WWWW[[#This Row],['# Functional hand washing stations during reporting period]]*20)</f>
        <v>0</v>
      </c>
      <c r="DG218" s="649">
        <f>IF(WWWW[[#This Row],[Is sufficient soap available for TLS? (Yes/No)]]="yes",WWWW[[#This Row],['#_Constructed/Existing hand washing stations at TLS]],0)</f>
        <v>0</v>
      </c>
      <c r="DH218" s="585">
        <f>IF(WWWW[[#This Row],['# Functional hand washing stations during reporting period]]*100&gt;WWWW[[#This Row],[Total PoP ]],WWWW[[#This Row],[Total PoP ]],WWWW[[#This Row],['# Functional hand washing stations during reporting period]]*100)</f>
        <v>0</v>
      </c>
      <c r="DI218" s="585" t="str">
        <f>IF(OR(WWWW[[#This Row],['#_students at TLS_CFS]]="",WWWW[[#This Row],['#_students at TLS_CFS]]=0),"No","Yes")</f>
        <v>No</v>
      </c>
      <c r="DJ218" s="655">
        <f>VLOOKUP(WWWW[[#This Row],[Site Name]],SiteDB6[[Site Name]:[CCCM Management]],6,FALSE)</f>
        <v>0</v>
      </c>
      <c r="DK218" s="655">
        <f>VLOOKUP(WWWW[[#This Row],[Site Name]],SiteDB6[[Site Name]:[CCCM Focal Agency]],7,FALSE)</f>
        <v>0</v>
      </c>
      <c r="DL218" s="655" t="str">
        <f>VLOOKUP(WWWW[[#This Row],[Site Name]],SiteDB6[[Site Name]:[Location Type 1]],9,FALSE)</f>
        <v>Village</v>
      </c>
      <c r="DM218" s="655" t="str">
        <f>VLOOKUP(WWWW[[#This Row],[Site Name]],SiteDB6[[Site Name]:[Type of Accommodation]],10,FALSE)</f>
        <v>Village</v>
      </c>
      <c r="DN218" s="655">
        <f>VLOOKUP(WWWW[[#This Row],[Site Name]],SiteDB6[[Site Name]:[Ethnic or GCA/NGCA]],11,FALSE)</f>
        <v>0</v>
      </c>
      <c r="DO218" s="655">
        <f>VLOOKUP(WWWW[[#This Row],[Site Name]],SiteDB6[[Site Name]:[Lat]],12,FALSE)</f>
        <v>20.821479797363299</v>
      </c>
      <c r="DP218" s="655">
        <f>VLOOKUP(WWWW[[#This Row],[Site Name]],SiteDB6[[Site Name]:[Long]],13,FALSE)</f>
        <v>92.603950500488295</v>
      </c>
      <c r="DQ218" s="655">
        <f>VLOOKUP(WWWW[[#This Row],[Site Name]],SiteDB6[[Site Name]:[Pcode]],3,FALSE)</f>
        <v>198356</v>
      </c>
      <c r="DR218" s="653" t="str">
        <f t="shared" si="7"/>
        <v>Covered</v>
      </c>
      <c r="DS218" s="653"/>
      <c r="DV218" s="572"/>
    </row>
    <row r="219" spans="1:126">
      <c r="A219" s="552" t="s">
        <v>2518</v>
      </c>
      <c r="B219" s="552" t="s">
        <v>1270</v>
      </c>
      <c r="C219" s="647" t="s">
        <v>3072</v>
      </c>
      <c r="D219" s="647"/>
      <c r="E219" s="574" t="s">
        <v>3005</v>
      </c>
      <c r="F219" s="647" t="s">
        <v>337</v>
      </c>
      <c r="G219" s="648" t="str">
        <f>VLOOKUP(WWWW[[#This Row],[Site Name]],SiteDB6[[Site Name]:[Location Type]],8,FALSE)</f>
        <v>Village</v>
      </c>
      <c r="H219" s="647" t="s">
        <v>590</v>
      </c>
      <c r="I219" s="662">
        <v>51.2</v>
      </c>
      <c r="J219" s="662">
        <v>256</v>
      </c>
      <c r="K219" s="650"/>
      <c r="L219" s="651"/>
      <c r="M219" s="652"/>
      <c r="N219" s="652"/>
      <c r="O219" s="652"/>
      <c r="P219" s="652"/>
      <c r="Q219" s="649"/>
      <c r="R219" s="652"/>
      <c r="S219" s="652"/>
      <c r="T219" s="312"/>
      <c r="U219" s="652"/>
      <c r="V219" s="652"/>
      <c r="W219" s="652"/>
      <c r="X219" s="652"/>
      <c r="Y219" s="652"/>
      <c r="Z219" s="652"/>
      <c r="AA219" s="652"/>
      <c r="AB219" s="652"/>
      <c r="AC219" s="652"/>
      <c r="AD219" s="652"/>
      <c r="AE219" s="652"/>
      <c r="AF219" s="652"/>
      <c r="AG219" s="652"/>
      <c r="AH219" s="652"/>
      <c r="AI219" s="652"/>
      <c r="AJ219" s="652"/>
      <c r="AK219" s="652"/>
      <c r="AL219" s="652"/>
      <c r="AM219" s="652"/>
      <c r="AN219" s="652"/>
      <c r="AO219" s="653"/>
      <c r="AP219" s="652"/>
      <c r="AQ219" s="652"/>
      <c r="AR219" s="654"/>
      <c r="AS219" s="652"/>
      <c r="AT219" s="652"/>
      <c r="AU219" s="652"/>
      <c r="AV219" s="652"/>
      <c r="AW219" s="652"/>
      <c r="AX219" s="655"/>
      <c r="AY219" s="653"/>
      <c r="AZ219" s="652"/>
      <c r="BA219" s="652"/>
      <c r="BB219" s="652"/>
      <c r="BC219" s="655"/>
      <c r="BD219" s="652"/>
      <c r="BE219" s="652"/>
      <c r="BF219" s="652"/>
      <c r="BG219" s="652"/>
      <c r="BH219" s="652"/>
      <c r="BI219" s="652"/>
      <c r="BJ219" s="652"/>
      <c r="BK219" s="652">
        <v>51.2</v>
      </c>
      <c r="BL219" s="652"/>
      <c r="BM219" s="655"/>
      <c r="BN219" s="656"/>
      <c r="BO219" s="654"/>
      <c r="BP219" s="655"/>
      <c r="BQ219" s="657" t="str">
        <f>IFERROR(WWWW[[#This Row],['#_Water sources treated]]/WWWW[[#This Row],['#_Water sources tested for contamination]],"no test")</f>
        <v>no test</v>
      </c>
      <c r="BR219" s="654" t="str">
        <f>IFERROR(WWWW[[#This Row],['#_Household received remediation action due to contamination]]/WWWW[[#This Row],['#_Household water samples tested for contamination]],"no test")</f>
        <v>no test</v>
      </c>
      <c r="BS219" s="656" t="str">
        <f>IF(AND(WWWW[[#This Row],[% of water sources treated]]="no test",WWWW[[#This Row],[% Household received corrective actions]]="no test"),"No Test","Tested")</f>
        <v>No Test</v>
      </c>
      <c r="BT219" s="656">
        <f>WWWW[[#This Row],['#_Constructed/existing protected hand dug well]]-WWWW[[#This Row],['#_Non-functional protected hand dug well]]</f>
        <v>0</v>
      </c>
      <c r="BU219" s="656">
        <f>(WWWW[[#This Row],['#_Constructed/Existing tube wells/boreholes/handpumps_WASH_agency]]+WWWW[[#This Row],['#_Non-Cluster partner water tube-wells/boreholes/handpumps]])-WWWW[[#This Row],['#_Non-functional tube wells/boreholes/handpumps]]</f>
        <v>0</v>
      </c>
      <c r="BV219" s="656">
        <f>WWWW[[#This Row],['#_Constructed/Existingwater storage tank with gravity fed reticulation system]]-WWWW[[#This Row],['#_Non-functional storage tank gravity fed reticulation system]]</f>
        <v>0</v>
      </c>
      <c r="BW219" s="656">
        <f>WWWW[[#This Row],['#_Water boating or water trucking]]</f>
        <v>0</v>
      </c>
      <c r="BX219" s="656">
        <f>WWWW[[#This Row],['#_Constructed/Existing water distribution system from river or natural spring]]</f>
        <v>0</v>
      </c>
      <c r="BY219"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19"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19" s="654">
        <f>IF(WWWW[[#This Row],[Location Type 1]]="Village",WWWW[[#This Row],[Access to safe drinking water for Village]],WWWW[[#This Row],[Access to safe drinking water for Camp]])</f>
        <v>0</v>
      </c>
      <c r="CB219" s="649">
        <f>WWWW[[#This Row],[%Equitable and continuous access to sufficient quantity of safe drinking water]]*WWWW[[#This Row],[Total PoP ]]</f>
        <v>0</v>
      </c>
      <c r="CC219" s="654">
        <f>IF((WWWW[[#This Row],['#_Constructed/Existing protected/fenced ponds]]*250)/WWWW[[#This Row],[Total PoP ]]&gt;1,1,(WWWW[[#This Row],['#_Constructed/Existing protected/fenced ponds]]*250)/WWWW[[#This Row],[Total PoP ]])</f>
        <v>0</v>
      </c>
      <c r="CD219" s="649">
        <f>WWWW[[#This Row],[% Access to unimproved water points]]*WWWW[[#This Row],[Total PoP ]]</f>
        <v>0</v>
      </c>
      <c r="CE219"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19"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19" s="649">
        <f>WWWW[[#This Row],[HRP1]]/500</f>
        <v>0</v>
      </c>
      <c r="CH219" s="658">
        <f>1-WWWW[[#This Row],[% Equitable and continuous access to sufficient quantity of domestic water]]</f>
        <v>1</v>
      </c>
      <c r="CI219" s="649">
        <f>WWWW[[#This Row],[%equitable and continuous access to sufficient quantity of safe drinking and domestic water''s GAP]]*WWWW[[#This Row],[Total PoP ]]</f>
        <v>256</v>
      </c>
      <c r="CJ219" s="656">
        <f>IF(WWWW[[#This Row],[Total required water points]]-WWWW[[#This Row],['#Water points coverage]]&lt;0,0,WWWW[[#This Row],[Total required water points]]-WWWW[[#This Row],['#Water points coverage]])</f>
        <v>1</v>
      </c>
      <c r="CK219" s="656">
        <f>ROUND(IF(WWWW[[#This Row],[Total PoP ]]&lt;500,1,WWWW[[#This Row],[Total PoP ]]/500),0)</f>
        <v>1</v>
      </c>
      <c r="CL219" s="656">
        <f>(WWWW[[#This Row],['#_Constructed latrines_by_WASHAgencies]]+WWWW[[#This Row],['#_Non Cluster partner latrines]])-WWWW[[#This Row],['#_Non-functional latrines]]</f>
        <v>0</v>
      </c>
      <c r="CM21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19"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19"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19" s="656" t="str">
        <f>IF(WWWW[[#This Row],[Location Type 1]]="Village","NA",IF(WWWW[[#This Row],['#_Constructed/Existing latrines in TLS]]*50&gt;WWWW[[#This Row],['#_students at TLS_CFS]],WWWW[[#This Row],['#_students at TLS_CFS]],(WWWW[[#This Row],['#_Constructed/Existing latrines in TLS]]*50)))</f>
        <v>NA</v>
      </c>
      <c r="CQ219" s="656">
        <f>ROUND(IF(WWWW[[#This Row],[Location Type 1]]="camp",WWWW[[#This Row],[Total PoP ]]/20,IF(WWWW[[#This Row],[Location Type 1]]="Temporary Location",WWWW[[#This Row],[Total PoP ]]/50,(WWWW[[#This Row],[Total PoP ]]/6))),0)</f>
        <v>43</v>
      </c>
      <c r="CR219" s="656">
        <f>IF(WWWW[[#This Row],[Total required Latrines]]-(WWWW[[#This Row],['#_Constructed latrines_by_WASHAgencies]]+WWWW[[#This Row],['#_Non Cluster partner latrines]])&lt;0,0,WWWW[[#This Row],[Total required Latrines]]-(WWWW[[#This Row],['#_Constructed latrines_by_WASHAgencies]]+WWWW[[#This Row],['#_Non Cluster partner latrines]]))</f>
        <v>43</v>
      </c>
      <c r="CS219" s="660">
        <f>1-WWWW[[#This Row],[% people access to functioning Latrine]]</f>
        <v>1</v>
      </c>
      <c r="CT219" s="657">
        <f>IF(OR(WWWW[[#This Row],['#_Non-functional latrines]]="",WWWW[[#This Row],['#_Non-functional latrines]]=0),0,WWWW[[#This Row],['#_Non-functional latrines]]/(WWWW[[#This Row],['#_Constructed latrines_by_WASHAgencies]]+WWWW[[#This Row],['#_Non Cluster partner latrines]]))</f>
        <v>0</v>
      </c>
      <c r="CU219" s="649">
        <f>IF(500*(WWWW[[#This Row],['#_male hygiene promoters]]+WWWW[[#This Row],['#_female hygiene promoters]])&gt;WWWW[[#This Row],[Total PoP ]],WWWW[[#This Row],[Total PoP ]],500*(WWWW[[#This Row],['#_male hygiene promoters]]+WWWW[[#This Row],['#_female hygiene promoters]]))</f>
        <v>0</v>
      </c>
      <c r="CV219"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256</v>
      </c>
      <c r="CW219"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19" s="656">
        <f>IF(WWWW[[#This Row],['# People with access to soap]]&gt;WWWW[[#This Row],['# People with access to Sanity Pads]],WWWW[[#This Row],['# People with access to soap]],WWWW[[#This Row],['# People with access to Sanity Pads]])</f>
        <v>256</v>
      </c>
      <c r="CY219" s="656">
        <f>IF(WWWW[[#This Row],['# people reached by regular dedicated hygiene promotion_5]]&gt;WWWW[[#This Row],['# People received regular supply of hygiene items_6]],WWWW[[#This Row],['# people reached by regular dedicated hygiene promotion_5]],WWWW[[#This Row],['# People received regular supply of hygiene items_6]])</f>
        <v>256</v>
      </c>
      <c r="CZ219" s="658">
        <f>IF(WWWW[[#This Row],[HRP3]]/WWWW[[#This Row],[Total PoP ]]&gt;100%,100%,WWWW[[#This Row],[HRP3]]/WWWW[[#This Row],[Total PoP ]])</f>
        <v>1</v>
      </c>
      <c r="DA219" s="657">
        <f>1-WWWW[[#This Row],[Hygiene Coverage%]]</f>
        <v>0</v>
      </c>
      <c r="DB219" s="654">
        <f>WWWW[[#This Row],['# people reached by regular dedicated hygiene promotion_5]]/WWWW[[#This Row],[Total PoP ]]</f>
        <v>0</v>
      </c>
      <c r="DC219" s="654">
        <f>IF(WWWW[[#This Row],['#_households that received standard amount of soap for this quarter]]/WWWW[[#This Row],[Total HH]]&gt;1,1,WWWW[[#This Row],['#_households that received standard amount of soap for this quarter]]/WWWW[[#This Row],[Total HH]])</f>
        <v>1</v>
      </c>
      <c r="DD219" s="654">
        <f>IF(WWWW[[#This Row],['#_households that received standard amount of sanitary pads for this quarter]]/WWWW[[#This Row],[Total HH]]&gt;1,1,WWWW[[#This Row],['#_households that received standard amount of sanitary pads for this quarter]]/WWWW[[#This Row],[Total HH]])</f>
        <v>0</v>
      </c>
      <c r="DE219" s="656">
        <f>WWWW[[#This Row],['#_Constructed/Existing hand washing stations]]-WWWW[[#This Row],['#_Non-Functional_hand_washing_stations]]</f>
        <v>0</v>
      </c>
      <c r="DF219" s="757">
        <f>IF(WWWW[[#This Row],['# Functional hand washing stations during reporting period]]*20&gt;WWWW[[#This Row],[Total HH]],WWWW[[#This Row],[Total HH]],WWWW[[#This Row],['# Functional hand washing stations during reporting period]]*20)</f>
        <v>0</v>
      </c>
      <c r="DG219" s="649">
        <f>IF(WWWW[[#This Row],[Is sufficient soap available for TLS? (Yes/No)]]="yes",WWWW[[#This Row],['#_Constructed/Existing hand washing stations at TLS]],0)</f>
        <v>0</v>
      </c>
      <c r="DH219" s="585">
        <f>IF(WWWW[[#This Row],['# Functional hand washing stations during reporting period]]*100&gt;WWWW[[#This Row],[Total PoP ]],WWWW[[#This Row],[Total PoP ]],WWWW[[#This Row],['# Functional hand washing stations during reporting period]]*100)</f>
        <v>0</v>
      </c>
      <c r="DI219" s="585" t="str">
        <f>IF(OR(WWWW[[#This Row],['#_students at TLS_CFS]]="",WWWW[[#This Row],['#_students at TLS_CFS]]=0),"No","Yes")</f>
        <v>No</v>
      </c>
      <c r="DJ219" s="655">
        <f>VLOOKUP(WWWW[[#This Row],[Site Name]],SiteDB6[[Site Name]:[CCCM Management]],6,FALSE)</f>
        <v>0</v>
      </c>
      <c r="DK219" s="655">
        <f>VLOOKUP(WWWW[[#This Row],[Site Name]],SiteDB6[[Site Name]:[CCCM Focal Agency]],7,FALSE)</f>
        <v>0</v>
      </c>
      <c r="DL219" s="655" t="str">
        <f>VLOOKUP(WWWW[[#This Row],[Site Name]],SiteDB6[[Site Name]:[Location Type 1]],9,FALSE)</f>
        <v>Village</v>
      </c>
      <c r="DM219" s="655" t="str">
        <f>VLOOKUP(WWWW[[#This Row],[Site Name]],SiteDB6[[Site Name]:[Type of Accommodation]],10,FALSE)</f>
        <v>Village</v>
      </c>
      <c r="DN219" s="655" t="str">
        <f>VLOOKUP(WWWW[[#This Row],[Site Name]],SiteDB6[[Site Name]:[Ethnic or GCA/NGCA]],11,FALSE)</f>
        <v>Rakhine</v>
      </c>
      <c r="DO219" s="655">
        <f>VLOOKUP(WWWW[[#This Row],[Site Name]],SiteDB6[[Site Name]:[Lat]],12,FALSE)</f>
        <v>20.7264194488525</v>
      </c>
      <c r="DP219" s="655">
        <f>VLOOKUP(WWWW[[#This Row],[Site Name]],SiteDB6[[Site Name]:[Long]],13,FALSE)</f>
        <v>92.671180730000003</v>
      </c>
      <c r="DQ219" s="655">
        <f>VLOOKUP(WWWW[[#This Row],[Site Name]],SiteDB6[[Site Name]:[Pcode]],3,FALSE)</f>
        <v>198418</v>
      </c>
      <c r="DR219" s="653" t="str">
        <f t="shared" si="7"/>
        <v>Covered</v>
      </c>
      <c r="DS219" s="653"/>
      <c r="DV219" s="572"/>
    </row>
    <row r="220" spans="1:126">
      <c r="A220" s="552" t="s">
        <v>2518</v>
      </c>
      <c r="B220" s="552" t="s">
        <v>1270</v>
      </c>
      <c r="C220" s="647" t="s">
        <v>3072</v>
      </c>
      <c r="D220" s="647"/>
      <c r="E220" s="574" t="s">
        <v>3005</v>
      </c>
      <c r="F220" s="647" t="s">
        <v>323</v>
      </c>
      <c r="G220" s="648" t="str">
        <f>VLOOKUP(WWWW[[#This Row],[Site Name]],SiteDB6[[Site Name]:[Location Type]],8,FALSE)</f>
        <v>Village</v>
      </c>
      <c r="H220" s="647" t="s">
        <v>3065</v>
      </c>
      <c r="I220" s="662">
        <v>673.6</v>
      </c>
      <c r="J220" s="662">
        <v>3368</v>
      </c>
      <c r="K220" s="650"/>
      <c r="L220" s="651"/>
      <c r="M220" s="652"/>
      <c r="N220" s="652"/>
      <c r="O220" s="652"/>
      <c r="P220" s="652"/>
      <c r="Q220" s="649"/>
      <c r="R220" s="652"/>
      <c r="S220" s="652"/>
      <c r="T220" s="312"/>
      <c r="U220" s="652"/>
      <c r="V220" s="652"/>
      <c r="W220" s="652"/>
      <c r="X220" s="652"/>
      <c r="Y220" s="652"/>
      <c r="Z220" s="652"/>
      <c r="AA220" s="652"/>
      <c r="AB220" s="652"/>
      <c r="AC220" s="652"/>
      <c r="AD220" s="652"/>
      <c r="AE220" s="652"/>
      <c r="AF220" s="652"/>
      <c r="AG220" s="652"/>
      <c r="AH220" s="652"/>
      <c r="AI220" s="652"/>
      <c r="AJ220" s="652"/>
      <c r="AK220" s="652"/>
      <c r="AL220" s="652"/>
      <c r="AM220" s="652"/>
      <c r="AN220" s="652"/>
      <c r="AO220" s="653"/>
      <c r="AP220" s="652"/>
      <c r="AQ220" s="652"/>
      <c r="AR220" s="654"/>
      <c r="AS220" s="652"/>
      <c r="AT220" s="652"/>
      <c r="AU220" s="652"/>
      <c r="AV220" s="652"/>
      <c r="AW220" s="652"/>
      <c r="AX220" s="655"/>
      <c r="AY220" s="653"/>
      <c r="AZ220" s="652"/>
      <c r="BA220" s="652"/>
      <c r="BB220" s="652"/>
      <c r="BC220" s="655"/>
      <c r="BD220" s="652"/>
      <c r="BE220" s="652"/>
      <c r="BF220" s="652"/>
      <c r="BG220" s="652"/>
      <c r="BH220" s="652"/>
      <c r="BI220" s="652"/>
      <c r="BJ220" s="652"/>
      <c r="BK220" s="652">
        <v>673.6</v>
      </c>
      <c r="BL220" s="652"/>
      <c r="BM220" s="655"/>
      <c r="BN220" s="656"/>
      <c r="BO220" s="654"/>
      <c r="BP220" s="655"/>
      <c r="BQ220" s="657" t="str">
        <f>IFERROR(WWWW[[#This Row],['#_Water sources treated]]/WWWW[[#This Row],['#_Water sources tested for contamination]],"no test")</f>
        <v>no test</v>
      </c>
      <c r="BR220" s="654" t="str">
        <f>IFERROR(WWWW[[#This Row],['#_Household received remediation action due to contamination]]/WWWW[[#This Row],['#_Household water samples tested for contamination]],"no test")</f>
        <v>no test</v>
      </c>
      <c r="BS220" s="656" t="str">
        <f>IF(AND(WWWW[[#This Row],[% of water sources treated]]="no test",WWWW[[#This Row],[% Household received corrective actions]]="no test"),"No Test","Tested")</f>
        <v>No Test</v>
      </c>
      <c r="BT220" s="656">
        <f>WWWW[[#This Row],['#_Constructed/existing protected hand dug well]]-WWWW[[#This Row],['#_Non-functional protected hand dug well]]</f>
        <v>0</v>
      </c>
      <c r="BU220" s="656">
        <f>(WWWW[[#This Row],['#_Constructed/Existing tube wells/boreholes/handpumps_WASH_agency]]+WWWW[[#This Row],['#_Non-Cluster partner water tube-wells/boreholes/handpumps]])-WWWW[[#This Row],['#_Non-functional tube wells/boreholes/handpumps]]</f>
        <v>0</v>
      </c>
      <c r="BV220" s="656">
        <f>WWWW[[#This Row],['#_Constructed/Existingwater storage tank with gravity fed reticulation system]]-WWWW[[#This Row],['#_Non-functional storage tank gravity fed reticulation system]]</f>
        <v>0</v>
      </c>
      <c r="BW220" s="656">
        <f>WWWW[[#This Row],['#_Water boating or water trucking]]</f>
        <v>0</v>
      </c>
      <c r="BX220" s="656">
        <f>WWWW[[#This Row],['#_Constructed/Existing water distribution system from river or natural spring]]</f>
        <v>0</v>
      </c>
      <c r="BY220"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0"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0" s="654">
        <f>IF(WWWW[[#This Row],[Location Type 1]]="Village",WWWW[[#This Row],[Access to safe drinking water for Village]],WWWW[[#This Row],[Access to safe drinking water for Camp]])</f>
        <v>0</v>
      </c>
      <c r="CB220" s="649">
        <f>WWWW[[#This Row],[%Equitable and continuous access to sufficient quantity of safe drinking water]]*WWWW[[#This Row],[Total PoP ]]</f>
        <v>0</v>
      </c>
      <c r="CC220" s="654">
        <f>IF((WWWW[[#This Row],['#_Constructed/Existing protected/fenced ponds]]*250)/WWWW[[#This Row],[Total PoP ]]&gt;1,1,(WWWW[[#This Row],['#_Constructed/Existing protected/fenced ponds]]*250)/WWWW[[#This Row],[Total PoP ]])</f>
        <v>0</v>
      </c>
      <c r="CD220" s="649">
        <f>WWWW[[#This Row],[% Access to unimproved water points]]*WWWW[[#This Row],[Total PoP ]]</f>
        <v>0</v>
      </c>
      <c r="CE220"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0"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0" s="649">
        <f>WWWW[[#This Row],[HRP1]]/500</f>
        <v>0</v>
      </c>
      <c r="CH220" s="658">
        <f>1-WWWW[[#This Row],[% Equitable and continuous access to sufficient quantity of domestic water]]</f>
        <v>1</v>
      </c>
      <c r="CI220" s="649">
        <f>WWWW[[#This Row],[%equitable and continuous access to sufficient quantity of safe drinking and domestic water''s GAP]]*WWWW[[#This Row],[Total PoP ]]</f>
        <v>3368</v>
      </c>
      <c r="CJ220" s="656">
        <f>IF(WWWW[[#This Row],[Total required water points]]-WWWW[[#This Row],['#Water points coverage]]&lt;0,0,WWWW[[#This Row],[Total required water points]]-WWWW[[#This Row],['#Water points coverage]])</f>
        <v>7</v>
      </c>
      <c r="CK220" s="656">
        <f>ROUND(IF(WWWW[[#This Row],[Total PoP ]]&lt;500,1,WWWW[[#This Row],[Total PoP ]]/500),0)</f>
        <v>7</v>
      </c>
      <c r="CL220" s="656">
        <f>(WWWW[[#This Row],['#_Constructed latrines_by_WASHAgencies]]+WWWW[[#This Row],['#_Non Cluster partner latrines]])-WWWW[[#This Row],['#_Non-functional latrines]]</f>
        <v>0</v>
      </c>
      <c r="CM22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0"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0"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0" s="656" t="str">
        <f>IF(WWWW[[#This Row],[Location Type 1]]="Village","NA",IF(WWWW[[#This Row],['#_Constructed/Existing latrines in TLS]]*50&gt;WWWW[[#This Row],['#_students at TLS_CFS]],WWWW[[#This Row],['#_students at TLS_CFS]],(WWWW[[#This Row],['#_Constructed/Existing latrines in TLS]]*50)))</f>
        <v>NA</v>
      </c>
      <c r="CQ220" s="656">
        <f>ROUND(IF(WWWW[[#This Row],[Location Type 1]]="camp",WWWW[[#This Row],[Total PoP ]]/20,IF(WWWW[[#This Row],[Location Type 1]]="Temporary Location",WWWW[[#This Row],[Total PoP ]]/50,(WWWW[[#This Row],[Total PoP ]]/6))),0)</f>
        <v>561</v>
      </c>
      <c r="CR220" s="656">
        <f>IF(WWWW[[#This Row],[Total required Latrines]]-(WWWW[[#This Row],['#_Constructed latrines_by_WASHAgencies]]+WWWW[[#This Row],['#_Non Cluster partner latrines]])&lt;0,0,WWWW[[#This Row],[Total required Latrines]]-(WWWW[[#This Row],['#_Constructed latrines_by_WASHAgencies]]+WWWW[[#This Row],['#_Non Cluster partner latrines]]))</f>
        <v>561</v>
      </c>
      <c r="CS220" s="660">
        <f>1-WWWW[[#This Row],[% people access to functioning Latrine]]</f>
        <v>1</v>
      </c>
      <c r="CT220" s="657">
        <f>IF(OR(WWWW[[#This Row],['#_Non-functional latrines]]="",WWWW[[#This Row],['#_Non-functional latrines]]=0),0,WWWW[[#This Row],['#_Non-functional latrines]]/(WWWW[[#This Row],['#_Constructed latrines_by_WASHAgencies]]+WWWW[[#This Row],['#_Non Cluster partner latrines]]))</f>
        <v>0</v>
      </c>
      <c r="CU220" s="649">
        <f>IF(500*(WWWW[[#This Row],['#_male hygiene promoters]]+WWWW[[#This Row],['#_female hygiene promoters]])&gt;WWWW[[#This Row],[Total PoP ]],WWWW[[#This Row],[Total PoP ]],500*(WWWW[[#This Row],['#_male hygiene promoters]]+WWWW[[#This Row],['#_female hygiene promoters]]))</f>
        <v>0</v>
      </c>
      <c r="CV220"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3368</v>
      </c>
      <c r="CW220"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0" s="656">
        <f>IF(WWWW[[#This Row],['# People with access to soap]]&gt;WWWW[[#This Row],['# People with access to Sanity Pads]],WWWW[[#This Row],['# People with access to soap]],WWWW[[#This Row],['# People with access to Sanity Pads]])</f>
        <v>3368</v>
      </c>
      <c r="CY220" s="656">
        <f>IF(WWWW[[#This Row],['# people reached by regular dedicated hygiene promotion_5]]&gt;WWWW[[#This Row],['# People received regular supply of hygiene items_6]],WWWW[[#This Row],['# people reached by regular dedicated hygiene promotion_5]],WWWW[[#This Row],['# People received regular supply of hygiene items_6]])</f>
        <v>3368</v>
      </c>
      <c r="CZ220" s="658">
        <f>IF(WWWW[[#This Row],[HRP3]]/WWWW[[#This Row],[Total PoP ]]&gt;100%,100%,WWWW[[#This Row],[HRP3]]/WWWW[[#This Row],[Total PoP ]])</f>
        <v>1</v>
      </c>
      <c r="DA220" s="657">
        <f>1-WWWW[[#This Row],[Hygiene Coverage%]]</f>
        <v>0</v>
      </c>
      <c r="DB220" s="654">
        <f>WWWW[[#This Row],['# people reached by regular dedicated hygiene promotion_5]]/WWWW[[#This Row],[Total PoP ]]</f>
        <v>0</v>
      </c>
      <c r="DC220" s="654">
        <f>IF(WWWW[[#This Row],['#_households that received standard amount of soap for this quarter]]/WWWW[[#This Row],[Total HH]]&gt;1,1,WWWW[[#This Row],['#_households that received standard amount of soap for this quarter]]/WWWW[[#This Row],[Total HH]])</f>
        <v>1</v>
      </c>
      <c r="DD220" s="654">
        <f>IF(WWWW[[#This Row],['#_households that received standard amount of sanitary pads for this quarter]]/WWWW[[#This Row],[Total HH]]&gt;1,1,WWWW[[#This Row],['#_households that received standard amount of sanitary pads for this quarter]]/WWWW[[#This Row],[Total HH]])</f>
        <v>0</v>
      </c>
      <c r="DE220" s="656">
        <f>WWWW[[#This Row],['#_Constructed/Existing hand washing stations]]-WWWW[[#This Row],['#_Non-Functional_hand_washing_stations]]</f>
        <v>0</v>
      </c>
      <c r="DF220" s="757">
        <f>IF(WWWW[[#This Row],['# Functional hand washing stations during reporting period]]*20&gt;WWWW[[#This Row],[Total HH]],WWWW[[#This Row],[Total HH]],WWWW[[#This Row],['# Functional hand washing stations during reporting period]]*20)</f>
        <v>0</v>
      </c>
      <c r="DG220" s="649">
        <f>IF(WWWW[[#This Row],[Is sufficient soap available for TLS? (Yes/No)]]="yes",WWWW[[#This Row],['#_Constructed/Existing hand washing stations at TLS]],0)</f>
        <v>0</v>
      </c>
      <c r="DH220" s="585">
        <f>IF(WWWW[[#This Row],['# Functional hand washing stations during reporting period]]*100&gt;WWWW[[#This Row],[Total PoP ]],WWWW[[#This Row],[Total PoP ]],WWWW[[#This Row],['# Functional hand washing stations during reporting period]]*100)</f>
        <v>0</v>
      </c>
      <c r="DI220" s="585" t="str">
        <f>IF(OR(WWWW[[#This Row],['#_students at TLS_CFS]]="",WWWW[[#This Row],['#_students at TLS_CFS]]=0),"No","Yes")</f>
        <v>No</v>
      </c>
      <c r="DJ220" s="655">
        <f>VLOOKUP(WWWW[[#This Row],[Site Name]],SiteDB6[[Site Name]:[CCCM Management]],6,FALSE)</f>
        <v>0</v>
      </c>
      <c r="DK220" s="655">
        <f>VLOOKUP(WWWW[[#This Row],[Site Name]],SiteDB6[[Site Name]:[CCCM Focal Agency]],7,FALSE)</f>
        <v>0</v>
      </c>
      <c r="DL220" s="655" t="str">
        <f>VLOOKUP(WWWW[[#This Row],[Site Name]],SiteDB6[[Site Name]:[Location Type 1]],9,FALSE)</f>
        <v>Village</v>
      </c>
      <c r="DM220" s="655" t="str">
        <f>VLOOKUP(WWWW[[#This Row],[Site Name]],SiteDB6[[Site Name]:[Type of Accommodation]],10,FALSE)</f>
        <v>Village</v>
      </c>
      <c r="DN220" s="655">
        <f>VLOOKUP(WWWW[[#This Row],[Site Name]],SiteDB6[[Site Name]:[Ethnic or GCA/NGCA]],11,FALSE)</f>
        <v>0</v>
      </c>
      <c r="DO220" s="655">
        <f>VLOOKUP(WWWW[[#This Row],[Site Name]],SiteDB6[[Site Name]:[Lat]],12,FALSE)</f>
        <v>21.363349914550799</v>
      </c>
      <c r="DP220" s="655">
        <f>VLOOKUP(WWWW[[#This Row],[Site Name]],SiteDB6[[Site Name]:[Long]],13,FALSE)</f>
        <v>92.280487060546903</v>
      </c>
      <c r="DQ220" s="655">
        <f>VLOOKUP(WWWW[[#This Row],[Site Name]],SiteDB6[[Site Name]:[Pcode]],3,FALSE)</f>
        <v>197800</v>
      </c>
      <c r="DR220" s="653" t="str">
        <f t="shared" si="7"/>
        <v>Covered</v>
      </c>
      <c r="DS220" s="653"/>
      <c r="DV220" s="572"/>
    </row>
    <row r="221" spans="1:126">
      <c r="A221" s="552" t="s">
        <v>2518</v>
      </c>
      <c r="B221" s="552" t="s">
        <v>1270</v>
      </c>
      <c r="C221" s="647" t="s">
        <v>3072</v>
      </c>
      <c r="D221" s="647"/>
      <c r="E221" s="574" t="s">
        <v>3005</v>
      </c>
      <c r="F221" s="647" t="s">
        <v>323</v>
      </c>
      <c r="G221" s="648" t="str">
        <f>VLOOKUP(WWWW[[#This Row],[Site Name]],SiteDB6[[Site Name]:[Location Type]],8,FALSE)</f>
        <v>Village</v>
      </c>
      <c r="H221" s="647" t="s">
        <v>3067</v>
      </c>
      <c r="I221" s="662">
        <v>151.19999999999999</v>
      </c>
      <c r="J221" s="662">
        <v>756</v>
      </c>
      <c r="K221" s="650"/>
      <c r="L221" s="651"/>
      <c r="M221" s="652"/>
      <c r="N221" s="652"/>
      <c r="O221" s="652"/>
      <c r="P221" s="652"/>
      <c r="Q221" s="649"/>
      <c r="R221" s="652"/>
      <c r="S221" s="652"/>
      <c r="T221" s="312"/>
      <c r="U221" s="652"/>
      <c r="V221" s="652"/>
      <c r="W221" s="652"/>
      <c r="X221" s="652"/>
      <c r="Y221" s="652"/>
      <c r="Z221" s="652"/>
      <c r="AA221" s="652"/>
      <c r="AB221" s="652"/>
      <c r="AC221" s="652"/>
      <c r="AD221" s="652"/>
      <c r="AE221" s="652"/>
      <c r="AF221" s="652"/>
      <c r="AG221" s="652"/>
      <c r="AH221" s="652"/>
      <c r="AI221" s="652"/>
      <c r="AJ221" s="652"/>
      <c r="AK221" s="652"/>
      <c r="AL221" s="652"/>
      <c r="AM221" s="652"/>
      <c r="AN221" s="652"/>
      <c r="AO221" s="653"/>
      <c r="AP221" s="652"/>
      <c r="AQ221" s="652"/>
      <c r="AR221" s="654"/>
      <c r="AS221" s="652"/>
      <c r="AT221" s="652"/>
      <c r="AU221" s="652"/>
      <c r="AV221" s="652"/>
      <c r="AW221" s="652"/>
      <c r="AX221" s="655"/>
      <c r="AY221" s="653"/>
      <c r="AZ221" s="652"/>
      <c r="BA221" s="652"/>
      <c r="BB221" s="652"/>
      <c r="BC221" s="655"/>
      <c r="BD221" s="652"/>
      <c r="BE221" s="652"/>
      <c r="BF221" s="652"/>
      <c r="BG221" s="652"/>
      <c r="BH221" s="652"/>
      <c r="BI221" s="652"/>
      <c r="BJ221" s="652"/>
      <c r="BK221" s="652">
        <v>151.19999999999999</v>
      </c>
      <c r="BL221" s="652"/>
      <c r="BM221" s="655"/>
      <c r="BN221" s="656"/>
      <c r="BO221" s="654"/>
      <c r="BP221" s="655"/>
      <c r="BQ221" s="657" t="str">
        <f>IFERROR(WWWW[[#This Row],['#_Water sources treated]]/WWWW[[#This Row],['#_Water sources tested for contamination]],"no test")</f>
        <v>no test</v>
      </c>
      <c r="BR221" s="654" t="str">
        <f>IFERROR(WWWW[[#This Row],['#_Household received remediation action due to contamination]]/WWWW[[#This Row],['#_Household water samples tested for contamination]],"no test")</f>
        <v>no test</v>
      </c>
      <c r="BS221" s="656" t="str">
        <f>IF(AND(WWWW[[#This Row],[% of water sources treated]]="no test",WWWW[[#This Row],[% Household received corrective actions]]="no test"),"No Test","Tested")</f>
        <v>No Test</v>
      </c>
      <c r="BT221" s="656">
        <f>WWWW[[#This Row],['#_Constructed/existing protected hand dug well]]-WWWW[[#This Row],['#_Non-functional protected hand dug well]]</f>
        <v>0</v>
      </c>
      <c r="BU221" s="656">
        <f>(WWWW[[#This Row],['#_Constructed/Existing tube wells/boreholes/handpumps_WASH_agency]]+WWWW[[#This Row],['#_Non-Cluster partner water tube-wells/boreholes/handpumps]])-WWWW[[#This Row],['#_Non-functional tube wells/boreholes/handpumps]]</f>
        <v>0</v>
      </c>
      <c r="BV221" s="656">
        <f>WWWW[[#This Row],['#_Constructed/Existingwater storage tank with gravity fed reticulation system]]-WWWW[[#This Row],['#_Non-functional storage tank gravity fed reticulation system]]</f>
        <v>0</v>
      </c>
      <c r="BW221" s="656">
        <f>WWWW[[#This Row],['#_Water boating or water trucking]]</f>
        <v>0</v>
      </c>
      <c r="BX221" s="656">
        <f>WWWW[[#This Row],['#_Constructed/Existing water distribution system from river or natural spring]]</f>
        <v>0</v>
      </c>
      <c r="BY221"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1"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1" s="654">
        <f>IF(WWWW[[#This Row],[Location Type 1]]="Village",WWWW[[#This Row],[Access to safe drinking water for Village]],WWWW[[#This Row],[Access to safe drinking water for Camp]])</f>
        <v>0</v>
      </c>
      <c r="CB221" s="649">
        <f>WWWW[[#This Row],[%Equitable and continuous access to sufficient quantity of safe drinking water]]*WWWW[[#This Row],[Total PoP ]]</f>
        <v>0</v>
      </c>
      <c r="CC221" s="654">
        <f>IF((WWWW[[#This Row],['#_Constructed/Existing protected/fenced ponds]]*250)/WWWW[[#This Row],[Total PoP ]]&gt;1,1,(WWWW[[#This Row],['#_Constructed/Existing protected/fenced ponds]]*250)/WWWW[[#This Row],[Total PoP ]])</f>
        <v>0</v>
      </c>
      <c r="CD221" s="649">
        <f>WWWW[[#This Row],[% Access to unimproved water points]]*WWWW[[#This Row],[Total PoP ]]</f>
        <v>0</v>
      </c>
      <c r="CE221"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1"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1" s="649">
        <f>WWWW[[#This Row],[HRP1]]/500</f>
        <v>0</v>
      </c>
      <c r="CH221" s="658">
        <f>1-WWWW[[#This Row],[% Equitable and continuous access to sufficient quantity of domestic water]]</f>
        <v>1</v>
      </c>
      <c r="CI221" s="649">
        <f>WWWW[[#This Row],[%equitable and continuous access to sufficient quantity of safe drinking and domestic water''s GAP]]*WWWW[[#This Row],[Total PoP ]]</f>
        <v>756</v>
      </c>
      <c r="CJ221" s="656">
        <f>IF(WWWW[[#This Row],[Total required water points]]-WWWW[[#This Row],['#Water points coverage]]&lt;0,0,WWWW[[#This Row],[Total required water points]]-WWWW[[#This Row],['#Water points coverage]])</f>
        <v>2</v>
      </c>
      <c r="CK221" s="656">
        <f>ROUND(IF(WWWW[[#This Row],[Total PoP ]]&lt;500,1,WWWW[[#This Row],[Total PoP ]]/500),0)</f>
        <v>2</v>
      </c>
      <c r="CL221" s="656">
        <f>(WWWW[[#This Row],['#_Constructed latrines_by_WASHAgencies]]+WWWW[[#This Row],['#_Non Cluster partner latrines]])-WWWW[[#This Row],['#_Non-functional latrines]]</f>
        <v>0</v>
      </c>
      <c r="CM22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1"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1"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1" s="656" t="str">
        <f>IF(WWWW[[#This Row],[Location Type 1]]="Village","NA",IF(WWWW[[#This Row],['#_Constructed/Existing latrines in TLS]]*50&gt;WWWW[[#This Row],['#_students at TLS_CFS]],WWWW[[#This Row],['#_students at TLS_CFS]],(WWWW[[#This Row],['#_Constructed/Existing latrines in TLS]]*50)))</f>
        <v>NA</v>
      </c>
      <c r="CQ221" s="656">
        <f>ROUND(IF(WWWW[[#This Row],[Location Type 1]]="camp",WWWW[[#This Row],[Total PoP ]]/20,IF(WWWW[[#This Row],[Location Type 1]]="Temporary Location",WWWW[[#This Row],[Total PoP ]]/50,(WWWW[[#This Row],[Total PoP ]]/6))),0)</f>
        <v>126</v>
      </c>
      <c r="CR221" s="656">
        <f>IF(WWWW[[#This Row],[Total required Latrines]]-(WWWW[[#This Row],['#_Constructed latrines_by_WASHAgencies]]+WWWW[[#This Row],['#_Non Cluster partner latrines]])&lt;0,0,WWWW[[#This Row],[Total required Latrines]]-(WWWW[[#This Row],['#_Constructed latrines_by_WASHAgencies]]+WWWW[[#This Row],['#_Non Cluster partner latrines]]))</f>
        <v>126</v>
      </c>
      <c r="CS221" s="660">
        <f>1-WWWW[[#This Row],[% people access to functioning Latrine]]</f>
        <v>1</v>
      </c>
      <c r="CT221" s="657">
        <f>IF(OR(WWWW[[#This Row],['#_Non-functional latrines]]="",WWWW[[#This Row],['#_Non-functional latrines]]=0),0,WWWW[[#This Row],['#_Non-functional latrines]]/(WWWW[[#This Row],['#_Constructed latrines_by_WASHAgencies]]+WWWW[[#This Row],['#_Non Cluster partner latrines]]))</f>
        <v>0</v>
      </c>
      <c r="CU221" s="649">
        <f>IF(500*(WWWW[[#This Row],['#_male hygiene promoters]]+WWWW[[#This Row],['#_female hygiene promoters]])&gt;WWWW[[#This Row],[Total PoP ]],WWWW[[#This Row],[Total PoP ]],500*(WWWW[[#This Row],['#_male hygiene promoters]]+WWWW[[#This Row],['#_female hygiene promoters]]))</f>
        <v>0</v>
      </c>
      <c r="CV221"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756</v>
      </c>
      <c r="CW221"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1" s="656">
        <f>IF(WWWW[[#This Row],['# People with access to soap]]&gt;WWWW[[#This Row],['# People with access to Sanity Pads]],WWWW[[#This Row],['# People with access to soap]],WWWW[[#This Row],['# People with access to Sanity Pads]])</f>
        <v>756</v>
      </c>
      <c r="CY221" s="656">
        <f>IF(WWWW[[#This Row],['# people reached by regular dedicated hygiene promotion_5]]&gt;WWWW[[#This Row],['# People received regular supply of hygiene items_6]],WWWW[[#This Row],['# people reached by regular dedicated hygiene promotion_5]],WWWW[[#This Row],['# People received regular supply of hygiene items_6]])</f>
        <v>756</v>
      </c>
      <c r="CZ221" s="658">
        <f>IF(WWWW[[#This Row],[HRP3]]/WWWW[[#This Row],[Total PoP ]]&gt;100%,100%,WWWW[[#This Row],[HRP3]]/WWWW[[#This Row],[Total PoP ]])</f>
        <v>1</v>
      </c>
      <c r="DA221" s="657">
        <f>1-WWWW[[#This Row],[Hygiene Coverage%]]</f>
        <v>0</v>
      </c>
      <c r="DB221" s="654">
        <f>WWWW[[#This Row],['# people reached by regular dedicated hygiene promotion_5]]/WWWW[[#This Row],[Total PoP ]]</f>
        <v>0</v>
      </c>
      <c r="DC221" s="654">
        <f>IF(WWWW[[#This Row],['#_households that received standard amount of soap for this quarter]]/WWWW[[#This Row],[Total HH]]&gt;1,1,WWWW[[#This Row],['#_households that received standard amount of soap for this quarter]]/WWWW[[#This Row],[Total HH]])</f>
        <v>1</v>
      </c>
      <c r="DD221" s="654">
        <f>IF(WWWW[[#This Row],['#_households that received standard amount of sanitary pads for this quarter]]/WWWW[[#This Row],[Total HH]]&gt;1,1,WWWW[[#This Row],['#_households that received standard amount of sanitary pads for this quarter]]/WWWW[[#This Row],[Total HH]])</f>
        <v>0</v>
      </c>
      <c r="DE221" s="656">
        <f>WWWW[[#This Row],['#_Constructed/Existing hand washing stations]]-WWWW[[#This Row],['#_Non-Functional_hand_washing_stations]]</f>
        <v>0</v>
      </c>
      <c r="DF221" s="757">
        <f>IF(WWWW[[#This Row],['# Functional hand washing stations during reporting period]]*20&gt;WWWW[[#This Row],[Total HH]],WWWW[[#This Row],[Total HH]],WWWW[[#This Row],['# Functional hand washing stations during reporting period]]*20)</f>
        <v>0</v>
      </c>
      <c r="DG221" s="649">
        <f>IF(WWWW[[#This Row],[Is sufficient soap available for TLS? (Yes/No)]]="yes",WWWW[[#This Row],['#_Constructed/Existing hand washing stations at TLS]],0)</f>
        <v>0</v>
      </c>
      <c r="DH221" s="585">
        <f>IF(WWWW[[#This Row],['# Functional hand washing stations during reporting period]]*100&gt;WWWW[[#This Row],[Total PoP ]],WWWW[[#This Row],[Total PoP ]],WWWW[[#This Row],['# Functional hand washing stations during reporting period]]*100)</f>
        <v>0</v>
      </c>
      <c r="DI221" s="585" t="str">
        <f>IF(OR(WWWW[[#This Row],['#_students at TLS_CFS]]="",WWWW[[#This Row],['#_students at TLS_CFS]]=0),"No","Yes")</f>
        <v>No</v>
      </c>
      <c r="DJ221" s="655">
        <f>VLOOKUP(WWWW[[#This Row],[Site Name]],SiteDB6[[Site Name]:[CCCM Management]],6,FALSE)</f>
        <v>0</v>
      </c>
      <c r="DK221" s="655">
        <f>VLOOKUP(WWWW[[#This Row],[Site Name]],SiteDB6[[Site Name]:[CCCM Focal Agency]],7,FALSE)</f>
        <v>0</v>
      </c>
      <c r="DL221" s="655" t="str">
        <f>VLOOKUP(WWWW[[#This Row],[Site Name]],SiteDB6[[Site Name]:[Location Type 1]],9,FALSE)</f>
        <v>Village</v>
      </c>
      <c r="DM221" s="655" t="str">
        <f>VLOOKUP(WWWW[[#This Row],[Site Name]],SiteDB6[[Site Name]:[Type of Accommodation]],10,FALSE)</f>
        <v>Village</v>
      </c>
      <c r="DN221" s="655">
        <f>VLOOKUP(WWWW[[#This Row],[Site Name]],SiteDB6[[Site Name]:[Ethnic or GCA/NGCA]],11,FALSE)</f>
        <v>0</v>
      </c>
      <c r="DO221" s="655">
        <f>VLOOKUP(WWWW[[#This Row],[Site Name]],SiteDB6[[Site Name]:[Lat]],12,FALSE)</f>
        <v>21.2080974578857</v>
      </c>
      <c r="DP221" s="655">
        <f>VLOOKUP(WWWW[[#This Row],[Site Name]],SiteDB6[[Site Name]:[Long]],13,FALSE)</f>
        <v>92.308609008789105</v>
      </c>
      <c r="DQ221" s="655">
        <f>VLOOKUP(WWWW[[#This Row],[Site Name]],SiteDB6[[Site Name]:[Pcode]],3,FALSE)</f>
        <v>197841</v>
      </c>
      <c r="DR221" s="653" t="str">
        <f t="shared" si="7"/>
        <v>Covered</v>
      </c>
      <c r="DS221" s="653"/>
      <c r="DV221" s="572"/>
    </row>
    <row r="222" spans="1:126">
      <c r="A222" s="552" t="s">
        <v>2518</v>
      </c>
      <c r="B222" s="552" t="s">
        <v>1270</v>
      </c>
      <c r="C222" s="647" t="s">
        <v>3072</v>
      </c>
      <c r="D222" s="647"/>
      <c r="E222" s="574" t="s">
        <v>3005</v>
      </c>
      <c r="F222" s="647" t="s">
        <v>323</v>
      </c>
      <c r="G222" s="648" t="str">
        <f>VLOOKUP(WWWW[[#This Row],[Site Name]],SiteDB6[[Site Name]:[Location Type]],8,FALSE)</f>
        <v>Village</v>
      </c>
      <c r="H222" s="647" t="s">
        <v>581</v>
      </c>
      <c r="I222" s="662">
        <v>104.6</v>
      </c>
      <c r="J222" s="662">
        <v>523</v>
      </c>
      <c r="K222" s="650"/>
      <c r="L222" s="651"/>
      <c r="M222" s="652"/>
      <c r="N222" s="652"/>
      <c r="O222" s="652"/>
      <c r="P222" s="652"/>
      <c r="Q222" s="649"/>
      <c r="R222" s="652"/>
      <c r="S222" s="652"/>
      <c r="T222" s="312"/>
      <c r="U222" s="652"/>
      <c r="V222" s="652"/>
      <c r="W222" s="652"/>
      <c r="X222" s="652"/>
      <c r="Y222" s="652"/>
      <c r="Z222" s="652"/>
      <c r="AA222" s="652"/>
      <c r="AB222" s="652"/>
      <c r="AC222" s="652"/>
      <c r="AD222" s="652"/>
      <c r="AE222" s="652"/>
      <c r="AF222" s="652"/>
      <c r="AG222" s="652"/>
      <c r="AH222" s="652"/>
      <c r="AI222" s="652"/>
      <c r="AJ222" s="652"/>
      <c r="AK222" s="652"/>
      <c r="AL222" s="652"/>
      <c r="AM222" s="652"/>
      <c r="AN222" s="652"/>
      <c r="AO222" s="653"/>
      <c r="AP222" s="652"/>
      <c r="AQ222" s="652"/>
      <c r="AR222" s="654"/>
      <c r="AS222" s="652"/>
      <c r="AT222" s="652"/>
      <c r="AU222" s="652"/>
      <c r="AV222" s="652"/>
      <c r="AW222" s="652"/>
      <c r="AX222" s="655"/>
      <c r="AY222" s="653"/>
      <c r="AZ222" s="652"/>
      <c r="BA222" s="652"/>
      <c r="BB222" s="652"/>
      <c r="BC222" s="655"/>
      <c r="BD222" s="652"/>
      <c r="BE222" s="652"/>
      <c r="BF222" s="652"/>
      <c r="BG222" s="652"/>
      <c r="BH222" s="652"/>
      <c r="BI222" s="652"/>
      <c r="BJ222" s="652"/>
      <c r="BK222" s="652">
        <v>104.6</v>
      </c>
      <c r="BL222" s="652"/>
      <c r="BM222" s="655"/>
      <c r="BN222" s="656"/>
      <c r="BO222" s="654"/>
      <c r="BP222" s="655"/>
      <c r="BQ222" s="657" t="str">
        <f>IFERROR(WWWW[[#This Row],['#_Water sources treated]]/WWWW[[#This Row],['#_Water sources tested for contamination]],"no test")</f>
        <v>no test</v>
      </c>
      <c r="BR222" s="654" t="str">
        <f>IFERROR(WWWW[[#This Row],['#_Household received remediation action due to contamination]]/WWWW[[#This Row],['#_Household water samples tested for contamination]],"no test")</f>
        <v>no test</v>
      </c>
      <c r="BS222" s="656" t="str">
        <f>IF(AND(WWWW[[#This Row],[% of water sources treated]]="no test",WWWW[[#This Row],[% Household received corrective actions]]="no test"),"No Test","Tested")</f>
        <v>No Test</v>
      </c>
      <c r="BT222" s="656">
        <f>WWWW[[#This Row],['#_Constructed/existing protected hand dug well]]-WWWW[[#This Row],['#_Non-functional protected hand dug well]]</f>
        <v>0</v>
      </c>
      <c r="BU222" s="656">
        <f>(WWWW[[#This Row],['#_Constructed/Existing tube wells/boreholes/handpumps_WASH_agency]]+WWWW[[#This Row],['#_Non-Cluster partner water tube-wells/boreholes/handpumps]])-WWWW[[#This Row],['#_Non-functional tube wells/boreholes/handpumps]]</f>
        <v>0</v>
      </c>
      <c r="BV222" s="656">
        <f>WWWW[[#This Row],['#_Constructed/Existingwater storage tank with gravity fed reticulation system]]-WWWW[[#This Row],['#_Non-functional storage tank gravity fed reticulation system]]</f>
        <v>0</v>
      </c>
      <c r="BW222" s="656">
        <f>WWWW[[#This Row],['#_Water boating or water trucking]]</f>
        <v>0</v>
      </c>
      <c r="BX222" s="656">
        <f>WWWW[[#This Row],['#_Constructed/Existing water distribution system from river or natural spring]]</f>
        <v>0</v>
      </c>
      <c r="BY222" s="657">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2" s="657">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2" s="654">
        <f>IF(WWWW[[#This Row],[Location Type 1]]="Village",WWWW[[#This Row],[Access to safe drinking water for Village]],WWWW[[#This Row],[Access to safe drinking water for Camp]])</f>
        <v>0</v>
      </c>
      <c r="CB222" s="649">
        <f>WWWW[[#This Row],[%Equitable and continuous access to sufficient quantity of safe drinking water]]*WWWW[[#This Row],[Total PoP ]]</f>
        <v>0</v>
      </c>
      <c r="CC222" s="654">
        <f>IF((WWWW[[#This Row],['#_Constructed/Existing protected/fenced ponds]]*250)/WWWW[[#This Row],[Total PoP ]]&gt;1,1,(WWWW[[#This Row],['#_Constructed/Existing protected/fenced ponds]]*250)/WWWW[[#This Row],[Total PoP ]])</f>
        <v>0</v>
      </c>
      <c r="CD222" s="649">
        <f>WWWW[[#This Row],[% Access to unimproved water points]]*WWWW[[#This Row],[Total PoP ]]</f>
        <v>0</v>
      </c>
      <c r="CE222" s="65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2" s="64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2" s="649">
        <f>WWWW[[#This Row],[HRP1]]/500</f>
        <v>0</v>
      </c>
      <c r="CH222" s="658">
        <f>1-WWWW[[#This Row],[% Equitable and continuous access to sufficient quantity of domestic water]]</f>
        <v>1</v>
      </c>
      <c r="CI222" s="649">
        <f>WWWW[[#This Row],[%equitable and continuous access to sufficient quantity of safe drinking and domestic water''s GAP]]*WWWW[[#This Row],[Total PoP ]]</f>
        <v>523</v>
      </c>
      <c r="CJ222" s="656">
        <f>IF(WWWW[[#This Row],[Total required water points]]-WWWW[[#This Row],['#Water points coverage]]&lt;0,0,WWWW[[#This Row],[Total required water points]]-WWWW[[#This Row],['#Water points coverage]])</f>
        <v>1</v>
      </c>
      <c r="CK222" s="656">
        <f>ROUND(IF(WWWW[[#This Row],[Total PoP ]]&lt;500,1,WWWW[[#This Row],[Total PoP ]]/500),0)</f>
        <v>1</v>
      </c>
      <c r="CL222" s="656">
        <f>(WWWW[[#This Row],['#_Constructed latrines_by_WASHAgencies]]+WWWW[[#This Row],['#_Non Cluster partner latrines]])-WWWW[[#This Row],['#_Non-functional latrines]]</f>
        <v>0</v>
      </c>
      <c r="CM22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2" s="64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2" s="659"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2" s="656" t="str">
        <f>IF(WWWW[[#This Row],[Location Type 1]]="Village","NA",IF(WWWW[[#This Row],['#_Constructed/Existing latrines in TLS]]*50&gt;WWWW[[#This Row],['#_students at TLS_CFS]],WWWW[[#This Row],['#_students at TLS_CFS]],(WWWW[[#This Row],['#_Constructed/Existing latrines in TLS]]*50)))</f>
        <v>NA</v>
      </c>
      <c r="CQ222" s="656">
        <f>ROUND(IF(WWWW[[#This Row],[Location Type 1]]="camp",WWWW[[#This Row],[Total PoP ]]/20,IF(WWWW[[#This Row],[Location Type 1]]="Temporary Location",WWWW[[#This Row],[Total PoP ]]/50,(WWWW[[#This Row],[Total PoP ]]/6))),0)</f>
        <v>87</v>
      </c>
      <c r="CR222" s="656">
        <f>IF(WWWW[[#This Row],[Total required Latrines]]-(WWWW[[#This Row],['#_Constructed latrines_by_WASHAgencies]]+WWWW[[#This Row],['#_Non Cluster partner latrines]])&lt;0,0,WWWW[[#This Row],[Total required Latrines]]-(WWWW[[#This Row],['#_Constructed latrines_by_WASHAgencies]]+WWWW[[#This Row],['#_Non Cluster partner latrines]]))</f>
        <v>87</v>
      </c>
      <c r="CS222" s="660">
        <f>1-WWWW[[#This Row],[% people access to functioning Latrine]]</f>
        <v>1</v>
      </c>
      <c r="CT222" s="657">
        <f>IF(OR(WWWW[[#This Row],['#_Non-functional latrines]]="",WWWW[[#This Row],['#_Non-functional latrines]]=0),0,WWWW[[#This Row],['#_Non-functional latrines]]/(WWWW[[#This Row],['#_Constructed latrines_by_WASHAgencies]]+WWWW[[#This Row],['#_Non Cluster partner latrines]]))</f>
        <v>0</v>
      </c>
      <c r="CU222" s="649">
        <f>IF(500*(WWWW[[#This Row],['#_male hygiene promoters]]+WWWW[[#This Row],['#_female hygiene promoters]])&gt;WWWW[[#This Row],[Total PoP ]],WWWW[[#This Row],[Total PoP ]],500*(WWWW[[#This Row],['#_male hygiene promoters]]+WWWW[[#This Row],['#_female hygiene promoters]]))</f>
        <v>0</v>
      </c>
      <c r="CV222" s="656">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523</v>
      </c>
      <c r="CW222" s="656">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2" s="656">
        <f>IF(WWWW[[#This Row],['# People with access to soap]]&gt;WWWW[[#This Row],['# People with access to Sanity Pads]],WWWW[[#This Row],['# People with access to soap]],WWWW[[#This Row],['# People with access to Sanity Pads]])</f>
        <v>523</v>
      </c>
      <c r="CY222" s="656">
        <f>IF(WWWW[[#This Row],['# people reached by regular dedicated hygiene promotion_5]]&gt;WWWW[[#This Row],['# People received regular supply of hygiene items_6]],WWWW[[#This Row],['# people reached by regular dedicated hygiene promotion_5]],WWWW[[#This Row],['# People received regular supply of hygiene items_6]])</f>
        <v>523</v>
      </c>
      <c r="CZ222" s="658">
        <f>IF(WWWW[[#This Row],[HRP3]]/WWWW[[#This Row],[Total PoP ]]&gt;100%,100%,WWWW[[#This Row],[HRP3]]/WWWW[[#This Row],[Total PoP ]])</f>
        <v>1</v>
      </c>
      <c r="DA222" s="657">
        <f>1-WWWW[[#This Row],[Hygiene Coverage%]]</f>
        <v>0</v>
      </c>
      <c r="DB222" s="654">
        <f>WWWW[[#This Row],['# people reached by regular dedicated hygiene promotion_5]]/WWWW[[#This Row],[Total PoP ]]</f>
        <v>0</v>
      </c>
      <c r="DC222" s="654">
        <f>IF(WWWW[[#This Row],['#_households that received standard amount of soap for this quarter]]/WWWW[[#This Row],[Total HH]]&gt;1,1,WWWW[[#This Row],['#_households that received standard amount of soap for this quarter]]/WWWW[[#This Row],[Total HH]])</f>
        <v>1</v>
      </c>
      <c r="DD222" s="654">
        <f>IF(WWWW[[#This Row],['#_households that received standard amount of sanitary pads for this quarter]]/WWWW[[#This Row],[Total HH]]&gt;1,1,WWWW[[#This Row],['#_households that received standard amount of sanitary pads for this quarter]]/WWWW[[#This Row],[Total HH]])</f>
        <v>0</v>
      </c>
      <c r="DE222" s="656">
        <f>WWWW[[#This Row],['#_Constructed/Existing hand washing stations]]-WWWW[[#This Row],['#_Non-Functional_hand_washing_stations]]</f>
        <v>0</v>
      </c>
      <c r="DF222" s="757">
        <f>IF(WWWW[[#This Row],['# Functional hand washing stations during reporting period]]*20&gt;WWWW[[#This Row],[Total HH]],WWWW[[#This Row],[Total HH]],WWWW[[#This Row],['# Functional hand washing stations during reporting period]]*20)</f>
        <v>0</v>
      </c>
      <c r="DG222" s="649">
        <f>IF(WWWW[[#This Row],[Is sufficient soap available for TLS? (Yes/No)]]="yes",WWWW[[#This Row],['#_Constructed/Existing hand washing stations at TLS]],0)</f>
        <v>0</v>
      </c>
      <c r="DH222" s="585">
        <f>IF(WWWW[[#This Row],['# Functional hand washing stations during reporting period]]*100&gt;WWWW[[#This Row],[Total PoP ]],WWWW[[#This Row],[Total PoP ]],WWWW[[#This Row],['# Functional hand washing stations during reporting period]]*100)</f>
        <v>0</v>
      </c>
      <c r="DI222" s="585" t="str">
        <f>IF(OR(WWWW[[#This Row],['#_students at TLS_CFS]]="",WWWW[[#This Row],['#_students at TLS_CFS]]=0),"No","Yes")</f>
        <v>No</v>
      </c>
      <c r="DJ222" s="655">
        <f>VLOOKUP(WWWW[[#This Row],[Site Name]],SiteDB6[[Site Name]:[CCCM Management]],6,FALSE)</f>
        <v>0</v>
      </c>
      <c r="DK222" s="655">
        <f>VLOOKUP(WWWW[[#This Row],[Site Name]],SiteDB6[[Site Name]:[CCCM Focal Agency]],7,FALSE)</f>
        <v>0</v>
      </c>
      <c r="DL222" s="655" t="str">
        <f>VLOOKUP(WWWW[[#This Row],[Site Name]],SiteDB6[[Site Name]:[Location Type 1]],9,FALSE)</f>
        <v>Village</v>
      </c>
      <c r="DM222" s="655" t="str">
        <f>VLOOKUP(WWWW[[#This Row],[Site Name]],SiteDB6[[Site Name]:[Type of Accommodation]],10,FALSE)</f>
        <v>Village</v>
      </c>
      <c r="DN222" s="655" t="str">
        <f>VLOOKUP(WWWW[[#This Row],[Site Name]],SiteDB6[[Site Name]:[Ethnic or GCA/NGCA]],11,FALSE)</f>
        <v>Muslim</v>
      </c>
      <c r="DO222" s="655">
        <f>VLOOKUP(WWWW[[#This Row],[Site Name]],SiteDB6[[Site Name]:[Lat]],12,FALSE)</f>
        <v>20.71759033</v>
      </c>
      <c r="DP222" s="655">
        <f>VLOOKUP(WWWW[[#This Row],[Site Name]],SiteDB6[[Site Name]:[Long]],13,FALSE)</f>
        <v>92.426422119999998</v>
      </c>
      <c r="DQ222" s="655">
        <f>VLOOKUP(WWWW[[#This Row],[Site Name]],SiteDB6[[Site Name]:[Pcode]],3,FALSE)</f>
        <v>198045</v>
      </c>
      <c r="DR222" s="653" t="str">
        <f t="shared" si="7"/>
        <v>Covered</v>
      </c>
      <c r="DS222" s="653"/>
      <c r="DV222" s="572"/>
    </row>
    <row r="223" spans="1:126">
      <c r="A223" s="552" t="s">
        <v>2518</v>
      </c>
      <c r="B223" s="552" t="s">
        <v>2355</v>
      </c>
      <c r="C223" s="555" t="s">
        <v>2355</v>
      </c>
      <c r="D223" s="555" t="s">
        <v>249</v>
      </c>
      <c r="E223" s="574" t="s">
        <v>3006</v>
      </c>
      <c r="F223" s="555" t="s">
        <v>375</v>
      </c>
      <c r="G223" s="574" t="str">
        <f>VLOOKUP(WWWW[[#This Row],[Site Name]],SiteDB6[[Site Name]:[Location Type]],8,FALSE)</f>
        <v>Camp</v>
      </c>
      <c r="H223" s="555" t="s">
        <v>386</v>
      </c>
      <c r="I223" s="557">
        <v>358</v>
      </c>
      <c r="J223" s="557">
        <v>989</v>
      </c>
      <c r="K223" s="564">
        <v>43539</v>
      </c>
      <c r="L223" s="565">
        <v>43904</v>
      </c>
      <c r="M223" s="557">
        <v>259</v>
      </c>
      <c r="N223" s="557">
        <v>6</v>
      </c>
      <c r="O223" s="557">
        <v>22</v>
      </c>
      <c r="P223" s="557">
        <v>0</v>
      </c>
      <c r="Q223" s="556" t="s">
        <v>144</v>
      </c>
      <c r="R223" s="557">
        <v>23</v>
      </c>
      <c r="S223" s="557">
        <v>5</v>
      </c>
      <c r="T223" s="557">
        <v>8</v>
      </c>
      <c r="U223" s="557">
        <v>0</v>
      </c>
      <c r="V223" s="557">
        <v>8</v>
      </c>
      <c r="W223" s="557">
        <v>5</v>
      </c>
      <c r="X223" s="557">
        <v>0</v>
      </c>
      <c r="Y223" s="557">
        <v>1</v>
      </c>
      <c r="Z223" s="557">
        <v>4</v>
      </c>
      <c r="AA223" s="557">
        <v>0</v>
      </c>
      <c r="AB223" s="557">
        <v>0</v>
      </c>
      <c r="AC223" s="557">
        <v>0</v>
      </c>
      <c r="AD223" s="557">
        <v>0</v>
      </c>
      <c r="AE223" s="557">
        <v>0</v>
      </c>
      <c r="AF223" s="557">
        <v>0</v>
      </c>
      <c r="AG223" s="557">
        <v>0</v>
      </c>
      <c r="AH223" s="557">
        <v>0</v>
      </c>
      <c r="AI223" s="557">
        <v>6</v>
      </c>
      <c r="AJ223" s="557">
        <v>0</v>
      </c>
      <c r="AK223" s="557">
        <v>6</v>
      </c>
      <c r="AL223" s="557">
        <v>0</v>
      </c>
      <c r="AM223" s="557">
        <v>4</v>
      </c>
      <c r="AN223" s="557">
        <v>1</v>
      </c>
      <c r="AO223" s="563" t="s">
        <v>2834</v>
      </c>
      <c r="AP223" s="557">
        <v>94</v>
      </c>
      <c r="AQ223" s="557">
        <v>0</v>
      </c>
      <c r="AR223" s="559">
        <v>0</v>
      </c>
      <c r="AS223" s="557">
        <v>0</v>
      </c>
      <c r="AT223" s="557">
        <v>0</v>
      </c>
      <c r="AU223" s="557">
        <v>282</v>
      </c>
      <c r="AV223" s="557"/>
      <c r="AW223" s="557">
        <v>0</v>
      </c>
      <c r="AX223" s="554" t="s">
        <v>43</v>
      </c>
      <c r="AY223" s="563" t="s">
        <v>145</v>
      </c>
      <c r="AZ223" s="557">
        <v>10</v>
      </c>
      <c r="BA223" s="557">
        <v>0</v>
      </c>
      <c r="BB223" s="557">
        <v>10</v>
      </c>
      <c r="BC223" s="554" t="s">
        <v>2834</v>
      </c>
      <c r="BD223" s="557">
        <v>3</v>
      </c>
      <c r="BE223" s="557">
        <v>3</v>
      </c>
      <c r="BF223" s="557">
        <v>0</v>
      </c>
      <c r="BG223" s="557">
        <v>3</v>
      </c>
      <c r="BH223" s="557">
        <v>0</v>
      </c>
      <c r="BI223" s="557">
        <v>22</v>
      </c>
      <c r="BJ223" s="557">
        <v>6</v>
      </c>
      <c r="BK223" s="557">
        <v>358</v>
      </c>
      <c r="BL223" s="557">
        <v>257</v>
      </c>
      <c r="BM223" s="554" t="s">
        <v>43</v>
      </c>
      <c r="BN223" s="558">
        <v>12</v>
      </c>
      <c r="BO223" s="559">
        <v>1</v>
      </c>
      <c r="BP223" s="554" t="s">
        <v>2834</v>
      </c>
      <c r="BQ223" s="560">
        <f>IFERROR(WWWW[[#This Row],['#_Water sources treated]]/WWWW[[#This Row],['#_Water sources tested for contamination]],"no test")</f>
        <v>0</v>
      </c>
      <c r="BR223" s="559">
        <f>IFERROR(WWWW[[#This Row],['#_Household received remediation action due to contamination]]/WWWW[[#This Row],['#_Household water samples tested for contamination]],"no test")</f>
        <v>0</v>
      </c>
      <c r="BS223" s="558" t="str">
        <f>IF(AND(WWWW[[#This Row],[% of water sources treated]]="no test",WWWW[[#This Row],[% Household received corrective actions]]="no test"),"No Test","Tested")</f>
        <v>Tested</v>
      </c>
      <c r="BT223" s="558">
        <f>WWWW[[#This Row],['#_Constructed/existing protected hand dug well]]-WWWW[[#This Row],['#_Non-functional protected hand dug well]]</f>
        <v>8</v>
      </c>
      <c r="BU223" s="558">
        <f>(WWWW[[#This Row],['#_Constructed/Existing tube wells/boreholes/handpumps_WASH_agency]]+WWWW[[#This Row],['#_Non-Cluster partner water tube-wells/boreholes/handpumps]])-WWWW[[#This Row],['#_Non-functional tube wells/boreholes/handpumps]]</f>
        <v>4</v>
      </c>
      <c r="BV223" s="558">
        <f>WWWW[[#This Row],['#_Constructed/Existingwater storage tank with gravity fed reticulation system]]-WWWW[[#This Row],['#_Non-functional storage tank gravity fed reticulation system]]</f>
        <v>0</v>
      </c>
      <c r="BW223" s="558">
        <f>WWWW[[#This Row],['#_Water boating or water trucking]]</f>
        <v>0</v>
      </c>
      <c r="BX223" s="558">
        <f>WWWW[[#This Row],['#_Constructed/Existing water distribution system from river or natural spring]]</f>
        <v>0</v>
      </c>
      <c r="BY22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23" s="559">
        <f>IF(WWWW[[#This Row],[Location Type 1]]="Village",WWWW[[#This Row],[Access to safe drinking water for Village]],WWWW[[#This Row],[Access to safe drinking water for Camp]])</f>
        <v>1</v>
      </c>
      <c r="CB223" s="556">
        <f>WWWW[[#This Row],[%Equitable and continuous access to sufficient quantity of safe drinking water]]*WWWW[[#This Row],[Total PoP ]]</f>
        <v>989</v>
      </c>
      <c r="CC223" s="559">
        <f>IF((WWWW[[#This Row],['#_Constructed/Existing protected/fenced ponds]]*250)/WWWW[[#This Row],[Total PoP ]]&gt;1,1,(WWWW[[#This Row],['#_Constructed/Existing protected/fenced ponds]]*250)/WWWW[[#This Row],[Total PoP ]])</f>
        <v>0</v>
      </c>
      <c r="CD223" s="556">
        <f>WWWW[[#This Row],[% Access to unimproved water points]]*WWWW[[#This Row],[Total PoP ]]</f>
        <v>0</v>
      </c>
      <c r="CE22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2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CG223" s="556">
        <f>WWWW[[#This Row],[HRP1]]/500</f>
        <v>1.978</v>
      </c>
      <c r="CH223" s="561">
        <f>1-WWWW[[#This Row],[% Equitable and continuous access to sufficient quantity of domestic water]]</f>
        <v>0</v>
      </c>
      <c r="CI223" s="556">
        <f>WWWW[[#This Row],[%equitable and continuous access to sufficient quantity of safe drinking and domestic water''s GAP]]*WWWW[[#This Row],[Total PoP ]]</f>
        <v>0</v>
      </c>
      <c r="CJ223" s="558">
        <f>IF(WWWW[[#This Row],[Total required water points]]-WWWW[[#This Row],['#Water points coverage]]&lt;0,0,WWWW[[#This Row],[Total required water points]]-WWWW[[#This Row],['#Water points coverage]])</f>
        <v>2.200000000000002E-2</v>
      </c>
      <c r="CK223" s="558">
        <f>ROUND(IF(WWWW[[#This Row],[Total PoP ]]&lt;500,1,WWWW[[#This Row],[Total PoP ]]/500),0)</f>
        <v>2</v>
      </c>
      <c r="CL223" s="558">
        <f>(WWWW[[#This Row],['#_Constructed latrines_by_WASHAgencies]]+WWWW[[#This Row],['#_Non Cluster partner latrines]])-WWWW[[#This Row],['#_Non-functional latrines]]</f>
        <v>94</v>
      </c>
      <c r="CM22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2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989</v>
      </c>
      <c r="CO223"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989</v>
      </c>
      <c r="CP223" s="558">
        <f>IF(WWWW[[#This Row],[Location Type 1]]="Village","NA",IF(WWWW[[#This Row],['#_Constructed/Existing latrines in TLS]]*50&gt;WWWW[[#This Row],['#_students at TLS_CFS]],WWWW[[#This Row],['#_students at TLS_CFS]],(WWWW[[#This Row],['#_Constructed/Existing latrines in TLS]]*50)))</f>
        <v>259</v>
      </c>
      <c r="CQ223" s="558">
        <f>ROUND(IF(WWWW[[#This Row],[Location Type 1]]="camp",WWWW[[#This Row],[Total PoP ]]/20,IF(WWWW[[#This Row],[Location Type 1]]="Temporary Location",WWWW[[#This Row],[Total PoP ]]/50,(WWWW[[#This Row],[Total PoP ]]/6))),0)</f>
        <v>49</v>
      </c>
      <c r="CR223" s="558">
        <f>IF(WWWW[[#This Row],[Total required Latrines]]-(WWWW[[#This Row],['#_Constructed latrines_by_WASHAgencies]]+WWWW[[#This Row],['#_Non Cluster partner latrines]])&lt;0,0,WWWW[[#This Row],[Total required Latrines]]-(WWWW[[#This Row],['#_Constructed latrines_by_WASHAgencies]]+WWWW[[#This Row],['#_Non Cluster partner latrines]]))</f>
        <v>0</v>
      </c>
      <c r="CS223" s="78">
        <f>1-WWWW[[#This Row],[% people access to functioning Latrine]]</f>
        <v>0</v>
      </c>
      <c r="CT223" s="560">
        <f>IF(OR(WWWW[[#This Row],['#_Non-functional latrines]]="",WWWW[[#This Row],['#_Non-functional latrines]]=0),0,WWWW[[#This Row],['#_Non-functional latrines]]/(WWWW[[#This Row],['#_Constructed latrines_by_WASHAgencies]]+WWWW[[#This Row],['#_Non Cluster partner latrines]]))</f>
        <v>0</v>
      </c>
      <c r="CU223" s="556">
        <f>IF(500*(WWWW[[#This Row],['#_male hygiene promoters]]+WWWW[[#This Row],['#_female hygiene promoters]])&gt;WWWW[[#This Row],[Total PoP ]],WWWW[[#This Row],[Total PoP ]],500*(WWWW[[#This Row],['#_male hygiene promoters]]+WWWW[[#This Row],['#_female hygiene promoters]]))</f>
        <v>989</v>
      </c>
      <c r="CV22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989</v>
      </c>
      <c r="CW22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989</v>
      </c>
      <c r="CX223" s="558">
        <f>IF(WWWW[[#This Row],['# People with access to soap]]&gt;WWWW[[#This Row],['# People with access to Sanity Pads]],WWWW[[#This Row],['# People with access to soap]],WWWW[[#This Row],['# People with access to Sanity Pads]])</f>
        <v>989</v>
      </c>
      <c r="CY223" s="558">
        <f>IF(WWWW[[#This Row],['# people reached by regular dedicated hygiene promotion_5]]&gt;WWWW[[#This Row],['# People received regular supply of hygiene items_6]],WWWW[[#This Row],['# people reached by regular dedicated hygiene promotion_5]],WWWW[[#This Row],['# People received regular supply of hygiene items_6]])</f>
        <v>989</v>
      </c>
      <c r="CZ223" s="561">
        <f>IF(WWWW[[#This Row],[HRP3]]/WWWW[[#This Row],[Total PoP ]]&gt;100%,100%,WWWW[[#This Row],[HRP3]]/WWWW[[#This Row],[Total PoP ]])</f>
        <v>1</v>
      </c>
      <c r="DA223" s="560">
        <f>1-WWWW[[#This Row],[Hygiene Coverage%]]</f>
        <v>0</v>
      </c>
      <c r="DB223" s="559">
        <f>WWWW[[#This Row],['# people reached by regular dedicated hygiene promotion_5]]/WWWW[[#This Row],[Total PoP ]]</f>
        <v>1</v>
      </c>
      <c r="DC223" s="559">
        <f>IF(WWWW[[#This Row],['#_households that received standard amount of soap for this quarter]]/WWWW[[#This Row],[Total HH]]&gt;1,1,WWWW[[#This Row],['#_households that received standard amount of soap for this quarter]]/WWWW[[#This Row],[Total HH]])</f>
        <v>1</v>
      </c>
      <c r="DD223" s="559">
        <f>IF(WWWW[[#This Row],['#_households that received standard amount of sanitary pads for this quarter]]/WWWW[[#This Row],[Total HH]]&gt;1,1,WWWW[[#This Row],['#_households that received standard amount of sanitary pads for this quarter]]/WWWW[[#This Row],[Total HH]])</f>
        <v>0.71787709497206709</v>
      </c>
      <c r="DE223" s="558">
        <f>WWWW[[#This Row],['#_Constructed/Existing hand washing stations]]-WWWW[[#This Row],['#_Non-Functional_hand_washing_stations]]</f>
        <v>0</v>
      </c>
      <c r="DF223" s="757">
        <f>IF(WWWW[[#This Row],['# Functional hand washing stations during reporting period]]*20&gt;WWWW[[#This Row],[Total HH]],WWWW[[#This Row],[Total HH]],WWWW[[#This Row],['# Functional hand washing stations during reporting period]]*20)</f>
        <v>0</v>
      </c>
      <c r="DG223" s="556">
        <f>IF(WWWW[[#This Row],[Is sufficient soap available for TLS? (Yes/No)]]="yes",WWWW[[#This Row],['#_Constructed/Existing hand washing stations at TLS]],0)</f>
        <v>4</v>
      </c>
      <c r="DH223" s="556">
        <f>IF(WWWW[[#This Row],['# Functional hand washing stations during reporting period]]*100&gt;WWWW[[#This Row],[Total PoP ]],WWWW[[#This Row],[Total PoP ]],WWWW[[#This Row],['# Functional hand washing stations during reporting period]]*100)</f>
        <v>0</v>
      </c>
      <c r="DI223" s="556" t="str">
        <f>IF(OR(WWWW[[#This Row],['#_students at TLS_CFS]]="",WWWW[[#This Row],['#_students at TLS_CFS]]=0),"No","Yes")</f>
        <v>Yes</v>
      </c>
      <c r="DJ223" s="554" t="str">
        <f>VLOOKUP(WWWW[[#This Row],[Site Name]],SiteDB6[[Site Name]:[CCCM Management]],6,FALSE)</f>
        <v>Yes</v>
      </c>
      <c r="DK223" s="554">
        <f>VLOOKUP(WWWW[[#This Row],[Site Name]],SiteDB6[[Site Name]:[CCCM Focal Agency]],7,FALSE)</f>
        <v>0</v>
      </c>
      <c r="DL223" s="554" t="str">
        <f>VLOOKUP(WWWW[[#This Row],[Site Name]],SiteDB6[[Site Name]:[Location Type 1]],9,FALSE)</f>
        <v>Camp</v>
      </c>
      <c r="DM223" s="554" t="str">
        <f>VLOOKUP(WWWW[[#This Row],[Site Name]],SiteDB6[[Site Name]:[Type of Accommodation]],10,FALSE)</f>
        <v>Planned Camp</v>
      </c>
      <c r="DN223" s="554" t="str">
        <f>VLOOKUP(WWWW[[#This Row],[Site Name]],SiteDB6[[Site Name]:[Ethnic or GCA/NGCA]],11,FALSE)</f>
        <v>Muslim</v>
      </c>
      <c r="DO223" s="554">
        <f>VLOOKUP(WWWW[[#This Row],[Site Name]],SiteDB6[[Site Name]:[Lat]],12,FALSE)</f>
        <v>19.424576999999999</v>
      </c>
      <c r="DP223" s="554">
        <f>VLOOKUP(WWWW[[#This Row],[Site Name]],SiteDB6[[Site Name]:[Long]],13,FALSE)</f>
        <v>93.512326000000002</v>
      </c>
      <c r="DQ223" s="554" t="str">
        <f>VLOOKUP(WWWW[[#This Row],[Site Name]],SiteDB6[[Site Name]:[Pcode]],3,FALSE)</f>
        <v>MMR012CMP035</v>
      </c>
      <c r="DR223" s="563" t="str">
        <f t="shared" si="7"/>
        <v>Covered</v>
      </c>
      <c r="DS223" s="563"/>
    </row>
    <row r="224" spans="1:126">
      <c r="A224" s="552" t="s">
        <v>2518</v>
      </c>
      <c r="B224" s="552" t="s">
        <v>2355</v>
      </c>
      <c r="C224" s="555" t="s">
        <v>2355</v>
      </c>
      <c r="D224" s="555" t="s">
        <v>249</v>
      </c>
      <c r="E224" s="574" t="s">
        <v>3006</v>
      </c>
      <c r="F224" s="555" t="s">
        <v>375</v>
      </c>
      <c r="G224" s="574" t="str">
        <f>VLOOKUP(WWWW[[#This Row],[Site Name]],SiteDB6[[Site Name]:[Location Type]],8,FALSE)</f>
        <v>Village</v>
      </c>
      <c r="H224" s="555" t="s">
        <v>2356</v>
      </c>
      <c r="I224" s="557">
        <v>65</v>
      </c>
      <c r="J224" s="557">
        <v>323</v>
      </c>
      <c r="K224" s="564">
        <v>43539</v>
      </c>
      <c r="L224" s="565">
        <v>43904</v>
      </c>
      <c r="M224" s="557">
        <v>48</v>
      </c>
      <c r="N224" s="557">
        <v>0</v>
      </c>
      <c r="O224" s="557">
        <v>1</v>
      </c>
      <c r="P224" s="557">
        <v>0</v>
      </c>
      <c r="Q224" s="556" t="s">
        <v>144</v>
      </c>
      <c r="R224" s="557">
        <v>1</v>
      </c>
      <c r="S224" s="557">
        <v>0</v>
      </c>
      <c r="T224" s="557">
        <v>0</v>
      </c>
      <c r="U224" s="557">
        <v>0</v>
      </c>
      <c r="V224" s="557">
        <v>0</v>
      </c>
      <c r="W224" s="557">
        <v>1</v>
      </c>
      <c r="X224" s="557">
        <v>0</v>
      </c>
      <c r="Y224" s="557">
        <v>0</v>
      </c>
      <c r="Z224" s="557">
        <v>1</v>
      </c>
      <c r="AA224" s="557">
        <v>0</v>
      </c>
      <c r="AB224" s="557">
        <v>0</v>
      </c>
      <c r="AC224" s="557">
        <v>0</v>
      </c>
      <c r="AD224" s="557">
        <v>0</v>
      </c>
      <c r="AE224" s="557">
        <v>0</v>
      </c>
      <c r="AF224" s="557">
        <v>0</v>
      </c>
      <c r="AG224" s="557">
        <v>0</v>
      </c>
      <c r="AH224" s="557">
        <v>0</v>
      </c>
      <c r="AI224" s="557">
        <v>0</v>
      </c>
      <c r="AJ224" s="557">
        <v>0</v>
      </c>
      <c r="AK224" s="557">
        <v>0</v>
      </c>
      <c r="AL224" s="557">
        <v>0</v>
      </c>
      <c r="AM224" s="557" t="s">
        <v>2934</v>
      </c>
      <c r="AN224" s="557">
        <v>0</v>
      </c>
      <c r="AO224" s="563" t="s">
        <v>2834</v>
      </c>
      <c r="AP224" s="557">
        <v>65</v>
      </c>
      <c r="AQ224" s="557">
        <v>0</v>
      </c>
      <c r="AR224" s="559">
        <v>0</v>
      </c>
      <c r="AS224" s="557">
        <v>0</v>
      </c>
      <c r="AT224" s="557">
        <v>0</v>
      </c>
      <c r="AU224" s="557">
        <v>0</v>
      </c>
      <c r="AV224" s="557"/>
      <c r="AW224" s="557">
        <v>65</v>
      </c>
      <c r="AX224" s="554" t="s">
        <v>43</v>
      </c>
      <c r="AY224" s="563" t="s">
        <v>145</v>
      </c>
      <c r="AZ224" s="557">
        <v>0</v>
      </c>
      <c r="BA224" s="557">
        <v>0</v>
      </c>
      <c r="BB224" s="557">
        <v>4</v>
      </c>
      <c r="BC224" s="554" t="s">
        <v>2834</v>
      </c>
      <c r="BD224" s="557">
        <v>0</v>
      </c>
      <c r="BE224" s="557">
        <v>0</v>
      </c>
      <c r="BF224" s="557">
        <v>0</v>
      </c>
      <c r="BG224" s="557">
        <v>0</v>
      </c>
      <c r="BH224" s="557">
        <v>0</v>
      </c>
      <c r="BI224" s="557">
        <v>1</v>
      </c>
      <c r="BJ224" s="557">
        <v>0</v>
      </c>
      <c r="BK224" s="557">
        <v>0</v>
      </c>
      <c r="BL224" s="557">
        <v>0</v>
      </c>
      <c r="BM224" s="554" t="s">
        <v>144</v>
      </c>
      <c r="BN224" s="558">
        <v>0</v>
      </c>
      <c r="BO224" s="559">
        <v>0</v>
      </c>
      <c r="BP224" s="554" t="s">
        <v>2834</v>
      </c>
      <c r="BQ224" s="560" t="str">
        <f>IFERROR(WWWW[[#This Row],['#_Water sources treated]]/WWWW[[#This Row],['#_Water sources tested for contamination]],"no test")</f>
        <v>no test</v>
      </c>
      <c r="BR224" s="559" t="str">
        <f>IFERROR(WWWW[[#This Row],['#_Household received remediation action due to contamination]]/WWWW[[#This Row],['#_Household water samples tested for contamination]],"no test")</f>
        <v>no test</v>
      </c>
      <c r="BS224" s="558" t="str">
        <f>IF(AND(WWWW[[#This Row],[% of water sources treated]]="no test",WWWW[[#This Row],[% Household received corrective actions]]="no test"),"No Test","Tested")</f>
        <v>No Test</v>
      </c>
      <c r="BT224" s="558">
        <f>WWWW[[#This Row],['#_Constructed/existing protected hand dug well]]-WWWW[[#This Row],['#_Non-functional protected hand dug well]]</f>
        <v>0</v>
      </c>
      <c r="BU224" s="558">
        <f>(WWWW[[#This Row],['#_Constructed/Existing tube wells/boreholes/handpumps_WASH_agency]]+WWWW[[#This Row],['#_Non-Cluster partner water tube-wells/boreholes/handpumps]])-WWWW[[#This Row],['#_Non-functional tube wells/boreholes/handpumps]]</f>
        <v>1</v>
      </c>
      <c r="BV224" s="558">
        <f>WWWW[[#This Row],['#_Constructed/Existingwater storage tank with gravity fed reticulation system]]-WWWW[[#This Row],['#_Non-functional storage tank gravity fed reticulation system]]</f>
        <v>0</v>
      </c>
      <c r="BW224" s="558">
        <f>WWWW[[#This Row],['#_Water boating or water trucking]]</f>
        <v>0</v>
      </c>
      <c r="BX224" s="558">
        <f>WWWW[[#This Row],['#_Constructed/Existing water distribution system from river or natural spring]]</f>
        <v>0</v>
      </c>
      <c r="BY22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0.77399380804953566</v>
      </c>
      <c r="CA224" s="559">
        <f>IF(WWWW[[#This Row],[Location Type 1]]="Village",WWWW[[#This Row],[Access to safe drinking water for Village]],WWWW[[#This Row],[Access to safe drinking water for Camp]])</f>
        <v>0.77399380804953566</v>
      </c>
      <c r="CB224" s="556">
        <f>WWWW[[#This Row],[%Equitable and continuous access to sufficient quantity of safe drinking water]]*WWWW[[#This Row],[Total PoP ]]</f>
        <v>250.00000000000003</v>
      </c>
      <c r="CC224" s="559">
        <f>IF((WWWW[[#This Row],['#_Constructed/Existing protected/fenced ponds]]*250)/WWWW[[#This Row],[Total PoP ]]&gt;1,1,(WWWW[[#This Row],['#_Constructed/Existing protected/fenced ponds]]*250)/WWWW[[#This Row],[Total PoP ]])</f>
        <v>0</v>
      </c>
      <c r="CD224" s="556">
        <f>WWWW[[#This Row],[% Access to unimproved water points]]*WWWW[[#This Row],[Total PoP ]]</f>
        <v>0</v>
      </c>
      <c r="CE22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0.77399380804953566</v>
      </c>
      <c r="CF22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250.00000000000003</v>
      </c>
      <c r="CG224" s="556">
        <f>WWWW[[#This Row],[HRP1]]/500</f>
        <v>0.50000000000000011</v>
      </c>
      <c r="CH224" s="561">
        <f>1-WWWW[[#This Row],[% Equitable and continuous access to sufficient quantity of domestic water]]</f>
        <v>0.22600619195046434</v>
      </c>
      <c r="CI224" s="556">
        <f>WWWW[[#This Row],[%equitable and continuous access to sufficient quantity of safe drinking and domestic water''s GAP]]*WWWW[[#This Row],[Total PoP ]]</f>
        <v>72.999999999999986</v>
      </c>
      <c r="CJ224" s="558">
        <f>IF(WWWW[[#This Row],[Total required water points]]-WWWW[[#This Row],['#Water points coverage]]&lt;0,0,WWWW[[#This Row],[Total required water points]]-WWWW[[#This Row],['#Water points coverage]])</f>
        <v>0.49999999999999989</v>
      </c>
      <c r="CK224" s="558">
        <f>ROUND(IF(WWWW[[#This Row],[Total PoP ]]&lt;500,1,WWWW[[#This Row],[Total PoP ]]/500),0)</f>
        <v>1</v>
      </c>
      <c r="CL224" s="558">
        <f>(WWWW[[#This Row],['#_Constructed latrines_by_WASHAgencies]]+WWWW[[#This Row],['#_Non Cluster partner latrines]])-WWWW[[#This Row],['#_Non-functional latrines]]</f>
        <v>65</v>
      </c>
      <c r="CM22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2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323</v>
      </c>
      <c r="CO22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4" s="558" t="str">
        <f>IF(WWWW[[#This Row],[Location Type 1]]="Village","NA",IF(WWWW[[#This Row],['#_Constructed/Existing latrines in TLS]]*50&gt;WWWW[[#This Row],['#_students at TLS_CFS]],WWWW[[#This Row],['#_students at TLS_CFS]],(WWWW[[#This Row],['#_Constructed/Existing latrines in TLS]]*50)))</f>
        <v>NA</v>
      </c>
      <c r="CQ224" s="558">
        <f>ROUND(IF(WWWW[[#This Row],[Location Type 1]]="camp",WWWW[[#This Row],[Total PoP ]]/20,IF(WWWW[[#This Row],[Location Type 1]]="Temporary Location",WWWW[[#This Row],[Total PoP ]]/50,(WWWW[[#This Row],[Total PoP ]]/6))),0)</f>
        <v>54</v>
      </c>
      <c r="CR224" s="558">
        <f>IF(WWWW[[#This Row],[Total required Latrines]]-(WWWW[[#This Row],['#_Constructed latrines_by_WASHAgencies]]+WWWW[[#This Row],['#_Non Cluster partner latrines]])&lt;0,0,WWWW[[#This Row],[Total required Latrines]]-(WWWW[[#This Row],['#_Constructed latrines_by_WASHAgencies]]+WWWW[[#This Row],['#_Non Cluster partner latrines]]))</f>
        <v>0</v>
      </c>
      <c r="CS224" s="78">
        <f>1-WWWW[[#This Row],[% people access to functioning Latrine]]</f>
        <v>0</v>
      </c>
      <c r="CT224" s="560">
        <f>IF(OR(WWWW[[#This Row],['#_Non-functional latrines]]="",WWWW[[#This Row],['#_Non-functional latrines]]=0),0,WWWW[[#This Row],['#_Non-functional latrines]]/(WWWW[[#This Row],['#_Constructed latrines_by_WASHAgencies]]+WWWW[[#This Row],['#_Non Cluster partner latrines]]))</f>
        <v>0</v>
      </c>
      <c r="CU224" s="556">
        <f>IF(500*(WWWW[[#This Row],['#_male hygiene promoters]]+WWWW[[#This Row],['#_female hygiene promoters]])&gt;WWWW[[#This Row],[Total PoP ]],WWWW[[#This Row],[Total PoP ]],500*(WWWW[[#This Row],['#_male hygiene promoters]]+WWWW[[#This Row],['#_female hygiene promoters]]))</f>
        <v>323</v>
      </c>
      <c r="CV22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4" s="558">
        <f>IF(WWWW[[#This Row],['# People with access to soap]]&gt;WWWW[[#This Row],['# People with access to Sanity Pads]],WWWW[[#This Row],['# People with access to soap]],WWWW[[#This Row],['# People with access to Sanity Pads]])</f>
        <v>0</v>
      </c>
      <c r="CY224" s="558">
        <f>IF(WWWW[[#This Row],['# people reached by regular dedicated hygiene promotion_5]]&gt;WWWW[[#This Row],['# People received regular supply of hygiene items_6]],WWWW[[#This Row],['# people reached by regular dedicated hygiene promotion_5]],WWWW[[#This Row],['# People received regular supply of hygiene items_6]])</f>
        <v>323</v>
      </c>
      <c r="CZ224" s="561">
        <f>IF(WWWW[[#This Row],[HRP3]]/WWWW[[#This Row],[Total PoP ]]&gt;100%,100%,WWWW[[#This Row],[HRP3]]/WWWW[[#This Row],[Total PoP ]])</f>
        <v>1</v>
      </c>
      <c r="DA224" s="560">
        <f>1-WWWW[[#This Row],[Hygiene Coverage%]]</f>
        <v>0</v>
      </c>
      <c r="DB224" s="559">
        <f>WWWW[[#This Row],['# people reached by regular dedicated hygiene promotion_5]]/WWWW[[#This Row],[Total PoP ]]</f>
        <v>1</v>
      </c>
      <c r="DC224" s="559">
        <f>IF(WWWW[[#This Row],['#_households that received standard amount of soap for this quarter]]/WWWW[[#This Row],[Total HH]]&gt;1,1,WWWW[[#This Row],['#_households that received standard amount of soap for this quarter]]/WWWW[[#This Row],[Total HH]])</f>
        <v>0</v>
      </c>
      <c r="DD224" s="559">
        <f>IF(WWWW[[#This Row],['#_households that received standard amount of sanitary pads for this quarter]]/WWWW[[#This Row],[Total HH]]&gt;1,1,WWWW[[#This Row],['#_households that received standard amount of sanitary pads for this quarter]]/WWWW[[#This Row],[Total HH]])</f>
        <v>0</v>
      </c>
      <c r="DE224" s="558">
        <f>WWWW[[#This Row],['#_Constructed/Existing hand washing stations]]-WWWW[[#This Row],['#_Non-Functional_hand_washing_stations]]</f>
        <v>0</v>
      </c>
      <c r="DF224" s="757">
        <f>IF(WWWW[[#This Row],['# Functional hand washing stations during reporting period]]*20&gt;WWWW[[#This Row],[Total HH]],WWWW[[#This Row],[Total HH]],WWWW[[#This Row],['# Functional hand washing stations during reporting period]]*20)</f>
        <v>0</v>
      </c>
      <c r="DG224" s="556">
        <f>IF(WWWW[[#This Row],[Is sufficient soap available for TLS? (Yes/No)]]="yes",WWWW[[#This Row],['#_Constructed/Existing hand washing stations at TLS]],0)</f>
        <v>0</v>
      </c>
      <c r="DH224" s="556">
        <f>IF(WWWW[[#This Row],['# Functional hand washing stations during reporting period]]*100&gt;WWWW[[#This Row],[Total PoP ]],WWWW[[#This Row],[Total PoP ]],WWWW[[#This Row],['# Functional hand washing stations during reporting period]]*100)</f>
        <v>0</v>
      </c>
      <c r="DI224" s="556" t="str">
        <f>IF(OR(WWWW[[#This Row],['#_students at TLS_CFS]]="",WWWW[[#This Row],['#_students at TLS_CFS]]=0),"No","Yes")</f>
        <v>Yes</v>
      </c>
      <c r="DJ224" s="554">
        <f>VLOOKUP(WWWW[[#This Row],[Site Name]],SiteDB6[[Site Name]:[CCCM Management]],6,FALSE)</f>
        <v>0</v>
      </c>
      <c r="DK224" s="554">
        <f>VLOOKUP(WWWW[[#This Row],[Site Name]],SiteDB6[[Site Name]:[CCCM Focal Agency]],7,FALSE)</f>
        <v>0</v>
      </c>
      <c r="DL224" s="554" t="str">
        <f>VLOOKUP(WWWW[[#This Row],[Site Name]],SiteDB6[[Site Name]:[Location Type 1]],9,FALSE)</f>
        <v>Village</v>
      </c>
      <c r="DM224" s="554" t="str">
        <f>VLOOKUP(WWWW[[#This Row],[Site Name]],SiteDB6[[Site Name]:[Type of Accommodation]],10,FALSE)</f>
        <v>Village</v>
      </c>
      <c r="DN224" s="554" t="str">
        <f>VLOOKUP(WWWW[[#This Row],[Site Name]],SiteDB6[[Site Name]:[Ethnic or GCA/NGCA]],11,FALSE)</f>
        <v>Rakhine</v>
      </c>
      <c r="DO224" s="554">
        <f>VLOOKUP(WWWW[[#This Row],[Site Name]],SiteDB6[[Site Name]:[Lat]],12,FALSE)</f>
        <v>19.417640689999999</v>
      </c>
      <c r="DP224" s="554">
        <f>VLOOKUP(WWWW[[#This Row],[Site Name]],SiteDB6[[Site Name]:[Long]],13,FALSE)</f>
        <v>93.565246579999993</v>
      </c>
      <c r="DQ224" s="554">
        <f>VLOOKUP(WWWW[[#This Row],[Site Name]],SiteDB6[[Site Name]:[Pcode]],3,FALSE)</f>
        <v>198464</v>
      </c>
      <c r="DR224" s="563" t="str">
        <f t="shared" si="7"/>
        <v>Covered</v>
      </c>
      <c r="DS224" s="563"/>
    </row>
    <row r="225" spans="1:123">
      <c r="A225" s="552" t="s">
        <v>2518</v>
      </c>
      <c r="B225" s="552" t="s">
        <v>2355</v>
      </c>
      <c r="C225" s="555" t="s">
        <v>2355</v>
      </c>
      <c r="D225" s="555" t="s">
        <v>249</v>
      </c>
      <c r="E225" s="574" t="s">
        <v>3006</v>
      </c>
      <c r="F225" s="555" t="s">
        <v>375</v>
      </c>
      <c r="G225" s="574" t="str">
        <f>VLOOKUP(WWWW[[#This Row],[Site Name]],SiteDB6[[Site Name]:[Location Type]],8,FALSE)</f>
        <v>Village</v>
      </c>
      <c r="H225" s="555" t="s">
        <v>2835</v>
      </c>
      <c r="I225" s="557">
        <v>275</v>
      </c>
      <c r="J225" s="557">
        <v>1018</v>
      </c>
      <c r="K225" s="564">
        <v>43539</v>
      </c>
      <c r="L225" s="565">
        <v>43904</v>
      </c>
      <c r="M225" s="557"/>
      <c r="N225" s="557"/>
      <c r="O225" s="557"/>
      <c r="P225" s="557"/>
      <c r="Q225" s="556"/>
      <c r="R225" s="557"/>
      <c r="S225" s="557"/>
      <c r="T225" s="557"/>
      <c r="U225" s="557"/>
      <c r="V225" s="557"/>
      <c r="W225" s="557"/>
      <c r="X225" s="557"/>
      <c r="Y225" s="557"/>
      <c r="Z225" s="557"/>
      <c r="AA225" s="557"/>
      <c r="AB225" s="557"/>
      <c r="AC225" s="557"/>
      <c r="AD225" s="557"/>
      <c r="AE225" s="557"/>
      <c r="AF225" s="557"/>
      <c r="AG225" s="557"/>
      <c r="AH225" s="557"/>
      <c r="AI225" s="557"/>
      <c r="AJ225" s="557"/>
      <c r="AK225" s="557"/>
      <c r="AL225" s="557"/>
      <c r="AM225" s="557"/>
      <c r="AN225" s="557"/>
      <c r="AO225" s="563" t="s">
        <v>2834</v>
      </c>
      <c r="AP225" s="557"/>
      <c r="AQ225" s="557"/>
      <c r="AR225" s="559"/>
      <c r="AS225" s="557"/>
      <c r="AT225" s="557"/>
      <c r="AU225" s="557"/>
      <c r="AV225" s="557"/>
      <c r="AW225" s="557"/>
      <c r="AX225" s="554"/>
      <c r="AY225" s="563"/>
      <c r="AZ225" s="557"/>
      <c r="BA225" s="557"/>
      <c r="BB225" s="557"/>
      <c r="BC225" s="554"/>
      <c r="BD225" s="557"/>
      <c r="BE225" s="557"/>
      <c r="BF225" s="557"/>
      <c r="BG225" s="557"/>
      <c r="BH225" s="557"/>
      <c r="BI225" s="557"/>
      <c r="BJ225" s="557"/>
      <c r="BK225" s="557"/>
      <c r="BL225" s="557"/>
      <c r="BM225" s="554"/>
      <c r="BN225" s="558"/>
      <c r="BO225" s="559"/>
      <c r="BP225" s="554"/>
      <c r="BQ225" s="560" t="str">
        <f>IFERROR(WWWW[[#This Row],['#_Water sources treated]]/WWWW[[#This Row],['#_Water sources tested for contamination]],"no test")</f>
        <v>no test</v>
      </c>
      <c r="BR225" s="559" t="str">
        <f>IFERROR(WWWW[[#This Row],['#_Household received remediation action due to contamination]]/WWWW[[#This Row],['#_Household water samples tested for contamination]],"no test")</f>
        <v>no test</v>
      </c>
      <c r="BS225" s="558" t="str">
        <f>IF(AND(WWWW[[#This Row],[% of water sources treated]]="no test",WWWW[[#This Row],[% Household received corrective actions]]="no test"),"No Test","Tested")</f>
        <v>No Test</v>
      </c>
      <c r="BT225" s="558">
        <f>WWWW[[#This Row],['#_Constructed/existing protected hand dug well]]-WWWW[[#This Row],['#_Non-functional protected hand dug well]]</f>
        <v>0</v>
      </c>
      <c r="BU225" s="558">
        <f>(WWWW[[#This Row],['#_Constructed/Existing tube wells/boreholes/handpumps_WASH_agency]]+WWWW[[#This Row],['#_Non-Cluster partner water tube-wells/boreholes/handpumps]])-WWWW[[#This Row],['#_Non-functional tube wells/boreholes/handpumps]]</f>
        <v>0</v>
      </c>
      <c r="BV225" s="558">
        <f>WWWW[[#This Row],['#_Constructed/Existingwater storage tank with gravity fed reticulation system]]-WWWW[[#This Row],['#_Non-functional storage tank gravity fed reticulation system]]</f>
        <v>0</v>
      </c>
      <c r="BW225" s="558">
        <f>WWWW[[#This Row],['#_Water boating or water trucking]]</f>
        <v>0</v>
      </c>
      <c r="BX225" s="558">
        <f>WWWW[[#This Row],['#_Constructed/Existing water distribution system from river or natural spring]]</f>
        <v>0</v>
      </c>
      <c r="BY22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5" s="559">
        <f>IF(WWWW[[#This Row],[Location Type 1]]="Village",WWWW[[#This Row],[Access to safe drinking water for Village]],WWWW[[#This Row],[Access to safe drinking water for Camp]])</f>
        <v>0</v>
      </c>
      <c r="CB225" s="556">
        <f>WWWW[[#This Row],[%Equitable and continuous access to sufficient quantity of safe drinking water]]*WWWW[[#This Row],[Total PoP ]]</f>
        <v>0</v>
      </c>
      <c r="CC225" s="559">
        <f>IF((WWWW[[#This Row],['#_Constructed/Existing protected/fenced ponds]]*250)/WWWW[[#This Row],[Total PoP ]]&gt;1,1,(WWWW[[#This Row],['#_Constructed/Existing protected/fenced ponds]]*250)/WWWW[[#This Row],[Total PoP ]])</f>
        <v>0</v>
      </c>
      <c r="CD225" s="556">
        <f>WWWW[[#This Row],[% Access to unimproved water points]]*WWWW[[#This Row],[Total PoP ]]</f>
        <v>0</v>
      </c>
      <c r="CE22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5" s="556">
        <f>WWWW[[#This Row],[HRP1]]/500</f>
        <v>0</v>
      </c>
      <c r="CH225" s="561">
        <f>1-WWWW[[#This Row],[% Equitable and continuous access to sufficient quantity of domestic water]]</f>
        <v>1</v>
      </c>
      <c r="CI225" s="556">
        <f>WWWW[[#This Row],[%equitable and continuous access to sufficient quantity of safe drinking and domestic water''s GAP]]*WWWW[[#This Row],[Total PoP ]]</f>
        <v>1018</v>
      </c>
      <c r="CJ225" s="558">
        <f>IF(WWWW[[#This Row],[Total required water points]]-WWWW[[#This Row],['#Water points coverage]]&lt;0,0,WWWW[[#This Row],[Total required water points]]-WWWW[[#This Row],['#Water points coverage]])</f>
        <v>2</v>
      </c>
      <c r="CK225" s="558">
        <f>ROUND(IF(WWWW[[#This Row],[Total PoP ]]&lt;500,1,WWWW[[#This Row],[Total PoP ]]/500),0)</f>
        <v>2</v>
      </c>
      <c r="CL225" s="558">
        <f>(WWWW[[#This Row],['#_Constructed latrines_by_WASHAgencies]]+WWWW[[#This Row],['#_Non Cluster partner latrines]])-WWWW[[#This Row],['#_Non-functional latrines]]</f>
        <v>0</v>
      </c>
      <c r="CM22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5" s="558" t="str">
        <f>IF(WWWW[[#This Row],[Location Type 1]]="Village","NA",IF(WWWW[[#This Row],['#_Constructed/Existing latrines in TLS]]*50&gt;WWWW[[#This Row],['#_students at TLS_CFS]],WWWW[[#This Row],['#_students at TLS_CFS]],(WWWW[[#This Row],['#_Constructed/Existing latrines in TLS]]*50)))</f>
        <v>NA</v>
      </c>
      <c r="CQ225" s="558">
        <f>ROUND(IF(WWWW[[#This Row],[Location Type 1]]="camp",WWWW[[#This Row],[Total PoP ]]/20,IF(WWWW[[#This Row],[Location Type 1]]="Temporary Location",WWWW[[#This Row],[Total PoP ]]/50,(WWWW[[#This Row],[Total PoP ]]/6))),0)</f>
        <v>170</v>
      </c>
      <c r="CR225" s="558">
        <f>IF(WWWW[[#This Row],[Total required Latrines]]-(WWWW[[#This Row],['#_Constructed latrines_by_WASHAgencies]]+WWWW[[#This Row],['#_Non Cluster partner latrines]])&lt;0,0,WWWW[[#This Row],[Total required Latrines]]-(WWWW[[#This Row],['#_Constructed latrines_by_WASHAgencies]]+WWWW[[#This Row],['#_Non Cluster partner latrines]]))</f>
        <v>170</v>
      </c>
      <c r="CS225" s="78">
        <f>1-WWWW[[#This Row],[% people access to functioning Latrine]]</f>
        <v>1</v>
      </c>
      <c r="CT225" s="560">
        <f>IF(OR(WWWW[[#This Row],['#_Non-functional latrines]]="",WWWW[[#This Row],['#_Non-functional latrines]]=0),0,WWWW[[#This Row],['#_Non-functional latrines]]/(WWWW[[#This Row],['#_Constructed latrines_by_WASHAgencies]]+WWWW[[#This Row],['#_Non Cluster partner latrines]]))</f>
        <v>0</v>
      </c>
      <c r="CU225" s="556">
        <f>IF(500*(WWWW[[#This Row],['#_male hygiene promoters]]+WWWW[[#This Row],['#_female hygiene promoters]])&gt;WWWW[[#This Row],[Total PoP ]],WWWW[[#This Row],[Total PoP ]],500*(WWWW[[#This Row],['#_male hygiene promoters]]+WWWW[[#This Row],['#_female hygiene promoters]]))</f>
        <v>0</v>
      </c>
      <c r="CV22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5" s="558">
        <f>IF(WWWW[[#This Row],['# People with access to soap]]&gt;WWWW[[#This Row],['# People with access to Sanity Pads]],WWWW[[#This Row],['# People with access to soap]],WWWW[[#This Row],['# People with access to Sanity Pads]])</f>
        <v>0</v>
      </c>
      <c r="CY22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5" s="561">
        <f>IF(WWWW[[#This Row],[HRP3]]/WWWW[[#This Row],[Total PoP ]]&gt;100%,100%,WWWW[[#This Row],[HRP3]]/WWWW[[#This Row],[Total PoP ]])</f>
        <v>0</v>
      </c>
      <c r="DA225" s="560">
        <f>1-WWWW[[#This Row],[Hygiene Coverage%]]</f>
        <v>1</v>
      </c>
      <c r="DB225" s="559">
        <f>WWWW[[#This Row],['# people reached by regular dedicated hygiene promotion_5]]/WWWW[[#This Row],[Total PoP ]]</f>
        <v>0</v>
      </c>
      <c r="DC225" s="559">
        <f>IF(WWWW[[#This Row],['#_households that received standard amount of soap for this quarter]]/WWWW[[#This Row],[Total HH]]&gt;1,1,WWWW[[#This Row],['#_households that received standard amount of soap for this quarter]]/WWWW[[#This Row],[Total HH]])</f>
        <v>0</v>
      </c>
      <c r="DD225" s="559">
        <f>IF(WWWW[[#This Row],['#_households that received standard amount of sanitary pads for this quarter]]/WWWW[[#This Row],[Total HH]]&gt;1,1,WWWW[[#This Row],['#_households that received standard amount of sanitary pads for this quarter]]/WWWW[[#This Row],[Total HH]])</f>
        <v>0</v>
      </c>
      <c r="DE225" s="558">
        <f>WWWW[[#This Row],['#_Constructed/Existing hand washing stations]]-WWWW[[#This Row],['#_Non-Functional_hand_washing_stations]]</f>
        <v>0</v>
      </c>
      <c r="DF225" s="757">
        <f>IF(WWWW[[#This Row],['# Functional hand washing stations during reporting period]]*20&gt;WWWW[[#This Row],[Total HH]],WWWW[[#This Row],[Total HH]],WWWW[[#This Row],['# Functional hand washing stations during reporting period]]*20)</f>
        <v>0</v>
      </c>
      <c r="DG225" s="556">
        <f>IF(WWWW[[#This Row],[Is sufficient soap available for TLS? (Yes/No)]]="yes",WWWW[[#This Row],['#_Constructed/Existing hand washing stations at TLS]],0)</f>
        <v>0</v>
      </c>
      <c r="DH225" s="556">
        <f>IF(WWWW[[#This Row],['# Functional hand washing stations during reporting period]]*100&gt;WWWW[[#This Row],[Total PoP ]],WWWW[[#This Row],[Total PoP ]],WWWW[[#This Row],['# Functional hand washing stations during reporting period]]*100)</f>
        <v>0</v>
      </c>
      <c r="DI225" s="556" t="str">
        <f>IF(OR(WWWW[[#This Row],['#_students at TLS_CFS]]="",WWWW[[#This Row],['#_students at TLS_CFS]]=0),"No","Yes")</f>
        <v>No</v>
      </c>
      <c r="DJ225" s="554">
        <f>VLOOKUP(WWWW[[#This Row],[Site Name]],SiteDB6[[Site Name]:[CCCM Management]],6,FALSE)</f>
        <v>0</v>
      </c>
      <c r="DK225" s="554">
        <f>VLOOKUP(WWWW[[#This Row],[Site Name]],SiteDB6[[Site Name]:[CCCM Focal Agency]],7,FALSE)</f>
        <v>0</v>
      </c>
      <c r="DL225" s="554" t="str">
        <f>VLOOKUP(WWWW[[#This Row],[Site Name]],SiteDB6[[Site Name]:[Location Type 1]],9,FALSE)</f>
        <v>Village</v>
      </c>
      <c r="DM225" s="554" t="str">
        <f>VLOOKUP(WWWW[[#This Row],[Site Name]],SiteDB6[[Site Name]:[Type of Accommodation]],10,FALSE)</f>
        <v>Village</v>
      </c>
      <c r="DN225" s="554" t="str">
        <f>VLOOKUP(WWWW[[#This Row],[Site Name]],SiteDB6[[Site Name]:[Ethnic or GCA/NGCA]],11,FALSE)</f>
        <v>Rakhine</v>
      </c>
      <c r="DO225" s="554">
        <f>VLOOKUP(WWWW[[#This Row],[Site Name]],SiteDB6[[Site Name]:[Lat]],12,FALSE)</f>
        <v>0</v>
      </c>
      <c r="DP225" s="554">
        <f>VLOOKUP(WWWW[[#This Row],[Site Name]],SiteDB6[[Site Name]:[Long]],13,FALSE)</f>
        <v>0</v>
      </c>
      <c r="DQ225" s="554">
        <f>VLOOKUP(WWWW[[#This Row],[Site Name]],SiteDB6[[Site Name]:[Pcode]],3,FALSE)</f>
        <v>198475</v>
      </c>
      <c r="DR225" s="563" t="str">
        <f t="shared" si="7"/>
        <v>Covered</v>
      </c>
      <c r="DS225" s="563"/>
    </row>
    <row r="226" spans="1:123">
      <c r="A226" s="552" t="s">
        <v>2518</v>
      </c>
      <c r="B226" s="552" t="s">
        <v>2355</v>
      </c>
      <c r="C226" s="555" t="s">
        <v>2355</v>
      </c>
      <c r="D226" s="555" t="s">
        <v>249</v>
      </c>
      <c r="E226" s="574" t="s">
        <v>3006</v>
      </c>
      <c r="F226" s="555" t="s">
        <v>375</v>
      </c>
      <c r="G226" s="574" t="str">
        <f>VLOOKUP(WWWW[[#This Row],[Site Name]],SiteDB6[[Site Name]:[Location Type]],8,FALSE)</f>
        <v>Village</v>
      </c>
      <c r="H226" s="555" t="s">
        <v>2836</v>
      </c>
      <c r="I226" s="557">
        <v>76</v>
      </c>
      <c r="J226" s="557">
        <v>276</v>
      </c>
      <c r="K226" s="564">
        <v>43539</v>
      </c>
      <c r="L226" s="565">
        <v>43904</v>
      </c>
      <c r="M226" s="557"/>
      <c r="N226" s="557"/>
      <c r="O226" s="557"/>
      <c r="P226" s="557"/>
      <c r="Q226" s="556"/>
      <c r="R226" s="557"/>
      <c r="S226" s="557"/>
      <c r="T226" s="557"/>
      <c r="U226" s="557"/>
      <c r="V226" s="557"/>
      <c r="W226" s="557"/>
      <c r="X226" s="557"/>
      <c r="Y226" s="557"/>
      <c r="Z226" s="557"/>
      <c r="AA226" s="557"/>
      <c r="AB226" s="557"/>
      <c r="AC226" s="557"/>
      <c r="AD226" s="557"/>
      <c r="AE226" s="557"/>
      <c r="AF226" s="557"/>
      <c r="AG226" s="557"/>
      <c r="AH226" s="557"/>
      <c r="AI226" s="557"/>
      <c r="AJ226" s="557"/>
      <c r="AK226" s="557"/>
      <c r="AL226" s="557"/>
      <c r="AM226" s="557"/>
      <c r="AN226" s="557"/>
      <c r="AO226" s="563" t="s">
        <v>2834</v>
      </c>
      <c r="AP226" s="557"/>
      <c r="AQ226" s="557"/>
      <c r="AR226" s="559"/>
      <c r="AS226" s="557"/>
      <c r="AT226" s="557"/>
      <c r="AU226" s="557"/>
      <c r="AV226" s="557"/>
      <c r="AW226" s="557"/>
      <c r="AX226" s="554"/>
      <c r="AY226" s="563"/>
      <c r="AZ226" s="557"/>
      <c r="BA226" s="557"/>
      <c r="BB226" s="557"/>
      <c r="BC226" s="554"/>
      <c r="BD226" s="557"/>
      <c r="BE226" s="557"/>
      <c r="BF226" s="557"/>
      <c r="BG226" s="557"/>
      <c r="BH226" s="557"/>
      <c r="BI226" s="557"/>
      <c r="BJ226" s="557"/>
      <c r="BK226" s="557"/>
      <c r="BL226" s="557"/>
      <c r="BM226" s="554"/>
      <c r="BN226" s="558"/>
      <c r="BO226" s="559"/>
      <c r="BP226" s="554"/>
      <c r="BQ226" s="560" t="str">
        <f>IFERROR(WWWW[[#This Row],['#_Water sources treated]]/WWWW[[#This Row],['#_Water sources tested for contamination]],"no test")</f>
        <v>no test</v>
      </c>
      <c r="BR226" s="559" t="str">
        <f>IFERROR(WWWW[[#This Row],['#_Household received remediation action due to contamination]]/WWWW[[#This Row],['#_Household water samples tested for contamination]],"no test")</f>
        <v>no test</v>
      </c>
      <c r="BS226" s="558" t="str">
        <f>IF(AND(WWWW[[#This Row],[% of water sources treated]]="no test",WWWW[[#This Row],[% Household received corrective actions]]="no test"),"No Test","Tested")</f>
        <v>No Test</v>
      </c>
      <c r="BT226" s="558">
        <f>WWWW[[#This Row],['#_Constructed/existing protected hand dug well]]-WWWW[[#This Row],['#_Non-functional protected hand dug well]]</f>
        <v>0</v>
      </c>
      <c r="BU226" s="558">
        <f>(WWWW[[#This Row],['#_Constructed/Existing tube wells/boreholes/handpumps_WASH_agency]]+WWWW[[#This Row],['#_Non-Cluster partner water tube-wells/boreholes/handpumps]])-WWWW[[#This Row],['#_Non-functional tube wells/boreholes/handpumps]]</f>
        <v>0</v>
      </c>
      <c r="BV226" s="558">
        <f>WWWW[[#This Row],['#_Constructed/Existingwater storage tank with gravity fed reticulation system]]-WWWW[[#This Row],['#_Non-functional storage tank gravity fed reticulation system]]</f>
        <v>0</v>
      </c>
      <c r="BW226" s="558">
        <f>WWWW[[#This Row],['#_Water boating or water trucking]]</f>
        <v>0</v>
      </c>
      <c r="BX226" s="558">
        <f>WWWW[[#This Row],['#_Constructed/Existing water distribution system from river or natural spring]]</f>
        <v>0</v>
      </c>
      <c r="BY22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6" s="559">
        <f>IF(WWWW[[#This Row],[Location Type 1]]="Village",WWWW[[#This Row],[Access to safe drinking water for Village]],WWWW[[#This Row],[Access to safe drinking water for Camp]])</f>
        <v>0</v>
      </c>
      <c r="CB226" s="556">
        <f>WWWW[[#This Row],[%Equitable and continuous access to sufficient quantity of safe drinking water]]*WWWW[[#This Row],[Total PoP ]]</f>
        <v>0</v>
      </c>
      <c r="CC226" s="559">
        <f>IF((WWWW[[#This Row],['#_Constructed/Existing protected/fenced ponds]]*250)/WWWW[[#This Row],[Total PoP ]]&gt;1,1,(WWWW[[#This Row],['#_Constructed/Existing protected/fenced ponds]]*250)/WWWW[[#This Row],[Total PoP ]])</f>
        <v>0</v>
      </c>
      <c r="CD226" s="556">
        <f>WWWW[[#This Row],[% Access to unimproved water points]]*WWWW[[#This Row],[Total PoP ]]</f>
        <v>0</v>
      </c>
      <c r="CE22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6" s="556">
        <f>WWWW[[#This Row],[HRP1]]/500</f>
        <v>0</v>
      </c>
      <c r="CH226" s="561">
        <f>1-WWWW[[#This Row],[% Equitable and continuous access to sufficient quantity of domestic water]]</f>
        <v>1</v>
      </c>
      <c r="CI226" s="556">
        <f>WWWW[[#This Row],[%equitable and continuous access to sufficient quantity of safe drinking and domestic water''s GAP]]*WWWW[[#This Row],[Total PoP ]]</f>
        <v>276</v>
      </c>
      <c r="CJ226" s="558">
        <f>IF(WWWW[[#This Row],[Total required water points]]-WWWW[[#This Row],['#Water points coverage]]&lt;0,0,WWWW[[#This Row],[Total required water points]]-WWWW[[#This Row],['#Water points coverage]])</f>
        <v>1</v>
      </c>
      <c r="CK226" s="558">
        <f>ROUND(IF(WWWW[[#This Row],[Total PoP ]]&lt;500,1,WWWW[[#This Row],[Total PoP ]]/500),0)</f>
        <v>1</v>
      </c>
      <c r="CL226" s="558">
        <f>(WWWW[[#This Row],['#_Constructed latrines_by_WASHAgencies]]+WWWW[[#This Row],['#_Non Cluster partner latrines]])-WWWW[[#This Row],['#_Non-functional latrines]]</f>
        <v>0</v>
      </c>
      <c r="CM22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6" s="558" t="str">
        <f>IF(WWWW[[#This Row],[Location Type 1]]="Village","NA",IF(WWWW[[#This Row],['#_Constructed/Existing latrines in TLS]]*50&gt;WWWW[[#This Row],['#_students at TLS_CFS]],WWWW[[#This Row],['#_students at TLS_CFS]],(WWWW[[#This Row],['#_Constructed/Existing latrines in TLS]]*50)))</f>
        <v>NA</v>
      </c>
      <c r="CQ226" s="558">
        <f>ROUND(IF(WWWW[[#This Row],[Location Type 1]]="camp",WWWW[[#This Row],[Total PoP ]]/20,IF(WWWW[[#This Row],[Location Type 1]]="Temporary Location",WWWW[[#This Row],[Total PoP ]]/50,(WWWW[[#This Row],[Total PoP ]]/6))),0)</f>
        <v>46</v>
      </c>
      <c r="CR226" s="558">
        <f>IF(WWWW[[#This Row],[Total required Latrines]]-(WWWW[[#This Row],['#_Constructed latrines_by_WASHAgencies]]+WWWW[[#This Row],['#_Non Cluster partner latrines]])&lt;0,0,WWWW[[#This Row],[Total required Latrines]]-(WWWW[[#This Row],['#_Constructed latrines_by_WASHAgencies]]+WWWW[[#This Row],['#_Non Cluster partner latrines]]))</f>
        <v>46</v>
      </c>
      <c r="CS226" s="78">
        <f>1-WWWW[[#This Row],[% people access to functioning Latrine]]</f>
        <v>1</v>
      </c>
      <c r="CT226" s="560">
        <f>IF(OR(WWWW[[#This Row],['#_Non-functional latrines]]="",WWWW[[#This Row],['#_Non-functional latrines]]=0),0,WWWW[[#This Row],['#_Non-functional latrines]]/(WWWW[[#This Row],['#_Constructed latrines_by_WASHAgencies]]+WWWW[[#This Row],['#_Non Cluster partner latrines]]))</f>
        <v>0</v>
      </c>
      <c r="CU226" s="556">
        <f>IF(500*(WWWW[[#This Row],['#_male hygiene promoters]]+WWWW[[#This Row],['#_female hygiene promoters]])&gt;WWWW[[#This Row],[Total PoP ]],WWWW[[#This Row],[Total PoP ]],500*(WWWW[[#This Row],['#_male hygiene promoters]]+WWWW[[#This Row],['#_female hygiene promoters]]))</f>
        <v>0</v>
      </c>
      <c r="CV22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6" s="558">
        <f>IF(WWWW[[#This Row],['# People with access to soap]]&gt;WWWW[[#This Row],['# People with access to Sanity Pads]],WWWW[[#This Row],['# People with access to soap]],WWWW[[#This Row],['# People with access to Sanity Pads]])</f>
        <v>0</v>
      </c>
      <c r="CY22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6" s="561">
        <f>IF(WWWW[[#This Row],[HRP3]]/WWWW[[#This Row],[Total PoP ]]&gt;100%,100%,WWWW[[#This Row],[HRP3]]/WWWW[[#This Row],[Total PoP ]])</f>
        <v>0</v>
      </c>
      <c r="DA226" s="560">
        <f>1-WWWW[[#This Row],[Hygiene Coverage%]]</f>
        <v>1</v>
      </c>
      <c r="DB226" s="559">
        <f>WWWW[[#This Row],['# people reached by regular dedicated hygiene promotion_5]]/WWWW[[#This Row],[Total PoP ]]</f>
        <v>0</v>
      </c>
      <c r="DC226" s="559">
        <f>IF(WWWW[[#This Row],['#_households that received standard amount of soap for this quarter]]/WWWW[[#This Row],[Total HH]]&gt;1,1,WWWW[[#This Row],['#_households that received standard amount of soap for this quarter]]/WWWW[[#This Row],[Total HH]])</f>
        <v>0</v>
      </c>
      <c r="DD226" s="559">
        <f>IF(WWWW[[#This Row],['#_households that received standard amount of sanitary pads for this quarter]]/WWWW[[#This Row],[Total HH]]&gt;1,1,WWWW[[#This Row],['#_households that received standard amount of sanitary pads for this quarter]]/WWWW[[#This Row],[Total HH]])</f>
        <v>0</v>
      </c>
      <c r="DE226" s="558">
        <f>WWWW[[#This Row],['#_Constructed/Existing hand washing stations]]-WWWW[[#This Row],['#_Non-Functional_hand_washing_stations]]</f>
        <v>0</v>
      </c>
      <c r="DF226" s="757">
        <f>IF(WWWW[[#This Row],['# Functional hand washing stations during reporting period]]*20&gt;WWWW[[#This Row],[Total HH]],WWWW[[#This Row],[Total HH]],WWWW[[#This Row],['# Functional hand washing stations during reporting period]]*20)</f>
        <v>0</v>
      </c>
      <c r="DG226" s="556">
        <f>IF(WWWW[[#This Row],[Is sufficient soap available for TLS? (Yes/No)]]="yes",WWWW[[#This Row],['#_Constructed/Existing hand washing stations at TLS]],0)</f>
        <v>0</v>
      </c>
      <c r="DH226" s="556">
        <f>IF(WWWW[[#This Row],['# Functional hand washing stations during reporting period]]*100&gt;WWWW[[#This Row],[Total PoP ]],WWWW[[#This Row],[Total PoP ]],WWWW[[#This Row],['# Functional hand washing stations during reporting period]]*100)</f>
        <v>0</v>
      </c>
      <c r="DI226" s="556" t="str">
        <f>IF(OR(WWWW[[#This Row],['#_students at TLS_CFS]]="",WWWW[[#This Row],['#_students at TLS_CFS]]=0),"No","Yes")</f>
        <v>No</v>
      </c>
      <c r="DJ226" s="554">
        <f>VLOOKUP(WWWW[[#This Row],[Site Name]],SiteDB6[[Site Name]:[CCCM Management]],6,FALSE)</f>
        <v>0</v>
      </c>
      <c r="DK226" s="554">
        <f>VLOOKUP(WWWW[[#This Row],[Site Name]],SiteDB6[[Site Name]:[CCCM Focal Agency]],7,FALSE)</f>
        <v>0</v>
      </c>
      <c r="DL226" s="554" t="str">
        <f>VLOOKUP(WWWW[[#This Row],[Site Name]],SiteDB6[[Site Name]:[Location Type 1]],9,FALSE)</f>
        <v>Village</v>
      </c>
      <c r="DM226" s="554" t="str">
        <f>VLOOKUP(WWWW[[#This Row],[Site Name]],SiteDB6[[Site Name]:[Type of Accommodation]],10,FALSE)</f>
        <v>Village</v>
      </c>
      <c r="DN226" s="554" t="str">
        <f>VLOOKUP(WWWW[[#This Row],[Site Name]],SiteDB6[[Site Name]:[Ethnic or GCA/NGCA]],11,FALSE)</f>
        <v>Rakhine</v>
      </c>
      <c r="DO226" s="554">
        <f>VLOOKUP(WWWW[[#This Row],[Site Name]],SiteDB6[[Site Name]:[Lat]],12,FALSE)</f>
        <v>0</v>
      </c>
      <c r="DP226" s="554">
        <f>VLOOKUP(WWWW[[#This Row],[Site Name]],SiteDB6[[Site Name]:[Long]],13,FALSE)</f>
        <v>0</v>
      </c>
      <c r="DQ226" s="554">
        <f>VLOOKUP(WWWW[[#This Row],[Site Name]],SiteDB6[[Site Name]:[Pcode]],3,FALSE)</f>
        <v>198476</v>
      </c>
      <c r="DR226" s="563" t="str">
        <f t="shared" si="7"/>
        <v>Covered</v>
      </c>
      <c r="DS226" s="563"/>
    </row>
    <row r="227" spans="1:123">
      <c r="A227" s="552" t="s">
        <v>2518</v>
      </c>
      <c r="B227" s="552" t="s">
        <v>2355</v>
      </c>
      <c r="C227" s="555" t="s">
        <v>2355</v>
      </c>
      <c r="D227" s="555" t="s">
        <v>249</v>
      </c>
      <c r="E227" s="574" t="s">
        <v>3006</v>
      </c>
      <c r="F227" s="555" t="s">
        <v>375</v>
      </c>
      <c r="G227" s="574" t="str">
        <f>VLOOKUP(WWWW[[#This Row],[Site Name]],SiteDB6[[Site Name]:[Location Type]],8,FALSE)</f>
        <v>Village</v>
      </c>
      <c r="H227" s="555" t="s">
        <v>2837</v>
      </c>
      <c r="I227" s="557">
        <v>251</v>
      </c>
      <c r="J227" s="557">
        <v>970</v>
      </c>
      <c r="K227" s="564">
        <v>43539</v>
      </c>
      <c r="L227" s="565">
        <v>43904</v>
      </c>
      <c r="M227" s="557"/>
      <c r="N227" s="557"/>
      <c r="O227" s="557"/>
      <c r="P227" s="557"/>
      <c r="Q227" s="556"/>
      <c r="R227" s="557"/>
      <c r="S227" s="557"/>
      <c r="T227" s="557"/>
      <c r="U227" s="557"/>
      <c r="V227" s="557"/>
      <c r="W227" s="557"/>
      <c r="X227" s="557"/>
      <c r="Y227" s="557"/>
      <c r="Z227" s="557"/>
      <c r="AA227" s="557"/>
      <c r="AB227" s="557"/>
      <c r="AC227" s="557"/>
      <c r="AD227" s="557"/>
      <c r="AE227" s="557"/>
      <c r="AF227" s="557"/>
      <c r="AG227" s="557"/>
      <c r="AH227" s="557"/>
      <c r="AI227" s="557"/>
      <c r="AJ227" s="557"/>
      <c r="AK227" s="557"/>
      <c r="AL227" s="557"/>
      <c r="AM227" s="557"/>
      <c r="AN227" s="557"/>
      <c r="AO227" s="563" t="s">
        <v>2834</v>
      </c>
      <c r="AP227" s="557"/>
      <c r="AQ227" s="557"/>
      <c r="AR227" s="559"/>
      <c r="AS227" s="557"/>
      <c r="AT227" s="557"/>
      <c r="AU227" s="557"/>
      <c r="AV227" s="557"/>
      <c r="AW227" s="557"/>
      <c r="AX227" s="554"/>
      <c r="AY227" s="563"/>
      <c r="AZ227" s="557"/>
      <c r="BA227" s="557"/>
      <c r="BB227" s="557"/>
      <c r="BC227" s="554"/>
      <c r="BD227" s="557"/>
      <c r="BE227" s="557"/>
      <c r="BF227" s="557"/>
      <c r="BG227" s="557"/>
      <c r="BH227" s="557"/>
      <c r="BI227" s="557"/>
      <c r="BJ227" s="557"/>
      <c r="BK227" s="557"/>
      <c r="BL227" s="557"/>
      <c r="BM227" s="554"/>
      <c r="BN227" s="558"/>
      <c r="BO227" s="559"/>
      <c r="BP227" s="554"/>
      <c r="BQ227" s="560" t="str">
        <f>IFERROR(WWWW[[#This Row],['#_Water sources treated]]/WWWW[[#This Row],['#_Water sources tested for contamination]],"no test")</f>
        <v>no test</v>
      </c>
      <c r="BR227" s="559" t="str">
        <f>IFERROR(WWWW[[#This Row],['#_Household received remediation action due to contamination]]/WWWW[[#This Row],['#_Household water samples tested for contamination]],"no test")</f>
        <v>no test</v>
      </c>
      <c r="BS227" s="558" t="str">
        <f>IF(AND(WWWW[[#This Row],[% of water sources treated]]="no test",WWWW[[#This Row],[% Household received corrective actions]]="no test"),"No Test","Tested")</f>
        <v>No Test</v>
      </c>
      <c r="BT227" s="558">
        <f>WWWW[[#This Row],['#_Constructed/existing protected hand dug well]]-WWWW[[#This Row],['#_Non-functional protected hand dug well]]</f>
        <v>0</v>
      </c>
      <c r="BU227" s="558">
        <f>(WWWW[[#This Row],['#_Constructed/Existing tube wells/boreholes/handpumps_WASH_agency]]+WWWW[[#This Row],['#_Non-Cluster partner water tube-wells/boreholes/handpumps]])-WWWW[[#This Row],['#_Non-functional tube wells/boreholes/handpumps]]</f>
        <v>0</v>
      </c>
      <c r="BV227" s="558">
        <f>WWWW[[#This Row],['#_Constructed/Existingwater storage tank with gravity fed reticulation system]]-WWWW[[#This Row],['#_Non-functional storage tank gravity fed reticulation system]]</f>
        <v>0</v>
      </c>
      <c r="BW227" s="558">
        <f>WWWW[[#This Row],['#_Water boating or water trucking]]</f>
        <v>0</v>
      </c>
      <c r="BX227" s="558">
        <f>WWWW[[#This Row],['#_Constructed/Existing water distribution system from river or natural spring]]</f>
        <v>0</v>
      </c>
      <c r="BY22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7" s="559">
        <f>IF(WWWW[[#This Row],[Location Type 1]]="Village",WWWW[[#This Row],[Access to safe drinking water for Village]],WWWW[[#This Row],[Access to safe drinking water for Camp]])</f>
        <v>0</v>
      </c>
      <c r="CB227" s="556">
        <f>WWWW[[#This Row],[%Equitable and continuous access to sufficient quantity of safe drinking water]]*WWWW[[#This Row],[Total PoP ]]</f>
        <v>0</v>
      </c>
      <c r="CC227" s="559">
        <f>IF((WWWW[[#This Row],['#_Constructed/Existing protected/fenced ponds]]*250)/WWWW[[#This Row],[Total PoP ]]&gt;1,1,(WWWW[[#This Row],['#_Constructed/Existing protected/fenced ponds]]*250)/WWWW[[#This Row],[Total PoP ]])</f>
        <v>0</v>
      </c>
      <c r="CD227" s="556">
        <f>WWWW[[#This Row],[% Access to unimproved water points]]*WWWW[[#This Row],[Total PoP ]]</f>
        <v>0</v>
      </c>
      <c r="CE22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7" s="556">
        <f>WWWW[[#This Row],[HRP1]]/500</f>
        <v>0</v>
      </c>
      <c r="CH227" s="561">
        <f>1-WWWW[[#This Row],[% Equitable and continuous access to sufficient quantity of domestic water]]</f>
        <v>1</v>
      </c>
      <c r="CI227" s="556">
        <f>WWWW[[#This Row],[%equitable and continuous access to sufficient quantity of safe drinking and domestic water''s GAP]]*WWWW[[#This Row],[Total PoP ]]</f>
        <v>970</v>
      </c>
      <c r="CJ227" s="558">
        <f>IF(WWWW[[#This Row],[Total required water points]]-WWWW[[#This Row],['#Water points coverage]]&lt;0,0,WWWW[[#This Row],[Total required water points]]-WWWW[[#This Row],['#Water points coverage]])</f>
        <v>2</v>
      </c>
      <c r="CK227" s="558">
        <f>ROUND(IF(WWWW[[#This Row],[Total PoP ]]&lt;500,1,WWWW[[#This Row],[Total PoP ]]/500),0)</f>
        <v>2</v>
      </c>
      <c r="CL227" s="558">
        <f>(WWWW[[#This Row],['#_Constructed latrines_by_WASHAgencies]]+WWWW[[#This Row],['#_Non Cluster partner latrines]])-WWWW[[#This Row],['#_Non-functional latrines]]</f>
        <v>0</v>
      </c>
      <c r="CM22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7" s="558" t="str">
        <f>IF(WWWW[[#This Row],[Location Type 1]]="Village","NA",IF(WWWW[[#This Row],['#_Constructed/Existing latrines in TLS]]*50&gt;WWWW[[#This Row],['#_students at TLS_CFS]],WWWW[[#This Row],['#_students at TLS_CFS]],(WWWW[[#This Row],['#_Constructed/Existing latrines in TLS]]*50)))</f>
        <v>NA</v>
      </c>
      <c r="CQ227" s="558">
        <f>ROUND(IF(WWWW[[#This Row],[Location Type 1]]="camp",WWWW[[#This Row],[Total PoP ]]/20,IF(WWWW[[#This Row],[Location Type 1]]="Temporary Location",WWWW[[#This Row],[Total PoP ]]/50,(WWWW[[#This Row],[Total PoP ]]/6))),0)</f>
        <v>162</v>
      </c>
      <c r="CR227" s="558">
        <f>IF(WWWW[[#This Row],[Total required Latrines]]-(WWWW[[#This Row],['#_Constructed latrines_by_WASHAgencies]]+WWWW[[#This Row],['#_Non Cluster partner latrines]])&lt;0,0,WWWW[[#This Row],[Total required Latrines]]-(WWWW[[#This Row],['#_Constructed latrines_by_WASHAgencies]]+WWWW[[#This Row],['#_Non Cluster partner latrines]]))</f>
        <v>162</v>
      </c>
      <c r="CS227" s="78">
        <f>1-WWWW[[#This Row],[% people access to functioning Latrine]]</f>
        <v>1</v>
      </c>
      <c r="CT227" s="560">
        <f>IF(OR(WWWW[[#This Row],['#_Non-functional latrines]]="",WWWW[[#This Row],['#_Non-functional latrines]]=0),0,WWWW[[#This Row],['#_Non-functional latrines]]/(WWWW[[#This Row],['#_Constructed latrines_by_WASHAgencies]]+WWWW[[#This Row],['#_Non Cluster partner latrines]]))</f>
        <v>0</v>
      </c>
      <c r="CU227" s="556">
        <f>IF(500*(WWWW[[#This Row],['#_male hygiene promoters]]+WWWW[[#This Row],['#_female hygiene promoters]])&gt;WWWW[[#This Row],[Total PoP ]],WWWW[[#This Row],[Total PoP ]],500*(WWWW[[#This Row],['#_male hygiene promoters]]+WWWW[[#This Row],['#_female hygiene promoters]]))</f>
        <v>0</v>
      </c>
      <c r="CV22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7" s="558">
        <f>IF(WWWW[[#This Row],['# People with access to soap]]&gt;WWWW[[#This Row],['# People with access to Sanity Pads]],WWWW[[#This Row],['# People with access to soap]],WWWW[[#This Row],['# People with access to Sanity Pads]])</f>
        <v>0</v>
      </c>
      <c r="CY22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7" s="561">
        <f>IF(WWWW[[#This Row],[HRP3]]/WWWW[[#This Row],[Total PoP ]]&gt;100%,100%,WWWW[[#This Row],[HRP3]]/WWWW[[#This Row],[Total PoP ]])</f>
        <v>0</v>
      </c>
      <c r="DA227" s="560">
        <f>1-WWWW[[#This Row],[Hygiene Coverage%]]</f>
        <v>1</v>
      </c>
      <c r="DB227" s="559">
        <f>WWWW[[#This Row],['# people reached by regular dedicated hygiene promotion_5]]/WWWW[[#This Row],[Total PoP ]]</f>
        <v>0</v>
      </c>
      <c r="DC227" s="559">
        <f>IF(WWWW[[#This Row],['#_households that received standard amount of soap for this quarter]]/WWWW[[#This Row],[Total HH]]&gt;1,1,WWWW[[#This Row],['#_households that received standard amount of soap for this quarter]]/WWWW[[#This Row],[Total HH]])</f>
        <v>0</v>
      </c>
      <c r="DD227" s="559">
        <f>IF(WWWW[[#This Row],['#_households that received standard amount of sanitary pads for this quarter]]/WWWW[[#This Row],[Total HH]]&gt;1,1,WWWW[[#This Row],['#_households that received standard amount of sanitary pads for this quarter]]/WWWW[[#This Row],[Total HH]])</f>
        <v>0</v>
      </c>
      <c r="DE227" s="558">
        <f>WWWW[[#This Row],['#_Constructed/Existing hand washing stations]]-WWWW[[#This Row],['#_Non-Functional_hand_washing_stations]]</f>
        <v>0</v>
      </c>
      <c r="DF227" s="757">
        <f>IF(WWWW[[#This Row],['# Functional hand washing stations during reporting period]]*20&gt;WWWW[[#This Row],[Total HH]],WWWW[[#This Row],[Total HH]],WWWW[[#This Row],['# Functional hand washing stations during reporting period]]*20)</f>
        <v>0</v>
      </c>
      <c r="DG227" s="556">
        <f>IF(WWWW[[#This Row],[Is sufficient soap available for TLS? (Yes/No)]]="yes",WWWW[[#This Row],['#_Constructed/Existing hand washing stations at TLS]],0)</f>
        <v>0</v>
      </c>
      <c r="DH227" s="556">
        <f>IF(WWWW[[#This Row],['# Functional hand washing stations during reporting period]]*100&gt;WWWW[[#This Row],[Total PoP ]],WWWW[[#This Row],[Total PoP ]],WWWW[[#This Row],['# Functional hand washing stations during reporting period]]*100)</f>
        <v>0</v>
      </c>
      <c r="DI227" s="556" t="str">
        <f>IF(OR(WWWW[[#This Row],['#_students at TLS_CFS]]="",WWWW[[#This Row],['#_students at TLS_CFS]]=0),"No","Yes")</f>
        <v>No</v>
      </c>
      <c r="DJ227" s="554">
        <f>VLOOKUP(WWWW[[#This Row],[Site Name]],SiteDB6[[Site Name]:[CCCM Management]],6,FALSE)</f>
        <v>0</v>
      </c>
      <c r="DK227" s="554">
        <f>VLOOKUP(WWWW[[#This Row],[Site Name]],SiteDB6[[Site Name]:[CCCM Focal Agency]],7,FALSE)</f>
        <v>0</v>
      </c>
      <c r="DL227" s="554" t="str">
        <f>VLOOKUP(WWWW[[#This Row],[Site Name]],SiteDB6[[Site Name]:[Location Type 1]],9,FALSE)</f>
        <v>Village</v>
      </c>
      <c r="DM227" s="554" t="str">
        <f>VLOOKUP(WWWW[[#This Row],[Site Name]],SiteDB6[[Site Name]:[Type of Accommodation]],10,FALSE)</f>
        <v>Village</v>
      </c>
      <c r="DN227" s="554" t="str">
        <f>VLOOKUP(WWWW[[#This Row],[Site Name]],SiteDB6[[Site Name]:[Ethnic or GCA/NGCA]],11,FALSE)</f>
        <v>Rakhine</v>
      </c>
      <c r="DO227" s="554">
        <f>VLOOKUP(WWWW[[#This Row],[Site Name]],SiteDB6[[Site Name]:[Lat]],12,FALSE)</f>
        <v>0</v>
      </c>
      <c r="DP227" s="554">
        <f>VLOOKUP(WWWW[[#This Row],[Site Name]],SiteDB6[[Site Name]:[Long]],13,FALSE)</f>
        <v>0</v>
      </c>
      <c r="DQ227" s="554">
        <f>VLOOKUP(WWWW[[#This Row],[Site Name]],SiteDB6[[Site Name]:[Pcode]],3,FALSE)</f>
        <v>198508</v>
      </c>
      <c r="DR227" s="563" t="str">
        <f t="shared" si="7"/>
        <v>Covered</v>
      </c>
      <c r="DS227" s="563"/>
    </row>
    <row r="228" spans="1:123">
      <c r="A228" s="552" t="s">
        <v>2518</v>
      </c>
      <c r="B228" s="552" t="s">
        <v>2355</v>
      </c>
      <c r="C228" s="555" t="s">
        <v>2355</v>
      </c>
      <c r="D228" s="555" t="s">
        <v>249</v>
      </c>
      <c r="E228" s="574" t="s">
        <v>3006</v>
      </c>
      <c r="F228" s="555" t="s">
        <v>375</v>
      </c>
      <c r="G228" s="574" t="str">
        <f>VLOOKUP(WWWW[[#This Row],[Site Name]],SiteDB6[[Site Name]:[Location Type]],8,FALSE)</f>
        <v>Village</v>
      </c>
      <c r="H228" s="555" t="s">
        <v>2838</v>
      </c>
      <c r="I228" s="557">
        <v>152</v>
      </c>
      <c r="J228" s="557">
        <v>864</v>
      </c>
      <c r="K228" s="564">
        <v>43539</v>
      </c>
      <c r="L228" s="565">
        <v>43904</v>
      </c>
      <c r="M228" s="557"/>
      <c r="N228" s="557"/>
      <c r="O228" s="557"/>
      <c r="P228" s="557"/>
      <c r="Q228" s="556"/>
      <c r="R228" s="557"/>
      <c r="S228" s="557"/>
      <c r="T228" s="557"/>
      <c r="U228" s="557"/>
      <c r="V228" s="557"/>
      <c r="W228" s="557"/>
      <c r="X228" s="557"/>
      <c r="Y228" s="557"/>
      <c r="Z228" s="557"/>
      <c r="AA228" s="557"/>
      <c r="AB228" s="557"/>
      <c r="AC228" s="557"/>
      <c r="AD228" s="557"/>
      <c r="AE228" s="557"/>
      <c r="AF228" s="557"/>
      <c r="AG228" s="557"/>
      <c r="AH228" s="557"/>
      <c r="AI228" s="557"/>
      <c r="AJ228" s="557"/>
      <c r="AK228" s="557"/>
      <c r="AL228" s="557"/>
      <c r="AM228" s="557"/>
      <c r="AN228" s="557"/>
      <c r="AO228" s="563" t="s">
        <v>2834</v>
      </c>
      <c r="AP228" s="557"/>
      <c r="AQ228" s="557"/>
      <c r="AR228" s="559"/>
      <c r="AS228" s="557"/>
      <c r="AT228" s="557"/>
      <c r="AU228" s="557"/>
      <c r="AV228" s="557"/>
      <c r="AW228" s="557"/>
      <c r="AX228" s="554"/>
      <c r="AY228" s="563"/>
      <c r="AZ228" s="557"/>
      <c r="BA228" s="557"/>
      <c r="BB228" s="557"/>
      <c r="BC228" s="554"/>
      <c r="BD228" s="557"/>
      <c r="BE228" s="557"/>
      <c r="BF228" s="557"/>
      <c r="BG228" s="557"/>
      <c r="BH228" s="557"/>
      <c r="BI228" s="557"/>
      <c r="BJ228" s="557"/>
      <c r="BK228" s="557"/>
      <c r="BL228" s="557"/>
      <c r="BM228" s="554"/>
      <c r="BN228" s="558"/>
      <c r="BO228" s="559"/>
      <c r="BP228" s="554"/>
      <c r="BQ228" s="560" t="str">
        <f>IFERROR(WWWW[[#This Row],['#_Water sources treated]]/WWWW[[#This Row],['#_Water sources tested for contamination]],"no test")</f>
        <v>no test</v>
      </c>
      <c r="BR228" s="559" t="str">
        <f>IFERROR(WWWW[[#This Row],['#_Household received remediation action due to contamination]]/WWWW[[#This Row],['#_Household water samples tested for contamination]],"no test")</f>
        <v>no test</v>
      </c>
      <c r="BS228" s="558" t="str">
        <f>IF(AND(WWWW[[#This Row],[% of water sources treated]]="no test",WWWW[[#This Row],[% Household received corrective actions]]="no test"),"No Test","Tested")</f>
        <v>No Test</v>
      </c>
      <c r="BT228" s="558">
        <f>WWWW[[#This Row],['#_Constructed/existing protected hand dug well]]-WWWW[[#This Row],['#_Non-functional protected hand dug well]]</f>
        <v>0</v>
      </c>
      <c r="BU228" s="558">
        <f>(WWWW[[#This Row],['#_Constructed/Existing tube wells/boreholes/handpumps_WASH_agency]]+WWWW[[#This Row],['#_Non-Cluster partner water tube-wells/boreholes/handpumps]])-WWWW[[#This Row],['#_Non-functional tube wells/boreholes/handpumps]]</f>
        <v>0</v>
      </c>
      <c r="BV228" s="558">
        <f>WWWW[[#This Row],['#_Constructed/Existingwater storage tank with gravity fed reticulation system]]-WWWW[[#This Row],['#_Non-functional storage tank gravity fed reticulation system]]</f>
        <v>0</v>
      </c>
      <c r="BW228" s="558">
        <f>WWWW[[#This Row],['#_Water boating or water trucking]]</f>
        <v>0</v>
      </c>
      <c r="BX228" s="558">
        <f>WWWW[[#This Row],['#_Constructed/Existing water distribution system from river or natural spring]]</f>
        <v>0</v>
      </c>
      <c r="BY22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2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28" s="559">
        <f>IF(WWWW[[#This Row],[Location Type 1]]="Village",WWWW[[#This Row],[Access to safe drinking water for Village]],WWWW[[#This Row],[Access to safe drinking water for Camp]])</f>
        <v>0</v>
      </c>
      <c r="CB228" s="556">
        <f>WWWW[[#This Row],[%Equitable and continuous access to sufficient quantity of safe drinking water]]*WWWW[[#This Row],[Total PoP ]]</f>
        <v>0</v>
      </c>
      <c r="CC228" s="559">
        <f>IF((WWWW[[#This Row],['#_Constructed/Existing protected/fenced ponds]]*250)/WWWW[[#This Row],[Total PoP ]]&gt;1,1,(WWWW[[#This Row],['#_Constructed/Existing protected/fenced ponds]]*250)/WWWW[[#This Row],[Total PoP ]])</f>
        <v>0</v>
      </c>
      <c r="CD228" s="556">
        <f>WWWW[[#This Row],[% Access to unimproved water points]]*WWWW[[#This Row],[Total PoP ]]</f>
        <v>0</v>
      </c>
      <c r="CE22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2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28" s="556">
        <f>WWWW[[#This Row],[HRP1]]/500</f>
        <v>0</v>
      </c>
      <c r="CH228" s="561">
        <f>1-WWWW[[#This Row],[% Equitable and continuous access to sufficient quantity of domestic water]]</f>
        <v>1</v>
      </c>
      <c r="CI228" s="556">
        <f>WWWW[[#This Row],[%equitable and continuous access to sufficient quantity of safe drinking and domestic water''s GAP]]*WWWW[[#This Row],[Total PoP ]]</f>
        <v>864</v>
      </c>
      <c r="CJ228" s="558">
        <f>IF(WWWW[[#This Row],[Total required water points]]-WWWW[[#This Row],['#Water points coverage]]&lt;0,0,WWWW[[#This Row],[Total required water points]]-WWWW[[#This Row],['#Water points coverage]])</f>
        <v>2</v>
      </c>
      <c r="CK228" s="558">
        <f>ROUND(IF(WWWW[[#This Row],[Total PoP ]]&lt;500,1,WWWW[[#This Row],[Total PoP ]]/500),0)</f>
        <v>2</v>
      </c>
      <c r="CL228" s="558">
        <f>(WWWW[[#This Row],['#_Constructed latrines_by_WASHAgencies]]+WWWW[[#This Row],['#_Non Cluster partner latrines]])-WWWW[[#This Row],['#_Non-functional latrines]]</f>
        <v>0</v>
      </c>
      <c r="CM22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2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2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28" s="558" t="str">
        <f>IF(WWWW[[#This Row],[Location Type 1]]="Village","NA",IF(WWWW[[#This Row],['#_Constructed/Existing latrines in TLS]]*50&gt;WWWW[[#This Row],['#_students at TLS_CFS]],WWWW[[#This Row],['#_students at TLS_CFS]],(WWWW[[#This Row],['#_Constructed/Existing latrines in TLS]]*50)))</f>
        <v>NA</v>
      </c>
      <c r="CQ228" s="558">
        <f>ROUND(IF(WWWW[[#This Row],[Location Type 1]]="camp",WWWW[[#This Row],[Total PoP ]]/20,IF(WWWW[[#This Row],[Location Type 1]]="Temporary Location",WWWW[[#This Row],[Total PoP ]]/50,(WWWW[[#This Row],[Total PoP ]]/6))),0)</f>
        <v>144</v>
      </c>
      <c r="CR228" s="558">
        <f>IF(WWWW[[#This Row],[Total required Latrines]]-(WWWW[[#This Row],['#_Constructed latrines_by_WASHAgencies]]+WWWW[[#This Row],['#_Non Cluster partner latrines]])&lt;0,0,WWWW[[#This Row],[Total required Latrines]]-(WWWW[[#This Row],['#_Constructed latrines_by_WASHAgencies]]+WWWW[[#This Row],['#_Non Cluster partner latrines]]))</f>
        <v>144</v>
      </c>
      <c r="CS228" s="78">
        <f>1-WWWW[[#This Row],[% people access to functioning Latrine]]</f>
        <v>1</v>
      </c>
      <c r="CT228" s="560">
        <f>IF(OR(WWWW[[#This Row],['#_Non-functional latrines]]="",WWWW[[#This Row],['#_Non-functional latrines]]=0),0,WWWW[[#This Row],['#_Non-functional latrines]]/(WWWW[[#This Row],['#_Constructed latrines_by_WASHAgencies]]+WWWW[[#This Row],['#_Non Cluster partner latrines]]))</f>
        <v>0</v>
      </c>
      <c r="CU228" s="556">
        <f>IF(500*(WWWW[[#This Row],['#_male hygiene promoters]]+WWWW[[#This Row],['#_female hygiene promoters]])&gt;WWWW[[#This Row],[Total PoP ]],WWWW[[#This Row],[Total PoP ]],500*(WWWW[[#This Row],['#_male hygiene promoters]]+WWWW[[#This Row],['#_female hygiene promoters]]))</f>
        <v>0</v>
      </c>
      <c r="CV22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2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28" s="558">
        <f>IF(WWWW[[#This Row],['# People with access to soap]]&gt;WWWW[[#This Row],['# People with access to Sanity Pads]],WWWW[[#This Row],['# People with access to soap]],WWWW[[#This Row],['# People with access to Sanity Pads]])</f>
        <v>0</v>
      </c>
      <c r="CY22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28" s="561">
        <f>IF(WWWW[[#This Row],[HRP3]]/WWWW[[#This Row],[Total PoP ]]&gt;100%,100%,WWWW[[#This Row],[HRP3]]/WWWW[[#This Row],[Total PoP ]])</f>
        <v>0</v>
      </c>
      <c r="DA228" s="560">
        <f>1-WWWW[[#This Row],[Hygiene Coverage%]]</f>
        <v>1</v>
      </c>
      <c r="DB228" s="559">
        <f>WWWW[[#This Row],['# people reached by regular dedicated hygiene promotion_5]]/WWWW[[#This Row],[Total PoP ]]</f>
        <v>0</v>
      </c>
      <c r="DC228" s="559">
        <f>IF(WWWW[[#This Row],['#_households that received standard amount of soap for this quarter]]/WWWW[[#This Row],[Total HH]]&gt;1,1,WWWW[[#This Row],['#_households that received standard amount of soap for this quarter]]/WWWW[[#This Row],[Total HH]])</f>
        <v>0</v>
      </c>
      <c r="DD228" s="559">
        <f>IF(WWWW[[#This Row],['#_households that received standard amount of sanitary pads for this quarter]]/WWWW[[#This Row],[Total HH]]&gt;1,1,WWWW[[#This Row],['#_households that received standard amount of sanitary pads for this quarter]]/WWWW[[#This Row],[Total HH]])</f>
        <v>0</v>
      </c>
      <c r="DE228" s="558">
        <f>WWWW[[#This Row],['#_Constructed/Existing hand washing stations]]-WWWW[[#This Row],['#_Non-Functional_hand_washing_stations]]</f>
        <v>0</v>
      </c>
      <c r="DF228" s="757">
        <f>IF(WWWW[[#This Row],['# Functional hand washing stations during reporting period]]*20&gt;WWWW[[#This Row],[Total HH]],WWWW[[#This Row],[Total HH]],WWWW[[#This Row],['# Functional hand washing stations during reporting period]]*20)</f>
        <v>0</v>
      </c>
      <c r="DG228" s="556">
        <f>IF(WWWW[[#This Row],[Is sufficient soap available for TLS? (Yes/No)]]="yes",WWWW[[#This Row],['#_Constructed/Existing hand washing stations at TLS]],0)</f>
        <v>0</v>
      </c>
      <c r="DH228" s="556">
        <f>IF(WWWW[[#This Row],['# Functional hand washing stations during reporting period]]*100&gt;WWWW[[#This Row],[Total PoP ]],WWWW[[#This Row],[Total PoP ]],WWWW[[#This Row],['# Functional hand washing stations during reporting period]]*100)</f>
        <v>0</v>
      </c>
      <c r="DI228" s="556" t="str">
        <f>IF(OR(WWWW[[#This Row],['#_students at TLS_CFS]]="",WWWW[[#This Row],['#_students at TLS_CFS]]=0),"No","Yes")</f>
        <v>No</v>
      </c>
      <c r="DJ228" s="554">
        <f>VLOOKUP(WWWW[[#This Row],[Site Name]],SiteDB6[[Site Name]:[CCCM Management]],6,FALSE)</f>
        <v>0</v>
      </c>
      <c r="DK228" s="554">
        <f>VLOOKUP(WWWW[[#This Row],[Site Name]],SiteDB6[[Site Name]:[CCCM Focal Agency]],7,FALSE)</f>
        <v>0</v>
      </c>
      <c r="DL228" s="554" t="str">
        <f>VLOOKUP(WWWW[[#This Row],[Site Name]],SiteDB6[[Site Name]:[Location Type 1]],9,FALSE)</f>
        <v>Village</v>
      </c>
      <c r="DM228" s="554" t="str">
        <f>VLOOKUP(WWWW[[#This Row],[Site Name]],SiteDB6[[Site Name]:[Type of Accommodation]],10,FALSE)</f>
        <v>Village</v>
      </c>
      <c r="DN228" s="554" t="str">
        <f>VLOOKUP(WWWW[[#This Row],[Site Name]],SiteDB6[[Site Name]:[Ethnic or GCA/NGCA]],11,FALSE)</f>
        <v>Rakhine</v>
      </c>
      <c r="DO228" s="554">
        <f>VLOOKUP(WWWW[[#This Row],[Site Name]],SiteDB6[[Site Name]:[Lat]],12,FALSE)</f>
        <v>0</v>
      </c>
      <c r="DP228" s="554">
        <f>VLOOKUP(WWWW[[#This Row],[Site Name]],SiteDB6[[Site Name]:[Long]],13,FALSE)</f>
        <v>0</v>
      </c>
      <c r="DQ228" s="554">
        <f>VLOOKUP(WWWW[[#This Row],[Site Name]],SiteDB6[[Site Name]:[Pcode]],3,FALSE)</f>
        <v>198667</v>
      </c>
      <c r="DR228" s="563" t="str">
        <f t="shared" si="7"/>
        <v>Covered</v>
      </c>
      <c r="DS228" s="563"/>
    </row>
    <row r="229" spans="1:123">
      <c r="A229" s="552" t="s">
        <v>2518</v>
      </c>
      <c r="B229" s="552" t="s">
        <v>2370</v>
      </c>
      <c r="C229" s="555" t="s">
        <v>2370</v>
      </c>
      <c r="D229" s="555" t="s">
        <v>42</v>
      </c>
      <c r="E229" s="574" t="s">
        <v>3006</v>
      </c>
      <c r="F229" s="555" t="s">
        <v>313</v>
      </c>
      <c r="G229" s="574" t="str">
        <f>VLOOKUP(WWWW[[#This Row],[Site Name]],SiteDB6[[Site Name]:[Location Type]],8,FALSE)</f>
        <v>Camp</v>
      </c>
      <c r="H229" s="555" t="s">
        <v>432</v>
      </c>
      <c r="I229" s="557">
        <v>397</v>
      </c>
      <c r="J229" s="557">
        <v>2111</v>
      </c>
      <c r="K229" s="564"/>
      <c r="L229" s="565">
        <v>44104</v>
      </c>
      <c r="M229" s="557"/>
      <c r="N229" s="557"/>
      <c r="O229" s="557"/>
      <c r="P229" s="557" t="s">
        <v>2934</v>
      </c>
      <c r="Q229" s="556"/>
      <c r="R229" s="557"/>
      <c r="S229" s="557"/>
      <c r="T229" s="557"/>
      <c r="U229" s="557"/>
      <c r="V229" s="557"/>
      <c r="W229" s="557">
        <v>27</v>
      </c>
      <c r="X229" s="557"/>
      <c r="Y229" s="557">
        <v>3</v>
      </c>
      <c r="Z229" s="557">
        <v>31</v>
      </c>
      <c r="AA229" s="557"/>
      <c r="AB229" s="557"/>
      <c r="AC229" s="557"/>
      <c r="AD229" s="557"/>
      <c r="AE229" s="557"/>
      <c r="AF229" s="557"/>
      <c r="AG229" s="557">
        <v>2240</v>
      </c>
      <c r="AH229" s="557">
        <v>27</v>
      </c>
      <c r="AI229" s="557">
        <v>21</v>
      </c>
      <c r="AJ229" s="557"/>
      <c r="AK229" s="557">
        <v>73</v>
      </c>
      <c r="AL229" s="557">
        <v>4</v>
      </c>
      <c r="AM229" s="557"/>
      <c r="AN229" s="557"/>
      <c r="AO229" s="563"/>
      <c r="AP229" s="557">
        <v>120</v>
      </c>
      <c r="AQ229" s="557"/>
      <c r="AR229" s="559"/>
      <c r="AS229" s="557">
        <v>3</v>
      </c>
      <c r="AT229" s="557">
        <v>13</v>
      </c>
      <c r="AU229" s="557">
        <v>30</v>
      </c>
      <c r="AV229" s="557">
        <v>4349</v>
      </c>
      <c r="AW229" s="557">
        <v>120</v>
      </c>
      <c r="AX229" s="554" t="s">
        <v>43</v>
      </c>
      <c r="AY229" s="563" t="s">
        <v>145</v>
      </c>
      <c r="AZ229" s="557"/>
      <c r="BA229" s="557"/>
      <c r="BB229" s="557"/>
      <c r="BC229" s="554"/>
      <c r="BD229" s="557"/>
      <c r="BE229" s="557"/>
      <c r="BF229" s="557"/>
      <c r="BG229" s="557"/>
      <c r="BH229" s="557"/>
      <c r="BI229" s="557">
        <v>4</v>
      </c>
      <c r="BJ229" s="557">
        <v>3</v>
      </c>
      <c r="BK229" s="557">
        <v>394</v>
      </c>
      <c r="BL229" s="557">
        <v>394</v>
      </c>
      <c r="BM229" s="554"/>
      <c r="BN229" s="558">
        <v>30</v>
      </c>
      <c r="BO229" s="559"/>
      <c r="BP229" s="554"/>
      <c r="BQ229" s="560">
        <f>IFERROR(WWWW[[#This Row],['#_Water sources treated]]/WWWW[[#This Row],['#_Water sources tested for contamination]],"no test")</f>
        <v>0</v>
      </c>
      <c r="BR229" s="559">
        <f>IFERROR(WWWW[[#This Row],['#_Household received remediation action due to contamination]]/WWWW[[#This Row],['#_Household water samples tested for contamination]],"no test")</f>
        <v>5.4794520547945202E-2</v>
      </c>
      <c r="BS229" s="558" t="str">
        <f>IF(AND(WWWW[[#This Row],[% of water sources treated]]="no test",WWWW[[#This Row],[% Household received corrective actions]]="no test"),"No Test","Tested")</f>
        <v>Tested</v>
      </c>
      <c r="BT229" s="558">
        <f>WWWW[[#This Row],['#_Constructed/existing protected hand dug well]]-WWWW[[#This Row],['#_Non-functional protected hand dug well]]</f>
        <v>0</v>
      </c>
      <c r="BU229" s="558">
        <f>(WWWW[[#This Row],['#_Constructed/Existing tube wells/boreholes/handpumps_WASH_agency]]+WWWW[[#This Row],['#_Non-Cluster partner water tube-wells/boreholes/handpumps]])-WWWW[[#This Row],['#_Non-functional tube wells/boreholes/handpumps]]</f>
        <v>24</v>
      </c>
      <c r="BV229" s="558">
        <f>WWWW[[#This Row],['#_Constructed/Existingwater storage tank with gravity fed reticulation system]]-WWWW[[#This Row],['#_Non-functional storage tank gravity fed reticulation system]]</f>
        <v>0</v>
      </c>
      <c r="BW229" s="558">
        <f>WWWW[[#This Row],['#_Water boating or water trucking]]</f>
        <v>0</v>
      </c>
      <c r="BX229" s="558">
        <f>WWWW[[#This Row],['#_Constructed/Existing water distribution system from river or natural spring]]</f>
        <v>0</v>
      </c>
      <c r="BY22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2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29" s="559">
        <f>IF(WWWW[[#This Row],[Location Type 1]]="Village",WWWW[[#This Row],[Access to safe drinking water for Village]],WWWW[[#This Row],[Access to safe drinking water for Camp]])</f>
        <v>1</v>
      </c>
      <c r="CB229" s="556">
        <f>WWWW[[#This Row],[%Equitable and continuous access to sufficient quantity of safe drinking water]]*WWWW[[#This Row],[Total PoP ]]</f>
        <v>2111</v>
      </c>
      <c r="CC229" s="559">
        <f>IF((WWWW[[#This Row],['#_Constructed/Existing protected/fenced ponds]]*250)/WWWW[[#This Row],[Total PoP ]]&gt;1,1,(WWWW[[#This Row],['#_Constructed/Existing protected/fenced ponds]]*250)/WWWW[[#This Row],[Total PoP ]])</f>
        <v>0</v>
      </c>
      <c r="CD229" s="556">
        <f>WWWW[[#This Row],[% Access to unimproved water points]]*WWWW[[#This Row],[Total PoP ]]</f>
        <v>0</v>
      </c>
      <c r="CE22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2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2111</v>
      </c>
      <c r="CG229" s="556">
        <f>WWWW[[#This Row],[HRP1]]/500</f>
        <v>4.2220000000000004</v>
      </c>
      <c r="CH229" s="561">
        <f>1-WWWW[[#This Row],[% Equitable and continuous access to sufficient quantity of domestic water]]</f>
        <v>0</v>
      </c>
      <c r="CI229" s="556">
        <f>WWWW[[#This Row],[%equitable and continuous access to sufficient quantity of safe drinking and domestic water''s GAP]]*WWWW[[#This Row],[Total PoP ]]</f>
        <v>0</v>
      </c>
      <c r="CJ229" s="558">
        <f>IF(WWWW[[#This Row],[Total required water points]]-WWWW[[#This Row],['#Water points coverage]]&lt;0,0,WWWW[[#This Row],[Total required water points]]-WWWW[[#This Row],['#Water points coverage]])</f>
        <v>0</v>
      </c>
      <c r="CK229" s="558">
        <f>ROUND(IF(WWWW[[#This Row],[Total PoP ]]&lt;500,1,WWWW[[#This Row],[Total PoP ]]/500),0)</f>
        <v>4</v>
      </c>
      <c r="CL229" s="558">
        <f>(WWWW[[#This Row],['#_Constructed latrines_by_WASHAgencies]]+WWWW[[#This Row],['#_Non Cluster partner latrines]])-WWWW[[#This Row],['#_Non-functional latrines]]</f>
        <v>117</v>
      </c>
      <c r="CM22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2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2111</v>
      </c>
      <c r="CO229"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600</v>
      </c>
      <c r="CP229" s="558">
        <f>IF(WWWW[[#This Row],[Location Type 1]]="Village","NA",IF(WWWW[[#This Row],['#_Constructed/Existing latrines in TLS]]*50&gt;WWWW[[#This Row],['#_students at TLS_CFS]],WWWW[[#This Row],['#_students at TLS_CFS]],(WWWW[[#This Row],['#_Constructed/Existing latrines in TLS]]*50)))</f>
        <v>0</v>
      </c>
      <c r="CQ229" s="558">
        <f>ROUND(IF(WWWW[[#This Row],[Location Type 1]]="camp",WWWW[[#This Row],[Total PoP ]]/20,IF(WWWW[[#This Row],[Location Type 1]]="Temporary Location",WWWW[[#This Row],[Total PoP ]]/50,(WWWW[[#This Row],[Total PoP ]]/6))),0)</f>
        <v>106</v>
      </c>
      <c r="CR229" s="558">
        <f>IF(WWWW[[#This Row],[Total required Latrines]]-(WWWW[[#This Row],['#_Constructed latrines_by_WASHAgencies]]+WWWW[[#This Row],['#_Non Cluster partner latrines]])&lt;0,0,WWWW[[#This Row],[Total required Latrines]]-(WWWW[[#This Row],['#_Constructed latrines_by_WASHAgencies]]+WWWW[[#This Row],['#_Non Cluster partner latrines]]))</f>
        <v>0</v>
      </c>
      <c r="CS229" s="78">
        <f>1-WWWW[[#This Row],[% people access to functioning Latrine]]</f>
        <v>0</v>
      </c>
      <c r="CT229" s="560">
        <f>IF(OR(WWWW[[#This Row],['#_Non-functional latrines]]="",WWWW[[#This Row],['#_Non-functional latrines]]=0),0,WWWW[[#This Row],['#_Non-functional latrines]]/(WWWW[[#This Row],['#_Constructed latrines_by_WASHAgencies]]+WWWW[[#This Row],['#_Non Cluster partner latrines]]))</f>
        <v>2.5000000000000001E-2</v>
      </c>
      <c r="CU229" s="556">
        <f>IF(500*(WWWW[[#This Row],['#_male hygiene promoters]]+WWWW[[#This Row],['#_female hygiene promoters]])&gt;WWWW[[#This Row],[Total PoP ]],WWWW[[#This Row],[Total PoP ]],500*(WWWW[[#This Row],['#_male hygiene promoters]]+WWWW[[#This Row],['#_female hygiene promoters]]))</f>
        <v>2111</v>
      </c>
      <c r="CV22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1970</v>
      </c>
      <c r="CW22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1970</v>
      </c>
      <c r="CX229" s="558">
        <f>IF(WWWW[[#This Row],['# People with access to soap]]&gt;WWWW[[#This Row],['# People with access to Sanity Pads]],WWWW[[#This Row],['# People with access to soap]],WWWW[[#This Row],['# People with access to Sanity Pads]])</f>
        <v>1970</v>
      </c>
      <c r="CY229" s="558">
        <f>IF(WWWW[[#This Row],['# people reached by regular dedicated hygiene promotion_5]]&gt;WWWW[[#This Row],['# People received regular supply of hygiene items_6]],WWWW[[#This Row],['# people reached by regular dedicated hygiene promotion_5]],WWWW[[#This Row],['# People received regular supply of hygiene items_6]])</f>
        <v>2111</v>
      </c>
      <c r="CZ229" s="561">
        <f>IF(WWWW[[#This Row],[HRP3]]/WWWW[[#This Row],[Total PoP ]]&gt;100%,100%,WWWW[[#This Row],[HRP3]]/WWWW[[#This Row],[Total PoP ]])</f>
        <v>1</v>
      </c>
      <c r="DA229" s="560">
        <f>1-WWWW[[#This Row],[Hygiene Coverage%]]</f>
        <v>0</v>
      </c>
      <c r="DB229" s="559">
        <f>WWWW[[#This Row],['# people reached by regular dedicated hygiene promotion_5]]/WWWW[[#This Row],[Total PoP ]]</f>
        <v>1</v>
      </c>
      <c r="DC229" s="559">
        <f>IF(WWWW[[#This Row],['#_households that received standard amount of soap for this quarter]]/WWWW[[#This Row],[Total HH]]&gt;1,1,WWWW[[#This Row],['#_households that received standard amount of soap for this quarter]]/WWWW[[#This Row],[Total HH]])</f>
        <v>0.99244332493702769</v>
      </c>
      <c r="DD229" s="559">
        <f>IF(WWWW[[#This Row],['#_households that received standard amount of sanitary pads for this quarter]]/WWWW[[#This Row],[Total HH]]&gt;1,1,WWWW[[#This Row],['#_households that received standard amount of sanitary pads for this quarter]]/WWWW[[#This Row],[Total HH]])</f>
        <v>0.99244332493702769</v>
      </c>
      <c r="DE229" s="558">
        <f>WWWW[[#This Row],['#_Constructed/Existing hand washing stations]]-WWWW[[#This Row],['#_Non-Functional_hand_washing_stations]]</f>
        <v>0</v>
      </c>
      <c r="DF229" s="757">
        <f>IF(WWWW[[#This Row],['# Functional hand washing stations during reporting period]]*20&gt;WWWW[[#This Row],[Total HH]],WWWW[[#This Row],[Total HH]],WWWW[[#This Row],['# Functional hand washing stations during reporting period]]*20)</f>
        <v>0</v>
      </c>
      <c r="DG229" s="556">
        <f>IF(WWWW[[#This Row],[Is sufficient soap available for TLS? (Yes/No)]]="yes",WWWW[[#This Row],['#_Constructed/Existing hand washing stations at TLS]],0)</f>
        <v>0</v>
      </c>
      <c r="DH229" s="556">
        <f>IF(WWWW[[#This Row],['# Functional hand washing stations during reporting period]]*100&gt;WWWW[[#This Row],[Total PoP ]],WWWW[[#This Row],[Total PoP ]],WWWW[[#This Row],['# Functional hand washing stations during reporting period]]*100)</f>
        <v>0</v>
      </c>
      <c r="DI229" s="556" t="str">
        <f>IF(OR(WWWW[[#This Row],['#_students at TLS_CFS]]="",WWWW[[#This Row],['#_students at TLS_CFS]]=0),"No","Yes")</f>
        <v>No</v>
      </c>
      <c r="DJ229" s="554" t="str">
        <f>VLOOKUP(WWWW[[#This Row],[Site Name]],SiteDB6[[Site Name]:[CCCM Management]],6,FALSE)</f>
        <v>Yes</v>
      </c>
      <c r="DK229" s="554">
        <f>VLOOKUP(WWWW[[#This Row],[Site Name]],SiteDB6[[Site Name]:[CCCM Focal Agency]],7,FALSE)</f>
        <v>0</v>
      </c>
      <c r="DL229" s="554" t="str">
        <f>VLOOKUP(WWWW[[#This Row],[Site Name]],SiteDB6[[Site Name]:[Location Type 1]],9,FALSE)</f>
        <v>Camp</v>
      </c>
      <c r="DM229" s="554" t="str">
        <f>VLOOKUP(WWWW[[#This Row],[Site Name]],SiteDB6[[Site Name]:[Type of Accommodation]],10,FALSE)</f>
        <v>Planned Camp</v>
      </c>
      <c r="DN229" s="554" t="str">
        <f>VLOOKUP(WWWW[[#This Row],[Site Name]],SiteDB6[[Site Name]:[Ethnic or GCA/NGCA]],11,FALSE)</f>
        <v>Muslim</v>
      </c>
      <c r="DO229" s="554">
        <f>VLOOKUP(WWWW[[#This Row],[Site Name]],SiteDB6[[Site Name]:[Lat]],12,FALSE)</f>
        <v>20.128488999999998</v>
      </c>
      <c r="DP229" s="554">
        <f>VLOOKUP(WWWW[[#This Row],[Site Name]],SiteDB6[[Site Name]:[Long]],13,FALSE)</f>
        <v>92.875814000000005</v>
      </c>
      <c r="DQ229" s="554" t="str">
        <f>VLOOKUP(WWWW[[#This Row],[Site Name]],SiteDB6[[Site Name]:[Pcode]],3,FALSE)</f>
        <v>MMR012CMP039</v>
      </c>
      <c r="DR229" s="563" t="str">
        <f t="shared" ref="DR229:DR260" si="8">IF(C229="none","Notcovered","Covered")</f>
        <v>Covered</v>
      </c>
      <c r="DS229" s="563"/>
    </row>
    <row r="230" spans="1:123">
      <c r="A230" s="552" t="s">
        <v>2518</v>
      </c>
      <c r="B230" s="552" t="s">
        <v>2370</v>
      </c>
      <c r="C230" s="555" t="s">
        <v>2370</v>
      </c>
      <c r="D230" s="555" t="s">
        <v>42</v>
      </c>
      <c r="E230" s="574" t="s">
        <v>3006</v>
      </c>
      <c r="F230" s="555" t="s">
        <v>313</v>
      </c>
      <c r="G230" s="574" t="str">
        <f>VLOOKUP(WWWW[[#This Row],[Site Name]],SiteDB6[[Site Name]:[Location Type]],8,FALSE)</f>
        <v>Camp</v>
      </c>
      <c r="H230" s="555" t="s">
        <v>443</v>
      </c>
      <c r="I230" s="557">
        <v>1016</v>
      </c>
      <c r="J230" s="557">
        <v>4892</v>
      </c>
      <c r="K230" s="564"/>
      <c r="L230" s="565">
        <v>44104</v>
      </c>
      <c r="M230" s="557"/>
      <c r="N230" s="557"/>
      <c r="O230" s="557"/>
      <c r="P230" s="557" t="s">
        <v>2934</v>
      </c>
      <c r="Q230" s="556"/>
      <c r="R230" s="557"/>
      <c r="S230" s="557"/>
      <c r="T230" s="557"/>
      <c r="U230" s="557"/>
      <c r="V230" s="557"/>
      <c r="W230" s="557">
        <v>131</v>
      </c>
      <c r="X230" s="557"/>
      <c r="Y230" s="557">
        <v>25</v>
      </c>
      <c r="Z230" s="557">
        <v>79</v>
      </c>
      <c r="AA230" s="557"/>
      <c r="AB230" s="557"/>
      <c r="AC230" s="557"/>
      <c r="AD230" s="557"/>
      <c r="AE230" s="557"/>
      <c r="AF230" s="557"/>
      <c r="AG230" s="557"/>
      <c r="AH230" s="557">
        <v>131</v>
      </c>
      <c r="AI230" s="557">
        <v>109</v>
      </c>
      <c r="AJ230" s="557">
        <v>3</v>
      </c>
      <c r="AK230" s="557">
        <v>193</v>
      </c>
      <c r="AL230" s="557">
        <v>2</v>
      </c>
      <c r="AM230" s="557"/>
      <c r="AN230" s="557"/>
      <c r="AO230" s="563"/>
      <c r="AP230" s="557">
        <v>582</v>
      </c>
      <c r="AQ230" s="557"/>
      <c r="AR230" s="559"/>
      <c r="AS230" s="557">
        <v>98</v>
      </c>
      <c r="AT230" s="557">
        <v>428</v>
      </c>
      <c r="AU230" s="557">
        <v>314</v>
      </c>
      <c r="AV230" s="557"/>
      <c r="AW230" s="557">
        <v>582</v>
      </c>
      <c r="AX230" s="554" t="s">
        <v>43</v>
      </c>
      <c r="AY230" s="563" t="s">
        <v>145</v>
      </c>
      <c r="AZ230" s="557"/>
      <c r="BA230" s="557"/>
      <c r="BB230" s="557"/>
      <c r="BC230" s="554"/>
      <c r="BD230" s="557"/>
      <c r="BE230" s="557"/>
      <c r="BF230" s="557"/>
      <c r="BG230" s="557"/>
      <c r="BH230" s="557"/>
      <c r="BI230" s="557">
        <v>4</v>
      </c>
      <c r="BJ230" s="557">
        <v>7</v>
      </c>
      <c r="BK230" s="557">
        <v>1016</v>
      </c>
      <c r="BL230" s="557">
        <v>1016</v>
      </c>
      <c r="BM230" s="554"/>
      <c r="BN230" s="558">
        <v>34</v>
      </c>
      <c r="BO230" s="559"/>
      <c r="BP230" s="554"/>
      <c r="BQ230" s="560">
        <f>IFERROR(WWWW[[#This Row],['#_Water sources treated]]/WWWW[[#This Row],['#_Water sources tested for contamination]],"no test")</f>
        <v>2.7522935779816515E-2</v>
      </c>
      <c r="BR230" s="559">
        <f>IFERROR(WWWW[[#This Row],['#_Household received remediation action due to contamination]]/WWWW[[#This Row],['#_Household water samples tested for contamination]],"no test")</f>
        <v>1.0362694300518135E-2</v>
      </c>
      <c r="BS230" s="558" t="str">
        <f>IF(AND(WWWW[[#This Row],[% of water sources treated]]="no test",WWWW[[#This Row],[% Household received corrective actions]]="no test"),"No Test","Tested")</f>
        <v>Tested</v>
      </c>
      <c r="BT230" s="558">
        <f>WWWW[[#This Row],['#_Constructed/existing protected hand dug well]]-WWWW[[#This Row],['#_Non-functional protected hand dug well]]</f>
        <v>0</v>
      </c>
      <c r="BU230" s="558">
        <f>(WWWW[[#This Row],['#_Constructed/Existing tube wells/boreholes/handpumps_WASH_agency]]+WWWW[[#This Row],['#_Non-Cluster partner water tube-wells/boreholes/handpumps]])-WWWW[[#This Row],['#_Non-functional tube wells/boreholes/handpumps]]</f>
        <v>106</v>
      </c>
      <c r="BV230" s="558">
        <f>WWWW[[#This Row],['#_Constructed/Existingwater storage tank with gravity fed reticulation system]]-WWWW[[#This Row],['#_Non-functional storage tank gravity fed reticulation system]]</f>
        <v>0</v>
      </c>
      <c r="BW230" s="558">
        <f>WWWW[[#This Row],['#_Water boating or water trucking]]</f>
        <v>0</v>
      </c>
      <c r="BX230" s="558">
        <f>WWWW[[#This Row],['#_Constructed/Existing water distribution system from river or natural spring]]</f>
        <v>0</v>
      </c>
      <c r="BY23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3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30" s="559">
        <f>IF(WWWW[[#This Row],[Location Type 1]]="Village",WWWW[[#This Row],[Access to safe drinking water for Village]],WWWW[[#This Row],[Access to safe drinking water for Camp]])</f>
        <v>1</v>
      </c>
      <c r="CB230" s="556">
        <f>WWWW[[#This Row],[%Equitable and continuous access to sufficient quantity of safe drinking water]]*WWWW[[#This Row],[Total PoP ]]</f>
        <v>4892</v>
      </c>
      <c r="CC230" s="559">
        <f>IF((WWWW[[#This Row],['#_Constructed/Existing protected/fenced ponds]]*250)/WWWW[[#This Row],[Total PoP ]]&gt;1,1,(WWWW[[#This Row],['#_Constructed/Existing protected/fenced ponds]]*250)/WWWW[[#This Row],[Total PoP ]])</f>
        <v>0</v>
      </c>
      <c r="CD230" s="556">
        <f>WWWW[[#This Row],[% Access to unimproved water points]]*WWWW[[#This Row],[Total PoP ]]</f>
        <v>0</v>
      </c>
      <c r="CE23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3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4892</v>
      </c>
      <c r="CG230" s="556">
        <f>WWWW[[#This Row],[HRP1]]/500</f>
        <v>9.7840000000000007</v>
      </c>
      <c r="CH230" s="561">
        <f>1-WWWW[[#This Row],[% Equitable and continuous access to sufficient quantity of domestic water]]</f>
        <v>0</v>
      </c>
      <c r="CI230" s="556">
        <f>WWWW[[#This Row],[%equitable and continuous access to sufficient quantity of safe drinking and domestic water''s GAP]]*WWWW[[#This Row],[Total PoP ]]</f>
        <v>0</v>
      </c>
      <c r="CJ230" s="558">
        <f>IF(WWWW[[#This Row],[Total required water points]]-WWWW[[#This Row],['#Water points coverage]]&lt;0,0,WWWW[[#This Row],[Total required water points]]-WWWW[[#This Row],['#Water points coverage]])</f>
        <v>0.2159999999999993</v>
      </c>
      <c r="CK230" s="558">
        <f>ROUND(IF(WWWW[[#This Row],[Total PoP ]]&lt;500,1,WWWW[[#This Row],[Total PoP ]]/500),0)</f>
        <v>10</v>
      </c>
      <c r="CL230" s="558">
        <f>(WWWW[[#This Row],['#_Constructed latrines_by_WASHAgencies]]+WWWW[[#This Row],['#_Non Cluster partner latrines]])-WWWW[[#This Row],['#_Non-functional latrines]]</f>
        <v>484</v>
      </c>
      <c r="CM23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23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4892</v>
      </c>
      <c r="CO23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4892</v>
      </c>
      <c r="CP230" s="558">
        <f>IF(WWWW[[#This Row],[Location Type 1]]="Village","NA",IF(WWWW[[#This Row],['#_Constructed/Existing latrines in TLS]]*50&gt;WWWW[[#This Row],['#_students at TLS_CFS]],WWWW[[#This Row],['#_students at TLS_CFS]],(WWWW[[#This Row],['#_Constructed/Existing latrines in TLS]]*50)))</f>
        <v>0</v>
      </c>
      <c r="CQ230" s="558">
        <f>ROUND(IF(WWWW[[#This Row],[Location Type 1]]="camp",WWWW[[#This Row],[Total PoP ]]/20,IF(WWWW[[#This Row],[Location Type 1]]="Temporary Location",WWWW[[#This Row],[Total PoP ]]/50,(WWWW[[#This Row],[Total PoP ]]/6))),0)</f>
        <v>245</v>
      </c>
      <c r="CR230" s="558">
        <f>IF(WWWW[[#This Row],[Total required Latrines]]-(WWWW[[#This Row],['#_Constructed latrines_by_WASHAgencies]]+WWWW[[#This Row],['#_Non Cluster partner latrines]])&lt;0,0,WWWW[[#This Row],[Total required Latrines]]-(WWWW[[#This Row],['#_Constructed latrines_by_WASHAgencies]]+WWWW[[#This Row],['#_Non Cluster partner latrines]]))</f>
        <v>0</v>
      </c>
      <c r="CS230" s="78">
        <f>1-WWWW[[#This Row],[% people access to functioning Latrine]]</f>
        <v>0</v>
      </c>
      <c r="CT230" s="560">
        <f>IF(OR(WWWW[[#This Row],['#_Non-functional latrines]]="",WWWW[[#This Row],['#_Non-functional latrines]]=0),0,WWWW[[#This Row],['#_Non-functional latrines]]/(WWWW[[#This Row],['#_Constructed latrines_by_WASHAgencies]]+WWWW[[#This Row],['#_Non Cluster partner latrines]]))</f>
        <v>0.16838487972508592</v>
      </c>
      <c r="CU230" s="556">
        <f>IF(500*(WWWW[[#This Row],['#_male hygiene promoters]]+WWWW[[#This Row],['#_female hygiene promoters]])&gt;WWWW[[#This Row],[Total PoP ]],WWWW[[#This Row],[Total PoP ]],500*(WWWW[[#This Row],['#_male hygiene promoters]]+WWWW[[#This Row],['#_female hygiene promoters]]))</f>
        <v>4892</v>
      </c>
      <c r="CV23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4892</v>
      </c>
      <c r="CW23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4892</v>
      </c>
      <c r="CX230" s="558">
        <f>IF(WWWW[[#This Row],['# People with access to soap]]&gt;WWWW[[#This Row],['# People with access to Sanity Pads]],WWWW[[#This Row],['# People with access to soap]],WWWW[[#This Row],['# People with access to Sanity Pads]])</f>
        <v>4892</v>
      </c>
      <c r="CY230" s="558">
        <f>IF(WWWW[[#This Row],['# people reached by regular dedicated hygiene promotion_5]]&gt;WWWW[[#This Row],['# People received regular supply of hygiene items_6]],WWWW[[#This Row],['# people reached by regular dedicated hygiene promotion_5]],WWWW[[#This Row],['# People received regular supply of hygiene items_6]])</f>
        <v>4892</v>
      </c>
      <c r="CZ230" s="561">
        <f>IF(WWWW[[#This Row],[HRP3]]/WWWW[[#This Row],[Total PoP ]]&gt;100%,100%,WWWW[[#This Row],[HRP3]]/WWWW[[#This Row],[Total PoP ]])</f>
        <v>1</v>
      </c>
      <c r="DA230" s="560">
        <f>1-WWWW[[#This Row],[Hygiene Coverage%]]</f>
        <v>0</v>
      </c>
      <c r="DB230" s="559">
        <f>WWWW[[#This Row],['# people reached by regular dedicated hygiene promotion_5]]/WWWW[[#This Row],[Total PoP ]]</f>
        <v>1</v>
      </c>
      <c r="DC230" s="559">
        <f>IF(WWWW[[#This Row],['#_households that received standard amount of soap for this quarter]]/WWWW[[#This Row],[Total HH]]&gt;1,1,WWWW[[#This Row],['#_households that received standard amount of soap for this quarter]]/WWWW[[#This Row],[Total HH]])</f>
        <v>1</v>
      </c>
      <c r="DD230" s="559">
        <f>IF(WWWW[[#This Row],['#_households that received standard amount of sanitary pads for this quarter]]/WWWW[[#This Row],[Total HH]]&gt;1,1,WWWW[[#This Row],['#_households that received standard amount of sanitary pads for this quarter]]/WWWW[[#This Row],[Total HH]])</f>
        <v>1</v>
      </c>
      <c r="DE230" s="558">
        <f>WWWW[[#This Row],['#_Constructed/Existing hand washing stations]]-WWWW[[#This Row],['#_Non-Functional_hand_washing_stations]]</f>
        <v>0</v>
      </c>
      <c r="DF230" s="757">
        <f>IF(WWWW[[#This Row],['# Functional hand washing stations during reporting period]]*20&gt;WWWW[[#This Row],[Total HH]],WWWW[[#This Row],[Total HH]],WWWW[[#This Row],['# Functional hand washing stations during reporting period]]*20)</f>
        <v>0</v>
      </c>
      <c r="DG230" s="556">
        <f>IF(WWWW[[#This Row],[Is sufficient soap available for TLS? (Yes/No)]]="yes",WWWW[[#This Row],['#_Constructed/Existing hand washing stations at TLS]],0)</f>
        <v>0</v>
      </c>
      <c r="DH230" s="556">
        <f>IF(WWWW[[#This Row],['# Functional hand washing stations during reporting period]]*100&gt;WWWW[[#This Row],[Total PoP ]],WWWW[[#This Row],[Total PoP ]],WWWW[[#This Row],['# Functional hand washing stations during reporting period]]*100)</f>
        <v>0</v>
      </c>
      <c r="DI230" s="556" t="str">
        <f>IF(OR(WWWW[[#This Row],['#_students at TLS_CFS]]="",WWWW[[#This Row],['#_students at TLS_CFS]]=0),"No","Yes")</f>
        <v>No</v>
      </c>
      <c r="DJ230" s="554" t="str">
        <f>VLOOKUP(WWWW[[#This Row],[Site Name]],SiteDB6[[Site Name]:[CCCM Management]],6,FALSE)</f>
        <v>Yes</v>
      </c>
      <c r="DK230" s="554">
        <f>VLOOKUP(WWWW[[#This Row],[Site Name]],SiteDB6[[Site Name]:[CCCM Focal Agency]],7,FALSE)</f>
        <v>0</v>
      </c>
      <c r="DL230" s="554" t="str">
        <f>VLOOKUP(WWWW[[#This Row],[Site Name]],SiteDB6[[Site Name]:[Location Type 1]],9,FALSE)</f>
        <v>Camp</v>
      </c>
      <c r="DM230" s="554" t="str">
        <f>VLOOKUP(WWWW[[#This Row],[Site Name]],SiteDB6[[Site Name]:[Type of Accommodation]],10,FALSE)</f>
        <v>Planned Camp</v>
      </c>
      <c r="DN230" s="554" t="str">
        <f>VLOOKUP(WWWW[[#This Row],[Site Name]],SiteDB6[[Site Name]:[Ethnic or GCA/NGCA]],11,FALSE)</f>
        <v>Muslim</v>
      </c>
      <c r="DO230" s="554">
        <f>VLOOKUP(WWWW[[#This Row],[Site Name]],SiteDB6[[Site Name]:[Lat]],12,FALSE)</f>
        <v>20.179417000000001</v>
      </c>
      <c r="DP230" s="554">
        <f>VLOOKUP(WWWW[[#This Row],[Site Name]],SiteDB6[[Site Name]:[Long]],13,FALSE)</f>
        <v>92.813028000000003</v>
      </c>
      <c r="DQ230" s="554" t="str">
        <f>VLOOKUP(WWWW[[#This Row],[Site Name]],SiteDB6[[Site Name]:[Pcode]],3,FALSE)</f>
        <v>MMR012CMP113</v>
      </c>
      <c r="DR230" s="563" t="str">
        <f t="shared" si="8"/>
        <v>Covered</v>
      </c>
      <c r="DS230" s="563"/>
    </row>
    <row r="231" spans="1:123">
      <c r="A231" s="552" t="s">
        <v>2518</v>
      </c>
      <c r="B231" s="552" t="s">
        <v>352</v>
      </c>
      <c r="C231" s="555" t="s">
        <v>352</v>
      </c>
      <c r="D231" s="555" t="s">
        <v>345</v>
      </c>
      <c r="E231" s="574" t="s">
        <v>3006</v>
      </c>
      <c r="F231" s="555" t="s">
        <v>420</v>
      </c>
      <c r="G231" s="574" t="str">
        <f>VLOOKUP(WWWW[[#This Row],[Site Name]],SiteDB6[[Site Name]:[Location Type]],8,FALSE)</f>
        <v>Village</v>
      </c>
      <c r="H231" s="555" t="s">
        <v>2849</v>
      </c>
      <c r="I231" s="557">
        <v>279</v>
      </c>
      <c r="J231" s="557">
        <v>1246</v>
      </c>
      <c r="K231" s="564"/>
      <c r="L231" s="565">
        <v>44439</v>
      </c>
      <c r="M231" s="557"/>
      <c r="N231" s="557"/>
      <c r="O231" s="557"/>
      <c r="P231" s="557"/>
      <c r="Q231" s="556"/>
      <c r="R231" s="557"/>
      <c r="S231" s="557"/>
      <c r="T231" s="557"/>
      <c r="U231" s="557"/>
      <c r="V231" s="557"/>
      <c r="W231" s="557"/>
      <c r="X231" s="557"/>
      <c r="Y231" s="557"/>
      <c r="Z231" s="557"/>
      <c r="AA231" s="557"/>
      <c r="AB231" s="557"/>
      <c r="AC231" s="557"/>
      <c r="AD231" s="557"/>
      <c r="AE231" s="557"/>
      <c r="AF231" s="557"/>
      <c r="AG231" s="557"/>
      <c r="AH231" s="557"/>
      <c r="AI231" s="557"/>
      <c r="AJ231" s="557"/>
      <c r="AK231" s="557"/>
      <c r="AL231" s="557"/>
      <c r="AM231" s="557"/>
      <c r="AN231" s="557"/>
      <c r="AO231" s="563"/>
      <c r="AP231" s="557"/>
      <c r="AQ231" s="557"/>
      <c r="AR231" s="559"/>
      <c r="AS231" s="557"/>
      <c r="AT231" s="557"/>
      <c r="AU231" s="557"/>
      <c r="AV231" s="557"/>
      <c r="AW231" s="557"/>
      <c r="AX231" s="554"/>
      <c r="AY231" s="563"/>
      <c r="AZ231" s="557"/>
      <c r="BA231" s="557"/>
      <c r="BB231" s="557"/>
      <c r="BC231" s="554"/>
      <c r="BD231" s="557"/>
      <c r="BE231" s="557"/>
      <c r="BF231" s="557"/>
      <c r="BG231" s="557"/>
      <c r="BH231" s="557"/>
      <c r="BI231" s="557"/>
      <c r="BJ231" s="557"/>
      <c r="BK231" s="557"/>
      <c r="BL231" s="557"/>
      <c r="BM231" s="554"/>
      <c r="BN231" s="558"/>
      <c r="BO231" s="559"/>
      <c r="BP231" s="554"/>
      <c r="BQ231" s="560" t="str">
        <f>IFERROR(WWWW[[#This Row],['#_Water sources treated]]/WWWW[[#This Row],['#_Water sources tested for contamination]],"no test")</f>
        <v>no test</v>
      </c>
      <c r="BR231" s="559" t="str">
        <f>IFERROR(WWWW[[#This Row],['#_Household received remediation action due to contamination]]/WWWW[[#This Row],['#_Household water samples tested for contamination]],"no test")</f>
        <v>no test</v>
      </c>
      <c r="BS231" s="558" t="str">
        <f>IF(AND(WWWW[[#This Row],[% of water sources treated]]="no test",WWWW[[#This Row],[% Household received corrective actions]]="no test"),"No Test","Tested")</f>
        <v>No Test</v>
      </c>
      <c r="BT231" s="558">
        <f>WWWW[[#This Row],['#_Constructed/existing protected hand dug well]]-WWWW[[#This Row],['#_Non-functional protected hand dug well]]</f>
        <v>0</v>
      </c>
      <c r="BU231" s="558">
        <f>(WWWW[[#This Row],['#_Constructed/Existing tube wells/boreholes/handpumps_WASH_agency]]+WWWW[[#This Row],['#_Non-Cluster partner water tube-wells/boreholes/handpumps]])-WWWW[[#This Row],['#_Non-functional tube wells/boreholes/handpumps]]</f>
        <v>0</v>
      </c>
      <c r="BV231" s="558">
        <f>WWWW[[#This Row],['#_Constructed/Existingwater storage tank with gravity fed reticulation system]]-WWWW[[#This Row],['#_Non-functional storage tank gravity fed reticulation system]]</f>
        <v>0</v>
      </c>
      <c r="BW231" s="558">
        <f>WWWW[[#This Row],['#_Water boating or water trucking]]</f>
        <v>0</v>
      </c>
      <c r="BX231" s="558">
        <f>WWWW[[#This Row],['#_Constructed/Existing water distribution system from river or natural spring]]</f>
        <v>0</v>
      </c>
      <c r="BY23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1" s="559">
        <f>IF(WWWW[[#This Row],[Location Type 1]]="Village",WWWW[[#This Row],[Access to safe drinking water for Village]],WWWW[[#This Row],[Access to safe drinking water for Camp]])</f>
        <v>0</v>
      </c>
      <c r="CB231" s="556">
        <f>WWWW[[#This Row],[%Equitable and continuous access to sufficient quantity of safe drinking water]]*WWWW[[#This Row],[Total PoP ]]</f>
        <v>0</v>
      </c>
      <c r="CC231" s="559">
        <f>IF((WWWW[[#This Row],['#_Constructed/Existing protected/fenced ponds]]*250)/WWWW[[#This Row],[Total PoP ]]&gt;1,1,(WWWW[[#This Row],['#_Constructed/Existing protected/fenced ponds]]*250)/WWWW[[#This Row],[Total PoP ]])</f>
        <v>0</v>
      </c>
      <c r="CD231" s="556">
        <f>WWWW[[#This Row],[% Access to unimproved water points]]*WWWW[[#This Row],[Total PoP ]]</f>
        <v>0</v>
      </c>
      <c r="CE23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1" s="556">
        <f>WWWW[[#This Row],[HRP1]]/500</f>
        <v>0</v>
      </c>
      <c r="CH231" s="561">
        <f>1-WWWW[[#This Row],[% Equitable and continuous access to sufficient quantity of domestic water]]</f>
        <v>1</v>
      </c>
      <c r="CI231" s="556">
        <f>WWWW[[#This Row],[%equitable and continuous access to sufficient quantity of safe drinking and domestic water''s GAP]]*WWWW[[#This Row],[Total PoP ]]</f>
        <v>1246</v>
      </c>
      <c r="CJ231" s="558">
        <f>IF(WWWW[[#This Row],[Total required water points]]-WWWW[[#This Row],['#Water points coverage]]&lt;0,0,WWWW[[#This Row],[Total required water points]]-WWWW[[#This Row],['#Water points coverage]])</f>
        <v>2</v>
      </c>
      <c r="CK231" s="558">
        <f>ROUND(IF(WWWW[[#This Row],[Total PoP ]]&lt;500,1,WWWW[[#This Row],[Total PoP ]]/500),0)</f>
        <v>2</v>
      </c>
      <c r="CL231" s="558">
        <f>(WWWW[[#This Row],['#_Constructed latrines_by_WASHAgencies]]+WWWW[[#This Row],['#_Non Cluster partner latrines]])-WWWW[[#This Row],['#_Non-functional latrines]]</f>
        <v>0</v>
      </c>
      <c r="CM23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1" s="558" t="str">
        <f>IF(WWWW[[#This Row],[Location Type 1]]="Village","NA",IF(WWWW[[#This Row],['#_Constructed/Existing latrines in TLS]]*50&gt;WWWW[[#This Row],['#_students at TLS_CFS]],WWWW[[#This Row],['#_students at TLS_CFS]],(WWWW[[#This Row],['#_Constructed/Existing latrines in TLS]]*50)))</f>
        <v>NA</v>
      </c>
      <c r="CQ231" s="558">
        <f>ROUND(IF(WWWW[[#This Row],[Location Type 1]]="camp",WWWW[[#This Row],[Total PoP ]]/20,IF(WWWW[[#This Row],[Location Type 1]]="Temporary Location",WWWW[[#This Row],[Total PoP ]]/50,(WWWW[[#This Row],[Total PoP ]]/6))),0)</f>
        <v>208</v>
      </c>
      <c r="CR231" s="558">
        <f>IF(WWWW[[#This Row],[Total required Latrines]]-(WWWW[[#This Row],['#_Constructed latrines_by_WASHAgencies]]+WWWW[[#This Row],['#_Non Cluster partner latrines]])&lt;0,0,WWWW[[#This Row],[Total required Latrines]]-(WWWW[[#This Row],['#_Constructed latrines_by_WASHAgencies]]+WWWW[[#This Row],['#_Non Cluster partner latrines]]))</f>
        <v>208</v>
      </c>
      <c r="CS231" s="78">
        <f>1-WWWW[[#This Row],[% people access to functioning Latrine]]</f>
        <v>1</v>
      </c>
      <c r="CT231" s="560">
        <f>IF(OR(WWWW[[#This Row],['#_Non-functional latrines]]="",WWWW[[#This Row],['#_Non-functional latrines]]=0),0,WWWW[[#This Row],['#_Non-functional latrines]]/(WWWW[[#This Row],['#_Constructed latrines_by_WASHAgencies]]+WWWW[[#This Row],['#_Non Cluster partner latrines]]))</f>
        <v>0</v>
      </c>
      <c r="CU231" s="556">
        <f>IF(500*(WWWW[[#This Row],['#_male hygiene promoters]]+WWWW[[#This Row],['#_female hygiene promoters]])&gt;WWWW[[#This Row],[Total PoP ]],WWWW[[#This Row],[Total PoP ]],500*(WWWW[[#This Row],['#_male hygiene promoters]]+WWWW[[#This Row],['#_female hygiene promoters]]))</f>
        <v>0</v>
      </c>
      <c r="CV23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1" s="558">
        <f>IF(WWWW[[#This Row],['# People with access to soap]]&gt;WWWW[[#This Row],['# People with access to Sanity Pads]],WWWW[[#This Row],['# People with access to soap]],WWWW[[#This Row],['# People with access to Sanity Pads]])</f>
        <v>0</v>
      </c>
      <c r="CY23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1" s="561">
        <f>IF(WWWW[[#This Row],[HRP3]]/WWWW[[#This Row],[Total PoP ]]&gt;100%,100%,WWWW[[#This Row],[HRP3]]/WWWW[[#This Row],[Total PoP ]])</f>
        <v>0</v>
      </c>
      <c r="DA231" s="560">
        <f>1-WWWW[[#This Row],[Hygiene Coverage%]]</f>
        <v>1</v>
      </c>
      <c r="DB231" s="559">
        <f>WWWW[[#This Row],['# people reached by regular dedicated hygiene promotion_5]]/WWWW[[#This Row],[Total PoP ]]</f>
        <v>0</v>
      </c>
      <c r="DC231" s="559">
        <f>IF(WWWW[[#This Row],['#_households that received standard amount of soap for this quarter]]/WWWW[[#This Row],[Total HH]]&gt;1,1,WWWW[[#This Row],['#_households that received standard amount of soap for this quarter]]/WWWW[[#This Row],[Total HH]])</f>
        <v>0</v>
      </c>
      <c r="DD231" s="559">
        <f>IF(WWWW[[#This Row],['#_households that received standard amount of sanitary pads for this quarter]]/WWWW[[#This Row],[Total HH]]&gt;1,1,WWWW[[#This Row],['#_households that received standard amount of sanitary pads for this quarter]]/WWWW[[#This Row],[Total HH]])</f>
        <v>0</v>
      </c>
      <c r="DE231" s="558">
        <f>WWWW[[#This Row],['#_Constructed/Existing hand washing stations]]-WWWW[[#This Row],['#_Non-Functional_hand_washing_stations]]</f>
        <v>0</v>
      </c>
      <c r="DF231" s="757">
        <f>IF(WWWW[[#This Row],['# Functional hand washing stations during reporting period]]*20&gt;WWWW[[#This Row],[Total HH]],WWWW[[#This Row],[Total HH]],WWWW[[#This Row],['# Functional hand washing stations during reporting period]]*20)</f>
        <v>0</v>
      </c>
      <c r="DG231" s="556">
        <f>IF(WWWW[[#This Row],[Is sufficient soap available for TLS? (Yes/No)]]="yes",WWWW[[#This Row],['#_Constructed/Existing hand washing stations at TLS]],0)</f>
        <v>0</v>
      </c>
      <c r="DH231" s="556">
        <f>IF(WWWW[[#This Row],['# Functional hand washing stations during reporting period]]*100&gt;WWWW[[#This Row],[Total PoP ]],WWWW[[#This Row],[Total PoP ]],WWWW[[#This Row],['# Functional hand washing stations during reporting period]]*100)</f>
        <v>0</v>
      </c>
      <c r="DI231" s="556" t="str">
        <f>IF(OR(WWWW[[#This Row],['#_students at TLS_CFS]]="",WWWW[[#This Row],['#_students at TLS_CFS]]=0),"No","Yes")</f>
        <v>No</v>
      </c>
      <c r="DJ231" s="554">
        <f>VLOOKUP(WWWW[[#This Row],[Site Name]],SiteDB6[[Site Name]:[CCCM Management]],6,FALSE)</f>
        <v>0</v>
      </c>
      <c r="DK231" s="554">
        <f>VLOOKUP(WWWW[[#This Row],[Site Name]],SiteDB6[[Site Name]:[CCCM Focal Agency]],7,FALSE)</f>
        <v>0</v>
      </c>
      <c r="DL231" s="554" t="str">
        <f>VLOOKUP(WWWW[[#This Row],[Site Name]],SiteDB6[[Site Name]:[Location Type 1]],9,FALSE)</f>
        <v>Village</v>
      </c>
      <c r="DM231" s="554" t="str">
        <f>VLOOKUP(WWWW[[#This Row],[Site Name]],SiteDB6[[Site Name]:[Type of Accommodation]],10,FALSE)</f>
        <v>Village</v>
      </c>
      <c r="DN231" s="554" t="str">
        <f>VLOOKUP(WWWW[[#This Row],[Site Name]],SiteDB6[[Site Name]:[Ethnic or GCA/NGCA]],11,FALSE)</f>
        <v>Rakhine</v>
      </c>
      <c r="DO231" s="554">
        <f>VLOOKUP(WWWW[[#This Row],[Site Name]],SiteDB6[[Site Name]:[Lat]],12,FALSE)</f>
        <v>0</v>
      </c>
      <c r="DP231" s="554">
        <f>VLOOKUP(WWWW[[#This Row],[Site Name]],SiteDB6[[Site Name]:[Long]],13,FALSE)</f>
        <v>0</v>
      </c>
      <c r="DQ231" s="554">
        <f>VLOOKUP(WWWW[[#This Row],[Site Name]],SiteDB6[[Site Name]:[Pcode]],3,FALSE)</f>
        <v>197447</v>
      </c>
      <c r="DR231" s="563" t="str">
        <f t="shared" si="8"/>
        <v>Covered</v>
      </c>
      <c r="DS231" s="563"/>
    </row>
    <row r="232" spans="1:123">
      <c r="A232" s="552" t="s">
        <v>2518</v>
      </c>
      <c r="B232" s="552" t="s">
        <v>352</v>
      </c>
      <c r="C232" s="555" t="s">
        <v>352</v>
      </c>
      <c r="D232" s="555" t="s">
        <v>345</v>
      </c>
      <c r="E232" s="574" t="s">
        <v>3006</v>
      </c>
      <c r="F232" s="555" t="s">
        <v>420</v>
      </c>
      <c r="G232" s="574" t="str">
        <f>VLOOKUP(WWWW[[#This Row],[Site Name]],SiteDB6[[Site Name]:[Location Type]],8,FALSE)</f>
        <v>Village</v>
      </c>
      <c r="H232" s="555" t="s">
        <v>2850</v>
      </c>
      <c r="I232" s="557">
        <v>215</v>
      </c>
      <c r="J232" s="557">
        <v>959</v>
      </c>
      <c r="K232" s="564"/>
      <c r="L232" s="565">
        <v>44439</v>
      </c>
      <c r="M232" s="557"/>
      <c r="N232" s="557"/>
      <c r="O232" s="557"/>
      <c r="P232" s="557"/>
      <c r="Q232" s="556"/>
      <c r="R232" s="557"/>
      <c r="S232" s="557"/>
      <c r="T232" s="557"/>
      <c r="U232" s="557"/>
      <c r="V232" s="557"/>
      <c r="W232" s="557"/>
      <c r="X232" s="557"/>
      <c r="Y232" s="557"/>
      <c r="Z232" s="557"/>
      <c r="AA232" s="557"/>
      <c r="AB232" s="557"/>
      <c r="AC232" s="557"/>
      <c r="AD232" s="557"/>
      <c r="AE232" s="557"/>
      <c r="AF232" s="557"/>
      <c r="AG232" s="557"/>
      <c r="AH232" s="557"/>
      <c r="AI232" s="557"/>
      <c r="AJ232" s="557"/>
      <c r="AK232" s="557"/>
      <c r="AL232" s="557"/>
      <c r="AM232" s="557"/>
      <c r="AN232" s="557"/>
      <c r="AO232" s="563"/>
      <c r="AP232" s="557"/>
      <c r="AQ232" s="557"/>
      <c r="AR232" s="559"/>
      <c r="AS232" s="557"/>
      <c r="AT232" s="557"/>
      <c r="AU232" s="557"/>
      <c r="AV232" s="557"/>
      <c r="AW232" s="557"/>
      <c r="AX232" s="554"/>
      <c r="AY232" s="563"/>
      <c r="AZ232" s="557"/>
      <c r="BA232" s="557"/>
      <c r="BB232" s="557"/>
      <c r="BC232" s="554"/>
      <c r="BD232" s="557"/>
      <c r="BE232" s="557"/>
      <c r="BF232" s="557"/>
      <c r="BG232" s="557"/>
      <c r="BH232" s="557"/>
      <c r="BI232" s="557"/>
      <c r="BJ232" s="557"/>
      <c r="BK232" s="557"/>
      <c r="BL232" s="557"/>
      <c r="BM232" s="554"/>
      <c r="BN232" s="558"/>
      <c r="BO232" s="559"/>
      <c r="BP232" s="554"/>
      <c r="BQ232" s="560" t="str">
        <f>IFERROR(WWWW[[#This Row],['#_Water sources treated]]/WWWW[[#This Row],['#_Water sources tested for contamination]],"no test")</f>
        <v>no test</v>
      </c>
      <c r="BR232" s="559" t="str">
        <f>IFERROR(WWWW[[#This Row],['#_Household received remediation action due to contamination]]/WWWW[[#This Row],['#_Household water samples tested for contamination]],"no test")</f>
        <v>no test</v>
      </c>
      <c r="BS232" s="558" t="str">
        <f>IF(AND(WWWW[[#This Row],[% of water sources treated]]="no test",WWWW[[#This Row],[% Household received corrective actions]]="no test"),"No Test","Tested")</f>
        <v>No Test</v>
      </c>
      <c r="BT232" s="558">
        <f>WWWW[[#This Row],['#_Constructed/existing protected hand dug well]]-WWWW[[#This Row],['#_Non-functional protected hand dug well]]</f>
        <v>0</v>
      </c>
      <c r="BU232" s="558">
        <f>(WWWW[[#This Row],['#_Constructed/Existing tube wells/boreholes/handpumps_WASH_agency]]+WWWW[[#This Row],['#_Non-Cluster partner water tube-wells/boreholes/handpumps]])-WWWW[[#This Row],['#_Non-functional tube wells/boreholes/handpumps]]</f>
        <v>0</v>
      </c>
      <c r="BV232" s="558">
        <f>WWWW[[#This Row],['#_Constructed/Existingwater storage tank with gravity fed reticulation system]]-WWWW[[#This Row],['#_Non-functional storage tank gravity fed reticulation system]]</f>
        <v>0</v>
      </c>
      <c r="BW232" s="558">
        <f>WWWW[[#This Row],['#_Water boating or water trucking]]</f>
        <v>0</v>
      </c>
      <c r="BX232" s="558">
        <f>WWWW[[#This Row],['#_Constructed/Existing water distribution system from river or natural spring]]</f>
        <v>0</v>
      </c>
      <c r="BY23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2" s="559">
        <f>IF(WWWW[[#This Row],[Location Type 1]]="Village",WWWW[[#This Row],[Access to safe drinking water for Village]],WWWW[[#This Row],[Access to safe drinking water for Camp]])</f>
        <v>0</v>
      </c>
      <c r="CB232" s="556">
        <f>WWWW[[#This Row],[%Equitable and continuous access to sufficient quantity of safe drinking water]]*WWWW[[#This Row],[Total PoP ]]</f>
        <v>0</v>
      </c>
      <c r="CC232" s="559">
        <f>IF((WWWW[[#This Row],['#_Constructed/Existing protected/fenced ponds]]*250)/WWWW[[#This Row],[Total PoP ]]&gt;1,1,(WWWW[[#This Row],['#_Constructed/Existing protected/fenced ponds]]*250)/WWWW[[#This Row],[Total PoP ]])</f>
        <v>0</v>
      </c>
      <c r="CD232" s="556">
        <f>WWWW[[#This Row],[% Access to unimproved water points]]*WWWW[[#This Row],[Total PoP ]]</f>
        <v>0</v>
      </c>
      <c r="CE23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2" s="556">
        <f>WWWW[[#This Row],[HRP1]]/500</f>
        <v>0</v>
      </c>
      <c r="CH232" s="561">
        <f>1-WWWW[[#This Row],[% Equitable and continuous access to sufficient quantity of domestic water]]</f>
        <v>1</v>
      </c>
      <c r="CI232" s="556">
        <f>WWWW[[#This Row],[%equitable and continuous access to sufficient quantity of safe drinking and domestic water''s GAP]]*WWWW[[#This Row],[Total PoP ]]</f>
        <v>959</v>
      </c>
      <c r="CJ232" s="558">
        <f>IF(WWWW[[#This Row],[Total required water points]]-WWWW[[#This Row],['#Water points coverage]]&lt;0,0,WWWW[[#This Row],[Total required water points]]-WWWW[[#This Row],['#Water points coverage]])</f>
        <v>2</v>
      </c>
      <c r="CK232" s="558">
        <f>ROUND(IF(WWWW[[#This Row],[Total PoP ]]&lt;500,1,WWWW[[#This Row],[Total PoP ]]/500),0)</f>
        <v>2</v>
      </c>
      <c r="CL232" s="558">
        <f>(WWWW[[#This Row],['#_Constructed latrines_by_WASHAgencies]]+WWWW[[#This Row],['#_Non Cluster partner latrines]])-WWWW[[#This Row],['#_Non-functional latrines]]</f>
        <v>0</v>
      </c>
      <c r="CM23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2" s="558" t="str">
        <f>IF(WWWW[[#This Row],[Location Type 1]]="Village","NA",IF(WWWW[[#This Row],['#_Constructed/Existing latrines in TLS]]*50&gt;WWWW[[#This Row],['#_students at TLS_CFS]],WWWW[[#This Row],['#_students at TLS_CFS]],(WWWW[[#This Row],['#_Constructed/Existing latrines in TLS]]*50)))</f>
        <v>NA</v>
      </c>
      <c r="CQ232" s="558">
        <f>ROUND(IF(WWWW[[#This Row],[Location Type 1]]="camp",WWWW[[#This Row],[Total PoP ]]/20,IF(WWWW[[#This Row],[Location Type 1]]="Temporary Location",WWWW[[#This Row],[Total PoP ]]/50,(WWWW[[#This Row],[Total PoP ]]/6))),0)</f>
        <v>160</v>
      </c>
      <c r="CR232" s="558">
        <f>IF(WWWW[[#This Row],[Total required Latrines]]-(WWWW[[#This Row],['#_Constructed latrines_by_WASHAgencies]]+WWWW[[#This Row],['#_Non Cluster partner latrines]])&lt;0,0,WWWW[[#This Row],[Total required Latrines]]-(WWWW[[#This Row],['#_Constructed latrines_by_WASHAgencies]]+WWWW[[#This Row],['#_Non Cluster partner latrines]]))</f>
        <v>160</v>
      </c>
      <c r="CS232" s="78">
        <f>1-WWWW[[#This Row],[% people access to functioning Latrine]]</f>
        <v>1</v>
      </c>
      <c r="CT232" s="560">
        <f>IF(OR(WWWW[[#This Row],['#_Non-functional latrines]]="",WWWW[[#This Row],['#_Non-functional latrines]]=0),0,WWWW[[#This Row],['#_Non-functional latrines]]/(WWWW[[#This Row],['#_Constructed latrines_by_WASHAgencies]]+WWWW[[#This Row],['#_Non Cluster partner latrines]]))</f>
        <v>0</v>
      </c>
      <c r="CU232" s="556">
        <f>IF(500*(WWWW[[#This Row],['#_male hygiene promoters]]+WWWW[[#This Row],['#_female hygiene promoters]])&gt;WWWW[[#This Row],[Total PoP ]],WWWW[[#This Row],[Total PoP ]],500*(WWWW[[#This Row],['#_male hygiene promoters]]+WWWW[[#This Row],['#_female hygiene promoters]]))</f>
        <v>0</v>
      </c>
      <c r="CV23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2" s="558">
        <f>IF(WWWW[[#This Row],['# People with access to soap]]&gt;WWWW[[#This Row],['# People with access to Sanity Pads]],WWWW[[#This Row],['# People with access to soap]],WWWW[[#This Row],['# People with access to Sanity Pads]])</f>
        <v>0</v>
      </c>
      <c r="CY23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2" s="561">
        <f>IF(WWWW[[#This Row],[HRP3]]/WWWW[[#This Row],[Total PoP ]]&gt;100%,100%,WWWW[[#This Row],[HRP3]]/WWWW[[#This Row],[Total PoP ]])</f>
        <v>0</v>
      </c>
      <c r="DA232" s="560">
        <f>1-WWWW[[#This Row],[Hygiene Coverage%]]</f>
        <v>1</v>
      </c>
      <c r="DB232" s="559">
        <f>WWWW[[#This Row],['# people reached by regular dedicated hygiene promotion_5]]/WWWW[[#This Row],[Total PoP ]]</f>
        <v>0</v>
      </c>
      <c r="DC232" s="559">
        <f>IF(WWWW[[#This Row],['#_households that received standard amount of soap for this quarter]]/WWWW[[#This Row],[Total HH]]&gt;1,1,WWWW[[#This Row],['#_households that received standard amount of soap for this quarter]]/WWWW[[#This Row],[Total HH]])</f>
        <v>0</v>
      </c>
      <c r="DD232" s="559">
        <f>IF(WWWW[[#This Row],['#_households that received standard amount of sanitary pads for this quarter]]/WWWW[[#This Row],[Total HH]]&gt;1,1,WWWW[[#This Row],['#_households that received standard amount of sanitary pads for this quarter]]/WWWW[[#This Row],[Total HH]])</f>
        <v>0</v>
      </c>
      <c r="DE232" s="558">
        <f>WWWW[[#This Row],['#_Constructed/Existing hand washing stations]]-WWWW[[#This Row],['#_Non-Functional_hand_washing_stations]]</f>
        <v>0</v>
      </c>
      <c r="DF232" s="757">
        <f>IF(WWWW[[#This Row],['# Functional hand washing stations during reporting period]]*20&gt;WWWW[[#This Row],[Total HH]],WWWW[[#This Row],[Total HH]],WWWW[[#This Row],['# Functional hand washing stations during reporting period]]*20)</f>
        <v>0</v>
      </c>
      <c r="DG232" s="556">
        <f>IF(WWWW[[#This Row],[Is sufficient soap available for TLS? (Yes/No)]]="yes",WWWW[[#This Row],['#_Constructed/Existing hand washing stations at TLS]],0)</f>
        <v>0</v>
      </c>
      <c r="DH232" s="556">
        <f>IF(WWWW[[#This Row],['# Functional hand washing stations during reporting period]]*100&gt;WWWW[[#This Row],[Total PoP ]],WWWW[[#This Row],[Total PoP ]],WWWW[[#This Row],['# Functional hand washing stations during reporting period]]*100)</f>
        <v>0</v>
      </c>
      <c r="DI232" s="556" t="str">
        <f>IF(OR(WWWW[[#This Row],['#_students at TLS_CFS]]="",WWWW[[#This Row],['#_students at TLS_CFS]]=0),"No","Yes")</f>
        <v>No</v>
      </c>
      <c r="DJ232" s="554">
        <f>VLOOKUP(WWWW[[#This Row],[Site Name]],SiteDB6[[Site Name]:[CCCM Management]],6,FALSE)</f>
        <v>0</v>
      </c>
      <c r="DK232" s="554">
        <f>VLOOKUP(WWWW[[#This Row],[Site Name]],SiteDB6[[Site Name]:[CCCM Focal Agency]],7,FALSE)</f>
        <v>0</v>
      </c>
      <c r="DL232" s="554" t="str">
        <f>VLOOKUP(WWWW[[#This Row],[Site Name]],SiteDB6[[Site Name]:[Location Type 1]],9,FALSE)</f>
        <v>Village</v>
      </c>
      <c r="DM232" s="554" t="str">
        <f>VLOOKUP(WWWW[[#This Row],[Site Name]],SiteDB6[[Site Name]:[Type of Accommodation]],10,FALSE)</f>
        <v>Village</v>
      </c>
      <c r="DN232" s="554" t="str">
        <f>VLOOKUP(WWWW[[#This Row],[Site Name]],SiteDB6[[Site Name]:[Ethnic or GCA/NGCA]],11,FALSE)</f>
        <v>Rakhine</v>
      </c>
      <c r="DO232" s="554">
        <f>VLOOKUP(WWWW[[#This Row],[Site Name]],SiteDB6[[Site Name]:[Lat]],12,FALSE)</f>
        <v>0</v>
      </c>
      <c r="DP232" s="554">
        <f>VLOOKUP(WWWW[[#This Row],[Site Name]],SiteDB6[[Site Name]:[Long]],13,FALSE)</f>
        <v>0</v>
      </c>
      <c r="DQ232" s="554">
        <f>VLOOKUP(WWWW[[#This Row],[Site Name]],SiteDB6[[Site Name]:[Pcode]],3,FALSE)</f>
        <v>197449</v>
      </c>
      <c r="DR232" s="563" t="str">
        <f t="shared" si="8"/>
        <v>Covered</v>
      </c>
      <c r="DS232" s="563"/>
    </row>
    <row r="233" spans="1:123">
      <c r="A233" s="552" t="s">
        <v>2518</v>
      </c>
      <c r="B233" s="552" t="s">
        <v>352</v>
      </c>
      <c r="C233" s="555" t="s">
        <v>352</v>
      </c>
      <c r="D233" s="555" t="s">
        <v>345</v>
      </c>
      <c r="E233" s="574" t="s">
        <v>3006</v>
      </c>
      <c r="F233" s="555" t="s">
        <v>420</v>
      </c>
      <c r="G233" s="574" t="str">
        <f>VLOOKUP(WWWW[[#This Row],[Site Name]],SiteDB6[[Site Name]:[Location Type]],8,FALSE)</f>
        <v>Village</v>
      </c>
      <c r="H233" s="555" t="s">
        <v>2851</v>
      </c>
      <c r="I233" s="557">
        <v>207</v>
      </c>
      <c r="J233" s="557">
        <v>957</v>
      </c>
      <c r="K233" s="564"/>
      <c r="L233" s="565">
        <v>44439</v>
      </c>
      <c r="M233" s="557"/>
      <c r="N233" s="557"/>
      <c r="O233" s="557"/>
      <c r="P233" s="557"/>
      <c r="Q233" s="556"/>
      <c r="R233" s="557"/>
      <c r="S233" s="557"/>
      <c r="T233" s="557"/>
      <c r="U233" s="557"/>
      <c r="V233" s="557"/>
      <c r="W233" s="557"/>
      <c r="X233" s="557"/>
      <c r="Y233" s="557"/>
      <c r="Z233" s="557"/>
      <c r="AA233" s="557"/>
      <c r="AB233" s="557"/>
      <c r="AC233" s="557"/>
      <c r="AD233" s="557"/>
      <c r="AE233" s="557"/>
      <c r="AF233" s="557"/>
      <c r="AG233" s="557"/>
      <c r="AH233" s="557"/>
      <c r="AI233" s="557"/>
      <c r="AJ233" s="557"/>
      <c r="AK233" s="557"/>
      <c r="AL233" s="557"/>
      <c r="AM233" s="557"/>
      <c r="AN233" s="557"/>
      <c r="AO233" s="563"/>
      <c r="AP233" s="557"/>
      <c r="AQ233" s="557"/>
      <c r="AR233" s="559"/>
      <c r="AS233" s="557"/>
      <c r="AT233" s="557"/>
      <c r="AU233" s="557"/>
      <c r="AV233" s="557"/>
      <c r="AW233" s="557"/>
      <c r="AX233" s="554"/>
      <c r="AY233" s="563"/>
      <c r="AZ233" s="557"/>
      <c r="BA233" s="557"/>
      <c r="BB233" s="557"/>
      <c r="BC233" s="554"/>
      <c r="BD233" s="557"/>
      <c r="BE233" s="557"/>
      <c r="BF233" s="557"/>
      <c r="BG233" s="557"/>
      <c r="BH233" s="557"/>
      <c r="BI233" s="557"/>
      <c r="BJ233" s="557"/>
      <c r="BK233" s="557"/>
      <c r="BL233" s="557"/>
      <c r="BM233" s="554"/>
      <c r="BN233" s="558"/>
      <c r="BO233" s="559"/>
      <c r="BP233" s="554"/>
      <c r="BQ233" s="560" t="str">
        <f>IFERROR(WWWW[[#This Row],['#_Water sources treated]]/WWWW[[#This Row],['#_Water sources tested for contamination]],"no test")</f>
        <v>no test</v>
      </c>
      <c r="BR233" s="559" t="str">
        <f>IFERROR(WWWW[[#This Row],['#_Household received remediation action due to contamination]]/WWWW[[#This Row],['#_Household water samples tested for contamination]],"no test")</f>
        <v>no test</v>
      </c>
      <c r="BS233" s="558" t="str">
        <f>IF(AND(WWWW[[#This Row],[% of water sources treated]]="no test",WWWW[[#This Row],[% Household received corrective actions]]="no test"),"No Test","Tested")</f>
        <v>No Test</v>
      </c>
      <c r="BT233" s="558">
        <f>WWWW[[#This Row],['#_Constructed/existing protected hand dug well]]-WWWW[[#This Row],['#_Non-functional protected hand dug well]]</f>
        <v>0</v>
      </c>
      <c r="BU233" s="558">
        <f>(WWWW[[#This Row],['#_Constructed/Existing tube wells/boreholes/handpumps_WASH_agency]]+WWWW[[#This Row],['#_Non-Cluster partner water tube-wells/boreholes/handpumps]])-WWWW[[#This Row],['#_Non-functional tube wells/boreholes/handpumps]]</f>
        <v>0</v>
      </c>
      <c r="BV233" s="558">
        <f>WWWW[[#This Row],['#_Constructed/Existingwater storage tank with gravity fed reticulation system]]-WWWW[[#This Row],['#_Non-functional storage tank gravity fed reticulation system]]</f>
        <v>0</v>
      </c>
      <c r="BW233" s="558">
        <f>WWWW[[#This Row],['#_Water boating or water trucking]]</f>
        <v>0</v>
      </c>
      <c r="BX233" s="558">
        <f>WWWW[[#This Row],['#_Constructed/Existing water distribution system from river or natural spring]]</f>
        <v>0</v>
      </c>
      <c r="BY23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3" s="559">
        <f>IF(WWWW[[#This Row],[Location Type 1]]="Village",WWWW[[#This Row],[Access to safe drinking water for Village]],WWWW[[#This Row],[Access to safe drinking water for Camp]])</f>
        <v>0</v>
      </c>
      <c r="CB233" s="556">
        <f>WWWW[[#This Row],[%Equitable and continuous access to sufficient quantity of safe drinking water]]*WWWW[[#This Row],[Total PoP ]]</f>
        <v>0</v>
      </c>
      <c r="CC233" s="559">
        <f>IF((WWWW[[#This Row],['#_Constructed/Existing protected/fenced ponds]]*250)/WWWW[[#This Row],[Total PoP ]]&gt;1,1,(WWWW[[#This Row],['#_Constructed/Existing protected/fenced ponds]]*250)/WWWW[[#This Row],[Total PoP ]])</f>
        <v>0</v>
      </c>
      <c r="CD233" s="556">
        <f>WWWW[[#This Row],[% Access to unimproved water points]]*WWWW[[#This Row],[Total PoP ]]</f>
        <v>0</v>
      </c>
      <c r="CE23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3" s="556">
        <f>WWWW[[#This Row],[HRP1]]/500</f>
        <v>0</v>
      </c>
      <c r="CH233" s="561">
        <f>1-WWWW[[#This Row],[% Equitable and continuous access to sufficient quantity of domestic water]]</f>
        <v>1</v>
      </c>
      <c r="CI233" s="556">
        <f>WWWW[[#This Row],[%equitable and continuous access to sufficient quantity of safe drinking and domestic water''s GAP]]*WWWW[[#This Row],[Total PoP ]]</f>
        <v>957</v>
      </c>
      <c r="CJ233" s="558">
        <f>IF(WWWW[[#This Row],[Total required water points]]-WWWW[[#This Row],['#Water points coverage]]&lt;0,0,WWWW[[#This Row],[Total required water points]]-WWWW[[#This Row],['#Water points coverage]])</f>
        <v>2</v>
      </c>
      <c r="CK233" s="558">
        <f>ROUND(IF(WWWW[[#This Row],[Total PoP ]]&lt;500,1,WWWW[[#This Row],[Total PoP ]]/500),0)</f>
        <v>2</v>
      </c>
      <c r="CL233" s="558">
        <f>(WWWW[[#This Row],['#_Constructed latrines_by_WASHAgencies]]+WWWW[[#This Row],['#_Non Cluster partner latrines]])-WWWW[[#This Row],['#_Non-functional latrines]]</f>
        <v>0</v>
      </c>
      <c r="CM23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3" s="558" t="str">
        <f>IF(WWWW[[#This Row],[Location Type 1]]="Village","NA",IF(WWWW[[#This Row],['#_Constructed/Existing latrines in TLS]]*50&gt;WWWW[[#This Row],['#_students at TLS_CFS]],WWWW[[#This Row],['#_students at TLS_CFS]],(WWWW[[#This Row],['#_Constructed/Existing latrines in TLS]]*50)))</f>
        <v>NA</v>
      </c>
      <c r="CQ233" s="558">
        <f>ROUND(IF(WWWW[[#This Row],[Location Type 1]]="camp",WWWW[[#This Row],[Total PoP ]]/20,IF(WWWW[[#This Row],[Location Type 1]]="Temporary Location",WWWW[[#This Row],[Total PoP ]]/50,(WWWW[[#This Row],[Total PoP ]]/6))),0)</f>
        <v>160</v>
      </c>
      <c r="CR233" s="558">
        <f>IF(WWWW[[#This Row],[Total required Latrines]]-(WWWW[[#This Row],['#_Constructed latrines_by_WASHAgencies]]+WWWW[[#This Row],['#_Non Cluster partner latrines]])&lt;0,0,WWWW[[#This Row],[Total required Latrines]]-(WWWW[[#This Row],['#_Constructed latrines_by_WASHAgencies]]+WWWW[[#This Row],['#_Non Cluster partner latrines]]))</f>
        <v>160</v>
      </c>
      <c r="CS233" s="78">
        <f>1-WWWW[[#This Row],[% people access to functioning Latrine]]</f>
        <v>1</v>
      </c>
      <c r="CT233" s="560">
        <f>IF(OR(WWWW[[#This Row],['#_Non-functional latrines]]="",WWWW[[#This Row],['#_Non-functional latrines]]=0),0,WWWW[[#This Row],['#_Non-functional latrines]]/(WWWW[[#This Row],['#_Constructed latrines_by_WASHAgencies]]+WWWW[[#This Row],['#_Non Cluster partner latrines]]))</f>
        <v>0</v>
      </c>
      <c r="CU233" s="556">
        <f>IF(500*(WWWW[[#This Row],['#_male hygiene promoters]]+WWWW[[#This Row],['#_female hygiene promoters]])&gt;WWWW[[#This Row],[Total PoP ]],WWWW[[#This Row],[Total PoP ]],500*(WWWW[[#This Row],['#_male hygiene promoters]]+WWWW[[#This Row],['#_female hygiene promoters]]))</f>
        <v>0</v>
      </c>
      <c r="CV23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3" s="558">
        <f>IF(WWWW[[#This Row],['# People with access to soap]]&gt;WWWW[[#This Row],['# People with access to Sanity Pads]],WWWW[[#This Row],['# People with access to soap]],WWWW[[#This Row],['# People with access to Sanity Pads]])</f>
        <v>0</v>
      </c>
      <c r="CY23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3" s="561">
        <f>IF(WWWW[[#This Row],[HRP3]]/WWWW[[#This Row],[Total PoP ]]&gt;100%,100%,WWWW[[#This Row],[HRP3]]/WWWW[[#This Row],[Total PoP ]])</f>
        <v>0</v>
      </c>
      <c r="DA233" s="560">
        <f>1-WWWW[[#This Row],[Hygiene Coverage%]]</f>
        <v>1</v>
      </c>
      <c r="DB233" s="559">
        <f>WWWW[[#This Row],['# people reached by regular dedicated hygiene promotion_5]]/WWWW[[#This Row],[Total PoP ]]</f>
        <v>0</v>
      </c>
      <c r="DC233" s="559">
        <f>IF(WWWW[[#This Row],['#_households that received standard amount of soap for this quarter]]/WWWW[[#This Row],[Total HH]]&gt;1,1,WWWW[[#This Row],['#_households that received standard amount of soap for this quarter]]/WWWW[[#This Row],[Total HH]])</f>
        <v>0</v>
      </c>
      <c r="DD233" s="559">
        <f>IF(WWWW[[#This Row],['#_households that received standard amount of sanitary pads for this quarter]]/WWWW[[#This Row],[Total HH]]&gt;1,1,WWWW[[#This Row],['#_households that received standard amount of sanitary pads for this quarter]]/WWWW[[#This Row],[Total HH]])</f>
        <v>0</v>
      </c>
      <c r="DE233" s="558">
        <f>WWWW[[#This Row],['#_Constructed/Existing hand washing stations]]-WWWW[[#This Row],['#_Non-Functional_hand_washing_stations]]</f>
        <v>0</v>
      </c>
      <c r="DF233" s="757">
        <f>IF(WWWW[[#This Row],['# Functional hand washing stations during reporting period]]*20&gt;WWWW[[#This Row],[Total HH]],WWWW[[#This Row],[Total HH]],WWWW[[#This Row],['# Functional hand washing stations during reporting period]]*20)</f>
        <v>0</v>
      </c>
      <c r="DG233" s="556">
        <f>IF(WWWW[[#This Row],[Is sufficient soap available for TLS? (Yes/No)]]="yes",WWWW[[#This Row],['#_Constructed/Existing hand washing stations at TLS]],0)</f>
        <v>0</v>
      </c>
      <c r="DH233" s="556">
        <f>IF(WWWW[[#This Row],['# Functional hand washing stations during reporting period]]*100&gt;WWWW[[#This Row],[Total PoP ]],WWWW[[#This Row],[Total PoP ]],WWWW[[#This Row],['# Functional hand washing stations during reporting period]]*100)</f>
        <v>0</v>
      </c>
      <c r="DI233" s="556" t="str">
        <f>IF(OR(WWWW[[#This Row],['#_students at TLS_CFS]]="",WWWW[[#This Row],['#_students at TLS_CFS]]=0),"No","Yes")</f>
        <v>No</v>
      </c>
      <c r="DJ233" s="554">
        <f>VLOOKUP(WWWW[[#This Row],[Site Name]],SiteDB6[[Site Name]:[CCCM Management]],6,FALSE)</f>
        <v>0</v>
      </c>
      <c r="DK233" s="554">
        <f>VLOOKUP(WWWW[[#This Row],[Site Name]],SiteDB6[[Site Name]:[CCCM Focal Agency]],7,FALSE)</f>
        <v>0</v>
      </c>
      <c r="DL233" s="554" t="str">
        <f>VLOOKUP(WWWW[[#This Row],[Site Name]],SiteDB6[[Site Name]:[Location Type 1]],9,FALSE)</f>
        <v>Village</v>
      </c>
      <c r="DM233" s="554" t="str">
        <f>VLOOKUP(WWWW[[#This Row],[Site Name]],SiteDB6[[Site Name]:[Type of Accommodation]],10,FALSE)</f>
        <v>Village</v>
      </c>
      <c r="DN233" s="554" t="str">
        <f>VLOOKUP(WWWW[[#This Row],[Site Name]],SiteDB6[[Site Name]:[Ethnic or GCA/NGCA]],11,FALSE)</f>
        <v>Rakhine</v>
      </c>
      <c r="DO233" s="554">
        <f>VLOOKUP(WWWW[[#This Row],[Site Name]],SiteDB6[[Site Name]:[Lat]],12,FALSE)</f>
        <v>0</v>
      </c>
      <c r="DP233" s="554">
        <f>VLOOKUP(WWWW[[#This Row],[Site Name]],SiteDB6[[Site Name]:[Long]],13,FALSE)</f>
        <v>0</v>
      </c>
      <c r="DQ233" s="554">
        <f>VLOOKUP(WWWW[[#This Row],[Site Name]],SiteDB6[[Site Name]:[Pcode]],3,FALSE)</f>
        <v>197451</v>
      </c>
      <c r="DR233" s="563" t="str">
        <f t="shared" si="8"/>
        <v>Covered</v>
      </c>
      <c r="DS233" s="563"/>
    </row>
    <row r="234" spans="1:123">
      <c r="A234" s="552" t="s">
        <v>2518</v>
      </c>
      <c r="B234" s="552" t="s">
        <v>352</v>
      </c>
      <c r="C234" s="555" t="s">
        <v>352</v>
      </c>
      <c r="D234" s="555" t="s">
        <v>345</v>
      </c>
      <c r="E234" s="574" t="s">
        <v>3006</v>
      </c>
      <c r="F234" s="555" t="s">
        <v>420</v>
      </c>
      <c r="G234" s="574" t="str">
        <f>VLOOKUP(WWWW[[#This Row],[Site Name]],SiteDB6[[Site Name]:[Location Type]],8,FALSE)</f>
        <v>Village</v>
      </c>
      <c r="H234" s="555" t="s">
        <v>2852</v>
      </c>
      <c r="I234" s="557">
        <v>169</v>
      </c>
      <c r="J234" s="557">
        <v>776</v>
      </c>
      <c r="K234" s="564"/>
      <c r="L234" s="565">
        <v>44439</v>
      </c>
      <c r="M234" s="557"/>
      <c r="N234" s="557"/>
      <c r="O234" s="557"/>
      <c r="P234" s="557"/>
      <c r="Q234" s="556"/>
      <c r="R234" s="557"/>
      <c r="S234" s="557"/>
      <c r="T234" s="557"/>
      <c r="U234" s="557"/>
      <c r="V234" s="557"/>
      <c r="W234" s="557"/>
      <c r="X234" s="557"/>
      <c r="Y234" s="557"/>
      <c r="Z234" s="557"/>
      <c r="AA234" s="557"/>
      <c r="AB234" s="557"/>
      <c r="AC234" s="557"/>
      <c r="AD234" s="557"/>
      <c r="AE234" s="557"/>
      <c r="AF234" s="557"/>
      <c r="AG234" s="557"/>
      <c r="AH234" s="557"/>
      <c r="AI234" s="557"/>
      <c r="AJ234" s="557"/>
      <c r="AK234" s="557"/>
      <c r="AL234" s="557"/>
      <c r="AM234" s="557"/>
      <c r="AN234" s="557"/>
      <c r="AO234" s="563"/>
      <c r="AP234" s="557"/>
      <c r="AQ234" s="557"/>
      <c r="AR234" s="559"/>
      <c r="AS234" s="557"/>
      <c r="AT234" s="557"/>
      <c r="AU234" s="557"/>
      <c r="AV234" s="557"/>
      <c r="AW234" s="557"/>
      <c r="AX234" s="554"/>
      <c r="AY234" s="563"/>
      <c r="AZ234" s="557"/>
      <c r="BA234" s="557"/>
      <c r="BB234" s="557"/>
      <c r="BC234" s="554"/>
      <c r="BD234" s="557"/>
      <c r="BE234" s="557"/>
      <c r="BF234" s="557"/>
      <c r="BG234" s="557"/>
      <c r="BH234" s="557"/>
      <c r="BI234" s="557"/>
      <c r="BJ234" s="557"/>
      <c r="BK234" s="557"/>
      <c r="BL234" s="557"/>
      <c r="BM234" s="554"/>
      <c r="BN234" s="558"/>
      <c r="BO234" s="559"/>
      <c r="BP234" s="554"/>
      <c r="BQ234" s="560" t="str">
        <f>IFERROR(WWWW[[#This Row],['#_Water sources treated]]/WWWW[[#This Row],['#_Water sources tested for contamination]],"no test")</f>
        <v>no test</v>
      </c>
      <c r="BR234" s="559" t="str">
        <f>IFERROR(WWWW[[#This Row],['#_Household received remediation action due to contamination]]/WWWW[[#This Row],['#_Household water samples tested for contamination]],"no test")</f>
        <v>no test</v>
      </c>
      <c r="BS234" s="558" t="str">
        <f>IF(AND(WWWW[[#This Row],[% of water sources treated]]="no test",WWWW[[#This Row],[% Household received corrective actions]]="no test"),"No Test","Tested")</f>
        <v>No Test</v>
      </c>
      <c r="BT234" s="558">
        <f>WWWW[[#This Row],['#_Constructed/existing protected hand dug well]]-WWWW[[#This Row],['#_Non-functional protected hand dug well]]</f>
        <v>0</v>
      </c>
      <c r="BU234" s="558">
        <f>(WWWW[[#This Row],['#_Constructed/Existing tube wells/boreholes/handpumps_WASH_agency]]+WWWW[[#This Row],['#_Non-Cluster partner water tube-wells/boreholes/handpumps]])-WWWW[[#This Row],['#_Non-functional tube wells/boreholes/handpumps]]</f>
        <v>0</v>
      </c>
      <c r="BV234" s="558">
        <f>WWWW[[#This Row],['#_Constructed/Existingwater storage tank with gravity fed reticulation system]]-WWWW[[#This Row],['#_Non-functional storage tank gravity fed reticulation system]]</f>
        <v>0</v>
      </c>
      <c r="BW234" s="558">
        <f>WWWW[[#This Row],['#_Water boating or water trucking]]</f>
        <v>0</v>
      </c>
      <c r="BX234" s="558">
        <f>WWWW[[#This Row],['#_Constructed/Existing water distribution system from river or natural spring]]</f>
        <v>0</v>
      </c>
      <c r="BY23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4" s="559">
        <f>IF(WWWW[[#This Row],[Location Type 1]]="Village",WWWW[[#This Row],[Access to safe drinking water for Village]],WWWW[[#This Row],[Access to safe drinking water for Camp]])</f>
        <v>0</v>
      </c>
      <c r="CB234" s="556">
        <f>WWWW[[#This Row],[%Equitable and continuous access to sufficient quantity of safe drinking water]]*WWWW[[#This Row],[Total PoP ]]</f>
        <v>0</v>
      </c>
      <c r="CC234" s="559">
        <f>IF((WWWW[[#This Row],['#_Constructed/Existing protected/fenced ponds]]*250)/WWWW[[#This Row],[Total PoP ]]&gt;1,1,(WWWW[[#This Row],['#_Constructed/Existing protected/fenced ponds]]*250)/WWWW[[#This Row],[Total PoP ]])</f>
        <v>0</v>
      </c>
      <c r="CD234" s="556">
        <f>WWWW[[#This Row],[% Access to unimproved water points]]*WWWW[[#This Row],[Total PoP ]]</f>
        <v>0</v>
      </c>
      <c r="CE23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4" s="556">
        <f>WWWW[[#This Row],[HRP1]]/500</f>
        <v>0</v>
      </c>
      <c r="CH234" s="561">
        <f>1-WWWW[[#This Row],[% Equitable and continuous access to sufficient quantity of domestic water]]</f>
        <v>1</v>
      </c>
      <c r="CI234" s="556">
        <f>WWWW[[#This Row],[%equitable and continuous access to sufficient quantity of safe drinking and domestic water''s GAP]]*WWWW[[#This Row],[Total PoP ]]</f>
        <v>776</v>
      </c>
      <c r="CJ234" s="558">
        <f>IF(WWWW[[#This Row],[Total required water points]]-WWWW[[#This Row],['#Water points coverage]]&lt;0,0,WWWW[[#This Row],[Total required water points]]-WWWW[[#This Row],['#Water points coverage]])</f>
        <v>2</v>
      </c>
      <c r="CK234" s="558">
        <f>ROUND(IF(WWWW[[#This Row],[Total PoP ]]&lt;500,1,WWWW[[#This Row],[Total PoP ]]/500),0)</f>
        <v>2</v>
      </c>
      <c r="CL234" s="558">
        <f>(WWWW[[#This Row],['#_Constructed latrines_by_WASHAgencies]]+WWWW[[#This Row],['#_Non Cluster partner latrines]])-WWWW[[#This Row],['#_Non-functional latrines]]</f>
        <v>0</v>
      </c>
      <c r="CM23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4" s="558" t="str">
        <f>IF(WWWW[[#This Row],[Location Type 1]]="Village","NA",IF(WWWW[[#This Row],['#_Constructed/Existing latrines in TLS]]*50&gt;WWWW[[#This Row],['#_students at TLS_CFS]],WWWW[[#This Row],['#_students at TLS_CFS]],(WWWW[[#This Row],['#_Constructed/Existing latrines in TLS]]*50)))</f>
        <v>NA</v>
      </c>
      <c r="CQ234" s="558">
        <f>ROUND(IF(WWWW[[#This Row],[Location Type 1]]="camp",WWWW[[#This Row],[Total PoP ]]/20,IF(WWWW[[#This Row],[Location Type 1]]="Temporary Location",WWWW[[#This Row],[Total PoP ]]/50,(WWWW[[#This Row],[Total PoP ]]/6))),0)</f>
        <v>129</v>
      </c>
      <c r="CR234" s="558">
        <f>IF(WWWW[[#This Row],[Total required Latrines]]-(WWWW[[#This Row],['#_Constructed latrines_by_WASHAgencies]]+WWWW[[#This Row],['#_Non Cluster partner latrines]])&lt;0,0,WWWW[[#This Row],[Total required Latrines]]-(WWWW[[#This Row],['#_Constructed latrines_by_WASHAgencies]]+WWWW[[#This Row],['#_Non Cluster partner latrines]]))</f>
        <v>129</v>
      </c>
      <c r="CS234" s="78">
        <f>1-WWWW[[#This Row],[% people access to functioning Latrine]]</f>
        <v>1</v>
      </c>
      <c r="CT234" s="560">
        <f>IF(OR(WWWW[[#This Row],['#_Non-functional latrines]]="",WWWW[[#This Row],['#_Non-functional latrines]]=0),0,WWWW[[#This Row],['#_Non-functional latrines]]/(WWWW[[#This Row],['#_Constructed latrines_by_WASHAgencies]]+WWWW[[#This Row],['#_Non Cluster partner latrines]]))</f>
        <v>0</v>
      </c>
      <c r="CU234" s="556">
        <f>IF(500*(WWWW[[#This Row],['#_male hygiene promoters]]+WWWW[[#This Row],['#_female hygiene promoters]])&gt;WWWW[[#This Row],[Total PoP ]],WWWW[[#This Row],[Total PoP ]],500*(WWWW[[#This Row],['#_male hygiene promoters]]+WWWW[[#This Row],['#_female hygiene promoters]]))</f>
        <v>0</v>
      </c>
      <c r="CV23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4" s="558">
        <f>IF(WWWW[[#This Row],['# People with access to soap]]&gt;WWWW[[#This Row],['# People with access to Sanity Pads]],WWWW[[#This Row],['# People with access to soap]],WWWW[[#This Row],['# People with access to Sanity Pads]])</f>
        <v>0</v>
      </c>
      <c r="CY23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4" s="561">
        <f>IF(WWWW[[#This Row],[HRP3]]/WWWW[[#This Row],[Total PoP ]]&gt;100%,100%,WWWW[[#This Row],[HRP3]]/WWWW[[#This Row],[Total PoP ]])</f>
        <v>0</v>
      </c>
      <c r="DA234" s="560">
        <f>1-WWWW[[#This Row],[Hygiene Coverage%]]</f>
        <v>1</v>
      </c>
      <c r="DB234" s="559">
        <f>WWWW[[#This Row],['# people reached by regular dedicated hygiene promotion_5]]/WWWW[[#This Row],[Total PoP ]]</f>
        <v>0</v>
      </c>
      <c r="DC234" s="559">
        <f>IF(WWWW[[#This Row],['#_households that received standard amount of soap for this quarter]]/WWWW[[#This Row],[Total HH]]&gt;1,1,WWWW[[#This Row],['#_households that received standard amount of soap for this quarter]]/WWWW[[#This Row],[Total HH]])</f>
        <v>0</v>
      </c>
      <c r="DD234" s="559">
        <f>IF(WWWW[[#This Row],['#_households that received standard amount of sanitary pads for this quarter]]/WWWW[[#This Row],[Total HH]]&gt;1,1,WWWW[[#This Row],['#_households that received standard amount of sanitary pads for this quarter]]/WWWW[[#This Row],[Total HH]])</f>
        <v>0</v>
      </c>
      <c r="DE234" s="558">
        <f>WWWW[[#This Row],['#_Constructed/Existing hand washing stations]]-WWWW[[#This Row],['#_Non-Functional_hand_washing_stations]]</f>
        <v>0</v>
      </c>
      <c r="DF234" s="757">
        <f>IF(WWWW[[#This Row],['# Functional hand washing stations during reporting period]]*20&gt;WWWW[[#This Row],[Total HH]],WWWW[[#This Row],[Total HH]],WWWW[[#This Row],['# Functional hand washing stations during reporting period]]*20)</f>
        <v>0</v>
      </c>
      <c r="DG234" s="556">
        <f>IF(WWWW[[#This Row],[Is sufficient soap available for TLS? (Yes/No)]]="yes",WWWW[[#This Row],['#_Constructed/Existing hand washing stations at TLS]],0)</f>
        <v>0</v>
      </c>
      <c r="DH234" s="556">
        <f>IF(WWWW[[#This Row],['# Functional hand washing stations during reporting period]]*100&gt;WWWW[[#This Row],[Total PoP ]],WWWW[[#This Row],[Total PoP ]],WWWW[[#This Row],['# Functional hand washing stations during reporting period]]*100)</f>
        <v>0</v>
      </c>
      <c r="DI234" s="556" t="str">
        <f>IF(OR(WWWW[[#This Row],['#_students at TLS_CFS]]="",WWWW[[#This Row],['#_students at TLS_CFS]]=0),"No","Yes")</f>
        <v>No</v>
      </c>
      <c r="DJ234" s="554">
        <f>VLOOKUP(WWWW[[#This Row],[Site Name]],SiteDB6[[Site Name]:[CCCM Management]],6,FALSE)</f>
        <v>0</v>
      </c>
      <c r="DK234" s="554">
        <f>VLOOKUP(WWWW[[#This Row],[Site Name]],SiteDB6[[Site Name]:[CCCM Focal Agency]],7,FALSE)</f>
        <v>0</v>
      </c>
      <c r="DL234" s="554" t="str">
        <f>VLOOKUP(WWWW[[#This Row],[Site Name]],SiteDB6[[Site Name]:[Location Type 1]],9,FALSE)</f>
        <v>Village</v>
      </c>
      <c r="DM234" s="554" t="str">
        <f>VLOOKUP(WWWW[[#This Row],[Site Name]],SiteDB6[[Site Name]:[Type of Accommodation]],10,FALSE)</f>
        <v>Village</v>
      </c>
      <c r="DN234" s="554" t="str">
        <f>VLOOKUP(WWWW[[#This Row],[Site Name]],SiteDB6[[Site Name]:[Ethnic or GCA/NGCA]],11,FALSE)</f>
        <v>Rakhine</v>
      </c>
      <c r="DO234" s="554">
        <f>VLOOKUP(WWWW[[#This Row],[Site Name]],SiteDB6[[Site Name]:[Lat]],12,FALSE)</f>
        <v>0</v>
      </c>
      <c r="DP234" s="554">
        <f>VLOOKUP(WWWW[[#This Row],[Site Name]],SiteDB6[[Site Name]:[Long]],13,FALSE)</f>
        <v>0</v>
      </c>
      <c r="DQ234" s="554">
        <f>VLOOKUP(WWWW[[#This Row],[Site Name]],SiteDB6[[Site Name]:[Pcode]],3,FALSE)</f>
        <v>197450</v>
      </c>
      <c r="DR234" s="563" t="str">
        <f t="shared" si="8"/>
        <v>Covered</v>
      </c>
      <c r="DS234" s="563"/>
    </row>
    <row r="235" spans="1:123">
      <c r="A235" s="552" t="s">
        <v>2518</v>
      </c>
      <c r="B235" s="552" t="s">
        <v>352</v>
      </c>
      <c r="C235" s="555" t="s">
        <v>352</v>
      </c>
      <c r="D235" s="555" t="s">
        <v>345</v>
      </c>
      <c r="E235" s="574" t="s">
        <v>3006</v>
      </c>
      <c r="F235" s="555" t="s">
        <v>420</v>
      </c>
      <c r="G235" s="574" t="str">
        <f>VLOOKUP(WWWW[[#This Row],[Site Name]],SiteDB6[[Site Name]:[Location Type]],8,FALSE)</f>
        <v>Village</v>
      </c>
      <c r="H235" s="555" t="s">
        <v>2853</v>
      </c>
      <c r="I235" s="557">
        <v>211</v>
      </c>
      <c r="J235" s="557">
        <v>1006</v>
      </c>
      <c r="K235" s="564"/>
      <c r="L235" s="565">
        <v>44439</v>
      </c>
      <c r="M235" s="557"/>
      <c r="N235" s="557"/>
      <c r="O235" s="557"/>
      <c r="P235" s="557"/>
      <c r="Q235" s="556"/>
      <c r="R235" s="557"/>
      <c r="S235" s="557"/>
      <c r="T235" s="557"/>
      <c r="U235" s="557"/>
      <c r="V235" s="557"/>
      <c r="W235" s="557"/>
      <c r="X235" s="557"/>
      <c r="Y235" s="557"/>
      <c r="Z235" s="557"/>
      <c r="AA235" s="557"/>
      <c r="AB235" s="557"/>
      <c r="AC235" s="557"/>
      <c r="AD235" s="557"/>
      <c r="AE235" s="557"/>
      <c r="AF235" s="557"/>
      <c r="AG235" s="557"/>
      <c r="AH235" s="557"/>
      <c r="AI235" s="557"/>
      <c r="AJ235" s="557"/>
      <c r="AK235" s="557"/>
      <c r="AL235" s="557"/>
      <c r="AM235" s="557"/>
      <c r="AN235" s="557"/>
      <c r="AO235" s="563"/>
      <c r="AP235" s="557"/>
      <c r="AQ235" s="557"/>
      <c r="AR235" s="559"/>
      <c r="AS235" s="557"/>
      <c r="AT235" s="557"/>
      <c r="AU235" s="557"/>
      <c r="AV235" s="557"/>
      <c r="AW235" s="557"/>
      <c r="AX235" s="554"/>
      <c r="AY235" s="563"/>
      <c r="AZ235" s="557"/>
      <c r="BA235" s="557"/>
      <c r="BB235" s="557"/>
      <c r="BC235" s="554"/>
      <c r="BD235" s="557"/>
      <c r="BE235" s="557"/>
      <c r="BF235" s="557"/>
      <c r="BG235" s="557"/>
      <c r="BH235" s="557"/>
      <c r="BI235" s="557"/>
      <c r="BJ235" s="557"/>
      <c r="BK235" s="557"/>
      <c r="BL235" s="557"/>
      <c r="BM235" s="554"/>
      <c r="BN235" s="558"/>
      <c r="BO235" s="559"/>
      <c r="BP235" s="554"/>
      <c r="BQ235" s="560" t="str">
        <f>IFERROR(WWWW[[#This Row],['#_Water sources treated]]/WWWW[[#This Row],['#_Water sources tested for contamination]],"no test")</f>
        <v>no test</v>
      </c>
      <c r="BR235" s="559" t="str">
        <f>IFERROR(WWWW[[#This Row],['#_Household received remediation action due to contamination]]/WWWW[[#This Row],['#_Household water samples tested for contamination]],"no test")</f>
        <v>no test</v>
      </c>
      <c r="BS235" s="558" t="str">
        <f>IF(AND(WWWW[[#This Row],[% of water sources treated]]="no test",WWWW[[#This Row],[% Household received corrective actions]]="no test"),"No Test","Tested")</f>
        <v>No Test</v>
      </c>
      <c r="BT235" s="558">
        <f>WWWW[[#This Row],['#_Constructed/existing protected hand dug well]]-WWWW[[#This Row],['#_Non-functional protected hand dug well]]</f>
        <v>0</v>
      </c>
      <c r="BU235" s="558">
        <f>(WWWW[[#This Row],['#_Constructed/Existing tube wells/boreholes/handpumps_WASH_agency]]+WWWW[[#This Row],['#_Non-Cluster partner water tube-wells/boreholes/handpumps]])-WWWW[[#This Row],['#_Non-functional tube wells/boreholes/handpumps]]</f>
        <v>0</v>
      </c>
      <c r="BV235" s="558">
        <f>WWWW[[#This Row],['#_Constructed/Existingwater storage tank with gravity fed reticulation system]]-WWWW[[#This Row],['#_Non-functional storage tank gravity fed reticulation system]]</f>
        <v>0</v>
      </c>
      <c r="BW235" s="558">
        <f>WWWW[[#This Row],['#_Water boating or water trucking]]</f>
        <v>0</v>
      </c>
      <c r="BX235" s="558">
        <f>WWWW[[#This Row],['#_Constructed/Existing water distribution system from river or natural spring]]</f>
        <v>0</v>
      </c>
      <c r="BY23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5" s="559">
        <f>IF(WWWW[[#This Row],[Location Type 1]]="Village",WWWW[[#This Row],[Access to safe drinking water for Village]],WWWW[[#This Row],[Access to safe drinking water for Camp]])</f>
        <v>0</v>
      </c>
      <c r="CB235" s="556">
        <f>WWWW[[#This Row],[%Equitable and continuous access to sufficient quantity of safe drinking water]]*WWWW[[#This Row],[Total PoP ]]</f>
        <v>0</v>
      </c>
      <c r="CC235" s="559">
        <f>IF((WWWW[[#This Row],['#_Constructed/Existing protected/fenced ponds]]*250)/WWWW[[#This Row],[Total PoP ]]&gt;1,1,(WWWW[[#This Row],['#_Constructed/Existing protected/fenced ponds]]*250)/WWWW[[#This Row],[Total PoP ]])</f>
        <v>0</v>
      </c>
      <c r="CD235" s="556">
        <f>WWWW[[#This Row],[% Access to unimproved water points]]*WWWW[[#This Row],[Total PoP ]]</f>
        <v>0</v>
      </c>
      <c r="CE23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5" s="556">
        <f>WWWW[[#This Row],[HRP1]]/500</f>
        <v>0</v>
      </c>
      <c r="CH235" s="561">
        <f>1-WWWW[[#This Row],[% Equitable and continuous access to sufficient quantity of domestic water]]</f>
        <v>1</v>
      </c>
      <c r="CI235" s="556">
        <f>WWWW[[#This Row],[%equitable and continuous access to sufficient quantity of safe drinking and domestic water''s GAP]]*WWWW[[#This Row],[Total PoP ]]</f>
        <v>1006</v>
      </c>
      <c r="CJ235" s="558">
        <f>IF(WWWW[[#This Row],[Total required water points]]-WWWW[[#This Row],['#Water points coverage]]&lt;0,0,WWWW[[#This Row],[Total required water points]]-WWWW[[#This Row],['#Water points coverage]])</f>
        <v>2</v>
      </c>
      <c r="CK235" s="558">
        <f>ROUND(IF(WWWW[[#This Row],[Total PoP ]]&lt;500,1,WWWW[[#This Row],[Total PoP ]]/500),0)</f>
        <v>2</v>
      </c>
      <c r="CL235" s="558">
        <f>(WWWW[[#This Row],['#_Constructed latrines_by_WASHAgencies]]+WWWW[[#This Row],['#_Non Cluster partner latrines]])-WWWW[[#This Row],['#_Non-functional latrines]]</f>
        <v>0</v>
      </c>
      <c r="CM23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5" s="558" t="str">
        <f>IF(WWWW[[#This Row],[Location Type 1]]="Village","NA",IF(WWWW[[#This Row],['#_Constructed/Existing latrines in TLS]]*50&gt;WWWW[[#This Row],['#_students at TLS_CFS]],WWWW[[#This Row],['#_students at TLS_CFS]],(WWWW[[#This Row],['#_Constructed/Existing latrines in TLS]]*50)))</f>
        <v>NA</v>
      </c>
      <c r="CQ235" s="558">
        <f>ROUND(IF(WWWW[[#This Row],[Location Type 1]]="camp",WWWW[[#This Row],[Total PoP ]]/20,IF(WWWW[[#This Row],[Location Type 1]]="Temporary Location",WWWW[[#This Row],[Total PoP ]]/50,(WWWW[[#This Row],[Total PoP ]]/6))),0)</f>
        <v>168</v>
      </c>
      <c r="CR235" s="558">
        <f>IF(WWWW[[#This Row],[Total required Latrines]]-(WWWW[[#This Row],['#_Constructed latrines_by_WASHAgencies]]+WWWW[[#This Row],['#_Non Cluster partner latrines]])&lt;0,0,WWWW[[#This Row],[Total required Latrines]]-(WWWW[[#This Row],['#_Constructed latrines_by_WASHAgencies]]+WWWW[[#This Row],['#_Non Cluster partner latrines]]))</f>
        <v>168</v>
      </c>
      <c r="CS235" s="78">
        <f>1-WWWW[[#This Row],[% people access to functioning Latrine]]</f>
        <v>1</v>
      </c>
      <c r="CT235" s="560">
        <f>IF(OR(WWWW[[#This Row],['#_Non-functional latrines]]="",WWWW[[#This Row],['#_Non-functional latrines]]=0),0,WWWW[[#This Row],['#_Non-functional latrines]]/(WWWW[[#This Row],['#_Constructed latrines_by_WASHAgencies]]+WWWW[[#This Row],['#_Non Cluster partner latrines]]))</f>
        <v>0</v>
      </c>
      <c r="CU235" s="556">
        <f>IF(500*(WWWW[[#This Row],['#_male hygiene promoters]]+WWWW[[#This Row],['#_female hygiene promoters]])&gt;WWWW[[#This Row],[Total PoP ]],WWWW[[#This Row],[Total PoP ]],500*(WWWW[[#This Row],['#_male hygiene promoters]]+WWWW[[#This Row],['#_female hygiene promoters]]))</f>
        <v>0</v>
      </c>
      <c r="CV23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5" s="558">
        <f>IF(WWWW[[#This Row],['# People with access to soap]]&gt;WWWW[[#This Row],['# People with access to Sanity Pads]],WWWW[[#This Row],['# People with access to soap]],WWWW[[#This Row],['# People with access to Sanity Pads]])</f>
        <v>0</v>
      </c>
      <c r="CY23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5" s="561">
        <f>IF(WWWW[[#This Row],[HRP3]]/WWWW[[#This Row],[Total PoP ]]&gt;100%,100%,WWWW[[#This Row],[HRP3]]/WWWW[[#This Row],[Total PoP ]])</f>
        <v>0</v>
      </c>
      <c r="DA235" s="560">
        <f>1-WWWW[[#This Row],[Hygiene Coverage%]]</f>
        <v>1</v>
      </c>
      <c r="DB235" s="559">
        <f>WWWW[[#This Row],['# people reached by regular dedicated hygiene promotion_5]]/WWWW[[#This Row],[Total PoP ]]</f>
        <v>0</v>
      </c>
      <c r="DC235" s="559">
        <f>IF(WWWW[[#This Row],['#_households that received standard amount of soap for this quarter]]/WWWW[[#This Row],[Total HH]]&gt;1,1,WWWW[[#This Row],['#_households that received standard amount of soap for this quarter]]/WWWW[[#This Row],[Total HH]])</f>
        <v>0</v>
      </c>
      <c r="DD235" s="559">
        <f>IF(WWWW[[#This Row],['#_households that received standard amount of sanitary pads for this quarter]]/WWWW[[#This Row],[Total HH]]&gt;1,1,WWWW[[#This Row],['#_households that received standard amount of sanitary pads for this quarter]]/WWWW[[#This Row],[Total HH]])</f>
        <v>0</v>
      </c>
      <c r="DE235" s="558">
        <f>WWWW[[#This Row],['#_Constructed/Existing hand washing stations]]-WWWW[[#This Row],['#_Non-Functional_hand_washing_stations]]</f>
        <v>0</v>
      </c>
      <c r="DF235" s="757">
        <f>IF(WWWW[[#This Row],['# Functional hand washing stations during reporting period]]*20&gt;WWWW[[#This Row],[Total HH]],WWWW[[#This Row],[Total HH]],WWWW[[#This Row],['# Functional hand washing stations during reporting period]]*20)</f>
        <v>0</v>
      </c>
      <c r="DG235" s="556">
        <f>IF(WWWW[[#This Row],[Is sufficient soap available for TLS? (Yes/No)]]="yes",WWWW[[#This Row],['#_Constructed/Existing hand washing stations at TLS]],0)</f>
        <v>0</v>
      </c>
      <c r="DH235" s="556">
        <f>IF(WWWW[[#This Row],['# Functional hand washing stations during reporting period]]*100&gt;WWWW[[#This Row],[Total PoP ]],WWWW[[#This Row],[Total PoP ]],WWWW[[#This Row],['# Functional hand washing stations during reporting period]]*100)</f>
        <v>0</v>
      </c>
      <c r="DI235" s="556" t="str">
        <f>IF(OR(WWWW[[#This Row],['#_students at TLS_CFS]]="",WWWW[[#This Row],['#_students at TLS_CFS]]=0),"No","Yes")</f>
        <v>No</v>
      </c>
      <c r="DJ235" s="554">
        <f>VLOOKUP(WWWW[[#This Row],[Site Name]],SiteDB6[[Site Name]:[CCCM Management]],6,FALSE)</f>
        <v>0</v>
      </c>
      <c r="DK235" s="554">
        <f>VLOOKUP(WWWW[[#This Row],[Site Name]],SiteDB6[[Site Name]:[CCCM Focal Agency]],7,FALSE)</f>
        <v>0</v>
      </c>
      <c r="DL235" s="554" t="str">
        <f>VLOOKUP(WWWW[[#This Row],[Site Name]],SiteDB6[[Site Name]:[Location Type 1]],9,FALSE)</f>
        <v>Village</v>
      </c>
      <c r="DM235" s="554" t="str">
        <f>VLOOKUP(WWWW[[#This Row],[Site Name]],SiteDB6[[Site Name]:[Type of Accommodation]],10,FALSE)</f>
        <v>Village</v>
      </c>
      <c r="DN235" s="554" t="str">
        <f>VLOOKUP(WWWW[[#This Row],[Site Name]],SiteDB6[[Site Name]:[Ethnic or GCA/NGCA]],11,FALSE)</f>
        <v>Rakhine</v>
      </c>
      <c r="DO235" s="554">
        <f>VLOOKUP(WWWW[[#This Row],[Site Name]],SiteDB6[[Site Name]:[Lat]],12,FALSE)</f>
        <v>0</v>
      </c>
      <c r="DP235" s="554">
        <f>VLOOKUP(WWWW[[#This Row],[Site Name]],SiteDB6[[Site Name]:[Long]],13,FALSE)</f>
        <v>0</v>
      </c>
      <c r="DQ235" s="554">
        <f>VLOOKUP(WWWW[[#This Row],[Site Name]],SiteDB6[[Site Name]:[Pcode]],3,FALSE)</f>
        <v>197441</v>
      </c>
      <c r="DR235" s="563" t="str">
        <f t="shared" si="8"/>
        <v>Covered</v>
      </c>
      <c r="DS235" s="563"/>
    </row>
    <row r="236" spans="1:123">
      <c r="A236" s="552" t="s">
        <v>2518</v>
      </c>
      <c r="B236" s="552" t="s">
        <v>352</v>
      </c>
      <c r="C236" s="555" t="s">
        <v>352</v>
      </c>
      <c r="D236" s="555" t="s">
        <v>345</v>
      </c>
      <c r="E236" s="574" t="s">
        <v>3006</v>
      </c>
      <c r="F236" s="555" t="s">
        <v>420</v>
      </c>
      <c r="G236" s="574" t="str">
        <f>VLOOKUP(WWWW[[#This Row],[Site Name]],SiteDB6[[Site Name]:[Location Type]],8,FALSE)</f>
        <v>Village</v>
      </c>
      <c r="H236" s="555" t="s">
        <v>2854</v>
      </c>
      <c r="I236" s="557">
        <v>147</v>
      </c>
      <c r="J236" s="557">
        <v>601</v>
      </c>
      <c r="K236" s="564"/>
      <c r="L236" s="565">
        <v>44439</v>
      </c>
      <c r="M236" s="557"/>
      <c r="N236" s="557"/>
      <c r="O236" s="557"/>
      <c r="P236" s="557"/>
      <c r="Q236" s="556"/>
      <c r="R236" s="557"/>
      <c r="S236" s="557"/>
      <c r="T236" s="557"/>
      <c r="U236" s="557"/>
      <c r="V236" s="557"/>
      <c r="W236" s="557"/>
      <c r="X236" s="557"/>
      <c r="Y236" s="557"/>
      <c r="Z236" s="557"/>
      <c r="AA236" s="557"/>
      <c r="AB236" s="557"/>
      <c r="AC236" s="557"/>
      <c r="AD236" s="557"/>
      <c r="AE236" s="557"/>
      <c r="AF236" s="557"/>
      <c r="AG236" s="557"/>
      <c r="AH236" s="557"/>
      <c r="AI236" s="557"/>
      <c r="AJ236" s="557"/>
      <c r="AK236" s="557"/>
      <c r="AL236" s="557"/>
      <c r="AM236" s="557"/>
      <c r="AN236" s="557"/>
      <c r="AO236" s="563"/>
      <c r="AP236" s="557"/>
      <c r="AQ236" s="557"/>
      <c r="AR236" s="559"/>
      <c r="AS236" s="557"/>
      <c r="AT236" s="557"/>
      <c r="AU236" s="557"/>
      <c r="AV236" s="557"/>
      <c r="AW236" s="557"/>
      <c r="AX236" s="554"/>
      <c r="AY236" s="563"/>
      <c r="AZ236" s="557"/>
      <c r="BA236" s="557"/>
      <c r="BB236" s="557"/>
      <c r="BC236" s="554"/>
      <c r="BD236" s="557"/>
      <c r="BE236" s="557"/>
      <c r="BF236" s="557"/>
      <c r="BG236" s="557"/>
      <c r="BH236" s="557"/>
      <c r="BI236" s="557"/>
      <c r="BJ236" s="557"/>
      <c r="BK236" s="557"/>
      <c r="BL236" s="557"/>
      <c r="BM236" s="554"/>
      <c r="BN236" s="558"/>
      <c r="BO236" s="559"/>
      <c r="BP236" s="554"/>
      <c r="BQ236" s="560" t="str">
        <f>IFERROR(WWWW[[#This Row],['#_Water sources treated]]/WWWW[[#This Row],['#_Water sources tested for contamination]],"no test")</f>
        <v>no test</v>
      </c>
      <c r="BR236" s="559" t="str">
        <f>IFERROR(WWWW[[#This Row],['#_Household received remediation action due to contamination]]/WWWW[[#This Row],['#_Household water samples tested for contamination]],"no test")</f>
        <v>no test</v>
      </c>
      <c r="BS236" s="558" t="str">
        <f>IF(AND(WWWW[[#This Row],[% of water sources treated]]="no test",WWWW[[#This Row],[% Household received corrective actions]]="no test"),"No Test","Tested")</f>
        <v>No Test</v>
      </c>
      <c r="BT236" s="558">
        <f>WWWW[[#This Row],['#_Constructed/existing protected hand dug well]]-WWWW[[#This Row],['#_Non-functional protected hand dug well]]</f>
        <v>0</v>
      </c>
      <c r="BU236" s="558">
        <f>(WWWW[[#This Row],['#_Constructed/Existing tube wells/boreholes/handpumps_WASH_agency]]+WWWW[[#This Row],['#_Non-Cluster partner water tube-wells/boreholes/handpumps]])-WWWW[[#This Row],['#_Non-functional tube wells/boreholes/handpumps]]</f>
        <v>0</v>
      </c>
      <c r="BV236" s="558">
        <f>WWWW[[#This Row],['#_Constructed/Existingwater storage tank with gravity fed reticulation system]]-WWWW[[#This Row],['#_Non-functional storage tank gravity fed reticulation system]]</f>
        <v>0</v>
      </c>
      <c r="BW236" s="558">
        <f>WWWW[[#This Row],['#_Water boating or water trucking]]</f>
        <v>0</v>
      </c>
      <c r="BX236" s="558">
        <f>WWWW[[#This Row],['#_Constructed/Existing water distribution system from river or natural spring]]</f>
        <v>0</v>
      </c>
      <c r="BY23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6" s="559">
        <f>IF(WWWW[[#This Row],[Location Type 1]]="Village",WWWW[[#This Row],[Access to safe drinking water for Village]],WWWW[[#This Row],[Access to safe drinking water for Camp]])</f>
        <v>0</v>
      </c>
      <c r="CB236" s="556">
        <f>WWWW[[#This Row],[%Equitable and continuous access to sufficient quantity of safe drinking water]]*WWWW[[#This Row],[Total PoP ]]</f>
        <v>0</v>
      </c>
      <c r="CC236" s="559">
        <f>IF((WWWW[[#This Row],['#_Constructed/Existing protected/fenced ponds]]*250)/WWWW[[#This Row],[Total PoP ]]&gt;1,1,(WWWW[[#This Row],['#_Constructed/Existing protected/fenced ponds]]*250)/WWWW[[#This Row],[Total PoP ]])</f>
        <v>0</v>
      </c>
      <c r="CD236" s="556">
        <f>WWWW[[#This Row],[% Access to unimproved water points]]*WWWW[[#This Row],[Total PoP ]]</f>
        <v>0</v>
      </c>
      <c r="CE23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6" s="556">
        <f>WWWW[[#This Row],[HRP1]]/500</f>
        <v>0</v>
      </c>
      <c r="CH236" s="561">
        <f>1-WWWW[[#This Row],[% Equitable and continuous access to sufficient quantity of domestic water]]</f>
        <v>1</v>
      </c>
      <c r="CI236" s="556">
        <f>WWWW[[#This Row],[%equitable and continuous access to sufficient quantity of safe drinking and domestic water''s GAP]]*WWWW[[#This Row],[Total PoP ]]</f>
        <v>601</v>
      </c>
      <c r="CJ236" s="558">
        <f>IF(WWWW[[#This Row],[Total required water points]]-WWWW[[#This Row],['#Water points coverage]]&lt;0,0,WWWW[[#This Row],[Total required water points]]-WWWW[[#This Row],['#Water points coverage]])</f>
        <v>1</v>
      </c>
      <c r="CK236" s="558">
        <f>ROUND(IF(WWWW[[#This Row],[Total PoP ]]&lt;500,1,WWWW[[#This Row],[Total PoP ]]/500),0)</f>
        <v>1</v>
      </c>
      <c r="CL236" s="558">
        <f>(WWWW[[#This Row],['#_Constructed latrines_by_WASHAgencies]]+WWWW[[#This Row],['#_Non Cluster partner latrines]])-WWWW[[#This Row],['#_Non-functional latrines]]</f>
        <v>0</v>
      </c>
      <c r="CM23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6" s="558" t="str">
        <f>IF(WWWW[[#This Row],[Location Type 1]]="Village","NA",IF(WWWW[[#This Row],['#_Constructed/Existing latrines in TLS]]*50&gt;WWWW[[#This Row],['#_students at TLS_CFS]],WWWW[[#This Row],['#_students at TLS_CFS]],(WWWW[[#This Row],['#_Constructed/Existing latrines in TLS]]*50)))</f>
        <v>NA</v>
      </c>
      <c r="CQ236" s="558">
        <f>ROUND(IF(WWWW[[#This Row],[Location Type 1]]="camp",WWWW[[#This Row],[Total PoP ]]/20,IF(WWWW[[#This Row],[Location Type 1]]="Temporary Location",WWWW[[#This Row],[Total PoP ]]/50,(WWWW[[#This Row],[Total PoP ]]/6))),0)</f>
        <v>100</v>
      </c>
      <c r="CR236" s="558">
        <f>IF(WWWW[[#This Row],[Total required Latrines]]-(WWWW[[#This Row],['#_Constructed latrines_by_WASHAgencies]]+WWWW[[#This Row],['#_Non Cluster partner latrines]])&lt;0,0,WWWW[[#This Row],[Total required Latrines]]-(WWWW[[#This Row],['#_Constructed latrines_by_WASHAgencies]]+WWWW[[#This Row],['#_Non Cluster partner latrines]]))</f>
        <v>100</v>
      </c>
      <c r="CS236" s="78">
        <f>1-WWWW[[#This Row],[% people access to functioning Latrine]]</f>
        <v>1</v>
      </c>
      <c r="CT236" s="560">
        <f>IF(OR(WWWW[[#This Row],['#_Non-functional latrines]]="",WWWW[[#This Row],['#_Non-functional latrines]]=0),0,WWWW[[#This Row],['#_Non-functional latrines]]/(WWWW[[#This Row],['#_Constructed latrines_by_WASHAgencies]]+WWWW[[#This Row],['#_Non Cluster partner latrines]]))</f>
        <v>0</v>
      </c>
      <c r="CU236" s="556">
        <f>IF(500*(WWWW[[#This Row],['#_male hygiene promoters]]+WWWW[[#This Row],['#_female hygiene promoters]])&gt;WWWW[[#This Row],[Total PoP ]],WWWW[[#This Row],[Total PoP ]],500*(WWWW[[#This Row],['#_male hygiene promoters]]+WWWW[[#This Row],['#_female hygiene promoters]]))</f>
        <v>0</v>
      </c>
      <c r="CV23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6" s="558">
        <f>IF(WWWW[[#This Row],['# People with access to soap]]&gt;WWWW[[#This Row],['# People with access to Sanity Pads]],WWWW[[#This Row],['# People with access to soap]],WWWW[[#This Row],['# People with access to Sanity Pads]])</f>
        <v>0</v>
      </c>
      <c r="CY23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6" s="561">
        <f>IF(WWWW[[#This Row],[HRP3]]/WWWW[[#This Row],[Total PoP ]]&gt;100%,100%,WWWW[[#This Row],[HRP3]]/WWWW[[#This Row],[Total PoP ]])</f>
        <v>0</v>
      </c>
      <c r="DA236" s="560">
        <f>1-WWWW[[#This Row],[Hygiene Coverage%]]</f>
        <v>1</v>
      </c>
      <c r="DB236" s="559">
        <f>WWWW[[#This Row],['# people reached by regular dedicated hygiene promotion_5]]/WWWW[[#This Row],[Total PoP ]]</f>
        <v>0</v>
      </c>
      <c r="DC236" s="559">
        <f>IF(WWWW[[#This Row],['#_households that received standard amount of soap for this quarter]]/WWWW[[#This Row],[Total HH]]&gt;1,1,WWWW[[#This Row],['#_households that received standard amount of soap for this quarter]]/WWWW[[#This Row],[Total HH]])</f>
        <v>0</v>
      </c>
      <c r="DD236" s="559">
        <f>IF(WWWW[[#This Row],['#_households that received standard amount of sanitary pads for this quarter]]/WWWW[[#This Row],[Total HH]]&gt;1,1,WWWW[[#This Row],['#_households that received standard amount of sanitary pads for this quarter]]/WWWW[[#This Row],[Total HH]])</f>
        <v>0</v>
      </c>
      <c r="DE236" s="558">
        <f>WWWW[[#This Row],['#_Constructed/Existing hand washing stations]]-WWWW[[#This Row],['#_Non-Functional_hand_washing_stations]]</f>
        <v>0</v>
      </c>
      <c r="DF236" s="757">
        <f>IF(WWWW[[#This Row],['# Functional hand washing stations during reporting period]]*20&gt;WWWW[[#This Row],[Total HH]],WWWW[[#This Row],[Total HH]],WWWW[[#This Row],['# Functional hand washing stations during reporting period]]*20)</f>
        <v>0</v>
      </c>
      <c r="DG236" s="556">
        <f>IF(WWWW[[#This Row],[Is sufficient soap available for TLS? (Yes/No)]]="yes",WWWW[[#This Row],['#_Constructed/Existing hand washing stations at TLS]],0)</f>
        <v>0</v>
      </c>
      <c r="DH236" s="556">
        <f>IF(WWWW[[#This Row],['# Functional hand washing stations during reporting period]]*100&gt;WWWW[[#This Row],[Total PoP ]],WWWW[[#This Row],[Total PoP ]],WWWW[[#This Row],['# Functional hand washing stations during reporting period]]*100)</f>
        <v>0</v>
      </c>
      <c r="DI236" s="556" t="str">
        <f>IF(OR(WWWW[[#This Row],['#_students at TLS_CFS]]="",WWWW[[#This Row],['#_students at TLS_CFS]]=0),"No","Yes")</f>
        <v>No</v>
      </c>
      <c r="DJ236" s="554">
        <f>VLOOKUP(WWWW[[#This Row],[Site Name]],SiteDB6[[Site Name]:[CCCM Management]],6,FALSE)</f>
        <v>0</v>
      </c>
      <c r="DK236" s="554">
        <f>VLOOKUP(WWWW[[#This Row],[Site Name]],SiteDB6[[Site Name]:[CCCM Focal Agency]],7,FALSE)</f>
        <v>0</v>
      </c>
      <c r="DL236" s="554" t="str">
        <f>VLOOKUP(WWWW[[#This Row],[Site Name]],SiteDB6[[Site Name]:[Location Type 1]],9,FALSE)</f>
        <v>Village</v>
      </c>
      <c r="DM236" s="554" t="str">
        <f>VLOOKUP(WWWW[[#This Row],[Site Name]],SiteDB6[[Site Name]:[Type of Accommodation]],10,FALSE)</f>
        <v>Village</v>
      </c>
      <c r="DN236" s="554" t="str">
        <f>VLOOKUP(WWWW[[#This Row],[Site Name]],SiteDB6[[Site Name]:[Ethnic or GCA/NGCA]],11,FALSE)</f>
        <v>KhaMi</v>
      </c>
      <c r="DO236" s="554">
        <f>VLOOKUP(WWWW[[#This Row],[Site Name]],SiteDB6[[Site Name]:[Lat]],12,FALSE)</f>
        <v>0</v>
      </c>
      <c r="DP236" s="554">
        <f>VLOOKUP(WWWW[[#This Row],[Site Name]],SiteDB6[[Site Name]:[Long]],13,FALSE)</f>
        <v>0</v>
      </c>
      <c r="DQ236" s="554">
        <f>VLOOKUP(WWWW[[#This Row],[Site Name]],SiteDB6[[Site Name]:[Pcode]],3,FALSE)</f>
        <v>197442</v>
      </c>
      <c r="DR236" s="563" t="str">
        <f t="shared" si="8"/>
        <v>Covered</v>
      </c>
      <c r="DS236" s="563"/>
    </row>
    <row r="237" spans="1:123">
      <c r="A237" s="552" t="s">
        <v>2518</v>
      </c>
      <c r="B237" s="552" t="s">
        <v>352</v>
      </c>
      <c r="C237" s="555" t="s">
        <v>352</v>
      </c>
      <c r="D237" s="555" t="s">
        <v>345</v>
      </c>
      <c r="E237" s="574" t="s">
        <v>3006</v>
      </c>
      <c r="F237" s="555" t="s">
        <v>420</v>
      </c>
      <c r="G237" s="574" t="str">
        <f>VLOOKUP(WWWW[[#This Row],[Site Name]],SiteDB6[[Site Name]:[Location Type]],8,FALSE)</f>
        <v>Village</v>
      </c>
      <c r="H237" s="555" t="s">
        <v>2855</v>
      </c>
      <c r="I237" s="557">
        <v>284</v>
      </c>
      <c r="J237" s="557">
        <v>1292</v>
      </c>
      <c r="K237" s="564"/>
      <c r="L237" s="565">
        <v>44439</v>
      </c>
      <c r="M237" s="557"/>
      <c r="N237" s="557"/>
      <c r="O237" s="557"/>
      <c r="P237" s="557"/>
      <c r="Q237" s="556"/>
      <c r="R237" s="557"/>
      <c r="S237" s="557"/>
      <c r="T237" s="557"/>
      <c r="U237" s="557"/>
      <c r="V237" s="557"/>
      <c r="W237" s="557"/>
      <c r="X237" s="557"/>
      <c r="Y237" s="557"/>
      <c r="Z237" s="557"/>
      <c r="AA237" s="557"/>
      <c r="AB237" s="557"/>
      <c r="AC237" s="557"/>
      <c r="AD237" s="557"/>
      <c r="AE237" s="557"/>
      <c r="AF237" s="557"/>
      <c r="AG237" s="557"/>
      <c r="AH237" s="557"/>
      <c r="AI237" s="557"/>
      <c r="AJ237" s="557"/>
      <c r="AK237" s="557"/>
      <c r="AL237" s="557"/>
      <c r="AM237" s="557"/>
      <c r="AN237" s="557"/>
      <c r="AO237" s="563"/>
      <c r="AP237" s="557"/>
      <c r="AQ237" s="557"/>
      <c r="AR237" s="559"/>
      <c r="AS237" s="557"/>
      <c r="AT237" s="557"/>
      <c r="AU237" s="557"/>
      <c r="AV237" s="557"/>
      <c r="AW237" s="557"/>
      <c r="AX237" s="554"/>
      <c r="AY237" s="563"/>
      <c r="AZ237" s="557"/>
      <c r="BA237" s="557"/>
      <c r="BB237" s="557"/>
      <c r="BC237" s="554"/>
      <c r="BD237" s="557"/>
      <c r="BE237" s="557"/>
      <c r="BF237" s="557"/>
      <c r="BG237" s="557"/>
      <c r="BH237" s="557"/>
      <c r="BI237" s="557"/>
      <c r="BJ237" s="557"/>
      <c r="BK237" s="557"/>
      <c r="BL237" s="557"/>
      <c r="BM237" s="554"/>
      <c r="BN237" s="558"/>
      <c r="BO237" s="559"/>
      <c r="BP237" s="554"/>
      <c r="BQ237" s="560" t="str">
        <f>IFERROR(WWWW[[#This Row],['#_Water sources treated]]/WWWW[[#This Row],['#_Water sources tested for contamination]],"no test")</f>
        <v>no test</v>
      </c>
      <c r="BR237" s="559" t="str">
        <f>IFERROR(WWWW[[#This Row],['#_Household received remediation action due to contamination]]/WWWW[[#This Row],['#_Household water samples tested for contamination]],"no test")</f>
        <v>no test</v>
      </c>
      <c r="BS237" s="558" t="str">
        <f>IF(AND(WWWW[[#This Row],[% of water sources treated]]="no test",WWWW[[#This Row],[% Household received corrective actions]]="no test"),"No Test","Tested")</f>
        <v>No Test</v>
      </c>
      <c r="BT237" s="558">
        <f>WWWW[[#This Row],['#_Constructed/existing protected hand dug well]]-WWWW[[#This Row],['#_Non-functional protected hand dug well]]</f>
        <v>0</v>
      </c>
      <c r="BU237" s="558">
        <f>(WWWW[[#This Row],['#_Constructed/Existing tube wells/boreholes/handpumps_WASH_agency]]+WWWW[[#This Row],['#_Non-Cluster partner water tube-wells/boreholes/handpumps]])-WWWW[[#This Row],['#_Non-functional tube wells/boreholes/handpumps]]</f>
        <v>0</v>
      </c>
      <c r="BV237" s="558">
        <f>WWWW[[#This Row],['#_Constructed/Existingwater storage tank with gravity fed reticulation system]]-WWWW[[#This Row],['#_Non-functional storage tank gravity fed reticulation system]]</f>
        <v>0</v>
      </c>
      <c r="BW237" s="558">
        <f>WWWW[[#This Row],['#_Water boating or water trucking]]</f>
        <v>0</v>
      </c>
      <c r="BX237" s="558">
        <f>WWWW[[#This Row],['#_Constructed/Existing water distribution system from river or natural spring]]</f>
        <v>0</v>
      </c>
      <c r="BY23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7" s="559">
        <f>IF(WWWW[[#This Row],[Location Type 1]]="Village",WWWW[[#This Row],[Access to safe drinking water for Village]],WWWW[[#This Row],[Access to safe drinking water for Camp]])</f>
        <v>0</v>
      </c>
      <c r="CB237" s="556">
        <f>WWWW[[#This Row],[%Equitable and continuous access to sufficient quantity of safe drinking water]]*WWWW[[#This Row],[Total PoP ]]</f>
        <v>0</v>
      </c>
      <c r="CC237" s="559">
        <f>IF((WWWW[[#This Row],['#_Constructed/Existing protected/fenced ponds]]*250)/WWWW[[#This Row],[Total PoP ]]&gt;1,1,(WWWW[[#This Row],['#_Constructed/Existing protected/fenced ponds]]*250)/WWWW[[#This Row],[Total PoP ]])</f>
        <v>0</v>
      </c>
      <c r="CD237" s="556">
        <f>WWWW[[#This Row],[% Access to unimproved water points]]*WWWW[[#This Row],[Total PoP ]]</f>
        <v>0</v>
      </c>
      <c r="CE23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7" s="556">
        <f>WWWW[[#This Row],[HRP1]]/500</f>
        <v>0</v>
      </c>
      <c r="CH237" s="561">
        <f>1-WWWW[[#This Row],[% Equitable and continuous access to sufficient quantity of domestic water]]</f>
        <v>1</v>
      </c>
      <c r="CI237" s="556">
        <f>WWWW[[#This Row],[%equitable and continuous access to sufficient quantity of safe drinking and domestic water''s GAP]]*WWWW[[#This Row],[Total PoP ]]</f>
        <v>1292</v>
      </c>
      <c r="CJ237" s="558">
        <f>IF(WWWW[[#This Row],[Total required water points]]-WWWW[[#This Row],['#Water points coverage]]&lt;0,0,WWWW[[#This Row],[Total required water points]]-WWWW[[#This Row],['#Water points coverage]])</f>
        <v>3</v>
      </c>
      <c r="CK237" s="558">
        <f>ROUND(IF(WWWW[[#This Row],[Total PoP ]]&lt;500,1,WWWW[[#This Row],[Total PoP ]]/500),0)</f>
        <v>3</v>
      </c>
      <c r="CL237" s="558">
        <f>(WWWW[[#This Row],['#_Constructed latrines_by_WASHAgencies]]+WWWW[[#This Row],['#_Non Cluster partner latrines]])-WWWW[[#This Row],['#_Non-functional latrines]]</f>
        <v>0</v>
      </c>
      <c r="CM23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7" s="558" t="str">
        <f>IF(WWWW[[#This Row],[Location Type 1]]="Village","NA",IF(WWWW[[#This Row],['#_Constructed/Existing latrines in TLS]]*50&gt;WWWW[[#This Row],['#_students at TLS_CFS]],WWWW[[#This Row],['#_students at TLS_CFS]],(WWWW[[#This Row],['#_Constructed/Existing latrines in TLS]]*50)))</f>
        <v>NA</v>
      </c>
      <c r="CQ237" s="558">
        <f>ROUND(IF(WWWW[[#This Row],[Location Type 1]]="camp",WWWW[[#This Row],[Total PoP ]]/20,IF(WWWW[[#This Row],[Location Type 1]]="Temporary Location",WWWW[[#This Row],[Total PoP ]]/50,(WWWW[[#This Row],[Total PoP ]]/6))),0)</f>
        <v>215</v>
      </c>
      <c r="CR237" s="558">
        <f>IF(WWWW[[#This Row],[Total required Latrines]]-(WWWW[[#This Row],['#_Constructed latrines_by_WASHAgencies]]+WWWW[[#This Row],['#_Non Cluster partner latrines]])&lt;0,0,WWWW[[#This Row],[Total required Latrines]]-(WWWW[[#This Row],['#_Constructed latrines_by_WASHAgencies]]+WWWW[[#This Row],['#_Non Cluster partner latrines]]))</f>
        <v>215</v>
      </c>
      <c r="CS237" s="78">
        <f>1-WWWW[[#This Row],[% people access to functioning Latrine]]</f>
        <v>1</v>
      </c>
      <c r="CT237" s="560">
        <f>IF(OR(WWWW[[#This Row],['#_Non-functional latrines]]="",WWWW[[#This Row],['#_Non-functional latrines]]=0),0,WWWW[[#This Row],['#_Non-functional latrines]]/(WWWW[[#This Row],['#_Constructed latrines_by_WASHAgencies]]+WWWW[[#This Row],['#_Non Cluster partner latrines]]))</f>
        <v>0</v>
      </c>
      <c r="CU237" s="556">
        <f>IF(500*(WWWW[[#This Row],['#_male hygiene promoters]]+WWWW[[#This Row],['#_female hygiene promoters]])&gt;WWWW[[#This Row],[Total PoP ]],WWWW[[#This Row],[Total PoP ]],500*(WWWW[[#This Row],['#_male hygiene promoters]]+WWWW[[#This Row],['#_female hygiene promoters]]))</f>
        <v>0</v>
      </c>
      <c r="CV23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7" s="558">
        <f>IF(WWWW[[#This Row],['# People with access to soap]]&gt;WWWW[[#This Row],['# People with access to Sanity Pads]],WWWW[[#This Row],['# People with access to soap]],WWWW[[#This Row],['# People with access to Sanity Pads]])</f>
        <v>0</v>
      </c>
      <c r="CY23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7" s="561">
        <f>IF(WWWW[[#This Row],[HRP3]]/WWWW[[#This Row],[Total PoP ]]&gt;100%,100%,WWWW[[#This Row],[HRP3]]/WWWW[[#This Row],[Total PoP ]])</f>
        <v>0</v>
      </c>
      <c r="DA237" s="560">
        <f>1-WWWW[[#This Row],[Hygiene Coverage%]]</f>
        <v>1</v>
      </c>
      <c r="DB237" s="559">
        <f>WWWW[[#This Row],['# people reached by regular dedicated hygiene promotion_5]]/WWWW[[#This Row],[Total PoP ]]</f>
        <v>0</v>
      </c>
      <c r="DC237" s="559">
        <f>IF(WWWW[[#This Row],['#_households that received standard amount of soap for this quarter]]/WWWW[[#This Row],[Total HH]]&gt;1,1,WWWW[[#This Row],['#_households that received standard amount of soap for this quarter]]/WWWW[[#This Row],[Total HH]])</f>
        <v>0</v>
      </c>
      <c r="DD237" s="559">
        <f>IF(WWWW[[#This Row],['#_households that received standard amount of sanitary pads for this quarter]]/WWWW[[#This Row],[Total HH]]&gt;1,1,WWWW[[#This Row],['#_households that received standard amount of sanitary pads for this quarter]]/WWWW[[#This Row],[Total HH]])</f>
        <v>0</v>
      </c>
      <c r="DE237" s="558">
        <f>WWWW[[#This Row],['#_Constructed/Existing hand washing stations]]-WWWW[[#This Row],['#_Non-Functional_hand_washing_stations]]</f>
        <v>0</v>
      </c>
      <c r="DF237" s="757">
        <f>IF(WWWW[[#This Row],['# Functional hand washing stations during reporting period]]*20&gt;WWWW[[#This Row],[Total HH]],WWWW[[#This Row],[Total HH]],WWWW[[#This Row],['# Functional hand washing stations during reporting period]]*20)</f>
        <v>0</v>
      </c>
      <c r="DG237" s="556">
        <f>IF(WWWW[[#This Row],[Is sufficient soap available for TLS? (Yes/No)]]="yes",WWWW[[#This Row],['#_Constructed/Existing hand washing stations at TLS]],0)</f>
        <v>0</v>
      </c>
      <c r="DH237" s="556">
        <f>IF(WWWW[[#This Row],['# Functional hand washing stations during reporting period]]*100&gt;WWWW[[#This Row],[Total PoP ]],WWWW[[#This Row],[Total PoP ]],WWWW[[#This Row],['# Functional hand washing stations during reporting period]]*100)</f>
        <v>0</v>
      </c>
      <c r="DI237" s="556" t="str">
        <f>IF(OR(WWWW[[#This Row],['#_students at TLS_CFS]]="",WWWW[[#This Row],['#_students at TLS_CFS]]=0),"No","Yes")</f>
        <v>No</v>
      </c>
      <c r="DJ237" s="554">
        <f>VLOOKUP(WWWW[[#This Row],[Site Name]],SiteDB6[[Site Name]:[CCCM Management]],6,FALSE)</f>
        <v>0</v>
      </c>
      <c r="DK237" s="554">
        <f>VLOOKUP(WWWW[[#This Row],[Site Name]],SiteDB6[[Site Name]:[CCCM Focal Agency]],7,FALSE)</f>
        <v>0</v>
      </c>
      <c r="DL237" s="554" t="str">
        <f>VLOOKUP(WWWW[[#This Row],[Site Name]],SiteDB6[[Site Name]:[Location Type 1]],9,FALSE)</f>
        <v>Village</v>
      </c>
      <c r="DM237" s="554" t="str">
        <f>VLOOKUP(WWWW[[#This Row],[Site Name]],SiteDB6[[Site Name]:[Type of Accommodation]],10,FALSE)</f>
        <v>Village</v>
      </c>
      <c r="DN237" s="554" t="str">
        <f>VLOOKUP(WWWW[[#This Row],[Site Name]],SiteDB6[[Site Name]:[Ethnic or GCA/NGCA]],11,FALSE)</f>
        <v>Rakhine</v>
      </c>
      <c r="DO237" s="554">
        <f>VLOOKUP(WWWW[[#This Row],[Site Name]],SiteDB6[[Site Name]:[Lat]],12,FALSE)</f>
        <v>0</v>
      </c>
      <c r="DP237" s="554">
        <f>VLOOKUP(WWWW[[#This Row],[Site Name]],SiteDB6[[Site Name]:[Long]],13,FALSE)</f>
        <v>0</v>
      </c>
      <c r="DQ237" s="554">
        <f>VLOOKUP(WWWW[[#This Row],[Site Name]],SiteDB6[[Site Name]:[Pcode]],3,FALSE)</f>
        <v>197405</v>
      </c>
      <c r="DR237" s="563" t="str">
        <f t="shared" si="8"/>
        <v>Covered</v>
      </c>
      <c r="DS237" s="563"/>
    </row>
    <row r="238" spans="1:123">
      <c r="A238" s="552" t="s">
        <v>2518</v>
      </c>
      <c r="B238" s="552" t="s">
        <v>352</v>
      </c>
      <c r="C238" s="555" t="s">
        <v>352</v>
      </c>
      <c r="D238" s="555" t="s">
        <v>345</v>
      </c>
      <c r="E238" s="574" t="s">
        <v>3006</v>
      </c>
      <c r="F238" s="555" t="s">
        <v>420</v>
      </c>
      <c r="G238" s="574" t="str">
        <f>VLOOKUP(WWWW[[#This Row],[Site Name]],SiteDB6[[Site Name]:[Location Type]],8,FALSE)</f>
        <v>Village</v>
      </c>
      <c r="H238" s="555" t="s">
        <v>2856</v>
      </c>
      <c r="I238" s="557">
        <v>168</v>
      </c>
      <c r="J238" s="557">
        <v>1614</v>
      </c>
      <c r="K238" s="564"/>
      <c r="L238" s="565">
        <v>44439</v>
      </c>
      <c r="M238" s="557"/>
      <c r="N238" s="557"/>
      <c r="O238" s="557"/>
      <c r="P238" s="557"/>
      <c r="Q238" s="556"/>
      <c r="R238" s="557"/>
      <c r="S238" s="557"/>
      <c r="T238" s="557"/>
      <c r="U238" s="557"/>
      <c r="V238" s="557"/>
      <c r="W238" s="557"/>
      <c r="X238" s="557"/>
      <c r="Y238" s="557"/>
      <c r="Z238" s="557"/>
      <c r="AA238" s="557"/>
      <c r="AB238" s="557"/>
      <c r="AC238" s="557"/>
      <c r="AD238" s="557"/>
      <c r="AE238" s="557"/>
      <c r="AF238" s="557"/>
      <c r="AG238" s="557"/>
      <c r="AH238" s="557"/>
      <c r="AI238" s="557"/>
      <c r="AJ238" s="557"/>
      <c r="AK238" s="557"/>
      <c r="AL238" s="557"/>
      <c r="AM238" s="557"/>
      <c r="AN238" s="557"/>
      <c r="AO238" s="563"/>
      <c r="AP238" s="557"/>
      <c r="AQ238" s="557"/>
      <c r="AR238" s="559"/>
      <c r="AS238" s="557"/>
      <c r="AT238" s="557"/>
      <c r="AU238" s="557"/>
      <c r="AV238" s="557"/>
      <c r="AW238" s="557"/>
      <c r="AX238" s="554"/>
      <c r="AY238" s="563"/>
      <c r="AZ238" s="557"/>
      <c r="BA238" s="557"/>
      <c r="BB238" s="557"/>
      <c r="BC238" s="554"/>
      <c r="BD238" s="557"/>
      <c r="BE238" s="557"/>
      <c r="BF238" s="557"/>
      <c r="BG238" s="557"/>
      <c r="BH238" s="557"/>
      <c r="BI238" s="557"/>
      <c r="BJ238" s="557"/>
      <c r="BK238" s="557"/>
      <c r="BL238" s="557"/>
      <c r="BM238" s="554"/>
      <c r="BN238" s="558"/>
      <c r="BO238" s="559"/>
      <c r="BP238" s="554"/>
      <c r="BQ238" s="560" t="str">
        <f>IFERROR(WWWW[[#This Row],['#_Water sources treated]]/WWWW[[#This Row],['#_Water sources tested for contamination]],"no test")</f>
        <v>no test</v>
      </c>
      <c r="BR238" s="559" t="str">
        <f>IFERROR(WWWW[[#This Row],['#_Household received remediation action due to contamination]]/WWWW[[#This Row],['#_Household water samples tested for contamination]],"no test")</f>
        <v>no test</v>
      </c>
      <c r="BS238" s="558" t="str">
        <f>IF(AND(WWWW[[#This Row],[% of water sources treated]]="no test",WWWW[[#This Row],[% Household received corrective actions]]="no test"),"No Test","Tested")</f>
        <v>No Test</v>
      </c>
      <c r="BT238" s="558">
        <f>WWWW[[#This Row],['#_Constructed/existing protected hand dug well]]-WWWW[[#This Row],['#_Non-functional protected hand dug well]]</f>
        <v>0</v>
      </c>
      <c r="BU238" s="558">
        <f>(WWWW[[#This Row],['#_Constructed/Existing tube wells/boreholes/handpumps_WASH_agency]]+WWWW[[#This Row],['#_Non-Cluster partner water tube-wells/boreholes/handpumps]])-WWWW[[#This Row],['#_Non-functional tube wells/boreholes/handpumps]]</f>
        <v>0</v>
      </c>
      <c r="BV238" s="558">
        <f>WWWW[[#This Row],['#_Constructed/Existingwater storage tank with gravity fed reticulation system]]-WWWW[[#This Row],['#_Non-functional storage tank gravity fed reticulation system]]</f>
        <v>0</v>
      </c>
      <c r="BW238" s="558">
        <f>WWWW[[#This Row],['#_Water boating or water trucking]]</f>
        <v>0</v>
      </c>
      <c r="BX238" s="558">
        <f>WWWW[[#This Row],['#_Constructed/Existing water distribution system from river or natural spring]]</f>
        <v>0</v>
      </c>
      <c r="BY23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8" s="559">
        <f>IF(WWWW[[#This Row],[Location Type 1]]="Village",WWWW[[#This Row],[Access to safe drinking water for Village]],WWWW[[#This Row],[Access to safe drinking water for Camp]])</f>
        <v>0</v>
      </c>
      <c r="CB238" s="556">
        <f>WWWW[[#This Row],[%Equitable and continuous access to sufficient quantity of safe drinking water]]*WWWW[[#This Row],[Total PoP ]]</f>
        <v>0</v>
      </c>
      <c r="CC238" s="559">
        <f>IF((WWWW[[#This Row],['#_Constructed/Existing protected/fenced ponds]]*250)/WWWW[[#This Row],[Total PoP ]]&gt;1,1,(WWWW[[#This Row],['#_Constructed/Existing protected/fenced ponds]]*250)/WWWW[[#This Row],[Total PoP ]])</f>
        <v>0</v>
      </c>
      <c r="CD238" s="556">
        <f>WWWW[[#This Row],[% Access to unimproved water points]]*WWWW[[#This Row],[Total PoP ]]</f>
        <v>0</v>
      </c>
      <c r="CE23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8" s="556">
        <f>WWWW[[#This Row],[HRP1]]/500</f>
        <v>0</v>
      </c>
      <c r="CH238" s="561">
        <f>1-WWWW[[#This Row],[% Equitable and continuous access to sufficient quantity of domestic water]]</f>
        <v>1</v>
      </c>
      <c r="CI238" s="556">
        <f>WWWW[[#This Row],[%equitable and continuous access to sufficient quantity of safe drinking and domestic water''s GAP]]*WWWW[[#This Row],[Total PoP ]]</f>
        <v>1614</v>
      </c>
      <c r="CJ238" s="558">
        <f>IF(WWWW[[#This Row],[Total required water points]]-WWWW[[#This Row],['#Water points coverage]]&lt;0,0,WWWW[[#This Row],[Total required water points]]-WWWW[[#This Row],['#Water points coverage]])</f>
        <v>3</v>
      </c>
      <c r="CK238" s="558">
        <f>ROUND(IF(WWWW[[#This Row],[Total PoP ]]&lt;500,1,WWWW[[#This Row],[Total PoP ]]/500),0)</f>
        <v>3</v>
      </c>
      <c r="CL238" s="558">
        <f>(WWWW[[#This Row],['#_Constructed latrines_by_WASHAgencies]]+WWWW[[#This Row],['#_Non Cluster partner latrines]])-WWWW[[#This Row],['#_Non-functional latrines]]</f>
        <v>0</v>
      </c>
      <c r="CM23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8" s="558" t="str">
        <f>IF(WWWW[[#This Row],[Location Type 1]]="Village","NA",IF(WWWW[[#This Row],['#_Constructed/Existing latrines in TLS]]*50&gt;WWWW[[#This Row],['#_students at TLS_CFS]],WWWW[[#This Row],['#_students at TLS_CFS]],(WWWW[[#This Row],['#_Constructed/Existing latrines in TLS]]*50)))</f>
        <v>NA</v>
      </c>
      <c r="CQ238" s="558">
        <f>ROUND(IF(WWWW[[#This Row],[Location Type 1]]="camp",WWWW[[#This Row],[Total PoP ]]/20,IF(WWWW[[#This Row],[Location Type 1]]="Temporary Location",WWWW[[#This Row],[Total PoP ]]/50,(WWWW[[#This Row],[Total PoP ]]/6))),0)</f>
        <v>269</v>
      </c>
      <c r="CR238" s="558">
        <f>IF(WWWW[[#This Row],[Total required Latrines]]-(WWWW[[#This Row],['#_Constructed latrines_by_WASHAgencies]]+WWWW[[#This Row],['#_Non Cluster partner latrines]])&lt;0,0,WWWW[[#This Row],[Total required Latrines]]-(WWWW[[#This Row],['#_Constructed latrines_by_WASHAgencies]]+WWWW[[#This Row],['#_Non Cluster partner latrines]]))</f>
        <v>269</v>
      </c>
      <c r="CS238" s="78">
        <f>1-WWWW[[#This Row],[% people access to functioning Latrine]]</f>
        <v>1</v>
      </c>
      <c r="CT238" s="560">
        <f>IF(OR(WWWW[[#This Row],['#_Non-functional latrines]]="",WWWW[[#This Row],['#_Non-functional latrines]]=0),0,WWWW[[#This Row],['#_Non-functional latrines]]/(WWWW[[#This Row],['#_Constructed latrines_by_WASHAgencies]]+WWWW[[#This Row],['#_Non Cluster partner latrines]]))</f>
        <v>0</v>
      </c>
      <c r="CU238" s="556">
        <f>IF(500*(WWWW[[#This Row],['#_male hygiene promoters]]+WWWW[[#This Row],['#_female hygiene promoters]])&gt;WWWW[[#This Row],[Total PoP ]],WWWW[[#This Row],[Total PoP ]],500*(WWWW[[#This Row],['#_male hygiene promoters]]+WWWW[[#This Row],['#_female hygiene promoters]]))</f>
        <v>0</v>
      </c>
      <c r="CV23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8" s="558">
        <f>IF(WWWW[[#This Row],['# People with access to soap]]&gt;WWWW[[#This Row],['# People with access to Sanity Pads]],WWWW[[#This Row],['# People with access to soap]],WWWW[[#This Row],['# People with access to Sanity Pads]])</f>
        <v>0</v>
      </c>
      <c r="CY23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8" s="561">
        <f>IF(WWWW[[#This Row],[HRP3]]/WWWW[[#This Row],[Total PoP ]]&gt;100%,100%,WWWW[[#This Row],[HRP3]]/WWWW[[#This Row],[Total PoP ]])</f>
        <v>0</v>
      </c>
      <c r="DA238" s="560">
        <f>1-WWWW[[#This Row],[Hygiene Coverage%]]</f>
        <v>1</v>
      </c>
      <c r="DB238" s="559">
        <f>WWWW[[#This Row],['# people reached by regular dedicated hygiene promotion_5]]/WWWW[[#This Row],[Total PoP ]]</f>
        <v>0</v>
      </c>
      <c r="DC238" s="559">
        <f>IF(WWWW[[#This Row],['#_households that received standard amount of soap for this quarter]]/WWWW[[#This Row],[Total HH]]&gt;1,1,WWWW[[#This Row],['#_households that received standard amount of soap for this quarter]]/WWWW[[#This Row],[Total HH]])</f>
        <v>0</v>
      </c>
      <c r="DD238" s="559">
        <f>IF(WWWW[[#This Row],['#_households that received standard amount of sanitary pads for this quarter]]/WWWW[[#This Row],[Total HH]]&gt;1,1,WWWW[[#This Row],['#_households that received standard amount of sanitary pads for this quarter]]/WWWW[[#This Row],[Total HH]])</f>
        <v>0</v>
      </c>
      <c r="DE238" s="558">
        <f>WWWW[[#This Row],['#_Constructed/Existing hand washing stations]]-WWWW[[#This Row],['#_Non-Functional_hand_washing_stations]]</f>
        <v>0</v>
      </c>
      <c r="DF238" s="757">
        <f>IF(WWWW[[#This Row],['# Functional hand washing stations during reporting period]]*20&gt;WWWW[[#This Row],[Total HH]],WWWW[[#This Row],[Total HH]],WWWW[[#This Row],['# Functional hand washing stations during reporting period]]*20)</f>
        <v>0</v>
      </c>
      <c r="DG238" s="556">
        <f>IF(WWWW[[#This Row],[Is sufficient soap available for TLS? (Yes/No)]]="yes",WWWW[[#This Row],['#_Constructed/Existing hand washing stations at TLS]],0)</f>
        <v>0</v>
      </c>
      <c r="DH238" s="556">
        <f>IF(WWWW[[#This Row],['# Functional hand washing stations during reporting period]]*100&gt;WWWW[[#This Row],[Total PoP ]],WWWW[[#This Row],[Total PoP ]],WWWW[[#This Row],['# Functional hand washing stations during reporting period]]*100)</f>
        <v>0</v>
      </c>
      <c r="DI238" s="556" t="str">
        <f>IF(OR(WWWW[[#This Row],['#_students at TLS_CFS]]="",WWWW[[#This Row],['#_students at TLS_CFS]]=0),"No","Yes")</f>
        <v>No</v>
      </c>
      <c r="DJ238" s="554">
        <f>VLOOKUP(WWWW[[#This Row],[Site Name]],SiteDB6[[Site Name]:[CCCM Management]],6,FALSE)</f>
        <v>0</v>
      </c>
      <c r="DK238" s="554">
        <f>VLOOKUP(WWWW[[#This Row],[Site Name]],SiteDB6[[Site Name]:[CCCM Focal Agency]],7,FALSE)</f>
        <v>0</v>
      </c>
      <c r="DL238" s="554" t="str">
        <f>VLOOKUP(WWWW[[#This Row],[Site Name]],SiteDB6[[Site Name]:[Location Type 1]],9,FALSE)</f>
        <v>Village</v>
      </c>
      <c r="DM238" s="554" t="str">
        <f>VLOOKUP(WWWW[[#This Row],[Site Name]],SiteDB6[[Site Name]:[Type of Accommodation]],10,FALSE)</f>
        <v>Village</v>
      </c>
      <c r="DN238" s="554" t="str">
        <f>VLOOKUP(WWWW[[#This Row],[Site Name]],SiteDB6[[Site Name]:[Ethnic or GCA/NGCA]],11,FALSE)</f>
        <v>Rakhine</v>
      </c>
      <c r="DO238" s="554">
        <f>VLOOKUP(WWWW[[#This Row],[Site Name]],SiteDB6[[Site Name]:[Lat]],12,FALSE)</f>
        <v>0</v>
      </c>
      <c r="DP238" s="554">
        <f>VLOOKUP(WWWW[[#This Row],[Site Name]],SiteDB6[[Site Name]:[Long]],13,FALSE)</f>
        <v>0</v>
      </c>
      <c r="DQ238" s="554">
        <f>VLOOKUP(WWWW[[#This Row],[Site Name]],SiteDB6[[Site Name]:[Pcode]],3,FALSE)</f>
        <v>197404</v>
      </c>
      <c r="DR238" s="563" t="str">
        <f t="shared" si="8"/>
        <v>Covered</v>
      </c>
      <c r="DS238" s="563"/>
    </row>
    <row r="239" spans="1:123">
      <c r="A239" s="552" t="s">
        <v>2518</v>
      </c>
      <c r="B239" s="552" t="s">
        <v>352</v>
      </c>
      <c r="C239" s="555" t="s">
        <v>352</v>
      </c>
      <c r="D239" s="555" t="s">
        <v>345</v>
      </c>
      <c r="E239" s="574" t="s">
        <v>3006</v>
      </c>
      <c r="F239" s="555" t="s">
        <v>420</v>
      </c>
      <c r="G239" s="574" t="str">
        <f>VLOOKUP(WWWW[[#This Row],[Site Name]],SiteDB6[[Site Name]:[Location Type]],8,FALSE)</f>
        <v>Village</v>
      </c>
      <c r="H239" s="555" t="s">
        <v>2857</v>
      </c>
      <c r="I239" s="557">
        <v>66</v>
      </c>
      <c r="J239" s="557">
        <v>1018</v>
      </c>
      <c r="K239" s="564"/>
      <c r="L239" s="565">
        <v>44439</v>
      </c>
      <c r="M239" s="557"/>
      <c r="N239" s="557"/>
      <c r="O239" s="557"/>
      <c r="P239" s="557"/>
      <c r="Q239" s="556"/>
      <c r="R239" s="557"/>
      <c r="S239" s="557"/>
      <c r="T239" s="557"/>
      <c r="U239" s="557"/>
      <c r="V239" s="557"/>
      <c r="W239" s="557"/>
      <c r="X239" s="557"/>
      <c r="Y239" s="557"/>
      <c r="Z239" s="557"/>
      <c r="AA239" s="557"/>
      <c r="AB239" s="557"/>
      <c r="AC239" s="557"/>
      <c r="AD239" s="557"/>
      <c r="AE239" s="557"/>
      <c r="AF239" s="557"/>
      <c r="AG239" s="557"/>
      <c r="AH239" s="557"/>
      <c r="AI239" s="557"/>
      <c r="AJ239" s="557"/>
      <c r="AK239" s="557"/>
      <c r="AL239" s="557"/>
      <c r="AM239" s="557"/>
      <c r="AN239" s="557"/>
      <c r="AO239" s="563"/>
      <c r="AP239" s="557"/>
      <c r="AQ239" s="557"/>
      <c r="AR239" s="559"/>
      <c r="AS239" s="557"/>
      <c r="AT239" s="557"/>
      <c r="AU239" s="557"/>
      <c r="AV239" s="557"/>
      <c r="AW239" s="557"/>
      <c r="AX239" s="554"/>
      <c r="AY239" s="563"/>
      <c r="AZ239" s="557"/>
      <c r="BA239" s="557"/>
      <c r="BB239" s="557"/>
      <c r="BC239" s="554"/>
      <c r="BD239" s="557"/>
      <c r="BE239" s="557"/>
      <c r="BF239" s="557"/>
      <c r="BG239" s="557"/>
      <c r="BH239" s="557"/>
      <c r="BI239" s="557"/>
      <c r="BJ239" s="557"/>
      <c r="BK239" s="557"/>
      <c r="BL239" s="557"/>
      <c r="BM239" s="554"/>
      <c r="BN239" s="558"/>
      <c r="BO239" s="559"/>
      <c r="BP239" s="554"/>
      <c r="BQ239" s="560" t="str">
        <f>IFERROR(WWWW[[#This Row],['#_Water sources treated]]/WWWW[[#This Row],['#_Water sources tested for contamination]],"no test")</f>
        <v>no test</v>
      </c>
      <c r="BR239" s="559" t="str">
        <f>IFERROR(WWWW[[#This Row],['#_Household received remediation action due to contamination]]/WWWW[[#This Row],['#_Household water samples tested for contamination]],"no test")</f>
        <v>no test</v>
      </c>
      <c r="BS239" s="558" t="str">
        <f>IF(AND(WWWW[[#This Row],[% of water sources treated]]="no test",WWWW[[#This Row],[% Household received corrective actions]]="no test"),"No Test","Tested")</f>
        <v>No Test</v>
      </c>
      <c r="BT239" s="558">
        <f>WWWW[[#This Row],['#_Constructed/existing protected hand dug well]]-WWWW[[#This Row],['#_Non-functional protected hand dug well]]</f>
        <v>0</v>
      </c>
      <c r="BU239" s="558">
        <f>(WWWW[[#This Row],['#_Constructed/Existing tube wells/boreholes/handpumps_WASH_agency]]+WWWW[[#This Row],['#_Non-Cluster partner water tube-wells/boreholes/handpumps]])-WWWW[[#This Row],['#_Non-functional tube wells/boreholes/handpumps]]</f>
        <v>0</v>
      </c>
      <c r="BV239" s="558">
        <f>WWWW[[#This Row],['#_Constructed/Existingwater storage tank with gravity fed reticulation system]]-WWWW[[#This Row],['#_Non-functional storage tank gravity fed reticulation system]]</f>
        <v>0</v>
      </c>
      <c r="BW239" s="558">
        <f>WWWW[[#This Row],['#_Water boating or water trucking]]</f>
        <v>0</v>
      </c>
      <c r="BX239" s="558">
        <f>WWWW[[#This Row],['#_Constructed/Existing water distribution system from river or natural spring]]</f>
        <v>0</v>
      </c>
      <c r="BY23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3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39" s="559">
        <f>IF(WWWW[[#This Row],[Location Type 1]]="Village",WWWW[[#This Row],[Access to safe drinking water for Village]],WWWW[[#This Row],[Access to safe drinking water for Camp]])</f>
        <v>0</v>
      </c>
      <c r="CB239" s="556">
        <f>WWWW[[#This Row],[%Equitable and continuous access to sufficient quantity of safe drinking water]]*WWWW[[#This Row],[Total PoP ]]</f>
        <v>0</v>
      </c>
      <c r="CC239" s="559">
        <f>IF((WWWW[[#This Row],['#_Constructed/Existing protected/fenced ponds]]*250)/WWWW[[#This Row],[Total PoP ]]&gt;1,1,(WWWW[[#This Row],['#_Constructed/Existing protected/fenced ponds]]*250)/WWWW[[#This Row],[Total PoP ]])</f>
        <v>0</v>
      </c>
      <c r="CD239" s="556">
        <f>WWWW[[#This Row],[% Access to unimproved water points]]*WWWW[[#This Row],[Total PoP ]]</f>
        <v>0</v>
      </c>
      <c r="CE23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3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39" s="556">
        <f>WWWW[[#This Row],[HRP1]]/500</f>
        <v>0</v>
      </c>
      <c r="CH239" s="561">
        <f>1-WWWW[[#This Row],[% Equitable and continuous access to sufficient quantity of domestic water]]</f>
        <v>1</v>
      </c>
      <c r="CI239" s="556">
        <f>WWWW[[#This Row],[%equitable and continuous access to sufficient quantity of safe drinking and domestic water''s GAP]]*WWWW[[#This Row],[Total PoP ]]</f>
        <v>1018</v>
      </c>
      <c r="CJ239" s="558">
        <f>IF(WWWW[[#This Row],[Total required water points]]-WWWW[[#This Row],['#Water points coverage]]&lt;0,0,WWWW[[#This Row],[Total required water points]]-WWWW[[#This Row],['#Water points coverage]])</f>
        <v>2</v>
      </c>
      <c r="CK239" s="558">
        <f>ROUND(IF(WWWW[[#This Row],[Total PoP ]]&lt;500,1,WWWW[[#This Row],[Total PoP ]]/500),0)</f>
        <v>2</v>
      </c>
      <c r="CL239" s="558">
        <f>(WWWW[[#This Row],['#_Constructed latrines_by_WASHAgencies]]+WWWW[[#This Row],['#_Non Cluster partner latrines]])-WWWW[[#This Row],['#_Non-functional latrines]]</f>
        <v>0</v>
      </c>
      <c r="CM23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3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3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39" s="558" t="str">
        <f>IF(WWWW[[#This Row],[Location Type 1]]="Village","NA",IF(WWWW[[#This Row],['#_Constructed/Existing latrines in TLS]]*50&gt;WWWW[[#This Row],['#_students at TLS_CFS]],WWWW[[#This Row],['#_students at TLS_CFS]],(WWWW[[#This Row],['#_Constructed/Existing latrines in TLS]]*50)))</f>
        <v>NA</v>
      </c>
      <c r="CQ239" s="558">
        <f>ROUND(IF(WWWW[[#This Row],[Location Type 1]]="camp",WWWW[[#This Row],[Total PoP ]]/20,IF(WWWW[[#This Row],[Location Type 1]]="Temporary Location",WWWW[[#This Row],[Total PoP ]]/50,(WWWW[[#This Row],[Total PoP ]]/6))),0)</f>
        <v>170</v>
      </c>
      <c r="CR239" s="558">
        <f>IF(WWWW[[#This Row],[Total required Latrines]]-(WWWW[[#This Row],['#_Constructed latrines_by_WASHAgencies]]+WWWW[[#This Row],['#_Non Cluster partner latrines]])&lt;0,0,WWWW[[#This Row],[Total required Latrines]]-(WWWW[[#This Row],['#_Constructed latrines_by_WASHAgencies]]+WWWW[[#This Row],['#_Non Cluster partner latrines]]))</f>
        <v>170</v>
      </c>
      <c r="CS239" s="78">
        <f>1-WWWW[[#This Row],[% people access to functioning Latrine]]</f>
        <v>1</v>
      </c>
      <c r="CT239" s="560">
        <f>IF(OR(WWWW[[#This Row],['#_Non-functional latrines]]="",WWWW[[#This Row],['#_Non-functional latrines]]=0),0,WWWW[[#This Row],['#_Non-functional latrines]]/(WWWW[[#This Row],['#_Constructed latrines_by_WASHAgencies]]+WWWW[[#This Row],['#_Non Cluster partner latrines]]))</f>
        <v>0</v>
      </c>
      <c r="CU239" s="556">
        <f>IF(500*(WWWW[[#This Row],['#_male hygiene promoters]]+WWWW[[#This Row],['#_female hygiene promoters]])&gt;WWWW[[#This Row],[Total PoP ]],WWWW[[#This Row],[Total PoP ]],500*(WWWW[[#This Row],['#_male hygiene promoters]]+WWWW[[#This Row],['#_female hygiene promoters]]))</f>
        <v>0</v>
      </c>
      <c r="CV23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3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39" s="558">
        <f>IF(WWWW[[#This Row],['# People with access to soap]]&gt;WWWW[[#This Row],['# People with access to Sanity Pads]],WWWW[[#This Row],['# People with access to soap]],WWWW[[#This Row],['# People with access to Sanity Pads]])</f>
        <v>0</v>
      </c>
      <c r="CY23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39" s="561">
        <f>IF(WWWW[[#This Row],[HRP3]]/WWWW[[#This Row],[Total PoP ]]&gt;100%,100%,WWWW[[#This Row],[HRP3]]/WWWW[[#This Row],[Total PoP ]])</f>
        <v>0</v>
      </c>
      <c r="DA239" s="560">
        <f>1-WWWW[[#This Row],[Hygiene Coverage%]]</f>
        <v>1</v>
      </c>
      <c r="DB239" s="559">
        <f>WWWW[[#This Row],['# people reached by regular dedicated hygiene promotion_5]]/WWWW[[#This Row],[Total PoP ]]</f>
        <v>0</v>
      </c>
      <c r="DC239" s="559">
        <f>IF(WWWW[[#This Row],['#_households that received standard amount of soap for this quarter]]/WWWW[[#This Row],[Total HH]]&gt;1,1,WWWW[[#This Row],['#_households that received standard amount of soap for this quarter]]/WWWW[[#This Row],[Total HH]])</f>
        <v>0</v>
      </c>
      <c r="DD239" s="559">
        <f>IF(WWWW[[#This Row],['#_households that received standard amount of sanitary pads for this quarter]]/WWWW[[#This Row],[Total HH]]&gt;1,1,WWWW[[#This Row],['#_households that received standard amount of sanitary pads for this quarter]]/WWWW[[#This Row],[Total HH]])</f>
        <v>0</v>
      </c>
      <c r="DE239" s="558">
        <f>WWWW[[#This Row],['#_Constructed/Existing hand washing stations]]-WWWW[[#This Row],['#_Non-Functional_hand_washing_stations]]</f>
        <v>0</v>
      </c>
      <c r="DF239" s="757">
        <f>IF(WWWW[[#This Row],['# Functional hand washing stations during reporting period]]*20&gt;WWWW[[#This Row],[Total HH]],WWWW[[#This Row],[Total HH]],WWWW[[#This Row],['# Functional hand washing stations during reporting period]]*20)</f>
        <v>0</v>
      </c>
      <c r="DG239" s="556">
        <f>IF(WWWW[[#This Row],[Is sufficient soap available for TLS? (Yes/No)]]="yes",WWWW[[#This Row],['#_Constructed/Existing hand washing stations at TLS]],0)</f>
        <v>0</v>
      </c>
      <c r="DH239" s="556">
        <f>IF(WWWW[[#This Row],['# Functional hand washing stations during reporting period]]*100&gt;WWWW[[#This Row],[Total PoP ]],WWWW[[#This Row],[Total PoP ]],WWWW[[#This Row],['# Functional hand washing stations during reporting period]]*100)</f>
        <v>0</v>
      </c>
      <c r="DI239" s="556" t="str">
        <f>IF(OR(WWWW[[#This Row],['#_students at TLS_CFS]]="",WWWW[[#This Row],['#_students at TLS_CFS]]=0),"No","Yes")</f>
        <v>No</v>
      </c>
      <c r="DJ239" s="554">
        <f>VLOOKUP(WWWW[[#This Row],[Site Name]],SiteDB6[[Site Name]:[CCCM Management]],6,FALSE)</f>
        <v>0</v>
      </c>
      <c r="DK239" s="554">
        <f>VLOOKUP(WWWW[[#This Row],[Site Name]],SiteDB6[[Site Name]:[CCCM Focal Agency]],7,FALSE)</f>
        <v>0</v>
      </c>
      <c r="DL239" s="554" t="str">
        <f>VLOOKUP(WWWW[[#This Row],[Site Name]],SiteDB6[[Site Name]:[Location Type 1]],9,FALSE)</f>
        <v>Village</v>
      </c>
      <c r="DM239" s="554" t="str">
        <f>VLOOKUP(WWWW[[#This Row],[Site Name]],SiteDB6[[Site Name]:[Type of Accommodation]],10,FALSE)</f>
        <v>Village</v>
      </c>
      <c r="DN239" s="554" t="str">
        <f>VLOOKUP(WWWW[[#This Row],[Site Name]],SiteDB6[[Site Name]:[Ethnic or GCA/NGCA]],11,FALSE)</f>
        <v>Rakhine</v>
      </c>
      <c r="DO239" s="554">
        <f>VLOOKUP(WWWW[[#This Row],[Site Name]],SiteDB6[[Site Name]:[Lat]],12,FALSE)</f>
        <v>20.260679244995099</v>
      </c>
      <c r="DP239" s="554">
        <f>VLOOKUP(WWWW[[#This Row],[Site Name]],SiteDB6[[Site Name]:[Long]],13,FALSE)</f>
        <v>93.051597595214801</v>
      </c>
      <c r="DQ239" s="554">
        <f>VLOOKUP(WWWW[[#This Row],[Site Name]],SiteDB6[[Site Name]:[Pcode]],3,FALSE)</f>
        <v>197401</v>
      </c>
      <c r="DR239" s="563" t="str">
        <f t="shared" si="8"/>
        <v>Covered</v>
      </c>
      <c r="DS239" s="563"/>
    </row>
    <row r="240" spans="1:123">
      <c r="A240" s="552" t="s">
        <v>2518</v>
      </c>
      <c r="B240" s="552" t="s">
        <v>352</v>
      </c>
      <c r="C240" s="555" t="s">
        <v>352</v>
      </c>
      <c r="D240" s="555" t="s">
        <v>345</v>
      </c>
      <c r="E240" s="574" t="s">
        <v>3006</v>
      </c>
      <c r="F240" s="555" t="s">
        <v>420</v>
      </c>
      <c r="G240" s="574" t="str">
        <f>VLOOKUP(WWWW[[#This Row],[Site Name]],SiteDB6[[Site Name]:[Location Type]],8,FALSE)</f>
        <v>Village</v>
      </c>
      <c r="H240" s="555" t="s">
        <v>2858</v>
      </c>
      <c r="I240" s="557">
        <v>173</v>
      </c>
      <c r="J240" s="557">
        <v>354</v>
      </c>
      <c r="K240" s="564"/>
      <c r="L240" s="565">
        <v>44439</v>
      </c>
      <c r="M240" s="557"/>
      <c r="N240" s="557"/>
      <c r="O240" s="557"/>
      <c r="P240" s="557"/>
      <c r="Q240" s="556"/>
      <c r="R240" s="557"/>
      <c r="S240" s="557"/>
      <c r="T240" s="557"/>
      <c r="U240" s="557"/>
      <c r="V240" s="557"/>
      <c r="W240" s="557"/>
      <c r="X240" s="557"/>
      <c r="Y240" s="557"/>
      <c r="Z240" s="557"/>
      <c r="AA240" s="557"/>
      <c r="AB240" s="557"/>
      <c r="AC240" s="557"/>
      <c r="AD240" s="557"/>
      <c r="AE240" s="557"/>
      <c r="AF240" s="557"/>
      <c r="AG240" s="557"/>
      <c r="AH240" s="557"/>
      <c r="AI240" s="557"/>
      <c r="AJ240" s="557"/>
      <c r="AK240" s="557"/>
      <c r="AL240" s="557"/>
      <c r="AM240" s="557"/>
      <c r="AN240" s="557"/>
      <c r="AO240" s="563"/>
      <c r="AP240" s="557"/>
      <c r="AQ240" s="557"/>
      <c r="AR240" s="559"/>
      <c r="AS240" s="557"/>
      <c r="AT240" s="557"/>
      <c r="AU240" s="557"/>
      <c r="AV240" s="557"/>
      <c r="AW240" s="557"/>
      <c r="AX240" s="554"/>
      <c r="AY240" s="563"/>
      <c r="AZ240" s="557"/>
      <c r="BA240" s="557"/>
      <c r="BB240" s="557"/>
      <c r="BC240" s="554"/>
      <c r="BD240" s="557"/>
      <c r="BE240" s="557"/>
      <c r="BF240" s="557"/>
      <c r="BG240" s="557"/>
      <c r="BH240" s="557"/>
      <c r="BI240" s="557"/>
      <c r="BJ240" s="557"/>
      <c r="BK240" s="557"/>
      <c r="BL240" s="557"/>
      <c r="BM240" s="554"/>
      <c r="BN240" s="558"/>
      <c r="BO240" s="559"/>
      <c r="BP240" s="554"/>
      <c r="BQ240" s="560" t="str">
        <f>IFERROR(WWWW[[#This Row],['#_Water sources treated]]/WWWW[[#This Row],['#_Water sources tested for contamination]],"no test")</f>
        <v>no test</v>
      </c>
      <c r="BR240" s="559" t="str">
        <f>IFERROR(WWWW[[#This Row],['#_Household received remediation action due to contamination]]/WWWW[[#This Row],['#_Household water samples tested for contamination]],"no test")</f>
        <v>no test</v>
      </c>
      <c r="BS240" s="558" t="str">
        <f>IF(AND(WWWW[[#This Row],[% of water sources treated]]="no test",WWWW[[#This Row],[% Household received corrective actions]]="no test"),"No Test","Tested")</f>
        <v>No Test</v>
      </c>
      <c r="BT240" s="558">
        <f>WWWW[[#This Row],['#_Constructed/existing protected hand dug well]]-WWWW[[#This Row],['#_Non-functional protected hand dug well]]</f>
        <v>0</v>
      </c>
      <c r="BU240" s="558">
        <f>(WWWW[[#This Row],['#_Constructed/Existing tube wells/boreholes/handpumps_WASH_agency]]+WWWW[[#This Row],['#_Non-Cluster partner water tube-wells/boreholes/handpumps]])-WWWW[[#This Row],['#_Non-functional tube wells/boreholes/handpumps]]</f>
        <v>0</v>
      </c>
      <c r="BV240" s="558">
        <f>WWWW[[#This Row],['#_Constructed/Existingwater storage tank with gravity fed reticulation system]]-WWWW[[#This Row],['#_Non-functional storage tank gravity fed reticulation system]]</f>
        <v>0</v>
      </c>
      <c r="BW240" s="558">
        <f>WWWW[[#This Row],['#_Water boating or water trucking]]</f>
        <v>0</v>
      </c>
      <c r="BX240" s="558">
        <f>WWWW[[#This Row],['#_Constructed/Existing water distribution system from river or natural spring]]</f>
        <v>0</v>
      </c>
      <c r="BY24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0" s="559">
        <f>IF(WWWW[[#This Row],[Location Type 1]]="Village",WWWW[[#This Row],[Access to safe drinking water for Village]],WWWW[[#This Row],[Access to safe drinking water for Camp]])</f>
        <v>0</v>
      </c>
      <c r="CB240" s="556">
        <f>WWWW[[#This Row],[%Equitable and continuous access to sufficient quantity of safe drinking water]]*WWWW[[#This Row],[Total PoP ]]</f>
        <v>0</v>
      </c>
      <c r="CC240" s="559">
        <f>IF((WWWW[[#This Row],['#_Constructed/Existing protected/fenced ponds]]*250)/WWWW[[#This Row],[Total PoP ]]&gt;1,1,(WWWW[[#This Row],['#_Constructed/Existing protected/fenced ponds]]*250)/WWWW[[#This Row],[Total PoP ]])</f>
        <v>0</v>
      </c>
      <c r="CD240" s="556">
        <f>WWWW[[#This Row],[% Access to unimproved water points]]*WWWW[[#This Row],[Total PoP ]]</f>
        <v>0</v>
      </c>
      <c r="CE24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0" s="556">
        <f>WWWW[[#This Row],[HRP1]]/500</f>
        <v>0</v>
      </c>
      <c r="CH240" s="561">
        <f>1-WWWW[[#This Row],[% Equitable and continuous access to sufficient quantity of domestic water]]</f>
        <v>1</v>
      </c>
      <c r="CI240" s="556">
        <f>WWWW[[#This Row],[%equitable and continuous access to sufficient quantity of safe drinking and domestic water''s GAP]]*WWWW[[#This Row],[Total PoP ]]</f>
        <v>354</v>
      </c>
      <c r="CJ240" s="558">
        <f>IF(WWWW[[#This Row],[Total required water points]]-WWWW[[#This Row],['#Water points coverage]]&lt;0,0,WWWW[[#This Row],[Total required water points]]-WWWW[[#This Row],['#Water points coverage]])</f>
        <v>1</v>
      </c>
      <c r="CK240" s="558">
        <f>ROUND(IF(WWWW[[#This Row],[Total PoP ]]&lt;500,1,WWWW[[#This Row],[Total PoP ]]/500),0)</f>
        <v>1</v>
      </c>
      <c r="CL240" s="558">
        <f>(WWWW[[#This Row],['#_Constructed latrines_by_WASHAgencies]]+WWWW[[#This Row],['#_Non Cluster partner latrines]])-WWWW[[#This Row],['#_Non-functional latrines]]</f>
        <v>0</v>
      </c>
      <c r="CM24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0" s="558" t="str">
        <f>IF(WWWW[[#This Row],[Location Type 1]]="Village","NA",IF(WWWW[[#This Row],['#_Constructed/Existing latrines in TLS]]*50&gt;WWWW[[#This Row],['#_students at TLS_CFS]],WWWW[[#This Row],['#_students at TLS_CFS]],(WWWW[[#This Row],['#_Constructed/Existing latrines in TLS]]*50)))</f>
        <v>NA</v>
      </c>
      <c r="CQ240" s="558">
        <f>ROUND(IF(WWWW[[#This Row],[Location Type 1]]="camp",WWWW[[#This Row],[Total PoP ]]/20,IF(WWWW[[#This Row],[Location Type 1]]="Temporary Location",WWWW[[#This Row],[Total PoP ]]/50,(WWWW[[#This Row],[Total PoP ]]/6))),0)</f>
        <v>59</v>
      </c>
      <c r="CR240" s="558">
        <f>IF(WWWW[[#This Row],[Total required Latrines]]-(WWWW[[#This Row],['#_Constructed latrines_by_WASHAgencies]]+WWWW[[#This Row],['#_Non Cluster partner latrines]])&lt;0,0,WWWW[[#This Row],[Total required Latrines]]-(WWWW[[#This Row],['#_Constructed latrines_by_WASHAgencies]]+WWWW[[#This Row],['#_Non Cluster partner latrines]]))</f>
        <v>59</v>
      </c>
      <c r="CS240" s="78">
        <f>1-WWWW[[#This Row],[% people access to functioning Latrine]]</f>
        <v>1</v>
      </c>
      <c r="CT240" s="560">
        <f>IF(OR(WWWW[[#This Row],['#_Non-functional latrines]]="",WWWW[[#This Row],['#_Non-functional latrines]]=0),0,WWWW[[#This Row],['#_Non-functional latrines]]/(WWWW[[#This Row],['#_Constructed latrines_by_WASHAgencies]]+WWWW[[#This Row],['#_Non Cluster partner latrines]]))</f>
        <v>0</v>
      </c>
      <c r="CU240" s="556">
        <f>IF(500*(WWWW[[#This Row],['#_male hygiene promoters]]+WWWW[[#This Row],['#_female hygiene promoters]])&gt;WWWW[[#This Row],[Total PoP ]],WWWW[[#This Row],[Total PoP ]],500*(WWWW[[#This Row],['#_male hygiene promoters]]+WWWW[[#This Row],['#_female hygiene promoters]]))</f>
        <v>0</v>
      </c>
      <c r="CV24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0" s="558">
        <f>IF(WWWW[[#This Row],['# People with access to soap]]&gt;WWWW[[#This Row],['# People with access to Sanity Pads]],WWWW[[#This Row],['# People with access to soap]],WWWW[[#This Row],['# People with access to Sanity Pads]])</f>
        <v>0</v>
      </c>
      <c r="CY24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0" s="561">
        <f>IF(WWWW[[#This Row],[HRP3]]/WWWW[[#This Row],[Total PoP ]]&gt;100%,100%,WWWW[[#This Row],[HRP3]]/WWWW[[#This Row],[Total PoP ]])</f>
        <v>0</v>
      </c>
      <c r="DA240" s="560">
        <f>1-WWWW[[#This Row],[Hygiene Coverage%]]</f>
        <v>1</v>
      </c>
      <c r="DB240" s="559">
        <f>WWWW[[#This Row],['# people reached by regular dedicated hygiene promotion_5]]/WWWW[[#This Row],[Total PoP ]]</f>
        <v>0</v>
      </c>
      <c r="DC240" s="559">
        <f>IF(WWWW[[#This Row],['#_households that received standard amount of soap for this quarter]]/WWWW[[#This Row],[Total HH]]&gt;1,1,WWWW[[#This Row],['#_households that received standard amount of soap for this quarter]]/WWWW[[#This Row],[Total HH]])</f>
        <v>0</v>
      </c>
      <c r="DD240" s="559">
        <f>IF(WWWW[[#This Row],['#_households that received standard amount of sanitary pads for this quarter]]/WWWW[[#This Row],[Total HH]]&gt;1,1,WWWW[[#This Row],['#_households that received standard amount of sanitary pads for this quarter]]/WWWW[[#This Row],[Total HH]])</f>
        <v>0</v>
      </c>
      <c r="DE240" s="558">
        <f>WWWW[[#This Row],['#_Constructed/Existing hand washing stations]]-WWWW[[#This Row],['#_Non-Functional_hand_washing_stations]]</f>
        <v>0</v>
      </c>
      <c r="DF240" s="757">
        <f>IF(WWWW[[#This Row],['# Functional hand washing stations during reporting period]]*20&gt;WWWW[[#This Row],[Total HH]],WWWW[[#This Row],[Total HH]],WWWW[[#This Row],['# Functional hand washing stations during reporting period]]*20)</f>
        <v>0</v>
      </c>
      <c r="DG240" s="556">
        <f>IF(WWWW[[#This Row],[Is sufficient soap available for TLS? (Yes/No)]]="yes",WWWW[[#This Row],['#_Constructed/Existing hand washing stations at TLS]],0)</f>
        <v>0</v>
      </c>
      <c r="DH240" s="556">
        <f>IF(WWWW[[#This Row],['# Functional hand washing stations during reporting period]]*100&gt;WWWW[[#This Row],[Total PoP ]],WWWW[[#This Row],[Total PoP ]],WWWW[[#This Row],['# Functional hand washing stations during reporting period]]*100)</f>
        <v>0</v>
      </c>
      <c r="DI240" s="556" t="str">
        <f>IF(OR(WWWW[[#This Row],['#_students at TLS_CFS]]="",WWWW[[#This Row],['#_students at TLS_CFS]]=0),"No","Yes")</f>
        <v>No</v>
      </c>
      <c r="DJ240" s="554">
        <f>VLOOKUP(WWWW[[#This Row],[Site Name]],SiteDB6[[Site Name]:[CCCM Management]],6,FALSE)</f>
        <v>0</v>
      </c>
      <c r="DK240" s="554">
        <f>VLOOKUP(WWWW[[#This Row],[Site Name]],SiteDB6[[Site Name]:[CCCM Focal Agency]],7,FALSE)</f>
        <v>0</v>
      </c>
      <c r="DL240" s="554" t="str">
        <f>VLOOKUP(WWWW[[#This Row],[Site Name]],SiteDB6[[Site Name]:[Location Type 1]],9,FALSE)</f>
        <v>Village</v>
      </c>
      <c r="DM240" s="554" t="str">
        <f>VLOOKUP(WWWW[[#This Row],[Site Name]],SiteDB6[[Site Name]:[Type of Accommodation]],10,FALSE)</f>
        <v>Village</v>
      </c>
      <c r="DN240" s="554" t="str">
        <f>VLOOKUP(WWWW[[#This Row],[Site Name]],SiteDB6[[Site Name]:[Ethnic or GCA/NGCA]],11,FALSE)</f>
        <v>Rakhine</v>
      </c>
      <c r="DO240" s="554">
        <f>VLOOKUP(WWWW[[#This Row],[Site Name]],SiteDB6[[Site Name]:[Lat]],12,FALSE)</f>
        <v>0</v>
      </c>
      <c r="DP240" s="554">
        <f>VLOOKUP(WWWW[[#This Row],[Site Name]],SiteDB6[[Site Name]:[Long]],13,FALSE)</f>
        <v>0</v>
      </c>
      <c r="DQ240" s="554">
        <f>VLOOKUP(WWWW[[#This Row],[Site Name]],SiteDB6[[Site Name]:[Pcode]],3,FALSE)</f>
        <v>197403</v>
      </c>
      <c r="DR240" s="563" t="str">
        <f t="shared" si="8"/>
        <v>Covered</v>
      </c>
      <c r="DS240" s="563"/>
    </row>
    <row r="241" spans="1:123">
      <c r="A241" s="552" t="s">
        <v>2518</v>
      </c>
      <c r="B241" s="552" t="s">
        <v>352</v>
      </c>
      <c r="C241" s="555" t="s">
        <v>352</v>
      </c>
      <c r="D241" s="555" t="s">
        <v>345</v>
      </c>
      <c r="E241" s="574" t="s">
        <v>3006</v>
      </c>
      <c r="F241" s="555" t="s">
        <v>420</v>
      </c>
      <c r="G241" s="574" t="str">
        <f>VLOOKUP(WWWW[[#This Row],[Site Name]],SiteDB6[[Site Name]:[Location Type]],8,FALSE)</f>
        <v>Village</v>
      </c>
      <c r="H241" s="555" t="s">
        <v>2859</v>
      </c>
      <c r="I241" s="557">
        <v>436</v>
      </c>
      <c r="J241" s="557">
        <v>2287</v>
      </c>
      <c r="K241" s="564"/>
      <c r="L241" s="565">
        <v>44439</v>
      </c>
      <c r="M241" s="557"/>
      <c r="N241" s="557"/>
      <c r="O241" s="557"/>
      <c r="P241" s="557"/>
      <c r="Q241" s="556"/>
      <c r="R241" s="557"/>
      <c r="S241" s="557"/>
      <c r="T241" s="557"/>
      <c r="U241" s="557"/>
      <c r="V241" s="557"/>
      <c r="W241" s="557"/>
      <c r="X241" s="557"/>
      <c r="Y241" s="557"/>
      <c r="Z241" s="557"/>
      <c r="AA241" s="557"/>
      <c r="AB241" s="557"/>
      <c r="AC241" s="557"/>
      <c r="AD241" s="557"/>
      <c r="AE241" s="557"/>
      <c r="AF241" s="557"/>
      <c r="AG241" s="557"/>
      <c r="AH241" s="557"/>
      <c r="AI241" s="557"/>
      <c r="AJ241" s="557"/>
      <c r="AK241" s="557"/>
      <c r="AL241" s="557"/>
      <c r="AM241" s="557"/>
      <c r="AN241" s="557"/>
      <c r="AO241" s="563"/>
      <c r="AP241" s="557"/>
      <c r="AQ241" s="557"/>
      <c r="AR241" s="559"/>
      <c r="AS241" s="557"/>
      <c r="AT241" s="557"/>
      <c r="AU241" s="557"/>
      <c r="AV241" s="557"/>
      <c r="AW241" s="557"/>
      <c r="AX241" s="554"/>
      <c r="AY241" s="563"/>
      <c r="AZ241" s="557"/>
      <c r="BA241" s="557"/>
      <c r="BB241" s="557"/>
      <c r="BC241" s="554"/>
      <c r="BD241" s="557"/>
      <c r="BE241" s="557"/>
      <c r="BF241" s="557"/>
      <c r="BG241" s="557"/>
      <c r="BH241" s="557"/>
      <c r="BI241" s="557"/>
      <c r="BJ241" s="557"/>
      <c r="BK241" s="557"/>
      <c r="BL241" s="557"/>
      <c r="BM241" s="554"/>
      <c r="BN241" s="558"/>
      <c r="BO241" s="559"/>
      <c r="BP241" s="554"/>
      <c r="BQ241" s="560" t="str">
        <f>IFERROR(WWWW[[#This Row],['#_Water sources treated]]/WWWW[[#This Row],['#_Water sources tested for contamination]],"no test")</f>
        <v>no test</v>
      </c>
      <c r="BR241" s="559" t="str">
        <f>IFERROR(WWWW[[#This Row],['#_Household received remediation action due to contamination]]/WWWW[[#This Row],['#_Household water samples tested for contamination]],"no test")</f>
        <v>no test</v>
      </c>
      <c r="BS241" s="558" t="str">
        <f>IF(AND(WWWW[[#This Row],[% of water sources treated]]="no test",WWWW[[#This Row],[% Household received corrective actions]]="no test"),"No Test","Tested")</f>
        <v>No Test</v>
      </c>
      <c r="BT241" s="558">
        <f>WWWW[[#This Row],['#_Constructed/existing protected hand dug well]]-WWWW[[#This Row],['#_Non-functional protected hand dug well]]</f>
        <v>0</v>
      </c>
      <c r="BU241" s="558">
        <f>(WWWW[[#This Row],['#_Constructed/Existing tube wells/boreholes/handpumps_WASH_agency]]+WWWW[[#This Row],['#_Non-Cluster partner water tube-wells/boreholes/handpumps]])-WWWW[[#This Row],['#_Non-functional tube wells/boreholes/handpumps]]</f>
        <v>0</v>
      </c>
      <c r="BV241" s="558">
        <f>WWWW[[#This Row],['#_Constructed/Existingwater storage tank with gravity fed reticulation system]]-WWWW[[#This Row],['#_Non-functional storage tank gravity fed reticulation system]]</f>
        <v>0</v>
      </c>
      <c r="BW241" s="558">
        <f>WWWW[[#This Row],['#_Water boating or water trucking]]</f>
        <v>0</v>
      </c>
      <c r="BX241" s="558">
        <f>WWWW[[#This Row],['#_Constructed/Existing water distribution system from river or natural spring]]</f>
        <v>0</v>
      </c>
      <c r="BY24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1" s="559">
        <f>IF(WWWW[[#This Row],[Location Type 1]]="Village",WWWW[[#This Row],[Access to safe drinking water for Village]],WWWW[[#This Row],[Access to safe drinking water for Camp]])</f>
        <v>0</v>
      </c>
      <c r="CB241" s="556">
        <f>WWWW[[#This Row],[%Equitable and continuous access to sufficient quantity of safe drinking water]]*WWWW[[#This Row],[Total PoP ]]</f>
        <v>0</v>
      </c>
      <c r="CC241" s="559">
        <f>IF((WWWW[[#This Row],['#_Constructed/Existing protected/fenced ponds]]*250)/WWWW[[#This Row],[Total PoP ]]&gt;1,1,(WWWW[[#This Row],['#_Constructed/Existing protected/fenced ponds]]*250)/WWWW[[#This Row],[Total PoP ]])</f>
        <v>0</v>
      </c>
      <c r="CD241" s="556">
        <f>WWWW[[#This Row],[% Access to unimproved water points]]*WWWW[[#This Row],[Total PoP ]]</f>
        <v>0</v>
      </c>
      <c r="CE24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1" s="556">
        <f>WWWW[[#This Row],[HRP1]]/500</f>
        <v>0</v>
      </c>
      <c r="CH241" s="561">
        <f>1-WWWW[[#This Row],[% Equitable and continuous access to sufficient quantity of domestic water]]</f>
        <v>1</v>
      </c>
      <c r="CI241" s="556">
        <f>WWWW[[#This Row],[%equitable and continuous access to sufficient quantity of safe drinking and domestic water''s GAP]]*WWWW[[#This Row],[Total PoP ]]</f>
        <v>2287</v>
      </c>
      <c r="CJ241" s="558">
        <f>IF(WWWW[[#This Row],[Total required water points]]-WWWW[[#This Row],['#Water points coverage]]&lt;0,0,WWWW[[#This Row],[Total required water points]]-WWWW[[#This Row],['#Water points coverage]])</f>
        <v>5</v>
      </c>
      <c r="CK241" s="558">
        <f>ROUND(IF(WWWW[[#This Row],[Total PoP ]]&lt;500,1,WWWW[[#This Row],[Total PoP ]]/500),0)</f>
        <v>5</v>
      </c>
      <c r="CL241" s="558">
        <f>(WWWW[[#This Row],['#_Constructed latrines_by_WASHAgencies]]+WWWW[[#This Row],['#_Non Cluster partner latrines]])-WWWW[[#This Row],['#_Non-functional latrines]]</f>
        <v>0</v>
      </c>
      <c r="CM24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1" s="558" t="str">
        <f>IF(WWWW[[#This Row],[Location Type 1]]="Village","NA",IF(WWWW[[#This Row],['#_Constructed/Existing latrines in TLS]]*50&gt;WWWW[[#This Row],['#_students at TLS_CFS]],WWWW[[#This Row],['#_students at TLS_CFS]],(WWWW[[#This Row],['#_Constructed/Existing latrines in TLS]]*50)))</f>
        <v>NA</v>
      </c>
      <c r="CQ241" s="558">
        <f>ROUND(IF(WWWW[[#This Row],[Location Type 1]]="camp",WWWW[[#This Row],[Total PoP ]]/20,IF(WWWW[[#This Row],[Location Type 1]]="Temporary Location",WWWW[[#This Row],[Total PoP ]]/50,(WWWW[[#This Row],[Total PoP ]]/6))),0)</f>
        <v>381</v>
      </c>
      <c r="CR241" s="558">
        <f>IF(WWWW[[#This Row],[Total required Latrines]]-(WWWW[[#This Row],['#_Constructed latrines_by_WASHAgencies]]+WWWW[[#This Row],['#_Non Cluster partner latrines]])&lt;0,0,WWWW[[#This Row],[Total required Latrines]]-(WWWW[[#This Row],['#_Constructed latrines_by_WASHAgencies]]+WWWW[[#This Row],['#_Non Cluster partner latrines]]))</f>
        <v>381</v>
      </c>
      <c r="CS241" s="78">
        <f>1-WWWW[[#This Row],[% people access to functioning Latrine]]</f>
        <v>1</v>
      </c>
      <c r="CT241" s="560">
        <f>IF(OR(WWWW[[#This Row],['#_Non-functional latrines]]="",WWWW[[#This Row],['#_Non-functional latrines]]=0),0,WWWW[[#This Row],['#_Non-functional latrines]]/(WWWW[[#This Row],['#_Constructed latrines_by_WASHAgencies]]+WWWW[[#This Row],['#_Non Cluster partner latrines]]))</f>
        <v>0</v>
      </c>
      <c r="CU241" s="556">
        <f>IF(500*(WWWW[[#This Row],['#_male hygiene promoters]]+WWWW[[#This Row],['#_female hygiene promoters]])&gt;WWWW[[#This Row],[Total PoP ]],WWWW[[#This Row],[Total PoP ]],500*(WWWW[[#This Row],['#_male hygiene promoters]]+WWWW[[#This Row],['#_female hygiene promoters]]))</f>
        <v>0</v>
      </c>
      <c r="CV24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1" s="558">
        <f>IF(WWWW[[#This Row],['# People with access to soap]]&gt;WWWW[[#This Row],['# People with access to Sanity Pads]],WWWW[[#This Row],['# People with access to soap]],WWWW[[#This Row],['# People with access to Sanity Pads]])</f>
        <v>0</v>
      </c>
      <c r="CY24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1" s="561">
        <f>IF(WWWW[[#This Row],[HRP3]]/WWWW[[#This Row],[Total PoP ]]&gt;100%,100%,WWWW[[#This Row],[HRP3]]/WWWW[[#This Row],[Total PoP ]])</f>
        <v>0</v>
      </c>
      <c r="DA241" s="560">
        <f>1-WWWW[[#This Row],[Hygiene Coverage%]]</f>
        <v>1</v>
      </c>
      <c r="DB241" s="559">
        <f>WWWW[[#This Row],['# people reached by regular dedicated hygiene promotion_5]]/WWWW[[#This Row],[Total PoP ]]</f>
        <v>0</v>
      </c>
      <c r="DC241" s="559">
        <f>IF(WWWW[[#This Row],['#_households that received standard amount of soap for this quarter]]/WWWW[[#This Row],[Total HH]]&gt;1,1,WWWW[[#This Row],['#_households that received standard amount of soap for this quarter]]/WWWW[[#This Row],[Total HH]])</f>
        <v>0</v>
      </c>
      <c r="DD241" s="559">
        <f>IF(WWWW[[#This Row],['#_households that received standard amount of sanitary pads for this quarter]]/WWWW[[#This Row],[Total HH]]&gt;1,1,WWWW[[#This Row],['#_households that received standard amount of sanitary pads for this quarter]]/WWWW[[#This Row],[Total HH]])</f>
        <v>0</v>
      </c>
      <c r="DE241" s="558">
        <f>WWWW[[#This Row],['#_Constructed/Existing hand washing stations]]-WWWW[[#This Row],['#_Non-Functional_hand_washing_stations]]</f>
        <v>0</v>
      </c>
      <c r="DF241" s="757">
        <f>IF(WWWW[[#This Row],['# Functional hand washing stations during reporting period]]*20&gt;WWWW[[#This Row],[Total HH]],WWWW[[#This Row],[Total HH]],WWWW[[#This Row],['# Functional hand washing stations during reporting period]]*20)</f>
        <v>0</v>
      </c>
      <c r="DG241" s="556">
        <f>IF(WWWW[[#This Row],[Is sufficient soap available for TLS? (Yes/No)]]="yes",WWWW[[#This Row],['#_Constructed/Existing hand washing stations at TLS]],0)</f>
        <v>0</v>
      </c>
      <c r="DH241" s="556">
        <f>IF(WWWW[[#This Row],['# Functional hand washing stations during reporting period]]*100&gt;WWWW[[#This Row],[Total PoP ]],WWWW[[#This Row],[Total PoP ]],WWWW[[#This Row],['# Functional hand washing stations during reporting period]]*100)</f>
        <v>0</v>
      </c>
      <c r="DI241" s="556" t="str">
        <f>IF(OR(WWWW[[#This Row],['#_students at TLS_CFS]]="",WWWW[[#This Row],['#_students at TLS_CFS]]=0),"No","Yes")</f>
        <v>No</v>
      </c>
      <c r="DJ241" s="554">
        <f>VLOOKUP(WWWW[[#This Row],[Site Name]],SiteDB6[[Site Name]:[CCCM Management]],6,FALSE)</f>
        <v>0</v>
      </c>
      <c r="DK241" s="554">
        <f>VLOOKUP(WWWW[[#This Row],[Site Name]],SiteDB6[[Site Name]:[CCCM Focal Agency]],7,FALSE)</f>
        <v>0</v>
      </c>
      <c r="DL241" s="554" t="str">
        <f>VLOOKUP(WWWW[[#This Row],[Site Name]],SiteDB6[[Site Name]:[Location Type 1]],9,FALSE)</f>
        <v>Village</v>
      </c>
      <c r="DM241" s="554" t="str">
        <f>VLOOKUP(WWWW[[#This Row],[Site Name]],SiteDB6[[Site Name]:[Type of Accommodation]],10,FALSE)</f>
        <v>Village</v>
      </c>
      <c r="DN241" s="554" t="str">
        <f>VLOOKUP(WWWW[[#This Row],[Site Name]],SiteDB6[[Site Name]:[Ethnic or GCA/NGCA]],11,FALSE)</f>
        <v>Rakhine</v>
      </c>
      <c r="DO241" s="554">
        <f>VLOOKUP(WWWW[[#This Row],[Site Name]],SiteDB6[[Site Name]:[Lat]],12,FALSE)</f>
        <v>0</v>
      </c>
      <c r="DP241" s="554">
        <f>VLOOKUP(WWWW[[#This Row],[Site Name]],SiteDB6[[Site Name]:[Long]],13,FALSE)</f>
        <v>0</v>
      </c>
      <c r="DQ241" s="554">
        <f>VLOOKUP(WWWW[[#This Row],[Site Name]],SiteDB6[[Site Name]:[Pcode]],3,FALSE)</f>
        <v>197460</v>
      </c>
      <c r="DR241" s="563" t="str">
        <f t="shared" si="8"/>
        <v>Covered</v>
      </c>
      <c r="DS241" s="563"/>
    </row>
    <row r="242" spans="1:123">
      <c r="A242" s="552" t="s">
        <v>2518</v>
      </c>
      <c r="B242" s="552" t="s">
        <v>352</v>
      </c>
      <c r="C242" s="555" t="s">
        <v>352</v>
      </c>
      <c r="D242" s="555" t="s">
        <v>345</v>
      </c>
      <c r="E242" s="574" t="s">
        <v>3006</v>
      </c>
      <c r="F242" s="555" t="s">
        <v>420</v>
      </c>
      <c r="G242" s="574" t="str">
        <f>VLOOKUP(WWWW[[#This Row],[Site Name]],SiteDB6[[Site Name]:[Location Type]],8,FALSE)</f>
        <v>Village</v>
      </c>
      <c r="H242" s="555" t="s">
        <v>2860</v>
      </c>
      <c r="I242" s="557">
        <v>370</v>
      </c>
      <c r="J242" s="557">
        <v>1711</v>
      </c>
      <c r="K242" s="564"/>
      <c r="L242" s="565">
        <v>44439</v>
      </c>
      <c r="M242" s="557"/>
      <c r="N242" s="557"/>
      <c r="O242" s="557"/>
      <c r="P242" s="557"/>
      <c r="Q242" s="556"/>
      <c r="R242" s="557"/>
      <c r="S242" s="557"/>
      <c r="T242" s="557"/>
      <c r="U242" s="557"/>
      <c r="V242" s="557"/>
      <c r="W242" s="557"/>
      <c r="X242" s="557"/>
      <c r="Y242" s="557"/>
      <c r="Z242" s="557"/>
      <c r="AA242" s="557"/>
      <c r="AB242" s="557"/>
      <c r="AC242" s="557"/>
      <c r="AD242" s="557"/>
      <c r="AE242" s="557"/>
      <c r="AF242" s="557"/>
      <c r="AG242" s="557"/>
      <c r="AH242" s="557"/>
      <c r="AI242" s="557"/>
      <c r="AJ242" s="557"/>
      <c r="AK242" s="557"/>
      <c r="AL242" s="557"/>
      <c r="AM242" s="557"/>
      <c r="AN242" s="557"/>
      <c r="AO242" s="563"/>
      <c r="AP242" s="557"/>
      <c r="AQ242" s="557"/>
      <c r="AR242" s="559"/>
      <c r="AS242" s="557"/>
      <c r="AT242" s="557"/>
      <c r="AU242" s="557"/>
      <c r="AV242" s="557"/>
      <c r="AW242" s="557"/>
      <c r="AX242" s="554"/>
      <c r="AY242" s="563"/>
      <c r="AZ242" s="557"/>
      <c r="BA242" s="557"/>
      <c r="BB242" s="557"/>
      <c r="BC242" s="554"/>
      <c r="BD242" s="557"/>
      <c r="BE242" s="557"/>
      <c r="BF242" s="557"/>
      <c r="BG242" s="557"/>
      <c r="BH242" s="557"/>
      <c r="BI242" s="557"/>
      <c r="BJ242" s="557"/>
      <c r="BK242" s="557"/>
      <c r="BL242" s="557"/>
      <c r="BM242" s="554"/>
      <c r="BN242" s="558"/>
      <c r="BO242" s="559"/>
      <c r="BP242" s="554"/>
      <c r="BQ242" s="560" t="str">
        <f>IFERROR(WWWW[[#This Row],['#_Water sources treated]]/WWWW[[#This Row],['#_Water sources tested for contamination]],"no test")</f>
        <v>no test</v>
      </c>
      <c r="BR242" s="559" t="str">
        <f>IFERROR(WWWW[[#This Row],['#_Household received remediation action due to contamination]]/WWWW[[#This Row],['#_Household water samples tested for contamination]],"no test")</f>
        <v>no test</v>
      </c>
      <c r="BS242" s="558" t="str">
        <f>IF(AND(WWWW[[#This Row],[% of water sources treated]]="no test",WWWW[[#This Row],[% Household received corrective actions]]="no test"),"No Test","Tested")</f>
        <v>No Test</v>
      </c>
      <c r="BT242" s="558">
        <f>WWWW[[#This Row],['#_Constructed/existing protected hand dug well]]-WWWW[[#This Row],['#_Non-functional protected hand dug well]]</f>
        <v>0</v>
      </c>
      <c r="BU242" s="558">
        <f>(WWWW[[#This Row],['#_Constructed/Existing tube wells/boreholes/handpumps_WASH_agency]]+WWWW[[#This Row],['#_Non-Cluster partner water tube-wells/boreholes/handpumps]])-WWWW[[#This Row],['#_Non-functional tube wells/boreholes/handpumps]]</f>
        <v>0</v>
      </c>
      <c r="BV242" s="558">
        <f>WWWW[[#This Row],['#_Constructed/Existingwater storage tank with gravity fed reticulation system]]-WWWW[[#This Row],['#_Non-functional storage tank gravity fed reticulation system]]</f>
        <v>0</v>
      </c>
      <c r="BW242" s="558">
        <f>WWWW[[#This Row],['#_Water boating or water trucking]]</f>
        <v>0</v>
      </c>
      <c r="BX242" s="558">
        <f>WWWW[[#This Row],['#_Constructed/Existing water distribution system from river or natural spring]]</f>
        <v>0</v>
      </c>
      <c r="BY24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2" s="559">
        <f>IF(WWWW[[#This Row],[Location Type 1]]="Village",WWWW[[#This Row],[Access to safe drinking water for Village]],WWWW[[#This Row],[Access to safe drinking water for Camp]])</f>
        <v>0</v>
      </c>
      <c r="CB242" s="556">
        <f>WWWW[[#This Row],[%Equitable and continuous access to sufficient quantity of safe drinking water]]*WWWW[[#This Row],[Total PoP ]]</f>
        <v>0</v>
      </c>
      <c r="CC242" s="559">
        <f>IF((WWWW[[#This Row],['#_Constructed/Existing protected/fenced ponds]]*250)/WWWW[[#This Row],[Total PoP ]]&gt;1,1,(WWWW[[#This Row],['#_Constructed/Existing protected/fenced ponds]]*250)/WWWW[[#This Row],[Total PoP ]])</f>
        <v>0</v>
      </c>
      <c r="CD242" s="556">
        <f>WWWW[[#This Row],[% Access to unimproved water points]]*WWWW[[#This Row],[Total PoP ]]</f>
        <v>0</v>
      </c>
      <c r="CE24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2" s="556">
        <f>WWWW[[#This Row],[HRP1]]/500</f>
        <v>0</v>
      </c>
      <c r="CH242" s="561">
        <f>1-WWWW[[#This Row],[% Equitable and continuous access to sufficient quantity of domestic water]]</f>
        <v>1</v>
      </c>
      <c r="CI242" s="556">
        <f>WWWW[[#This Row],[%equitable and continuous access to sufficient quantity of safe drinking and domestic water''s GAP]]*WWWW[[#This Row],[Total PoP ]]</f>
        <v>1711</v>
      </c>
      <c r="CJ242" s="558">
        <f>IF(WWWW[[#This Row],[Total required water points]]-WWWW[[#This Row],['#Water points coverage]]&lt;0,0,WWWW[[#This Row],[Total required water points]]-WWWW[[#This Row],['#Water points coverage]])</f>
        <v>3</v>
      </c>
      <c r="CK242" s="558">
        <f>ROUND(IF(WWWW[[#This Row],[Total PoP ]]&lt;500,1,WWWW[[#This Row],[Total PoP ]]/500),0)</f>
        <v>3</v>
      </c>
      <c r="CL242" s="558">
        <f>(WWWW[[#This Row],['#_Constructed latrines_by_WASHAgencies]]+WWWW[[#This Row],['#_Non Cluster partner latrines]])-WWWW[[#This Row],['#_Non-functional latrines]]</f>
        <v>0</v>
      </c>
      <c r="CM24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2" s="558" t="str">
        <f>IF(WWWW[[#This Row],[Location Type 1]]="Village","NA",IF(WWWW[[#This Row],['#_Constructed/Existing latrines in TLS]]*50&gt;WWWW[[#This Row],['#_students at TLS_CFS]],WWWW[[#This Row],['#_students at TLS_CFS]],(WWWW[[#This Row],['#_Constructed/Existing latrines in TLS]]*50)))</f>
        <v>NA</v>
      </c>
      <c r="CQ242" s="558">
        <f>ROUND(IF(WWWW[[#This Row],[Location Type 1]]="camp",WWWW[[#This Row],[Total PoP ]]/20,IF(WWWW[[#This Row],[Location Type 1]]="Temporary Location",WWWW[[#This Row],[Total PoP ]]/50,(WWWW[[#This Row],[Total PoP ]]/6))),0)</f>
        <v>285</v>
      </c>
      <c r="CR242" s="558">
        <f>IF(WWWW[[#This Row],[Total required Latrines]]-(WWWW[[#This Row],['#_Constructed latrines_by_WASHAgencies]]+WWWW[[#This Row],['#_Non Cluster partner latrines]])&lt;0,0,WWWW[[#This Row],[Total required Latrines]]-(WWWW[[#This Row],['#_Constructed latrines_by_WASHAgencies]]+WWWW[[#This Row],['#_Non Cluster partner latrines]]))</f>
        <v>285</v>
      </c>
      <c r="CS242" s="78">
        <f>1-WWWW[[#This Row],[% people access to functioning Latrine]]</f>
        <v>1</v>
      </c>
      <c r="CT242" s="560">
        <f>IF(OR(WWWW[[#This Row],['#_Non-functional latrines]]="",WWWW[[#This Row],['#_Non-functional latrines]]=0),0,WWWW[[#This Row],['#_Non-functional latrines]]/(WWWW[[#This Row],['#_Constructed latrines_by_WASHAgencies]]+WWWW[[#This Row],['#_Non Cluster partner latrines]]))</f>
        <v>0</v>
      </c>
      <c r="CU242" s="556">
        <f>IF(500*(WWWW[[#This Row],['#_male hygiene promoters]]+WWWW[[#This Row],['#_female hygiene promoters]])&gt;WWWW[[#This Row],[Total PoP ]],WWWW[[#This Row],[Total PoP ]],500*(WWWW[[#This Row],['#_male hygiene promoters]]+WWWW[[#This Row],['#_female hygiene promoters]]))</f>
        <v>0</v>
      </c>
      <c r="CV24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2" s="558">
        <f>IF(WWWW[[#This Row],['# People with access to soap]]&gt;WWWW[[#This Row],['# People with access to Sanity Pads]],WWWW[[#This Row],['# People with access to soap]],WWWW[[#This Row],['# People with access to Sanity Pads]])</f>
        <v>0</v>
      </c>
      <c r="CY24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2" s="561">
        <f>IF(WWWW[[#This Row],[HRP3]]/WWWW[[#This Row],[Total PoP ]]&gt;100%,100%,WWWW[[#This Row],[HRP3]]/WWWW[[#This Row],[Total PoP ]])</f>
        <v>0</v>
      </c>
      <c r="DA242" s="560">
        <f>1-WWWW[[#This Row],[Hygiene Coverage%]]</f>
        <v>1</v>
      </c>
      <c r="DB242" s="559">
        <f>WWWW[[#This Row],['# people reached by regular dedicated hygiene promotion_5]]/WWWW[[#This Row],[Total PoP ]]</f>
        <v>0</v>
      </c>
      <c r="DC242" s="559">
        <f>IF(WWWW[[#This Row],['#_households that received standard amount of soap for this quarter]]/WWWW[[#This Row],[Total HH]]&gt;1,1,WWWW[[#This Row],['#_households that received standard amount of soap for this quarter]]/WWWW[[#This Row],[Total HH]])</f>
        <v>0</v>
      </c>
      <c r="DD242" s="559">
        <f>IF(WWWW[[#This Row],['#_households that received standard amount of sanitary pads for this quarter]]/WWWW[[#This Row],[Total HH]]&gt;1,1,WWWW[[#This Row],['#_households that received standard amount of sanitary pads for this quarter]]/WWWW[[#This Row],[Total HH]])</f>
        <v>0</v>
      </c>
      <c r="DE242" s="558">
        <f>WWWW[[#This Row],['#_Constructed/Existing hand washing stations]]-WWWW[[#This Row],['#_Non-Functional_hand_washing_stations]]</f>
        <v>0</v>
      </c>
      <c r="DF242" s="757">
        <f>IF(WWWW[[#This Row],['# Functional hand washing stations during reporting period]]*20&gt;WWWW[[#This Row],[Total HH]],WWWW[[#This Row],[Total HH]],WWWW[[#This Row],['# Functional hand washing stations during reporting period]]*20)</f>
        <v>0</v>
      </c>
      <c r="DG242" s="556">
        <f>IF(WWWW[[#This Row],[Is sufficient soap available for TLS? (Yes/No)]]="yes",WWWW[[#This Row],['#_Constructed/Existing hand washing stations at TLS]],0)</f>
        <v>0</v>
      </c>
      <c r="DH242" s="556">
        <f>IF(WWWW[[#This Row],['# Functional hand washing stations during reporting period]]*100&gt;WWWW[[#This Row],[Total PoP ]],WWWW[[#This Row],[Total PoP ]],WWWW[[#This Row],['# Functional hand washing stations during reporting period]]*100)</f>
        <v>0</v>
      </c>
      <c r="DI242" s="556" t="str">
        <f>IF(OR(WWWW[[#This Row],['#_students at TLS_CFS]]="",WWWW[[#This Row],['#_students at TLS_CFS]]=0),"No","Yes")</f>
        <v>No</v>
      </c>
      <c r="DJ242" s="554">
        <f>VLOOKUP(WWWW[[#This Row],[Site Name]],SiteDB6[[Site Name]:[CCCM Management]],6,FALSE)</f>
        <v>0</v>
      </c>
      <c r="DK242" s="554">
        <f>VLOOKUP(WWWW[[#This Row],[Site Name]],SiteDB6[[Site Name]:[CCCM Focal Agency]],7,FALSE)</f>
        <v>0</v>
      </c>
      <c r="DL242" s="554" t="str">
        <f>VLOOKUP(WWWW[[#This Row],[Site Name]],SiteDB6[[Site Name]:[Location Type 1]],9,FALSE)</f>
        <v>Village</v>
      </c>
      <c r="DM242" s="554" t="str">
        <f>VLOOKUP(WWWW[[#This Row],[Site Name]],SiteDB6[[Site Name]:[Type of Accommodation]],10,FALSE)</f>
        <v>Village</v>
      </c>
      <c r="DN242" s="554" t="str">
        <f>VLOOKUP(WWWW[[#This Row],[Site Name]],SiteDB6[[Site Name]:[Ethnic or GCA/NGCA]],11,FALSE)</f>
        <v>Rakhine</v>
      </c>
      <c r="DO242" s="554">
        <f>VLOOKUP(WWWW[[#This Row],[Site Name]],SiteDB6[[Site Name]:[Lat]],12,FALSE)</f>
        <v>0</v>
      </c>
      <c r="DP242" s="554">
        <f>VLOOKUP(WWWW[[#This Row],[Site Name]],SiteDB6[[Site Name]:[Long]],13,FALSE)</f>
        <v>0</v>
      </c>
      <c r="DQ242" s="554">
        <f>VLOOKUP(WWWW[[#This Row],[Site Name]],SiteDB6[[Site Name]:[Pcode]],3,FALSE)</f>
        <v>197464</v>
      </c>
      <c r="DR242" s="563" t="str">
        <f t="shared" si="8"/>
        <v>Covered</v>
      </c>
      <c r="DS242" s="563"/>
    </row>
    <row r="243" spans="1:123">
      <c r="A243" s="552" t="s">
        <v>2518</v>
      </c>
      <c r="B243" s="552" t="s">
        <v>352</v>
      </c>
      <c r="C243" s="555" t="s">
        <v>352</v>
      </c>
      <c r="D243" s="555" t="s">
        <v>345</v>
      </c>
      <c r="E243" s="574" t="s">
        <v>3006</v>
      </c>
      <c r="F243" s="555" t="s">
        <v>420</v>
      </c>
      <c r="G243" s="574" t="str">
        <f>VLOOKUP(WWWW[[#This Row],[Site Name]],SiteDB6[[Site Name]:[Location Type]],8,FALSE)</f>
        <v>Village</v>
      </c>
      <c r="H243" s="555" t="s">
        <v>2861</v>
      </c>
      <c r="I243" s="557">
        <v>74</v>
      </c>
      <c r="J243" s="557">
        <v>427</v>
      </c>
      <c r="K243" s="564"/>
      <c r="L243" s="565">
        <v>44439</v>
      </c>
      <c r="M243" s="557"/>
      <c r="N243" s="557"/>
      <c r="O243" s="557"/>
      <c r="P243" s="557"/>
      <c r="Q243" s="556"/>
      <c r="R243" s="557"/>
      <c r="S243" s="557"/>
      <c r="T243" s="557"/>
      <c r="U243" s="557"/>
      <c r="V243" s="557"/>
      <c r="W243" s="557"/>
      <c r="X243" s="557"/>
      <c r="Y243" s="557"/>
      <c r="Z243" s="557"/>
      <c r="AA243" s="557"/>
      <c r="AB243" s="557"/>
      <c r="AC243" s="557"/>
      <c r="AD243" s="557"/>
      <c r="AE243" s="557"/>
      <c r="AF243" s="557"/>
      <c r="AG243" s="557"/>
      <c r="AH243" s="557"/>
      <c r="AI243" s="557"/>
      <c r="AJ243" s="557"/>
      <c r="AK243" s="557"/>
      <c r="AL243" s="557"/>
      <c r="AM243" s="557"/>
      <c r="AN243" s="557"/>
      <c r="AO243" s="563"/>
      <c r="AP243" s="557"/>
      <c r="AQ243" s="557"/>
      <c r="AR243" s="559"/>
      <c r="AS243" s="557"/>
      <c r="AT243" s="557"/>
      <c r="AU243" s="557"/>
      <c r="AV243" s="557"/>
      <c r="AW243" s="557"/>
      <c r="AX243" s="554"/>
      <c r="AY243" s="563"/>
      <c r="AZ243" s="557"/>
      <c r="BA243" s="557"/>
      <c r="BB243" s="557"/>
      <c r="BC243" s="554"/>
      <c r="BD243" s="557"/>
      <c r="BE243" s="557"/>
      <c r="BF243" s="557"/>
      <c r="BG243" s="557"/>
      <c r="BH243" s="557"/>
      <c r="BI243" s="557"/>
      <c r="BJ243" s="557"/>
      <c r="BK243" s="557"/>
      <c r="BL243" s="557"/>
      <c r="BM243" s="554"/>
      <c r="BN243" s="558"/>
      <c r="BO243" s="559"/>
      <c r="BP243" s="554"/>
      <c r="BQ243" s="560" t="str">
        <f>IFERROR(WWWW[[#This Row],['#_Water sources treated]]/WWWW[[#This Row],['#_Water sources tested for contamination]],"no test")</f>
        <v>no test</v>
      </c>
      <c r="BR243" s="559" t="str">
        <f>IFERROR(WWWW[[#This Row],['#_Household received remediation action due to contamination]]/WWWW[[#This Row],['#_Household water samples tested for contamination]],"no test")</f>
        <v>no test</v>
      </c>
      <c r="BS243" s="558" t="str">
        <f>IF(AND(WWWW[[#This Row],[% of water sources treated]]="no test",WWWW[[#This Row],[% Household received corrective actions]]="no test"),"No Test","Tested")</f>
        <v>No Test</v>
      </c>
      <c r="BT243" s="558">
        <f>WWWW[[#This Row],['#_Constructed/existing protected hand dug well]]-WWWW[[#This Row],['#_Non-functional protected hand dug well]]</f>
        <v>0</v>
      </c>
      <c r="BU243" s="558">
        <f>(WWWW[[#This Row],['#_Constructed/Existing tube wells/boreholes/handpumps_WASH_agency]]+WWWW[[#This Row],['#_Non-Cluster partner water tube-wells/boreholes/handpumps]])-WWWW[[#This Row],['#_Non-functional tube wells/boreholes/handpumps]]</f>
        <v>0</v>
      </c>
      <c r="BV243" s="558">
        <f>WWWW[[#This Row],['#_Constructed/Existingwater storage tank with gravity fed reticulation system]]-WWWW[[#This Row],['#_Non-functional storage tank gravity fed reticulation system]]</f>
        <v>0</v>
      </c>
      <c r="BW243" s="558">
        <f>WWWW[[#This Row],['#_Water boating or water trucking]]</f>
        <v>0</v>
      </c>
      <c r="BX243" s="558">
        <f>WWWW[[#This Row],['#_Constructed/Existing water distribution system from river or natural spring]]</f>
        <v>0</v>
      </c>
      <c r="BY24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3" s="559">
        <f>IF(WWWW[[#This Row],[Location Type 1]]="Village",WWWW[[#This Row],[Access to safe drinking water for Village]],WWWW[[#This Row],[Access to safe drinking water for Camp]])</f>
        <v>0</v>
      </c>
      <c r="CB243" s="556">
        <f>WWWW[[#This Row],[%Equitable and continuous access to sufficient quantity of safe drinking water]]*WWWW[[#This Row],[Total PoP ]]</f>
        <v>0</v>
      </c>
      <c r="CC243" s="559">
        <f>IF((WWWW[[#This Row],['#_Constructed/Existing protected/fenced ponds]]*250)/WWWW[[#This Row],[Total PoP ]]&gt;1,1,(WWWW[[#This Row],['#_Constructed/Existing protected/fenced ponds]]*250)/WWWW[[#This Row],[Total PoP ]])</f>
        <v>0</v>
      </c>
      <c r="CD243" s="556">
        <f>WWWW[[#This Row],[% Access to unimproved water points]]*WWWW[[#This Row],[Total PoP ]]</f>
        <v>0</v>
      </c>
      <c r="CE24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3" s="556">
        <f>WWWW[[#This Row],[HRP1]]/500</f>
        <v>0</v>
      </c>
      <c r="CH243" s="561">
        <f>1-WWWW[[#This Row],[% Equitable and continuous access to sufficient quantity of domestic water]]</f>
        <v>1</v>
      </c>
      <c r="CI243" s="556">
        <f>WWWW[[#This Row],[%equitable and continuous access to sufficient quantity of safe drinking and domestic water''s GAP]]*WWWW[[#This Row],[Total PoP ]]</f>
        <v>427</v>
      </c>
      <c r="CJ243" s="558">
        <f>IF(WWWW[[#This Row],[Total required water points]]-WWWW[[#This Row],['#Water points coverage]]&lt;0,0,WWWW[[#This Row],[Total required water points]]-WWWW[[#This Row],['#Water points coverage]])</f>
        <v>1</v>
      </c>
      <c r="CK243" s="558">
        <f>ROUND(IF(WWWW[[#This Row],[Total PoP ]]&lt;500,1,WWWW[[#This Row],[Total PoP ]]/500),0)</f>
        <v>1</v>
      </c>
      <c r="CL243" s="558">
        <f>(WWWW[[#This Row],['#_Constructed latrines_by_WASHAgencies]]+WWWW[[#This Row],['#_Non Cluster partner latrines]])-WWWW[[#This Row],['#_Non-functional latrines]]</f>
        <v>0</v>
      </c>
      <c r="CM24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3" s="558" t="str">
        <f>IF(WWWW[[#This Row],[Location Type 1]]="Village","NA",IF(WWWW[[#This Row],['#_Constructed/Existing latrines in TLS]]*50&gt;WWWW[[#This Row],['#_students at TLS_CFS]],WWWW[[#This Row],['#_students at TLS_CFS]],(WWWW[[#This Row],['#_Constructed/Existing latrines in TLS]]*50)))</f>
        <v>NA</v>
      </c>
      <c r="CQ243" s="558">
        <f>ROUND(IF(WWWW[[#This Row],[Location Type 1]]="camp",WWWW[[#This Row],[Total PoP ]]/20,IF(WWWW[[#This Row],[Location Type 1]]="Temporary Location",WWWW[[#This Row],[Total PoP ]]/50,(WWWW[[#This Row],[Total PoP ]]/6))),0)</f>
        <v>71</v>
      </c>
      <c r="CR243" s="558">
        <f>IF(WWWW[[#This Row],[Total required Latrines]]-(WWWW[[#This Row],['#_Constructed latrines_by_WASHAgencies]]+WWWW[[#This Row],['#_Non Cluster partner latrines]])&lt;0,0,WWWW[[#This Row],[Total required Latrines]]-(WWWW[[#This Row],['#_Constructed latrines_by_WASHAgencies]]+WWWW[[#This Row],['#_Non Cluster partner latrines]]))</f>
        <v>71</v>
      </c>
      <c r="CS243" s="78">
        <f>1-WWWW[[#This Row],[% people access to functioning Latrine]]</f>
        <v>1</v>
      </c>
      <c r="CT243" s="560">
        <f>IF(OR(WWWW[[#This Row],['#_Non-functional latrines]]="",WWWW[[#This Row],['#_Non-functional latrines]]=0),0,WWWW[[#This Row],['#_Non-functional latrines]]/(WWWW[[#This Row],['#_Constructed latrines_by_WASHAgencies]]+WWWW[[#This Row],['#_Non Cluster partner latrines]]))</f>
        <v>0</v>
      </c>
      <c r="CU243" s="556">
        <f>IF(500*(WWWW[[#This Row],['#_male hygiene promoters]]+WWWW[[#This Row],['#_female hygiene promoters]])&gt;WWWW[[#This Row],[Total PoP ]],WWWW[[#This Row],[Total PoP ]],500*(WWWW[[#This Row],['#_male hygiene promoters]]+WWWW[[#This Row],['#_female hygiene promoters]]))</f>
        <v>0</v>
      </c>
      <c r="CV24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3" s="558">
        <f>IF(WWWW[[#This Row],['# People with access to soap]]&gt;WWWW[[#This Row],['# People with access to Sanity Pads]],WWWW[[#This Row],['# People with access to soap]],WWWW[[#This Row],['# People with access to Sanity Pads]])</f>
        <v>0</v>
      </c>
      <c r="CY24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3" s="561">
        <f>IF(WWWW[[#This Row],[HRP3]]/WWWW[[#This Row],[Total PoP ]]&gt;100%,100%,WWWW[[#This Row],[HRP3]]/WWWW[[#This Row],[Total PoP ]])</f>
        <v>0</v>
      </c>
      <c r="DA243" s="560">
        <f>1-WWWW[[#This Row],[Hygiene Coverage%]]</f>
        <v>1</v>
      </c>
      <c r="DB243" s="559">
        <f>WWWW[[#This Row],['# people reached by regular dedicated hygiene promotion_5]]/WWWW[[#This Row],[Total PoP ]]</f>
        <v>0</v>
      </c>
      <c r="DC243" s="559">
        <f>IF(WWWW[[#This Row],['#_households that received standard amount of soap for this quarter]]/WWWW[[#This Row],[Total HH]]&gt;1,1,WWWW[[#This Row],['#_households that received standard amount of soap for this quarter]]/WWWW[[#This Row],[Total HH]])</f>
        <v>0</v>
      </c>
      <c r="DD243" s="559">
        <f>IF(WWWW[[#This Row],['#_households that received standard amount of sanitary pads for this quarter]]/WWWW[[#This Row],[Total HH]]&gt;1,1,WWWW[[#This Row],['#_households that received standard amount of sanitary pads for this quarter]]/WWWW[[#This Row],[Total HH]])</f>
        <v>0</v>
      </c>
      <c r="DE243" s="558">
        <f>WWWW[[#This Row],['#_Constructed/Existing hand washing stations]]-WWWW[[#This Row],['#_Non-Functional_hand_washing_stations]]</f>
        <v>0</v>
      </c>
      <c r="DF243" s="757">
        <f>IF(WWWW[[#This Row],['# Functional hand washing stations during reporting period]]*20&gt;WWWW[[#This Row],[Total HH]],WWWW[[#This Row],[Total HH]],WWWW[[#This Row],['# Functional hand washing stations during reporting period]]*20)</f>
        <v>0</v>
      </c>
      <c r="DG243" s="556">
        <f>IF(WWWW[[#This Row],[Is sufficient soap available for TLS? (Yes/No)]]="yes",WWWW[[#This Row],['#_Constructed/Existing hand washing stations at TLS]],0)</f>
        <v>0</v>
      </c>
      <c r="DH243" s="556">
        <f>IF(WWWW[[#This Row],['# Functional hand washing stations during reporting period]]*100&gt;WWWW[[#This Row],[Total PoP ]],WWWW[[#This Row],[Total PoP ]],WWWW[[#This Row],['# Functional hand washing stations during reporting period]]*100)</f>
        <v>0</v>
      </c>
      <c r="DI243" s="556" t="str">
        <f>IF(OR(WWWW[[#This Row],['#_students at TLS_CFS]]="",WWWW[[#This Row],['#_students at TLS_CFS]]=0),"No","Yes")</f>
        <v>No</v>
      </c>
      <c r="DJ243" s="554">
        <f>VLOOKUP(WWWW[[#This Row],[Site Name]],SiteDB6[[Site Name]:[CCCM Management]],6,FALSE)</f>
        <v>0</v>
      </c>
      <c r="DK243" s="554">
        <f>VLOOKUP(WWWW[[#This Row],[Site Name]],SiteDB6[[Site Name]:[CCCM Focal Agency]],7,FALSE)</f>
        <v>0</v>
      </c>
      <c r="DL243" s="554" t="str">
        <f>VLOOKUP(WWWW[[#This Row],[Site Name]],SiteDB6[[Site Name]:[Location Type 1]],9,FALSE)</f>
        <v>Village</v>
      </c>
      <c r="DM243" s="554" t="str">
        <f>VLOOKUP(WWWW[[#This Row],[Site Name]],SiteDB6[[Site Name]:[Type of Accommodation]],10,FALSE)</f>
        <v>Village</v>
      </c>
      <c r="DN243" s="554" t="str">
        <f>VLOOKUP(WWWW[[#This Row],[Site Name]],SiteDB6[[Site Name]:[Ethnic or GCA/NGCA]],11,FALSE)</f>
        <v>Rakhine</v>
      </c>
      <c r="DO243" s="554">
        <f>VLOOKUP(WWWW[[#This Row],[Site Name]],SiteDB6[[Site Name]:[Lat]],12,FALSE)</f>
        <v>0</v>
      </c>
      <c r="DP243" s="554">
        <f>VLOOKUP(WWWW[[#This Row],[Site Name]],SiteDB6[[Site Name]:[Long]],13,FALSE)</f>
        <v>0</v>
      </c>
      <c r="DQ243" s="554">
        <f>VLOOKUP(WWWW[[#This Row],[Site Name]],SiteDB6[[Site Name]:[Pcode]],3,FALSE)</f>
        <v>197461</v>
      </c>
      <c r="DR243" s="563" t="str">
        <f t="shared" si="8"/>
        <v>Covered</v>
      </c>
      <c r="DS243" s="563"/>
    </row>
    <row r="244" spans="1:123">
      <c r="A244" s="552" t="s">
        <v>2518</v>
      </c>
      <c r="B244" s="552" t="s">
        <v>352</v>
      </c>
      <c r="C244" s="555" t="s">
        <v>352</v>
      </c>
      <c r="D244" s="555" t="s">
        <v>345</v>
      </c>
      <c r="E244" s="574" t="s">
        <v>3006</v>
      </c>
      <c r="F244" s="555" t="s">
        <v>420</v>
      </c>
      <c r="G244" s="574" t="str">
        <f>VLOOKUP(WWWW[[#This Row],[Site Name]],SiteDB6[[Site Name]:[Location Type]],8,FALSE)</f>
        <v>Village</v>
      </c>
      <c r="H244" s="555" t="s">
        <v>2862</v>
      </c>
      <c r="I244" s="557">
        <v>50</v>
      </c>
      <c r="J244" s="557">
        <v>265</v>
      </c>
      <c r="K244" s="564"/>
      <c r="L244" s="565">
        <v>44439</v>
      </c>
      <c r="M244" s="557"/>
      <c r="N244" s="557"/>
      <c r="O244" s="557"/>
      <c r="P244" s="557"/>
      <c r="Q244" s="556"/>
      <c r="R244" s="557"/>
      <c r="S244" s="557"/>
      <c r="T244" s="557"/>
      <c r="U244" s="557"/>
      <c r="V244" s="557"/>
      <c r="W244" s="557"/>
      <c r="X244" s="557"/>
      <c r="Y244" s="557"/>
      <c r="Z244" s="557"/>
      <c r="AA244" s="557"/>
      <c r="AB244" s="557"/>
      <c r="AC244" s="557"/>
      <c r="AD244" s="557"/>
      <c r="AE244" s="557"/>
      <c r="AF244" s="557"/>
      <c r="AG244" s="557"/>
      <c r="AH244" s="557"/>
      <c r="AI244" s="557"/>
      <c r="AJ244" s="557"/>
      <c r="AK244" s="557"/>
      <c r="AL244" s="557"/>
      <c r="AM244" s="557"/>
      <c r="AN244" s="557"/>
      <c r="AO244" s="563"/>
      <c r="AP244" s="557"/>
      <c r="AQ244" s="557"/>
      <c r="AR244" s="559"/>
      <c r="AS244" s="557"/>
      <c r="AT244" s="557"/>
      <c r="AU244" s="557"/>
      <c r="AV244" s="557"/>
      <c r="AW244" s="557"/>
      <c r="AX244" s="554"/>
      <c r="AY244" s="563"/>
      <c r="AZ244" s="557"/>
      <c r="BA244" s="557"/>
      <c r="BB244" s="557"/>
      <c r="BC244" s="554"/>
      <c r="BD244" s="557"/>
      <c r="BE244" s="557"/>
      <c r="BF244" s="557"/>
      <c r="BG244" s="557"/>
      <c r="BH244" s="557"/>
      <c r="BI244" s="557"/>
      <c r="BJ244" s="557"/>
      <c r="BK244" s="557"/>
      <c r="BL244" s="557"/>
      <c r="BM244" s="554"/>
      <c r="BN244" s="558"/>
      <c r="BO244" s="559"/>
      <c r="BP244" s="554"/>
      <c r="BQ244" s="560" t="str">
        <f>IFERROR(WWWW[[#This Row],['#_Water sources treated]]/WWWW[[#This Row],['#_Water sources tested for contamination]],"no test")</f>
        <v>no test</v>
      </c>
      <c r="BR244" s="559" t="str">
        <f>IFERROR(WWWW[[#This Row],['#_Household received remediation action due to contamination]]/WWWW[[#This Row],['#_Household water samples tested for contamination]],"no test")</f>
        <v>no test</v>
      </c>
      <c r="BS244" s="558" t="str">
        <f>IF(AND(WWWW[[#This Row],[% of water sources treated]]="no test",WWWW[[#This Row],[% Household received corrective actions]]="no test"),"No Test","Tested")</f>
        <v>No Test</v>
      </c>
      <c r="BT244" s="558">
        <f>WWWW[[#This Row],['#_Constructed/existing protected hand dug well]]-WWWW[[#This Row],['#_Non-functional protected hand dug well]]</f>
        <v>0</v>
      </c>
      <c r="BU244" s="558">
        <f>(WWWW[[#This Row],['#_Constructed/Existing tube wells/boreholes/handpumps_WASH_agency]]+WWWW[[#This Row],['#_Non-Cluster partner water tube-wells/boreholes/handpumps]])-WWWW[[#This Row],['#_Non-functional tube wells/boreholes/handpumps]]</f>
        <v>0</v>
      </c>
      <c r="BV244" s="558">
        <f>WWWW[[#This Row],['#_Constructed/Existingwater storage tank with gravity fed reticulation system]]-WWWW[[#This Row],['#_Non-functional storage tank gravity fed reticulation system]]</f>
        <v>0</v>
      </c>
      <c r="BW244" s="558">
        <f>WWWW[[#This Row],['#_Water boating or water trucking]]</f>
        <v>0</v>
      </c>
      <c r="BX244" s="558">
        <f>WWWW[[#This Row],['#_Constructed/Existing water distribution system from river or natural spring]]</f>
        <v>0</v>
      </c>
      <c r="BY24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4" s="559">
        <f>IF(WWWW[[#This Row],[Location Type 1]]="Village",WWWW[[#This Row],[Access to safe drinking water for Village]],WWWW[[#This Row],[Access to safe drinking water for Camp]])</f>
        <v>0</v>
      </c>
      <c r="CB244" s="556">
        <f>WWWW[[#This Row],[%Equitable and continuous access to sufficient quantity of safe drinking water]]*WWWW[[#This Row],[Total PoP ]]</f>
        <v>0</v>
      </c>
      <c r="CC244" s="559">
        <f>IF((WWWW[[#This Row],['#_Constructed/Existing protected/fenced ponds]]*250)/WWWW[[#This Row],[Total PoP ]]&gt;1,1,(WWWW[[#This Row],['#_Constructed/Existing protected/fenced ponds]]*250)/WWWW[[#This Row],[Total PoP ]])</f>
        <v>0</v>
      </c>
      <c r="CD244" s="556">
        <f>WWWW[[#This Row],[% Access to unimproved water points]]*WWWW[[#This Row],[Total PoP ]]</f>
        <v>0</v>
      </c>
      <c r="CE24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4" s="556">
        <f>WWWW[[#This Row],[HRP1]]/500</f>
        <v>0</v>
      </c>
      <c r="CH244" s="561">
        <f>1-WWWW[[#This Row],[% Equitable and continuous access to sufficient quantity of domestic water]]</f>
        <v>1</v>
      </c>
      <c r="CI244" s="556">
        <f>WWWW[[#This Row],[%equitable and continuous access to sufficient quantity of safe drinking and domestic water''s GAP]]*WWWW[[#This Row],[Total PoP ]]</f>
        <v>265</v>
      </c>
      <c r="CJ244" s="558">
        <f>IF(WWWW[[#This Row],[Total required water points]]-WWWW[[#This Row],['#Water points coverage]]&lt;0,0,WWWW[[#This Row],[Total required water points]]-WWWW[[#This Row],['#Water points coverage]])</f>
        <v>1</v>
      </c>
      <c r="CK244" s="558">
        <f>ROUND(IF(WWWW[[#This Row],[Total PoP ]]&lt;500,1,WWWW[[#This Row],[Total PoP ]]/500),0)</f>
        <v>1</v>
      </c>
      <c r="CL244" s="558">
        <f>(WWWW[[#This Row],['#_Constructed latrines_by_WASHAgencies]]+WWWW[[#This Row],['#_Non Cluster partner latrines]])-WWWW[[#This Row],['#_Non-functional latrines]]</f>
        <v>0</v>
      </c>
      <c r="CM24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4" s="558" t="str">
        <f>IF(WWWW[[#This Row],[Location Type 1]]="Village","NA",IF(WWWW[[#This Row],['#_Constructed/Existing latrines in TLS]]*50&gt;WWWW[[#This Row],['#_students at TLS_CFS]],WWWW[[#This Row],['#_students at TLS_CFS]],(WWWW[[#This Row],['#_Constructed/Existing latrines in TLS]]*50)))</f>
        <v>NA</v>
      </c>
      <c r="CQ244" s="558">
        <f>ROUND(IF(WWWW[[#This Row],[Location Type 1]]="camp",WWWW[[#This Row],[Total PoP ]]/20,IF(WWWW[[#This Row],[Location Type 1]]="Temporary Location",WWWW[[#This Row],[Total PoP ]]/50,(WWWW[[#This Row],[Total PoP ]]/6))),0)</f>
        <v>44</v>
      </c>
      <c r="CR244" s="558">
        <f>IF(WWWW[[#This Row],[Total required Latrines]]-(WWWW[[#This Row],['#_Constructed latrines_by_WASHAgencies]]+WWWW[[#This Row],['#_Non Cluster partner latrines]])&lt;0,0,WWWW[[#This Row],[Total required Latrines]]-(WWWW[[#This Row],['#_Constructed latrines_by_WASHAgencies]]+WWWW[[#This Row],['#_Non Cluster partner latrines]]))</f>
        <v>44</v>
      </c>
      <c r="CS244" s="78">
        <f>1-WWWW[[#This Row],[% people access to functioning Latrine]]</f>
        <v>1</v>
      </c>
      <c r="CT244" s="560">
        <f>IF(OR(WWWW[[#This Row],['#_Non-functional latrines]]="",WWWW[[#This Row],['#_Non-functional latrines]]=0),0,WWWW[[#This Row],['#_Non-functional latrines]]/(WWWW[[#This Row],['#_Constructed latrines_by_WASHAgencies]]+WWWW[[#This Row],['#_Non Cluster partner latrines]]))</f>
        <v>0</v>
      </c>
      <c r="CU244" s="556">
        <f>IF(500*(WWWW[[#This Row],['#_male hygiene promoters]]+WWWW[[#This Row],['#_female hygiene promoters]])&gt;WWWW[[#This Row],[Total PoP ]],WWWW[[#This Row],[Total PoP ]],500*(WWWW[[#This Row],['#_male hygiene promoters]]+WWWW[[#This Row],['#_female hygiene promoters]]))</f>
        <v>0</v>
      </c>
      <c r="CV24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4" s="558">
        <f>IF(WWWW[[#This Row],['# People with access to soap]]&gt;WWWW[[#This Row],['# People with access to Sanity Pads]],WWWW[[#This Row],['# People with access to soap]],WWWW[[#This Row],['# People with access to Sanity Pads]])</f>
        <v>0</v>
      </c>
      <c r="CY24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4" s="561">
        <f>IF(WWWW[[#This Row],[HRP3]]/WWWW[[#This Row],[Total PoP ]]&gt;100%,100%,WWWW[[#This Row],[HRP3]]/WWWW[[#This Row],[Total PoP ]])</f>
        <v>0</v>
      </c>
      <c r="DA244" s="560">
        <f>1-WWWW[[#This Row],[Hygiene Coverage%]]</f>
        <v>1</v>
      </c>
      <c r="DB244" s="559">
        <f>WWWW[[#This Row],['# people reached by regular dedicated hygiene promotion_5]]/WWWW[[#This Row],[Total PoP ]]</f>
        <v>0</v>
      </c>
      <c r="DC244" s="559">
        <f>IF(WWWW[[#This Row],['#_households that received standard amount of soap for this quarter]]/WWWW[[#This Row],[Total HH]]&gt;1,1,WWWW[[#This Row],['#_households that received standard amount of soap for this quarter]]/WWWW[[#This Row],[Total HH]])</f>
        <v>0</v>
      </c>
      <c r="DD244" s="559">
        <f>IF(WWWW[[#This Row],['#_households that received standard amount of sanitary pads for this quarter]]/WWWW[[#This Row],[Total HH]]&gt;1,1,WWWW[[#This Row],['#_households that received standard amount of sanitary pads for this quarter]]/WWWW[[#This Row],[Total HH]])</f>
        <v>0</v>
      </c>
      <c r="DE244" s="558">
        <f>WWWW[[#This Row],['#_Constructed/Existing hand washing stations]]-WWWW[[#This Row],['#_Non-Functional_hand_washing_stations]]</f>
        <v>0</v>
      </c>
      <c r="DF244" s="757">
        <f>IF(WWWW[[#This Row],['# Functional hand washing stations during reporting period]]*20&gt;WWWW[[#This Row],[Total HH]],WWWW[[#This Row],[Total HH]],WWWW[[#This Row],['# Functional hand washing stations during reporting period]]*20)</f>
        <v>0</v>
      </c>
      <c r="DG244" s="556">
        <f>IF(WWWW[[#This Row],[Is sufficient soap available for TLS? (Yes/No)]]="yes",WWWW[[#This Row],['#_Constructed/Existing hand washing stations at TLS]],0)</f>
        <v>0</v>
      </c>
      <c r="DH244" s="556">
        <f>IF(WWWW[[#This Row],['# Functional hand washing stations during reporting period]]*100&gt;WWWW[[#This Row],[Total PoP ]],WWWW[[#This Row],[Total PoP ]],WWWW[[#This Row],['# Functional hand washing stations during reporting period]]*100)</f>
        <v>0</v>
      </c>
      <c r="DI244" s="556" t="str">
        <f>IF(OR(WWWW[[#This Row],['#_students at TLS_CFS]]="",WWWW[[#This Row],['#_students at TLS_CFS]]=0),"No","Yes")</f>
        <v>No</v>
      </c>
      <c r="DJ244" s="554">
        <f>VLOOKUP(WWWW[[#This Row],[Site Name]],SiteDB6[[Site Name]:[CCCM Management]],6,FALSE)</f>
        <v>0</v>
      </c>
      <c r="DK244" s="554">
        <f>VLOOKUP(WWWW[[#This Row],[Site Name]],SiteDB6[[Site Name]:[CCCM Focal Agency]],7,FALSE)</f>
        <v>0</v>
      </c>
      <c r="DL244" s="554" t="str">
        <f>VLOOKUP(WWWW[[#This Row],[Site Name]],SiteDB6[[Site Name]:[Location Type 1]],9,FALSE)</f>
        <v>Village</v>
      </c>
      <c r="DM244" s="554" t="str">
        <f>VLOOKUP(WWWW[[#This Row],[Site Name]],SiteDB6[[Site Name]:[Type of Accommodation]],10,FALSE)</f>
        <v>Village</v>
      </c>
      <c r="DN244" s="554" t="str">
        <f>VLOOKUP(WWWW[[#This Row],[Site Name]],SiteDB6[[Site Name]:[Ethnic or GCA/NGCA]],11,FALSE)</f>
        <v>Rakhine</v>
      </c>
      <c r="DO244" s="554">
        <f>VLOOKUP(WWWW[[#This Row],[Site Name]],SiteDB6[[Site Name]:[Lat]],12,FALSE)</f>
        <v>0</v>
      </c>
      <c r="DP244" s="554">
        <f>VLOOKUP(WWWW[[#This Row],[Site Name]],SiteDB6[[Site Name]:[Long]],13,FALSE)</f>
        <v>0</v>
      </c>
      <c r="DQ244" s="554">
        <f>VLOOKUP(WWWW[[#This Row],[Site Name]],SiteDB6[[Site Name]:[Pcode]],3,FALSE)</f>
        <v>197463</v>
      </c>
      <c r="DR244" s="563" t="str">
        <f t="shared" si="8"/>
        <v>Covered</v>
      </c>
      <c r="DS244" s="563"/>
    </row>
    <row r="245" spans="1:123">
      <c r="A245" s="552" t="s">
        <v>2518</v>
      </c>
      <c r="B245" s="552" t="s">
        <v>352</v>
      </c>
      <c r="C245" s="555" t="s">
        <v>352</v>
      </c>
      <c r="D245" s="555" t="s">
        <v>345</v>
      </c>
      <c r="E245" s="574" t="s">
        <v>3006</v>
      </c>
      <c r="F245" s="555" t="s">
        <v>420</v>
      </c>
      <c r="G245" s="574" t="str">
        <f>VLOOKUP(WWWW[[#This Row],[Site Name]],SiteDB6[[Site Name]:[Location Type]],8,FALSE)</f>
        <v>Village</v>
      </c>
      <c r="H245" s="555" t="s">
        <v>2863</v>
      </c>
      <c r="I245" s="557">
        <v>19</v>
      </c>
      <c r="J245" s="557">
        <v>92</v>
      </c>
      <c r="K245" s="564"/>
      <c r="L245" s="565">
        <v>44439</v>
      </c>
      <c r="M245" s="557"/>
      <c r="N245" s="557"/>
      <c r="O245" s="557"/>
      <c r="P245" s="557"/>
      <c r="Q245" s="556"/>
      <c r="R245" s="557"/>
      <c r="S245" s="557"/>
      <c r="T245" s="557"/>
      <c r="U245" s="557"/>
      <c r="V245" s="557"/>
      <c r="W245" s="557"/>
      <c r="X245" s="557"/>
      <c r="Y245" s="557"/>
      <c r="Z245" s="557"/>
      <c r="AA245" s="557"/>
      <c r="AB245" s="557"/>
      <c r="AC245" s="557"/>
      <c r="AD245" s="557"/>
      <c r="AE245" s="557"/>
      <c r="AF245" s="557"/>
      <c r="AG245" s="557"/>
      <c r="AH245" s="557"/>
      <c r="AI245" s="557"/>
      <c r="AJ245" s="557"/>
      <c r="AK245" s="557"/>
      <c r="AL245" s="557"/>
      <c r="AM245" s="557"/>
      <c r="AN245" s="557"/>
      <c r="AO245" s="563"/>
      <c r="AP245" s="557"/>
      <c r="AQ245" s="557"/>
      <c r="AR245" s="559"/>
      <c r="AS245" s="557"/>
      <c r="AT245" s="557"/>
      <c r="AU245" s="557"/>
      <c r="AV245" s="557"/>
      <c r="AW245" s="557"/>
      <c r="AX245" s="554"/>
      <c r="AY245" s="563"/>
      <c r="AZ245" s="557"/>
      <c r="BA245" s="557"/>
      <c r="BB245" s="557"/>
      <c r="BC245" s="554"/>
      <c r="BD245" s="557"/>
      <c r="BE245" s="557"/>
      <c r="BF245" s="557"/>
      <c r="BG245" s="557"/>
      <c r="BH245" s="557"/>
      <c r="BI245" s="557"/>
      <c r="BJ245" s="557"/>
      <c r="BK245" s="557"/>
      <c r="BL245" s="557"/>
      <c r="BM245" s="554"/>
      <c r="BN245" s="558"/>
      <c r="BO245" s="559"/>
      <c r="BP245" s="554"/>
      <c r="BQ245" s="560" t="str">
        <f>IFERROR(WWWW[[#This Row],['#_Water sources treated]]/WWWW[[#This Row],['#_Water sources tested for contamination]],"no test")</f>
        <v>no test</v>
      </c>
      <c r="BR245" s="559" t="str">
        <f>IFERROR(WWWW[[#This Row],['#_Household received remediation action due to contamination]]/WWWW[[#This Row],['#_Household water samples tested for contamination]],"no test")</f>
        <v>no test</v>
      </c>
      <c r="BS245" s="558" t="str">
        <f>IF(AND(WWWW[[#This Row],[% of water sources treated]]="no test",WWWW[[#This Row],[% Household received corrective actions]]="no test"),"No Test","Tested")</f>
        <v>No Test</v>
      </c>
      <c r="BT245" s="558">
        <f>WWWW[[#This Row],['#_Constructed/existing protected hand dug well]]-WWWW[[#This Row],['#_Non-functional protected hand dug well]]</f>
        <v>0</v>
      </c>
      <c r="BU245" s="558">
        <f>(WWWW[[#This Row],['#_Constructed/Existing tube wells/boreholes/handpumps_WASH_agency]]+WWWW[[#This Row],['#_Non-Cluster partner water tube-wells/boreholes/handpumps]])-WWWW[[#This Row],['#_Non-functional tube wells/boreholes/handpumps]]</f>
        <v>0</v>
      </c>
      <c r="BV245" s="558">
        <f>WWWW[[#This Row],['#_Constructed/Existingwater storage tank with gravity fed reticulation system]]-WWWW[[#This Row],['#_Non-functional storage tank gravity fed reticulation system]]</f>
        <v>0</v>
      </c>
      <c r="BW245" s="558">
        <f>WWWW[[#This Row],['#_Water boating or water trucking]]</f>
        <v>0</v>
      </c>
      <c r="BX245" s="558">
        <f>WWWW[[#This Row],['#_Constructed/Existing water distribution system from river or natural spring]]</f>
        <v>0</v>
      </c>
      <c r="BY24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5" s="559">
        <f>IF(WWWW[[#This Row],[Location Type 1]]="Village",WWWW[[#This Row],[Access to safe drinking water for Village]],WWWW[[#This Row],[Access to safe drinking water for Camp]])</f>
        <v>0</v>
      </c>
      <c r="CB245" s="556">
        <f>WWWW[[#This Row],[%Equitable and continuous access to sufficient quantity of safe drinking water]]*WWWW[[#This Row],[Total PoP ]]</f>
        <v>0</v>
      </c>
      <c r="CC245" s="559">
        <f>IF((WWWW[[#This Row],['#_Constructed/Existing protected/fenced ponds]]*250)/WWWW[[#This Row],[Total PoP ]]&gt;1,1,(WWWW[[#This Row],['#_Constructed/Existing protected/fenced ponds]]*250)/WWWW[[#This Row],[Total PoP ]])</f>
        <v>0</v>
      </c>
      <c r="CD245" s="556">
        <f>WWWW[[#This Row],[% Access to unimproved water points]]*WWWW[[#This Row],[Total PoP ]]</f>
        <v>0</v>
      </c>
      <c r="CE24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5" s="556">
        <f>WWWW[[#This Row],[HRP1]]/500</f>
        <v>0</v>
      </c>
      <c r="CH245" s="561">
        <f>1-WWWW[[#This Row],[% Equitable and continuous access to sufficient quantity of domestic water]]</f>
        <v>1</v>
      </c>
      <c r="CI245" s="556">
        <f>WWWW[[#This Row],[%equitable and continuous access to sufficient quantity of safe drinking and domestic water''s GAP]]*WWWW[[#This Row],[Total PoP ]]</f>
        <v>92</v>
      </c>
      <c r="CJ245" s="558">
        <f>IF(WWWW[[#This Row],[Total required water points]]-WWWW[[#This Row],['#Water points coverage]]&lt;0,0,WWWW[[#This Row],[Total required water points]]-WWWW[[#This Row],['#Water points coverage]])</f>
        <v>1</v>
      </c>
      <c r="CK245" s="558">
        <f>ROUND(IF(WWWW[[#This Row],[Total PoP ]]&lt;500,1,WWWW[[#This Row],[Total PoP ]]/500),0)</f>
        <v>1</v>
      </c>
      <c r="CL245" s="558">
        <f>(WWWW[[#This Row],['#_Constructed latrines_by_WASHAgencies]]+WWWW[[#This Row],['#_Non Cluster partner latrines]])-WWWW[[#This Row],['#_Non-functional latrines]]</f>
        <v>0</v>
      </c>
      <c r="CM24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5" s="558" t="str">
        <f>IF(WWWW[[#This Row],[Location Type 1]]="Village","NA",IF(WWWW[[#This Row],['#_Constructed/Existing latrines in TLS]]*50&gt;WWWW[[#This Row],['#_students at TLS_CFS]],WWWW[[#This Row],['#_students at TLS_CFS]],(WWWW[[#This Row],['#_Constructed/Existing latrines in TLS]]*50)))</f>
        <v>NA</v>
      </c>
      <c r="CQ245" s="558">
        <f>ROUND(IF(WWWW[[#This Row],[Location Type 1]]="camp",WWWW[[#This Row],[Total PoP ]]/20,IF(WWWW[[#This Row],[Location Type 1]]="Temporary Location",WWWW[[#This Row],[Total PoP ]]/50,(WWWW[[#This Row],[Total PoP ]]/6))),0)</f>
        <v>15</v>
      </c>
      <c r="CR245" s="558">
        <f>IF(WWWW[[#This Row],[Total required Latrines]]-(WWWW[[#This Row],['#_Constructed latrines_by_WASHAgencies]]+WWWW[[#This Row],['#_Non Cluster partner latrines]])&lt;0,0,WWWW[[#This Row],[Total required Latrines]]-(WWWW[[#This Row],['#_Constructed latrines_by_WASHAgencies]]+WWWW[[#This Row],['#_Non Cluster partner latrines]]))</f>
        <v>15</v>
      </c>
      <c r="CS245" s="78">
        <f>1-WWWW[[#This Row],[% people access to functioning Latrine]]</f>
        <v>1</v>
      </c>
      <c r="CT245" s="560">
        <f>IF(OR(WWWW[[#This Row],['#_Non-functional latrines]]="",WWWW[[#This Row],['#_Non-functional latrines]]=0),0,WWWW[[#This Row],['#_Non-functional latrines]]/(WWWW[[#This Row],['#_Constructed latrines_by_WASHAgencies]]+WWWW[[#This Row],['#_Non Cluster partner latrines]]))</f>
        <v>0</v>
      </c>
      <c r="CU245" s="556">
        <f>IF(500*(WWWW[[#This Row],['#_male hygiene promoters]]+WWWW[[#This Row],['#_female hygiene promoters]])&gt;WWWW[[#This Row],[Total PoP ]],WWWW[[#This Row],[Total PoP ]],500*(WWWW[[#This Row],['#_male hygiene promoters]]+WWWW[[#This Row],['#_female hygiene promoters]]))</f>
        <v>0</v>
      </c>
      <c r="CV24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5" s="558">
        <f>IF(WWWW[[#This Row],['# People with access to soap]]&gt;WWWW[[#This Row],['# People with access to Sanity Pads]],WWWW[[#This Row],['# People with access to soap]],WWWW[[#This Row],['# People with access to Sanity Pads]])</f>
        <v>0</v>
      </c>
      <c r="CY24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5" s="561">
        <f>IF(WWWW[[#This Row],[HRP3]]/WWWW[[#This Row],[Total PoP ]]&gt;100%,100%,WWWW[[#This Row],[HRP3]]/WWWW[[#This Row],[Total PoP ]])</f>
        <v>0</v>
      </c>
      <c r="DA245" s="560">
        <f>1-WWWW[[#This Row],[Hygiene Coverage%]]</f>
        <v>1</v>
      </c>
      <c r="DB245" s="559">
        <f>WWWW[[#This Row],['# people reached by regular dedicated hygiene promotion_5]]/WWWW[[#This Row],[Total PoP ]]</f>
        <v>0</v>
      </c>
      <c r="DC245" s="559">
        <f>IF(WWWW[[#This Row],['#_households that received standard amount of soap for this quarter]]/WWWW[[#This Row],[Total HH]]&gt;1,1,WWWW[[#This Row],['#_households that received standard amount of soap for this quarter]]/WWWW[[#This Row],[Total HH]])</f>
        <v>0</v>
      </c>
      <c r="DD245" s="559">
        <f>IF(WWWW[[#This Row],['#_households that received standard amount of sanitary pads for this quarter]]/WWWW[[#This Row],[Total HH]]&gt;1,1,WWWW[[#This Row],['#_households that received standard amount of sanitary pads for this quarter]]/WWWW[[#This Row],[Total HH]])</f>
        <v>0</v>
      </c>
      <c r="DE245" s="558">
        <f>WWWW[[#This Row],['#_Constructed/Existing hand washing stations]]-WWWW[[#This Row],['#_Non-Functional_hand_washing_stations]]</f>
        <v>0</v>
      </c>
      <c r="DF245" s="757">
        <f>IF(WWWW[[#This Row],['# Functional hand washing stations during reporting period]]*20&gt;WWWW[[#This Row],[Total HH]],WWWW[[#This Row],[Total HH]],WWWW[[#This Row],['# Functional hand washing stations during reporting period]]*20)</f>
        <v>0</v>
      </c>
      <c r="DG245" s="556">
        <f>IF(WWWW[[#This Row],[Is sufficient soap available for TLS? (Yes/No)]]="yes",WWWW[[#This Row],['#_Constructed/Existing hand washing stations at TLS]],0)</f>
        <v>0</v>
      </c>
      <c r="DH245" s="556">
        <f>IF(WWWW[[#This Row],['# Functional hand washing stations during reporting period]]*100&gt;WWWW[[#This Row],[Total PoP ]],WWWW[[#This Row],[Total PoP ]],WWWW[[#This Row],['# Functional hand washing stations during reporting period]]*100)</f>
        <v>0</v>
      </c>
      <c r="DI245" s="556" t="str">
        <f>IF(OR(WWWW[[#This Row],['#_students at TLS_CFS]]="",WWWW[[#This Row],['#_students at TLS_CFS]]=0),"No","Yes")</f>
        <v>No</v>
      </c>
      <c r="DJ245" s="554">
        <f>VLOOKUP(WWWW[[#This Row],[Site Name]],SiteDB6[[Site Name]:[CCCM Management]],6,FALSE)</f>
        <v>0</v>
      </c>
      <c r="DK245" s="554">
        <f>VLOOKUP(WWWW[[#This Row],[Site Name]],SiteDB6[[Site Name]:[CCCM Focal Agency]],7,FALSE)</f>
        <v>0</v>
      </c>
      <c r="DL245" s="554" t="str">
        <f>VLOOKUP(WWWW[[#This Row],[Site Name]],SiteDB6[[Site Name]:[Location Type 1]],9,FALSE)</f>
        <v>Village</v>
      </c>
      <c r="DM245" s="554" t="str">
        <f>VLOOKUP(WWWW[[#This Row],[Site Name]],SiteDB6[[Site Name]:[Type of Accommodation]],10,FALSE)</f>
        <v>Village</v>
      </c>
      <c r="DN245" s="554" t="str">
        <f>VLOOKUP(WWWW[[#This Row],[Site Name]],SiteDB6[[Site Name]:[Ethnic or GCA/NGCA]],11,FALSE)</f>
        <v>Rakhine</v>
      </c>
      <c r="DO245" s="554">
        <f>VLOOKUP(WWWW[[#This Row],[Site Name]],SiteDB6[[Site Name]:[Lat]],12,FALSE)</f>
        <v>0</v>
      </c>
      <c r="DP245" s="554">
        <f>VLOOKUP(WWWW[[#This Row],[Site Name]],SiteDB6[[Site Name]:[Long]],13,FALSE)</f>
        <v>0</v>
      </c>
      <c r="DQ245" s="554">
        <f>VLOOKUP(WWWW[[#This Row],[Site Name]],SiteDB6[[Site Name]:[Pcode]],3,FALSE)</f>
        <v>197462</v>
      </c>
      <c r="DR245" s="563" t="str">
        <f t="shared" si="8"/>
        <v>Covered</v>
      </c>
      <c r="DS245" s="563"/>
    </row>
    <row r="246" spans="1:123">
      <c r="A246" s="552" t="s">
        <v>2518</v>
      </c>
      <c r="B246" s="552" t="s">
        <v>332</v>
      </c>
      <c r="C246" s="555" t="s">
        <v>332</v>
      </c>
      <c r="D246" s="555" t="s">
        <v>345</v>
      </c>
      <c r="E246" s="574" t="s">
        <v>3006</v>
      </c>
      <c r="F246" s="555" t="s">
        <v>313</v>
      </c>
      <c r="G246" s="574" t="str">
        <f>VLOOKUP(WWWW[[#This Row],[Site Name]],SiteDB6[[Site Name]:[Location Type]],8,FALSE)</f>
        <v>Village</v>
      </c>
      <c r="H246" s="555" t="s">
        <v>2879</v>
      </c>
      <c r="I246" s="557">
        <v>192</v>
      </c>
      <c r="J246" s="557">
        <v>1083</v>
      </c>
      <c r="K246" s="564">
        <v>42736</v>
      </c>
      <c r="L246" s="565">
        <v>44551</v>
      </c>
      <c r="M246" s="557"/>
      <c r="N246" s="557"/>
      <c r="O246" s="557"/>
      <c r="P246" s="557"/>
      <c r="Q246" s="556"/>
      <c r="R246" s="557"/>
      <c r="S246" s="557"/>
      <c r="T246" s="557"/>
      <c r="U246" s="557"/>
      <c r="V246" s="557"/>
      <c r="W246" s="557"/>
      <c r="X246" s="557"/>
      <c r="Y246" s="557"/>
      <c r="Z246" s="557"/>
      <c r="AA246" s="557"/>
      <c r="AB246" s="557"/>
      <c r="AC246" s="557"/>
      <c r="AD246" s="557"/>
      <c r="AE246" s="557"/>
      <c r="AF246" s="557"/>
      <c r="AG246" s="557"/>
      <c r="AH246" s="557"/>
      <c r="AI246" s="557"/>
      <c r="AJ246" s="557"/>
      <c r="AK246" s="557"/>
      <c r="AL246" s="557"/>
      <c r="AM246" s="557"/>
      <c r="AN246" s="557"/>
      <c r="AO246" s="563"/>
      <c r="AP246" s="557"/>
      <c r="AQ246" s="557"/>
      <c r="AR246" s="559"/>
      <c r="AS246" s="557"/>
      <c r="AT246" s="557"/>
      <c r="AU246" s="557"/>
      <c r="AV246" s="557"/>
      <c r="AW246" s="557"/>
      <c r="AX246" s="554"/>
      <c r="AY246" s="563"/>
      <c r="AZ246" s="557"/>
      <c r="BA246" s="557"/>
      <c r="BB246" s="557"/>
      <c r="BC246" s="554"/>
      <c r="BD246" s="557"/>
      <c r="BE246" s="557"/>
      <c r="BF246" s="557"/>
      <c r="BG246" s="557"/>
      <c r="BH246" s="557"/>
      <c r="BI246" s="557"/>
      <c r="BJ246" s="557"/>
      <c r="BK246" s="557"/>
      <c r="BL246" s="557"/>
      <c r="BM246" s="554"/>
      <c r="BN246" s="558"/>
      <c r="BO246" s="559"/>
      <c r="BP246" s="554"/>
      <c r="BQ246" s="560" t="str">
        <f>IFERROR(WWWW[[#This Row],['#_Water sources treated]]/WWWW[[#This Row],['#_Water sources tested for contamination]],"no test")</f>
        <v>no test</v>
      </c>
      <c r="BR246" s="559" t="str">
        <f>IFERROR(WWWW[[#This Row],['#_Household received remediation action due to contamination]]/WWWW[[#This Row],['#_Household water samples tested for contamination]],"no test")</f>
        <v>no test</v>
      </c>
      <c r="BS246" s="558" t="str">
        <f>IF(AND(WWWW[[#This Row],[% of water sources treated]]="no test",WWWW[[#This Row],[% Household received corrective actions]]="no test"),"No Test","Tested")</f>
        <v>No Test</v>
      </c>
      <c r="BT246" s="558">
        <f>WWWW[[#This Row],['#_Constructed/existing protected hand dug well]]-WWWW[[#This Row],['#_Non-functional protected hand dug well]]</f>
        <v>0</v>
      </c>
      <c r="BU246" s="558">
        <f>(WWWW[[#This Row],['#_Constructed/Existing tube wells/boreholes/handpumps_WASH_agency]]+WWWW[[#This Row],['#_Non-Cluster partner water tube-wells/boreholes/handpumps]])-WWWW[[#This Row],['#_Non-functional tube wells/boreholes/handpumps]]</f>
        <v>0</v>
      </c>
      <c r="BV246" s="558">
        <f>WWWW[[#This Row],['#_Constructed/Existingwater storage tank with gravity fed reticulation system]]-WWWW[[#This Row],['#_Non-functional storage tank gravity fed reticulation system]]</f>
        <v>0</v>
      </c>
      <c r="BW246" s="558">
        <f>WWWW[[#This Row],['#_Water boating or water trucking]]</f>
        <v>0</v>
      </c>
      <c r="BX246" s="558">
        <f>WWWW[[#This Row],['#_Constructed/Existing water distribution system from river or natural spring]]</f>
        <v>0</v>
      </c>
      <c r="BY24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6" s="559">
        <f>IF(WWWW[[#This Row],[Location Type 1]]="Village",WWWW[[#This Row],[Access to safe drinking water for Village]],WWWW[[#This Row],[Access to safe drinking water for Camp]])</f>
        <v>0</v>
      </c>
      <c r="CB246" s="556">
        <f>WWWW[[#This Row],[%Equitable and continuous access to sufficient quantity of safe drinking water]]*WWWW[[#This Row],[Total PoP ]]</f>
        <v>0</v>
      </c>
      <c r="CC246" s="559">
        <f>IF((WWWW[[#This Row],['#_Constructed/Existing protected/fenced ponds]]*250)/WWWW[[#This Row],[Total PoP ]]&gt;1,1,(WWWW[[#This Row],['#_Constructed/Existing protected/fenced ponds]]*250)/WWWW[[#This Row],[Total PoP ]])</f>
        <v>0</v>
      </c>
      <c r="CD246" s="556">
        <f>WWWW[[#This Row],[% Access to unimproved water points]]*WWWW[[#This Row],[Total PoP ]]</f>
        <v>0</v>
      </c>
      <c r="CE24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6" s="556">
        <f>WWWW[[#This Row],[HRP1]]/500</f>
        <v>0</v>
      </c>
      <c r="CH246" s="561">
        <f>1-WWWW[[#This Row],[% Equitable and continuous access to sufficient quantity of domestic water]]</f>
        <v>1</v>
      </c>
      <c r="CI246" s="556">
        <f>WWWW[[#This Row],[%equitable and continuous access to sufficient quantity of safe drinking and domestic water''s GAP]]*WWWW[[#This Row],[Total PoP ]]</f>
        <v>1083</v>
      </c>
      <c r="CJ246" s="558">
        <f>IF(WWWW[[#This Row],[Total required water points]]-WWWW[[#This Row],['#Water points coverage]]&lt;0,0,WWWW[[#This Row],[Total required water points]]-WWWW[[#This Row],['#Water points coverage]])</f>
        <v>2</v>
      </c>
      <c r="CK246" s="558">
        <f>ROUND(IF(WWWW[[#This Row],[Total PoP ]]&lt;500,1,WWWW[[#This Row],[Total PoP ]]/500),0)</f>
        <v>2</v>
      </c>
      <c r="CL246" s="558">
        <f>(WWWW[[#This Row],['#_Constructed latrines_by_WASHAgencies]]+WWWW[[#This Row],['#_Non Cluster partner latrines]])-WWWW[[#This Row],['#_Non-functional latrines]]</f>
        <v>0</v>
      </c>
      <c r="CM24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6" s="558" t="str">
        <f>IF(WWWW[[#This Row],[Location Type 1]]="Village","NA",IF(WWWW[[#This Row],['#_Constructed/Existing latrines in TLS]]*50&gt;WWWW[[#This Row],['#_students at TLS_CFS]],WWWW[[#This Row],['#_students at TLS_CFS]],(WWWW[[#This Row],['#_Constructed/Existing latrines in TLS]]*50)))</f>
        <v>NA</v>
      </c>
      <c r="CQ246" s="558">
        <f>ROUND(IF(WWWW[[#This Row],[Location Type 1]]="camp",WWWW[[#This Row],[Total PoP ]]/20,IF(WWWW[[#This Row],[Location Type 1]]="Temporary Location",WWWW[[#This Row],[Total PoP ]]/50,(WWWW[[#This Row],[Total PoP ]]/6))),0)</f>
        <v>181</v>
      </c>
      <c r="CR246" s="558">
        <f>IF(WWWW[[#This Row],[Total required Latrines]]-(WWWW[[#This Row],['#_Constructed latrines_by_WASHAgencies]]+WWWW[[#This Row],['#_Non Cluster partner latrines]])&lt;0,0,WWWW[[#This Row],[Total required Latrines]]-(WWWW[[#This Row],['#_Constructed latrines_by_WASHAgencies]]+WWWW[[#This Row],['#_Non Cluster partner latrines]]))</f>
        <v>181</v>
      </c>
      <c r="CS246" s="78">
        <f>1-WWWW[[#This Row],[% people access to functioning Latrine]]</f>
        <v>1</v>
      </c>
      <c r="CT246" s="560">
        <f>IF(OR(WWWW[[#This Row],['#_Non-functional latrines]]="",WWWW[[#This Row],['#_Non-functional latrines]]=0),0,WWWW[[#This Row],['#_Non-functional latrines]]/(WWWW[[#This Row],['#_Constructed latrines_by_WASHAgencies]]+WWWW[[#This Row],['#_Non Cluster partner latrines]]))</f>
        <v>0</v>
      </c>
      <c r="CU246" s="556">
        <f>IF(500*(WWWW[[#This Row],['#_male hygiene promoters]]+WWWW[[#This Row],['#_female hygiene promoters]])&gt;WWWW[[#This Row],[Total PoP ]],WWWW[[#This Row],[Total PoP ]],500*(WWWW[[#This Row],['#_male hygiene promoters]]+WWWW[[#This Row],['#_female hygiene promoters]]))</f>
        <v>0</v>
      </c>
      <c r="CV24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6" s="558">
        <f>IF(WWWW[[#This Row],['# People with access to soap]]&gt;WWWW[[#This Row],['# People with access to Sanity Pads]],WWWW[[#This Row],['# People with access to soap]],WWWW[[#This Row],['# People with access to Sanity Pads]])</f>
        <v>0</v>
      </c>
      <c r="CY24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6" s="561">
        <f>IF(WWWW[[#This Row],[HRP3]]/WWWW[[#This Row],[Total PoP ]]&gt;100%,100%,WWWW[[#This Row],[HRP3]]/WWWW[[#This Row],[Total PoP ]])</f>
        <v>0</v>
      </c>
      <c r="DA246" s="560">
        <f>1-WWWW[[#This Row],[Hygiene Coverage%]]</f>
        <v>1</v>
      </c>
      <c r="DB246" s="559">
        <f>WWWW[[#This Row],['# people reached by regular dedicated hygiene promotion_5]]/WWWW[[#This Row],[Total PoP ]]</f>
        <v>0</v>
      </c>
      <c r="DC246" s="559">
        <f>IF(WWWW[[#This Row],['#_households that received standard amount of soap for this quarter]]/WWWW[[#This Row],[Total HH]]&gt;1,1,WWWW[[#This Row],['#_households that received standard amount of soap for this quarter]]/WWWW[[#This Row],[Total HH]])</f>
        <v>0</v>
      </c>
      <c r="DD246" s="559">
        <f>IF(WWWW[[#This Row],['#_households that received standard amount of sanitary pads for this quarter]]/WWWW[[#This Row],[Total HH]]&gt;1,1,WWWW[[#This Row],['#_households that received standard amount of sanitary pads for this quarter]]/WWWW[[#This Row],[Total HH]])</f>
        <v>0</v>
      </c>
      <c r="DE246" s="558">
        <f>WWWW[[#This Row],['#_Constructed/Existing hand washing stations]]-WWWW[[#This Row],['#_Non-Functional_hand_washing_stations]]</f>
        <v>0</v>
      </c>
      <c r="DF246" s="757">
        <f>IF(WWWW[[#This Row],['# Functional hand washing stations during reporting period]]*20&gt;WWWW[[#This Row],[Total HH]],WWWW[[#This Row],[Total HH]],WWWW[[#This Row],['# Functional hand washing stations during reporting period]]*20)</f>
        <v>0</v>
      </c>
      <c r="DG246" s="556">
        <f>IF(WWWW[[#This Row],[Is sufficient soap available for TLS? (Yes/No)]]="yes",WWWW[[#This Row],['#_Constructed/Existing hand washing stations at TLS]],0)</f>
        <v>0</v>
      </c>
      <c r="DH246" s="556">
        <f>IF(WWWW[[#This Row],['# Functional hand washing stations during reporting period]]*100&gt;WWWW[[#This Row],[Total PoP ]],WWWW[[#This Row],[Total PoP ]],WWWW[[#This Row],['# Functional hand washing stations during reporting period]]*100)</f>
        <v>0</v>
      </c>
      <c r="DI246" s="556" t="str">
        <f>IF(OR(WWWW[[#This Row],['#_students at TLS_CFS]]="",WWWW[[#This Row],['#_students at TLS_CFS]]=0),"No","Yes")</f>
        <v>No</v>
      </c>
      <c r="DJ246" s="554">
        <f>VLOOKUP(WWWW[[#This Row],[Site Name]],SiteDB6[[Site Name]:[CCCM Management]],6,FALSE)</f>
        <v>0</v>
      </c>
      <c r="DK246" s="554">
        <f>VLOOKUP(WWWW[[#This Row],[Site Name]],SiteDB6[[Site Name]:[CCCM Focal Agency]],7,FALSE)</f>
        <v>0</v>
      </c>
      <c r="DL246" s="554" t="str">
        <f>VLOOKUP(WWWW[[#This Row],[Site Name]],SiteDB6[[Site Name]:[Location Type 1]],9,FALSE)</f>
        <v>Village</v>
      </c>
      <c r="DM246" s="554" t="str">
        <f>VLOOKUP(WWWW[[#This Row],[Site Name]],SiteDB6[[Site Name]:[Type of Accommodation]],10,FALSE)</f>
        <v>Village</v>
      </c>
      <c r="DN246" s="554">
        <f>VLOOKUP(WWWW[[#This Row],[Site Name]],SiteDB6[[Site Name]:[Ethnic or GCA/NGCA]],11,FALSE)</f>
        <v>0</v>
      </c>
      <c r="DO246" s="554">
        <f>VLOOKUP(WWWW[[#This Row],[Site Name]],SiteDB6[[Site Name]:[Lat]],12,FALSE)</f>
        <v>0</v>
      </c>
      <c r="DP246" s="554">
        <f>VLOOKUP(WWWW[[#This Row],[Site Name]],SiteDB6[[Site Name]:[Long]],13,FALSE)</f>
        <v>0</v>
      </c>
      <c r="DQ246" s="554">
        <f>VLOOKUP(WWWW[[#This Row],[Site Name]],SiteDB6[[Site Name]:[Pcode]],3,FALSE)</f>
        <v>196132</v>
      </c>
      <c r="DR246" s="563" t="str">
        <f t="shared" si="8"/>
        <v>Covered</v>
      </c>
      <c r="DS246" s="563"/>
    </row>
    <row r="247" spans="1:123">
      <c r="A247" s="552" t="s">
        <v>2518</v>
      </c>
      <c r="B247" s="552" t="s">
        <v>332</v>
      </c>
      <c r="C247" s="555" t="s">
        <v>332</v>
      </c>
      <c r="D247" s="555" t="s">
        <v>345</v>
      </c>
      <c r="E247" s="574" t="s">
        <v>3006</v>
      </c>
      <c r="F247" s="555" t="s">
        <v>313</v>
      </c>
      <c r="G247" s="574" t="str">
        <f>VLOOKUP(WWWW[[#This Row],[Site Name]],SiteDB6[[Site Name]:[Location Type]],8,FALSE)</f>
        <v>Village</v>
      </c>
      <c r="H247" s="555" t="s">
        <v>2880</v>
      </c>
      <c r="I247" s="557">
        <v>65</v>
      </c>
      <c r="J247" s="557">
        <v>373</v>
      </c>
      <c r="K247" s="564">
        <v>42736</v>
      </c>
      <c r="L247" s="565">
        <v>44551</v>
      </c>
      <c r="M247" s="557"/>
      <c r="N247" s="557"/>
      <c r="O247" s="557"/>
      <c r="P247" s="557"/>
      <c r="Q247" s="556"/>
      <c r="R247" s="557"/>
      <c r="S247" s="557"/>
      <c r="T247" s="557"/>
      <c r="U247" s="557"/>
      <c r="V247" s="557"/>
      <c r="W247" s="557"/>
      <c r="X247" s="557"/>
      <c r="Y247" s="557"/>
      <c r="Z247" s="557"/>
      <c r="AA247" s="557"/>
      <c r="AB247" s="557"/>
      <c r="AC247" s="557"/>
      <c r="AD247" s="557"/>
      <c r="AE247" s="557"/>
      <c r="AF247" s="557"/>
      <c r="AG247" s="557"/>
      <c r="AH247" s="557"/>
      <c r="AI247" s="557"/>
      <c r="AJ247" s="557"/>
      <c r="AK247" s="557"/>
      <c r="AL247" s="557"/>
      <c r="AM247" s="557"/>
      <c r="AN247" s="557"/>
      <c r="AO247" s="563"/>
      <c r="AP247" s="557"/>
      <c r="AQ247" s="557"/>
      <c r="AR247" s="559"/>
      <c r="AS247" s="557"/>
      <c r="AT247" s="557"/>
      <c r="AU247" s="557"/>
      <c r="AV247" s="557"/>
      <c r="AW247" s="557"/>
      <c r="AX247" s="554"/>
      <c r="AY247" s="563"/>
      <c r="AZ247" s="557"/>
      <c r="BA247" s="557"/>
      <c r="BB247" s="557"/>
      <c r="BC247" s="554"/>
      <c r="BD247" s="557"/>
      <c r="BE247" s="557"/>
      <c r="BF247" s="557"/>
      <c r="BG247" s="557"/>
      <c r="BH247" s="557"/>
      <c r="BI247" s="557"/>
      <c r="BJ247" s="557"/>
      <c r="BK247" s="557"/>
      <c r="BL247" s="557"/>
      <c r="BM247" s="554"/>
      <c r="BN247" s="558"/>
      <c r="BO247" s="559"/>
      <c r="BP247" s="554"/>
      <c r="BQ247" s="560" t="str">
        <f>IFERROR(WWWW[[#This Row],['#_Water sources treated]]/WWWW[[#This Row],['#_Water sources tested for contamination]],"no test")</f>
        <v>no test</v>
      </c>
      <c r="BR247" s="559" t="str">
        <f>IFERROR(WWWW[[#This Row],['#_Household received remediation action due to contamination]]/WWWW[[#This Row],['#_Household water samples tested for contamination]],"no test")</f>
        <v>no test</v>
      </c>
      <c r="BS247" s="558" t="str">
        <f>IF(AND(WWWW[[#This Row],[% of water sources treated]]="no test",WWWW[[#This Row],[% Household received corrective actions]]="no test"),"No Test","Tested")</f>
        <v>No Test</v>
      </c>
      <c r="BT247" s="558">
        <f>WWWW[[#This Row],['#_Constructed/existing protected hand dug well]]-WWWW[[#This Row],['#_Non-functional protected hand dug well]]</f>
        <v>0</v>
      </c>
      <c r="BU247" s="558">
        <f>(WWWW[[#This Row],['#_Constructed/Existing tube wells/boreholes/handpumps_WASH_agency]]+WWWW[[#This Row],['#_Non-Cluster partner water tube-wells/boreholes/handpumps]])-WWWW[[#This Row],['#_Non-functional tube wells/boreholes/handpumps]]</f>
        <v>0</v>
      </c>
      <c r="BV247" s="558">
        <f>WWWW[[#This Row],['#_Constructed/Existingwater storage tank with gravity fed reticulation system]]-WWWW[[#This Row],['#_Non-functional storage tank gravity fed reticulation system]]</f>
        <v>0</v>
      </c>
      <c r="BW247" s="558">
        <f>WWWW[[#This Row],['#_Water boating or water trucking]]</f>
        <v>0</v>
      </c>
      <c r="BX247" s="558">
        <f>WWWW[[#This Row],['#_Constructed/Existing water distribution system from river or natural spring]]</f>
        <v>0</v>
      </c>
      <c r="BY24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7" s="559">
        <f>IF(WWWW[[#This Row],[Location Type 1]]="Village",WWWW[[#This Row],[Access to safe drinking water for Village]],WWWW[[#This Row],[Access to safe drinking water for Camp]])</f>
        <v>0</v>
      </c>
      <c r="CB247" s="556">
        <f>WWWW[[#This Row],[%Equitable and continuous access to sufficient quantity of safe drinking water]]*WWWW[[#This Row],[Total PoP ]]</f>
        <v>0</v>
      </c>
      <c r="CC247" s="559">
        <f>IF((WWWW[[#This Row],['#_Constructed/Existing protected/fenced ponds]]*250)/WWWW[[#This Row],[Total PoP ]]&gt;1,1,(WWWW[[#This Row],['#_Constructed/Existing protected/fenced ponds]]*250)/WWWW[[#This Row],[Total PoP ]])</f>
        <v>0</v>
      </c>
      <c r="CD247" s="556">
        <f>WWWW[[#This Row],[% Access to unimproved water points]]*WWWW[[#This Row],[Total PoP ]]</f>
        <v>0</v>
      </c>
      <c r="CE24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7" s="556">
        <f>WWWW[[#This Row],[HRP1]]/500</f>
        <v>0</v>
      </c>
      <c r="CH247" s="561">
        <f>1-WWWW[[#This Row],[% Equitable and continuous access to sufficient quantity of domestic water]]</f>
        <v>1</v>
      </c>
      <c r="CI247" s="556">
        <f>WWWW[[#This Row],[%equitable and continuous access to sufficient quantity of safe drinking and domestic water''s GAP]]*WWWW[[#This Row],[Total PoP ]]</f>
        <v>373</v>
      </c>
      <c r="CJ247" s="558">
        <f>IF(WWWW[[#This Row],[Total required water points]]-WWWW[[#This Row],['#Water points coverage]]&lt;0,0,WWWW[[#This Row],[Total required water points]]-WWWW[[#This Row],['#Water points coverage]])</f>
        <v>1</v>
      </c>
      <c r="CK247" s="558">
        <f>ROUND(IF(WWWW[[#This Row],[Total PoP ]]&lt;500,1,WWWW[[#This Row],[Total PoP ]]/500),0)</f>
        <v>1</v>
      </c>
      <c r="CL247" s="558">
        <f>(WWWW[[#This Row],['#_Constructed latrines_by_WASHAgencies]]+WWWW[[#This Row],['#_Non Cluster partner latrines]])-WWWW[[#This Row],['#_Non-functional latrines]]</f>
        <v>0</v>
      </c>
      <c r="CM24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7" s="558" t="str">
        <f>IF(WWWW[[#This Row],[Location Type 1]]="Village","NA",IF(WWWW[[#This Row],['#_Constructed/Existing latrines in TLS]]*50&gt;WWWW[[#This Row],['#_students at TLS_CFS]],WWWW[[#This Row],['#_students at TLS_CFS]],(WWWW[[#This Row],['#_Constructed/Existing latrines in TLS]]*50)))</f>
        <v>NA</v>
      </c>
      <c r="CQ247" s="558">
        <f>ROUND(IF(WWWW[[#This Row],[Location Type 1]]="camp",WWWW[[#This Row],[Total PoP ]]/20,IF(WWWW[[#This Row],[Location Type 1]]="Temporary Location",WWWW[[#This Row],[Total PoP ]]/50,(WWWW[[#This Row],[Total PoP ]]/6))),0)</f>
        <v>62</v>
      </c>
      <c r="CR247" s="558">
        <f>IF(WWWW[[#This Row],[Total required Latrines]]-(WWWW[[#This Row],['#_Constructed latrines_by_WASHAgencies]]+WWWW[[#This Row],['#_Non Cluster partner latrines]])&lt;0,0,WWWW[[#This Row],[Total required Latrines]]-(WWWW[[#This Row],['#_Constructed latrines_by_WASHAgencies]]+WWWW[[#This Row],['#_Non Cluster partner latrines]]))</f>
        <v>62</v>
      </c>
      <c r="CS247" s="78">
        <f>1-WWWW[[#This Row],[% people access to functioning Latrine]]</f>
        <v>1</v>
      </c>
      <c r="CT247" s="560">
        <f>IF(OR(WWWW[[#This Row],['#_Non-functional latrines]]="",WWWW[[#This Row],['#_Non-functional latrines]]=0),0,WWWW[[#This Row],['#_Non-functional latrines]]/(WWWW[[#This Row],['#_Constructed latrines_by_WASHAgencies]]+WWWW[[#This Row],['#_Non Cluster partner latrines]]))</f>
        <v>0</v>
      </c>
      <c r="CU247" s="556">
        <f>IF(500*(WWWW[[#This Row],['#_male hygiene promoters]]+WWWW[[#This Row],['#_female hygiene promoters]])&gt;WWWW[[#This Row],[Total PoP ]],WWWW[[#This Row],[Total PoP ]],500*(WWWW[[#This Row],['#_male hygiene promoters]]+WWWW[[#This Row],['#_female hygiene promoters]]))</f>
        <v>0</v>
      </c>
      <c r="CV24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7" s="558">
        <f>IF(WWWW[[#This Row],['# People with access to soap]]&gt;WWWW[[#This Row],['# People with access to Sanity Pads]],WWWW[[#This Row],['# People with access to soap]],WWWW[[#This Row],['# People with access to Sanity Pads]])</f>
        <v>0</v>
      </c>
      <c r="CY24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7" s="561">
        <f>IF(WWWW[[#This Row],[HRP3]]/WWWW[[#This Row],[Total PoP ]]&gt;100%,100%,WWWW[[#This Row],[HRP3]]/WWWW[[#This Row],[Total PoP ]])</f>
        <v>0</v>
      </c>
      <c r="DA247" s="560">
        <f>1-WWWW[[#This Row],[Hygiene Coverage%]]</f>
        <v>1</v>
      </c>
      <c r="DB247" s="559">
        <f>WWWW[[#This Row],['# people reached by regular dedicated hygiene promotion_5]]/WWWW[[#This Row],[Total PoP ]]</f>
        <v>0</v>
      </c>
      <c r="DC247" s="559">
        <f>IF(WWWW[[#This Row],['#_households that received standard amount of soap for this quarter]]/WWWW[[#This Row],[Total HH]]&gt;1,1,WWWW[[#This Row],['#_households that received standard amount of soap for this quarter]]/WWWW[[#This Row],[Total HH]])</f>
        <v>0</v>
      </c>
      <c r="DD247" s="559">
        <f>IF(WWWW[[#This Row],['#_households that received standard amount of sanitary pads for this quarter]]/WWWW[[#This Row],[Total HH]]&gt;1,1,WWWW[[#This Row],['#_households that received standard amount of sanitary pads for this quarter]]/WWWW[[#This Row],[Total HH]])</f>
        <v>0</v>
      </c>
      <c r="DE247" s="558">
        <f>WWWW[[#This Row],['#_Constructed/Existing hand washing stations]]-WWWW[[#This Row],['#_Non-Functional_hand_washing_stations]]</f>
        <v>0</v>
      </c>
      <c r="DF247" s="757">
        <f>IF(WWWW[[#This Row],['# Functional hand washing stations during reporting period]]*20&gt;WWWW[[#This Row],[Total HH]],WWWW[[#This Row],[Total HH]],WWWW[[#This Row],['# Functional hand washing stations during reporting period]]*20)</f>
        <v>0</v>
      </c>
      <c r="DG247" s="556">
        <f>IF(WWWW[[#This Row],[Is sufficient soap available for TLS? (Yes/No)]]="yes",WWWW[[#This Row],['#_Constructed/Existing hand washing stations at TLS]],0)</f>
        <v>0</v>
      </c>
      <c r="DH247" s="556">
        <f>IF(WWWW[[#This Row],['# Functional hand washing stations during reporting period]]*100&gt;WWWW[[#This Row],[Total PoP ]],WWWW[[#This Row],[Total PoP ]],WWWW[[#This Row],['# Functional hand washing stations during reporting period]]*100)</f>
        <v>0</v>
      </c>
      <c r="DI247" s="556" t="str">
        <f>IF(OR(WWWW[[#This Row],['#_students at TLS_CFS]]="",WWWW[[#This Row],['#_students at TLS_CFS]]=0),"No","Yes")</f>
        <v>No</v>
      </c>
      <c r="DJ247" s="554">
        <f>VLOOKUP(WWWW[[#This Row],[Site Name]],SiteDB6[[Site Name]:[CCCM Management]],6,FALSE)</f>
        <v>0</v>
      </c>
      <c r="DK247" s="554">
        <f>VLOOKUP(WWWW[[#This Row],[Site Name]],SiteDB6[[Site Name]:[CCCM Focal Agency]],7,FALSE)</f>
        <v>0</v>
      </c>
      <c r="DL247" s="554" t="str">
        <f>VLOOKUP(WWWW[[#This Row],[Site Name]],SiteDB6[[Site Name]:[Location Type 1]],9,FALSE)</f>
        <v>Village</v>
      </c>
      <c r="DM247" s="554" t="str">
        <f>VLOOKUP(WWWW[[#This Row],[Site Name]],SiteDB6[[Site Name]:[Type of Accommodation]],10,FALSE)</f>
        <v>Village</v>
      </c>
      <c r="DN247" s="554">
        <f>VLOOKUP(WWWW[[#This Row],[Site Name]],SiteDB6[[Site Name]:[Ethnic or GCA/NGCA]],11,FALSE)</f>
        <v>0</v>
      </c>
      <c r="DO247" s="554">
        <f>VLOOKUP(WWWW[[#This Row],[Site Name]],SiteDB6[[Site Name]:[Lat]],12,FALSE)</f>
        <v>0</v>
      </c>
      <c r="DP247" s="554">
        <f>VLOOKUP(WWWW[[#This Row],[Site Name]],SiteDB6[[Site Name]:[Long]],13,FALSE)</f>
        <v>0</v>
      </c>
      <c r="DQ247" s="554">
        <f>VLOOKUP(WWWW[[#This Row],[Site Name]],SiteDB6[[Site Name]:[Pcode]],3,FALSE)</f>
        <v>196135</v>
      </c>
      <c r="DR247" s="563" t="str">
        <f t="shared" si="8"/>
        <v>Covered</v>
      </c>
      <c r="DS247" s="563"/>
    </row>
    <row r="248" spans="1:123">
      <c r="A248" s="552" t="s">
        <v>2518</v>
      </c>
      <c r="B248" s="552" t="s">
        <v>332</v>
      </c>
      <c r="C248" s="555" t="s">
        <v>332</v>
      </c>
      <c r="D248" s="555" t="s">
        <v>345</v>
      </c>
      <c r="E248" s="574" t="s">
        <v>3006</v>
      </c>
      <c r="F248" s="555" t="s">
        <v>313</v>
      </c>
      <c r="G248" s="574" t="str">
        <f>VLOOKUP(WWWW[[#This Row],[Site Name]],SiteDB6[[Site Name]:[Location Type]],8,FALSE)</f>
        <v>Village</v>
      </c>
      <c r="H248" s="555" t="s">
        <v>2881</v>
      </c>
      <c r="I248" s="557">
        <v>86</v>
      </c>
      <c r="J248" s="557">
        <v>481</v>
      </c>
      <c r="K248" s="564">
        <v>42736</v>
      </c>
      <c r="L248" s="565">
        <v>44551</v>
      </c>
      <c r="M248" s="557"/>
      <c r="N248" s="557"/>
      <c r="O248" s="557"/>
      <c r="P248" s="557"/>
      <c r="Q248" s="556"/>
      <c r="R248" s="557"/>
      <c r="S248" s="557"/>
      <c r="T248" s="557"/>
      <c r="U248" s="557"/>
      <c r="V248" s="557"/>
      <c r="W248" s="557"/>
      <c r="X248" s="557"/>
      <c r="Y248" s="557"/>
      <c r="Z248" s="557"/>
      <c r="AA248" s="557"/>
      <c r="AB248" s="557"/>
      <c r="AC248" s="557"/>
      <c r="AD248" s="557"/>
      <c r="AE248" s="557"/>
      <c r="AF248" s="557"/>
      <c r="AG248" s="557"/>
      <c r="AH248" s="557"/>
      <c r="AI248" s="557"/>
      <c r="AJ248" s="557"/>
      <c r="AK248" s="557"/>
      <c r="AL248" s="557"/>
      <c r="AM248" s="557"/>
      <c r="AN248" s="557"/>
      <c r="AO248" s="563"/>
      <c r="AP248" s="557"/>
      <c r="AQ248" s="557"/>
      <c r="AR248" s="559"/>
      <c r="AS248" s="557"/>
      <c r="AT248" s="557"/>
      <c r="AU248" s="557"/>
      <c r="AV248" s="557"/>
      <c r="AW248" s="557"/>
      <c r="AX248" s="554"/>
      <c r="AY248" s="563"/>
      <c r="AZ248" s="557"/>
      <c r="BA248" s="557"/>
      <c r="BB248" s="557"/>
      <c r="BC248" s="554"/>
      <c r="BD248" s="557"/>
      <c r="BE248" s="557"/>
      <c r="BF248" s="557"/>
      <c r="BG248" s="557"/>
      <c r="BH248" s="557"/>
      <c r="BI248" s="557"/>
      <c r="BJ248" s="557"/>
      <c r="BK248" s="557"/>
      <c r="BL248" s="557"/>
      <c r="BM248" s="554"/>
      <c r="BN248" s="558"/>
      <c r="BO248" s="559"/>
      <c r="BP248" s="554"/>
      <c r="BQ248" s="560" t="str">
        <f>IFERROR(WWWW[[#This Row],['#_Water sources treated]]/WWWW[[#This Row],['#_Water sources tested for contamination]],"no test")</f>
        <v>no test</v>
      </c>
      <c r="BR248" s="559" t="str">
        <f>IFERROR(WWWW[[#This Row],['#_Household received remediation action due to contamination]]/WWWW[[#This Row],['#_Household water samples tested for contamination]],"no test")</f>
        <v>no test</v>
      </c>
      <c r="BS248" s="558" t="str">
        <f>IF(AND(WWWW[[#This Row],[% of water sources treated]]="no test",WWWW[[#This Row],[% Household received corrective actions]]="no test"),"No Test","Tested")</f>
        <v>No Test</v>
      </c>
      <c r="BT248" s="558">
        <f>WWWW[[#This Row],['#_Constructed/existing protected hand dug well]]-WWWW[[#This Row],['#_Non-functional protected hand dug well]]</f>
        <v>0</v>
      </c>
      <c r="BU248" s="558">
        <f>(WWWW[[#This Row],['#_Constructed/Existing tube wells/boreholes/handpumps_WASH_agency]]+WWWW[[#This Row],['#_Non-Cluster partner water tube-wells/boreholes/handpumps]])-WWWW[[#This Row],['#_Non-functional tube wells/boreholes/handpumps]]</f>
        <v>0</v>
      </c>
      <c r="BV248" s="558">
        <f>WWWW[[#This Row],['#_Constructed/Existingwater storage tank with gravity fed reticulation system]]-WWWW[[#This Row],['#_Non-functional storage tank gravity fed reticulation system]]</f>
        <v>0</v>
      </c>
      <c r="BW248" s="558">
        <f>WWWW[[#This Row],['#_Water boating or water trucking]]</f>
        <v>0</v>
      </c>
      <c r="BX248" s="558">
        <f>WWWW[[#This Row],['#_Constructed/Existing water distribution system from river or natural spring]]</f>
        <v>0</v>
      </c>
      <c r="BY24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8" s="559">
        <f>IF(WWWW[[#This Row],[Location Type 1]]="Village",WWWW[[#This Row],[Access to safe drinking water for Village]],WWWW[[#This Row],[Access to safe drinking water for Camp]])</f>
        <v>0</v>
      </c>
      <c r="CB248" s="556">
        <f>WWWW[[#This Row],[%Equitable and continuous access to sufficient quantity of safe drinking water]]*WWWW[[#This Row],[Total PoP ]]</f>
        <v>0</v>
      </c>
      <c r="CC248" s="559">
        <f>IF((WWWW[[#This Row],['#_Constructed/Existing protected/fenced ponds]]*250)/WWWW[[#This Row],[Total PoP ]]&gt;1,1,(WWWW[[#This Row],['#_Constructed/Existing protected/fenced ponds]]*250)/WWWW[[#This Row],[Total PoP ]])</f>
        <v>0</v>
      </c>
      <c r="CD248" s="556">
        <f>WWWW[[#This Row],[% Access to unimproved water points]]*WWWW[[#This Row],[Total PoP ]]</f>
        <v>0</v>
      </c>
      <c r="CE24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8" s="556">
        <f>WWWW[[#This Row],[HRP1]]/500</f>
        <v>0</v>
      </c>
      <c r="CH248" s="561">
        <f>1-WWWW[[#This Row],[% Equitable and continuous access to sufficient quantity of domestic water]]</f>
        <v>1</v>
      </c>
      <c r="CI248" s="556">
        <f>WWWW[[#This Row],[%equitable and continuous access to sufficient quantity of safe drinking and domestic water''s GAP]]*WWWW[[#This Row],[Total PoP ]]</f>
        <v>481</v>
      </c>
      <c r="CJ248" s="558">
        <f>IF(WWWW[[#This Row],[Total required water points]]-WWWW[[#This Row],['#Water points coverage]]&lt;0,0,WWWW[[#This Row],[Total required water points]]-WWWW[[#This Row],['#Water points coverage]])</f>
        <v>1</v>
      </c>
      <c r="CK248" s="558">
        <f>ROUND(IF(WWWW[[#This Row],[Total PoP ]]&lt;500,1,WWWW[[#This Row],[Total PoP ]]/500),0)</f>
        <v>1</v>
      </c>
      <c r="CL248" s="558">
        <f>(WWWW[[#This Row],['#_Constructed latrines_by_WASHAgencies]]+WWWW[[#This Row],['#_Non Cluster partner latrines]])-WWWW[[#This Row],['#_Non-functional latrines]]</f>
        <v>0</v>
      </c>
      <c r="CM24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8" s="558" t="str">
        <f>IF(WWWW[[#This Row],[Location Type 1]]="Village","NA",IF(WWWW[[#This Row],['#_Constructed/Existing latrines in TLS]]*50&gt;WWWW[[#This Row],['#_students at TLS_CFS]],WWWW[[#This Row],['#_students at TLS_CFS]],(WWWW[[#This Row],['#_Constructed/Existing latrines in TLS]]*50)))</f>
        <v>NA</v>
      </c>
      <c r="CQ248" s="558">
        <f>ROUND(IF(WWWW[[#This Row],[Location Type 1]]="camp",WWWW[[#This Row],[Total PoP ]]/20,IF(WWWW[[#This Row],[Location Type 1]]="Temporary Location",WWWW[[#This Row],[Total PoP ]]/50,(WWWW[[#This Row],[Total PoP ]]/6))),0)</f>
        <v>80</v>
      </c>
      <c r="CR248" s="558">
        <f>IF(WWWW[[#This Row],[Total required Latrines]]-(WWWW[[#This Row],['#_Constructed latrines_by_WASHAgencies]]+WWWW[[#This Row],['#_Non Cluster partner latrines]])&lt;0,0,WWWW[[#This Row],[Total required Latrines]]-(WWWW[[#This Row],['#_Constructed latrines_by_WASHAgencies]]+WWWW[[#This Row],['#_Non Cluster partner latrines]]))</f>
        <v>80</v>
      </c>
      <c r="CS248" s="78">
        <f>1-WWWW[[#This Row],[% people access to functioning Latrine]]</f>
        <v>1</v>
      </c>
      <c r="CT248" s="560">
        <f>IF(OR(WWWW[[#This Row],['#_Non-functional latrines]]="",WWWW[[#This Row],['#_Non-functional latrines]]=0),0,WWWW[[#This Row],['#_Non-functional latrines]]/(WWWW[[#This Row],['#_Constructed latrines_by_WASHAgencies]]+WWWW[[#This Row],['#_Non Cluster partner latrines]]))</f>
        <v>0</v>
      </c>
      <c r="CU248" s="556">
        <f>IF(500*(WWWW[[#This Row],['#_male hygiene promoters]]+WWWW[[#This Row],['#_female hygiene promoters]])&gt;WWWW[[#This Row],[Total PoP ]],WWWW[[#This Row],[Total PoP ]],500*(WWWW[[#This Row],['#_male hygiene promoters]]+WWWW[[#This Row],['#_female hygiene promoters]]))</f>
        <v>0</v>
      </c>
      <c r="CV24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8" s="558">
        <f>IF(WWWW[[#This Row],['# People with access to soap]]&gt;WWWW[[#This Row],['# People with access to Sanity Pads]],WWWW[[#This Row],['# People with access to soap]],WWWW[[#This Row],['# People with access to Sanity Pads]])</f>
        <v>0</v>
      </c>
      <c r="CY24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8" s="561">
        <f>IF(WWWW[[#This Row],[HRP3]]/WWWW[[#This Row],[Total PoP ]]&gt;100%,100%,WWWW[[#This Row],[HRP3]]/WWWW[[#This Row],[Total PoP ]])</f>
        <v>0</v>
      </c>
      <c r="DA248" s="560">
        <f>1-WWWW[[#This Row],[Hygiene Coverage%]]</f>
        <v>1</v>
      </c>
      <c r="DB248" s="559">
        <f>WWWW[[#This Row],['# people reached by regular dedicated hygiene promotion_5]]/WWWW[[#This Row],[Total PoP ]]</f>
        <v>0</v>
      </c>
      <c r="DC248" s="559">
        <f>IF(WWWW[[#This Row],['#_households that received standard amount of soap for this quarter]]/WWWW[[#This Row],[Total HH]]&gt;1,1,WWWW[[#This Row],['#_households that received standard amount of soap for this quarter]]/WWWW[[#This Row],[Total HH]])</f>
        <v>0</v>
      </c>
      <c r="DD248" s="559">
        <f>IF(WWWW[[#This Row],['#_households that received standard amount of sanitary pads for this quarter]]/WWWW[[#This Row],[Total HH]]&gt;1,1,WWWW[[#This Row],['#_households that received standard amount of sanitary pads for this quarter]]/WWWW[[#This Row],[Total HH]])</f>
        <v>0</v>
      </c>
      <c r="DE248" s="558">
        <f>WWWW[[#This Row],['#_Constructed/Existing hand washing stations]]-WWWW[[#This Row],['#_Non-Functional_hand_washing_stations]]</f>
        <v>0</v>
      </c>
      <c r="DF248" s="757">
        <f>IF(WWWW[[#This Row],['# Functional hand washing stations during reporting period]]*20&gt;WWWW[[#This Row],[Total HH]],WWWW[[#This Row],[Total HH]],WWWW[[#This Row],['# Functional hand washing stations during reporting period]]*20)</f>
        <v>0</v>
      </c>
      <c r="DG248" s="556">
        <f>IF(WWWW[[#This Row],[Is sufficient soap available for TLS? (Yes/No)]]="yes",WWWW[[#This Row],['#_Constructed/Existing hand washing stations at TLS]],0)</f>
        <v>0</v>
      </c>
      <c r="DH248" s="556">
        <f>IF(WWWW[[#This Row],['# Functional hand washing stations during reporting period]]*100&gt;WWWW[[#This Row],[Total PoP ]],WWWW[[#This Row],[Total PoP ]],WWWW[[#This Row],['# Functional hand washing stations during reporting period]]*100)</f>
        <v>0</v>
      </c>
      <c r="DI248" s="556" t="str">
        <f>IF(OR(WWWW[[#This Row],['#_students at TLS_CFS]]="",WWWW[[#This Row],['#_students at TLS_CFS]]=0),"No","Yes")</f>
        <v>No</v>
      </c>
      <c r="DJ248" s="554">
        <f>VLOOKUP(WWWW[[#This Row],[Site Name]],SiteDB6[[Site Name]:[CCCM Management]],6,FALSE)</f>
        <v>0</v>
      </c>
      <c r="DK248" s="554">
        <f>VLOOKUP(WWWW[[#This Row],[Site Name]],SiteDB6[[Site Name]:[CCCM Focal Agency]],7,FALSE)</f>
        <v>0</v>
      </c>
      <c r="DL248" s="554" t="str">
        <f>VLOOKUP(WWWW[[#This Row],[Site Name]],SiteDB6[[Site Name]:[Location Type 1]],9,FALSE)</f>
        <v>Village</v>
      </c>
      <c r="DM248" s="554" t="str">
        <f>VLOOKUP(WWWW[[#This Row],[Site Name]],SiteDB6[[Site Name]:[Type of Accommodation]],10,FALSE)</f>
        <v>Village</v>
      </c>
      <c r="DN248" s="554">
        <f>VLOOKUP(WWWW[[#This Row],[Site Name]],SiteDB6[[Site Name]:[Ethnic or GCA/NGCA]],11,FALSE)</f>
        <v>0</v>
      </c>
      <c r="DO248" s="554">
        <f>VLOOKUP(WWWW[[#This Row],[Site Name]],SiteDB6[[Site Name]:[Lat]],12,FALSE)</f>
        <v>20.187860488891602</v>
      </c>
      <c r="DP248" s="554">
        <f>VLOOKUP(WWWW[[#This Row],[Site Name]],SiteDB6[[Site Name]:[Long]],13,FALSE)</f>
        <v>92.903419494628906</v>
      </c>
      <c r="DQ248" s="554">
        <f>VLOOKUP(WWWW[[#This Row],[Site Name]],SiteDB6[[Site Name]:[Pcode]],3,FALSE)</f>
        <v>196134</v>
      </c>
      <c r="DR248" s="563" t="str">
        <f t="shared" si="8"/>
        <v>Covered</v>
      </c>
      <c r="DS248" s="563"/>
    </row>
    <row r="249" spans="1:123">
      <c r="A249" s="552" t="s">
        <v>2518</v>
      </c>
      <c r="B249" s="552" t="s">
        <v>332</v>
      </c>
      <c r="C249" s="555" t="s">
        <v>332</v>
      </c>
      <c r="D249" s="555" t="s">
        <v>345</v>
      </c>
      <c r="E249" s="574" t="s">
        <v>3006</v>
      </c>
      <c r="F249" s="555" t="s">
        <v>313</v>
      </c>
      <c r="G249" s="574" t="str">
        <f>VLOOKUP(WWWW[[#This Row],[Site Name]],SiteDB6[[Site Name]:[Location Type]],8,FALSE)</f>
        <v>Village</v>
      </c>
      <c r="H249" s="555" t="s">
        <v>2882</v>
      </c>
      <c r="I249" s="557">
        <v>88</v>
      </c>
      <c r="J249" s="557">
        <v>454</v>
      </c>
      <c r="K249" s="564">
        <v>42736</v>
      </c>
      <c r="L249" s="565">
        <v>44551</v>
      </c>
      <c r="M249" s="557"/>
      <c r="N249" s="557"/>
      <c r="O249" s="557"/>
      <c r="P249" s="557"/>
      <c r="Q249" s="556"/>
      <c r="R249" s="557"/>
      <c r="S249" s="557"/>
      <c r="T249" s="557"/>
      <c r="U249" s="557"/>
      <c r="V249" s="557"/>
      <c r="W249" s="557"/>
      <c r="X249" s="557"/>
      <c r="Y249" s="557"/>
      <c r="Z249" s="557"/>
      <c r="AA249" s="557"/>
      <c r="AB249" s="557"/>
      <c r="AC249" s="557"/>
      <c r="AD249" s="557"/>
      <c r="AE249" s="557"/>
      <c r="AF249" s="557"/>
      <c r="AG249" s="557"/>
      <c r="AH249" s="557"/>
      <c r="AI249" s="557"/>
      <c r="AJ249" s="557"/>
      <c r="AK249" s="557"/>
      <c r="AL249" s="557"/>
      <c r="AM249" s="557"/>
      <c r="AN249" s="557"/>
      <c r="AO249" s="563"/>
      <c r="AP249" s="557"/>
      <c r="AQ249" s="557"/>
      <c r="AR249" s="559"/>
      <c r="AS249" s="557"/>
      <c r="AT249" s="557"/>
      <c r="AU249" s="557"/>
      <c r="AV249" s="557"/>
      <c r="AW249" s="557"/>
      <c r="AX249" s="554"/>
      <c r="AY249" s="563"/>
      <c r="AZ249" s="557"/>
      <c r="BA249" s="557"/>
      <c r="BB249" s="557"/>
      <c r="BC249" s="554"/>
      <c r="BD249" s="557"/>
      <c r="BE249" s="557"/>
      <c r="BF249" s="557"/>
      <c r="BG249" s="557"/>
      <c r="BH249" s="557"/>
      <c r="BI249" s="557"/>
      <c r="BJ249" s="557"/>
      <c r="BK249" s="557"/>
      <c r="BL249" s="557"/>
      <c r="BM249" s="554"/>
      <c r="BN249" s="558"/>
      <c r="BO249" s="559"/>
      <c r="BP249" s="554"/>
      <c r="BQ249" s="560" t="str">
        <f>IFERROR(WWWW[[#This Row],['#_Water sources treated]]/WWWW[[#This Row],['#_Water sources tested for contamination]],"no test")</f>
        <v>no test</v>
      </c>
      <c r="BR249" s="559" t="str">
        <f>IFERROR(WWWW[[#This Row],['#_Household received remediation action due to contamination]]/WWWW[[#This Row],['#_Household water samples tested for contamination]],"no test")</f>
        <v>no test</v>
      </c>
      <c r="BS249" s="558" t="str">
        <f>IF(AND(WWWW[[#This Row],[% of water sources treated]]="no test",WWWW[[#This Row],[% Household received corrective actions]]="no test"),"No Test","Tested")</f>
        <v>No Test</v>
      </c>
      <c r="BT249" s="558">
        <f>WWWW[[#This Row],['#_Constructed/existing protected hand dug well]]-WWWW[[#This Row],['#_Non-functional protected hand dug well]]</f>
        <v>0</v>
      </c>
      <c r="BU249" s="558">
        <f>(WWWW[[#This Row],['#_Constructed/Existing tube wells/boreholes/handpumps_WASH_agency]]+WWWW[[#This Row],['#_Non-Cluster partner water tube-wells/boreholes/handpumps]])-WWWW[[#This Row],['#_Non-functional tube wells/boreholes/handpumps]]</f>
        <v>0</v>
      </c>
      <c r="BV249" s="558">
        <f>WWWW[[#This Row],['#_Constructed/Existingwater storage tank with gravity fed reticulation system]]-WWWW[[#This Row],['#_Non-functional storage tank gravity fed reticulation system]]</f>
        <v>0</v>
      </c>
      <c r="BW249" s="558">
        <f>WWWW[[#This Row],['#_Water boating or water trucking]]</f>
        <v>0</v>
      </c>
      <c r="BX249" s="558">
        <f>WWWW[[#This Row],['#_Constructed/Existing water distribution system from river or natural spring]]</f>
        <v>0</v>
      </c>
      <c r="BY24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4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49" s="559">
        <f>IF(WWWW[[#This Row],[Location Type 1]]="Village",WWWW[[#This Row],[Access to safe drinking water for Village]],WWWW[[#This Row],[Access to safe drinking water for Camp]])</f>
        <v>0</v>
      </c>
      <c r="CB249" s="556">
        <f>WWWW[[#This Row],[%Equitable and continuous access to sufficient quantity of safe drinking water]]*WWWW[[#This Row],[Total PoP ]]</f>
        <v>0</v>
      </c>
      <c r="CC249" s="559">
        <f>IF((WWWW[[#This Row],['#_Constructed/Existing protected/fenced ponds]]*250)/WWWW[[#This Row],[Total PoP ]]&gt;1,1,(WWWW[[#This Row],['#_Constructed/Existing protected/fenced ponds]]*250)/WWWW[[#This Row],[Total PoP ]])</f>
        <v>0</v>
      </c>
      <c r="CD249" s="556">
        <f>WWWW[[#This Row],[% Access to unimproved water points]]*WWWW[[#This Row],[Total PoP ]]</f>
        <v>0</v>
      </c>
      <c r="CE24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4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49" s="556">
        <f>WWWW[[#This Row],[HRP1]]/500</f>
        <v>0</v>
      </c>
      <c r="CH249" s="561">
        <f>1-WWWW[[#This Row],[% Equitable and continuous access to sufficient quantity of domestic water]]</f>
        <v>1</v>
      </c>
      <c r="CI249" s="556">
        <f>WWWW[[#This Row],[%equitable and continuous access to sufficient quantity of safe drinking and domestic water''s GAP]]*WWWW[[#This Row],[Total PoP ]]</f>
        <v>454</v>
      </c>
      <c r="CJ249" s="558">
        <f>IF(WWWW[[#This Row],[Total required water points]]-WWWW[[#This Row],['#Water points coverage]]&lt;0,0,WWWW[[#This Row],[Total required water points]]-WWWW[[#This Row],['#Water points coverage]])</f>
        <v>1</v>
      </c>
      <c r="CK249" s="558">
        <f>ROUND(IF(WWWW[[#This Row],[Total PoP ]]&lt;500,1,WWWW[[#This Row],[Total PoP ]]/500),0)</f>
        <v>1</v>
      </c>
      <c r="CL249" s="558">
        <f>(WWWW[[#This Row],['#_Constructed latrines_by_WASHAgencies]]+WWWW[[#This Row],['#_Non Cluster partner latrines]])-WWWW[[#This Row],['#_Non-functional latrines]]</f>
        <v>0</v>
      </c>
      <c r="CM24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4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4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49" s="558" t="str">
        <f>IF(WWWW[[#This Row],[Location Type 1]]="Village","NA",IF(WWWW[[#This Row],['#_Constructed/Existing latrines in TLS]]*50&gt;WWWW[[#This Row],['#_students at TLS_CFS]],WWWW[[#This Row],['#_students at TLS_CFS]],(WWWW[[#This Row],['#_Constructed/Existing latrines in TLS]]*50)))</f>
        <v>NA</v>
      </c>
      <c r="CQ249" s="558">
        <f>ROUND(IF(WWWW[[#This Row],[Location Type 1]]="camp",WWWW[[#This Row],[Total PoP ]]/20,IF(WWWW[[#This Row],[Location Type 1]]="Temporary Location",WWWW[[#This Row],[Total PoP ]]/50,(WWWW[[#This Row],[Total PoP ]]/6))),0)</f>
        <v>76</v>
      </c>
      <c r="CR249" s="558">
        <f>IF(WWWW[[#This Row],[Total required Latrines]]-(WWWW[[#This Row],['#_Constructed latrines_by_WASHAgencies]]+WWWW[[#This Row],['#_Non Cluster partner latrines]])&lt;0,0,WWWW[[#This Row],[Total required Latrines]]-(WWWW[[#This Row],['#_Constructed latrines_by_WASHAgencies]]+WWWW[[#This Row],['#_Non Cluster partner latrines]]))</f>
        <v>76</v>
      </c>
      <c r="CS249" s="78">
        <f>1-WWWW[[#This Row],[% people access to functioning Latrine]]</f>
        <v>1</v>
      </c>
      <c r="CT249" s="560">
        <f>IF(OR(WWWW[[#This Row],['#_Non-functional latrines]]="",WWWW[[#This Row],['#_Non-functional latrines]]=0),0,WWWW[[#This Row],['#_Non-functional latrines]]/(WWWW[[#This Row],['#_Constructed latrines_by_WASHAgencies]]+WWWW[[#This Row],['#_Non Cluster partner latrines]]))</f>
        <v>0</v>
      </c>
      <c r="CU249" s="556">
        <f>IF(500*(WWWW[[#This Row],['#_male hygiene promoters]]+WWWW[[#This Row],['#_female hygiene promoters]])&gt;WWWW[[#This Row],[Total PoP ]],WWWW[[#This Row],[Total PoP ]],500*(WWWW[[#This Row],['#_male hygiene promoters]]+WWWW[[#This Row],['#_female hygiene promoters]]))</f>
        <v>0</v>
      </c>
      <c r="CV24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4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49" s="558">
        <f>IF(WWWW[[#This Row],['# People with access to soap]]&gt;WWWW[[#This Row],['# People with access to Sanity Pads]],WWWW[[#This Row],['# People with access to soap]],WWWW[[#This Row],['# People with access to Sanity Pads]])</f>
        <v>0</v>
      </c>
      <c r="CY24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49" s="561">
        <f>IF(WWWW[[#This Row],[HRP3]]/WWWW[[#This Row],[Total PoP ]]&gt;100%,100%,WWWW[[#This Row],[HRP3]]/WWWW[[#This Row],[Total PoP ]])</f>
        <v>0</v>
      </c>
      <c r="DA249" s="560">
        <f>1-WWWW[[#This Row],[Hygiene Coverage%]]</f>
        <v>1</v>
      </c>
      <c r="DB249" s="559">
        <f>WWWW[[#This Row],['# people reached by regular dedicated hygiene promotion_5]]/WWWW[[#This Row],[Total PoP ]]</f>
        <v>0</v>
      </c>
      <c r="DC249" s="559">
        <f>IF(WWWW[[#This Row],['#_households that received standard amount of soap for this quarter]]/WWWW[[#This Row],[Total HH]]&gt;1,1,WWWW[[#This Row],['#_households that received standard amount of soap for this quarter]]/WWWW[[#This Row],[Total HH]])</f>
        <v>0</v>
      </c>
      <c r="DD249" s="559">
        <f>IF(WWWW[[#This Row],['#_households that received standard amount of sanitary pads for this quarter]]/WWWW[[#This Row],[Total HH]]&gt;1,1,WWWW[[#This Row],['#_households that received standard amount of sanitary pads for this quarter]]/WWWW[[#This Row],[Total HH]])</f>
        <v>0</v>
      </c>
      <c r="DE249" s="558">
        <f>WWWW[[#This Row],['#_Constructed/Existing hand washing stations]]-WWWW[[#This Row],['#_Non-Functional_hand_washing_stations]]</f>
        <v>0</v>
      </c>
      <c r="DF249" s="757">
        <f>IF(WWWW[[#This Row],['# Functional hand washing stations during reporting period]]*20&gt;WWWW[[#This Row],[Total HH]],WWWW[[#This Row],[Total HH]],WWWW[[#This Row],['# Functional hand washing stations during reporting period]]*20)</f>
        <v>0</v>
      </c>
      <c r="DG249" s="556">
        <f>IF(WWWW[[#This Row],[Is sufficient soap available for TLS? (Yes/No)]]="yes",WWWW[[#This Row],['#_Constructed/Existing hand washing stations at TLS]],0)</f>
        <v>0</v>
      </c>
      <c r="DH249" s="556">
        <f>IF(WWWW[[#This Row],['# Functional hand washing stations during reporting period]]*100&gt;WWWW[[#This Row],[Total PoP ]],WWWW[[#This Row],[Total PoP ]],WWWW[[#This Row],['# Functional hand washing stations during reporting period]]*100)</f>
        <v>0</v>
      </c>
      <c r="DI249" s="556" t="str">
        <f>IF(OR(WWWW[[#This Row],['#_students at TLS_CFS]]="",WWWW[[#This Row],['#_students at TLS_CFS]]=0),"No","Yes")</f>
        <v>No</v>
      </c>
      <c r="DJ249" s="554">
        <f>VLOOKUP(WWWW[[#This Row],[Site Name]],SiteDB6[[Site Name]:[CCCM Management]],6,FALSE)</f>
        <v>0</v>
      </c>
      <c r="DK249" s="554">
        <f>VLOOKUP(WWWW[[#This Row],[Site Name]],SiteDB6[[Site Name]:[CCCM Focal Agency]],7,FALSE)</f>
        <v>0</v>
      </c>
      <c r="DL249" s="554" t="str">
        <f>VLOOKUP(WWWW[[#This Row],[Site Name]],SiteDB6[[Site Name]:[Location Type 1]],9,FALSE)</f>
        <v>Village</v>
      </c>
      <c r="DM249" s="554" t="str">
        <f>VLOOKUP(WWWW[[#This Row],[Site Name]],SiteDB6[[Site Name]:[Type of Accommodation]],10,FALSE)</f>
        <v>Village</v>
      </c>
      <c r="DN249" s="554">
        <f>VLOOKUP(WWWW[[#This Row],[Site Name]],SiteDB6[[Site Name]:[Ethnic or GCA/NGCA]],11,FALSE)</f>
        <v>0</v>
      </c>
      <c r="DO249" s="554">
        <f>VLOOKUP(WWWW[[#This Row],[Site Name]],SiteDB6[[Site Name]:[Lat]],12,FALSE)</f>
        <v>20.1899604797363</v>
      </c>
      <c r="DP249" s="554">
        <f>VLOOKUP(WWWW[[#This Row],[Site Name]],SiteDB6[[Site Name]:[Long]],13,FALSE)</f>
        <v>92.895767211914105</v>
      </c>
      <c r="DQ249" s="554">
        <f>VLOOKUP(WWWW[[#This Row],[Site Name]],SiteDB6[[Site Name]:[Pcode]],3,FALSE)</f>
        <v>196136</v>
      </c>
      <c r="DR249" s="563" t="str">
        <f t="shared" si="8"/>
        <v>Covered</v>
      </c>
      <c r="DS249" s="563"/>
    </row>
    <row r="250" spans="1:123">
      <c r="A250" s="552" t="s">
        <v>2518</v>
      </c>
      <c r="B250" s="552" t="s">
        <v>332</v>
      </c>
      <c r="C250" s="555" t="s">
        <v>332</v>
      </c>
      <c r="D250" s="555" t="s">
        <v>325</v>
      </c>
      <c r="E250" s="574" t="s">
        <v>3006</v>
      </c>
      <c r="F250" s="555" t="s">
        <v>313</v>
      </c>
      <c r="G250" s="574" t="str">
        <f>VLOOKUP(WWWW[[#This Row],[Site Name]],SiteDB6[[Site Name]:[Location Type]],8,FALSE)</f>
        <v>Village</v>
      </c>
      <c r="H250" s="555" t="s">
        <v>2883</v>
      </c>
      <c r="I250" s="557">
        <v>218</v>
      </c>
      <c r="J250" s="557">
        <v>978</v>
      </c>
      <c r="K250" s="564">
        <v>42736</v>
      </c>
      <c r="L250" s="565">
        <v>44551</v>
      </c>
      <c r="M250" s="557"/>
      <c r="N250" s="557"/>
      <c r="O250" s="557"/>
      <c r="P250" s="557"/>
      <c r="Q250" s="556"/>
      <c r="R250" s="557"/>
      <c r="S250" s="557"/>
      <c r="T250" s="557"/>
      <c r="U250" s="557"/>
      <c r="V250" s="557"/>
      <c r="W250" s="557"/>
      <c r="X250" s="557"/>
      <c r="Y250" s="557"/>
      <c r="Z250" s="557"/>
      <c r="AA250" s="557"/>
      <c r="AB250" s="557"/>
      <c r="AC250" s="557"/>
      <c r="AD250" s="557"/>
      <c r="AE250" s="557"/>
      <c r="AF250" s="557"/>
      <c r="AG250" s="557"/>
      <c r="AH250" s="557"/>
      <c r="AI250" s="557"/>
      <c r="AJ250" s="557"/>
      <c r="AK250" s="557"/>
      <c r="AL250" s="557"/>
      <c r="AM250" s="557"/>
      <c r="AN250" s="557"/>
      <c r="AO250" s="563"/>
      <c r="AP250" s="557"/>
      <c r="AQ250" s="557"/>
      <c r="AR250" s="559"/>
      <c r="AS250" s="557"/>
      <c r="AT250" s="557"/>
      <c r="AU250" s="557"/>
      <c r="AV250" s="557"/>
      <c r="AW250" s="557"/>
      <c r="AX250" s="554"/>
      <c r="AY250" s="563"/>
      <c r="AZ250" s="557"/>
      <c r="BA250" s="557"/>
      <c r="BB250" s="557"/>
      <c r="BC250" s="554"/>
      <c r="BD250" s="557"/>
      <c r="BE250" s="557"/>
      <c r="BF250" s="557"/>
      <c r="BG250" s="557"/>
      <c r="BH250" s="557"/>
      <c r="BI250" s="557"/>
      <c r="BJ250" s="557"/>
      <c r="BK250" s="557"/>
      <c r="BL250" s="557"/>
      <c r="BM250" s="554"/>
      <c r="BN250" s="558"/>
      <c r="BO250" s="559"/>
      <c r="BP250" s="554"/>
      <c r="BQ250" s="560" t="str">
        <f>IFERROR(WWWW[[#This Row],['#_Water sources treated]]/WWWW[[#This Row],['#_Water sources tested for contamination]],"no test")</f>
        <v>no test</v>
      </c>
      <c r="BR250" s="559" t="str">
        <f>IFERROR(WWWW[[#This Row],['#_Household received remediation action due to contamination]]/WWWW[[#This Row],['#_Household water samples tested for contamination]],"no test")</f>
        <v>no test</v>
      </c>
      <c r="BS250" s="558" t="str">
        <f>IF(AND(WWWW[[#This Row],[% of water sources treated]]="no test",WWWW[[#This Row],[% Household received corrective actions]]="no test"),"No Test","Tested")</f>
        <v>No Test</v>
      </c>
      <c r="BT250" s="558">
        <f>WWWW[[#This Row],['#_Constructed/existing protected hand dug well]]-WWWW[[#This Row],['#_Non-functional protected hand dug well]]</f>
        <v>0</v>
      </c>
      <c r="BU250" s="558">
        <f>(WWWW[[#This Row],['#_Constructed/Existing tube wells/boreholes/handpumps_WASH_agency]]+WWWW[[#This Row],['#_Non-Cluster partner water tube-wells/boreholes/handpumps]])-WWWW[[#This Row],['#_Non-functional tube wells/boreholes/handpumps]]</f>
        <v>0</v>
      </c>
      <c r="BV250" s="558">
        <f>WWWW[[#This Row],['#_Constructed/Existingwater storage tank with gravity fed reticulation system]]-WWWW[[#This Row],['#_Non-functional storage tank gravity fed reticulation system]]</f>
        <v>0</v>
      </c>
      <c r="BW250" s="558">
        <f>WWWW[[#This Row],['#_Water boating or water trucking]]</f>
        <v>0</v>
      </c>
      <c r="BX250" s="558">
        <f>WWWW[[#This Row],['#_Constructed/Existing water distribution system from river or natural spring]]</f>
        <v>0</v>
      </c>
      <c r="BY25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0" s="559">
        <f>IF(WWWW[[#This Row],[Location Type 1]]="Village",WWWW[[#This Row],[Access to safe drinking water for Village]],WWWW[[#This Row],[Access to safe drinking water for Camp]])</f>
        <v>0</v>
      </c>
      <c r="CB250" s="556">
        <f>WWWW[[#This Row],[%Equitable and continuous access to sufficient quantity of safe drinking water]]*WWWW[[#This Row],[Total PoP ]]</f>
        <v>0</v>
      </c>
      <c r="CC250" s="559">
        <f>IF((WWWW[[#This Row],['#_Constructed/Existing protected/fenced ponds]]*250)/WWWW[[#This Row],[Total PoP ]]&gt;1,1,(WWWW[[#This Row],['#_Constructed/Existing protected/fenced ponds]]*250)/WWWW[[#This Row],[Total PoP ]])</f>
        <v>0</v>
      </c>
      <c r="CD250" s="556">
        <f>WWWW[[#This Row],[% Access to unimproved water points]]*WWWW[[#This Row],[Total PoP ]]</f>
        <v>0</v>
      </c>
      <c r="CE25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0" s="556">
        <f>WWWW[[#This Row],[HRP1]]/500</f>
        <v>0</v>
      </c>
      <c r="CH250" s="561">
        <f>1-WWWW[[#This Row],[% Equitable and continuous access to sufficient quantity of domestic water]]</f>
        <v>1</v>
      </c>
      <c r="CI250" s="556">
        <f>WWWW[[#This Row],[%equitable and continuous access to sufficient quantity of safe drinking and domestic water''s GAP]]*WWWW[[#This Row],[Total PoP ]]</f>
        <v>978</v>
      </c>
      <c r="CJ250" s="558">
        <f>IF(WWWW[[#This Row],[Total required water points]]-WWWW[[#This Row],['#Water points coverage]]&lt;0,0,WWWW[[#This Row],[Total required water points]]-WWWW[[#This Row],['#Water points coverage]])</f>
        <v>2</v>
      </c>
      <c r="CK250" s="558">
        <f>ROUND(IF(WWWW[[#This Row],[Total PoP ]]&lt;500,1,WWWW[[#This Row],[Total PoP ]]/500),0)</f>
        <v>2</v>
      </c>
      <c r="CL250" s="558">
        <f>(WWWW[[#This Row],['#_Constructed latrines_by_WASHAgencies]]+WWWW[[#This Row],['#_Non Cluster partner latrines]])-WWWW[[#This Row],['#_Non-functional latrines]]</f>
        <v>0</v>
      </c>
      <c r="CM25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0" s="558" t="str">
        <f>IF(WWWW[[#This Row],[Location Type 1]]="Village","NA",IF(WWWW[[#This Row],['#_Constructed/Existing latrines in TLS]]*50&gt;WWWW[[#This Row],['#_students at TLS_CFS]],WWWW[[#This Row],['#_students at TLS_CFS]],(WWWW[[#This Row],['#_Constructed/Existing latrines in TLS]]*50)))</f>
        <v>NA</v>
      </c>
      <c r="CQ250" s="558">
        <f>ROUND(IF(WWWW[[#This Row],[Location Type 1]]="camp",WWWW[[#This Row],[Total PoP ]]/20,IF(WWWW[[#This Row],[Location Type 1]]="Temporary Location",WWWW[[#This Row],[Total PoP ]]/50,(WWWW[[#This Row],[Total PoP ]]/6))),0)</f>
        <v>163</v>
      </c>
      <c r="CR250" s="558">
        <f>IF(WWWW[[#This Row],[Total required Latrines]]-(WWWW[[#This Row],['#_Constructed latrines_by_WASHAgencies]]+WWWW[[#This Row],['#_Non Cluster partner latrines]])&lt;0,0,WWWW[[#This Row],[Total required Latrines]]-(WWWW[[#This Row],['#_Constructed latrines_by_WASHAgencies]]+WWWW[[#This Row],['#_Non Cluster partner latrines]]))</f>
        <v>163</v>
      </c>
      <c r="CS250" s="78">
        <f>1-WWWW[[#This Row],[% people access to functioning Latrine]]</f>
        <v>1</v>
      </c>
      <c r="CT250" s="560">
        <f>IF(OR(WWWW[[#This Row],['#_Non-functional latrines]]="",WWWW[[#This Row],['#_Non-functional latrines]]=0),0,WWWW[[#This Row],['#_Non-functional latrines]]/(WWWW[[#This Row],['#_Constructed latrines_by_WASHAgencies]]+WWWW[[#This Row],['#_Non Cluster partner latrines]]))</f>
        <v>0</v>
      </c>
      <c r="CU250" s="556">
        <f>IF(500*(WWWW[[#This Row],['#_male hygiene promoters]]+WWWW[[#This Row],['#_female hygiene promoters]])&gt;WWWW[[#This Row],[Total PoP ]],WWWW[[#This Row],[Total PoP ]],500*(WWWW[[#This Row],['#_male hygiene promoters]]+WWWW[[#This Row],['#_female hygiene promoters]]))</f>
        <v>0</v>
      </c>
      <c r="CV25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0" s="558">
        <f>IF(WWWW[[#This Row],['# People with access to soap]]&gt;WWWW[[#This Row],['# People with access to Sanity Pads]],WWWW[[#This Row],['# People with access to soap]],WWWW[[#This Row],['# People with access to Sanity Pads]])</f>
        <v>0</v>
      </c>
      <c r="CY25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0" s="561">
        <f>IF(WWWW[[#This Row],[HRP3]]/WWWW[[#This Row],[Total PoP ]]&gt;100%,100%,WWWW[[#This Row],[HRP3]]/WWWW[[#This Row],[Total PoP ]])</f>
        <v>0</v>
      </c>
      <c r="DA250" s="560">
        <f>1-WWWW[[#This Row],[Hygiene Coverage%]]</f>
        <v>1</v>
      </c>
      <c r="DB250" s="559">
        <f>WWWW[[#This Row],['# people reached by regular dedicated hygiene promotion_5]]/WWWW[[#This Row],[Total PoP ]]</f>
        <v>0</v>
      </c>
      <c r="DC250" s="559">
        <f>IF(WWWW[[#This Row],['#_households that received standard amount of soap for this quarter]]/WWWW[[#This Row],[Total HH]]&gt;1,1,WWWW[[#This Row],['#_households that received standard amount of soap for this quarter]]/WWWW[[#This Row],[Total HH]])</f>
        <v>0</v>
      </c>
      <c r="DD250" s="559">
        <f>IF(WWWW[[#This Row],['#_households that received standard amount of sanitary pads for this quarter]]/WWWW[[#This Row],[Total HH]]&gt;1,1,WWWW[[#This Row],['#_households that received standard amount of sanitary pads for this quarter]]/WWWW[[#This Row],[Total HH]])</f>
        <v>0</v>
      </c>
      <c r="DE250" s="558">
        <f>WWWW[[#This Row],['#_Constructed/Existing hand washing stations]]-WWWW[[#This Row],['#_Non-Functional_hand_washing_stations]]</f>
        <v>0</v>
      </c>
      <c r="DF250" s="757">
        <f>IF(WWWW[[#This Row],['# Functional hand washing stations during reporting period]]*20&gt;WWWW[[#This Row],[Total HH]],WWWW[[#This Row],[Total HH]],WWWW[[#This Row],['# Functional hand washing stations during reporting period]]*20)</f>
        <v>0</v>
      </c>
      <c r="DG250" s="556">
        <f>IF(WWWW[[#This Row],[Is sufficient soap available for TLS? (Yes/No)]]="yes",WWWW[[#This Row],['#_Constructed/Existing hand washing stations at TLS]],0)</f>
        <v>0</v>
      </c>
      <c r="DH250" s="556">
        <f>IF(WWWW[[#This Row],['# Functional hand washing stations during reporting period]]*100&gt;WWWW[[#This Row],[Total PoP ]],WWWW[[#This Row],[Total PoP ]],WWWW[[#This Row],['# Functional hand washing stations during reporting period]]*100)</f>
        <v>0</v>
      </c>
      <c r="DI250" s="556" t="str">
        <f>IF(OR(WWWW[[#This Row],['#_students at TLS_CFS]]="",WWWW[[#This Row],['#_students at TLS_CFS]]=0),"No","Yes")</f>
        <v>No</v>
      </c>
      <c r="DJ250" s="554">
        <f>VLOOKUP(WWWW[[#This Row],[Site Name]],SiteDB6[[Site Name]:[CCCM Management]],6,FALSE)</f>
        <v>0</v>
      </c>
      <c r="DK250" s="554">
        <f>VLOOKUP(WWWW[[#This Row],[Site Name]],SiteDB6[[Site Name]:[CCCM Focal Agency]],7,FALSE)</f>
        <v>0</v>
      </c>
      <c r="DL250" s="554" t="str">
        <f>VLOOKUP(WWWW[[#This Row],[Site Name]],SiteDB6[[Site Name]:[Location Type 1]],9,FALSE)</f>
        <v>Village</v>
      </c>
      <c r="DM250" s="554" t="str">
        <f>VLOOKUP(WWWW[[#This Row],[Site Name]],SiteDB6[[Site Name]:[Type of Accommodation]],10,FALSE)</f>
        <v>Village</v>
      </c>
      <c r="DN250" s="554">
        <f>VLOOKUP(WWWW[[#This Row],[Site Name]],SiteDB6[[Site Name]:[Ethnic or GCA/NGCA]],11,FALSE)</f>
        <v>0</v>
      </c>
      <c r="DO250" s="554">
        <f>VLOOKUP(WWWW[[#This Row],[Site Name]],SiteDB6[[Site Name]:[Lat]],12,FALSE)</f>
        <v>20.2630290985107</v>
      </c>
      <c r="DP250" s="554">
        <f>VLOOKUP(WWWW[[#This Row],[Site Name]],SiteDB6[[Site Name]:[Long]],13,FALSE)</f>
        <v>92.858856201171903</v>
      </c>
      <c r="DQ250" s="554">
        <f>VLOOKUP(WWWW[[#This Row],[Site Name]],SiteDB6[[Site Name]:[Pcode]],3,FALSE)</f>
        <v>196166</v>
      </c>
      <c r="DR250" s="563" t="str">
        <f t="shared" si="8"/>
        <v>Covered</v>
      </c>
      <c r="DS250" s="563"/>
    </row>
    <row r="251" spans="1:123">
      <c r="A251" s="552" t="s">
        <v>2518</v>
      </c>
      <c r="B251" s="552" t="s">
        <v>332</v>
      </c>
      <c r="C251" s="555" t="s">
        <v>332</v>
      </c>
      <c r="D251" s="555" t="s">
        <v>325</v>
      </c>
      <c r="E251" s="574" t="s">
        <v>3006</v>
      </c>
      <c r="F251" s="555" t="s">
        <v>313</v>
      </c>
      <c r="G251" s="574" t="str">
        <f>VLOOKUP(WWWW[[#This Row],[Site Name]],SiteDB6[[Site Name]:[Location Type]],8,FALSE)</f>
        <v>Village</v>
      </c>
      <c r="H251" s="555" t="s">
        <v>2884</v>
      </c>
      <c r="I251" s="557">
        <v>147</v>
      </c>
      <c r="J251" s="557">
        <v>741</v>
      </c>
      <c r="K251" s="564">
        <v>42736</v>
      </c>
      <c r="L251" s="565">
        <v>44551</v>
      </c>
      <c r="M251" s="557"/>
      <c r="N251" s="557"/>
      <c r="O251" s="557"/>
      <c r="P251" s="557"/>
      <c r="Q251" s="556"/>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63"/>
      <c r="AP251" s="557"/>
      <c r="AQ251" s="557"/>
      <c r="AR251" s="559"/>
      <c r="AS251" s="557"/>
      <c r="AT251" s="557"/>
      <c r="AU251" s="557"/>
      <c r="AV251" s="557"/>
      <c r="AW251" s="557"/>
      <c r="AX251" s="554"/>
      <c r="AY251" s="563"/>
      <c r="AZ251" s="557"/>
      <c r="BA251" s="557"/>
      <c r="BB251" s="557"/>
      <c r="BC251" s="554"/>
      <c r="BD251" s="557"/>
      <c r="BE251" s="557"/>
      <c r="BF251" s="557"/>
      <c r="BG251" s="557"/>
      <c r="BH251" s="557"/>
      <c r="BI251" s="557"/>
      <c r="BJ251" s="557"/>
      <c r="BK251" s="557"/>
      <c r="BL251" s="557"/>
      <c r="BM251" s="554"/>
      <c r="BN251" s="558"/>
      <c r="BO251" s="559"/>
      <c r="BP251" s="554"/>
      <c r="BQ251" s="560" t="str">
        <f>IFERROR(WWWW[[#This Row],['#_Water sources treated]]/WWWW[[#This Row],['#_Water sources tested for contamination]],"no test")</f>
        <v>no test</v>
      </c>
      <c r="BR251" s="559" t="str">
        <f>IFERROR(WWWW[[#This Row],['#_Household received remediation action due to contamination]]/WWWW[[#This Row],['#_Household water samples tested for contamination]],"no test")</f>
        <v>no test</v>
      </c>
      <c r="BS251" s="558" t="str">
        <f>IF(AND(WWWW[[#This Row],[% of water sources treated]]="no test",WWWW[[#This Row],[% Household received corrective actions]]="no test"),"No Test","Tested")</f>
        <v>No Test</v>
      </c>
      <c r="BT251" s="558">
        <f>WWWW[[#This Row],['#_Constructed/existing protected hand dug well]]-WWWW[[#This Row],['#_Non-functional protected hand dug well]]</f>
        <v>0</v>
      </c>
      <c r="BU251" s="558">
        <f>(WWWW[[#This Row],['#_Constructed/Existing tube wells/boreholes/handpumps_WASH_agency]]+WWWW[[#This Row],['#_Non-Cluster partner water tube-wells/boreholes/handpumps]])-WWWW[[#This Row],['#_Non-functional tube wells/boreholes/handpumps]]</f>
        <v>0</v>
      </c>
      <c r="BV251" s="558">
        <f>WWWW[[#This Row],['#_Constructed/Existingwater storage tank with gravity fed reticulation system]]-WWWW[[#This Row],['#_Non-functional storage tank gravity fed reticulation system]]</f>
        <v>0</v>
      </c>
      <c r="BW251" s="558">
        <f>WWWW[[#This Row],['#_Water boating or water trucking]]</f>
        <v>0</v>
      </c>
      <c r="BX251" s="558">
        <f>WWWW[[#This Row],['#_Constructed/Existing water distribution system from river or natural spring]]</f>
        <v>0</v>
      </c>
      <c r="BY25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1" s="559">
        <f>IF(WWWW[[#This Row],[Location Type 1]]="Village",WWWW[[#This Row],[Access to safe drinking water for Village]],WWWW[[#This Row],[Access to safe drinking water for Camp]])</f>
        <v>0</v>
      </c>
      <c r="CB251" s="556">
        <f>WWWW[[#This Row],[%Equitable and continuous access to sufficient quantity of safe drinking water]]*WWWW[[#This Row],[Total PoP ]]</f>
        <v>0</v>
      </c>
      <c r="CC251" s="559">
        <f>IF((WWWW[[#This Row],['#_Constructed/Existing protected/fenced ponds]]*250)/WWWW[[#This Row],[Total PoP ]]&gt;1,1,(WWWW[[#This Row],['#_Constructed/Existing protected/fenced ponds]]*250)/WWWW[[#This Row],[Total PoP ]])</f>
        <v>0</v>
      </c>
      <c r="CD251" s="556">
        <f>WWWW[[#This Row],[% Access to unimproved water points]]*WWWW[[#This Row],[Total PoP ]]</f>
        <v>0</v>
      </c>
      <c r="CE25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1" s="556">
        <f>WWWW[[#This Row],[HRP1]]/500</f>
        <v>0</v>
      </c>
      <c r="CH251" s="561">
        <f>1-WWWW[[#This Row],[% Equitable and continuous access to sufficient quantity of domestic water]]</f>
        <v>1</v>
      </c>
      <c r="CI251" s="556">
        <f>WWWW[[#This Row],[%equitable and continuous access to sufficient quantity of safe drinking and domestic water''s GAP]]*WWWW[[#This Row],[Total PoP ]]</f>
        <v>741</v>
      </c>
      <c r="CJ251" s="558">
        <f>IF(WWWW[[#This Row],[Total required water points]]-WWWW[[#This Row],['#Water points coverage]]&lt;0,0,WWWW[[#This Row],[Total required water points]]-WWWW[[#This Row],['#Water points coverage]])</f>
        <v>1</v>
      </c>
      <c r="CK251" s="558">
        <f>ROUND(IF(WWWW[[#This Row],[Total PoP ]]&lt;500,1,WWWW[[#This Row],[Total PoP ]]/500),0)</f>
        <v>1</v>
      </c>
      <c r="CL251" s="558">
        <f>(WWWW[[#This Row],['#_Constructed latrines_by_WASHAgencies]]+WWWW[[#This Row],['#_Non Cluster partner latrines]])-WWWW[[#This Row],['#_Non-functional latrines]]</f>
        <v>0</v>
      </c>
      <c r="CM25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1" s="558" t="str">
        <f>IF(WWWW[[#This Row],[Location Type 1]]="Village","NA",IF(WWWW[[#This Row],['#_Constructed/Existing latrines in TLS]]*50&gt;WWWW[[#This Row],['#_students at TLS_CFS]],WWWW[[#This Row],['#_students at TLS_CFS]],(WWWW[[#This Row],['#_Constructed/Existing latrines in TLS]]*50)))</f>
        <v>NA</v>
      </c>
      <c r="CQ251" s="558">
        <f>ROUND(IF(WWWW[[#This Row],[Location Type 1]]="camp",WWWW[[#This Row],[Total PoP ]]/20,IF(WWWW[[#This Row],[Location Type 1]]="Temporary Location",WWWW[[#This Row],[Total PoP ]]/50,(WWWW[[#This Row],[Total PoP ]]/6))),0)</f>
        <v>124</v>
      </c>
      <c r="CR251" s="558">
        <f>IF(WWWW[[#This Row],[Total required Latrines]]-(WWWW[[#This Row],['#_Constructed latrines_by_WASHAgencies]]+WWWW[[#This Row],['#_Non Cluster partner latrines]])&lt;0,0,WWWW[[#This Row],[Total required Latrines]]-(WWWW[[#This Row],['#_Constructed latrines_by_WASHAgencies]]+WWWW[[#This Row],['#_Non Cluster partner latrines]]))</f>
        <v>124</v>
      </c>
      <c r="CS251" s="78">
        <f>1-WWWW[[#This Row],[% people access to functioning Latrine]]</f>
        <v>1</v>
      </c>
      <c r="CT251" s="560">
        <f>IF(OR(WWWW[[#This Row],['#_Non-functional latrines]]="",WWWW[[#This Row],['#_Non-functional latrines]]=0),0,WWWW[[#This Row],['#_Non-functional latrines]]/(WWWW[[#This Row],['#_Constructed latrines_by_WASHAgencies]]+WWWW[[#This Row],['#_Non Cluster partner latrines]]))</f>
        <v>0</v>
      </c>
      <c r="CU251" s="556">
        <f>IF(500*(WWWW[[#This Row],['#_male hygiene promoters]]+WWWW[[#This Row],['#_female hygiene promoters]])&gt;WWWW[[#This Row],[Total PoP ]],WWWW[[#This Row],[Total PoP ]],500*(WWWW[[#This Row],['#_male hygiene promoters]]+WWWW[[#This Row],['#_female hygiene promoters]]))</f>
        <v>0</v>
      </c>
      <c r="CV25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1" s="558">
        <f>IF(WWWW[[#This Row],['# People with access to soap]]&gt;WWWW[[#This Row],['# People with access to Sanity Pads]],WWWW[[#This Row],['# People with access to soap]],WWWW[[#This Row],['# People with access to Sanity Pads]])</f>
        <v>0</v>
      </c>
      <c r="CY25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1" s="561">
        <f>IF(WWWW[[#This Row],[HRP3]]/WWWW[[#This Row],[Total PoP ]]&gt;100%,100%,WWWW[[#This Row],[HRP3]]/WWWW[[#This Row],[Total PoP ]])</f>
        <v>0</v>
      </c>
      <c r="DA251" s="560">
        <f>1-WWWW[[#This Row],[Hygiene Coverage%]]</f>
        <v>1</v>
      </c>
      <c r="DB251" s="559">
        <f>WWWW[[#This Row],['# people reached by regular dedicated hygiene promotion_5]]/WWWW[[#This Row],[Total PoP ]]</f>
        <v>0</v>
      </c>
      <c r="DC251" s="559">
        <f>IF(WWWW[[#This Row],['#_households that received standard amount of soap for this quarter]]/WWWW[[#This Row],[Total HH]]&gt;1,1,WWWW[[#This Row],['#_households that received standard amount of soap for this quarter]]/WWWW[[#This Row],[Total HH]])</f>
        <v>0</v>
      </c>
      <c r="DD251" s="559">
        <f>IF(WWWW[[#This Row],['#_households that received standard amount of sanitary pads for this quarter]]/WWWW[[#This Row],[Total HH]]&gt;1,1,WWWW[[#This Row],['#_households that received standard amount of sanitary pads for this quarter]]/WWWW[[#This Row],[Total HH]])</f>
        <v>0</v>
      </c>
      <c r="DE251" s="558">
        <f>WWWW[[#This Row],['#_Constructed/Existing hand washing stations]]-WWWW[[#This Row],['#_Non-Functional_hand_washing_stations]]</f>
        <v>0</v>
      </c>
      <c r="DF251" s="757">
        <f>IF(WWWW[[#This Row],['# Functional hand washing stations during reporting period]]*20&gt;WWWW[[#This Row],[Total HH]],WWWW[[#This Row],[Total HH]],WWWW[[#This Row],['# Functional hand washing stations during reporting period]]*20)</f>
        <v>0</v>
      </c>
      <c r="DG251" s="556">
        <f>IF(WWWW[[#This Row],[Is sufficient soap available for TLS? (Yes/No)]]="yes",WWWW[[#This Row],['#_Constructed/Existing hand washing stations at TLS]],0)</f>
        <v>0</v>
      </c>
      <c r="DH251" s="556">
        <f>IF(WWWW[[#This Row],['# Functional hand washing stations during reporting period]]*100&gt;WWWW[[#This Row],[Total PoP ]],WWWW[[#This Row],[Total PoP ]],WWWW[[#This Row],['# Functional hand washing stations during reporting period]]*100)</f>
        <v>0</v>
      </c>
      <c r="DI251" s="556" t="str">
        <f>IF(OR(WWWW[[#This Row],['#_students at TLS_CFS]]="",WWWW[[#This Row],['#_students at TLS_CFS]]=0),"No","Yes")</f>
        <v>No</v>
      </c>
      <c r="DJ251" s="554">
        <f>VLOOKUP(WWWW[[#This Row],[Site Name]],SiteDB6[[Site Name]:[CCCM Management]],6,FALSE)</f>
        <v>0</v>
      </c>
      <c r="DK251" s="554">
        <f>VLOOKUP(WWWW[[#This Row],[Site Name]],SiteDB6[[Site Name]:[CCCM Focal Agency]],7,FALSE)</f>
        <v>0</v>
      </c>
      <c r="DL251" s="554" t="str">
        <f>VLOOKUP(WWWW[[#This Row],[Site Name]],SiteDB6[[Site Name]:[Location Type 1]],9,FALSE)</f>
        <v>Village</v>
      </c>
      <c r="DM251" s="554" t="str">
        <f>VLOOKUP(WWWW[[#This Row],[Site Name]],SiteDB6[[Site Name]:[Type of Accommodation]],10,FALSE)</f>
        <v>Village</v>
      </c>
      <c r="DN251" s="554">
        <f>VLOOKUP(WWWW[[#This Row],[Site Name]],SiteDB6[[Site Name]:[Ethnic or GCA/NGCA]],11,FALSE)</f>
        <v>0</v>
      </c>
      <c r="DO251" s="554">
        <f>VLOOKUP(WWWW[[#This Row],[Site Name]],SiteDB6[[Site Name]:[Lat]],12,FALSE)</f>
        <v>20.248519897460898</v>
      </c>
      <c r="DP251" s="554">
        <f>VLOOKUP(WWWW[[#This Row],[Site Name]],SiteDB6[[Site Name]:[Long]],13,FALSE)</f>
        <v>92.8621826171875</v>
      </c>
      <c r="DQ251" s="554">
        <f>VLOOKUP(WWWW[[#This Row],[Site Name]],SiteDB6[[Site Name]:[Pcode]],3,FALSE)</f>
        <v>196170</v>
      </c>
      <c r="DR251" s="563" t="str">
        <f t="shared" si="8"/>
        <v>Covered</v>
      </c>
      <c r="DS251" s="563"/>
    </row>
    <row r="252" spans="1:123">
      <c r="A252" s="552" t="s">
        <v>2518</v>
      </c>
      <c r="B252" s="552" t="s">
        <v>332</v>
      </c>
      <c r="C252" s="555" t="s">
        <v>332</v>
      </c>
      <c r="D252" s="555" t="s">
        <v>325</v>
      </c>
      <c r="E252" s="574" t="s">
        <v>3006</v>
      </c>
      <c r="F252" s="555" t="s">
        <v>313</v>
      </c>
      <c r="G252" s="574" t="str">
        <f>VLOOKUP(WWWW[[#This Row],[Site Name]],SiteDB6[[Site Name]:[Location Type]],8,FALSE)</f>
        <v>Village</v>
      </c>
      <c r="H252" s="555" t="s">
        <v>2885</v>
      </c>
      <c r="I252" s="557">
        <v>235</v>
      </c>
      <c r="J252" s="557">
        <v>1117</v>
      </c>
      <c r="K252" s="564">
        <v>42736</v>
      </c>
      <c r="L252" s="565">
        <v>44551</v>
      </c>
      <c r="M252" s="557"/>
      <c r="N252" s="557"/>
      <c r="O252" s="557"/>
      <c r="P252" s="557"/>
      <c r="Q252" s="556"/>
      <c r="R252" s="557"/>
      <c r="S252" s="557"/>
      <c r="T252" s="557"/>
      <c r="U252" s="557"/>
      <c r="V252" s="557"/>
      <c r="W252" s="557"/>
      <c r="X252" s="557"/>
      <c r="Y252" s="557"/>
      <c r="Z252" s="557"/>
      <c r="AA252" s="557"/>
      <c r="AB252" s="557"/>
      <c r="AC252" s="557"/>
      <c r="AD252" s="557"/>
      <c r="AE252" s="557"/>
      <c r="AF252" s="557"/>
      <c r="AG252" s="557"/>
      <c r="AH252" s="557"/>
      <c r="AI252" s="557"/>
      <c r="AJ252" s="557"/>
      <c r="AK252" s="557"/>
      <c r="AL252" s="557"/>
      <c r="AM252" s="557"/>
      <c r="AN252" s="557"/>
      <c r="AO252" s="563"/>
      <c r="AP252" s="557"/>
      <c r="AQ252" s="557"/>
      <c r="AR252" s="559"/>
      <c r="AS252" s="557"/>
      <c r="AT252" s="557"/>
      <c r="AU252" s="557"/>
      <c r="AV252" s="557"/>
      <c r="AW252" s="557"/>
      <c r="AX252" s="554"/>
      <c r="AY252" s="563"/>
      <c r="AZ252" s="557"/>
      <c r="BA252" s="557"/>
      <c r="BB252" s="557"/>
      <c r="BC252" s="554"/>
      <c r="BD252" s="557"/>
      <c r="BE252" s="557"/>
      <c r="BF252" s="557"/>
      <c r="BG252" s="557"/>
      <c r="BH252" s="557"/>
      <c r="BI252" s="557"/>
      <c r="BJ252" s="557"/>
      <c r="BK252" s="557"/>
      <c r="BL252" s="557"/>
      <c r="BM252" s="554"/>
      <c r="BN252" s="558"/>
      <c r="BO252" s="559"/>
      <c r="BP252" s="554"/>
      <c r="BQ252" s="560" t="str">
        <f>IFERROR(WWWW[[#This Row],['#_Water sources treated]]/WWWW[[#This Row],['#_Water sources tested for contamination]],"no test")</f>
        <v>no test</v>
      </c>
      <c r="BR252" s="559" t="str">
        <f>IFERROR(WWWW[[#This Row],['#_Household received remediation action due to contamination]]/WWWW[[#This Row],['#_Household water samples tested for contamination]],"no test")</f>
        <v>no test</v>
      </c>
      <c r="BS252" s="558" t="str">
        <f>IF(AND(WWWW[[#This Row],[% of water sources treated]]="no test",WWWW[[#This Row],[% Household received corrective actions]]="no test"),"No Test","Tested")</f>
        <v>No Test</v>
      </c>
      <c r="BT252" s="558">
        <f>WWWW[[#This Row],['#_Constructed/existing protected hand dug well]]-WWWW[[#This Row],['#_Non-functional protected hand dug well]]</f>
        <v>0</v>
      </c>
      <c r="BU252" s="558">
        <f>(WWWW[[#This Row],['#_Constructed/Existing tube wells/boreholes/handpumps_WASH_agency]]+WWWW[[#This Row],['#_Non-Cluster partner water tube-wells/boreholes/handpumps]])-WWWW[[#This Row],['#_Non-functional tube wells/boreholes/handpumps]]</f>
        <v>0</v>
      </c>
      <c r="BV252" s="558">
        <f>WWWW[[#This Row],['#_Constructed/Existingwater storage tank with gravity fed reticulation system]]-WWWW[[#This Row],['#_Non-functional storage tank gravity fed reticulation system]]</f>
        <v>0</v>
      </c>
      <c r="BW252" s="558">
        <f>WWWW[[#This Row],['#_Water boating or water trucking]]</f>
        <v>0</v>
      </c>
      <c r="BX252" s="558">
        <f>WWWW[[#This Row],['#_Constructed/Existing water distribution system from river or natural spring]]</f>
        <v>0</v>
      </c>
      <c r="BY25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2" s="559">
        <f>IF(WWWW[[#This Row],[Location Type 1]]="Village",WWWW[[#This Row],[Access to safe drinking water for Village]],WWWW[[#This Row],[Access to safe drinking water for Camp]])</f>
        <v>0</v>
      </c>
      <c r="CB252" s="556">
        <f>WWWW[[#This Row],[%Equitable and continuous access to sufficient quantity of safe drinking water]]*WWWW[[#This Row],[Total PoP ]]</f>
        <v>0</v>
      </c>
      <c r="CC252" s="559">
        <f>IF((WWWW[[#This Row],['#_Constructed/Existing protected/fenced ponds]]*250)/WWWW[[#This Row],[Total PoP ]]&gt;1,1,(WWWW[[#This Row],['#_Constructed/Existing protected/fenced ponds]]*250)/WWWW[[#This Row],[Total PoP ]])</f>
        <v>0</v>
      </c>
      <c r="CD252" s="556">
        <f>WWWW[[#This Row],[% Access to unimproved water points]]*WWWW[[#This Row],[Total PoP ]]</f>
        <v>0</v>
      </c>
      <c r="CE25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2" s="556">
        <f>WWWW[[#This Row],[HRP1]]/500</f>
        <v>0</v>
      </c>
      <c r="CH252" s="561">
        <f>1-WWWW[[#This Row],[% Equitable and continuous access to sufficient quantity of domestic water]]</f>
        <v>1</v>
      </c>
      <c r="CI252" s="556">
        <f>WWWW[[#This Row],[%equitable and continuous access to sufficient quantity of safe drinking and domestic water''s GAP]]*WWWW[[#This Row],[Total PoP ]]</f>
        <v>1117</v>
      </c>
      <c r="CJ252" s="558">
        <f>IF(WWWW[[#This Row],[Total required water points]]-WWWW[[#This Row],['#Water points coverage]]&lt;0,0,WWWW[[#This Row],[Total required water points]]-WWWW[[#This Row],['#Water points coverage]])</f>
        <v>2</v>
      </c>
      <c r="CK252" s="558">
        <f>ROUND(IF(WWWW[[#This Row],[Total PoP ]]&lt;500,1,WWWW[[#This Row],[Total PoP ]]/500),0)</f>
        <v>2</v>
      </c>
      <c r="CL252" s="558">
        <f>(WWWW[[#This Row],['#_Constructed latrines_by_WASHAgencies]]+WWWW[[#This Row],['#_Non Cluster partner latrines]])-WWWW[[#This Row],['#_Non-functional latrines]]</f>
        <v>0</v>
      </c>
      <c r="CM25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2" s="558" t="str">
        <f>IF(WWWW[[#This Row],[Location Type 1]]="Village","NA",IF(WWWW[[#This Row],['#_Constructed/Existing latrines in TLS]]*50&gt;WWWW[[#This Row],['#_students at TLS_CFS]],WWWW[[#This Row],['#_students at TLS_CFS]],(WWWW[[#This Row],['#_Constructed/Existing latrines in TLS]]*50)))</f>
        <v>NA</v>
      </c>
      <c r="CQ252" s="558">
        <f>ROUND(IF(WWWW[[#This Row],[Location Type 1]]="camp",WWWW[[#This Row],[Total PoP ]]/20,IF(WWWW[[#This Row],[Location Type 1]]="Temporary Location",WWWW[[#This Row],[Total PoP ]]/50,(WWWW[[#This Row],[Total PoP ]]/6))),0)</f>
        <v>186</v>
      </c>
      <c r="CR252" s="558">
        <f>IF(WWWW[[#This Row],[Total required Latrines]]-(WWWW[[#This Row],['#_Constructed latrines_by_WASHAgencies]]+WWWW[[#This Row],['#_Non Cluster partner latrines]])&lt;0,0,WWWW[[#This Row],[Total required Latrines]]-(WWWW[[#This Row],['#_Constructed latrines_by_WASHAgencies]]+WWWW[[#This Row],['#_Non Cluster partner latrines]]))</f>
        <v>186</v>
      </c>
      <c r="CS252" s="78">
        <f>1-WWWW[[#This Row],[% people access to functioning Latrine]]</f>
        <v>1</v>
      </c>
      <c r="CT252" s="560">
        <f>IF(OR(WWWW[[#This Row],['#_Non-functional latrines]]="",WWWW[[#This Row],['#_Non-functional latrines]]=0),0,WWWW[[#This Row],['#_Non-functional latrines]]/(WWWW[[#This Row],['#_Constructed latrines_by_WASHAgencies]]+WWWW[[#This Row],['#_Non Cluster partner latrines]]))</f>
        <v>0</v>
      </c>
      <c r="CU252" s="556">
        <f>IF(500*(WWWW[[#This Row],['#_male hygiene promoters]]+WWWW[[#This Row],['#_female hygiene promoters]])&gt;WWWW[[#This Row],[Total PoP ]],WWWW[[#This Row],[Total PoP ]],500*(WWWW[[#This Row],['#_male hygiene promoters]]+WWWW[[#This Row],['#_female hygiene promoters]]))</f>
        <v>0</v>
      </c>
      <c r="CV25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2" s="558">
        <f>IF(WWWW[[#This Row],['# People with access to soap]]&gt;WWWW[[#This Row],['# People with access to Sanity Pads]],WWWW[[#This Row],['# People with access to soap]],WWWW[[#This Row],['# People with access to Sanity Pads]])</f>
        <v>0</v>
      </c>
      <c r="CY25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2" s="561">
        <f>IF(WWWW[[#This Row],[HRP3]]/WWWW[[#This Row],[Total PoP ]]&gt;100%,100%,WWWW[[#This Row],[HRP3]]/WWWW[[#This Row],[Total PoP ]])</f>
        <v>0</v>
      </c>
      <c r="DA252" s="560">
        <f>1-WWWW[[#This Row],[Hygiene Coverage%]]</f>
        <v>1</v>
      </c>
      <c r="DB252" s="559">
        <f>WWWW[[#This Row],['# people reached by regular dedicated hygiene promotion_5]]/WWWW[[#This Row],[Total PoP ]]</f>
        <v>0</v>
      </c>
      <c r="DC252" s="559">
        <f>IF(WWWW[[#This Row],['#_households that received standard amount of soap for this quarter]]/WWWW[[#This Row],[Total HH]]&gt;1,1,WWWW[[#This Row],['#_households that received standard amount of soap for this quarter]]/WWWW[[#This Row],[Total HH]])</f>
        <v>0</v>
      </c>
      <c r="DD252" s="559">
        <f>IF(WWWW[[#This Row],['#_households that received standard amount of sanitary pads for this quarter]]/WWWW[[#This Row],[Total HH]]&gt;1,1,WWWW[[#This Row],['#_households that received standard amount of sanitary pads for this quarter]]/WWWW[[#This Row],[Total HH]])</f>
        <v>0</v>
      </c>
      <c r="DE252" s="558">
        <f>WWWW[[#This Row],['#_Constructed/Existing hand washing stations]]-WWWW[[#This Row],['#_Non-Functional_hand_washing_stations]]</f>
        <v>0</v>
      </c>
      <c r="DF252" s="757">
        <f>IF(WWWW[[#This Row],['# Functional hand washing stations during reporting period]]*20&gt;WWWW[[#This Row],[Total HH]],WWWW[[#This Row],[Total HH]],WWWW[[#This Row],['# Functional hand washing stations during reporting period]]*20)</f>
        <v>0</v>
      </c>
      <c r="DG252" s="556">
        <f>IF(WWWW[[#This Row],[Is sufficient soap available for TLS? (Yes/No)]]="yes",WWWW[[#This Row],['#_Constructed/Existing hand washing stations at TLS]],0)</f>
        <v>0</v>
      </c>
      <c r="DH252" s="556">
        <f>IF(WWWW[[#This Row],['# Functional hand washing stations during reporting period]]*100&gt;WWWW[[#This Row],[Total PoP ]],WWWW[[#This Row],[Total PoP ]],WWWW[[#This Row],['# Functional hand washing stations during reporting period]]*100)</f>
        <v>0</v>
      </c>
      <c r="DI252" s="556" t="str">
        <f>IF(OR(WWWW[[#This Row],['#_students at TLS_CFS]]="",WWWW[[#This Row],['#_students at TLS_CFS]]=0),"No","Yes")</f>
        <v>No</v>
      </c>
      <c r="DJ252" s="554">
        <f>VLOOKUP(WWWW[[#This Row],[Site Name]],SiteDB6[[Site Name]:[CCCM Management]],6,FALSE)</f>
        <v>0</v>
      </c>
      <c r="DK252" s="554">
        <f>VLOOKUP(WWWW[[#This Row],[Site Name]],SiteDB6[[Site Name]:[CCCM Focal Agency]],7,FALSE)</f>
        <v>0</v>
      </c>
      <c r="DL252" s="554" t="str">
        <f>VLOOKUP(WWWW[[#This Row],[Site Name]],SiteDB6[[Site Name]:[Location Type 1]],9,FALSE)</f>
        <v>Village</v>
      </c>
      <c r="DM252" s="554" t="str">
        <f>VLOOKUP(WWWW[[#This Row],[Site Name]],SiteDB6[[Site Name]:[Type of Accommodation]],10,FALSE)</f>
        <v>Village</v>
      </c>
      <c r="DN252" s="554">
        <f>VLOOKUP(WWWW[[#This Row],[Site Name]],SiteDB6[[Site Name]:[Ethnic or GCA/NGCA]],11,FALSE)</f>
        <v>0</v>
      </c>
      <c r="DO252" s="554">
        <f>VLOOKUP(WWWW[[#This Row],[Site Name]],SiteDB6[[Site Name]:[Lat]],12,FALSE)</f>
        <v>20.2375602722168</v>
      </c>
      <c r="DP252" s="554">
        <f>VLOOKUP(WWWW[[#This Row],[Site Name]],SiteDB6[[Site Name]:[Long]],13,FALSE)</f>
        <v>92.861152648925795</v>
      </c>
      <c r="DQ252" s="554">
        <f>VLOOKUP(WWWW[[#This Row],[Site Name]],SiteDB6[[Site Name]:[Pcode]],3,FALSE)</f>
        <v>196169</v>
      </c>
      <c r="DR252" s="563" t="str">
        <f t="shared" si="8"/>
        <v>Covered</v>
      </c>
      <c r="DS252" s="563"/>
    </row>
    <row r="253" spans="1:123">
      <c r="A253" s="552" t="s">
        <v>2518</v>
      </c>
      <c r="B253" s="552" t="s">
        <v>332</v>
      </c>
      <c r="C253" s="555" t="s">
        <v>332</v>
      </c>
      <c r="D253" s="555" t="s">
        <v>325</v>
      </c>
      <c r="E253" s="574" t="s">
        <v>3006</v>
      </c>
      <c r="F253" s="555" t="s">
        <v>313</v>
      </c>
      <c r="G253" s="574" t="str">
        <f>VLOOKUP(WWWW[[#This Row],[Site Name]],SiteDB6[[Site Name]:[Location Type]],8,FALSE)</f>
        <v>Village</v>
      </c>
      <c r="H253" s="555" t="s">
        <v>464</v>
      </c>
      <c r="I253" s="557">
        <v>156</v>
      </c>
      <c r="J253" s="557">
        <v>658</v>
      </c>
      <c r="K253" s="564">
        <v>42736</v>
      </c>
      <c r="L253" s="565">
        <v>44551</v>
      </c>
      <c r="M253" s="557"/>
      <c r="N253" s="557"/>
      <c r="O253" s="557"/>
      <c r="P253" s="557"/>
      <c r="Q253" s="556"/>
      <c r="R253" s="557"/>
      <c r="S253" s="557"/>
      <c r="T253" s="557"/>
      <c r="U253" s="557"/>
      <c r="V253" s="557"/>
      <c r="W253" s="557"/>
      <c r="X253" s="557"/>
      <c r="Y253" s="557"/>
      <c r="Z253" s="557"/>
      <c r="AA253" s="557"/>
      <c r="AB253" s="557"/>
      <c r="AC253" s="557"/>
      <c r="AD253" s="557"/>
      <c r="AE253" s="557"/>
      <c r="AF253" s="557"/>
      <c r="AG253" s="557"/>
      <c r="AH253" s="557"/>
      <c r="AI253" s="557"/>
      <c r="AJ253" s="557"/>
      <c r="AK253" s="557"/>
      <c r="AL253" s="557"/>
      <c r="AM253" s="557"/>
      <c r="AN253" s="557"/>
      <c r="AO253" s="563"/>
      <c r="AP253" s="557"/>
      <c r="AQ253" s="557"/>
      <c r="AR253" s="559"/>
      <c r="AS253" s="557"/>
      <c r="AT253" s="557"/>
      <c r="AU253" s="557"/>
      <c r="AV253" s="557"/>
      <c r="AW253" s="557"/>
      <c r="AX253" s="554"/>
      <c r="AY253" s="563"/>
      <c r="AZ253" s="557"/>
      <c r="BA253" s="557"/>
      <c r="BB253" s="557"/>
      <c r="BC253" s="554"/>
      <c r="BD253" s="557"/>
      <c r="BE253" s="557"/>
      <c r="BF253" s="557"/>
      <c r="BG253" s="557"/>
      <c r="BH253" s="557"/>
      <c r="BI253" s="557"/>
      <c r="BJ253" s="557"/>
      <c r="BK253" s="557"/>
      <c r="BL253" s="557"/>
      <c r="BM253" s="554"/>
      <c r="BN253" s="558"/>
      <c r="BO253" s="559"/>
      <c r="BP253" s="554"/>
      <c r="BQ253" s="560" t="str">
        <f>IFERROR(WWWW[[#This Row],['#_Water sources treated]]/WWWW[[#This Row],['#_Water sources tested for contamination]],"no test")</f>
        <v>no test</v>
      </c>
      <c r="BR253" s="559" t="str">
        <f>IFERROR(WWWW[[#This Row],['#_Household received remediation action due to contamination]]/WWWW[[#This Row],['#_Household water samples tested for contamination]],"no test")</f>
        <v>no test</v>
      </c>
      <c r="BS253" s="558" t="str">
        <f>IF(AND(WWWW[[#This Row],[% of water sources treated]]="no test",WWWW[[#This Row],[% Household received corrective actions]]="no test"),"No Test","Tested")</f>
        <v>No Test</v>
      </c>
      <c r="BT253" s="558">
        <f>WWWW[[#This Row],['#_Constructed/existing protected hand dug well]]-WWWW[[#This Row],['#_Non-functional protected hand dug well]]</f>
        <v>0</v>
      </c>
      <c r="BU253" s="558">
        <f>(WWWW[[#This Row],['#_Constructed/Existing tube wells/boreholes/handpumps_WASH_agency]]+WWWW[[#This Row],['#_Non-Cluster partner water tube-wells/boreholes/handpumps]])-WWWW[[#This Row],['#_Non-functional tube wells/boreholes/handpumps]]</f>
        <v>0</v>
      </c>
      <c r="BV253" s="558">
        <f>WWWW[[#This Row],['#_Constructed/Existingwater storage tank with gravity fed reticulation system]]-WWWW[[#This Row],['#_Non-functional storage tank gravity fed reticulation system]]</f>
        <v>0</v>
      </c>
      <c r="BW253" s="558">
        <f>WWWW[[#This Row],['#_Water boating or water trucking]]</f>
        <v>0</v>
      </c>
      <c r="BX253" s="558">
        <f>WWWW[[#This Row],['#_Constructed/Existing water distribution system from river or natural spring]]</f>
        <v>0</v>
      </c>
      <c r="BY25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3" s="559">
        <f>IF(WWWW[[#This Row],[Location Type 1]]="Village",WWWW[[#This Row],[Access to safe drinking water for Village]],WWWW[[#This Row],[Access to safe drinking water for Camp]])</f>
        <v>0</v>
      </c>
      <c r="CB253" s="556">
        <f>WWWW[[#This Row],[%Equitable and continuous access to sufficient quantity of safe drinking water]]*WWWW[[#This Row],[Total PoP ]]</f>
        <v>0</v>
      </c>
      <c r="CC253" s="559">
        <f>IF((WWWW[[#This Row],['#_Constructed/Existing protected/fenced ponds]]*250)/WWWW[[#This Row],[Total PoP ]]&gt;1,1,(WWWW[[#This Row],['#_Constructed/Existing protected/fenced ponds]]*250)/WWWW[[#This Row],[Total PoP ]])</f>
        <v>0</v>
      </c>
      <c r="CD253" s="556">
        <f>WWWW[[#This Row],[% Access to unimproved water points]]*WWWW[[#This Row],[Total PoP ]]</f>
        <v>0</v>
      </c>
      <c r="CE25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3" s="556">
        <f>WWWW[[#This Row],[HRP1]]/500</f>
        <v>0</v>
      </c>
      <c r="CH253" s="561">
        <f>1-WWWW[[#This Row],[% Equitable and continuous access to sufficient quantity of domestic water]]</f>
        <v>1</v>
      </c>
      <c r="CI253" s="556">
        <f>WWWW[[#This Row],[%equitable and continuous access to sufficient quantity of safe drinking and domestic water''s GAP]]*WWWW[[#This Row],[Total PoP ]]</f>
        <v>658</v>
      </c>
      <c r="CJ253" s="558">
        <f>IF(WWWW[[#This Row],[Total required water points]]-WWWW[[#This Row],['#Water points coverage]]&lt;0,0,WWWW[[#This Row],[Total required water points]]-WWWW[[#This Row],['#Water points coverage]])</f>
        <v>1</v>
      </c>
      <c r="CK253" s="558">
        <f>ROUND(IF(WWWW[[#This Row],[Total PoP ]]&lt;500,1,WWWW[[#This Row],[Total PoP ]]/500),0)</f>
        <v>1</v>
      </c>
      <c r="CL253" s="558">
        <f>(WWWW[[#This Row],['#_Constructed latrines_by_WASHAgencies]]+WWWW[[#This Row],['#_Non Cluster partner latrines]])-WWWW[[#This Row],['#_Non-functional latrines]]</f>
        <v>0</v>
      </c>
      <c r="CM25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3" s="558" t="str">
        <f>IF(WWWW[[#This Row],[Location Type 1]]="Village","NA",IF(WWWW[[#This Row],['#_Constructed/Existing latrines in TLS]]*50&gt;WWWW[[#This Row],['#_students at TLS_CFS]],WWWW[[#This Row],['#_students at TLS_CFS]],(WWWW[[#This Row],['#_Constructed/Existing latrines in TLS]]*50)))</f>
        <v>NA</v>
      </c>
      <c r="CQ253" s="558">
        <f>ROUND(IF(WWWW[[#This Row],[Location Type 1]]="camp",WWWW[[#This Row],[Total PoP ]]/20,IF(WWWW[[#This Row],[Location Type 1]]="Temporary Location",WWWW[[#This Row],[Total PoP ]]/50,(WWWW[[#This Row],[Total PoP ]]/6))),0)</f>
        <v>110</v>
      </c>
      <c r="CR253" s="558">
        <f>IF(WWWW[[#This Row],[Total required Latrines]]-(WWWW[[#This Row],['#_Constructed latrines_by_WASHAgencies]]+WWWW[[#This Row],['#_Non Cluster partner latrines]])&lt;0,0,WWWW[[#This Row],[Total required Latrines]]-(WWWW[[#This Row],['#_Constructed latrines_by_WASHAgencies]]+WWWW[[#This Row],['#_Non Cluster partner latrines]]))</f>
        <v>110</v>
      </c>
      <c r="CS253" s="78">
        <f>1-WWWW[[#This Row],[% people access to functioning Latrine]]</f>
        <v>1</v>
      </c>
      <c r="CT253" s="560">
        <f>IF(OR(WWWW[[#This Row],['#_Non-functional latrines]]="",WWWW[[#This Row],['#_Non-functional latrines]]=0),0,WWWW[[#This Row],['#_Non-functional latrines]]/(WWWW[[#This Row],['#_Constructed latrines_by_WASHAgencies]]+WWWW[[#This Row],['#_Non Cluster partner latrines]]))</f>
        <v>0</v>
      </c>
      <c r="CU253" s="556">
        <f>IF(500*(WWWW[[#This Row],['#_male hygiene promoters]]+WWWW[[#This Row],['#_female hygiene promoters]])&gt;WWWW[[#This Row],[Total PoP ]],WWWW[[#This Row],[Total PoP ]],500*(WWWW[[#This Row],['#_male hygiene promoters]]+WWWW[[#This Row],['#_female hygiene promoters]]))</f>
        <v>0</v>
      </c>
      <c r="CV25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3" s="558">
        <f>IF(WWWW[[#This Row],['# People with access to soap]]&gt;WWWW[[#This Row],['# People with access to Sanity Pads]],WWWW[[#This Row],['# People with access to soap]],WWWW[[#This Row],['# People with access to Sanity Pads]])</f>
        <v>0</v>
      </c>
      <c r="CY25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3" s="561">
        <f>IF(WWWW[[#This Row],[HRP3]]/WWWW[[#This Row],[Total PoP ]]&gt;100%,100%,WWWW[[#This Row],[HRP3]]/WWWW[[#This Row],[Total PoP ]])</f>
        <v>0</v>
      </c>
      <c r="DA253" s="560">
        <f>1-WWWW[[#This Row],[Hygiene Coverage%]]</f>
        <v>1</v>
      </c>
      <c r="DB253" s="559">
        <f>WWWW[[#This Row],['# people reached by regular dedicated hygiene promotion_5]]/WWWW[[#This Row],[Total PoP ]]</f>
        <v>0</v>
      </c>
      <c r="DC253" s="559">
        <f>IF(WWWW[[#This Row],['#_households that received standard amount of soap for this quarter]]/WWWW[[#This Row],[Total HH]]&gt;1,1,WWWW[[#This Row],['#_households that received standard amount of soap for this quarter]]/WWWW[[#This Row],[Total HH]])</f>
        <v>0</v>
      </c>
      <c r="DD253" s="559">
        <f>IF(WWWW[[#This Row],['#_households that received standard amount of sanitary pads for this quarter]]/WWWW[[#This Row],[Total HH]]&gt;1,1,WWWW[[#This Row],['#_households that received standard amount of sanitary pads for this quarter]]/WWWW[[#This Row],[Total HH]])</f>
        <v>0</v>
      </c>
      <c r="DE253" s="558">
        <f>WWWW[[#This Row],['#_Constructed/Existing hand washing stations]]-WWWW[[#This Row],['#_Non-Functional_hand_washing_stations]]</f>
        <v>0</v>
      </c>
      <c r="DF253" s="757">
        <f>IF(WWWW[[#This Row],['# Functional hand washing stations during reporting period]]*20&gt;WWWW[[#This Row],[Total HH]],WWWW[[#This Row],[Total HH]],WWWW[[#This Row],['# Functional hand washing stations during reporting period]]*20)</f>
        <v>0</v>
      </c>
      <c r="DG253" s="556">
        <f>IF(WWWW[[#This Row],[Is sufficient soap available for TLS? (Yes/No)]]="yes",WWWW[[#This Row],['#_Constructed/Existing hand washing stations at TLS]],0)</f>
        <v>0</v>
      </c>
      <c r="DH253" s="556">
        <f>IF(WWWW[[#This Row],['# Functional hand washing stations during reporting period]]*100&gt;WWWW[[#This Row],[Total PoP ]],WWWW[[#This Row],[Total PoP ]],WWWW[[#This Row],['# Functional hand washing stations during reporting period]]*100)</f>
        <v>0</v>
      </c>
      <c r="DI253" s="556" t="str">
        <f>IF(OR(WWWW[[#This Row],['#_students at TLS_CFS]]="",WWWW[[#This Row],['#_students at TLS_CFS]]=0),"No","Yes")</f>
        <v>No</v>
      </c>
      <c r="DJ253" s="554">
        <f>VLOOKUP(WWWW[[#This Row],[Site Name]],SiteDB6[[Site Name]:[CCCM Management]],6,FALSE)</f>
        <v>0</v>
      </c>
      <c r="DK253" s="554">
        <f>VLOOKUP(WWWW[[#This Row],[Site Name]],SiteDB6[[Site Name]:[CCCM Focal Agency]],7,FALSE)</f>
        <v>0</v>
      </c>
      <c r="DL253" s="554" t="str">
        <f>VLOOKUP(WWWW[[#This Row],[Site Name]],SiteDB6[[Site Name]:[Location Type 1]],9,FALSE)</f>
        <v>Village</v>
      </c>
      <c r="DM253" s="554" t="str">
        <f>VLOOKUP(WWWW[[#This Row],[Site Name]],SiteDB6[[Site Name]:[Type of Accommodation]],10,FALSE)</f>
        <v>Village</v>
      </c>
      <c r="DN253" s="554" t="str">
        <f>VLOOKUP(WWWW[[#This Row],[Site Name]],SiteDB6[[Site Name]:[Ethnic or GCA/NGCA]],11,FALSE)</f>
        <v>Rakhine</v>
      </c>
      <c r="DO253" s="554">
        <f>VLOOKUP(WWWW[[#This Row],[Site Name]],SiteDB6[[Site Name]:[Lat]],12,FALSE)</f>
        <v>20.22929001</v>
      </c>
      <c r="DP253" s="554">
        <f>VLOOKUP(WWWW[[#This Row],[Site Name]],SiteDB6[[Site Name]:[Long]],13,FALSE)</f>
        <v>92.864669800000001</v>
      </c>
      <c r="DQ253" s="554">
        <f>VLOOKUP(WWWW[[#This Row],[Site Name]],SiteDB6[[Site Name]:[Pcode]],3,FALSE)</f>
        <v>196167</v>
      </c>
      <c r="DR253" s="563" t="str">
        <f t="shared" si="8"/>
        <v>Covered</v>
      </c>
      <c r="DS253" s="563"/>
    </row>
    <row r="254" spans="1:123">
      <c r="A254" s="552" t="s">
        <v>2518</v>
      </c>
      <c r="B254" s="552" t="s">
        <v>332</v>
      </c>
      <c r="C254" s="555" t="s">
        <v>332</v>
      </c>
      <c r="D254" s="555" t="s">
        <v>325</v>
      </c>
      <c r="E254" s="574" t="s">
        <v>3006</v>
      </c>
      <c r="F254" s="555" t="s">
        <v>313</v>
      </c>
      <c r="G254" s="574" t="str">
        <f>VLOOKUP(WWWW[[#This Row],[Site Name]],SiteDB6[[Site Name]:[Location Type]],8,FALSE)</f>
        <v>Village</v>
      </c>
      <c r="H254" s="555" t="s">
        <v>2074</v>
      </c>
      <c r="I254" s="557">
        <v>113</v>
      </c>
      <c r="J254" s="557">
        <v>656</v>
      </c>
      <c r="K254" s="564">
        <v>42736</v>
      </c>
      <c r="L254" s="565">
        <v>44551</v>
      </c>
      <c r="M254" s="557"/>
      <c r="N254" s="557"/>
      <c r="O254" s="557"/>
      <c r="P254" s="557"/>
      <c r="Q254" s="556"/>
      <c r="R254" s="557"/>
      <c r="S254" s="557"/>
      <c r="T254" s="557"/>
      <c r="U254" s="557"/>
      <c r="V254" s="557"/>
      <c r="W254" s="557"/>
      <c r="X254" s="557"/>
      <c r="Y254" s="557"/>
      <c r="Z254" s="557"/>
      <c r="AA254" s="557"/>
      <c r="AB254" s="557"/>
      <c r="AC254" s="557"/>
      <c r="AD254" s="557"/>
      <c r="AE254" s="557"/>
      <c r="AF254" s="557"/>
      <c r="AG254" s="557"/>
      <c r="AH254" s="557"/>
      <c r="AI254" s="557"/>
      <c r="AJ254" s="557"/>
      <c r="AK254" s="557"/>
      <c r="AL254" s="557"/>
      <c r="AM254" s="557"/>
      <c r="AN254" s="557"/>
      <c r="AO254" s="563"/>
      <c r="AP254" s="557"/>
      <c r="AQ254" s="557"/>
      <c r="AR254" s="559"/>
      <c r="AS254" s="557"/>
      <c r="AT254" s="557"/>
      <c r="AU254" s="557"/>
      <c r="AV254" s="557"/>
      <c r="AW254" s="557"/>
      <c r="AX254" s="554"/>
      <c r="AY254" s="563"/>
      <c r="AZ254" s="557"/>
      <c r="BA254" s="557"/>
      <c r="BB254" s="557"/>
      <c r="BC254" s="554"/>
      <c r="BD254" s="557"/>
      <c r="BE254" s="557"/>
      <c r="BF254" s="557"/>
      <c r="BG254" s="557"/>
      <c r="BH254" s="557"/>
      <c r="BI254" s="557"/>
      <c r="BJ254" s="557"/>
      <c r="BK254" s="557"/>
      <c r="BL254" s="557"/>
      <c r="BM254" s="554"/>
      <c r="BN254" s="558"/>
      <c r="BO254" s="559"/>
      <c r="BP254" s="554"/>
      <c r="BQ254" s="560" t="str">
        <f>IFERROR(WWWW[[#This Row],['#_Water sources treated]]/WWWW[[#This Row],['#_Water sources tested for contamination]],"no test")</f>
        <v>no test</v>
      </c>
      <c r="BR254" s="559" t="str">
        <f>IFERROR(WWWW[[#This Row],['#_Household received remediation action due to contamination]]/WWWW[[#This Row],['#_Household water samples tested for contamination]],"no test")</f>
        <v>no test</v>
      </c>
      <c r="BS254" s="558" t="str">
        <f>IF(AND(WWWW[[#This Row],[% of water sources treated]]="no test",WWWW[[#This Row],[% Household received corrective actions]]="no test"),"No Test","Tested")</f>
        <v>No Test</v>
      </c>
      <c r="BT254" s="558">
        <f>WWWW[[#This Row],['#_Constructed/existing protected hand dug well]]-WWWW[[#This Row],['#_Non-functional protected hand dug well]]</f>
        <v>0</v>
      </c>
      <c r="BU254" s="558">
        <f>(WWWW[[#This Row],['#_Constructed/Existing tube wells/boreholes/handpumps_WASH_agency]]+WWWW[[#This Row],['#_Non-Cluster partner water tube-wells/boreholes/handpumps]])-WWWW[[#This Row],['#_Non-functional tube wells/boreholes/handpumps]]</f>
        <v>0</v>
      </c>
      <c r="BV254" s="558">
        <f>WWWW[[#This Row],['#_Constructed/Existingwater storage tank with gravity fed reticulation system]]-WWWW[[#This Row],['#_Non-functional storage tank gravity fed reticulation system]]</f>
        <v>0</v>
      </c>
      <c r="BW254" s="558">
        <f>WWWW[[#This Row],['#_Water boating or water trucking]]</f>
        <v>0</v>
      </c>
      <c r="BX254" s="558">
        <f>WWWW[[#This Row],['#_Constructed/Existing water distribution system from river or natural spring]]</f>
        <v>0</v>
      </c>
      <c r="BY25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4" s="559">
        <f>IF(WWWW[[#This Row],[Location Type 1]]="Village",WWWW[[#This Row],[Access to safe drinking water for Village]],WWWW[[#This Row],[Access to safe drinking water for Camp]])</f>
        <v>0</v>
      </c>
      <c r="CB254" s="556">
        <f>WWWW[[#This Row],[%Equitable and continuous access to sufficient quantity of safe drinking water]]*WWWW[[#This Row],[Total PoP ]]</f>
        <v>0</v>
      </c>
      <c r="CC254" s="559">
        <f>IF((WWWW[[#This Row],['#_Constructed/Existing protected/fenced ponds]]*250)/WWWW[[#This Row],[Total PoP ]]&gt;1,1,(WWWW[[#This Row],['#_Constructed/Existing protected/fenced ponds]]*250)/WWWW[[#This Row],[Total PoP ]])</f>
        <v>0</v>
      </c>
      <c r="CD254" s="556">
        <f>WWWW[[#This Row],[% Access to unimproved water points]]*WWWW[[#This Row],[Total PoP ]]</f>
        <v>0</v>
      </c>
      <c r="CE25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4" s="556">
        <f>WWWW[[#This Row],[HRP1]]/500</f>
        <v>0</v>
      </c>
      <c r="CH254" s="561">
        <f>1-WWWW[[#This Row],[% Equitable and continuous access to sufficient quantity of domestic water]]</f>
        <v>1</v>
      </c>
      <c r="CI254" s="556">
        <f>WWWW[[#This Row],[%equitable and continuous access to sufficient quantity of safe drinking and domestic water''s GAP]]*WWWW[[#This Row],[Total PoP ]]</f>
        <v>656</v>
      </c>
      <c r="CJ254" s="558">
        <f>IF(WWWW[[#This Row],[Total required water points]]-WWWW[[#This Row],['#Water points coverage]]&lt;0,0,WWWW[[#This Row],[Total required water points]]-WWWW[[#This Row],['#Water points coverage]])</f>
        <v>1</v>
      </c>
      <c r="CK254" s="558">
        <f>ROUND(IF(WWWW[[#This Row],[Total PoP ]]&lt;500,1,WWWW[[#This Row],[Total PoP ]]/500),0)</f>
        <v>1</v>
      </c>
      <c r="CL254" s="558">
        <f>(WWWW[[#This Row],['#_Constructed latrines_by_WASHAgencies]]+WWWW[[#This Row],['#_Non Cluster partner latrines]])-WWWW[[#This Row],['#_Non-functional latrines]]</f>
        <v>0</v>
      </c>
      <c r="CM25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4" s="558" t="str">
        <f>IF(WWWW[[#This Row],[Location Type 1]]="Village","NA",IF(WWWW[[#This Row],['#_Constructed/Existing latrines in TLS]]*50&gt;WWWW[[#This Row],['#_students at TLS_CFS]],WWWW[[#This Row],['#_students at TLS_CFS]],(WWWW[[#This Row],['#_Constructed/Existing latrines in TLS]]*50)))</f>
        <v>NA</v>
      </c>
      <c r="CQ254" s="558">
        <f>ROUND(IF(WWWW[[#This Row],[Location Type 1]]="camp",WWWW[[#This Row],[Total PoP ]]/20,IF(WWWW[[#This Row],[Location Type 1]]="Temporary Location",WWWW[[#This Row],[Total PoP ]]/50,(WWWW[[#This Row],[Total PoP ]]/6))),0)</f>
        <v>109</v>
      </c>
      <c r="CR254" s="558">
        <f>IF(WWWW[[#This Row],[Total required Latrines]]-(WWWW[[#This Row],['#_Constructed latrines_by_WASHAgencies]]+WWWW[[#This Row],['#_Non Cluster partner latrines]])&lt;0,0,WWWW[[#This Row],[Total required Latrines]]-(WWWW[[#This Row],['#_Constructed latrines_by_WASHAgencies]]+WWWW[[#This Row],['#_Non Cluster partner latrines]]))</f>
        <v>109</v>
      </c>
      <c r="CS254" s="78">
        <f>1-WWWW[[#This Row],[% people access to functioning Latrine]]</f>
        <v>1</v>
      </c>
      <c r="CT254" s="560">
        <f>IF(OR(WWWW[[#This Row],['#_Non-functional latrines]]="",WWWW[[#This Row],['#_Non-functional latrines]]=0),0,WWWW[[#This Row],['#_Non-functional latrines]]/(WWWW[[#This Row],['#_Constructed latrines_by_WASHAgencies]]+WWWW[[#This Row],['#_Non Cluster partner latrines]]))</f>
        <v>0</v>
      </c>
      <c r="CU254" s="556">
        <f>IF(500*(WWWW[[#This Row],['#_male hygiene promoters]]+WWWW[[#This Row],['#_female hygiene promoters]])&gt;WWWW[[#This Row],[Total PoP ]],WWWW[[#This Row],[Total PoP ]],500*(WWWW[[#This Row],['#_male hygiene promoters]]+WWWW[[#This Row],['#_female hygiene promoters]]))</f>
        <v>0</v>
      </c>
      <c r="CV25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4" s="558">
        <f>IF(WWWW[[#This Row],['# People with access to soap]]&gt;WWWW[[#This Row],['# People with access to Sanity Pads]],WWWW[[#This Row],['# People with access to soap]],WWWW[[#This Row],['# People with access to Sanity Pads]])</f>
        <v>0</v>
      </c>
      <c r="CY25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4" s="561">
        <f>IF(WWWW[[#This Row],[HRP3]]/WWWW[[#This Row],[Total PoP ]]&gt;100%,100%,WWWW[[#This Row],[HRP3]]/WWWW[[#This Row],[Total PoP ]])</f>
        <v>0</v>
      </c>
      <c r="DA254" s="560">
        <f>1-WWWW[[#This Row],[Hygiene Coverage%]]</f>
        <v>1</v>
      </c>
      <c r="DB254" s="559">
        <f>WWWW[[#This Row],['# people reached by regular dedicated hygiene promotion_5]]/WWWW[[#This Row],[Total PoP ]]</f>
        <v>0</v>
      </c>
      <c r="DC254" s="559">
        <f>IF(WWWW[[#This Row],['#_households that received standard amount of soap for this quarter]]/WWWW[[#This Row],[Total HH]]&gt;1,1,WWWW[[#This Row],['#_households that received standard amount of soap for this quarter]]/WWWW[[#This Row],[Total HH]])</f>
        <v>0</v>
      </c>
      <c r="DD254" s="559">
        <f>IF(WWWW[[#This Row],['#_households that received standard amount of sanitary pads for this quarter]]/WWWW[[#This Row],[Total HH]]&gt;1,1,WWWW[[#This Row],['#_households that received standard amount of sanitary pads for this quarter]]/WWWW[[#This Row],[Total HH]])</f>
        <v>0</v>
      </c>
      <c r="DE254" s="558">
        <f>WWWW[[#This Row],['#_Constructed/Existing hand washing stations]]-WWWW[[#This Row],['#_Non-Functional_hand_washing_stations]]</f>
        <v>0</v>
      </c>
      <c r="DF254" s="757">
        <f>IF(WWWW[[#This Row],['# Functional hand washing stations during reporting period]]*20&gt;WWWW[[#This Row],[Total HH]],WWWW[[#This Row],[Total HH]],WWWW[[#This Row],['# Functional hand washing stations during reporting period]]*20)</f>
        <v>0</v>
      </c>
      <c r="DG254" s="556">
        <f>IF(WWWW[[#This Row],[Is sufficient soap available for TLS? (Yes/No)]]="yes",WWWW[[#This Row],['#_Constructed/Existing hand washing stations at TLS]],0)</f>
        <v>0</v>
      </c>
      <c r="DH254" s="556">
        <f>IF(WWWW[[#This Row],['# Functional hand washing stations during reporting period]]*100&gt;WWWW[[#This Row],[Total PoP ]],WWWW[[#This Row],[Total PoP ]],WWWW[[#This Row],['# Functional hand washing stations during reporting period]]*100)</f>
        <v>0</v>
      </c>
      <c r="DI254" s="556" t="str">
        <f>IF(OR(WWWW[[#This Row],['#_students at TLS_CFS]]="",WWWW[[#This Row],['#_students at TLS_CFS]]=0),"No","Yes")</f>
        <v>No</v>
      </c>
      <c r="DJ254" s="554">
        <f>VLOOKUP(WWWW[[#This Row],[Site Name]],SiteDB6[[Site Name]:[CCCM Management]],6,FALSE)</f>
        <v>0</v>
      </c>
      <c r="DK254" s="554">
        <f>VLOOKUP(WWWW[[#This Row],[Site Name]],SiteDB6[[Site Name]:[CCCM Focal Agency]],7,FALSE)</f>
        <v>0</v>
      </c>
      <c r="DL254" s="554" t="str">
        <f>VLOOKUP(WWWW[[#This Row],[Site Name]],SiteDB6[[Site Name]:[Location Type 1]],9,FALSE)</f>
        <v>Village</v>
      </c>
      <c r="DM254" s="554" t="str">
        <f>VLOOKUP(WWWW[[#This Row],[Site Name]],SiteDB6[[Site Name]:[Type of Accommodation]],10,FALSE)</f>
        <v>Village</v>
      </c>
      <c r="DN254" s="554" t="str">
        <f>VLOOKUP(WWWW[[#This Row],[Site Name]],SiteDB6[[Site Name]:[Ethnic or GCA/NGCA]],11,FALSE)</f>
        <v>rakhine</v>
      </c>
      <c r="DO254" s="554">
        <f>VLOOKUP(WWWW[[#This Row],[Site Name]],SiteDB6[[Site Name]:[Lat]],12,FALSE)</f>
        <v>20.2315197</v>
      </c>
      <c r="DP254" s="554">
        <f>VLOOKUP(WWWW[[#This Row],[Site Name]],SiteDB6[[Site Name]:[Long]],13,FALSE)</f>
        <v>92.876129149999997</v>
      </c>
      <c r="DQ254" s="554">
        <f>VLOOKUP(WWWW[[#This Row],[Site Name]],SiteDB6[[Site Name]:[Pcode]],3,FALSE)</f>
        <v>196180</v>
      </c>
      <c r="DR254" s="563" t="str">
        <f t="shared" si="8"/>
        <v>Covered</v>
      </c>
      <c r="DS254" s="563"/>
    </row>
    <row r="255" spans="1:123">
      <c r="A255" s="552" t="s">
        <v>2518</v>
      </c>
      <c r="B255" s="552" t="s">
        <v>332</v>
      </c>
      <c r="C255" s="555" t="s">
        <v>332</v>
      </c>
      <c r="D255" s="555" t="s">
        <v>325</v>
      </c>
      <c r="E255" s="574" t="s">
        <v>3006</v>
      </c>
      <c r="F255" s="555" t="s">
        <v>313</v>
      </c>
      <c r="G255" s="574" t="str">
        <f>VLOOKUP(WWWW[[#This Row],[Site Name]],SiteDB6[[Site Name]:[Location Type]],8,FALSE)</f>
        <v>Village</v>
      </c>
      <c r="H255" s="555" t="s">
        <v>455</v>
      </c>
      <c r="I255" s="557">
        <v>152</v>
      </c>
      <c r="J255" s="557">
        <v>1152</v>
      </c>
      <c r="K255" s="564">
        <v>42736</v>
      </c>
      <c r="L255" s="565">
        <v>44551</v>
      </c>
      <c r="M255" s="557"/>
      <c r="N255" s="557"/>
      <c r="O255" s="557"/>
      <c r="P255" s="557"/>
      <c r="Q255" s="556"/>
      <c r="R255" s="557"/>
      <c r="S255" s="557"/>
      <c r="T255" s="557"/>
      <c r="U255" s="557"/>
      <c r="V255" s="557"/>
      <c r="W255" s="557"/>
      <c r="X255" s="557"/>
      <c r="Y255" s="557"/>
      <c r="Z255" s="557"/>
      <c r="AA255" s="557"/>
      <c r="AB255" s="557"/>
      <c r="AC255" s="557"/>
      <c r="AD255" s="557"/>
      <c r="AE255" s="557"/>
      <c r="AF255" s="557"/>
      <c r="AG255" s="557"/>
      <c r="AH255" s="557"/>
      <c r="AI255" s="557"/>
      <c r="AJ255" s="557"/>
      <c r="AK255" s="557"/>
      <c r="AL255" s="557"/>
      <c r="AM255" s="557"/>
      <c r="AN255" s="557"/>
      <c r="AO255" s="563"/>
      <c r="AP255" s="557"/>
      <c r="AQ255" s="557"/>
      <c r="AR255" s="559"/>
      <c r="AS255" s="557"/>
      <c r="AT255" s="557"/>
      <c r="AU255" s="557"/>
      <c r="AV255" s="557"/>
      <c r="AW255" s="557"/>
      <c r="AX255" s="554"/>
      <c r="AY255" s="563"/>
      <c r="AZ255" s="557"/>
      <c r="BA255" s="557"/>
      <c r="BB255" s="557"/>
      <c r="BC255" s="554"/>
      <c r="BD255" s="557"/>
      <c r="BE255" s="557"/>
      <c r="BF255" s="557"/>
      <c r="BG255" s="557"/>
      <c r="BH255" s="557"/>
      <c r="BI255" s="557"/>
      <c r="BJ255" s="557"/>
      <c r="BK255" s="557"/>
      <c r="BL255" s="557"/>
      <c r="BM255" s="554"/>
      <c r="BN255" s="558"/>
      <c r="BO255" s="559"/>
      <c r="BP255" s="554"/>
      <c r="BQ255" s="560" t="str">
        <f>IFERROR(WWWW[[#This Row],['#_Water sources treated]]/WWWW[[#This Row],['#_Water sources tested for contamination]],"no test")</f>
        <v>no test</v>
      </c>
      <c r="BR255" s="559" t="str">
        <f>IFERROR(WWWW[[#This Row],['#_Household received remediation action due to contamination]]/WWWW[[#This Row],['#_Household water samples tested for contamination]],"no test")</f>
        <v>no test</v>
      </c>
      <c r="BS255" s="558" t="str">
        <f>IF(AND(WWWW[[#This Row],[% of water sources treated]]="no test",WWWW[[#This Row],[% Household received corrective actions]]="no test"),"No Test","Tested")</f>
        <v>No Test</v>
      </c>
      <c r="BT255" s="558">
        <f>WWWW[[#This Row],['#_Constructed/existing protected hand dug well]]-WWWW[[#This Row],['#_Non-functional protected hand dug well]]</f>
        <v>0</v>
      </c>
      <c r="BU255" s="558">
        <f>(WWWW[[#This Row],['#_Constructed/Existing tube wells/boreholes/handpumps_WASH_agency]]+WWWW[[#This Row],['#_Non-Cluster partner water tube-wells/boreholes/handpumps]])-WWWW[[#This Row],['#_Non-functional tube wells/boreholes/handpumps]]</f>
        <v>0</v>
      </c>
      <c r="BV255" s="558">
        <f>WWWW[[#This Row],['#_Constructed/Existingwater storage tank with gravity fed reticulation system]]-WWWW[[#This Row],['#_Non-functional storage tank gravity fed reticulation system]]</f>
        <v>0</v>
      </c>
      <c r="BW255" s="558">
        <f>WWWW[[#This Row],['#_Water boating or water trucking]]</f>
        <v>0</v>
      </c>
      <c r="BX255" s="558">
        <f>WWWW[[#This Row],['#_Constructed/Existing water distribution system from river or natural spring]]</f>
        <v>0</v>
      </c>
      <c r="BY25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5" s="559">
        <f>IF(WWWW[[#This Row],[Location Type 1]]="Village",WWWW[[#This Row],[Access to safe drinking water for Village]],WWWW[[#This Row],[Access to safe drinking water for Camp]])</f>
        <v>0</v>
      </c>
      <c r="CB255" s="556">
        <f>WWWW[[#This Row],[%Equitable and continuous access to sufficient quantity of safe drinking water]]*WWWW[[#This Row],[Total PoP ]]</f>
        <v>0</v>
      </c>
      <c r="CC255" s="559">
        <f>IF((WWWW[[#This Row],['#_Constructed/Existing protected/fenced ponds]]*250)/WWWW[[#This Row],[Total PoP ]]&gt;1,1,(WWWW[[#This Row],['#_Constructed/Existing protected/fenced ponds]]*250)/WWWW[[#This Row],[Total PoP ]])</f>
        <v>0</v>
      </c>
      <c r="CD255" s="556">
        <f>WWWW[[#This Row],[% Access to unimproved water points]]*WWWW[[#This Row],[Total PoP ]]</f>
        <v>0</v>
      </c>
      <c r="CE25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5" s="556">
        <f>WWWW[[#This Row],[HRP1]]/500</f>
        <v>0</v>
      </c>
      <c r="CH255" s="561">
        <f>1-WWWW[[#This Row],[% Equitable and continuous access to sufficient quantity of domestic water]]</f>
        <v>1</v>
      </c>
      <c r="CI255" s="556">
        <f>WWWW[[#This Row],[%equitable and continuous access to sufficient quantity of safe drinking and domestic water''s GAP]]*WWWW[[#This Row],[Total PoP ]]</f>
        <v>1152</v>
      </c>
      <c r="CJ255" s="558">
        <f>IF(WWWW[[#This Row],[Total required water points]]-WWWW[[#This Row],['#Water points coverage]]&lt;0,0,WWWW[[#This Row],[Total required water points]]-WWWW[[#This Row],['#Water points coverage]])</f>
        <v>2</v>
      </c>
      <c r="CK255" s="558">
        <f>ROUND(IF(WWWW[[#This Row],[Total PoP ]]&lt;500,1,WWWW[[#This Row],[Total PoP ]]/500),0)</f>
        <v>2</v>
      </c>
      <c r="CL255" s="558">
        <f>(WWWW[[#This Row],['#_Constructed latrines_by_WASHAgencies]]+WWWW[[#This Row],['#_Non Cluster partner latrines]])-WWWW[[#This Row],['#_Non-functional latrines]]</f>
        <v>0</v>
      </c>
      <c r="CM25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5" s="558" t="str">
        <f>IF(WWWW[[#This Row],[Location Type 1]]="Village","NA",IF(WWWW[[#This Row],['#_Constructed/Existing latrines in TLS]]*50&gt;WWWW[[#This Row],['#_students at TLS_CFS]],WWWW[[#This Row],['#_students at TLS_CFS]],(WWWW[[#This Row],['#_Constructed/Existing latrines in TLS]]*50)))</f>
        <v>NA</v>
      </c>
      <c r="CQ255" s="558">
        <f>ROUND(IF(WWWW[[#This Row],[Location Type 1]]="camp",WWWW[[#This Row],[Total PoP ]]/20,IF(WWWW[[#This Row],[Location Type 1]]="Temporary Location",WWWW[[#This Row],[Total PoP ]]/50,(WWWW[[#This Row],[Total PoP ]]/6))),0)</f>
        <v>192</v>
      </c>
      <c r="CR255" s="558">
        <f>IF(WWWW[[#This Row],[Total required Latrines]]-(WWWW[[#This Row],['#_Constructed latrines_by_WASHAgencies]]+WWWW[[#This Row],['#_Non Cluster partner latrines]])&lt;0,0,WWWW[[#This Row],[Total required Latrines]]-(WWWW[[#This Row],['#_Constructed latrines_by_WASHAgencies]]+WWWW[[#This Row],['#_Non Cluster partner latrines]]))</f>
        <v>192</v>
      </c>
      <c r="CS255" s="78">
        <f>1-WWWW[[#This Row],[% people access to functioning Latrine]]</f>
        <v>1</v>
      </c>
      <c r="CT255" s="560">
        <f>IF(OR(WWWW[[#This Row],['#_Non-functional latrines]]="",WWWW[[#This Row],['#_Non-functional latrines]]=0),0,WWWW[[#This Row],['#_Non-functional latrines]]/(WWWW[[#This Row],['#_Constructed latrines_by_WASHAgencies]]+WWWW[[#This Row],['#_Non Cluster partner latrines]]))</f>
        <v>0</v>
      </c>
      <c r="CU255" s="556">
        <f>IF(500*(WWWW[[#This Row],['#_male hygiene promoters]]+WWWW[[#This Row],['#_female hygiene promoters]])&gt;WWWW[[#This Row],[Total PoP ]],WWWW[[#This Row],[Total PoP ]],500*(WWWW[[#This Row],['#_male hygiene promoters]]+WWWW[[#This Row],['#_female hygiene promoters]]))</f>
        <v>0</v>
      </c>
      <c r="CV25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5" s="558">
        <f>IF(WWWW[[#This Row],['# People with access to soap]]&gt;WWWW[[#This Row],['# People with access to Sanity Pads]],WWWW[[#This Row],['# People with access to soap]],WWWW[[#This Row],['# People with access to Sanity Pads]])</f>
        <v>0</v>
      </c>
      <c r="CY25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5" s="561">
        <f>IF(WWWW[[#This Row],[HRP3]]/WWWW[[#This Row],[Total PoP ]]&gt;100%,100%,WWWW[[#This Row],[HRP3]]/WWWW[[#This Row],[Total PoP ]])</f>
        <v>0</v>
      </c>
      <c r="DA255" s="560">
        <f>1-WWWW[[#This Row],[Hygiene Coverage%]]</f>
        <v>1</v>
      </c>
      <c r="DB255" s="559">
        <f>WWWW[[#This Row],['# people reached by regular dedicated hygiene promotion_5]]/WWWW[[#This Row],[Total PoP ]]</f>
        <v>0</v>
      </c>
      <c r="DC255" s="559">
        <f>IF(WWWW[[#This Row],['#_households that received standard amount of soap for this quarter]]/WWWW[[#This Row],[Total HH]]&gt;1,1,WWWW[[#This Row],['#_households that received standard amount of soap for this quarter]]/WWWW[[#This Row],[Total HH]])</f>
        <v>0</v>
      </c>
      <c r="DD255" s="559">
        <f>IF(WWWW[[#This Row],['#_households that received standard amount of sanitary pads for this quarter]]/WWWW[[#This Row],[Total HH]]&gt;1,1,WWWW[[#This Row],['#_households that received standard amount of sanitary pads for this quarter]]/WWWW[[#This Row],[Total HH]])</f>
        <v>0</v>
      </c>
      <c r="DE255" s="558">
        <f>WWWW[[#This Row],['#_Constructed/Existing hand washing stations]]-WWWW[[#This Row],['#_Non-Functional_hand_washing_stations]]</f>
        <v>0</v>
      </c>
      <c r="DF255" s="757">
        <f>IF(WWWW[[#This Row],['# Functional hand washing stations during reporting period]]*20&gt;WWWW[[#This Row],[Total HH]],WWWW[[#This Row],[Total HH]],WWWW[[#This Row],['# Functional hand washing stations during reporting period]]*20)</f>
        <v>0</v>
      </c>
      <c r="DG255" s="556">
        <f>IF(WWWW[[#This Row],[Is sufficient soap available for TLS? (Yes/No)]]="yes",WWWW[[#This Row],['#_Constructed/Existing hand washing stations at TLS]],0)</f>
        <v>0</v>
      </c>
      <c r="DH255" s="556">
        <f>IF(WWWW[[#This Row],['# Functional hand washing stations during reporting period]]*100&gt;WWWW[[#This Row],[Total PoP ]],WWWW[[#This Row],[Total PoP ]],WWWW[[#This Row],['# Functional hand washing stations during reporting period]]*100)</f>
        <v>0</v>
      </c>
      <c r="DI255" s="556" t="str">
        <f>IF(OR(WWWW[[#This Row],['#_students at TLS_CFS]]="",WWWW[[#This Row],['#_students at TLS_CFS]]=0),"No","Yes")</f>
        <v>No</v>
      </c>
      <c r="DJ255" s="554">
        <f>VLOOKUP(WWWW[[#This Row],[Site Name]],SiteDB6[[Site Name]:[CCCM Management]],6,FALSE)</f>
        <v>0</v>
      </c>
      <c r="DK255" s="554">
        <f>VLOOKUP(WWWW[[#This Row],[Site Name]],SiteDB6[[Site Name]:[CCCM Focal Agency]],7,FALSE)</f>
        <v>0</v>
      </c>
      <c r="DL255" s="554" t="str">
        <f>VLOOKUP(WWWW[[#This Row],[Site Name]],SiteDB6[[Site Name]:[Location Type 1]],9,FALSE)</f>
        <v>Village</v>
      </c>
      <c r="DM255" s="554" t="str">
        <f>VLOOKUP(WWWW[[#This Row],[Site Name]],SiteDB6[[Site Name]:[Type of Accommodation]],10,FALSE)</f>
        <v>Village</v>
      </c>
      <c r="DN255" s="554">
        <f>VLOOKUP(WWWW[[#This Row],[Site Name]],SiteDB6[[Site Name]:[Ethnic or GCA/NGCA]],11,FALSE)</f>
        <v>0</v>
      </c>
      <c r="DO255" s="554">
        <f>VLOOKUP(WWWW[[#This Row],[Site Name]],SiteDB6[[Site Name]:[Lat]],12,FALSE)</f>
        <v>0</v>
      </c>
      <c r="DP255" s="554">
        <f>VLOOKUP(WWWW[[#This Row],[Site Name]],SiteDB6[[Site Name]:[Long]],13,FALSE)</f>
        <v>0</v>
      </c>
      <c r="DQ255" s="554">
        <f>VLOOKUP(WWWW[[#This Row],[Site Name]],SiteDB6[[Site Name]:[Pcode]],3,FALSE)</f>
        <v>196154</v>
      </c>
      <c r="DR255" s="563" t="str">
        <f t="shared" si="8"/>
        <v>Covered</v>
      </c>
      <c r="DS255" s="563"/>
    </row>
    <row r="256" spans="1:123">
      <c r="A256" s="552" t="s">
        <v>2518</v>
      </c>
      <c r="B256" s="552" t="s">
        <v>332</v>
      </c>
      <c r="C256" s="555" t="s">
        <v>332</v>
      </c>
      <c r="D256" s="555" t="s">
        <v>325</v>
      </c>
      <c r="E256" s="574" t="s">
        <v>3006</v>
      </c>
      <c r="F256" s="555" t="s">
        <v>313</v>
      </c>
      <c r="G256" s="574" t="str">
        <f>VLOOKUP(WWWW[[#This Row],[Site Name]],SiteDB6[[Site Name]:[Location Type]],8,FALSE)</f>
        <v>Village</v>
      </c>
      <c r="H256" s="555" t="s">
        <v>1107</v>
      </c>
      <c r="I256" s="557">
        <v>172</v>
      </c>
      <c r="J256" s="557">
        <v>1435</v>
      </c>
      <c r="K256" s="564">
        <v>42736</v>
      </c>
      <c r="L256" s="565">
        <v>44551</v>
      </c>
      <c r="M256" s="557"/>
      <c r="N256" s="557"/>
      <c r="O256" s="557"/>
      <c r="P256" s="557"/>
      <c r="Q256" s="556"/>
      <c r="R256" s="557"/>
      <c r="S256" s="557"/>
      <c r="T256" s="557"/>
      <c r="U256" s="557"/>
      <c r="V256" s="557"/>
      <c r="W256" s="557"/>
      <c r="X256" s="557"/>
      <c r="Y256" s="557"/>
      <c r="Z256" s="557"/>
      <c r="AA256" s="557"/>
      <c r="AB256" s="557"/>
      <c r="AC256" s="557"/>
      <c r="AD256" s="557"/>
      <c r="AE256" s="557"/>
      <c r="AF256" s="557"/>
      <c r="AG256" s="557"/>
      <c r="AH256" s="557"/>
      <c r="AI256" s="557"/>
      <c r="AJ256" s="557"/>
      <c r="AK256" s="557"/>
      <c r="AL256" s="557"/>
      <c r="AM256" s="557"/>
      <c r="AN256" s="557"/>
      <c r="AO256" s="563"/>
      <c r="AP256" s="557"/>
      <c r="AQ256" s="557"/>
      <c r="AR256" s="559"/>
      <c r="AS256" s="557"/>
      <c r="AT256" s="557"/>
      <c r="AU256" s="557"/>
      <c r="AV256" s="557"/>
      <c r="AW256" s="557"/>
      <c r="AX256" s="554"/>
      <c r="AY256" s="563"/>
      <c r="AZ256" s="557"/>
      <c r="BA256" s="557"/>
      <c r="BB256" s="557"/>
      <c r="BC256" s="554"/>
      <c r="BD256" s="557"/>
      <c r="BE256" s="557"/>
      <c r="BF256" s="557"/>
      <c r="BG256" s="557"/>
      <c r="BH256" s="557"/>
      <c r="BI256" s="557"/>
      <c r="BJ256" s="557"/>
      <c r="BK256" s="557"/>
      <c r="BL256" s="557"/>
      <c r="BM256" s="554"/>
      <c r="BN256" s="558"/>
      <c r="BO256" s="559"/>
      <c r="BP256" s="554"/>
      <c r="BQ256" s="560" t="str">
        <f>IFERROR(WWWW[[#This Row],['#_Water sources treated]]/WWWW[[#This Row],['#_Water sources tested for contamination]],"no test")</f>
        <v>no test</v>
      </c>
      <c r="BR256" s="559" t="str">
        <f>IFERROR(WWWW[[#This Row],['#_Household received remediation action due to contamination]]/WWWW[[#This Row],['#_Household water samples tested for contamination]],"no test")</f>
        <v>no test</v>
      </c>
      <c r="BS256" s="558" t="str">
        <f>IF(AND(WWWW[[#This Row],[% of water sources treated]]="no test",WWWW[[#This Row],[% Household received corrective actions]]="no test"),"No Test","Tested")</f>
        <v>No Test</v>
      </c>
      <c r="BT256" s="558">
        <f>WWWW[[#This Row],['#_Constructed/existing protected hand dug well]]-WWWW[[#This Row],['#_Non-functional protected hand dug well]]</f>
        <v>0</v>
      </c>
      <c r="BU256" s="558">
        <f>(WWWW[[#This Row],['#_Constructed/Existing tube wells/boreholes/handpumps_WASH_agency]]+WWWW[[#This Row],['#_Non-Cluster partner water tube-wells/boreholes/handpumps]])-WWWW[[#This Row],['#_Non-functional tube wells/boreholes/handpumps]]</f>
        <v>0</v>
      </c>
      <c r="BV256" s="558">
        <f>WWWW[[#This Row],['#_Constructed/Existingwater storage tank with gravity fed reticulation system]]-WWWW[[#This Row],['#_Non-functional storage tank gravity fed reticulation system]]</f>
        <v>0</v>
      </c>
      <c r="BW256" s="558">
        <f>WWWW[[#This Row],['#_Water boating or water trucking]]</f>
        <v>0</v>
      </c>
      <c r="BX256" s="558">
        <f>WWWW[[#This Row],['#_Constructed/Existing water distribution system from river or natural spring]]</f>
        <v>0</v>
      </c>
      <c r="BY25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6" s="559">
        <f>IF(WWWW[[#This Row],[Location Type 1]]="Village",WWWW[[#This Row],[Access to safe drinking water for Village]],WWWW[[#This Row],[Access to safe drinking water for Camp]])</f>
        <v>0</v>
      </c>
      <c r="CB256" s="556">
        <f>WWWW[[#This Row],[%Equitable and continuous access to sufficient quantity of safe drinking water]]*WWWW[[#This Row],[Total PoP ]]</f>
        <v>0</v>
      </c>
      <c r="CC256" s="559">
        <f>IF((WWWW[[#This Row],['#_Constructed/Existing protected/fenced ponds]]*250)/WWWW[[#This Row],[Total PoP ]]&gt;1,1,(WWWW[[#This Row],['#_Constructed/Existing protected/fenced ponds]]*250)/WWWW[[#This Row],[Total PoP ]])</f>
        <v>0</v>
      </c>
      <c r="CD256" s="556">
        <f>WWWW[[#This Row],[% Access to unimproved water points]]*WWWW[[#This Row],[Total PoP ]]</f>
        <v>0</v>
      </c>
      <c r="CE25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6" s="556">
        <f>WWWW[[#This Row],[HRP1]]/500</f>
        <v>0</v>
      </c>
      <c r="CH256" s="561">
        <f>1-WWWW[[#This Row],[% Equitable and continuous access to sufficient quantity of domestic water]]</f>
        <v>1</v>
      </c>
      <c r="CI256" s="556">
        <f>WWWW[[#This Row],[%equitable and continuous access to sufficient quantity of safe drinking and domestic water''s GAP]]*WWWW[[#This Row],[Total PoP ]]</f>
        <v>1435</v>
      </c>
      <c r="CJ256" s="558">
        <f>IF(WWWW[[#This Row],[Total required water points]]-WWWW[[#This Row],['#Water points coverage]]&lt;0,0,WWWW[[#This Row],[Total required water points]]-WWWW[[#This Row],['#Water points coverage]])</f>
        <v>3</v>
      </c>
      <c r="CK256" s="558">
        <f>ROUND(IF(WWWW[[#This Row],[Total PoP ]]&lt;500,1,WWWW[[#This Row],[Total PoP ]]/500),0)</f>
        <v>3</v>
      </c>
      <c r="CL256" s="558">
        <f>(WWWW[[#This Row],['#_Constructed latrines_by_WASHAgencies]]+WWWW[[#This Row],['#_Non Cluster partner latrines]])-WWWW[[#This Row],['#_Non-functional latrines]]</f>
        <v>0</v>
      </c>
      <c r="CM25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6" s="558" t="str">
        <f>IF(WWWW[[#This Row],[Location Type 1]]="Village","NA",IF(WWWW[[#This Row],['#_Constructed/Existing latrines in TLS]]*50&gt;WWWW[[#This Row],['#_students at TLS_CFS]],WWWW[[#This Row],['#_students at TLS_CFS]],(WWWW[[#This Row],['#_Constructed/Existing latrines in TLS]]*50)))</f>
        <v>NA</v>
      </c>
      <c r="CQ256" s="558">
        <f>ROUND(IF(WWWW[[#This Row],[Location Type 1]]="camp",WWWW[[#This Row],[Total PoP ]]/20,IF(WWWW[[#This Row],[Location Type 1]]="Temporary Location",WWWW[[#This Row],[Total PoP ]]/50,(WWWW[[#This Row],[Total PoP ]]/6))),0)</f>
        <v>239</v>
      </c>
      <c r="CR256" s="558">
        <f>IF(WWWW[[#This Row],[Total required Latrines]]-(WWWW[[#This Row],['#_Constructed latrines_by_WASHAgencies]]+WWWW[[#This Row],['#_Non Cluster partner latrines]])&lt;0,0,WWWW[[#This Row],[Total required Latrines]]-(WWWW[[#This Row],['#_Constructed latrines_by_WASHAgencies]]+WWWW[[#This Row],['#_Non Cluster partner latrines]]))</f>
        <v>239</v>
      </c>
      <c r="CS256" s="78">
        <f>1-WWWW[[#This Row],[% people access to functioning Latrine]]</f>
        <v>1</v>
      </c>
      <c r="CT256" s="560">
        <f>IF(OR(WWWW[[#This Row],['#_Non-functional latrines]]="",WWWW[[#This Row],['#_Non-functional latrines]]=0),0,WWWW[[#This Row],['#_Non-functional latrines]]/(WWWW[[#This Row],['#_Constructed latrines_by_WASHAgencies]]+WWWW[[#This Row],['#_Non Cluster partner latrines]]))</f>
        <v>0</v>
      </c>
      <c r="CU256" s="556">
        <f>IF(500*(WWWW[[#This Row],['#_male hygiene promoters]]+WWWW[[#This Row],['#_female hygiene promoters]])&gt;WWWW[[#This Row],[Total PoP ]],WWWW[[#This Row],[Total PoP ]],500*(WWWW[[#This Row],['#_male hygiene promoters]]+WWWW[[#This Row],['#_female hygiene promoters]]))</f>
        <v>0</v>
      </c>
      <c r="CV25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6" s="558">
        <f>IF(WWWW[[#This Row],['# People with access to soap]]&gt;WWWW[[#This Row],['# People with access to Sanity Pads]],WWWW[[#This Row],['# People with access to soap]],WWWW[[#This Row],['# People with access to Sanity Pads]])</f>
        <v>0</v>
      </c>
      <c r="CY25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6" s="561">
        <f>IF(WWWW[[#This Row],[HRP3]]/WWWW[[#This Row],[Total PoP ]]&gt;100%,100%,WWWW[[#This Row],[HRP3]]/WWWW[[#This Row],[Total PoP ]])</f>
        <v>0</v>
      </c>
      <c r="DA256" s="560">
        <f>1-WWWW[[#This Row],[Hygiene Coverage%]]</f>
        <v>1</v>
      </c>
      <c r="DB256" s="559">
        <f>WWWW[[#This Row],['# people reached by regular dedicated hygiene promotion_5]]/WWWW[[#This Row],[Total PoP ]]</f>
        <v>0</v>
      </c>
      <c r="DC256" s="559">
        <f>IF(WWWW[[#This Row],['#_households that received standard amount of soap for this quarter]]/WWWW[[#This Row],[Total HH]]&gt;1,1,WWWW[[#This Row],['#_households that received standard amount of soap for this quarter]]/WWWW[[#This Row],[Total HH]])</f>
        <v>0</v>
      </c>
      <c r="DD256" s="559">
        <f>IF(WWWW[[#This Row],['#_households that received standard amount of sanitary pads for this quarter]]/WWWW[[#This Row],[Total HH]]&gt;1,1,WWWW[[#This Row],['#_households that received standard amount of sanitary pads for this quarter]]/WWWW[[#This Row],[Total HH]])</f>
        <v>0</v>
      </c>
      <c r="DE256" s="558">
        <f>WWWW[[#This Row],['#_Constructed/Existing hand washing stations]]-WWWW[[#This Row],['#_Non-Functional_hand_washing_stations]]</f>
        <v>0</v>
      </c>
      <c r="DF256" s="757">
        <f>IF(WWWW[[#This Row],['# Functional hand washing stations during reporting period]]*20&gt;WWWW[[#This Row],[Total HH]],WWWW[[#This Row],[Total HH]],WWWW[[#This Row],['# Functional hand washing stations during reporting period]]*20)</f>
        <v>0</v>
      </c>
      <c r="DG256" s="556">
        <f>IF(WWWW[[#This Row],[Is sufficient soap available for TLS? (Yes/No)]]="yes",WWWW[[#This Row],['#_Constructed/Existing hand washing stations at TLS]],0)</f>
        <v>0</v>
      </c>
      <c r="DH256" s="556">
        <f>IF(WWWW[[#This Row],['# Functional hand washing stations during reporting period]]*100&gt;WWWW[[#This Row],[Total PoP ]],WWWW[[#This Row],[Total PoP ]],WWWW[[#This Row],['# Functional hand washing stations during reporting period]]*100)</f>
        <v>0</v>
      </c>
      <c r="DI256" s="556" t="str">
        <f>IF(OR(WWWW[[#This Row],['#_students at TLS_CFS]]="",WWWW[[#This Row],['#_students at TLS_CFS]]=0),"No","Yes")</f>
        <v>No</v>
      </c>
      <c r="DJ256" s="554">
        <f>VLOOKUP(WWWW[[#This Row],[Site Name]],SiteDB6[[Site Name]:[CCCM Management]],6,FALSE)</f>
        <v>0</v>
      </c>
      <c r="DK256" s="554">
        <f>VLOOKUP(WWWW[[#This Row],[Site Name]],SiteDB6[[Site Name]:[CCCM Focal Agency]],7,FALSE)</f>
        <v>0</v>
      </c>
      <c r="DL256" s="554" t="str">
        <f>VLOOKUP(WWWW[[#This Row],[Site Name]],SiteDB6[[Site Name]:[Location Type 1]],9,FALSE)</f>
        <v>Village</v>
      </c>
      <c r="DM256" s="554" t="str">
        <f>VLOOKUP(WWWW[[#This Row],[Site Name]],SiteDB6[[Site Name]:[Type of Accommodation]],10,FALSE)</f>
        <v>Village</v>
      </c>
      <c r="DN256" s="554" t="str">
        <f>VLOOKUP(WWWW[[#This Row],[Site Name]],SiteDB6[[Site Name]:[Ethnic or GCA/NGCA]],11,FALSE)</f>
        <v>Muslim</v>
      </c>
      <c r="DO256" s="554">
        <f>VLOOKUP(WWWW[[#This Row],[Site Name]],SiteDB6[[Site Name]:[Lat]],12,FALSE)</f>
        <v>0</v>
      </c>
      <c r="DP256" s="554">
        <f>VLOOKUP(WWWW[[#This Row],[Site Name]],SiteDB6[[Site Name]:[Long]],13,FALSE)</f>
        <v>0</v>
      </c>
      <c r="DQ256" s="554">
        <f>VLOOKUP(WWWW[[#This Row],[Site Name]],SiteDB6[[Site Name]:[Pcode]],3,FALSE)</f>
        <v>0</v>
      </c>
      <c r="DR256" s="563" t="str">
        <f t="shared" si="8"/>
        <v>Covered</v>
      </c>
      <c r="DS256" s="563"/>
    </row>
    <row r="257" spans="1:123">
      <c r="A257" s="552" t="s">
        <v>2518</v>
      </c>
      <c r="B257" s="552" t="s">
        <v>332</v>
      </c>
      <c r="C257" s="555" t="s">
        <v>332</v>
      </c>
      <c r="D257" s="555" t="s">
        <v>325</v>
      </c>
      <c r="E257" s="574" t="s">
        <v>3006</v>
      </c>
      <c r="F257" s="555" t="s">
        <v>313</v>
      </c>
      <c r="G257" s="574" t="str">
        <f>VLOOKUP(WWWW[[#This Row],[Site Name]],SiteDB6[[Site Name]:[Location Type]],8,FALSE)</f>
        <v>Village</v>
      </c>
      <c r="H257" s="555" t="s">
        <v>456</v>
      </c>
      <c r="I257" s="557">
        <v>73</v>
      </c>
      <c r="J257" s="557">
        <v>320</v>
      </c>
      <c r="K257" s="564">
        <v>42736</v>
      </c>
      <c r="L257" s="565">
        <v>44551</v>
      </c>
      <c r="M257" s="557"/>
      <c r="N257" s="557"/>
      <c r="O257" s="557"/>
      <c r="P257" s="557"/>
      <c r="Q257" s="556"/>
      <c r="R257" s="557"/>
      <c r="S257" s="557"/>
      <c r="T257" s="557"/>
      <c r="U257" s="557"/>
      <c r="V257" s="557"/>
      <c r="W257" s="557"/>
      <c r="X257" s="557"/>
      <c r="Y257" s="557"/>
      <c r="Z257" s="557"/>
      <c r="AA257" s="557"/>
      <c r="AB257" s="557"/>
      <c r="AC257" s="557"/>
      <c r="AD257" s="557"/>
      <c r="AE257" s="557"/>
      <c r="AF257" s="557"/>
      <c r="AG257" s="557"/>
      <c r="AH257" s="557"/>
      <c r="AI257" s="557"/>
      <c r="AJ257" s="557"/>
      <c r="AK257" s="557"/>
      <c r="AL257" s="557"/>
      <c r="AM257" s="557"/>
      <c r="AN257" s="557"/>
      <c r="AO257" s="563"/>
      <c r="AP257" s="557"/>
      <c r="AQ257" s="557"/>
      <c r="AR257" s="559"/>
      <c r="AS257" s="557"/>
      <c r="AT257" s="557"/>
      <c r="AU257" s="557"/>
      <c r="AV257" s="557"/>
      <c r="AW257" s="557"/>
      <c r="AX257" s="554"/>
      <c r="AY257" s="563"/>
      <c r="AZ257" s="557"/>
      <c r="BA257" s="557"/>
      <c r="BB257" s="557"/>
      <c r="BC257" s="554"/>
      <c r="BD257" s="557"/>
      <c r="BE257" s="557"/>
      <c r="BF257" s="557"/>
      <c r="BG257" s="557"/>
      <c r="BH257" s="557"/>
      <c r="BI257" s="557"/>
      <c r="BJ257" s="557"/>
      <c r="BK257" s="557"/>
      <c r="BL257" s="557"/>
      <c r="BM257" s="554"/>
      <c r="BN257" s="558"/>
      <c r="BO257" s="559"/>
      <c r="BP257" s="554"/>
      <c r="BQ257" s="560" t="str">
        <f>IFERROR(WWWW[[#This Row],['#_Water sources treated]]/WWWW[[#This Row],['#_Water sources tested for contamination]],"no test")</f>
        <v>no test</v>
      </c>
      <c r="BR257" s="559" t="str">
        <f>IFERROR(WWWW[[#This Row],['#_Household received remediation action due to contamination]]/WWWW[[#This Row],['#_Household water samples tested for contamination]],"no test")</f>
        <v>no test</v>
      </c>
      <c r="BS257" s="558" t="str">
        <f>IF(AND(WWWW[[#This Row],[% of water sources treated]]="no test",WWWW[[#This Row],[% Household received corrective actions]]="no test"),"No Test","Tested")</f>
        <v>No Test</v>
      </c>
      <c r="BT257" s="558">
        <f>WWWW[[#This Row],['#_Constructed/existing protected hand dug well]]-WWWW[[#This Row],['#_Non-functional protected hand dug well]]</f>
        <v>0</v>
      </c>
      <c r="BU257" s="558">
        <f>(WWWW[[#This Row],['#_Constructed/Existing tube wells/boreholes/handpumps_WASH_agency]]+WWWW[[#This Row],['#_Non-Cluster partner water tube-wells/boreholes/handpumps]])-WWWW[[#This Row],['#_Non-functional tube wells/boreholes/handpumps]]</f>
        <v>0</v>
      </c>
      <c r="BV257" s="558">
        <f>WWWW[[#This Row],['#_Constructed/Existingwater storage tank with gravity fed reticulation system]]-WWWW[[#This Row],['#_Non-functional storage tank gravity fed reticulation system]]</f>
        <v>0</v>
      </c>
      <c r="BW257" s="558">
        <f>WWWW[[#This Row],['#_Water boating or water trucking]]</f>
        <v>0</v>
      </c>
      <c r="BX257" s="558">
        <f>WWWW[[#This Row],['#_Constructed/Existing water distribution system from river or natural spring]]</f>
        <v>0</v>
      </c>
      <c r="BY25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7" s="559">
        <f>IF(WWWW[[#This Row],[Location Type 1]]="Village",WWWW[[#This Row],[Access to safe drinking water for Village]],WWWW[[#This Row],[Access to safe drinking water for Camp]])</f>
        <v>0</v>
      </c>
      <c r="CB257" s="556">
        <f>WWWW[[#This Row],[%Equitable and continuous access to sufficient quantity of safe drinking water]]*WWWW[[#This Row],[Total PoP ]]</f>
        <v>0</v>
      </c>
      <c r="CC257" s="559">
        <f>IF((WWWW[[#This Row],['#_Constructed/Existing protected/fenced ponds]]*250)/WWWW[[#This Row],[Total PoP ]]&gt;1,1,(WWWW[[#This Row],['#_Constructed/Existing protected/fenced ponds]]*250)/WWWW[[#This Row],[Total PoP ]])</f>
        <v>0</v>
      </c>
      <c r="CD257" s="556">
        <f>WWWW[[#This Row],[% Access to unimproved water points]]*WWWW[[#This Row],[Total PoP ]]</f>
        <v>0</v>
      </c>
      <c r="CE25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7" s="556">
        <f>WWWW[[#This Row],[HRP1]]/500</f>
        <v>0</v>
      </c>
      <c r="CH257" s="561">
        <f>1-WWWW[[#This Row],[% Equitable and continuous access to sufficient quantity of domestic water]]</f>
        <v>1</v>
      </c>
      <c r="CI257" s="556">
        <f>WWWW[[#This Row],[%equitable and continuous access to sufficient quantity of safe drinking and domestic water''s GAP]]*WWWW[[#This Row],[Total PoP ]]</f>
        <v>320</v>
      </c>
      <c r="CJ257" s="558">
        <f>IF(WWWW[[#This Row],[Total required water points]]-WWWW[[#This Row],['#Water points coverage]]&lt;0,0,WWWW[[#This Row],[Total required water points]]-WWWW[[#This Row],['#Water points coverage]])</f>
        <v>1</v>
      </c>
      <c r="CK257" s="558">
        <f>ROUND(IF(WWWW[[#This Row],[Total PoP ]]&lt;500,1,WWWW[[#This Row],[Total PoP ]]/500),0)</f>
        <v>1</v>
      </c>
      <c r="CL257" s="558">
        <f>(WWWW[[#This Row],['#_Constructed latrines_by_WASHAgencies]]+WWWW[[#This Row],['#_Non Cluster partner latrines]])-WWWW[[#This Row],['#_Non-functional latrines]]</f>
        <v>0</v>
      </c>
      <c r="CM25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7" s="558" t="str">
        <f>IF(WWWW[[#This Row],[Location Type 1]]="Village","NA",IF(WWWW[[#This Row],['#_Constructed/Existing latrines in TLS]]*50&gt;WWWW[[#This Row],['#_students at TLS_CFS]],WWWW[[#This Row],['#_students at TLS_CFS]],(WWWW[[#This Row],['#_Constructed/Existing latrines in TLS]]*50)))</f>
        <v>NA</v>
      </c>
      <c r="CQ257" s="558">
        <f>ROUND(IF(WWWW[[#This Row],[Location Type 1]]="camp",WWWW[[#This Row],[Total PoP ]]/20,IF(WWWW[[#This Row],[Location Type 1]]="Temporary Location",WWWW[[#This Row],[Total PoP ]]/50,(WWWW[[#This Row],[Total PoP ]]/6))),0)</f>
        <v>53</v>
      </c>
      <c r="CR257" s="558">
        <f>IF(WWWW[[#This Row],[Total required Latrines]]-(WWWW[[#This Row],['#_Constructed latrines_by_WASHAgencies]]+WWWW[[#This Row],['#_Non Cluster partner latrines]])&lt;0,0,WWWW[[#This Row],[Total required Latrines]]-(WWWW[[#This Row],['#_Constructed latrines_by_WASHAgencies]]+WWWW[[#This Row],['#_Non Cluster partner latrines]]))</f>
        <v>53</v>
      </c>
      <c r="CS257" s="78">
        <f>1-WWWW[[#This Row],[% people access to functioning Latrine]]</f>
        <v>1</v>
      </c>
      <c r="CT257" s="560">
        <f>IF(OR(WWWW[[#This Row],['#_Non-functional latrines]]="",WWWW[[#This Row],['#_Non-functional latrines]]=0),0,WWWW[[#This Row],['#_Non-functional latrines]]/(WWWW[[#This Row],['#_Constructed latrines_by_WASHAgencies]]+WWWW[[#This Row],['#_Non Cluster partner latrines]]))</f>
        <v>0</v>
      </c>
      <c r="CU257" s="556">
        <f>IF(500*(WWWW[[#This Row],['#_male hygiene promoters]]+WWWW[[#This Row],['#_female hygiene promoters]])&gt;WWWW[[#This Row],[Total PoP ]],WWWW[[#This Row],[Total PoP ]],500*(WWWW[[#This Row],['#_male hygiene promoters]]+WWWW[[#This Row],['#_female hygiene promoters]]))</f>
        <v>0</v>
      </c>
      <c r="CV25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7" s="558">
        <f>IF(WWWW[[#This Row],['# People with access to soap]]&gt;WWWW[[#This Row],['# People with access to Sanity Pads]],WWWW[[#This Row],['# People with access to soap]],WWWW[[#This Row],['# People with access to Sanity Pads]])</f>
        <v>0</v>
      </c>
      <c r="CY25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7" s="561">
        <f>IF(WWWW[[#This Row],[HRP3]]/WWWW[[#This Row],[Total PoP ]]&gt;100%,100%,WWWW[[#This Row],[HRP3]]/WWWW[[#This Row],[Total PoP ]])</f>
        <v>0</v>
      </c>
      <c r="DA257" s="560">
        <f>1-WWWW[[#This Row],[Hygiene Coverage%]]</f>
        <v>1</v>
      </c>
      <c r="DB257" s="559">
        <f>WWWW[[#This Row],['# people reached by regular dedicated hygiene promotion_5]]/WWWW[[#This Row],[Total PoP ]]</f>
        <v>0</v>
      </c>
      <c r="DC257" s="559">
        <f>IF(WWWW[[#This Row],['#_households that received standard amount of soap for this quarter]]/WWWW[[#This Row],[Total HH]]&gt;1,1,WWWW[[#This Row],['#_households that received standard amount of soap for this quarter]]/WWWW[[#This Row],[Total HH]])</f>
        <v>0</v>
      </c>
      <c r="DD257" s="559">
        <f>IF(WWWW[[#This Row],['#_households that received standard amount of sanitary pads for this quarter]]/WWWW[[#This Row],[Total HH]]&gt;1,1,WWWW[[#This Row],['#_households that received standard amount of sanitary pads for this quarter]]/WWWW[[#This Row],[Total HH]])</f>
        <v>0</v>
      </c>
      <c r="DE257" s="558">
        <f>WWWW[[#This Row],['#_Constructed/Existing hand washing stations]]-WWWW[[#This Row],['#_Non-Functional_hand_washing_stations]]</f>
        <v>0</v>
      </c>
      <c r="DF257" s="757">
        <f>IF(WWWW[[#This Row],['# Functional hand washing stations during reporting period]]*20&gt;WWWW[[#This Row],[Total HH]],WWWW[[#This Row],[Total HH]],WWWW[[#This Row],['# Functional hand washing stations during reporting period]]*20)</f>
        <v>0</v>
      </c>
      <c r="DG257" s="556">
        <f>IF(WWWW[[#This Row],[Is sufficient soap available for TLS? (Yes/No)]]="yes",WWWW[[#This Row],['#_Constructed/Existing hand washing stations at TLS]],0)</f>
        <v>0</v>
      </c>
      <c r="DH257" s="556">
        <f>IF(WWWW[[#This Row],['# Functional hand washing stations during reporting period]]*100&gt;WWWW[[#This Row],[Total PoP ]],WWWW[[#This Row],[Total PoP ]],WWWW[[#This Row],['# Functional hand washing stations during reporting period]]*100)</f>
        <v>0</v>
      </c>
      <c r="DI257" s="556" t="str">
        <f>IF(OR(WWWW[[#This Row],['#_students at TLS_CFS]]="",WWWW[[#This Row],['#_students at TLS_CFS]]=0),"No","Yes")</f>
        <v>No</v>
      </c>
      <c r="DJ257" s="554">
        <f>VLOOKUP(WWWW[[#This Row],[Site Name]],SiteDB6[[Site Name]:[CCCM Management]],6,FALSE)</f>
        <v>0</v>
      </c>
      <c r="DK257" s="554">
        <f>VLOOKUP(WWWW[[#This Row],[Site Name]],SiteDB6[[Site Name]:[CCCM Focal Agency]],7,FALSE)</f>
        <v>0</v>
      </c>
      <c r="DL257" s="554" t="str">
        <f>VLOOKUP(WWWW[[#This Row],[Site Name]],SiteDB6[[Site Name]:[Location Type 1]],9,FALSE)</f>
        <v>Village</v>
      </c>
      <c r="DM257" s="554" t="str">
        <f>VLOOKUP(WWWW[[#This Row],[Site Name]],SiteDB6[[Site Name]:[Type of Accommodation]],10,FALSE)</f>
        <v>Village</v>
      </c>
      <c r="DN257" s="554" t="str">
        <f>VLOOKUP(WWWW[[#This Row],[Site Name]],SiteDB6[[Site Name]:[Ethnic or GCA/NGCA]],11,FALSE)</f>
        <v>Rakhine</v>
      </c>
      <c r="DO257" s="554">
        <f>VLOOKUP(WWWW[[#This Row],[Site Name]],SiteDB6[[Site Name]:[Lat]],12,FALSE)</f>
        <v>20.2023601531982</v>
      </c>
      <c r="DP257" s="554">
        <f>VLOOKUP(WWWW[[#This Row],[Site Name]],SiteDB6[[Site Name]:[Long]],13,FALSE)</f>
        <v>92.812782287597699</v>
      </c>
      <c r="DQ257" s="554">
        <f>VLOOKUP(WWWW[[#This Row],[Site Name]],SiteDB6[[Site Name]:[Pcode]],3,FALSE)</f>
        <v>196159</v>
      </c>
      <c r="DR257" s="563" t="str">
        <f t="shared" si="8"/>
        <v>Covered</v>
      </c>
      <c r="DS257" s="563"/>
    </row>
    <row r="258" spans="1:123">
      <c r="A258" s="552" t="s">
        <v>2518</v>
      </c>
      <c r="B258" s="552" t="s">
        <v>332</v>
      </c>
      <c r="C258" s="555" t="s">
        <v>332</v>
      </c>
      <c r="D258" s="555" t="s">
        <v>325</v>
      </c>
      <c r="E258" s="574" t="s">
        <v>3006</v>
      </c>
      <c r="F258" s="555" t="s">
        <v>313</v>
      </c>
      <c r="G258" s="574" t="str">
        <f>VLOOKUP(WWWW[[#This Row],[Site Name]],SiteDB6[[Site Name]:[Location Type]],8,FALSE)</f>
        <v>Village</v>
      </c>
      <c r="H258" s="555" t="s">
        <v>2886</v>
      </c>
      <c r="I258" s="557">
        <v>266</v>
      </c>
      <c r="J258" s="557">
        <v>1416</v>
      </c>
      <c r="K258" s="564">
        <v>42736</v>
      </c>
      <c r="L258" s="565">
        <v>44551</v>
      </c>
      <c r="M258" s="557"/>
      <c r="N258" s="557"/>
      <c r="O258" s="557"/>
      <c r="P258" s="557"/>
      <c r="Q258" s="556"/>
      <c r="R258" s="557"/>
      <c r="S258" s="557"/>
      <c r="T258" s="557"/>
      <c r="U258" s="557"/>
      <c r="V258" s="557"/>
      <c r="W258" s="557"/>
      <c r="X258" s="557"/>
      <c r="Y258" s="557"/>
      <c r="Z258" s="557"/>
      <c r="AA258" s="557"/>
      <c r="AB258" s="557"/>
      <c r="AC258" s="557"/>
      <c r="AD258" s="557"/>
      <c r="AE258" s="557"/>
      <c r="AF258" s="557"/>
      <c r="AG258" s="557"/>
      <c r="AH258" s="557"/>
      <c r="AI258" s="557"/>
      <c r="AJ258" s="557"/>
      <c r="AK258" s="557"/>
      <c r="AL258" s="557"/>
      <c r="AM258" s="557"/>
      <c r="AN258" s="557"/>
      <c r="AO258" s="563"/>
      <c r="AP258" s="557"/>
      <c r="AQ258" s="557"/>
      <c r="AR258" s="559"/>
      <c r="AS258" s="557"/>
      <c r="AT258" s="557"/>
      <c r="AU258" s="557"/>
      <c r="AV258" s="557"/>
      <c r="AW258" s="557"/>
      <c r="AX258" s="554"/>
      <c r="AY258" s="563"/>
      <c r="AZ258" s="557"/>
      <c r="BA258" s="557"/>
      <c r="BB258" s="557"/>
      <c r="BC258" s="554"/>
      <c r="BD258" s="557"/>
      <c r="BE258" s="557"/>
      <c r="BF258" s="557"/>
      <c r="BG258" s="557"/>
      <c r="BH258" s="557"/>
      <c r="BI258" s="557"/>
      <c r="BJ258" s="557"/>
      <c r="BK258" s="557"/>
      <c r="BL258" s="557"/>
      <c r="BM258" s="554"/>
      <c r="BN258" s="558"/>
      <c r="BO258" s="559"/>
      <c r="BP258" s="554"/>
      <c r="BQ258" s="560" t="str">
        <f>IFERROR(WWWW[[#This Row],['#_Water sources treated]]/WWWW[[#This Row],['#_Water sources tested for contamination]],"no test")</f>
        <v>no test</v>
      </c>
      <c r="BR258" s="559" t="str">
        <f>IFERROR(WWWW[[#This Row],['#_Household received remediation action due to contamination]]/WWWW[[#This Row],['#_Household water samples tested for contamination]],"no test")</f>
        <v>no test</v>
      </c>
      <c r="BS258" s="558" t="str">
        <f>IF(AND(WWWW[[#This Row],[% of water sources treated]]="no test",WWWW[[#This Row],[% Household received corrective actions]]="no test"),"No Test","Tested")</f>
        <v>No Test</v>
      </c>
      <c r="BT258" s="558">
        <f>WWWW[[#This Row],['#_Constructed/existing protected hand dug well]]-WWWW[[#This Row],['#_Non-functional protected hand dug well]]</f>
        <v>0</v>
      </c>
      <c r="BU258" s="558">
        <f>(WWWW[[#This Row],['#_Constructed/Existing tube wells/boreholes/handpumps_WASH_agency]]+WWWW[[#This Row],['#_Non-Cluster partner water tube-wells/boreholes/handpumps]])-WWWW[[#This Row],['#_Non-functional tube wells/boreholes/handpumps]]</f>
        <v>0</v>
      </c>
      <c r="BV258" s="558">
        <f>WWWW[[#This Row],['#_Constructed/Existingwater storage tank with gravity fed reticulation system]]-WWWW[[#This Row],['#_Non-functional storage tank gravity fed reticulation system]]</f>
        <v>0</v>
      </c>
      <c r="BW258" s="558">
        <f>WWWW[[#This Row],['#_Water boating or water trucking]]</f>
        <v>0</v>
      </c>
      <c r="BX258" s="558">
        <f>WWWW[[#This Row],['#_Constructed/Existing water distribution system from river or natural spring]]</f>
        <v>0</v>
      </c>
      <c r="BY25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8" s="559">
        <f>IF(WWWW[[#This Row],[Location Type 1]]="Village",WWWW[[#This Row],[Access to safe drinking water for Village]],WWWW[[#This Row],[Access to safe drinking water for Camp]])</f>
        <v>0</v>
      </c>
      <c r="CB258" s="556">
        <f>WWWW[[#This Row],[%Equitable and continuous access to sufficient quantity of safe drinking water]]*WWWW[[#This Row],[Total PoP ]]</f>
        <v>0</v>
      </c>
      <c r="CC258" s="559">
        <f>IF((WWWW[[#This Row],['#_Constructed/Existing protected/fenced ponds]]*250)/WWWW[[#This Row],[Total PoP ]]&gt;1,1,(WWWW[[#This Row],['#_Constructed/Existing protected/fenced ponds]]*250)/WWWW[[#This Row],[Total PoP ]])</f>
        <v>0</v>
      </c>
      <c r="CD258" s="556">
        <f>WWWW[[#This Row],[% Access to unimproved water points]]*WWWW[[#This Row],[Total PoP ]]</f>
        <v>0</v>
      </c>
      <c r="CE25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8" s="556">
        <f>WWWW[[#This Row],[HRP1]]/500</f>
        <v>0</v>
      </c>
      <c r="CH258" s="561">
        <f>1-WWWW[[#This Row],[% Equitable and continuous access to sufficient quantity of domestic water]]</f>
        <v>1</v>
      </c>
      <c r="CI258" s="556">
        <f>WWWW[[#This Row],[%equitable and continuous access to sufficient quantity of safe drinking and domestic water''s GAP]]*WWWW[[#This Row],[Total PoP ]]</f>
        <v>1416</v>
      </c>
      <c r="CJ258" s="558">
        <f>IF(WWWW[[#This Row],[Total required water points]]-WWWW[[#This Row],['#Water points coverage]]&lt;0,0,WWWW[[#This Row],[Total required water points]]-WWWW[[#This Row],['#Water points coverage]])</f>
        <v>3</v>
      </c>
      <c r="CK258" s="558">
        <f>ROUND(IF(WWWW[[#This Row],[Total PoP ]]&lt;500,1,WWWW[[#This Row],[Total PoP ]]/500),0)</f>
        <v>3</v>
      </c>
      <c r="CL258" s="558">
        <f>(WWWW[[#This Row],['#_Constructed latrines_by_WASHAgencies]]+WWWW[[#This Row],['#_Non Cluster partner latrines]])-WWWW[[#This Row],['#_Non-functional latrines]]</f>
        <v>0</v>
      </c>
      <c r="CM25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8" s="558" t="str">
        <f>IF(WWWW[[#This Row],[Location Type 1]]="Village","NA",IF(WWWW[[#This Row],['#_Constructed/Existing latrines in TLS]]*50&gt;WWWW[[#This Row],['#_students at TLS_CFS]],WWWW[[#This Row],['#_students at TLS_CFS]],(WWWW[[#This Row],['#_Constructed/Existing latrines in TLS]]*50)))</f>
        <v>NA</v>
      </c>
      <c r="CQ258" s="558">
        <f>ROUND(IF(WWWW[[#This Row],[Location Type 1]]="camp",WWWW[[#This Row],[Total PoP ]]/20,IF(WWWW[[#This Row],[Location Type 1]]="Temporary Location",WWWW[[#This Row],[Total PoP ]]/50,(WWWW[[#This Row],[Total PoP ]]/6))),0)</f>
        <v>236</v>
      </c>
      <c r="CR258" s="558">
        <f>IF(WWWW[[#This Row],[Total required Latrines]]-(WWWW[[#This Row],['#_Constructed latrines_by_WASHAgencies]]+WWWW[[#This Row],['#_Non Cluster partner latrines]])&lt;0,0,WWWW[[#This Row],[Total required Latrines]]-(WWWW[[#This Row],['#_Constructed latrines_by_WASHAgencies]]+WWWW[[#This Row],['#_Non Cluster partner latrines]]))</f>
        <v>236</v>
      </c>
      <c r="CS258" s="78">
        <f>1-WWWW[[#This Row],[% people access to functioning Latrine]]</f>
        <v>1</v>
      </c>
      <c r="CT258" s="560">
        <f>IF(OR(WWWW[[#This Row],['#_Non-functional latrines]]="",WWWW[[#This Row],['#_Non-functional latrines]]=0),0,WWWW[[#This Row],['#_Non-functional latrines]]/(WWWW[[#This Row],['#_Constructed latrines_by_WASHAgencies]]+WWWW[[#This Row],['#_Non Cluster partner latrines]]))</f>
        <v>0</v>
      </c>
      <c r="CU258" s="556">
        <f>IF(500*(WWWW[[#This Row],['#_male hygiene promoters]]+WWWW[[#This Row],['#_female hygiene promoters]])&gt;WWWW[[#This Row],[Total PoP ]],WWWW[[#This Row],[Total PoP ]],500*(WWWW[[#This Row],['#_male hygiene promoters]]+WWWW[[#This Row],['#_female hygiene promoters]]))</f>
        <v>0</v>
      </c>
      <c r="CV25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8" s="558">
        <f>IF(WWWW[[#This Row],['# People with access to soap]]&gt;WWWW[[#This Row],['# People with access to Sanity Pads]],WWWW[[#This Row],['# People with access to soap]],WWWW[[#This Row],['# People with access to Sanity Pads]])</f>
        <v>0</v>
      </c>
      <c r="CY25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8" s="561">
        <f>IF(WWWW[[#This Row],[HRP3]]/WWWW[[#This Row],[Total PoP ]]&gt;100%,100%,WWWW[[#This Row],[HRP3]]/WWWW[[#This Row],[Total PoP ]])</f>
        <v>0</v>
      </c>
      <c r="DA258" s="560">
        <f>1-WWWW[[#This Row],[Hygiene Coverage%]]</f>
        <v>1</v>
      </c>
      <c r="DB258" s="559">
        <f>WWWW[[#This Row],['# people reached by regular dedicated hygiene promotion_5]]/WWWW[[#This Row],[Total PoP ]]</f>
        <v>0</v>
      </c>
      <c r="DC258" s="559">
        <f>IF(WWWW[[#This Row],['#_households that received standard amount of soap for this quarter]]/WWWW[[#This Row],[Total HH]]&gt;1,1,WWWW[[#This Row],['#_households that received standard amount of soap for this quarter]]/WWWW[[#This Row],[Total HH]])</f>
        <v>0</v>
      </c>
      <c r="DD258" s="559">
        <f>IF(WWWW[[#This Row],['#_households that received standard amount of sanitary pads for this quarter]]/WWWW[[#This Row],[Total HH]]&gt;1,1,WWWW[[#This Row],['#_households that received standard amount of sanitary pads for this quarter]]/WWWW[[#This Row],[Total HH]])</f>
        <v>0</v>
      </c>
      <c r="DE258" s="558">
        <f>WWWW[[#This Row],['#_Constructed/Existing hand washing stations]]-WWWW[[#This Row],['#_Non-Functional_hand_washing_stations]]</f>
        <v>0</v>
      </c>
      <c r="DF258" s="757">
        <f>IF(WWWW[[#This Row],['# Functional hand washing stations during reporting period]]*20&gt;WWWW[[#This Row],[Total HH]],WWWW[[#This Row],[Total HH]],WWWW[[#This Row],['# Functional hand washing stations during reporting period]]*20)</f>
        <v>0</v>
      </c>
      <c r="DG258" s="556">
        <f>IF(WWWW[[#This Row],[Is sufficient soap available for TLS? (Yes/No)]]="yes",WWWW[[#This Row],['#_Constructed/Existing hand washing stations at TLS]],0)</f>
        <v>0</v>
      </c>
      <c r="DH258" s="556">
        <f>IF(WWWW[[#This Row],['# Functional hand washing stations during reporting period]]*100&gt;WWWW[[#This Row],[Total PoP ]],WWWW[[#This Row],[Total PoP ]],WWWW[[#This Row],['# Functional hand washing stations during reporting period]]*100)</f>
        <v>0</v>
      </c>
      <c r="DI258" s="556" t="str">
        <f>IF(OR(WWWW[[#This Row],['#_students at TLS_CFS]]="",WWWW[[#This Row],['#_students at TLS_CFS]]=0),"No","Yes")</f>
        <v>No</v>
      </c>
      <c r="DJ258" s="554">
        <f>VLOOKUP(WWWW[[#This Row],[Site Name]],SiteDB6[[Site Name]:[CCCM Management]],6,FALSE)</f>
        <v>0</v>
      </c>
      <c r="DK258" s="554">
        <f>VLOOKUP(WWWW[[#This Row],[Site Name]],SiteDB6[[Site Name]:[CCCM Focal Agency]],7,FALSE)</f>
        <v>0</v>
      </c>
      <c r="DL258" s="554" t="str">
        <f>VLOOKUP(WWWW[[#This Row],[Site Name]],SiteDB6[[Site Name]:[Location Type 1]],9,FALSE)</f>
        <v>Village</v>
      </c>
      <c r="DM258" s="554" t="str">
        <f>VLOOKUP(WWWW[[#This Row],[Site Name]],SiteDB6[[Site Name]:[Type of Accommodation]],10,FALSE)</f>
        <v>Village</v>
      </c>
      <c r="DN258" s="554">
        <f>VLOOKUP(WWWW[[#This Row],[Site Name]],SiteDB6[[Site Name]:[Ethnic or GCA/NGCA]],11,FALSE)</f>
        <v>0</v>
      </c>
      <c r="DO258" s="554">
        <f>VLOOKUP(WWWW[[#This Row],[Site Name]],SiteDB6[[Site Name]:[Lat]],12,FALSE)</f>
        <v>20.199499130248999</v>
      </c>
      <c r="DP258" s="554">
        <f>VLOOKUP(WWWW[[#This Row],[Site Name]],SiteDB6[[Site Name]:[Long]],13,FALSE)</f>
        <v>92.834327697753906</v>
      </c>
      <c r="DQ258" s="554">
        <f>VLOOKUP(WWWW[[#This Row],[Site Name]],SiteDB6[[Site Name]:[Pcode]],3,FALSE)</f>
        <v>196126</v>
      </c>
      <c r="DR258" s="563" t="str">
        <f t="shared" si="8"/>
        <v>Covered</v>
      </c>
      <c r="DS258" s="563"/>
    </row>
    <row r="259" spans="1:123">
      <c r="A259" s="552" t="s">
        <v>2518</v>
      </c>
      <c r="B259" s="552" t="s">
        <v>332</v>
      </c>
      <c r="C259" s="555" t="s">
        <v>332</v>
      </c>
      <c r="D259" s="555" t="s">
        <v>325</v>
      </c>
      <c r="E259" s="574" t="s">
        <v>3006</v>
      </c>
      <c r="F259" s="555" t="s">
        <v>313</v>
      </c>
      <c r="G259" s="574" t="str">
        <f>VLOOKUP(WWWW[[#This Row],[Site Name]],SiteDB6[[Site Name]:[Location Type]],8,FALSE)</f>
        <v>Village</v>
      </c>
      <c r="H259" s="555" t="s">
        <v>2887</v>
      </c>
      <c r="I259" s="557">
        <v>179</v>
      </c>
      <c r="J259" s="557">
        <v>853</v>
      </c>
      <c r="K259" s="564">
        <v>42736</v>
      </c>
      <c r="L259" s="565">
        <v>44551</v>
      </c>
      <c r="M259" s="557"/>
      <c r="N259" s="557"/>
      <c r="O259" s="557"/>
      <c r="P259" s="557"/>
      <c r="Q259" s="556"/>
      <c r="R259" s="557"/>
      <c r="S259" s="557"/>
      <c r="T259" s="557"/>
      <c r="U259" s="557"/>
      <c r="V259" s="557"/>
      <c r="W259" s="557"/>
      <c r="X259" s="557"/>
      <c r="Y259" s="557"/>
      <c r="Z259" s="557"/>
      <c r="AA259" s="557"/>
      <c r="AB259" s="557"/>
      <c r="AC259" s="557"/>
      <c r="AD259" s="557"/>
      <c r="AE259" s="557"/>
      <c r="AF259" s="557"/>
      <c r="AG259" s="557"/>
      <c r="AH259" s="557"/>
      <c r="AI259" s="557"/>
      <c r="AJ259" s="557"/>
      <c r="AK259" s="557"/>
      <c r="AL259" s="557"/>
      <c r="AM259" s="557"/>
      <c r="AN259" s="557"/>
      <c r="AO259" s="563"/>
      <c r="AP259" s="557"/>
      <c r="AQ259" s="557"/>
      <c r="AR259" s="559"/>
      <c r="AS259" s="557"/>
      <c r="AT259" s="557"/>
      <c r="AU259" s="557"/>
      <c r="AV259" s="557"/>
      <c r="AW259" s="557"/>
      <c r="AX259" s="554"/>
      <c r="AY259" s="563"/>
      <c r="AZ259" s="557"/>
      <c r="BA259" s="557"/>
      <c r="BB259" s="557"/>
      <c r="BC259" s="554"/>
      <c r="BD259" s="557"/>
      <c r="BE259" s="557"/>
      <c r="BF259" s="557"/>
      <c r="BG259" s="557"/>
      <c r="BH259" s="557"/>
      <c r="BI259" s="557"/>
      <c r="BJ259" s="557"/>
      <c r="BK259" s="557"/>
      <c r="BL259" s="557"/>
      <c r="BM259" s="554"/>
      <c r="BN259" s="558"/>
      <c r="BO259" s="559"/>
      <c r="BP259" s="554"/>
      <c r="BQ259" s="560" t="str">
        <f>IFERROR(WWWW[[#This Row],['#_Water sources treated]]/WWWW[[#This Row],['#_Water sources tested for contamination]],"no test")</f>
        <v>no test</v>
      </c>
      <c r="BR259" s="559" t="str">
        <f>IFERROR(WWWW[[#This Row],['#_Household received remediation action due to contamination]]/WWWW[[#This Row],['#_Household water samples tested for contamination]],"no test")</f>
        <v>no test</v>
      </c>
      <c r="BS259" s="558" t="str">
        <f>IF(AND(WWWW[[#This Row],[% of water sources treated]]="no test",WWWW[[#This Row],[% Household received corrective actions]]="no test"),"No Test","Tested")</f>
        <v>No Test</v>
      </c>
      <c r="BT259" s="558">
        <f>WWWW[[#This Row],['#_Constructed/existing protected hand dug well]]-WWWW[[#This Row],['#_Non-functional protected hand dug well]]</f>
        <v>0</v>
      </c>
      <c r="BU259" s="558">
        <f>(WWWW[[#This Row],['#_Constructed/Existing tube wells/boreholes/handpumps_WASH_agency]]+WWWW[[#This Row],['#_Non-Cluster partner water tube-wells/boreholes/handpumps]])-WWWW[[#This Row],['#_Non-functional tube wells/boreholes/handpumps]]</f>
        <v>0</v>
      </c>
      <c r="BV259" s="558">
        <f>WWWW[[#This Row],['#_Constructed/Existingwater storage tank with gravity fed reticulation system]]-WWWW[[#This Row],['#_Non-functional storage tank gravity fed reticulation system]]</f>
        <v>0</v>
      </c>
      <c r="BW259" s="558">
        <f>WWWW[[#This Row],['#_Water boating or water trucking]]</f>
        <v>0</v>
      </c>
      <c r="BX259" s="558">
        <f>WWWW[[#This Row],['#_Constructed/Existing water distribution system from river or natural spring]]</f>
        <v>0</v>
      </c>
      <c r="BY25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5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59" s="559">
        <f>IF(WWWW[[#This Row],[Location Type 1]]="Village",WWWW[[#This Row],[Access to safe drinking water for Village]],WWWW[[#This Row],[Access to safe drinking water for Camp]])</f>
        <v>0</v>
      </c>
      <c r="CB259" s="556">
        <f>WWWW[[#This Row],[%Equitable and continuous access to sufficient quantity of safe drinking water]]*WWWW[[#This Row],[Total PoP ]]</f>
        <v>0</v>
      </c>
      <c r="CC259" s="559">
        <f>IF((WWWW[[#This Row],['#_Constructed/Existing protected/fenced ponds]]*250)/WWWW[[#This Row],[Total PoP ]]&gt;1,1,(WWWW[[#This Row],['#_Constructed/Existing protected/fenced ponds]]*250)/WWWW[[#This Row],[Total PoP ]])</f>
        <v>0</v>
      </c>
      <c r="CD259" s="556">
        <f>WWWW[[#This Row],[% Access to unimproved water points]]*WWWW[[#This Row],[Total PoP ]]</f>
        <v>0</v>
      </c>
      <c r="CE25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5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59" s="556">
        <f>WWWW[[#This Row],[HRP1]]/500</f>
        <v>0</v>
      </c>
      <c r="CH259" s="561">
        <f>1-WWWW[[#This Row],[% Equitable and continuous access to sufficient quantity of domestic water]]</f>
        <v>1</v>
      </c>
      <c r="CI259" s="556">
        <f>WWWW[[#This Row],[%equitable and continuous access to sufficient quantity of safe drinking and domestic water''s GAP]]*WWWW[[#This Row],[Total PoP ]]</f>
        <v>853</v>
      </c>
      <c r="CJ259" s="558">
        <f>IF(WWWW[[#This Row],[Total required water points]]-WWWW[[#This Row],['#Water points coverage]]&lt;0,0,WWWW[[#This Row],[Total required water points]]-WWWW[[#This Row],['#Water points coverage]])</f>
        <v>2</v>
      </c>
      <c r="CK259" s="558">
        <f>ROUND(IF(WWWW[[#This Row],[Total PoP ]]&lt;500,1,WWWW[[#This Row],[Total PoP ]]/500),0)</f>
        <v>2</v>
      </c>
      <c r="CL259" s="558">
        <f>(WWWW[[#This Row],['#_Constructed latrines_by_WASHAgencies]]+WWWW[[#This Row],['#_Non Cluster partner latrines]])-WWWW[[#This Row],['#_Non-functional latrines]]</f>
        <v>0</v>
      </c>
      <c r="CM25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5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5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59" s="558" t="str">
        <f>IF(WWWW[[#This Row],[Location Type 1]]="Village","NA",IF(WWWW[[#This Row],['#_Constructed/Existing latrines in TLS]]*50&gt;WWWW[[#This Row],['#_students at TLS_CFS]],WWWW[[#This Row],['#_students at TLS_CFS]],(WWWW[[#This Row],['#_Constructed/Existing latrines in TLS]]*50)))</f>
        <v>NA</v>
      </c>
      <c r="CQ259" s="558">
        <f>ROUND(IF(WWWW[[#This Row],[Location Type 1]]="camp",WWWW[[#This Row],[Total PoP ]]/20,IF(WWWW[[#This Row],[Location Type 1]]="Temporary Location",WWWW[[#This Row],[Total PoP ]]/50,(WWWW[[#This Row],[Total PoP ]]/6))),0)</f>
        <v>142</v>
      </c>
      <c r="CR259" s="558">
        <f>IF(WWWW[[#This Row],[Total required Latrines]]-(WWWW[[#This Row],['#_Constructed latrines_by_WASHAgencies]]+WWWW[[#This Row],['#_Non Cluster partner latrines]])&lt;0,0,WWWW[[#This Row],[Total required Latrines]]-(WWWW[[#This Row],['#_Constructed latrines_by_WASHAgencies]]+WWWW[[#This Row],['#_Non Cluster partner latrines]]))</f>
        <v>142</v>
      </c>
      <c r="CS259" s="78">
        <f>1-WWWW[[#This Row],[% people access to functioning Latrine]]</f>
        <v>1</v>
      </c>
      <c r="CT259" s="560">
        <f>IF(OR(WWWW[[#This Row],['#_Non-functional latrines]]="",WWWW[[#This Row],['#_Non-functional latrines]]=0),0,WWWW[[#This Row],['#_Non-functional latrines]]/(WWWW[[#This Row],['#_Constructed latrines_by_WASHAgencies]]+WWWW[[#This Row],['#_Non Cluster partner latrines]]))</f>
        <v>0</v>
      </c>
      <c r="CU259" s="556">
        <f>IF(500*(WWWW[[#This Row],['#_male hygiene promoters]]+WWWW[[#This Row],['#_female hygiene promoters]])&gt;WWWW[[#This Row],[Total PoP ]],WWWW[[#This Row],[Total PoP ]],500*(WWWW[[#This Row],['#_male hygiene promoters]]+WWWW[[#This Row],['#_female hygiene promoters]]))</f>
        <v>0</v>
      </c>
      <c r="CV25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5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59" s="558">
        <f>IF(WWWW[[#This Row],['# People with access to soap]]&gt;WWWW[[#This Row],['# People with access to Sanity Pads]],WWWW[[#This Row],['# People with access to soap]],WWWW[[#This Row],['# People with access to Sanity Pads]])</f>
        <v>0</v>
      </c>
      <c r="CY25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59" s="561">
        <f>IF(WWWW[[#This Row],[HRP3]]/WWWW[[#This Row],[Total PoP ]]&gt;100%,100%,WWWW[[#This Row],[HRP3]]/WWWW[[#This Row],[Total PoP ]])</f>
        <v>0</v>
      </c>
      <c r="DA259" s="560">
        <f>1-WWWW[[#This Row],[Hygiene Coverage%]]</f>
        <v>1</v>
      </c>
      <c r="DB259" s="559">
        <f>WWWW[[#This Row],['# people reached by regular dedicated hygiene promotion_5]]/WWWW[[#This Row],[Total PoP ]]</f>
        <v>0</v>
      </c>
      <c r="DC259" s="559">
        <f>IF(WWWW[[#This Row],['#_households that received standard amount of soap for this quarter]]/WWWW[[#This Row],[Total HH]]&gt;1,1,WWWW[[#This Row],['#_households that received standard amount of soap for this quarter]]/WWWW[[#This Row],[Total HH]])</f>
        <v>0</v>
      </c>
      <c r="DD259" s="559">
        <f>IF(WWWW[[#This Row],['#_households that received standard amount of sanitary pads for this quarter]]/WWWW[[#This Row],[Total HH]]&gt;1,1,WWWW[[#This Row],['#_households that received standard amount of sanitary pads for this quarter]]/WWWW[[#This Row],[Total HH]])</f>
        <v>0</v>
      </c>
      <c r="DE259" s="558">
        <f>WWWW[[#This Row],['#_Constructed/Existing hand washing stations]]-WWWW[[#This Row],['#_Non-Functional_hand_washing_stations]]</f>
        <v>0</v>
      </c>
      <c r="DF259" s="757">
        <f>IF(WWWW[[#This Row],['# Functional hand washing stations during reporting period]]*20&gt;WWWW[[#This Row],[Total HH]],WWWW[[#This Row],[Total HH]],WWWW[[#This Row],['# Functional hand washing stations during reporting period]]*20)</f>
        <v>0</v>
      </c>
      <c r="DG259" s="556">
        <f>IF(WWWW[[#This Row],[Is sufficient soap available for TLS? (Yes/No)]]="yes",WWWW[[#This Row],['#_Constructed/Existing hand washing stations at TLS]],0)</f>
        <v>0</v>
      </c>
      <c r="DH259" s="556">
        <f>IF(WWWW[[#This Row],['# Functional hand washing stations during reporting period]]*100&gt;WWWW[[#This Row],[Total PoP ]],WWWW[[#This Row],[Total PoP ]],WWWW[[#This Row],['# Functional hand washing stations during reporting period]]*100)</f>
        <v>0</v>
      </c>
      <c r="DI259" s="556" t="str">
        <f>IF(OR(WWWW[[#This Row],['#_students at TLS_CFS]]="",WWWW[[#This Row],['#_students at TLS_CFS]]=0),"No","Yes")</f>
        <v>No</v>
      </c>
      <c r="DJ259" s="554">
        <f>VLOOKUP(WWWW[[#This Row],[Site Name]],SiteDB6[[Site Name]:[CCCM Management]],6,FALSE)</f>
        <v>0</v>
      </c>
      <c r="DK259" s="554">
        <f>VLOOKUP(WWWW[[#This Row],[Site Name]],SiteDB6[[Site Name]:[CCCM Focal Agency]],7,FALSE)</f>
        <v>0</v>
      </c>
      <c r="DL259" s="554" t="str">
        <f>VLOOKUP(WWWW[[#This Row],[Site Name]],SiteDB6[[Site Name]:[Location Type 1]],9,FALSE)</f>
        <v>Village</v>
      </c>
      <c r="DM259" s="554" t="str">
        <f>VLOOKUP(WWWW[[#This Row],[Site Name]],SiteDB6[[Site Name]:[Type of Accommodation]],10,FALSE)</f>
        <v>Village</v>
      </c>
      <c r="DN259" s="554">
        <f>VLOOKUP(WWWW[[#This Row],[Site Name]],SiteDB6[[Site Name]:[Ethnic or GCA/NGCA]],11,FALSE)</f>
        <v>0</v>
      </c>
      <c r="DO259" s="554">
        <f>VLOOKUP(WWWW[[#This Row],[Site Name]],SiteDB6[[Site Name]:[Lat]],12,FALSE)</f>
        <v>20.194370269775401</v>
      </c>
      <c r="DP259" s="554">
        <f>VLOOKUP(WWWW[[#This Row],[Site Name]],SiteDB6[[Site Name]:[Long]],13,FALSE)</f>
        <v>92.834007263183594</v>
      </c>
      <c r="DQ259" s="554">
        <f>VLOOKUP(WWWW[[#This Row],[Site Name]],SiteDB6[[Site Name]:[Pcode]],3,FALSE)</f>
        <v>196128</v>
      </c>
      <c r="DR259" s="563" t="str">
        <f t="shared" si="8"/>
        <v>Covered</v>
      </c>
      <c r="DS259" s="563"/>
    </row>
    <row r="260" spans="1:123">
      <c r="A260" s="552" t="s">
        <v>2518</v>
      </c>
      <c r="B260" s="552" t="s">
        <v>332</v>
      </c>
      <c r="C260" s="555" t="s">
        <v>332</v>
      </c>
      <c r="D260" s="555" t="s">
        <v>325</v>
      </c>
      <c r="E260" s="574" t="s">
        <v>3006</v>
      </c>
      <c r="F260" s="555" t="s">
        <v>313</v>
      </c>
      <c r="G260" s="574" t="str">
        <f>VLOOKUP(WWWW[[#This Row],[Site Name]],SiteDB6[[Site Name]:[Location Type]],8,FALSE)</f>
        <v>Village</v>
      </c>
      <c r="H260" s="555" t="s">
        <v>2888</v>
      </c>
      <c r="I260" s="557">
        <v>241</v>
      </c>
      <c r="J260" s="557">
        <v>1027</v>
      </c>
      <c r="K260" s="564">
        <v>42736</v>
      </c>
      <c r="L260" s="565">
        <v>44551</v>
      </c>
      <c r="M260" s="557"/>
      <c r="N260" s="557"/>
      <c r="O260" s="557"/>
      <c r="P260" s="557"/>
      <c r="Q260" s="556"/>
      <c r="R260" s="557"/>
      <c r="S260" s="557"/>
      <c r="T260" s="557"/>
      <c r="U260" s="557"/>
      <c r="V260" s="557"/>
      <c r="W260" s="557"/>
      <c r="X260" s="557"/>
      <c r="Y260" s="557"/>
      <c r="Z260" s="557"/>
      <c r="AA260" s="557"/>
      <c r="AB260" s="557"/>
      <c r="AC260" s="557"/>
      <c r="AD260" s="557"/>
      <c r="AE260" s="557"/>
      <c r="AF260" s="557"/>
      <c r="AG260" s="557"/>
      <c r="AH260" s="557"/>
      <c r="AI260" s="557"/>
      <c r="AJ260" s="557"/>
      <c r="AK260" s="557"/>
      <c r="AL260" s="557"/>
      <c r="AM260" s="557"/>
      <c r="AN260" s="557"/>
      <c r="AO260" s="563"/>
      <c r="AP260" s="557"/>
      <c r="AQ260" s="557"/>
      <c r="AR260" s="559"/>
      <c r="AS260" s="557"/>
      <c r="AT260" s="557"/>
      <c r="AU260" s="557"/>
      <c r="AV260" s="557"/>
      <c r="AW260" s="557"/>
      <c r="AX260" s="554"/>
      <c r="AY260" s="563"/>
      <c r="AZ260" s="557"/>
      <c r="BA260" s="557"/>
      <c r="BB260" s="557"/>
      <c r="BC260" s="554"/>
      <c r="BD260" s="557"/>
      <c r="BE260" s="557"/>
      <c r="BF260" s="557"/>
      <c r="BG260" s="557"/>
      <c r="BH260" s="557"/>
      <c r="BI260" s="557"/>
      <c r="BJ260" s="557"/>
      <c r="BK260" s="557"/>
      <c r="BL260" s="557"/>
      <c r="BM260" s="554"/>
      <c r="BN260" s="558"/>
      <c r="BO260" s="559"/>
      <c r="BP260" s="554"/>
      <c r="BQ260" s="560" t="str">
        <f>IFERROR(WWWW[[#This Row],['#_Water sources treated]]/WWWW[[#This Row],['#_Water sources tested for contamination]],"no test")</f>
        <v>no test</v>
      </c>
      <c r="BR260" s="559" t="str">
        <f>IFERROR(WWWW[[#This Row],['#_Household received remediation action due to contamination]]/WWWW[[#This Row],['#_Household water samples tested for contamination]],"no test")</f>
        <v>no test</v>
      </c>
      <c r="BS260" s="558" t="str">
        <f>IF(AND(WWWW[[#This Row],[% of water sources treated]]="no test",WWWW[[#This Row],[% Household received corrective actions]]="no test"),"No Test","Tested")</f>
        <v>No Test</v>
      </c>
      <c r="BT260" s="558">
        <f>WWWW[[#This Row],['#_Constructed/existing protected hand dug well]]-WWWW[[#This Row],['#_Non-functional protected hand dug well]]</f>
        <v>0</v>
      </c>
      <c r="BU260" s="558">
        <f>(WWWW[[#This Row],['#_Constructed/Existing tube wells/boreholes/handpumps_WASH_agency]]+WWWW[[#This Row],['#_Non-Cluster partner water tube-wells/boreholes/handpumps]])-WWWW[[#This Row],['#_Non-functional tube wells/boreholes/handpumps]]</f>
        <v>0</v>
      </c>
      <c r="BV260" s="558">
        <f>WWWW[[#This Row],['#_Constructed/Existingwater storage tank with gravity fed reticulation system]]-WWWW[[#This Row],['#_Non-functional storage tank gravity fed reticulation system]]</f>
        <v>0</v>
      </c>
      <c r="BW260" s="558">
        <f>WWWW[[#This Row],['#_Water boating or water trucking]]</f>
        <v>0</v>
      </c>
      <c r="BX260" s="558">
        <f>WWWW[[#This Row],['#_Constructed/Existing water distribution system from river or natural spring]]</f>
        <v>0</v>
      </c>
      <c r="BY26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0" s="559">
        <f>IF(WWWW[[#This Row],[Location Type 1]]="Village",WWWW[[#This Row],[Access to safe drinking water for Village]],WWWW[[#This Row],[Access to safe drinking water for Camp]])</f>
        <v>0</v>
      </c>
      <c r="CB260" s="556">
        <f>WWWW[[#This Row],[%Equitable and continuous access to sufficient quantity of safe drinking water]]*WWWW[[#This Row],[Total PoP ]]</f>
        <v>0</v>
      </c>
      <c r="CC260" s="559">
        <f>IF((WWWW[[#This Row],['#_Constructed/Existing protected/fenced ponds]]*250)/WWWW[[#This Row],[Total PoP ]]&gt;1,1,(WWWW[[#This Row],['#_Constructed/Existing protected/fenced ponds]]*250)/WWWW[[#This Row],[Total PoP ]])</f>
        <v>0</v>
      </c>
      <c r="CD260" s="556">
        <f>WWWW[[#This Row],[% Access to unimproved water points]]*WWWW[[#This Row],[Total PoP ]]</f>
        <v>0</v>
      </c>
      <c r="CE26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0" s="556">
        <f>WWWW[[#This Row],[HRP1]]/500</f>
        <v>0</v>
      </c>
      <c r="CH260" s="561">
        <f>1-WWWW[[#This Row],[% Equitable and continuous access to sufficient quantity of domestic water]]</f>
        <v>1</v>
      </c>
      <c r="CI260" s="556">
        <f>WWWW[[#This Row],[%equitable and continuous access to sufficient quantity of safe drinking and domestic water''s GAP]]*WWWW[[#This Row],[Total PoP ]]</f>
        <v>1027</v>
      </c>
      <c r="CJ260" s="558">
        <f>IF(WWWW[[#This Row],[Total required water points]]-WWWW[[#This Row],['#Water points coverage]]&lt;0,0,WWWW[[#This Row],[Total required water points]]-WWWW[[#This Row],['#Water points coverage]])</f>
        <v>2</v>
      </c>
      <c r="CK260" s="558">
        <f>ROUND(IF(WWWW[[#This Row],[Total PoP ]]&lt;500,1,WWWW[[#This Row],[Total PoP ]]/500),0)</f>
        <v>2</v>
      </c>
      <c r="CL260" s="558">
        <f>(WWWW[[#This Row],['#_Constructed latrines_by_WASHAgencies]]+WWWW[[#This Row],['#_Non Cluster partner latrines]])-WWWW[[#This Row],['#_Non-functional latrines]]</f>
        <v>0</v>
      </c>
      <c r="CM26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0" s="558" t="str">
        <f>IF(WWWW[[#This Row],[Location Type 1]]="Village","NA",IF(WWWW[[#This Row],['#_Constructed/Existing latrines in TLS]]*50&gt;WWWW[[#This Row],['#_students at TLS_CFS]],WWWW[[#This Row],['#_students at TLS_CFS]],(WWWW[[#This Row],['#_Constructed/Existing latrines in TLS]]*50)))</f>
        <v>NA</v>
      </c>
      <c r="CQ260" s="558">
        <f>ROUND(IF(WWWW[[#This Row],[Location Type 1]]="camp",WWWW[[#This Row],[Total PoP ]]/20,IF(WWWW[[#This Row],[Location Type 1]]="Temporary Location",WWWW[[#This Row],[Total PoP ]]/50,(WWWW[[#This Row],[Total PoP ]]/6))),0)</f>
        <v>171</v>
      </c>
      <c r="CR260" s="558">
        <f>IF(WWWW[[#This Row],[Total required Latrines]]-(WWWW[[#This Row],['#_Constructed latrines_by_WASHAgencies]]+WWWW[[#This Row],['#_Non Cluster partner latrines]])&lt;0,0,WWWW[[#This Row],[Total required Latrines]]-(WWWW[[#This Row],['#_Constructed latrines_by_WASHAgencies]]+WWWW[[#This Row],['#_Non Cluster partner latrines]]))</f>
        <v>171</v>
      </c>
      <c r="CS260" s="78">
        <f>1-WWWW[[#This Row],[% people access to functioning Latrine]]</f>
        <v>1</v>
      </c>
      <c r="CT260" s="560">
        <f>IF(OR(WWWW[[#This Row],['#_Non-functional latrines]]="",WWWW[[#This Row],['#_Non-functional latrines]]=0),0,WWWW[[#This Row],['#_Non-functional latrines]]/(WWWW[[#This Row],['#_Constructed latrines_by_WASHAgencies]]+WWWW[[#This Row],['#_Non Cluster partner latrines]]))</f>
        <v>0</v>
      </c>
      <c r="CU260" s="556">
        <f>IF(500*(WWWW[[#This Row],['#_male hygiene promoters]]+WWWW[[#This Row],['#_female hygiene promoters]])&gt;WWWW[[#This Row],[Total PoP ]],WWWW[[#This Row],[Total PoP ]],500*(WWWW[[#This Row],['#_male hygiene promoters]]+WWWW[[#This Row],['#_female hygiene promoters]]))</f>
        <v>0</v>
      </c>
      <c r="CV26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0" s="558">
        <f>IF(WWWW[[#This Row],['# People with access to soap]]&gt;WWWW[[#This Row],['# People with access to Sanity Pads]],WWWW[[#This Row],['# People with access to soap]],WWWW[[#This Row],['# People with access to Sanity Pads]])</f>
        <v>0</v>
      </c>
      <c r="CY26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0" s="561">
        <f>IF(WWWW[[#This Row],[HRP3]]/WWWW[[#This Row],[Total PoP ]]&gt;100%,100%,WWWW[[#This Row],[HRP3]]/WWWW[[#This Row],[Total PoP ]])</f>
        <v>0</v>
      </c>
      <c r="DA260" s="560">
        <f>1-WWWW[[#This Row],[Hygiene Coverage%]]</f>
        <v>1</v>
      </c>
      <c r="DB260" s="559">
        <f>WWWW[[#This Row],['# people reached by regular dedicated hygiene promotion_5]]/WWWW[[#This Row],[Total PoP ]]</f>
        <v>0</v>
      </c>
      <c r="DC260" s="559">
        <f>IF(WWWW[[#This Row],['#_households that received standard amount of soap for this quarter]]/WWWW[[#This Row],[Total HH]]&gt;1,1,WWWW[[#This Row],['#_households that received standard amount of soap for this quarter]]/WWWW[[#This Row],[Total HH]])</f>
        <v>0</v>
      </c>
      <c r="DD260" s="559">
        <f>IF(WWWW[[#This Row],['#_households that received standard amount of sanitary pads for this quarter]]/WWWW[[#This Row],[Total HH]]&gt;1,1,WWWW[[#This Row],['#_households that received standard amount of sanitary pads for this quarter]]/WWWW[[#This Row],[Total HH]])</f>
        <v>0</v>
      </c>
      <c r="DE260" s="558">
        <f>WWWW[[#This Row],['#_Constructed/Existing hand washing stations]]-WWWW[[#This Row],['#_Non-Functional_hand_washing_stations]]</f>
        <v>0</v>
      </c>
      <c r="DF260" s="757">
        <f>IF(WWWW[[#This Row],['# Functional hand washing stations during reporting period]]*20&gt;WWWW[[#This Row],[Total HH]],WWWW[[#This Row],[Total HH]],WWWW[[#This Row],['# Functional hand washing stations during reporting period]]*20)</f>
        <v>0</v>
      </c>
      <c r="DG260" s="556">
        <f>IF(WWWW[[#This Row],[Is sufficient soap available for TLS? (Yes/No)]]="yes",WWWW[[#This Row],['#_Constructed/Existing hand washing stations at TLS]],0)</f>
        <v>0</v>
      </c>
      <c r="DH260" s="556">
        <f>IF(WWWW[[#This Row],['# Functional hand washing stations during reporting period]]*100&gt;WWWW[[#This Row],[Total PoP ]],WWWW[[#This Row],[Total PoP ]],WWWW[[#This Row],['# Functional hand washing stations during reporting period]]*100)</f>
        <v>0</v>
      </c>
      <c r="DI260" s="556" t="str">
        <f>IF(OR(WWWW[[#This Row],['#_students at TLS_CFS]]="",WWWW[[#This Row],['#_students at TLS_CFS]]=0),"No","Yes")</f>
        <v>No</v>
      </c>
      <c r="DJ260" s="554">
        <f>VLOOKUP(WWWW[[#This Row],[Site Name]],SiteDB6[[Site Name]:[CCCM Management]],6,FALSE)</f>
        <v>0</v>
      </c>
      <c r="DK260" s="554">
        <f>VLOOKUP(WWWW[[#This Row],[Site Name]],SiteDB6[[Site Name]:[CCCM Focal Agency]],7,FALSE)</f>
        <v>0</v>
      </c>
      <c r="DL260" s="554" t="str">
        <f>VLOOKUP(WWWW[[#This Row],[Site Name]],SiteDB6[[Site Name]:[Location Type 1]],9,FALSE)</f>
        <v>Village</v>
      </c>
      <c r="DM260" s="554" t="str">
        <f>VLOOKUP(WWWW[[#This Row],[Site Name]],SiteDB6[[Site Name]:[Type of Accommodation]],10,FALSE)</f>
        <v>Village</v>
      </c>
      <c r="DN260" s="554">
        <f>VLOOKUP(WWWW[[#This Row],[Site Name]],SiteDB6[[Site Name]:[Ethnic or GCA/NGCA]],11,FALSE)</f>
        <v>0</v>
      </c>
      <c r="DO260" s="554">
        <f>VLOOKUP(WWWW[[#This Row],[Site Name]],SiteDB6[[Site Name]:[Lat]],12,FALSE)</f>
        <v>20.2105598449707</v>
      </c>
      <c r="DP260" s="554">
        <f>VLOOKUP(WWWW[[#This Row],[Site Name]],SiteDB6[[Site Name]:[Long]],13,FALSE)</f>
        <v>92.836456298828097</v>
      </c>
      <c r="DQ260" s="554">
        <f>VLOOKUP(WWWW[[#This Row],[Site Name]],SiteDB6[[Site Name]:[Pcode]],3,FALSE)</f>
        <v>196125</v>
      </c>
      <c r="DR260" s="563" t="str">
        <f t="shared" si="8"/>
        <v>Covered</v>
      </c>
      <c r="DS260" s="563"/>
    </row>
    <row r="261" spans="1:123">
      <c r="A261" s="552" t="s">
        <v>2518</v>
      </c>
      <c r="B261" s="552" t="s">
        <v>332</v>
      </c>
      <c r="C261" s="555" t="s">
        <v>332</v>
      </c>
      <c r="D261" s="555" t="s">
        <v>325</v>
      </c>
      <c r="E261" s="574" t="s">
        <v>3006</v>
      </c>
      <c r="F261" s="555" t="s">
        <v>313</v>
      </c>
      <c r="G261" s="574" t="str">
        <f>VLOOKUP(WWWW[[#This Row],[Site Name]],SiteDB6[[Site Name]:[Location Type]],8,FALSE)</f>
        <v>Village</v>
      </c>
      <c r="H261" s="555" t="s">
        <v>2889</v>
      </c>
      <c r="I261" s="557">
        <v>77</v>
      </c>
      <c r="J261" s="557">
        <v>370</v>
      </c>
      <c r="K261" s="564">
        <v>42736</v>
      </c>
      <c r="L261" s="565">
        <v>44551</v>
      </c>
      <c r="M261" s="557"/>
      <c r="N261" s="557"/>
      <c r="O261" s="557"/>
      <c r="P261" s="557"/>
      <c r="Q261" s="556"/>
      <c r="R261" s="557"/>
      <c r="S261" s="557"/>
      <c r="T261" s="557"/>
      <c r="U261" s="557"/>
      <c r="V261" s="557"/>
      <c r="W261" s="557"/>
      <c r="X261" s="557"/>
      <c r="Y261" s="557"/>
      <c r="Z261" s="557"/>
      <c r="AA261" s="557"/>
      <c r="AB261" s="557"/>
      <c r="AC261" s="557"/>
      <c r="AD261" s="557"/>
      <c r="AE261" s="557"/>
      <c r="AF261" s="557"/>
      <c r="AG261" s="557"/>
      <c r="AH261" s="557"/>
      <c r="AI261" s="557"/>
      <c r="AJ261" s="557"/>
      <c r="AK261" s="557"/>
      <c r="AL261" s="557"/>
      <c r="AM261" s="557"/>
      <c r="AN261" s="557"/>
      <c r="AO261" s="563"/>
      <c r="AP261" s="557"/>
      <c r="AQ261" s="557"/>
      <c r="AR261" s="559"/>
      <c r="AS261" s="557"/>
      <c r="AT261" s="557"/>
      <c r="AU261" s="557"/>
      <c r="AV261" s="557"/>
      <c r="AW261" s="557"/>
      <c r="AX261" s="554"/>
      <c r="AY261" s="563"/>
      <c r="AZ261" s="557"/>
      <c r="BA261" s="557"/>
      <c r="BB261" s="557"/>
      <c r="BC261" s="554"/>
      <c r="BD261" s="557"/>
      <c r="BE261" s="557"/>
      <c r="BF261" s="557"/>
      <c r="BG261" s="557"/>
      <c r="BH261" s="557"/>
      <c r="BI261" s="557"/>
      <c r="BJ261" s="557"/>
      <c r="BK261" s="557"/>
      <c r="BL261" s="557"/>
      <c r="BM261" s="554"/>
      <c r="BN261" s="558"/>
      <c r="BO261" s="559"/>
      <c r="BP261" s="554"/>
      <c r="BQ261" s="560" t="str">
        <f>IFERROR(WWWW[[#This Row],['#_Water sources treated]]/WWWW[[#This Row],['#_Water sources tested for contamination]],"no test")</f>
        <v>no test</v>
      </c>
      <c r="BR261" s="559" t="str">
        <f>IFERROR(WWWW[[#This Row],['#_Household received remediation action due to contamination]]/WWWW[[#This Row],['#_Household water samples tested for contamination]],"no test")</f>
        <v>no test</v>
      </c>
      <c r="BS261" s="558" t="str">
        <f>IF(AND(WWWW[[#This Row],[% of water sources treated]]="no test",WWWW[[#This Row],[% Household received corrective actions]]="no test"),"No Test","Tested")</f>
        <v>No Test</v>
      </c>
      <c r="BT261" s="558">
        <f>WWWW[[#This Row],['#_Constructed/existing protected hand dug well]]-WWWW[[#This Row],['#_Non-functional protected hand dug well]]</f>
        <v>0</v>
      </c>
      <c r="BU261" s="558">
        <f>(WWWW[[#This Row],['#_Constructed/Existing tube wells/boreholes/handpumps_WASH_agency]]+WWWW[[#This Row],['#_Non-Cluster partner water tube-wells/boreholes/handpumps]])-WWWW[[#This Row],['#_Non-functional tube wells/boreholes/handpumps]]</f>
        <v>0</v>
      </c>
      <c r="BV261" s="558">
        <f>WWWW[[#This Row],['#_Constructed/Existingwater storage tank with gravity fed reticulation system]]-WWWW[[#This Row],['#_Non-functional storage tank gravity fed reticulation system]]</f>
        <v>0</v>
      </c>
      <c r="BW261" s="558">
        <f>WWWW[[#This Row],['#_Water boating or water trucking]]</f>
        <v>0</v>
      </c>
      <c r="BX261" s="558">
        <f>WWWW[[#This Row],['#_Constructed/Existing water distribution system from river or natural spring]]</f>
        <v>0</v>
      </c>
      <c r="BY26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1" s="559">
        <f>IF(WWWW[[#This Row],[Location Type 1]]="Village",WWWW[[#This Row],[Access to safe drinking water for Village]],WWWW[[#This Row],[Access to safe drinking water for Camp]])</f>
        <v>0</v>
      </c>
      <c r="CB261" s="556">
        <f>WWWW[[#This Row],[%Equitable and continuous access to sufficient quantity of safe drinking water]]*WWWW[[#This Row],[Total PoP ]]</f>
        <v>0</v>
      </c>
      <c r="CC261" s="559">
        <f>IF((WWWW[[#This Row],['#_Constructed/Existing protected/fenced ponds]]*250)/WWWW[[#This Row],[Total PoP ]]&gt;1,1,(WWWW[[#This Row],['#_Constructed/Existing protected/fenced ponds]]*250)/WWWW[[#This Row],[Total PoP ]])</f>
        <v>0</v>
      </c>
      <c r="CD261" s="556">
        <f>WWWW[[#This Row],[% Access to unimproved water points]]*WWWW[[#This Row],[Total PoP ]]</f>
        <v>0</v>
      </c>
      <c r="CE26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1" s="556">
        <f>WWWW[[#This Row],[HRP1]]/500</f>
        <v>0</v>
      </c>
      <c r="CH261" s="561">
        <f>1-WWWW[[#This Row],[% Equitable and continuous access to sufficient quantity of domestic water]]</f>
        <v>1</v>
      </c>
      <c r="CI261" s="556">
        <f>WWWW[[#This Row],[%equitable and continuous access to sufficient quantity of safe drinking and domestic water''s GAP]]*WWWW[[#This Row],[Total PoP ]]</f>
        <v>370</v>
      </c>
      <c r="CJ261" s="558">
        <f>IF(WWWW[[#This Row],[Total required water points]]-WWWW[[#This Row],['#Water points coverage]]&lt;0,0,WWWW[[#This Row],[Total required water points]]-WWWW[[#This Row],['#Water points coverage]])</f>
        <v>1</v>
      </c>
      <c r="CK261" s="558">
        <f>ROUND(IF(WWWW[[#This Row],[Total PoP ]]&lt;500,1,WWWW[[#This Row],[Total PoP ]]/500),0)</f>
        <v>1</v>
      </c>
      <c r="CL261" s="558">
        <f>(WWWW[[#This Row],['#_Constructed latrines_by_WASHAgencies]]+WWWW[[#This Row],['#_Non Cluster partner latrines]])-WWWW[[#This Row],['#_Non-functional latrines]]</f>
        <v>0</v>
      </c>
      <c r="CM26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1" s="558" t="str">
        <f>IF(WWWW[[#This Row],[Location Type 1]]="Village","NA",IF(WWWW[[#This Row],['#_Constructed/Existing latrines in TLS]]*50&gt;WWWW[[#This Row],['#_students at TLS_CFS]],WWWW[[#This Row],['#_students at TLS_CFS]],(WWWW[[#This Row],['#_Constructed/Existing latrines in TLS]]*50)))</f>
        <v>NA</v>
      </c>
      <c r="CQ261" s="558">
        <f>ROUND(IF(WWWW[[#This Row],[Location Type 1]]="camp",WWWW[[#This Row],[Total PoP ]]/20,IF(WWWW[[#This Row],[Location Type 1]]="Temporary Location",WWWW[[#This Row],[Total PoP ]]/50,(WWWW[[#This Row],[Total PoP ]]/6))),0)</f>
        <v>62</v>
      </c>
      <c r="CR261" s="558">
        <f>IF(WWWW[[#This Row],[Total required Latrines]]-(WWWW[[#This Row],['#_Constructed latrines_by_WASHAgencies]]+WWWW[[#This Row],['#_Non Cluster partner latrines]])&lt;0,0,WWWW[[#This Row],[Total required Latrines]]-(WWWW[[#This Row],['#_Constructed latrines_by_WASHAgencies]]+WWWW[[#This Row],['#_Non Cluster partner latrines]]))</f>
        <v>62</v>
      </c>
      <c r="CS261" s="78">
        <f>1-WWWW[[#This Row],[% people access to functioning Latrine]]</f>
        <v>1</v>
      </c>
      <c r="CT261" s="560">
        <f>IF(OR(WWWW[[#This Row],['#_Non-functional latrines]]="",WWWW[[#This Row],['#_Non-functional latrines]]=0),0,WWWW[[#This Row],['#_Non-functional latrines]]/(WWWW[[#This Row],['#_Constructed latrines_by_WASHAgencies]]+WWWW[[#This Row],['#_Non Cluster partner latrines]]))</f>
        <v>0</v>
      </c>
      <c r="CU261" s="556">
        <f>IF(500*(WWWW[[#This Row],['#_male hygiene promoters]]+WWWW[[#This Row],['#_female hygiene promoters]])&gt;WWWW[[#This Row],[Total PoP ]],WWWW[[#This Row],[Total PoP ]],500*(WWWW[[#This Row],['#_male hygiene promoters]]+WWWW[[#This Row],['#_female hygiene promoters]]))</f>
        <v>0</v>
      </c>
      <c r="CV26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1" s="558">
        <f>IF(WWWW[[#This Row],['# People with access to soap]]&gt;WWWW[[#This Row],['# People with access to Sanity Pads]],WWWW[[#This Row],['# People with access to soap]],WWWW[[#This Row],['# People with access to Sanity Pads]])</f>
        <v>0</v>
      </c>
      <c r="CY26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1" s="561">
        <f>IF(WWWW[[#This Row],[HRP3]]/WWWW[[#This Row],[Total PoP ]]&gt;100%,100%,WWWW[[#This Row],[HRP3]]/WWWW[[#This Row],[Total PoP ]])</f>
        <v>0</v>
      </c>
      <c r="DA261" s="560">
        <f>1-WWWW[[#This Row],[Hygiene Coverage%]]</f>
        <v>1</v>
      </c>
      <c r="DB261" s="559">
        <f>WWWW[[#This Row],['# people reached by regular dedicated hygiene promotion_5]]/WWWW[[#This Row],[Total PoP ]]</f>
        <v>0</v>
      </c>
      <c r="DC261" s="559">
        <f>IF(WWWW[[#This Row],['#_households that received standard amount of soap for this quarter]]/WWWW[[#This Row],[Total HH]]&gt;1,1,WWWW[[#This Row],['#_households that received standard amount of soap for this quarter]]/WWWW[[#This Row],[Total HH]])</f>
        <v>0</v>
      </c>
      <c r="DD261" s="559">
        <f>IF(WWWW[[#This Row],['#_households that received standard amount of sanitary pads for this quarter]]/WWWW[[#This Row],[Total HH]]&gt;1,1,WWWW[[#This Row],['#_households that received standard amount of sanitary pads for this quarter]]/WWWW[[#This Row],[Total HH]])</f>
        <v>0</v>
      </c>
      <c r="DE261" s="558">
        <f>WWWW[[#This Row],['#_Constructed/Existing hand washing stations]]-WWWW[[#This Row],['#_Non-Functional_hand_washing_stations]]</f>
        <v>0</v>
      </c>
      <c r="DF261" s="757">
        <f>IF(WWWW[[#This Row],['# Functional hand washing stations during reporting period]]*20&gt;WWWW[[#This Row],[Total HH]],WWWW[[#This Row],[Total HH]],WWWW[[#This Row],['# Functional hand washing stations during reporting period]]*20)</f>
        <v>0</v>
      </c>
      <c r="DG261" s="556">
        <f>IF(WWWW[[#This Row],[Is sufficient soap available for TLS? (Yes/No)]]="yes",WWWW[[#This Row],['#_Constructed/Existing hand washing stations at TLS]],0)</f>
        <v>0</v>
      </c>
      <c r="DH261" s="556">
        <f>IF(WWWW[[#This Row],['# Functional hand washing stations during reporting period]]*100&gt;WWWW[[#This Row],[Total PoP ]],WWWW[[#This Row],[Total PoP ]],WWWW[[#This Row],['# Functional hand washing stations during reporting period]]*100)</f>
        <v>0</v>
      </c>
      <c r="DI261" s="556" t="str">
        <f>IF(OR(WWWW[[#This Row],['#_students at TLS_CFS]]="",WWWW[[#This Row],['#_students at TLS_CFS]]=0),"No","Yes")</f>
        <v>No</v>
      </c>
      <c r="DJ261" s="554">
        <f>VLOOKUP(WWWW[[#This Row],[Site Name]],SiteDB6[[Site Name]:[CCCM Management]],6,FALSE)</f>
        <v>0</v>
      </c>
      <c r="DK261" s="554">
        <f>VLOOKUP(WWWW[[#This Row],[Site Name]],SiteDB6[[Site Name]:[CCCM Focal Agency]],7,FALSE)</f>
        <v>0</v>
      </c>
      <c r="DL261" s="554" t="str">
        <f>VLOOKUP(WWWW[[#This Row],[Site Name]],SiteDB6[[Site Name]:[Location Type 1]],9,FALSE)</f>
        <v>Village</v>
      </c>
      <c r="DM261" s="554" t="str">
        <f>VLOOKUP(WWWW[[#This Row],[Site Name]],SiteDB6[[Site Name]:[Type of Accommodation]],10,FALSE)</f>
        <v>Village</v>
      </c>
      <c r="DN261" s="554" t="str">
        <f>VLOOKUP(WWWW[[#This Row],[Site Name]],SiteDB6[[Site Name]:[Ethnic or GCA/NGCA]],11,FALSE)</f>
        <v>Rakhine</v>
      </c>
      <c r="DO261" s="554">
        <f>VLOOKUP(WWWW[[#This Row],[Site Name]],SiteDB6[[Site Name]:[Lat]],12,FALSE)</f>
        <v>20.142474</v>
      </c>
      <c r="DP261" s="554">
        <f>VLOOKUP(WWWW[[#This Row],[Site Name]],SiteDB6[[Site Name]:[Long]],13,FALSE)</f>
        <v>92.494243999999995</v>
      </c>
      <c r="DQ261" s="554">
        <f>VLOOKUP(WWWW[[#This Row],[Site Name]],SiteDB6[[Site Name]:[Pcode]],3,FALSE)</f>
        <v>196130</v>
      </c>
      <c r="DR261" s="563" t="str">
        <f t="shared" ref="DR261:DR292" si="9">IF(C261="none","Notcovered","Covered")</f>
        <v>Covered</v>
      </c>
      <c r="DS261" s="563"/>
    </row>
    <row r="262" spans="1:123">
      <c r="A262" s="552" t="s">
        <v>2518</v>
      </c>
      <c r="B262" s="552" t="s">
        <v>332</v>
      </c>
      <c r="C262" s="555" t="s">
        <v>332</v>
      </c>
      <c r="D262" s="555" t="s">
        <v>325</v>
      </c>
      <c r="E262" s="574" t="s">
        <v>3006</v>
      </c>
      <c r="F262" s="555" t="s">
        <v>313</v>
      </c>
      <c r="G262" s="574" t="str">
        <f>VLOOKUP(WWWW[[#This Row],[Site Name]],SiteDB6[[Site Name]:[Location Type]],8,FALSE)</f>
        <v>village</v>
      </c>
      <c r="H262" s="555" t="s">
        <v>892</v>
      </c>
      <c r="I262" s="557">
        <v>509</v>
      </c>
      <c r="J262" s="557">
        <v>1574</v>
      </c>
      <c r="K262" s="564">
        <v>42736</v>
      </c>
      <c r="L262" s="565">
        <v>44551</v>
      </c>
      <c r="M262" s="557"/>
      <c r="N262" s="557"/>
      <c r="O262" s="557"/>
      <c r="P262" s="557"/>
      <c r="Q262" s="556"/>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63"/>
      <c r="AP262" s="557"/>
      <c r="AQ262" s="557"/>
      <c r="AR262" s="559"/>
      <c r="AS262" s="557"/>
      <c r="AT262" s="557"/>
      <c r="AU262" s="557"/>
      <c r="AV262" s="557"/>
      <c r="AW262" s="557"/>
      <c r="AX262" s="554"/>
      <c r="AY262" s="563"/>
      <c r="AZ262" s="557"/>
      <c r="BA262" s="557"/>
      <c r="BB262" s="557"/>
      <c r="BC262" s="554"/>
      <c r="BD262" s="557"/>
      <c r="BE262" s="557"/>
      <c r="BF262" s="557"/>
      <c r="BG262" s="557"/>
      <c r="BH262" s="557"/>
      <c r="BI262" s="557"/>
      <c r="BJ262" s="557"/>
      <c r="BK262" s="557"/>
      <c r="BL262" s="557"/>
      <c r="BM262" s="554"/>
      <c r="BN262" s="558"/>
      <c r="BO262" s="559"/>
      <c r="BP262" s="554"/>
      <c r="BQ262" s="560" t="str">
        <f>IFERROR(WWWW[[#This Row],['#_Water sources treated]]/WWWW[[#This Row],['#_Water sources tested for contamination]],"no test")</f>
        <v>no test</v>
      </c>
      <c r="BR262" s="559" t="str">
        <f>IFERROR(WWWW[[#This Row],['#_Household received remediation action due to contamination]]/WWWW[[#This Row],['#_Household water samples tested for contamination]],"no test")</f>
        <v>no test</v>
      </c>
      <c r="BS262" s="558" t="str">
        <f>IF(AND(WWWW[[#This Row],[% of water sources treated]]="no test",WWWW[[#This Row],[% Household received corrective actions]]="no test"),"No Test","Tested")</f>
        <v>No Test</v>
      </c>
      <c r="BT262" s="558">
        <f>WWWW[[#This Row],['#_Constructed/existing protected hand dug well]]-WWWW[[#This Row],['#_Non-functional protected hand dug well]]</f>
        <v>0</v>
      </c>
      <c r="BU262" s="558">
        <f>(WWWW[[#This Row],['#_Constructed/Existing tube wells/boreholes/handpumps_WASH_agency]]+WWWW[[#This Row],['#_Non-Cluster partner water tube-wells/boreholes/handpumps]])-WWWW[[#This Row],['#_Non-functional tube wells/boreholes/handpumps]]</f>
        <v>0</v>
      </c>
      <c r="BV262" s="558">
        <f>WWWW[[#This Row],['#_Constructed/Existingwater storage tank with gravity fed reticulation system]]-WWWW[[#This Row],['#_Non-functional storage tank gravity fed reticulation system]]</f>
        <v>0</v>
      </c>
      <c r="BW262" s="558">
        <f>WWWW[[#This Row],['#_Water boating or water trucking]]</f>
        <v>0</v>
      </c>
      <c r="BX262" s="558">
        <f>WWWW[[#This Row],['#_Constructed/Existing water distribution system from river or natural spring]]</f>
        <v>0</v>
      </c>
      <c r="BY26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2" s="559">
        <f>IF(WWWW[[#This Row],[Location Type 1]]="Village",WWWW[[#This Row],[Access to safe drinking water for Village]],WWWW[[#This Row],[Access to safe drinking water for Camp]])</f>
        <v>0</v>
      </c>
      <c r="CB262" s="556">
        <f>WWWW[[#This Row],[%Equitable and continuous access to sufficient quantity of safe drinking water]]*WWWW[[#This Row],[Total PoP ]]</f>
        <v>0</v>
      </c>
      <c r="CC262" s="559">
        <f>IF((WWWW[[#This Row],['#_Constructed/Existing protected/fenced ponds]]*250)/WWWW[[#This Row],[Total PoP ]]&gt;1,1,(WWWW[[#This Row],['#_Constructed/Existing protected/fenced ponds]]*250)/WWWW[[#This Row],[Total PoP ]])</f>
        <v>0</v>
      </c>
      <c r="CD262" s="556">
        <f>WWWW[[#This Row],[% Access to unimproved water points]]*WWWW[[#This Row],[Total PoP ]]</f>
        <v>0</v>
      </c>
      <c r="CE26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2" s="556">
        <f>WWWW[[#This Row],[HRP1]]/500</f>
        <v>0</v>
      </c>
      <c r="CH262" s="561">
        <f>1-WWWW[[#This Row],[% Equitable and continuous access to sufficient quantity of domestic water]]</f>
        <v>1</v>
      </c>
      <c r="CI262" s="556">
        <f>WWWW[[#This Row],[%equitable and continuous access to sufficient quantity of safe drinking and domestic water''s GAP]]*WWWW[[#This Row],[Total PoP ]]</f>
        <v>1574</v>
      </c>
      <c r="CJ262" s="558">
        <f>IF(WWWW[[#This Row],[Total required water points]]-WWWW[[#This Row],['#Water points coverage]]&lt;0,0,WWWW[[#This Row],[Total required water points]]-WWWW[[#This Row],['#Water points coverage]])</f>
        <v>3</v>
      </c>
      <c r="CK262" s="558">
        <f>ROUND(IF(WWWW[[#This Row],[Total PoP ]]&lt;500,1,WWWW[[#This Row],[Total PoP ]]/500),0)</f>
        <v>3</v>
      </c>
      <c r="CL262" s="558">
        <f>(WWWW[[#This Row],['#_Constructed latrines_by_WASHAgencies]]+WWWW[[#This Row],['#_Non Cluster partner latrines]])-WWWW[[#This Row],['#_Non-functional latrines]]</f>
        <v>0</v>
      </c>
      <c r="CM26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2" s="558" t="str">
        <f>IF(WWWW[[#This Row],[Location Type 1]]="Village","NA",IF(WWWW[[#This Row],['#_Constructed/Existing latrines in TLS]]*50&gt;WWWW[[#This Row],['#_students at TLS_CFS]],WWWW[[#This Row],['#_students at TLS_CFS]],(WWWW[[#This Row],['#_Constructed/Existing latrines in TLS]]*50)))</f>
        <v>NA</v>
      </c>
      <c r="CQ262" s="558">
        <f>ROUND(IF(WWWW[[#This Row],[Location Type 1]]="camp",WWWW[[#This Row],[Total PoP ]]/20,IF(WWWW[[#This Row],[Location Type 1]]="Temporary Location",WWWW[[#This Row],[Total PoP ]]/50,(WWWW[[#This Row],[Total PoP ]]/6))),0)</f>
        <v>262</v>
      </c>
      <c r="CR262" s="558">
        <f>IF(WWWW[[#This Row],[Total required Latrines]]-(WWWW[[#This Row],['#_Constructed latrines_by_WASHAgencies]]+WWWW[[#This Row],['#_Non Cluster partner latrines]])&lt;0,0,WWWW[[#This Row],[Total required Latrines]]-(WWWW[[#This Row],['#_Constructed latrines_by_WASHAgencies]]+WWWW[[#This Row],['#_Non Cluster partner latrines]]))</f>
        <v>262</v>
      </c>
      <c r="CS262" s="78">
        <f>1-WWWW[[#This Row],[% people access to functioning Latrine]]</f>
        <v>1</v>
      </c>
      <c r="CT262" s="560">
        <f>IF(OR(WWWW[[#This Row],['#_Non-functional latrines]]="",WWWW[[#This Row],['#_Non-functional latrines]]=0),0,WWWW[[#This Row],['#_Non-functional latrines]]/(WWWW[[#This Row],['#_Constructed latrines_by_WASHAgencies]]+WWWW[[#This Row],['#_Non Cluster partner latrines]]))</f>
        <v>0</v>
      </c>
      <c r="CU262" s="556">
        <f>IF(500*(WWWW[[#This Row],['#_male hygiene promoters]]+WWWW[[#This Row],['#_female hygiene promoters]])&gt;WWWW[[#This Row],[Total PoP ]],WWWW[[#This Row],[Total PoP ]],500*(WWWW[[#This Row],['#_male hygiene promoters]]+WWWW[[#This Row],['#_female hygiene promoters]]))</f>
        <v>0</v>
      </c>
      <c r="CV26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2" s="558">
        <f>IF(WWWW[[#This Row],['# People with access to soap]]&gt;WWWW[[#This Row],['# People with access to Sanity Pads]],WWWW[[#This Row],['# People with access to soap]],WWWW[[#This Row],['# People with access to Sanity Pads]])</f>
        <v>0</v>
      </c>
      <c r="CY26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2" s="561">
        <f>IF(WWWW[[#This Row],[HRP3]]/WWWW[[#This Row],[Total PoP ]]&gt;100%,100%,WWWW[[#This Row],[HRP3]]/WWWW[[#This Row],[Total PoP ]])</f>
        <v>0</v>
      </c>
      <c r="DA262" s="560">
        <f>1-WWWW[[#This Row],[Hygiene Coverage%]]</f>
        <v>1</v>
      </c>
      <c r="DB262" s="559">
        <f>WWWW[[#This Row],['# people reached by regular dedicated hygiene promotion_5]]/WWWW[[#This Row],[Total PoP ]]</f>
        <v>0</v>
      </c>
      <c r="DC262" s="559">
        <f>IF(WWWW[[#This Row],['#_households that received standard amount of soap for this quarter]]/WWWW[[#This Row],[Total HH]]&gt;1,1,WWWW[[#This Row],['#_households that received standard amount of soap for this quarter]]/WWWW[[#This Row],[Total HH]])</f>
        <v>0</v>
      </c>
      <c r="DD262" s="559">
        <f>IF(WWWW[[#This Row],['#_households that received standard amount of sanitary pads for this quarter]]/WWWW[[#This Row],[Total HH]]&gt;1,1,WWWW[[#This Row],['#_households that received standard amount of sanitary pads for this quarter]]/WWWW[[#This Row],[Total HH]])</f>
        <v>0</v>
      </c>
      <c r="DE262" s="558">
        <f>WWWW[[#This Row],['#_Constructed/Existing hand washing stations]]-WWWW[[#This Row],['#_Non-Functional_hand_washing_stations]]</f>
        <v>0</v>
      </c>
      <c r="DF262" s="757">
        <f>IF(WWWW[[#This Row],['# Functional hand washing stations during reporting period]]*20&gt;WWWW[[#This Row],[Total HH]],WWWW[[#This Row],[Total HH]],WWWW[[#This Row],['# Functional hand washing stations during reporting period]]*20)</f>
        <v>0</v>
      </c>
      <c r="DG262" s="556">
        <f>IF(WWWW[[#This Row],[Is sufficient soap available for TLS? (Yes/No)]]="yes",WWWW[[#This Row],['#_Constructed/Existing hand washing stations at TLS]],0)</f>
        <v>0</v>
      </c>
      <c r="DH262" s="556">
        <f>IF(WWWW[[#This Row],['# Functional hand washing stations during reporting period]]*100&gt;WWWW[[#This Row],[Total PoP ]],WWWW[[#This Row],[Total PoP ]],WWWW[[#This Row],['# Functional hand washing stations during reporting period]]*100)</f>
        <v>0</v>
      </c>
      <c r="DI262" s="556" t="str">
        <f>IF(OR(WWWW[[#This Row],['#_students at TLS_CFS]]="",WWWW[[#This Row],['#_students at TLS_CFS]]=0),"No","Yes")</f>
        <v>No</v>
      </c>
      <c r="DJ262" s="554">
        <f>VLOOKUP(WWWW[[#This Row],[Site Name]],SiteDB6[[Site Name]:[CCCM Management]],6,FALSE)</f>
        <v>0</v>
      </c>
      <c r="DK262" s="554">
        <f>VLOOKUP(WWWW[[#This Row],[Site Name]],SiteDB6[[Site Name]:[CCCM Focal Agency]],7,FALSE)</f>
        <v>0</v>
      </c>
      <c r="DL262" s="554" t="str">
        <f>VLOOKUP(WWWW[[#This Row],[Site Name]],SiteDB6[[Site Name]:[Location Type 1]],9,FALSE)</f>
        <v>Village</v>
      </c>
      <c r="DM262" s="554" t="str">
        <f>VLOOKUP(WWWW[[#This Row],[Site Name]],SiteDB6[[Site Name]:[Type of Accommodation]],10,FALSE)</f>
        <v>village</v>
      </c>
      <c r="DN262" s="554" t="str">
        <f>VLOOKUP(WWWW[[#This Row],[Site Name]],SiteDB6[[Site Name]:[Ethnic or GCA/NGCA]],11,FALSE)</f>
        <v>Rakhine</v>
      </c>
      <c r="DO262" s="554">
        <f>VLOOKUP(WWWW[[#This Row],[Site Name]],SiteDB6[[Site Name]:[Lat]],12,FALSE)</f>
        <v>20.226730346679702</v>
      </c>
      <c r="DP262" s="554">
        <f>VLOOKUP(WWWW[[#This Row],[Site Name]],SiteDB6[[Site Name]:[Long]],13,FALSE)</f>
        <v>92.836929321289105</v>
      </c>
      <c r="DQ262" s="554">
        <f>VLOOKUP(WWWW[[#This Row],[Site Name]],SiteDB6[[Site Name]:[Pcode]],3,FALSE)</f>
        <v>196129</v>
      </c>
      <c r="DR262" s="563" t="str">
        <f t="shared" si="9"/>
        <v>Covered</v>
      </c>
      <c r="DS262" s="563"/>
    </row>
    <row r="263" spans="1:123">
      <c r="A263" s="552" t="s">
        <v>2518</v>
      </c>
      <c r="B263" s="552" t="s">
        <v>332</v>
      </c>
      <c r="C263" s="555" t="s">
        <v>332</v>
      </c>
      <c r="D263" s="555" t="s">
        <v>325</v>
      </c>
      <c r="E263" s="574" t="s">
        <v>3006</v>
      </c>
      <c r="F263" s="555" t="s">
        <v>313</v>
      </c>
      <c r="G263" s="574" t="str">
        <f>VLOOKUP(WWWW[[#This Row],[Site Name]],SiteDB6[[Site Name]:[Location Type]],8,FALSE)</f>
        <v>Village</v>
      </c>
      <c r="H263" s="555" t="s">
        <v>2077</v>
      </c>
      <c r="I263" s="557">
        <v>301</v>
      </c>
      <c r="J263" s="557">
        <v>1529</v>
      </c>
      <c r="K263" s="564">
        <v>42736</v>
      </c>
      <c r="L263" s="565">
        <v>44551</v>
      </c>
      <c r="M263" s="557"/>
      <c r="N263" s="557"/>
      <c r="O263" s="557"/>
      <c r="P263" s="557"/>
      <c r="Q263" s="556"/>
      <c r="R263" s="557"/>
      <c r="S263" s="557"/>
      <c r="T263" s="557"/>
      <c r="U263" s="557"/>
      <c r="V263" s="557"/>
      <c r="W263" s="557"/>
      <c r="X263" s="557"/>
      <c r="Y263" s="557"/>
      <c r="Z263" s="557"/>
      <c r="AA263" s="557"/>
      <c r="AB263" s="557"/>
      <c r="AC263" s="557"/>
      <c r="AD263" s="557"/>
      <c r="AE263" s="557"/>
      <c r="AF263" s="557"/>
      <c r="AG263" s="557"/>
      <c r="AH263" s="557"/>
      <c r="AI263" s="557"/>
      <c r="AJ263" s="557"/>
      <c r="AK263" s="557"/>
      <c r="AL263" s="557"/>
      <c r="AM263" s="557"/>
      <c r="AN263" s="557"/>
      <c r="AO263" s="563"/>
      <c r="AP263" s="557"/>
      <c r="AQ263" s="557"/>
      <c r="AR263" s="559"/>
      <c r="AS263" s="557"/>
      <c r="AT263" s="557"/>
      <c r="AU263" s="557"/>
      <c r="AV263" s="557"/>
      <c r="AW263" s="557"/>
      <c r="AX263" s="554"/>
      <c r="AY263" s="563"/>
      <c r="AZ263" s="557"/>
      <c r="BA263" s="557"/>
      <c r="BB263" s="557"/>
      <c r="BC263" s="554"/>
      <c r="BD263" s="557"/>
      <c r="BE263" s="557"/>
      <c r="BF263" s="557"/>
      <c r="BG263" s="557"/>
      <c r="BH263" s="557"/>
      <c r="BI263" s="557"/>
      <c r="BJ263" s="557"/>
      <c r="BK263" s="557"/>
      <c r="BL263" s="557"/>
      <c r="BM263" s="554"/>
      <c r="BN263" s="558"/>
      <c r="BO263" s="559"/>
      <c r="BP263" s="554"/>
      <c r="BQ263" s="560" t="str">
        <f>IFERROR(WWWW[[#This Row],['#_Water sources treated]]/WWWW[[#This Row],['#_Water sources tested for contamination]],"no test")</f>
        <v>no test</v>
      </c>
      <c r="BR263" s="559" t="str">
        <f>IFERROR(WWWW[[#This Row],['#_Household received remediation action due to contamination]]/WWWW[[#This Row],['#_Household water samples tested for contamination]],"no test")</f>
        <v>no test</v>
      </c>
      <c r="BS263" s="558" t="str">
        <f>IF(AND(WWWW[[#This Row],[% of water sources treated]]="no test",WWWW[[#This Row],[% Household received corrective actions]]="no test"),"No Test","Tested")</f>
        <v>No Test</v>
      </c>
      <c r="BT263" s="558">
        <f>WWWW[[#This Row],['#_Constructed/existing protected hand dug well]]-WWWW[[#This Row],['#_Non-functional protected hand dug well]]</f>
        <v>0</v>
      </c>
      <c r="BU263" s="558">
        <f>(WWWW[[#This Row],['#_Constructed/Existing tube wells/boreholes/handpumps_WASH_agency]]+WWWW[[#This Row],['#_Non-Cluster partner water tube-wells/boreholes/handpumps]])-WWWW[[#This Row],['#_Non-functional tube wells/boreholes/handpumps]]</f>
        <v>0</v>
      </c>
      <c r="BV263" s="558">
        <f>WWWW[[#This Row],['#_Constructed/Existingwater storage tank with gravity fed reticulation system]]-WWWW[[#This Row],['#_Non-functional storage tank gravity fed reticulation system]]</f>
        <v>0</v>
      </c>
      <c r="BW263" s="558">
        <f>WWWW[[#This Row],['#_Water boating or water trucking]]</f>
        <v>0</v>
      </c>
      <c r="BX263" s="558">
        <f>WWWW[[#This Row],['#_Constructed/Existing water distribution system from river or natural spring]]</f>
        <v>0</v>
      </c>
      <c r="BY26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3" s="559">
        <f>IF(WWWW[[#This Row],[Location Type 1]]="Village",WWWW[[#This Row],[Access to safe drinking water for Village]],WWWW[[#This Row],[Access to safe drinking water for Camp]])</f>
        <v>0</v>
      </c>
      <c r="CB263" s="556">
        <f>WWWW[[#This Row],[%Equitable and continuous access to sufficient quantity of safe drinking water]]*WWWW[[#This Row],[Total PoP ]]</f>
        <v>0</v>
      </c>
      <c r="CC263" s="559">
        <f>IF((WWWW[[#This Row],['#_Constructed/Existing protected/fenced ponds]]*250)/WWWW[[#This Row],[Total PoP ]]&gt;1,1,(WWWW[[#This Row],['#_Constructed/Existing protected/fenced ponds]]*250)/WWWW[[#This Row],[Total PoP ]])</f>
        <v>0</v>
      </c>
      <c r="CD263" s="556">
        <f>WWWW[[#This Row],[% Access to unimproved water points]]*WWWW[[#This Row],[Total PoP ]]</f>
        <v>0</v>
      </c>
      <c r="CE26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3" s="556">
        <f>WWWW[[#This Row],[HRP1]]/500</f>
        <v>0</v>
      </c>
      <c r="CH263" s="561">
        <f>1-WWWW[[#This Row],[% Equitable and continuous access to sufficient quantity of domestic water]]</f>
        <v>1</v>
      </c>
      <c r="CI263" s="556">
        <f>WWWW[[#This Row],[%equitable and continuous access to sufficient quantity of safe drinking and domestic water''s GAP]]*WWWW[[#This Row],[Total PoP ]]</f>
        <v>1529</v>
      </c>
      <c r="CJ263" s="558">
        <f>IF(WWWW[[#This Row],[Total required water points]]-WWWW[[#This Row],['#Water points coverage]]&lt;0,0,WWWW[[#This Row],[Total required water points]]-WWWW[[#This Row],['#Water points coverage]])</f>
        <v>3</v>
      </c>
      <c r="CK263" s="558">
        <f>ROUND(IF(WWWW[[#This Row],[Total PoP ]]&lt;500,1,WWWW[[#This Row],[Total PoP ]]/500),0)</f>
        <v>3</v>
      </c>
      <c r="CL263" s="558">
        <f>(WWWW[[#This Row],['#_Constructed latrines_by_WASHAgencies]]+WWWW[[#This Row],['#_Non Cluster partner latrines]])-WWWW[[#This Row],['#_Non-functional latrines]]</f>
        <v>0</v>
      </c>
      <c r="CM26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3" s="558" t="str">
        <f>IF(WWWW[[#This Row],[Location Type 1]]="Village","NA",IF(WWWW[[#This Row],['#_Constructed/Existing latrines in TLS]]*50&gt;WWWW[[#This Row],['#_students at TLS_CFS]],WWWW[[#This Row],['#_students at TLS_CFS]],(WWWW[[#This Row],['#_Constructed/Existing latrines in TLS]]*50)))</f>
        <v>NA</v>
      </c>
      <c r="CQ263" s="558">
        <f>ROUND(IF(WWWW[[#This Row],[Location Type 1]]="camp",WWWW[[#This Row],[Total PoP ]]/20,IF(WWWW[[#This Row],[Location Type 1]]="Temporary Location",WWWW[[#This Row],[Total PoP ]]/50,(WWWW[[#This Row],[Total PoP ]]/6))),0)</f>
        <v>255</v>
      </c>
      <c r="CR263" s="558">
        <f>IF(WWWW[[#This Row],[Total required Latrines]]-(WWWW[[#This Row],['#_Constructed latrines_by_WASHAgencies]]+WWWW[[#This Row],['#_Non Cluster partner latrines]])&lt;0,0,WWWW[[#This Row],[Total required Latrines]]-(WWWW[[#This Row],['#_Constructed latrines_by_WASHAgencies]]+WWWW[[#This Row],['#_Non Cluster partner latrines]]))</f>
        <v>255</v>
      </c>
      <c r="CS263" s="78">
        <f>1-WWWW[[#This Row],[% people access to functioning Latrine]]</f>
        <v>1</v>
      </c>
      <c r="CT263" s="560">
        <f>IF(OR(WWWW[[#This Row],['#_Non-functional latrines]]="",WWWW[[#This Row],['#_Non-functional latrines]]=0),0,WWWW[[#This Row],['#_Non-functional latrines]]/(WWWW[[#This Row],['#_Constructed latrines_by_WASHAgencies]]+WWWW[[#This Row],['#_Non Cluster partner latrines]]))</f>
        <v>0</v>
      </c>
      <c r="CU263" s="556">
        <f>IF(500*(WWWW[[#This Row],['#_male hygiene promoters]]+WWWW[[#This Row],['#_female hygiene promoters]])&gt;WWWW[[#This Row],[Total PoP ]],WWWW[[#This Row],[Total PoP ]],500*(WWWW[[#This Row],['#_male hygiene promoters]]+WWWW[[#This Row],['#_female hygiene promoters]]))</f>
        <v>0</v>
      </c>
      <c r="CV26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3" s="558">
        <f>IF(WWWW[[#This Row],['# People with access to soap]]&gt;WWWW[[#This Row],['# People with access to Sanity Pads]],WWWW[[#This Row],['# People with access to soap]],WWWW[[#This Row],['# People with access to Sanity Pads]])</f>
        <v>0</v>
      </c>
      <c r="CY26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3" s="561">
        <f>IF(WWWW[[#This Row],[HRP3]]/WWWW[[#This Row],[Total PoP ]]&gt;100%,100%,WWWW[[#This Row],[HRP3]]/WWWW[[#This Row],[Total PoP ]])</f>
        <v>0</v>
      </c>
      <c r="DA263" s="560">
        <f>1-WWWW[[#This Row],[Hygiene Coverage%]]</f>
        <v>1</v>
      </c>
      <c r="DB263" s="559">
        <f>WWWW[[#This Row],['# people reached by regular dedicated hygiene promotion_5]]/WWWW[[#This Row],[Total PoP ]]</f>
        <v>0</v>
      </c>
      <c r="DC263" s="559">
        <f>IF(WWWW[[#This Row],['#_households that received standard amount of soap for this quarter]]/WWWW[[#This Row],[Total HH]]&gt;1,1,WWWW[[#This Row],['#_households that received standard amount of soap for this quarter]]/WWWW[[#This Row],[Total HH]])</f>
        <v>0</v>
      </c>
      <c r="DD263" s="559">
        <f>IF(WWWW[[#This Row],['#_households that received standard amount of sanitary pads for this quarter]]/WWWW[[#This Row],[Total HH]]&gt;1,1,WWWW[[#This Row],['#_households that received standard amount of sanitary pads for this quarter]]/WWWW[[#This Row],[Total HH]])</f>
        <v>0</v>
      </c>
      <c r="DE263" s="558">
        <f>WWWW[[#This Row],['#_Constructed/Existing hand washing stations]]-WWWW[[#This Row],['#_Non-Functional_hand_washing_stations]]</f>
        <v>0</v>
      </c>
      <c r="DF263" s="757">
        <f>IF(WWWW[[#This Row],['# Functional hand washing stations during reporting period]]*20&gt;WWWW[[#This Row],[Total HH]],WWWW[[#This Row],[Total HH]],WWWW[[#This Row],['# Functional hand washing stations during reporting period]]*20)</f>
        <v>0</v>
      </c>
      <c r="DG263" s="556">
        <f>IF(WWWW[[#This Row],[Is sufficient soap available for TLS? (Yes/No)]]="yes",WWWW[[#This Row],['#_Constructed/Existing hand washing stations at TLS]],0)</f>
        <v>0</v>
      </c>
      <c r="DH263" s="556">
        <f>IF(WWWW[[#This Row],['# Functional hand washing stations during reporting period]]*100&gt;WWWW[[#This Row],[Total PoP ]],WWWW[[#This Row],[Total PoP ]],WWWW[[#This Row],['# Functional hand washing stations during reporting period]]*100)</f>
        <v>0</v>
      </c>
      <c r="DI263" s="556" t="str">
        <f>IF(OR(WWWW[[#This Row],['#_students at TLS_CFS]]="",WWWW[[#This Row],['#_students at TLS_CFS]]=0),"No","Yes")</f>
        <v>No</v>
      </c>
      <c r="DJ263" s="554">
        <f>VLOOKUP(WWWW[[#This Row],[Site Name]],SiteDB6[[Site Name]:[CCCM Management]],6,FALSE)</f>
        <v>0</v>
      </c>
      <c r="DK263" s="554">
        <f>VLOOKUP(WWWW[[#This Row],[Site Name]],SiteDB6[[Site Name]:[CCCM Focal Agency]],7,FALSE)</f>
        <v>0</v>
      </c>
      <c r="DL263" s="554" t="str">
        <f>VLOOKUP(WWWW[[#This Row],[Site Name]],SiteDB6[[Site Name]:[Location Type 1]],9,FALSE)</f>
        <v>Village</v>
      </c>
      <c r="DM263" s="554" t="str">
        <f>VLOOKUP(WWWW[[#This Row],[Site Name]],SiteDB6[[Site Name]:[Type of Accommodation]],10,FALSE)</f>
        <v>Village</v>
      </c>
      <c r="DN263" s="554" t="str">
        <f>VLOOKUP(WWWW[[#This Row],[Site Name]],SiteDB6[[Site Name]:[Ethnic or GCA/NGCA]],11,FALSE)</f>
        <v>Rakhine</v>
      </c>
      <c r="DO263" s="554">
        <f>VLOOKUP(WWWW[[#This Row],[Site Name]],SiteDB6[[Site Name]:[Lat]],12,FALSE)</f>
        <v>20.257850650000002</v>
      </c>
      <c r="DP263" s="554">
        <f>VLOOKUP(WWWW[[#This Row],[Site Name]],SiteDB6[[Site Name]:[Long]],13,FALSE)</f>
        <v>92.811126709999996</v>
      </c>
      <c r="DQ263" s="554">
        <f>VLOOKUP(WWWW[[#This Row],[Site Name]],SiteDB6[[Site Name]:[Pcode]],3,FALSE)</f>
        <v>196161</v>
      </c>
      <c r="DR263" s="563" t="str">
        <f t="shared" si="9"/>
        <v>Covered</v>
      </c>
      <c r="DS263" s="563"/>
    </row>
    <row r="264" spans="1:123">
      <c r="A264" s="552" t="s">
        <v>2518</v>
      </c>
      <c r="B264" s="552" t="s">
        <v>332</v>
      </c>
      <c r="C264" s="555" t="s">
        <v>332</v>
      </c>
      <c r="D264" s="555" t="s">
        <v>325</v>
      </c>
      <c r="E264" s="574" t="s">
        <v>3006</v>
      </c>
      <c r="F264" s="555" t="s">
        <v>313</v>
      </c>
      <c r="G264" s="574" t="str">
        <f>VLOOKUP(WWWW[[#This Row],[Site Name]],SiteDB6[[Site Name]:[Location Type]],8,FALSE)</f>
        <v>Village</v>
      </c>
      <c r="H264" s="555" t="s">
        <v>2890</v>
      </c>
      <c r="I264" s="557">
        <v>85</v>
      </c>
      <c r="J264" s="557">
        <v>369</v>
      </c>
      <c r="K264" s="564">
        <v>42736</v>
      </c>
      <c r="L264" s="565">
        <v>44551</v>
      </c>
      <c r="M264" s="557"/>
      <c r="N264" s="557"/>
      <c r="O264" s="557"/>
      <c r="P264" s="557"/>
      <c r="Q264" s="556"/>
      <c r="R264" s="557"/>
      <c r="S264" s="557"/>
      <c r="T264" s="557"/>
      <c r="U264" s="557"/>
      <c r="V264" s="557"/>
      <c r="W264" s="557"/>
      <c r="X264" s="557"/>
      <c r="Y264" s="557"/>
      <c r="Z264" s="557"/>
      <c r="AA264" s="557"/>
      <c r="AB264" s="557"/>
      <c r="AC264" s="557"/>
      <c r="AD264" s="557"/>
      <c r="AE264" s="557"/>
      <c r="AF264" s="557"/>
      <c r="AG264" s="557"/>
      <c r="AH264" s="557"/>
      <c r="AI264" s="557"/>
      <c r="AJ264" s="557"/>
      <c r="AK264" s="557"/>
      <c r="AL264" s="557"/>
      <c r="AM264" s="557"/>
      <c r="AN264" s="557"/>
      <c r="AO264" s="563"/>
      <c r="AP264" s="557"/>
      <c r="AQ264" s="557"/>
      <c r="AR264" s="559"/>
      <c r="AS264" s="557"/>
      <c r="AT264" s="557"/>
      <c r="AU264" s="557"/>
      <c r="AV264" s="557"/>
      <c r="AW264" s="557"/>
      <c r="AX264" s="554"/>
      <c r="AY264" s="563"/>
      <c r="AZ264" s="557"/>
      <c r="BA264" s="557"/>
      <c r="BB264" s="557"/>
      <c r="BC264" s="554"/>
      <c r="BD264" s="557"/>
      <c r="BE264" s="557"/>
      <c r="BF264" s="557"/>
      <c r="BG264" s="557"/>
      <c r="BH264" s="557"/>
      <c r="BI264" s="557"/>
      <c r="BJ264" s="557"/>
      <c r="BK264" s="557"/>
      <c r="BL264" s="557"/>
      <c r="BM264" s="554"/>
      <c r="BN264" s="558"/>
      <c r="BO264" s="559"/>
      <c r="BP264" s="554"/>
      <c r="BQ264" s="560" t="str">
        <f>IFERROR(WWWW[[#This Row],['#_Water sources treated]]/WWWW[[#This Row],['#_Water sources tested for contamination]],"no test")</f>
        <v>no test</v>
      </c>
      <c r="BR264" s="559" t="str">
        <f>IFERROR(WWWW[[#This Row],['#_Household received remediation action due to contamination]]/WWWW[[#This Row],['#_Household water samples tested for contamination]],"no test")</f>
        <v>no test</v>
      </c>
      <c r="BS264" s="558" t="str">
        <f>IF(AND(WWWW[[#This Row],[% of water sources treated]]="no test",WWWW[[#This Row],[% Household received corrective actions]]="no test"),"No Test","Tested")</f>
        <v>No Test</v>
      </c>
      <c r="BT264" s="558">
        <f>WWWW[[#This Row],['#_Constructed/existing protected hand dug well]]-WWWW[[#This Row],['#_Non-functional protected hand dug well]]</f>
        <v>0</v>
      </c>
      <c r="BU264" s="558">
        <f>(WWWW[[#This Row],['#_Constructed/Existing tube wells/boreholes/handpumps_WASH_agency]]+WWWW[[#This Row],['#_Non-Cluster partner water tube-wells/boreholes/handpumps]])-WWWW[[#This Row],['#_Non-functional tube wells/boreholes/handpumps]]</f>
        <v>0</v>
      </c>
      <c r="BV264" s="558">
        <f>WWWW[[#This Row],['#_Constructed/Existingwater storage tank with gravity fed reticulation system]]-WWWW[[#This Row],['#_Non-functional storage tank gravity fed reticulation system]]</f>
        <v>0</v>
      </c>
      <c r="BW264" s="558">
        <f>WWWW[[#This Row],['#_Water boating or water trucking]]</f>
        <v>0</v>
      </c>
      <c r="BX264" s="558">
        <f>WWWW[[#This Row],['#_Constructed/Existing water distribution system from river or natural spring]]</f>
        <v>0</v>
      </c>
      <c r="BY26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4" s="559">
        <f>IF(WWWW[[#This Row],[Location Type 1]]="Village",WWWW[[#This Row],[Access to safe drinking water for Village]],WWWW[[#This Row],[Access to safe drinking water for Camp]])</f>
        <v>0</v>
      </c>
      <c r="CB264" s="556">
        <f>WWWW[[#This Row],[%Equitable and continuous access to sufficient quantity of safe drinking water]]*WWWW[[#This Row],[Total PoP ]]</f>
        <v>0</v>
      </c>
      <c r="CC264" s="559">
        <f>IF((WWWW[[#This Row],['#_Constructed/Existing protected/fenced ponds]]*250)/WWWW[[#This Row],[Total PoP ]]&gt;1,1,(WWWW[[#This Row],['#_Constructed/Existing protected/fenced ponds]]*250)/WWWW[[#This Row],[Total PoP ]])</f>
        <v>0</v>
      </c>
      <c r="CD264" s="556">
        <f>WWWW[[#This Row],[% Access to unimproved water points]]*WWWW[[#This Row],[Total PoP ]]</f>
        <v>0</v>
      </c>
      <c r="CE26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4" s="556">
        <f>WWWW[[#This Row],[HRP1]]/500</f>
        <v>0</v>
      </c>
      <c r="CH264" s="561">
        <f>1-WWWW[[#This Row],[% Equitable and continuous access to sufficient quantity of domestic water]]</f>
        <v>1</v>
      </c>
      <c r="CI264" s="556">
        <f>WWWW[[#This Row],[%equitable and continuous access to sufficient quantity of safe drinking and domestic water''s GAP]]*WWWW[[#This Row],[Total PoP ]]</f>
        <v>369</v>
      </c>
      <c r="CJ264" s="558">
        <f>IF(WWWW[[#This Row],[Total required water points]]-WWWW[[#This Row],['#Water points coverage]]&lt;0,0,WWWW[[#This Row],[Total required water points]]-WWWW[[#This Row],['#Water points coverage]])</f>
        <v>1</v>
      </c>
      <c r="CK264" s="558">
        <f>ROUND(IF(WWWW[[#This Row],[Total PoP ]]&lt;500,1,WWWW[[#This Row],[Total PoP ]]/500),0)</f>
        <v>1</v>
      </c>
      <c r="CL264" s="558">
        <f>(WWWW[[#This Row],['#_Constructed latrines_by_WASHAgencies]]+WWWW[[#This Row],['#_Non Cluster partner latrines]])-WWWW[[#This Row],['#_Non-functional latrines]]</f>
        <v>0</v>
      </c>
      <c r="CM26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4" s="558" t="str">
        <f>IF(WWWW[[#This Row],[Location Type 1]]="Village","NA",IF(WWWW[[#This Row],['#_Constructed/Existing latrines in TLS]]*50&gt;WWWW[[#This Row],['#_students at TLS_CFS]],WWWW[[#This Row],['#_students at TLS_CFS]],(WWWW[[#This Row],['#_Constructed/Existing latrines in TLS]]*50)))</f>
        <v>NA</v>
      </c>
      <c r="CQ264" s="558">
        <f>ROUND(IF(WWWW[[#This Row],[Location Type 1]]="camp",WWWW[[#This Row],[Total PoP ]]/20,IF(WWWW[[#This Row],[Location Type 1]]="Temporary Location",WWWW[[#This Row],[Total PoP ]]/50,(WWWW[[#This Row],[Total PoP ]]/6))),0)</f>
        <v>62</v>
      </c>
      <c r="CR264" s="558">
        <f>IF(WWWW[[#This Row],[Total required Latrines]]-(WWWW[[#This Row],['#_Constructed latrines_by_WASHAgencies]]+WWWW[[#This Row],['#_Non Cluster partner latrines]])&lt;0,0,WWWW[[#This Row],[Total required Latrines]]-(WWWW[[#This Row],['#_Constructed latrines_by_WASHAgencies]]+WWWW[[#This Row],['#_Non Cluster partner latrines]]))</f>
        <v>62</v>
      </c>
      <c r="CS264" s="78">
        <f>1-WWWW[[#This Row],[% people access to functioning Latrine]]</f>
        <v>1</v>
      </c>
      <c r="CT264" s="560">
        <f>IF(OR(WWWW[[#This Row],['#_Non-functional latrines]]="",WWWW[[#This Row],['#_Non-functional latrines]]=0),0,WWWW[[#This Row],['#_Non-functional latrines]]/(WWWW[[#This Row],['#_Constructed latrines_by_WASHAgencies]]+WWWW[[#This Row],['#_Non Cluster partner latrines]]))</f>
        <v>0</v>
      </c>
      <c r="CU264" s="556">
        <f>IF(500*(WWWW[[#This Row],['#_male hygiene promoters]]+WWWW[[#This Row],['#_female hygiene promoters]])&gt;WWWW[[#This Row],[Total PoP ]],WWWW[[#This Row],[Total PoP ]],500*(WWWW[[#This Row],['#_male hygiene promoters]]+WWWW[[#This Row],['#_female hygiene promoters]]))</f>
        <v>0</v>
      </c>
      <c r="CV26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4" s="558">
        <f>IF(WWWW[[#This Row],['# People with access to soap]]&gt;WWWW[[#This Row],['# People with access to Sanity Pads]],WWWW[[#This Row],['# People with access to soap]],WWWW[[#This Row],['# People with access to Sanity Pads]])</f>
        <v>0</v>
      </c>
      <c r="CY26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4" s="561">
        <f>IF(WWWW[[#This Row],[HRP3]]/WWWW[[#This Row],[Total PoP ]]&gt;100%,100%,WWWW[[#This Row],[HRP3]]/WWWW[[#This Row],[Total PoP ]])</f>
        <v>0</v>
      </c>
      <c r="DA264" s="560">
        <f>1-WWWW[[#This Row],[Hygiene Coverage%]]</f>
        <v>1</v>
      </c>
      <c r="DB264" s="559">
        <f>WWWW[[#This Row],['# people reached by regular dedicated hygiene promotion_5]]/WWWW[[#This Row],[Total PoP ]]</f>
        <v>0</v>
      </c>
      <c r="DC264" s="559">
        <f>IF(WWWW[[#This Row],['#_households that received standard amount of soap for this quarter]]/WWWW[[#This Row],[Total HH]]&gt;1,1,WWWW[[#This Row],['#_households that received standard amount of soap for this quarter]]/WWWW[[#This Row],[Total HH]])</f>
        <v>0</v>
      </c>
      <c r="DD264" s="559">
        <f>IF(WWWW[[#This Row],['#_households that received standard amount of sanitary pads for this quarter]]/WWWW[[#This Row],[Total HH]]&gt;1,1,WWWW[[#This Row],['#_households that received standard amount of sanitary pads for this quarter]]/WWWW[[#This Row],[Total HH]])</f>
        <v>0</v>
      </c>
      <c r="DE264" s="558">
        <f>WWWW[[#This Row],['#_Constructed/Existing hand washing stations]]-WWWW[[#This Row],['#_Non-Functional_hand_washing_stations]]</f>
        <v>0</v>
      </c>
      <c r="DF264" s="757">
        <f>IF(WWWW[[#This Row],['# Functional hand washing stations during reporting period]]*20&gt;WWWW[[#This Row],[Total HH]],WWWW[[#This Row],[Total HH]],WWWW[[#This Row],['# Functional hand washing stations during reporting period]]*20)</f>
        <v>0</v>
      </c>
      <c r="DG264" s="556">
        <f>IF(WWWW[[#This Row],[Is sufficient soap available for TLS? (Yes/No)]]="yes",WWWW[[#This Row],['#_Constructed/Existing hand washing stations at TLS]],0)</f>
        <v>0</v>
      </c>
      <c r="DH264" s="556">
        <f>IF(WWWW[[#This Row],['# Functional hand washing stations during reporting period]]*100&gt;WWWW[[#This Row],[Total PoP ]],WWWW[[#This Row],[Total PoP ]],WWWW[[#This Row],['# Functional hand washing stations during reporting period]]*100)</f>
        <v>0</v>
      </c>
      <c r="DI264" s="556" t="str">
        <f>IF(OR(WWWW[[#This Row],['#_students at TLS_CFS]]="",WWWW[[#This Row],['#_students at TLS_CFS]]=0),"No","Yes")</f>
        <v>No</v>
      </c>
      <c r="DJ264" s="554">
        <f>VLOOKUP(WWWW[[#This Row],[Site Name]],SiteDB6[[Site Name]:[CCCM Management]],6,FALSE)</f>
        <v>0</v>
      </c>
      <c r="DK264" s="554">
        <f>VLOOKUP(WWWW[[#This Row],[Site Name]],SiteDB6[[Site Name]:[CCCM Focal Agency]],7,FALSE)</f>
        <v>0</v>
      </c>
      <c r="DL264" s="554" t="str">
        <f>VLOOKUP(WWWW[[#This Row],[Site Name]],SiteDB6[[Site Name]:[Location Type 1]],9,FALSE)</f>
        <v>Village</v>
      </c>
      <c r="DM264" s="554" t="str">
        <f>VLOOKUP(WWWW[[#This Row],[Site Name]],SiteDB6[[Site Name]:[Type of Accommodation]],10,FALSE)</f>
        <v>Village</v>
      </c>
      <c r="DN264" s="554">
        <f>VLOOKUP(WWWW[[#This Row],[Site Name]],SiteDB6[[Site Name]:[Ethnic or GCA/NGCA]],11,FALSE)</f>
        <v>0</v>
      </c>
      <c r="DO264" s="554">
        <f>VLOOKUP(WWWW[[#This Row],[Site Name]],SiteDB6[[Site Name]:[Lat]],12,FALSE)</f>
        <v>20.261358000000001</v>
      </c>
      <c r="DP264" s="554">
        <f>VLOOKUP(WWWW[[#This Row],[Site Name]],SiteDB6[[Site Name]:[Long]],13,FALSE)</f>
        <v>92.805672999999999</v>
      </c>
      <c r="DQ264" s="554">
        <f>VLOOKUP(WWWW[[#This Row],[Site Name]],SiteDB6[[Site Name]:[Pcode]],3,FALSE)</f>
        <v>220593</v>
      </c>
      <c r="DR264" s="563" t="str">
        <f t="shared" si="9"/>
        <v>Covered</v>
      </c>
      <c r="DS264" s="563"/>
    </row>
    <row r="265" spans="1:123">
      <c r="A265" s="552" t="s">
        <v>2518</v>
      </c>
      <c r="B265" s="552" t="s">
        <v>332</v>
      </c>
      <c r="C265" s="555" t="s">
        <v>332</v>
      </c>
      <c r="D265" s="555" t="s">
        <v>325</v>
      </c>
      <c r="E265" s="574" t="s">
        <v>3006</v>
      </c>
      <c r="F265" s="555" t="s">
        <v>313</v>
      </c>
      <c r="G265" s="574" t="str">
        <f>VLOOKUP(WWWW[[#This Row],[Site Name]],SiteDB6[[Site Name]:[Location Type]],8,FALSE)</f>
        <v>Village</v>
      </c>
      <c r="H265" s="555" t="s">
        <v>468</v>
      </c>
      <c r="I265" s="557">
        <v>175</v>
      </c>
      <c r="J265" s="557">
        <v>811</v>
      </c>
      <c r="K265" s="564">
        <v>42736</v>
      </c>
      <c r="L265" s="565">
        <v>44551</v>
      </c>
      <c r="M265" s="557"/>
      <c r="N265" s="557"/>
      <c r="O265" s="557"/>
      <c r="P265" s="557"/>
      <c r="Q265" s="556"/>
      <c r="R265" s="557"/>
      <c r="S265" s="557"/>
      <c r="T265" s="557"/>
      <c r="U265" s="557"/>
      <c r="V265" s="557"/>
      <c r="W265" s="557"/>
      <c r="X265" s="557"/>
      <c r="Y265" s="557"/>
      <c r="Z265" s="557"/>
      <c r="AA265" s="557"/>
      <c r="AB265" s="557"/>
      <c r="AC265" s="557"/>
      <c r="AD265" s="557"/>
      <c r="AE265" s="557"/>
      <c r="AF265" s="557"/>
      <c r="AG265" s="557"/>
      <c r="AH265" s="557"/>
      <c r="AI265" s="557"/>
      <c r="AJ265" s="557"/>
      <c r="AK265" s="557"/>
      <c r="AL265" s="557"/>
      <c r="AM265" s="557"/>
      <c r="AN265" s="557"/>
      <c r="AO265" s="563"/>
      <c r="AP265" s="557"/>
      <c r="AQ265" s="557"/>
      <c r="AR265" s="559"/>
      <c r="AS265" s="557"/>
      <c r="AT265" s="557"/>
      <c r="AU265" s="557"/>
      <c r="AV265" s="557"/>
      <c r="AW265" s="557"/>
      <c r="AX265" s="554"/>
      <c r="AY265" s="563"/>
      <c r="AZ265" s="557"/>
      <c r="BA265" s="557"/>
      <c r="BB265" s="557"/>
      <c r="BC265" s="554"/>
      <c r="BD265" s="557"/>
      <c r="BE265" s="557"/>
      <c r="BF265" s="557"/>
      <c r="BG265" s="557"/>
      <c r="BH265" s="557"/>
      <c r="BI265" s="557"/>
      <c r="BJ265" s="557"/>
      <c r="BK265" s="557"/>
      <c r="BL265" s="557"/>
      <c r="BM265" s="554"/>
      <c r="BN265" s="558"/>
      <c r="BO265" s="559"/>
      <c r="BP265" s="554"/>
      <c r="BQ265" s="560" t="str">
        <f>IFERROR(WWWW[[#This Row],['#_Water sources treated]]/WWWW[[#This Row],['#_Water sources tested for contamination]],"no test")</f>
        <v>no test</v>
      </c>
      <c r="BR265" s="559" t="str">
        <f>IFERROR(WWWW[[#This Row],['#_Household received remediation action due to contamination]]/WWWW[[#This Row],['#_Household water samples tested for contamination]],"no test")</f>
        <v>no test</v>
      </c>
      <c r="BS265" s="558" t="str">
        <f>IF(AND(WWWW[[#This Row],[% of water sources treated]]="no test",WWWW[[#This Row],[% Household received corrective actions]]="no test"),"No Test","Tested")</f>
        <v>No Test</v>
      </c>
      <c r="BT265" s="558">
        <f>WWWW[[#This Row],['#_Constructed/existing protected hand dug well]]-WWWW[[#This Row],['#_Non-functional protected hand dug well]]</f>
        <v>0</v>
      </c>
      <c r="BU265" s="558">
        <f>(WWWW[[#This Row],['#_Constructed/Existing tube wells/boreholes/handpumps_WASH_agency]]+WWWW[[#This Row],['#_Non-Cluster partner water tube-wells/boreholes/handpumps]])-WWWW[[#This Row],['#_Non-functional tube wells/boreholes/handpumps]]</f>
        <v>0</v>
      </c>
      <c r="BV265" s="558">
        <f>WWWW[[#This Row],['#_Constructed/Existingwater storage tank with gravity fed reticulation system]]-WWWW[[#This Row],['#_Non-functional storage tank gravity fed reticulation system]]</f>
        <v>0</v>
      </c>
      <c r="BW265" s="558">
        <f>WWWW[[#This Row],['#_Water boating or water trucking]]</f>
        <v>0</v>
      </c>
      <c r="BX265" s="558">
        <f>WWWW[[#This Row],['#_Constructed/Existing water distribution system from river or natural spring]]</f>
        <v>0</v>
      </c>
      <c r="BY26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5" s="559">
        <f>IF(WWWW[[#This Row],[Location Type 1]]="Village",WWWW[[#This Row],[Access to safe drinking water for Village]],WWWW[[#This Row],[Access to safe drinking water for Camp]])</f>
        <v>0</v>
      </c>
      <c r="CB265" s="556">
        <f>WWWW[[#This Row],[%Equitable and continuous access to sufficient quantity of safe drinking water]]*WWWW[[#This Row],[Total PoP ]]</f>
        <v>0</v>
      </c>
      <c r="CC265" s="559">
        <f>IF((WWWW[[#This Row],['#_Constructed/Existing protected/fenced ponds]]*250)/WWWW[[#This Row],[Total PoP ]]&gt;1,1,(WWWW[[#This Row],['#_Constructed/Existing protected/fenced ponds]]*250)/WWWW[[#This Row],[Total PoP ]])</f>
        <v>0</v>
      </c>
      <c r="CD265" s="556">
        <f>WWWW[[#This Row],[% Access to unimproved water points]]*WWWW[[#This Row],[Total PoP ]]</f>
        <v>0</v>
      </c>
      <c r="CE26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5" s="556">
        <f>WWWW[[#This Row],[HRP1]]/500</f>
        <v>0</v>
      </c>
      <c r="CH265" s="561">
        <f>1-WWWW[[#This Row],[% Equitable and continuous access to sufficient quantity of domestic water]]</f>
        <v>1</v>
      </c>
      <c r="CI265" s="556">
        <f>WWWW[[#This Row],[%equitable and continuous access to sufficient quantity of safe drinking and domestic water''s GAP]]*WWWW[[#This Row],[Total PoP ]]</f>
        <v>811</v>
      </c>
      <c r="CJ265" s="558">
        <f>IF(WWWW[[#This Row],[Total required water points]]-WWWW[[#This Row],['#Water points coverage]]&lt;0,0,WWWW[[#This Row],[Total required water points]]-WWWW[[#This Row],['#Water points coverage]])</f>
        <v>2</v>
      </c>
      <c r="CK265" s="558">
        <f>ROUND(IF(WWWW[[#This Row],[Total PoP ]]&lt;500,1,WWWW[[#This Row],[Total PoP ]]/500),0)</f>
        <v>2</v>
      </c>
      <c r="CL265" s="558">
        <f>(WWWW[[#This Row],['#_Constructed latrines_by_WASHAgencies]]+WWWW[[#This Row],['#_Non Cluster partner latrines]])-WWWW[[#This Row],['#_Non-functional latrines]]</f>
        <v>0</v>
      </c>
      <c r="CM26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5" s="558" t="str">
        <f>IF(WWWW[[#This Row],[Location Type 1]]="Village","NA",IF(WWWW[[#This Row],['#_Constructed/Existing latrines in TLS]]*50&gt;WWWW[[#This Row],['#_students at TLS_CFS]],WWWW[[#This Row],['#_students at TLS_CFS]],(WWWW[[#This Row],['#_Constructed/Existing latrines in TLS]]*50)))</f>
        <v>NA</v>
      </c>
      <c r="CQ265" s="558">
        <f>ROUND(IF(WWWW[[#This Row],[Location Type 1]]="camp",WWWW[[#This Row],[Total PoP ]]/20,IF(WWWW[[#This Row],[Location Type 1]]="Temporary Location",WWWW[[#This Row],[Total PoP ]]/50,(WWWW[[#This Row],[Total PoP ]]/6))),0)</f>
        <v>135</v>
      </c>
      <c r="CR265" s="558">
        <f>IF(WWWW[[#This Row],[Total required Latrines]]-(WWWW[[#This Row],['#_Constructed latrines_by_WASHAgencies]]+WWWW[[#This Row],['#_Non Cluster partner latrines]])&lt;0,0,WWWW[[#This Row],[Total required Latrines]]-(WWWW[[#This Row],['#_Constructed latrines_by_WASHAgencies]]+WWWW[[#This Row],['#_Non Cluster partner latrines]]))</f>
        <v>135</v>
      </c>
      <c r="CS265" s="78">
        <f>1-WWWW[[#This Row],[% people access to functioning Latrine]]</f>
        <v>1</v>
      </c>
      <c r="CT265" s="560">
        <f>IF(OR(WWWW[[#This Row],['#_Non-functional latrines]]="",WWWW[[#This Row],['#_Non-functional latrines]]=0),0,WWWW[[#This Row],['#_Non-functional latrines]]/(WWWW[[#This Row],['#_Constructed latrines_by_WASHAgencies]]+WWWW[[#This Row],['#_Non Cluster partner latrines]]))</f>
        <v>0</v>
      </c>
      <c r="CU265" s="556">
        <f>IF(500*(WWWW[[#This Row],['#_male hygiene promoters]]+WWWW[[#This Row],['#_female hygiene promoters]])&gt;WWWW[[#This Row],[Total PoP ]],WWWW[[#This Row],[Total PoP ]],500*(WWWW[[#This Row],['#_male hygiene promoters]]+WWWW[[#This Row],['#_female hygiene promoters]]))</f>
        <v>0</v>
      </c>
      <c r="CV26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5" s="558">
        <f>IF(WWWW[[#This Row],['# People with access to soap]]&gt;WWWW[[#This Row],['# People with access to Sanity Pads]],WWWW[[#This Row],['# People with access to soap]],WWWW[[#This Row],['# People with access to Sanity Pads]])</f>
        <v>0</v>
      </c>
      <c r="CY26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5" s="561">
        <f>IF(WWWW[[#This Row],[HRP3]]/WWWW[[#This Row],[Total PoP ]]&gt;100%,100%,WWWW[[#This Row],[HRP3]]/WWWW[[#This Row],[Total PoP ]])</f>
        <v>0</v>
      </c>
      <c r="DA265" s="560">
        <f>1-WWWW[[#This Row],[Hygiene Coverage%]]</f>
        <v>1</v>
      </c>
      <c r="DB265" s="559">
        <f>WWWW[[#This Row],['# people reached by regular dedicated hygiene promotion_5]]/WWWW[[#This Row],[Total PoP ]]</f>
        <v>0</v>
      </c>
      <c r="DC265" s="559">
        <f>IF(WWWW[[#This Row],['#_households that received standard amount of soap for this quarter]]/WWWW[[#This Row],[Total HH]]&gt;1,1,WWWW[[#This Row],['#_households that received standard amount of soap for this quarter]]/WWWW[[#This Row],[Total HH]])</f>
        <v>0</v>
      </c>
      <c r="DD265" s="559">
        <f>IF(WWWW[[#This Row],['#_households that received standard amount of sanitary pads for this quarter]]/WWWW[[#This Row],[Total HH]]&gt;1,1,WWWW[[#This Row],['#_households that received standard amount of sanitary pads for this quarter]]/WWWW[[#This Row],[Total HH]])</f>
        <v>0</v>
      </c>
      <c r="DE265" s="558">
        <f>WWWW[[#This Row],['#_Constructed/Existing hand washing stations]]-WWWW[[#This Row],['#_Non-Functional_hand_washing_stations]]</f>
        <v>0</v>
      </c>
      <c r="DF265" s="757">
        <f>IF(WWWW[[#This Row],['# Functional hand washing stations during reporting period]]*20&gt;WWWW[[#This Row],[Total HH]],WWWW[[#This Row],[Total HH]],WWWW[[#This Row],['# Functional hand washing stations during reporting period]]*20)</f>
        <v>0</v>
      </c>
      <c r="DG265" s="556">
        <f>IF(WWWW[[#This Row],[Is sufficient soap available for TLS? (Yes/No)]]="yes",WWWW[[#This Row],['#_Constructed/Existing hand washing stations at TLS]],0)</f>
        <v>0</v>
      </c>
      <c r="DH265" s="556">
        <f>IF(WWWW[[#This Row],['# Functional hand washing stations during reporting period]]*100&gt;WWWW[[#This Row],[Total PoP ]],WWWW[[#This Row],[Total PoP ]],WWWW[[#This Row],['# Functional hand washing stations during reporting period]]*100)</f>
        <v>0</v>
      </c>
      <c r="DI265" s="556" t="str">
        <f>IF(OR(WWWW[[#This Row],['#_students at TLS_CFS]]="",WWWW[[#This Row],['#_students at TLS_CFS]]=0),"No","Yes")</f>
        <v>No</v>
      </c>
      <c r="DJ265" s="554">
        <f>VLOOKUP(WWWW[[#This Row],[Site Name]],SiteDB6[[Site Name]:[CCCM Management]],6,FALSE)</f>
        <v>0</v>
      </c>
      <c r="DK265" s="554">
        <f>VLOOKUP(WWWW[[#This Row],[Site Name]],SiteDB6[[Site Name]:[CCCM Focal Agency]],7,FALSE)</f>
        <v>0</v>
      </c>
      <c r="DL265" s="554" t="str">
        <f>VLOOKUP(WWWW[[#This Row],[Site Name]],SiteDB6[[Site Name]:[Location Type 1]],9,FALSE)</f>
        <v>Village</v>
      </c>
      <c r="DM265" s="554" t="str">
        <f>VLOOKUP(WWWW[[#This Row],[Site Name]],SiteDB6[[Site Name]:[Type of Accommodation]],10,FALSE)</f>
        <v>Village</v>
      </c>
      <c r="DN265" s="554" t="str">
        <f>VLOOKUP(WWWW[[#This Row],[Site Name]],SiteDB6[[Site Name]:[Ethnic or GCA/NGCA]],11,FALSE)</f>
        <v>Rakhine</v>
      </c>
      <c r="DO265" s="554">
        <f>VLOOKUP(WWWW[[#This Row],[Site Name]],SiteDB6[[Site Name]:[Lat]],12,FALSE)</f>
        <v>20.245159149999999</v>
      </c>
      <c r="DP265" s="554">
        <f>VLOOKUP(WWWW[[#This Row],[Site Name]],SiteDB6[[Site Name]:[Long]],13,FALSE)</f>
        <v>92.807418819999995</v>
      </c>
      <c r="DQ265" s="554">
        <f>VLOOKUP(WWWW[[#This Row],[Site Name]],SiteDB6[[Site Name]:[Pcode]],3,FALSE)</f>
        <v>196137</v>
      </c>
      <c r="DR265" s="563" t="str">
        <f t="shared" si="9"/>
        <v>Covered</v>
      </c>
      <c r="DS265" s="563"/>
    </row>
    <row r="266" spans="1:123">
      <c r="A266" s="552" t="s">
        <v>2518</v>
      </c>
      <c r="B266" s="552" t="s">
        <v>332</v>
      </c>
      <c r="C266" s="555" t="s">
        <v>332</v>
      </c>
      <c r="D266" s="555" t="s">
        <v>325</v>
      </c>
      <c r="E266" s="574" t="s">
        <v>3006</v>
      </c>
      <c r="F266" s="555" t="s">
        <v>313</v>
      </c>
      <c r="G266" s="574" t="str">
        <f>VLOOKUP(WWWW[[#This Row],[Site Name]],SiteDB6[[Site Name]:[Location Type]],8,FALSE)</f>
        <v>Village</v>
      </c>
      <c r="H266" s="555" t="s">
        <v>2078</v>
      </c>
      <c r="I266" s="557">
        <v>355</v>
      </c>
      <c r="J266" s="557">
        <v>2168</v>
      </c>
      <c r="K266" s="564">
        <v>42736</v>
      </c>
      <c r="L266" s="565">
        <v>44551</v>
      </c>
      <c r="M266" s="557"/>
      <c r="N266" s="557"/>
      <c r="O266" s="557"/>
      <c r="P266" s="557"/>
      <c r="Q266" s="556"/>
      <c r="R266" s="557"/>
      <c r="S266" s="557"/>
      <c r="T266" s="557"/>
      <c r="U266" s="557"/>
      <c r="V266" s="557"/>
      <c r="W266" s="557"/>
      <c r="X266" s="557"/>
      <c r="Y266" s="557"/>
      <c r="Z266" s="557"/>
      <c r="AA266" s="557"/>
      <c r="AB266" s="557"/>
      <c r="AC266" s="557"/>
      <c r="AD266" s="557"/>
      <c r="AE266" s="557"/>
      <c r="AF266" s="557"/>
      <c r="AG266" s="557"/>
      <c r="AH266" s="557"/>
      <c r="AI266" s="557"/>
      <c r="AJ266" s="557"/>
      <c r="AK266" s="557"/>
      <c r="AL266" s="557"/>
      <c r="AM266" s="557"/>
      <c r="AN266" s="557"/>
      <c r="AO266" s="563"/>
      <c r="AP266" s="557"/>
      <c r="AQ266" s="557"/>
      <c r="AR266" s="559"/>
      <c r="AS266" s="557"/>
      <c r="AT266" s="557"/>
      <c r="AU266" s="557"/>
      <c r="AV266" s="557"/>
      <c r="AW266" s="557"/>
      <c r="AX266" s="554"/>
      <c r="AY266" s="563"/>
      <c r="AZ266" s="557"/>
      <c r="BA266" s="557"/>
      <c r="BB266" s="557"/>
      <c r="BC266" s="554"/>
      <c r="BD266" s="557"/>
      <c r="BE266" s="557"/>
      <c r="BF266" s="557"/>
      <c r="BG266" s="557"/>
      <c r="BH266" s="557"/>
      <c r="BI266" s="557"/>
      <c r="BJ266" s="557"/>
      <c r="BK266" s="557"/>
      <c r="BL266" s="557"/>
      <c r="BM266" s="554"/>
      <c r="BN266" s="558"/>
      <c r="BO266" s="559"/>
      <c r="BP266" s="554"/>
      <c r="BQ266" s="560" t="str">
        <f>IFERROR(WWWW[[#This Row],['#_Water sources treated]]/WWWW[[#This Row],['#_Water sources tested for contamination]],"no test")</f>
        <v>no test</v>
      </c>
      <c r="BR266" s="559" t="str">
        <f>IFERROR(WWWW[[#This Row],['#_Household received remediation action due to contamination]]/WWWW[[#This Row],['#_Household water samples tested for contamination]],"no test")</f>
        <v>no test</v>
      </c>
      <c r="BS266" s="558" t="str">
        <f>IF(AND(WWWW[[#This Row],[% of water sources treated]]="no test",WWWW[[#This Row],[% Household received corrective actions]]="no test"),"No Test","Tested")</f>
        <v>No Test</v>
      </c>
      <c r="BT266" s="558">
        <f>WWWW[[#This Row],['#_Constructed/existing protected hand dug well]]-WWWW[[#This Row],['#_Non-functional protected hand dug well]]</f>
        <v>0</v>
      </c>
      <c r="BU266" s="558">
        <f>(WWWW[[#This Row],['#_Constructed/Existing tube wells/boreholes/handpumps_WASH_agency]]+WWWW[[#This Row],['#_Non-Cluster partner water tube-wells/boreholes/handpumps]])-WWWW[[#This Row],['#_Non-functional tube wells/boreholes/handpumps]]</f>
        <v>0</v>
      </c>
      <c r="BV266" s="558">
        <f>WWWW[[#This Row],['#_Constructed/Existingwater storage tank with gravity fed reticulation system]]-WWWW[[#This Row],['#_Non-functional storage tank gravity fed reticulation system]]</f>
        <v>0</v>
      </c>
      <c r="BW266" s="558">
        <f>WWWW[[#This Row],['#_Water boating or water trucking]]</f>
        <v>0</v>
      </c>
      <c r="BX266" s="558">
        <f>WWWW[[#This Row],['#_Constructed/Existing water distribution system from river or natural spring]]</f>
        <v>0</v>
      </c>
      <c r="BY26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6" s="559">
        <f>IF(WWWW[[#This Row],[Location Type 1]]="Village",WWWW[[#This Row],[Access to safe drinking water for Village]],WWWW[[#This Row],[Access to safe drinking water for Camp]])</f>
        <v>0</v>
      </c>
      <c r="CB266" s="556">
        <f>WWWW[[#This Row],[%Equitable and continuous access to sufficient quantity of safe drinking water]]*WWWW[[#This Row],[Total PoP ]]</f>
        <v>0</v>
      </c>
      <c r="CC266" s="559">
        <f>IF((WWWW[[#This Row],['#_Constructed/Existing protected/fenced ponds]]*250)/WWWW[[#This Row],[Total PoP ]]&gt;1,1,(WWWW[[#This Row],['#_Constructed/Existing protected/fenced ponds]]*250)/WWWW[[#This Row],[Total PoP ]])</f>
        <v>0</v>
      </c>
      <c r="CD266" s="556">
        <f>WWWW[[#This Row],[% Access to unimproved water points]]*WWWW[[#This Row],[Total PoP ]]</f>
        <v>0</v>
      </c>
      <c r="CE26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6" s="556">
        <f>WWWW[[#This Row],[HRP1]]/500</f>
        <v>0</v>
      </c>
      <c r="CH266" s="561">
        <f>1-WWWW[[#This Row],[% Equitable and continuous access to sufficient quantity of domestic water]]</f>
        <v>1</v>
      </c>
      <c r="CI266" s="556">
        <f>WWWW[[#This Row],[%equitable and continuous access to sufficient quantity of safe drinking and domestic water''s GAP]]*WWWW[[#This Row],[Total PoP ]]</f>
        <v>2168</v>
      </c>
      <c r="CJ266" s="558">
        <f>IF(WWWW[[#This Row],[Total required water points]]-WWWW[[#This Row],['#Water points coverage]]&lt;0,0,WWWW[[#This Row],[Total required water points]]-WWWW[[#This Row],['#Water points coverage]])</f>
        <v>4</v>
      </c>
      <c r="CK266" s="558">
        <f>ROUND(IF(WWWW[[#This Row],[Total PoP ]]&lt;500,1,WWWW[[#This Row],[Total PoP ]]/500),0)</f>
        <v>4</v>
      </c>
      <c r="CL266" s="558">
        <f>(WWWW[[#This Row],['#_Constructed latrines_by_WASHAgencies]]+WWWW[[#This Row],['#_Non Cluster partner latrines]])-WWWW[[#This Row],['#_Non-functional latrines]]</f>
        <v>0</v>
      </c>
      <c r="CM26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6" s="558" t="str">
        <f>IF(WWWW[[#This Row],[Location Type 1]]="Village","NA",IF(WWWW[[#This Row],['#_Constructed/Existing latrines in TLS]]*50&gt;WWWW[[#This Row],['#_students at TLS_CFS]],WWWW[[#This Row],['#_students at TLS_CFS]],(WWWW[[#This Row],['#_Constructed/Existing latrines in TLS]]*50)))</f>
        <v>NA</v>
      </c>
      <c r="CQ266" s="558">
        <f>ROUND(IF(WWWW[[#This Row],[Location Type 1]]="camp",WWWW[[#This Row],[Total PoP ]]/20,IF(WWWW[[#This Row],[Location Type 1]]="Temporary Location",WWWW[[#This Row],[Total PoP ]]/50,(WWWW[[#This Row],[Total PoP ]]/6))),0)</f>
        <v>361</v>
      </c>
      <c r="CR266" s="558">
        <f>IF(WWWW[[#This Row],[Total required Latrines]]-(WWWW[[#This Row],['#_Constructed latrines_by_WASHAgencies]]+WWWW[[#This Row],['#_Non Cluster partner latrines]])&lt;0,0,WWWW[[#This Row],[Total required Latrines]]-(WWWW[[#This Row],['#_Constructed latrines_by_WASHAgencies]]+WWWW[[#This Row],['#_Non Cluster partner latrines]]))</f>
        <v>361</v>
      </c>
      <c r="CS266" s="78">
        <f>1-WWWW[[#This Row],[% people access to functioning Latrine]]</f>
        <v>1</v>
      </c>
      <c r="CT266" s="560">
        <f>IF(OR(WWWW[[#This Row],['#_Non-functional latrines]]="",WWWW[[#This Row],['#_Non-functional latrines]]=0),0,WWWW[[#This Row],['#_Non-functional latrines]]/(WWWW[[#This Row],['#_Constructed latrines_by_WASHAgencies]]+WWWW[[#This Row],['#_Non Cluster partner latrines]]))</f>
        <v>0</v>
      </c>
      <c r="CU266" s="556">
        <f>IF(500*(WWWW[[#This Row],['#_male hygiene promoters]]+WWWW[[#This Row],['#_female hygiene promoters]])&gt;WWWW[[#This Row],[Total PoP ]],WWWW[[#This Row],[Total PoP ]],500*(WWWW[[#This Row],['#_male hygiene promoters]]+WWWW[[#This Row],['#_female hygiene promoters]]))</f>
        <v>0</v>
      </c>
      <c r="CV26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6" s="558">
        <f>IF(WWWW[[#This Row],['# People with access to soap]]&gt;WWWW[[#This Row],['# People with access to Sanity Pads]],WWWW[[#This Row],['# People with access to soap]],WWWW[[#This Row],['# People with access to Sanity Pads]])</f>
        <v>0</v>
      </c>
      <c r="CY26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6" s="561">
        <f>IF(WWWW[[#This Row],[HRP3]]/WWWW[[#This Row],[Total PoP ]]&gt;100%,100%,WWWW[[#This Row],[HRP3]]/WWWW[[#This Row],[Total PoP ]])</f>
        <v>0</v>
      </c>
      <c r="DA266" s="560">
        <f>1-WWWW[[#This Row],[Hygiene Coverage%]]</f>
        <v>1</v>
      </c>
      <c r="DB266" s="559">
        <f>WWWW[[#This Row],['# people reached by regular dedicated hygiene promotion_5]]/WWWW[[#This Row],[Total PoP ]]</f>
        <v>0</v>
      </c>
      <c r="DC266" s="559">
        <f>IF(WWWW[[#This Row],['#_households that received standard amount of soap for this quarter]]/WWWW[[#This Row],[Total HH]]&gt;1,1,WWWW[[#This Row],['#_households that received standard amount of soap for this quarter]]/WWWW[[#This Row],[Total HH]])</f>
        <v>0</v>
      </c>
      <c r="DD266" s="559">
        <f>IF(WWWW[[#This Row],['#_households that received standard amount of sanitary pads for this quarter]]/WWWW[[#This Row],[Total HH]]&gt;1,1,WWWW[[#This Row],['#_households that received standard amount of sanitary pads for this quarter]]/WWWW[[#This Row],[Total HH]])</f>
        <v>0</v>
      </c>
      <c r="DE266" s="558">
        <f>WWWW[[#This Row],['#_Constructed/Existing hand washing stations]]-WWWW[[#This Row],['#_Non-Functional_hand_washing_stations]]</f>
        <v>0</v>
      </c>
      <c r="DF266" s="757">
        <f>IF(WWWW[[#This Row],['# Functional hand washing stations during reporting period]]*20&gt;WWWW[[#This Row],[Total HH]],WWWW[[#This Row],[Total HH]],WWWW[[#This Row],['# Functional hand washing stations during reporting period]]*20)</f>
        <v>0</v>
      </c>
      <c r="DG266" s="556">
        <f>IF(WWWW[[#This Row],[Is sufficient soap available for TLS? (Yes/No)]]="yes",WWWW[[#This Row],['#_Constructed/Existing hand washing stations at TLS]],0)</f>
        <v>0</v>
      </c>
      <c r="DH266" s="556">
        <f>IF(WWWW[[#This Row],['# Functional hand washing stations during reporting period]]*100&gt;WWWW[[#This Row],[Total PoP ]],WWWW[[#This Row],[Total PoP ]],WWWW[[#This Row],['# Functional hand washing stations during reporting period]]*100)</f>
        <v>0</v>
      </c>
      <c r="DI266" s="556" t="str">
        <f>IF(OR(WWWW[[#This Row],['#_students at TLS_CFS]]="",WWWW[[#This Row],['#_students at TLS_CFS]]=0),"No","Yes")</f>
        <v>No</v>
      </c>
      <c r="DJ266" s="554">
        <f>VLOOKUP(WWWW[[#This Row],[Site Name]],SiteDB6[[Site Name]:[CCCM Management]],6,FALSE)</f>
        <v>0</v>
      </c>
      <c r="DK266" s="554">
        <f>VLOOKUP(WWWW[[#This Row],[Site Name]],SiteDB6[[Site Name]:[CCCM Focal Agency]],7,FALSE)</f>
        <v>0</v>
      </c>
      <c r="DL266" s="554" t="str">
        <f>VLOOKUP(WWWW[[#This Row],[Site Name]],SiteDB6[[Site Name]:[Location Type 1]],9,FALSE)</f>
        <v>Village</v>
      </c>
      <c r="DM266" s="554" t="str">
        <f>VLOOKUP(WWWW[[#This Row],[Site Name]],SiteDB6[[Site Name]:[Type of Accommodation]],10,FALSE)</f>
        <v>Village</v>
      </c>
      <c r="DN266" s="554">
        <f>VLOOKUP(WWWW[[#This Row],[Site Name]],SiteDB6[[Site Name]:[Ethnic or GCA/NGCA]],11,FALSE)</f>
        <v>0</v>
      </c>
      <c r="DO266" s="554">
        <f>VLOOKUP(WWWW[[#This Row],[Site Name]],SiteDB6[[Site Name]:[Lat]],12,FALSE)</f>
        <v>20.246250152587901</v>
      </c>
      <c r="DP266" s="554">
        <f>VLOOKUP(WWWW[[#This Row],[Site Name]],SiteDB6[[Site Name]:[Long]],13,FALSE)</f>
        <v>92.822059631347699</v>
      </c>
      <c r="DQ266" s="554">
        <f>VLOOKUP(WWWW[[#This Row],[Site Name]],SiteDB6[[Site Name]:[Pcode]],3,FALSE)</f>
        <v>196160</v>
      </c>
      <c r="DR266" s="563" t="str">
        <f t="shared" si="9"/>
        <v>Covered</v>
      </c>
      <c r="DS266" s="563"/>
    </row>
    <row r="267" spans="1:123">
      <c r="A267" s="552" t="s">
        <v>2518</v>
      </c>
      <c r="B267" s="552" t="s">
        <v>332</v>
      </c>
      <c r="C267" s="555" t="s">
        <v>332</v>
      </c>
      <c r="D267" s="555" t="s">
        <v>325</v>
      </c>
      <c r="E267" s="574" t="s">
        <v>3006</v>
      </c>
      <c r="F267" s="555" t="s">
        <v>313</v>
      </c>
      <c r="G267" s="574" t="str">
        <f>VLOOKUP(WWWW[[#This Row],[Site Name]],SiteDB6[[Site Name]:[Location Type]],8,FALSE)</f>
        <v>Village</v>
      </c>
      <c r="H267" s="555" t="s">
        <v>2891</v>
      </c>
      <c r="I267" s="557">
        <v>300</v>
      </c>
      <c r="J267" s="557">
        <v>1369</v>
      </c>
      <c r="K267" s="564">
        <v>42736</v>
      </c>
      <c r="L267" s="565">
        <v>44551</v>
      </c>
      <c r="M267" s="557"/>
      <c r="N267" s="557"/>
      <c r="O267" s="557"/>
      <c r="P267" s="557"/>
      <c r="Q267" s="556"/>
      <c r="R267" s="557"/>
      <c r="S267" s="557"/>
      <c r="T267" s="557"/>
      <c r="U267" s="557"/>
      <c r="V267" s="557"/>
      <c r="W267" s="557"/>
      <c r="X267" s="557"/>
      <c r="Y267" s="557"/>
      <c r="Z267" s="557"/>
      <c r="AA267" s="557"/>
      <c r="AB267" s="557"/>
      <c r="AC267" s="557"/>
      <c r="AD267" s="557"/>
      <c r="AE267" s="557"/>
      <c r="AF267" s="557"/>
      <c r="AG267" s="557"/>
      <c r="AH267" s="557"/>
      <c r="AI267" s="557"/>
      <c r="AJ267" s="557"/>
      <c r="AK267" s="557"/>
      <c r="AL267" s="557"/>
      <c r="AM267" s="557"/>
      <c r="AN267" s="557"/>
      <c r="AO267" s="563"/>
      <c r="AP267" s="557"/>
      <c r="AQ267" s="557"/>
      <c r="AR267" s="559"/>
      <c r="AS267" s="557"/>
      <c r="AT267" s="557"/>
      <c r="AU267" s="557"/>
      <c r="AV267" s="557"/>
      <c r="AW267" s="557"/>
      <c r="AX267" s="554"/>
      <c r="AY267" s="563"/>
      <c r="AZ267" s="557"/>
      <c r="BA267" s="557"/>
      <c r="BB267" s="557"/>
      <c r="BC267" s="554"/>
      <c r="BD267" s="557"/>
      <c r="BE267" s="557"/>
      <c r="BF267" s="557"/>
      <c r="BG267" s="557"/>
      <c r="BH267" s="557"/>
      <c r="BI267" s="557"/>
      <c r="BJ267" s="557"/>
      <c r="BK267" s="557"/>
      <c r="BL267" s="557"/>
      <c r="BM267" s="554"/>
      <c r="BN267" s="558"/>
      <c r="BO267" s="559"/>
      <c r="BP267" s="554"/>
      <c r="BQ267" s="560" t="str">
        <f>IFERROR(WWWW[[#This Row],['#_Water sources treated]]/WWWW[[#This Row],['#_Water sources tested for contamination]],"no test")</f>
        <v>no test</v>
      </c>
      <c r="BR267" s="559" t="str">
        <f>IFERROR(WWWW[[#This Row],['#_Household received remediation action due to contamination]]/WWWW[[#This Row],['#_Household water samples tested for contamination]],"no test")</f>
        <v>no test</v>
      </c>
      <c r="BS267" s="558" t="str">
        <f>IF(AND(WWWW[[#This Row],[% of water sources treated]]="no test",WWWW[[#This Row],[% Household received corrective actions]]="no test"),"No Test","Tested")</f>
        <v>No Test</v>
      </c>
      <c r="BT267" s="558">
        <f>WWWW[[#This Row],['#_Constructed/existing protected hand dug well]]-WWWW[[#This Row],['#_Non-functional protected hand dug well]]</f>
        <v>0</v>
      </c>
      <c r="BU267" s="558">
        <f>(WWWW[[#This Row],['#_Constructed/Existing tube wells/boreholes/handpumps_WASH_agency]]+WWWW[[#This Row],['#_Non-Cluster partner water tube-wells/boreholes/handpumps]])-WWWW[[#This Row],['#_Non-functional tube wells/boreholes/handpumps]]</f>
        <v>0</v>
      </c>
      <c r="BV267" s="558">
        <f>WWWW[[#This Row],['#_Constructed/Existingwater storage tank with gravity fed reticulation system]]-WWWW[[#This Row],['#_Non-functional storage tank gravity fed reticulation system]]</f>
        <v>0</v>
      </c>
      <c r="BW267" s="558">
        <f>WWWW[[#This Row],['#_Water boating or water trucking]]</f>
        <v>0</v>
      </c>
      <c r="BX267" s="558">
        <f>WWWW[[#This Row],['#_Constructed/Existing water distribution system from river or natural spring]]</f>
        <v>0</v>
      </c>
      <c r="BY26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7" s="559">
        <f>IF(WWWW[[#This Row],[Location Type 1]]="Village",WWWW[[#This Row],[Access to safe drinking water for Village]],WWWW[[#This Row],[Access to safe drinking water for Camp]])</f>
        <v>0</v>
      </c>
      <c r="CB267" s="556">
        <f>WWWW[[#This Row],[%Equitable and continuous access to sufficient quantity of safe drinking water]]*WWWW[[#This Row],[Total PoP ]]</f>
        <v>0</v>
      </c>
      <c r="CC267" s="559">
        <f>IF((WWWW[[#This Row],['#_Constructed/Existing protected/fenced ponds]]*250)/WWWW[[#This Row],[Total PoP ]]&gt;1,1,(WWWW[[#This Row],['#_Constructed/Existing protected/fenced ponds]]*250)/WWWW[[#This Row],[Total PoP ]])</f>
        <v>0</v>
      </c>
      <c r="CD267" s="556">
        <f>WWWW[[#This Row],[% Access to unimproved water points]]*WWWW[[#This Row],[Total PoP ]]</f>
        <v>0</v>
      </c>
      <c r="CE26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7" s="556">
        <f>WWWW[[#This Row],[HRP1]]/500</f>
        <v>0</v>
      </c>
      <c r="CH267" s="561">
        <f>1-WWWW[[#This Row],[% Equitable and continuous access to sufficient quantity of domestic water]]</f>
        <v>1</v>
      </c>
      <c r="CI267" s="556">
        <f>WWWW[[#This Row],[%equitable and continuous access to sufficient quantity of safe drinking and domestic water''s GAP]]*WWWW[[#This Row],[Total PoP ]]</f>
        <v>1369</v>
      </c>
      <c r="CJ267" s="558">
        <f>IF(WWWW[[#This Row],[Total required water points]]-WWWW[[#This Row],['#Water points coverage]]&lt;0,0,WWWW[[#This Row],[Total required water points]]-WWWW[[#This Row],['#Water points coverage]])</f>
        <v>3</v>
      </c>
      <c r="CK267" s="558">
        <f>ROUND(IF(WWWW[[#This Row],[Total PoP ]]&lt;500,1,WWWW[[#This Row],[Total PoP ]]/500),0)</f>
        <v>3</v>
      </c>
      <c r="CL267" s="558">
        <f>(WWWW[[#This Row],['#_Constructed latrines_by_WASHAgencies]]+WWWW[[#This Row],['#_Non Cluster partner latrines]])-WWWW[[#This Row],['#_Non-functional latrines]]</f>
        <v>0</v>
      </c>
      <c r="CM26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7" s="558" t="str">
        <f>IF(WWWW[[#This Row],[Location Type 1]]="Village","NA",IF(WWWW[[#This Row],['#_Constructed/Existing latrines in TLS]]*50&gt;WWWW[[#This Row],['#_students at TLS_CFS]],WWWW[[#This Row],['#_students at TLS_CFS]],(WWWW[[#This Row],['#_Constructed/Existing latrines in TLS]]*50)))</f>
        <v>NA</v>
      </c>
      <c r="CQ267" s="558">
        <f>ROUND(IF(WWWW[[#This Row],[Location Type 1]]="camp",WWWW[[#This Row],[Total PoP ]]/20,IF(WWWW[[#This Row],[Location Type 1]]="Temporary Location",WWWW[[#This Row],[Total PoP ]]/50,(WWWW[[#This Row],[Total PoP ]]/6))),0)</f>
        <v>228</v>
      </c>
      <c r="CR267" s="558">
        <f>IF(WWWW[[#This Row],[Total required Latrines]]-(WWWW[[#This Row],['#_Constructed latrines_by_WASHAgencies]]+WWWW[[#This Row],['#_Non Cluster partner latrines]])&lt;0,0,WWWW[[#This Row],[Total required Latrines]]-(WWWW[[#This Row],['#_Constructed latrines_by_WASHAgencies]]+WWWW[[#This Row],['#_Non Cluster partner latrines]]))</f>
        <v>228</v>
      </c>
      <c r="CS267" s="78">
        <f>1-WWWW[[#This Row],[% people access to functioning Latrine]]</f>
        <v>1</v>
      </c>
      <c r="CT267" s="560">
        <f>IF(OR(WWWW[[#This Row],['#_Non-functional latrines]]="",WWWW[[#This Row],['#_Non-functional latrines]]=0),0,WWWW[[#This Row],['#_Non-functional latrines]]/(WWWW[[#This Row],['#_Constructed latrines_by_WASHAgencies]]+WWWW[[#This Row],['#_Non Cluster partner latrines]]))</f>
        <v>0</v>
      </c>
      <c r="CU267" s="556">
        <f>IF(500*(WWWW[[#This Row],['#_male hygiene promoters]]+WWWW[[#This Row],['#_female hygiene promoters]])&gt;WWWW[[#This Row],[Total PoP ]],WWWW[[#This Row],[Total PoP ]],500*(WWWW[[#This Row],['#_male hygiene promoters]]+WWWW[[#This Row],['#_female hygiene promoters]]))</f>
        <v>0</v>
      </c>
      <c r="CV26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7" s="558">
        <f>IF(WWWW[[#This Row],['# People with access to soap]]&gt;WWWW[[#This Row],['# People with access to Sanity Pads]],WWWW[[#This Row],['# People with access to soap]],WWWW[[#This Row],['# People with access to Sanity Pads]])</f>
        <v>0</v>
      </c>
      <c r="CY26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7" s="561">
        <f>IF(WWWW[[#This Row],[HRP3]]/WWWW[[#This Row],[Total PoP ]]&gt;100%,100%,WWWW[[#This Row],[HRP3]]/WWWW[[#This Row],[Total PoP ]])</f>
        <v>0</v>
      </c>
      <c r="DA267" s="560">
        <f>1-WWWW[[#This Row],[Hygiene Coverage%]]</f>
        <v>1</v>
      </c>
      <c r="DB267" s="559">
        <f>WWWW[[#This Row],['# people reached by regular dedicated hygiene promotion_5]]/WWWW[[#This Row],[Total PoP ]]</f>
        <v>0</v>
      </c>
      <c r="DC267" s="559">
        <f>IF(WWWW[[#This Row],['#_households that received standard amount of soap for this quarter]]/WWWW[[#This Row],[Total HH]]&gt;1,1,WWWW[[#This Row],['#_households that received standard amount of soap for this quarter]]/WWWW[[#This Row],[Total HH]])</f>
        <v>0</v>
      </c>
      <c r="DD267" s="559">
        <f>IF(WWWW[[#This Row],['#_households that received standard amount of sanitary pads for this quarter]]/WWWW[[#This Row],[Total HH]]&gt;1,1,WWWW[[#This Row],['#_households that received standard amount of sanitary pads for this quarter]]/WWWW[[#This Row],[Total HH]])</f>
        <v>0</v>
      </c>
      <c r="DE267" s="558">
        <f>WWWW[[#This Row],['#_Constructed/Existing hand washing stations]]-WWWW[[#This Row],['#_Non-Functional_hand_washing_stations]]</f>
        <v>0</v>
      </c>
      <c r="DF267" s="757">
        <f>IF(WWWW[[#This Row],['# Functional hand washing stations during reporting period]]*20&gt;WWWW[[#This Row],[Total HH]],WWWW[[#This Row],[Total HH]],WWWW[[#This Row],['# Functional hand washing stations during reporting period]]*20)</f>
        <v>0</v>
      </c>
      <c r="DG267" s="556">
        <f>IF(WWWW[[#This Row],[Is sufficient soap available for TLS? (Yes/No)]]="yes",WWWW[[#This Row],['#_Constructed/Existing hand washing stations at TLS]],0)</f>
        <v>0</v>
      </c>
      <c r="DH267" s="556">
        <f>IF(WWWW[[#This Row],['# Functional hand washing stations during reporting period]]*100&gt;WWWW[[#This Row],[Total PoP ]],WWWW[[#This Row],[Total PoP ]],WWWW[[#This Row],['# Functional hand washing stations during reporting period]]*100)</f>
        <v>0</v>
      </c>
      <c r="DI267" s="556" t="str">
        <f>IF(OR(WWWW[[#This Row],['#_students at TLS_CFS]]="",WWWW[[#This Row],['#_students at TLS_CFS]]=0),"No","Yes")</f>
        <v>No</v>
      </c>
      <c r="DJ267" s="554">
        <f>VLOOKUP(WWWW[[#This Row],[Site Name]],SiteDB6[[Site Name]:[CCCM Management]],6,FALSE)</f>
        <v>0</v>
      </c>
      <c r="DK267" s="554">
        <f>VLOOKUP(WWWW[[#This Row],[Site Name]],SiteDB6[[Site Name]:[CCCM Focal Agency]],7,FALSE)</f>
        <v>0</v>
      </c>
      <c r="DL267" s="554" t="str">
        <f>VLOOKUP(WWWW[[#This Row],[Site Name]],SiteDB6[[Site Name]:[Location Type 1]],9,FALSE)</f>
        <v>Village</v>
      </c>
      <c r="DM267" s="554" t="str">
        <f>VLOOKUP(WWWW[[#This Row],[Site Name]],SiteDB6[[Site Name]:[Type of Accommodation]],10,FALSE)</f>
        <v>Village</v>
      </c>
      <c r="DN267" s="554">
        <f>VLOOKUP(WWWW[[#This Row],[Site Name]],SiteDB6[[Site Name]:[Ethnic or GCA/NGCA]],11,FALSE)</f>
        <v>0</v>
      </c>
      <c r="DO267" s="554">
        <f>VLOOKUP(WWWW[[#This Row],[Site Name]],SiteDB6[[Site Name]:[Lat]],12,FALSE)</f>
        <v>20.239799499511701</v>
      </c>
      <c r="DP267" s="554">
        <f>VLOOKUP(WWWW[[#This Row],[Site Name]],SiteDB6[[Site Name]:[Long]],13,FALSE)</f>
        <v>92.825088500976605</v>
      </c>
      <c r="DQ267" s="554">
        <f>VLOOKUP(WWWW[[#This Row],[Site Name]],SiteDB6[[Site Name]:[Pcode]],3,FALSE)</f>
        <v>196131</v>
      </c>
      <c r="DR267" s="563" t="str">
        <f t="shared" si="9"/>
        <v>Covered</v>
      </c>
      <c r="DS267" s="563"/>
    </row>
    <row r="268" spans="1:123">
      <c r="A268" s="552" t="s">
        <v>2518</v>
      </c>
      <c r="B268" s="552" t="s">
        <v>332</v>
      </c>
      <c r="C268" s="555" t="s">
        <v>332</v>
      </c>
      <c r="D268" s="555" t="s">
        <v>345</v>
      </c>
      <c r="E268" s="574" t="s">
        <v>3006</v>
      </c>
      <c r="F268" s="555" t="s">
        <v>313</v>
      </c>
      <c r="G268" s="574" t="str">
        <f>VLOOKUP(WWWW[[#This Row],[Site Name]],SiteDB6[[Site Name]:[Location Type]],8,FALSE)</f>
        <v>Village</v>
      </c>
      <c r="H268" s="555" t="s">
        <v>687</v>
      </c>
      <c r="I268" s="557">
        <v>331</v>
      </c>
      <c r="J268" s="557">
        <v>1473</v>
      </c>
      <c r="K268" s="564">
        <v>42736</v>
      </c>
      <c r="L268" s="565">
        <v>44551</v>
      </c>
      <c r="M268" s="557"/>
      <c r="N268" s="557"/>
      <c r="O268" s="557"/>
      <c r="P268" s="557"/>
      <c r="Q268" s="556"/>
      <c r="R268" s="557"/>
      <c r="S268" s="557"/>
      <c r="T268" s="557"/>
      <c r="U268" s="557"/>
      <c r="V268" s="557"/>
      <c r="W268" s="557"/>
      <c r="X268" s="557"/>
      <c r="Y268" s="557"/>
      <c r="Z268" s="557"/>
      <c r="AA268" s="557"/>
      <c r="AB268" s="557"/>
      <c r="AC268" s="557"/>
      <c r="AD268" s="557"/>
      <c r="AE268" s="557"/>
      <c r="AF268" s="557"/>
      <c r="AG268" s="557"/>
      <c r="AH268" s="557"/>
      <c r="AI268" s="557"/>
      <c r="AJ268" s="557"/>
      <c r="AK268" s="557"/>
      <c r="AL268" s="557"/>
      <c r="AM268" s="557"/>
      <c r="AN268" s="557"/>
      <c r="AO268" s="563"/>
      <c r="AP268" s="557"/>
      <c r="AQ268" s="557"/>
      <c r="AR268" s="559"/>
      <c r="AS268" s="557"/>
      <c r="AT268" s="557"/>
      <c r="AU268" s="557"/>
      <c r="AV268" s="557"/>
      <c r="AW268" s="557"/>
      <c r="AX268" s="554"/>
      <c r="AY268" s="563"/>
      <c r="AZ268" s="557"/>
      <c r="BA268" s="557"/>
      <c r="BB268" s="557"/>
      <c r="BC268" s="554"/>
      <c r="BD268" s="557"/>
      <c r="BE268" s="557"/>
      <c r="BF268" s="557"/>
      <c r="BG268" s="557"/>
      <c r="BH268" s="557"/>
      <c r="BI268" s="557"/>
      <c r="BJ268" s="557"/>
      <c r="BK268" s="557"/>
      <c r="BL268" s="557"/>
      <c r="BM268" s="554"/>
      <c r="BN268" s="558"/>
      <c r="BO268" s="559"/>
      <c r="BP268" s="554"/>
      <c r="BQ268" s="560" t="str">
        <f>IFERROR(WWWW[[#This Row],['#_Water sources treated]]/WWWW[[#This Row],['#_Water sources tested for contamination]],"no test")</f>
        <v>no test</v>
      </c>
      <c r="BR268" s="559" t="str">
        <f>IFERROR(WWWW[[#This Row],['#_Household received remediation action due to contamination]]/WWWW[[#This Row],['#_Household water samples tested for contamination]],"no test")</f>
        <v>no test</v>
      </c>
      <c r="BS268" s="558" t="str">
        <f>IF(AND(WWWW[[#This Row],[% of water sources treated]]="no test",WWWW[[#This Row],[% Household received corrective actions]]="no test"),"No Test","Tested")</f>
        <v>No Test</v>
      </c>
      <c r="BT268" s="558">
        <f>WWWW[[#This Row],['#_Constructed/existing protected hand dug well]]-WWWW[[#This Row],['#_Non-functional protected hand dug well]]</f>
        <v>0</v>
      </c>
      <c r="BU268" s="558">
        <f>(WWWW[[#This Row],['#_Constructed/Existing tube wells/boreholes/handpumps_WASH_agency]]+WWWW[[#This Row],['#_Non-Cluster partner water tube-wells/boreholes/handpumps]])-WWWW[[#This Row],['#_Non-functional tube wells/boreholes/handpumps]]</f>
        <v>0</v>
      </c>
      <c r="BV268" s="558">
        <f>WWWW[[#This Row],['#_Constructed/Existingwater storage tank with gravity fed reticulation system]]-WWWW[[#This Row],['#_Non-functional storage tank gravity fed reticulation system]]</f>
        <v>0</v>
      </c>
      <c r="BW268" s="558">
        <f>WWWW[[#This Row],['#_Water boating or water trucking]]</f>
        <v>0</v>
      </c>
      <c r="BX268" s="558">
        <f>WWWW[[#This Row],['#_Constructed/Existing water distribution system from river or natural spring]]</f>
        <v>0</v>
      </c>
      <c r="BY26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6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68" s="559">
        <f>IF(WWWW[[#This Row],[Location Type 1]]="Village",WWWW[[#This Row],[Access to safe drinking water for Village]],WWWW[[#This Row],[Access to safe drinking water for Camp]])</f>
        <v>0</v>
      </c>
      <c r="CB268" s="556">
        <f>WWWW[[#This Row],[%Equitable and continuous access to sufficient quantity of safe drinking water]]*WWWW[[#This Row],[Total PoP ]]</f>
        <v>0</v>
      </c>
      <c r="CC268" s="559">
        <f>IF((WWWW[[#This Row],['#_Constructed/Existing protected/fenced ponds]]*250)/WWWW[[#This Row],[Total PoP ]]&gt;1,1,(WWWW[[#This Row],['#_Constructed/Existing protected/fenced ponds]]*250)/WWWW[[#This Row],[Total PoP ]])</f>
        <v>0</v>
      </c>
      <c r="CD268" s="556">
        <f>WWWW[[#This Row],[% Access to unimproved water points]]*WWWW[[#This Row],[Total PoP ]]</f>
        <v>0</v>
      </c>
      <c r="CE26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6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68" s="556">
        <f>WWWW[[#This Row],[HRP1]]/500</f>
        <v>0</v>
      </c>
      <c r="CH268" s="561">
        <f>1-WWWW[[#This Row],[% Equitable and continuous access to sufficient quantity of domestic water]]</f>
        <v>1</v>
      </c>
      <c r="CI268" s="556">
        <f>WWWW[[#This Row],[%equitable and continuous access to sufficient quantity of safe drinking and domestic water''s GAP]]*WWWW[[#This Row],[Total PoP ]]</f>
        <v>1473</v>
      </c>
      <c r="CJ268" s="558">
        <f>IF(WWWW[[#This Row],[Total required water points]]-WWWW[[#This Row],['#Water points coverage]]&lt;0,0,WWWW[[#This Row],[Total required water points]]-WWWW[[#This Row],['#Water points coverage]])</f>
        <v>3</v>
      </c>
      <c r="CK268" s="558">
        <f>ROUND(IF(WWWW[[#This Row],[Total PoP ]]&lt;500,1,WWWW[[#This Row],[Total PoP ]]/500),0)</f>
        <v>3</v>
      </c>
      <c r="CL268" s="558">
        <f>(WWWW[[#This Row],['#_Constructed latrines_by_WASHAgencies]]+WWWW[[#This Row],['#_Non Cluster partner latrines]])-WWWW[[#This Row],['#_Non-functional latrines]]</f>
        <v>0</v>
      </c>
      <c r="CM26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8" s="558" t="str">
        <f>IF(WWWW[[#This Row],[Location Type 1]]="Village","NA",IF(WWWW[[#This Row],['#_Constructed/Existing latrines in TLS]]*50&gt;WWWW[[#This Row],['#_students at TLS_CFS]],WWWW[[#This Row],['#_students at TLS_CFS]],(WWWW[[#This Row],['#_Constructed/Existing latrines in TLS]]*50)))</f>
        <v>NA</v>
      </c>
      <c r="CQ268" s="558">
        <f>ROUND(IF(WWWW[[#This Row],[Location Type 1]]="camp",WWWW[[#This Row],[Total PoP ]]/20,IF(WWWW[[#This Row],[Location Type 1]]="Temporary Location",WWWW[[#This Row],[Total PoP ]]/50,(WWWW[[#This Row],[Total PoP ]]/6))),0)</f>
        <v>246</v>
      </c>
      <c r="CR268" s="558">
        <f>IF(WWWW[[#This Row],[Total required Latrines]]-(WWWW[[#This Row],['#_Constructed latrines_by_WASHAgencies]]+WWWW[[#This Row],['#_Non Cluster partner latrines]])&lt;0,0,WWWW[[#This Row],[Total required Latrines]]-(WWWW[[#This Row],['#_Constructed latrines_by_WASHAgencies]]+WWWW[[#This Row],['#_Non Cluster partner latrines]]))</f>
        <v>246</v>
      </c>
      <c r="CS268" s="78">
        <f>1-WWWW[[#This Row],[% people access to functioning Latrine]]</f>
        <v>1</v>
      </c>
      <c r="CT268" s="560">
        <f>IF(OR(WWWW[[#This Row],['#_Non-functional latrines]]="",WWWW[[#This Row],['#_Non-functional latrines]]=0),0,WWWW[[#This Row],['#_Non-functional latrines]]/(WWWW[[#This Row],['#_Constructed latrines_by_WASHAgencies]]+WWWW[[#This Row],['#_Non Cluster partner latrines]]))</f>
        <v>0</v>
      </c>
      <c r="CU268" s="556">
        <f>IF(500*(WWWW[[#This Row],['#_male hygiene promoters]]+WWWW[[#This Row],['#_female hygiene promoters]])&gt;WWWW[[#This Row],[Total PoP ]],WWWW[[#This Row],[Total PoP ]],500*(WWWW[[#This Row],['#_male hygiene promoters]]+WWWW[[#This Row],['#_female hygiene promoters]]))</f>
        <v>0</v>
      </c>
      <c r="CV26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8" s="558">
        <f>IF(WWWW[[#This Row],['# People with access to soap]]&gt;WWWW[[#This Row],['# People with access to Sanity Pads]],WWWW[[#This Row],['# People with access to soap]],WWWW[[#This Row],['# People with access to Sanity Pads]])</f>
        <v>0</v>
      </c>
      <c r="CY26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8" s="561">
        <f>IF(WWWW[[#This Row],[HRP3]]/WWWW[[#This Row],[Total PoP ]]&gt;100%,100%,WWWW[[#This Row],[HRP3]]/WWWW[[#This Row],[Total PoP ]])</f>
        <v>0</v>
      </c>
      <c r="DA268" s="560">
        <f>1-WWWW[[#This Row],[Hygiene Coverage%]]</f>
        <v>1</v>
      </c>
      <c r="DB268" s="559">
        <f>WWWW[[#This Row],['# people reached by regular dedicated hygiene promotion_5]]/WWWW[[#This Row],[Total PoP ]]</f>
        <v>0</v>
      </c>
      <c r="DC268" s="559">
        <f>IF(WWWW[[#This Row],['#_households that received standard amount of soap for this quarter]]/WWWW[[#This Row],[Total HH]]&gt;1,1,WWWW[[#This Row],['#_households that received standard amount of soap for this quarter]]/WWWW[[#This Row],[Total HH]])</f>
        <v>0</v>
      </c>
      <c r="DD268" s="559">
        <f>IF(WWWW[[#This Row],['#_households that received standard amount of sanitary pads for this quarter]]/WWWW[[#This Row],[Total HH]]&gt;1,1,WWWW[[#This Row],['#_households that received standard amount of sanitary pads for this quarter]]/WWWW[[#This Row],[Total HH]])</f>
        <v>0</v>
      </c>
      <c r="DE268" s="558">
        <f>WWWW[[#This Row],['#_Constructed/Existing hand washing stations]]-WWWW[[#This Row],['#_Non-Functional_hand_washing_stations]]</f>
        <v>0</v>
      </c>
      <c r="DF268" s="757">
        <f>IF(WWWW[[#This Row],['# Functional hand washing stations during reporting period]]*20&gt;WWWW[[#This Row],[Total HH]],WWWW[[#This Row],[Total HH]],WWWW[[#This Row],['# Functional hand washing stations during reporting period]]*20)</f>
        <v>0</v>
      </c>
      <c r="DG268" s="556">
        <f>IF(WWWW[[#This Row],[Is sufficient soap available for TLS? (Yes/No)]]="yes",WWWW[[#This Row],['#_Constructed/Existing hand washing stations at TLS]],0)</f>
        <v>0</v>
      </c>
      <c r="DH268" s="556">
        <f>IF(WWWW[[#This Row],['# Functional hand washing stations during reporting period]]*100&gt;WWWW[[#This Row],[Total PoP ]],WWWW[[#This Row],[Total PoP ]],WWWW[[#This Row],['# Functional hand washing stations during reporting period]]*100)</f>
        <v>0</v>
      </c>
      <c r="DI268" s="556" t="str">
        <f>IF(OR(WWWW[[#This Row],['#_students at TLS_CFS]]="",WWWW[[#This Row],['#_students at TLS_CFS]]=0),"No","Yes")</f>
        <v>No</v>
      </c>
      <c r="DJ268" s="554">
        <f>VLOOKUP(WWWW[[#This Row],[Site Name]],SiteDB6[[Site Name]:[CCCM Management]],6,FALSE)</f>
        <v>0</v>
      </c>
      <c r="DK268" s="554">
        <f>VLOOKUP(WWWW[[#This Row],[Site Name]],SiteDB6[[Site Name]:[CCCM Focal Agency]],7,FALSE)</f>
        <v>0</v>
      </c>
      <c r="DL268" s="554" t="str">
        <f>VLOOKUP(WWWW[[#This Row],[Site Name]],SiteDB6[[Site Name]:[Location Type 1]],9,FALSE)</f>
        <v>Village</v>
      </c>
      <c r="DM268" s="554" t="str">
        <f>VLOOKUP(WWWW[[#This Row],[Site Name]],SiteDB6[[Site Name]:[Type of Accommodation]],10,FALSE)</f>
        <v>Village</v>
      </c>
      <c r="DN268" s="554">
        <f>VLOOKUP(WWWW[[#This Row],[Site Name]],SiteDB6[[Site Name]:[Ethnic or GCA/NGCA]],11,FALSE)</f>
        <v>0</v>
      </c>
      <c r="DO268" s="554">
        <f>VLOOKUP(WWWW[[#This Row],[Site Name]],SiteDB6[[Site Name]:[Lat]],12,FALSE)</f>
        <v>20.128850936889599</v>
      </c>
      <c r="DP268" s="554">
        <f>VLOOKUP(WWWW[[#This Row],[Site Name]],SiteDB6[[Site Name]:[Long]],13,FALSE)</f>
        <v>92.872497558593807</v>
      </c>
      <c r="DQ268" s="554">
        <f>VLOOKUP(WWWW[[#This Row],[Site Name]],SiteDB6[[Site Name]:[Pcode]],3,FALSE)</f>
        <v>196208</v>
      </c>
      <c r="DR268" s="563" t="str">
        <f t="shared" si="9"/>
        <v>Covered</v>
      </c>
      <c r="DS268" s="563"/>
    </row>
    <row r="269" spans="1:123">
      <c r="A269" s="552" t="s">
        <v>2518</v>
      </c>
      <c r="B269" s="599" t="s">
        <v>2368</v>
      </c>
      <c r="C269" s="599" t="s">
        <v>2368</v>
      </c>
      <c r="D269" s="584" t="s">
        <v>42</v>
      </c>
      <c r="E269" s="574" t="s">
        <v>3006</v>
      </c>
      <c r="F269" s="555" t="s">
        <v>313</v>
      </c>
      <c r="G269" s="574" t="str">
        <f>VLOOKUP(WWWW[[#This Row],[Site Name]],SiteDB6[[Site Name]:[Location Type]],8,FALSE)</f>
        <v>Village</v>
      </c>
      <c r="H269" s="555" t="s">
        <v>454</v>
      </c>
      <c r="I269" s="557">
        <v>200</v>
      </c>
      <c r="J269" s="557">
        <v>1065</v>
      </c>
      <c r="K269" s="593"/>
      <c r="L269" s="58">
        <v>44104</v>
      </c>
      <c r="M269" s="557"/>
      <c r="N269" s="557"/>
      <c r="O269" s="557"/>
      <c r="P269" s="557" t="s">
        <v>2934</v>
      </c>
      <c r="Q269" s="556"/>
      <c r="R269" s="557"/>
      <c r="S269" s="557"/>
      <c r="T269" s="557"/>
      <c r="U269" s="557"/>
      <c r="V269" s="557"/>
      <c r="W269" s="557">
        <v>7</v>
      </c>
      <c r="X269" s="557"/>
      <c r="Y269" s="557"/>
      <c r="Z269" s="557" t="s">
        <v>2934</v>
      </c>
      <c r="AA269" s="557"/>
      <c r="AB269" s="557"/>
      <c r="AC269" s="557"/>
      <c r="AD269" s="557"/>
      <c r="AE269" s="557"/>
      <c r="AF269" s="557"/>
      <c r="AG269" s="557"/>
      <c r="AH269" s="557">
        <v>7</v>
      </c>
      <c r="AI269" s="557">
        <v>6</v>
      </c>
      <c r="AJ269" s="557"/>
      <c r="AK269" s="557">
        <v>9</v>
      </c>
      <c r="AL269" s="557"/>
      <c r="AM269" s="557"/>
      <c r="AN269" s="557"/>
      <c r="AO269" s="563"/>
      <c r="AP269" s="557"/>
      <c r="AQ269" s="557"/>
      <c r="AR269" s="559"/>
      <c r="AS269" s="557"/>
      <c r="AT269" s="557">
        <v>0</v>
      </c>
      <c r="AU269" s="557">
        <v>0</v>
      </c>
      <c r="AV269" s="557"/>
      <c r="AW269" s="557"/>
      <c r="AX269" s="554" t="s">
        <v>43</v>
      </c>
      <c r="AY269" s="563" t="s">
        <v>148</v>
      </c>
      <c r="AZ269" s="557"/>
      <c r="BA269" s="557"/>
      <c r="BB269" s="557"/>
      <c r="BC269" s="554"/>
      <c r="BD269" s="557"/>
      <c r="BE269" s="557"/>
      <c r="BF269" s="557"/>
      <c r="BG269" s="557"/>
      <c r="BH269" s="557"/>
      <c r="BI269" s="557"/>
      <c r="BJ269" s="557"/>
      <c r="BK269" s="557">
        <v>0</v>
      </c>
      <c r="BL269" s="557">
        <v>0</v>
      </c>
      <c r="BM269" s="554"/>
      <c r="BN269" s="558">
        <v>22</v>
      </c>
      <c r="BO269" s="559"/>
      <c r="BP269" s="554"/>
      <c r="BQ269" s="560">
        <f>IFERROR(WWWW[[#This Row],['#_Water sources treated]]/WWWW[[#This Row],['#_Water sources tested for contamination]],"no test")</f>
        <v>0</v>
      </c>
      <c r="BR269" s="559">
        <f>IFERROR(WWWW[[#This Row],['#_Household received remediation action due to contamination]]/WWWW[[#This Row],['#_Household water samples tested for contamination]],"no test")</f>
        <v>0</v>
      </c>
      <c r="BS269" s="558" t="str">
        <f>IF(AND(WWWW[[#This Row],[% of water sources treated]]="no test",WWWW[[#This Row],[% Household received corrective actions]]="no test"),"No Test","Tested")</f>
        <v>Tested</v>
      </c>
      <c r="BT269" s="558">
        <f>WWWW[[#This Row],['#_Constructed/existing protected hand dug well]]-WWWW[[#This Row],['#_Non-functional protected hand dug well]]</f>
        <v>0</v>
      </c>
      <c r="BU269" s="558">
        <f>(WWWW[[#This Row],['#_Constructed/Existing tube wells/boreholes/handpumps_WASH_agency]]+WWWW[[#This Row],['#_Non-Cluster partner water tube-wells/boreholes/handpumps]])-WWWW[[#This Row],['#_Non-functional tube wells/boreholes/handpumps]]</f>
        <v>7</v>
      </c>
      <c r="BV269" s="558">
        <f>WWWW[[#This Row],['#_Constructed/Existingwater storage tank with gravity fed reticulation system]]-WWWW[[#This Row],['#_Non-functional storage tank gravity fed reticulation system]]</f>
        <v>0</v>
      </c>
      <c r="BW269" s="558">
        <f>WWWW[[#This Row],['#_Water boating or water trucking]]</f>
        <v>0</v>
      </c>
      <c r="BX269" s="558">
        <f>WWWW[[#This Row],['#_Constructed/Existing water distribution system from river or natural spring]]</f>
        <v>0</v>
      </c>
      <c r="BY26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26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269" s="559">
        <f>IF(WWWW[[#This Row],[Location Type 1]]="Village",WWWW[[#This Row],[Access to safe drinking water for Village]],WWWW[[#This Row],[Access to safe drinking water for Camp]])</f>
        <v>1</v>
      </c>
      <c r="CB269" s="556">
        <f>WWWW[[#This Row],[%Equitable and continuous access to sufficient quantity of safe drinking water]]*WWWW[[#This Row],[Total PoP ]]</f>
        <v>1065</v>
      </c>
      <c r="CC269" s="559">
        <f>IF((WWWW[[#This Row],['#_Constructed/Existing protected/fenced ponds]]*250)/WWWW[[#This Row],[Total PoP ]]&gt;1,1,(WWWW[[#This Row],['#_Constructed/Existing protected/fenced ponds]]*250)/WWWW[[#This Row],[Total PoP ]])</f>
        <v>0</v>
      </c>
      <c r="CD269" s="556">
        <f>WWWW[[#This Row],[% Access to unimproved water points]]*WWWW[[#This Row],[Total PoP ]]</f>
        <v>0</v>
      </c>
      <c r="CE26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26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1065</v>
      </c>
      <c r="CG269" s="556">
        <f>WWWW[[#This Row],[HRP1]]/500</f>
        <v>2.13</v>
      </c>
      <c r="CH269" s="561">
        <f>1-WWWW[[#This Row],[% Equitable and continuous access to sufficient quantity of domestic water]]</f>
        <v>0</v>
      </c>
      <c r="CI269" s="556">
        <f>WWWW[[#This Row],[%equitable and continuous access to sufficient quantity of safe drinking and domestic water''s GAP]]*WWWW[[#This Row],[Total PoP ]]</f>
        <v>0</v>
      </c>
      <c r="CJ269" s="558">
        <f>IF(WWWW[[#This Row],[Total required water points]]-WWWW[[#This Row],['#Water points coverage]]&lt;0,0,WWWW[[#This Row],[Total required water points]]-WWWW[[#This Row],['#Water points coverage]])</f>
        <v>0</v>
      </c>
      <c r="CK269" s="558">
        <f>ROUND(IF(WWWW[[#This Row],[Total PoP ]]&lt;500,1,WWWW[[#This Row],[Total PoP ]]/500),0)</f>
        <v>2</v>
      </c>
      <c r="CL269" s="558">
        <f>(WWWW[[#This Row],['#_Constructed latrines_by_WASHAgencies]]+WWWW[[#This Row],['#_Non Cluster partner latrines]])-WWWW[[#This Row],['#_Non-functional latrines]]</f>
        <v>0</v>
      </c>
      <c r="CM26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6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6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69" s="558" t="str">
        <f>IF(WWWW[[#This Row],[Location Type 1]]="Village","NA",IF(WWWW[[#This Row],['#_Constructed/Existing latrines in TLS]]*50&gt;WWWW[[#This Row],['#_students at TLS_CFS]],WWWW[[#This Row],['#_students at TLS_CFS]],(WWWW[[#This Row],['#_Constructed/Existing latrines in TLS]]*50)))</f>
        <v>NA</v>
      </c>
      <c r="CQ269" s="558">
        <f>ROUND(IF(WWWW[[#This Row],[Location Type 1]]="camp",WWWW[[#This Row],[Total PoP ]]/20,IF(WWWW[[#This Row],[Location Type 1]]="Temporary Location",WWWW[[#This Row],[Total PoP ]]/50,(WWWW[[#This Row],[Total PoP ]]/6))),0)</f>
        <v>178</v>
      </c>
      <c r="CR269" s="558">
        <f>IF(WWWW[[#This Row],[Total required Latrines]]-(WWWW[[#This Row],['#_Constructed latrines_by_WASHAgencies]]+WWWW[[#This Row],['#_Non Cluster partner latrines]])&lt;0,0,WWWW[[#This Row],[Total required Latrines]]-(WWWW[[#This Row],['#_Constructed latrines_by_WASHAgencies]]+WWWW[[#This Row],['#_Non Cluster partner latrines]]))</f>
        <v>178</v>
      </c>
      <c r="CS269" s="78">
        <f>1-WWWW[[#This Row],[% people access to functioning Latrine]]</f>
        <v>1</v>
      </c>
      <c r="CT269" s="560">
        <f>IF(OR(WWWW[[#This Row],['#_Non-functional latrines]]="",WWWW[[#This Row],['#_Non-functional latrines]]=0),0,WWWW[[#This Row],['#_Non-functional latrines]]/(WWWW[[#This Row],['#_Constructed latrines_by_WASHAgencies]]+WWWW[[#This Row],['#_Non Cluster partner latrines]]))</f>
        <v>0</v>
      </c>
      <c r="CU269" s="556">
        <f>IF(500*(WWWW[[#This Row],['#_male hygiene promoters]]+WWWW[[#This Row],['#_female hygiene promoters]])&gt;WWWW[[#This Row],[Total PoP ]],WWWW[[#This Row],[Total PoP ]],500*(WWWW[[#This Row],['#_male hygiene promoters]]+WWWW[[#This Row],['#_female hygiene promoters]]))</f>
        <v>0</v>
      </c>
      <c r="CV26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6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69" s="558">
        <f>IF(WWWW[[#This Row],['# People with access to soap]]&gt;WWWW[[#This Row],['# People with access to Sanity Pads]],WWWW[[#This Row],['# People with access to soap]],WWWW[[#This Row],['# People with access to Sanity Pads]])</f>
        <v>0</v>
      </c>
      <c r="CY26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69" s="561">
        <f>IF(WWWW[[#This Row],[HRP3]]/WWWW[[#This Row],[Total PoP ]]&gt;100%,100%,WWWW[[#This Row],[HRP3]]/WWWW[[#This Row],[Total PoP ]])</f>
        <v>0</v>
      </c>
      <c r="DA269" s="560">
        <f>1-WWWW[[#This Row],[Hygiene Coverage%]]</f>
        <v>1</v>
      </c>
      <c r="DB269" s="559">
        <f>WWWW[[#This Row],['# people reached by regular dedicated hygiene promotion_5]]/WWWW[[#This Row],[Total PoP ]]</f>
        <v>0</v>
      </c>
      <c r="DC269" s="559">
        <f>IF(WWWW[[#This Row],['#_households that received standard amount of soap for this quarter]]/WWWW[[#This Row],[Total HH]]&gt;1,1,WWWW[[#This Row],['#_households that received standard amount of soap for this quarter]]/WWWW[[#This Row],[Total HH]])</f>
        <v>0</v>
      </c>
      <c r="DD269" s="559">
        <f>IF(WWWW[[#This Row],['#_households that received standard amount of sanitary pads for this quarter]]/WWWW[[#This Row],[Total HH]]&gt;1,1,WWWW[[#This Row],['#_households that received standard amount of sanitary pads for this quarter]]/WWWW[[#This Row],[Total HH]])</f>
        <v>0</v>
      </c>
      <c r="DE269" s="558">
        <f>WWWW[[#This Row],['#_Constructed/Existing hand washing stations]]-WWWW[[#This Row],['#_Non-Functional_hand_washing_stations]]</f>
        <v>0</v>
      </c>
      <c r="DF269" s="757">
        <f>IF(WWWW[[#This Row],['# Functional hand washing stations during reporting period]]*20&gt;WWWW[[#This Row],[Total HH]],WWWW[[#This Row],[Total HH]],WWWW[[#This Row],['# Functional hand washing stations during reporting period]]*20)</f>
        <v>0</v>
      </c>
      <c r="DG269" s="556">
        <f>IF(WWWW[[#This Row],[Is sufficient soap available for TLS? (Yes/No)]]="yes",WWWW[[#This Row],['#_Constructed/Existing hand washing stations at TLS]],0)</f>
        <v>0</v>
      </c>
      <c r="DH269" s="556">
        <f>IF(WWWW[[#This Row],['# Functional hand washing stations during reporting period]]*100&gt;WWWW[[#This Row],[Total PoP ]],WWWW[[#This Row],[Total PoP ]],WWWW[[#This Row],['# Functional hand washing stations during reporting period]]*100)</f>
        <v>0</v>
      </c>
      <c r="DI269" s="556" t="str">
        <f>IF(OR(WWWW[[#This Row],['#_students at TLS_CFS]]="",WWWW[[#This Row],['#_students at TLS_CFS]]=0),"No","Yes")</f>
        <v>No</v>
      </c>
      <c r="DJ269" s="554">
        <f>VLOOKUP(WWWW[[#This Row],[Site Name]],SiteDB6[[Site Name]:[CCCM Management]],6,FALSE)</f>
        <v>0</v>
      </c>
      <c r="DK269" s="554">
        <f>VLOOKUP(WWWW[[#This Row],[Site Name]],SiteDB6[[Site Name]:[CCCM Focal Agency]],7,FALSE)</f>
        <v>0</v>
      </c>
      <c r="DL269" s="554" t="str">
        <f>VLOOKUP(WWWW[[#This Row],[Site Name]],SiteDB6[[Site Name]:[Location Type 1]],9,FALSE)</f>
        <v>Village</v>
      </c>
      <c r="DM269" s="554" t="str">
        <f>VLOOKUP(WWWW[[#This Row],[Site Name]],SiteDB6[[Site Name]:[Type of Accommodation]],10,FALSE)</f>
        <v>Village</v>
      </c>
      <c r="DN269" s="554" t="str">
        <f>VLOOKUP(WWWW[[#This Row],[Site Name]],SiteDB6[[Site Name]:[Ethnic or GCA/NGCA]],11,FALSE)</f>
        <v>Muslim</v>
      </c>
      <c r="DO269" s="554">
        <f>VLOOKUP(WWWW[[#This Row],[Site Name]],SiteDB6[[Site Name]:[Lat]],12,FALSE)</f>
        <v>20.197549819999999</v>
      </c>
      <c r="DP269" s="554">
        <f>VLOOKUP(WWWW[[#This Row],[Site Name]],SiteDB6[[Site Name]:[Long]],13,FALSE)</f>
        <v>92.785682679999994</v>
      </c>
      <c r="DQ269" s="554">
        <f>VLOOKUP(WWWW[[#This Row],[Site Name]],SiteDB6[[Site Name]:[Pcode]],3,FALSE)</f>
        <v>196156</v>
      </c>
      <c r="DR269" s="563" t="str">
        <f t="shared" si="9"/>
        <v>Covered</v>
      </c>
      <c r="DS269" s="563"/>
    </row>
    <row r="270" spans="1:123">
      <c r="A270" s="552" t="s">
        <v>2518</v>
      </c>
      <c r="B270" s="552" t="s">
        <v>332</v>
      </c>
      <c r="C270" s="555" t="s">
        <v>332</v>
      </c>
      <c r="D270" s="555" t="s">
        <v>325</v>
      </c>
      <c r="E270" s="574" t="s">
        <v>3006</v>
      </c>
      <c r="F270" s="555" t="s">
        <v>313</v>
      </c>
      <c r="G270" s="574" t="str">
        <f>VLOOKUP(WWWW[[#This Row],[Site Name]],SiteDB6[[Site Name]:[Location Type]],8,FALSE)</f>
        <v>Village</v>
      </c>
      <c r="H270" s="555" t="s">
        <v>2892</v>
      </c>
      <c r="I270" s="557">
        <v>326</v>
      </c>
      <c r="J270" s="557">
        <v>4476</v>
      </c>
      <c r="K270" s="564">
        <v>42736</v>
      </c>
      <c r="L270" s="565">
        <v>44551</v>
      </c>
      <c r="M270" s="557"/>
      <c r="N270" s="557"/>
      <c r="O270" s="557"/>
      <c r="P270" s="557"/>
      <c r="Q270" s="556"/>
      <c r="R270" s="557"/>
      <c r="S270" s="557"/>
      <c r="T270" s="557"/>
      <c r="U270" s="557"/>
      <c r="V270" s="557"/>
      <c r="W270" s="557"/>
      <c r="X270" s="557"/>
      <c r="Y270" s="557"/>
      <c r="Z270" s="557"/>
      <c r="AA270" s="557"/>
      <c r="AB270" s="557"/>
      <c r="AC270" s="557"/>
      <c r="AD270" s="557"/>
      <c r="AE270" s="557"/>
      <c r="AF270" s="557"/>
      <c r="AG270" s="557"/>
      <c r="AH270" s="557"/>
      <c r="AI270" s="557"/>
      <c r="AJ270" s="557"/>
      <c r="AK270" s="557"/>
      <c r="AL270" s="557"/>
      <c r="AM270" s="557"/>
      <c r="AN270" s="557"/>
      <c r="AO270" s="563"/>
      <c r="AP270" s="557"/>
      <c r="AQ270" s="557"/>
      <c r="AR270" s="559"/>
      <c r="AS270" s="557"/>
      <c r="AT270" s="557"/>
      <c r="AU270" s="557"/>
      <c r="AV270" s="557"/>
      <c r="AW270" s="557"/>
      <c r="AX270" s="554"/>
      <c r="AY270" s="563"/>
      <c r="AZ270" s="557"/>
      <c r="BA270" s="557"/>
      <c r="BB270" s="557"/>
      <c r="BC270" s="554"/>
      <c r="BD270" s="557"/>
      <c r="BE270" s="557"/>
      <c r="BF270" s="557"/>
      <c r="BG270" s="557"/>
      <c r="BH270" s="557"/>
      <c r="BI270" s="557"/>
      <c r="BJ270" s="557"/>
      <c r="BK270" s="557"/>
      <c r="BL270" s="557"/>
      <c r="BM270" s="554"/>
      <c r="BN270" s="558"/>
      <c r="BO270" s="559"/>
      <c r="BP270" s="554"/>
      <c r="BQ270" s="560" t="str">
        <f>IFERROR(WWWW[[#This Row],['#_Water sources treated]]/WWWW[[#This Row],['#_Water sources tested for contamination]],"no test")</f>
        <v>no test</v>
      </c>
      <c r="BR270" s="559" t="str">
        <f>IFERROR(WWWW[[#This Row],['#_Household received remediation action due to contamination]]/WWWW[[#This Row],['#_Household water samples tested for contamination]],"no test")</f>
        <v>no test</v>
      </c>
      <c r="BS270" s="558" t="str">
        <f>IF(AND(WWWW[[#This Row],[% of water sources treated]]="no test",WWWW[[#This Row],[% Household received corrective actions]]="no test"),"No Test","Tested")</f>
        <v>No Test</v>
      </c>
      <c r="BT270" s="558">
        <f>WWWW[[#This Row],['#_Constructed/existing protected hand dug well]]-WWWW[[#This Row],['#_Non-functional protected hand dug well]]</f>
        <v>0</v>
      </c>
      <c r="BU270" s="558">
        <f>(WWWW[[#This Row],['#_Constructed/Existing tube wells/boreholes/handpumps_WASH_agency]]+WWWW[[#This Row],['#_Non-Cluster partner water tube-wells/boreholes/handpumps]])-WWWW[[#This Row],['#_Non-functional tube wells/boreholes/handpumps]]</f>
        <v>0</v>
      </c>
      <c r="BV270" s="558">
        <f>WWWW[[#This Row],['#_Constructed/Existingwater storage tank with gravity fed reticulation system]]-WWWW[[#This Row],['#_Non-functional storage tank gravity fed reticulation system]]</f>
        <v>0</v>
      </c>
      <c r="BW270" s="558">
        <f>WWWW[[#This Row],['#_Water boating or water trucking]]</f>
        <v>0</v>
      </c>
      <c r="BX270" s="558">
        <f>WWWW[[#This Row],['#_Constructed/Existing water distribution system from river or natural spring]]</f>
        <v>0</v>
      </c>
      <c r="BY27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0" s="559">
        <f>IF(WWWW[[#This Row],[Location Type 1]]="Village",WWWW[[#This Row],[Access to safe drinking water for Village]],WWWW[[#This Row],[Access to safe drinking water for Camp]])</f>
        <v>0</v>
      </c>
      <c r="CB270" s="556">
        <f>WWWW[[#This Row],[%Equitable and continuous access to sufficient quantity of safe drinking water]]*WWWW[[#This Row],[Total PoP ]]</f>
        <v>0</v>
      </c>
      <c r="CC270" s="559">
        <f>IF((WWWW[[#This Row],['#_Constructed/Existing protected/fenced ponds]]*250)/WWWW[[#This Row],[Total PoP ]]&gt;1,1,(WWWW[[#This Row],['#_Constructed/Existing protected/fenced ponds]]*250)/WWWW[[#This Row],[Total PoP ]])</f>
        <v>0</v>
      </c>
      <c r="CD270" s="556">
        <f>WWWW[[#This Row],[% Access to unimproved water points]]*WWWW[[#This Row],[Total PoP ]]</f>
        <v>0</v>
      </c>
      <c r="CE27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0" s="556">
        <f>WWWW[[#This Row],[HRP1]]/500</f>
        <v>0</v>
      </c>
      <c r="CH270" s="561">
        <f>1-WWWW[[#This Row],[% Equitable and continuous access to sufficient quantity of domestic water]]</f>
        <v>1</v>
      </c>
      <c r="CI270" s="556">
        <f>WWWW[[#This Row],[%equitable and continuous access to sufficient quantity of safe drinking and domestic water''s GAP]]*WWWW[[#This Row],[Total PoP ]]</f>
        <v>4476</v>
      </c>
      <c r="CJ270" s="558">
        <f>IF(WWWW[[#This Row],[Total required water points]]-WWWW[[#This Row],['#Water points coverage]]&lt;0,0,WWWW[[#This Row],[Total required water points]]-WWWW[[#This Row],['#Water points coverage]])</f>
        <v>9</v>
      </c>
      <c r="CK270" s="558">
        <f>ROUND(IF(WWWW[[#This Row],[Total PoP ]]&lt;500,1,WWWW[[#This Row],[Total PoP ]]/500),0)</f>
        <v>9</v>
      </c>
      <c r="CL270" s="558">
        <f>(WWWW[[#This Row],['#_Constructed latrines_by_WASHAgencies]]+WWWW[[#This Row],['#_Non Cluster partner latrines]])-WWWW[[#This Row],['#_Non-functional latrines]]</f>
        <v>0</v>
      </c>
      <c r="CM27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0" s="558" t="str">
        <f>IF(WWWW[[#This Row],[Location Type 1]]="Village","NA",IF(WWWW[[#This Row],['#_Constructed/Existing latrines in TLS]]*50&gt;WWWW[[#This Row],['#_students at TLS_CFS]],WWWW[[#This Row],['#_students at TLS_CFS]],(WWWW[[#This Row],['#_Constructed/Existing latrines in TLS]]*50)))</f>
        <v>NA</v>
      </c>
      <c r="CQ270" s="558">
        <f>ROUND(IF(WWWW[[#This Row],[Location Type 1]]="camp",WWWW[[#This Row],[Total PoP ]]/20,IF(WWWW[[#This Row],[Location Type 1]]="Temporary Location",WWWW[[#This Row],[Total PoP ]]/50,(WWWW[[#This Row],[Total PoP ]]/6))),0)</f>
        <v>746</v>
      </c>
      <c r="CR270" s="558">
        <f>IF(WWWW[[#This Row],[Total required Latrines]]-(WWWW[[#This Row],['#_Constructed latrines_by_WASHAgencies]]+WWWW[[#This Row],['#_Non Cluster partner latrines]])&lt;0,0,WWWW[[#This Row],[Total required Latrines]]-(WWWW[[#This Row],['#_Constructed latrines_by_WASHAgencies]]+WWWW[[#This Row],['#_Non Cluster partner latrines]]))</f>
        <v>746</v>
      </c>
      <c r="CS270" s="78">
        <f>1-WWWW[[#This Row],[% people access to functioning Latrine]]</f>
        <v>1</v>
      </c>
      <c r="CT270" s="560">
        <f>IF(OR(WWWW[[#This Row],['#_Non-functional latrines]]="",WWWW[[#This Row],['#_Non-functional latrines]]=0),0,WWWW[[#This Row],['#_Non-functional latrines]]/(WWWW[[#This Row],['#_Constructed latrines_by_WASHAgencies]]+WWWW[[#This Row],['#_Non Cluster partner latrines]]))</f>
        <v>0</v>
      </c>
      <c r="CU270" s="556">
        <f>IF(500*(WWWW[[#This Row],['#_male hygiene promoters]]+WWWW[[#This Row],['#_female hygiene promoters]])&gt;WWWW[[#This Row],[Total PoP ]],WWWW[[#This Row],[Total PoP ]],500*(WWWW[[#This Row],['#_male hygiene promoters]]+WWWW[[#This Row],['#_female hygiene promoters]]))</f>
        <v>0</v>
      </c>
      <c r="CV27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0" s="558">
        <f>IF(WWWW[[#This Row],['# People with access to soap]]&gt;WWWW[[#This Row],['# People with access to Sanity Pads]],WWWW[[#This Row],['# People with access to soap]],WWWW[[#This Row],['# People with access to Sanity Pads]])</f>
        <v>0</v>
      </c>
      <c r="CY27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0" s="561">
        <f>IF(WWWW[[#This Row],[HRP3]]/WWWW[[#This Row],[Total PoP ]]&gt;100%,100%,WWWW[[#This Row],[HRP3]]/WWWW[[#This Row],[Total PoP ]])</f>
        <v>0</v>
      </c>
      <c r="DA270" s="560">
        <f>1-WWWW[[#This Row],[Hygiene Coverage%]]</f>
        <v>1</v>
      </c>
      <c r="DB270" s="559">
        <f>WWWW[[#This Row],['# people reached by regular dedicated hygiene promotion_5]]/WWWW[[#This Row],[Total PoP ]]</f>
        <v>0</v>
      </c>
      <c r="DC270" s="559">
        <f>IF(WWWW[[#This Row],['#_households that received standard amount of soap for this quarter]]/WWWW[[#This Row],[Total HH]]&gt;1,1,WWWW[[#This Row],['#_households that received standard amount of soap for this quarter]]/WWWW[[#This Row],[Total HH]])</f>
        <v>0</v>
      </c>
      <c r="DD270" s="559">
        <f>IF(WWWW[[#This Row],['#_households that received standard amount of sanitary pads for this quarter]]/WWWW[[#This Row],[Total HH]]&gt;1,1,WWWW[[#This Row],['#_households that received standard amount of sanitary pads for this quarter]]/WWWW[[#This Row],[Total HH]])</f>
        <v>0</v>
      </c>
      <c r="DE270" s="558">
        <f>WWWW[[#This Row],['#_Constructed/Existing hand washing stations]]-WWWW[[#This Row],['#_Non-Functional_hand_washing_stations]]</f>
        <v>0</v>
      </c>
      <c r="DF270" s="757">
        <f>IF(WWWW[[#This Row],['# Functional hand washing stations during reporting period]]*20&gt;WWWW[[#This Row],[Total HH]],WWWW[[#This Row],[Total HH]],WWWW[[#This Row],['# Functional hand washing stations during reporting period]]*20)</f>
        <v>0</v>
      </c>
      <c r="DG270" s="556">
        <f>IF(WWWW[[#This Row],[Is sufficient soap available for TLS? (Yes/No)]]="yes",WWWW[[#This Row],['#_Constructed/Existing hand washing stations at TLS]],0)</f>
        <v>0</v>
      </c>
      <c r="DH270" s="556">
        <f>IF(WWWW[[#This Row],['# Functional hand washing stations during reporting period]]*100&gt;WWWW[[#This Row],[Total PoP ]],WWWW[[#This Row],[Total PoP ]],WWWW[[#This Row],['# Functional hand washing stations during reporting period]]*100)</f>
        <v>0</v>
      </c>
      <c r="DI270" s="556" t="str">
        <f>IF(OR(WWWW[[#This Row],['#_students at TLS_CFS]]="",WWWW[[#This Row],['#_students at TLS_CFS]]=0),"No","Yes")</f>
        <v>No</v>
      </c>
      <c r="DJ270" s="554">
        <f>VLOOKUP(WWWW[[#This Row],[Site Name]],SiteDB6[[Site Name]:[CCCM Management]],6,FALSE)</f>
        <v>0</v>
      </c>
      <c r="DK270" s="554">
        <f>VLOOKUP(WWWW[[#This Row],[Site Name]],SiteDB6[[Site Name]:[CCCM Focal Agency]],7,FALSE)</f>
        <v>0</v>
      </c>
      <c r="DL270" s="554" t="str">
        <f>VLOOKUP(WWWW[[#This Row],[Site Name]],SiteDB6[[Site Name]:[Location Type 1]],9,FALSE)</f>
        <v>Village</v>
      </c>
      <c r="DM270" s="554" t="str">
        <f>VLOOKUP(WWWW[[#This Row],[Site Name]],SiteDB6[[Site Name]:[Type of Accommodation]],10,FALSE)</f>
        <v>Village</v>
      </c>
      <c r="DN270" s="554">
        <f>VLOOKUP(WWWW[[#This Row],[Site Name]],SiteDB6[[Site Name]:[Ethnic or GCA/NGCA]],11,FALSE)</f>
        <v>0</v>
      </c>
      <c r="DO270" s="554">
        <f>VLOOKUP(WWWW[[#This Row],[Site Name]],SiteDB6[[Site Name]:[Lat]],12,FALSE)</f>
        <v>20.142469406127901</v>
      </c>
      <c r="DP270" s="554">
        <f>VLOOKUP(WWWW[[#This Row],[Site Name]],SiteDB6[[Site Name]:[Long]],13,FALSE)</f>
        <v>92.863967895507798</v>
      </c>
      <c r="DQ270" s="554">
        <f>VLOOKUP(WWWW[[#This Row],[Site Name]],SiteDB6[[Site Name]:[Pcode]],3,FALSE)</f>
        <v>196203</v>
      </c>
      <c r="DR270" s="563" t="str">
        <f t="shared" si="9"/>
        <v>Covered</v>
      </c>
      <c r="DS270" s="563"/>
    </row>
    <row r="271" spans="1:123">
      <c r="A271" s="552" t="s">
        <v>2518</v>
      </c>
      <c r="B271" s="552" t="s">
        <v>332</v>
      </c>
      <c r="C271" s="555" t="s">
        <v>332</v>
      </c>
      <c r="D271" s="555" t="s">
        <v>325</v>
      </c>
      <c r="E271" s="574" t="s">
        <v>3006</v>
      </c>
      <c r="F271" s="555" t="s">
        <v>313</v>
      </c>
      <c r="G271" s="574" t="str">
        <f>VLOOKUP(WWWW[[#This Row],[Site Name]],SiteDB6[[Site Name]:[Location Type]],8,FALSE)</f>
        <v>Village</v>
      </c>
      <c r="H271" s="555" t="s">
        <v>2893</v>
      </c>
      <c r="I271" s="557">
        <v>335</v>
      </c>
      <c r="J271" s="557">
        <v>1867</v>
      </c>
      <c r="K271" s="564">
        <v>42736</v>
      </c>
      <c r="L271" s="565">
        <v>44551</v>
      </c>
      <c r="M271" s="557"/>
      <c r="N271" s="557"/>
      <c r="O271" s="557"/>
      <c r="P271" s="557"/>
      <c r="Q271" s="556"/>
      <c r="R271" s="557"/>
      <c r="S271" s="557"/>
      <c r="T271" s="557"/>
      <c r="U271" s="557"/>
      <c r="V271" s="557"/>
      <c r="W271" s="557"/>
      <c r="X271" s="557"/>
      <c r="Y271" s="557"/>
      <c r="Z271" s="557"/>
      <c r="AA271" s="557"/>
      <c r="AB271" s="557"/>
      <c r="AC271" s="557"/>
      <c r="AD271" s="557"/>
      <c r="AE271" s="557"/>
      <c r="AF271" s="557"/>
      <c r="AG271" s="557"/>
      <c r="AH271" s="557"/>
      <c r="AI271" s="557"/>
      <c r="AJ271" s="557"/>
      <c r="AK271" s="557"/>
      <c r="AL271" s="557"/>
      <c r="AM271" s="557"/>
      <c r="AN271" s="557"/>
      <c r="AO271" s="563"/>
      <c r="AP271" s="557"/>
      <c r="AQ271" s="557"/>
      <c r="AR271" s="559"/>
      <c r="AS271" s="557"/>
      <c r="AT271" s="557"/>
      <c r="AU271" s="557"/>
      <c r="AV271" s="557"/>
      <c r="AW271" s="557"/>
      <c r="AX271" s="554"/>
      <c r="AY271" s="563"/>
      <c r="AZ271" s="557"/>
      <c r="BA271" s="557"/>
      <c r="BB271" s="557"/>
      <c r="BC271" s="554"/>
      <c r="BD271" s="557"/>
      <c r="BE271" s="557"/>
      <c r="BF271" s="557"/>
      <c r="BG271" s="557"/>
      <c r="BH271" s="557"/>
      <c r="BI271" s="557"/>
      <c r="BJ271" s="557"/>
      <c r="BK271" s="557"/>
      <c r="BL271" s="557"/>
      <c r="BM271" s="554"/>
      <c r="BN271" s="558"/>
      <c r="BO271" s="559"/>
      <c r="BP271" s="554"/>
      <c r="BQ271" s="560" t="str">
        <f>IFERROR(WWWW[[#This Row],['#_Water sources treated]]/WWWW[[#This Row],['#_Water sources tested for contamination]],"no test")</f>
        <v>no test</v>
      </c>
      <c r="BR271" s="559" t="str">
        <f>IFERROR(WWWW[[#This Row],['#_Household received remediation action due to contamination]]/WWWW[[#This Row],['#_Household water samples tested for contamination]],"no test")</f>
        <v>no test</v>
      </c>
      <c r="BS271" s="558" t="str">
        <f>IF(AND(WWWW[[#This Row],[% of water sources treated]]="no test",WWWW[[#This Row],[% Household received corrective actions]]="no test"),"No Test","Tested")</f>
        <v>No Test</v>
      </c>
      <c r="BT271" s="558">
        <f>WWWW[[#This Row],['#_Constructed/existing protected hand dug well]]-WWWW[[#This Row],['#_Non-functional protected hand dug well]]</f>
        <v>0</v>
      </c>
      <c r="BU271" s="558">
        <f>(WWWW[[#This Row],['#_Constructed/Existing tube wells/boreholes/handpumps_WASH_agency]]+WWWW[[#This Row],['#_Non-Cluster partner water tube-wells/boreholes/handpumps]])-WWWW[[#This Row],['#_Non-functional tube wells/boreholes/handpumps]]</f>
        <v>0</v>
      </c>
      <c r="BV271" s="558">
        <f>WWWW[[#This Row],['#_Constructed/Existingwater storage tank with gravity fed reticulation system]]-WWWW[[#This Row],['#_Non-functional storage tank gravity fed reticulation system]]</f>
        <v>0</v>
      </c>
      <c r="BW271" s="558">
        <f>WWWW[[#This Row],['#_Water boating or water trucking]]</f>
        <v>0</v>
      </c>
      <c r="BX271" s="558">
        <f>WWWW[[#This Row],['#_Constructed/Existing water distribution system from river or natural spring]]</f>
        <v>0</v>
      </c>
      <c r="BY27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1" s="559">
        <f>IF(WWWW[[#This Row],[Location Type 1]]="Village",WWWW[[#This Row],[Access to safe drinking water for Village]],WWWW[[#This Row],[Access to safe drinking water for Camp]])</f>
        <v>0</v>
      </c>
      <c r="CB271" s="556">
        <f>WWWW[[#This Row],[%Equitable and continuous access to sufficient quantity of safe drinking water]]*WWWW[[#This Row],[Total PoP ]]</f>
        <v>0</v>
      </c>
      <c r="CC271" s="559">
        <f>IF((WWWW[[#This Row],['#_Constructed/Existing protected/fenced ponds]]*250)/WWWW[[#This Row],[Total PoP ]]&gt;1,1,(WWWW[[#This Row],['#_Constructed/Existing protected/fenced ponds]]*250)/WWWW[[#This Row],[Total PoP ]])</f>
        <v>0</v>
      </c>
      <c r="CD271" s="556">
        <f>WWWW[[#This Row],[% Access to unimproved water points]]*WWWW[[#This Row],[Total PoP ]]</f>
        <v>0</v>
      </c>
      <c r="CE27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1" s="556">
        <f>WWWW[[#This Row],[HRP1]]/500</f>
        <v>0</v>
      </c>
      <c r="CH271" s="561">
        <f>1-WWWW[[#This Row],[% Equitable and continuous access to sufficient quantity of domestic water]]</f>
        <v>1</v>
      </c>
      <c r="CI271" s="556">
        <f>WWWW[[#This Row],[%equitable and continuous access to sufficient quantity of safe drinking and domestic water''s GAP]]*WWWW[[#This Row],[Total PoP ]]</f>
        <v>1867</v>
      </c>
      <c r="CJ271" s="558">
        <f>IF(WWWW[[#This Row],[Total required water points]]-WWWW[[#This Row],['#Water points coverage]]&lt;0,0,WWWW[[#This Row],[Total required water points]]-WWWW[[#This Row],['#Water points coverage]])</f>
        <v>4</v>
      </c>
      <c r="CK271" s="558">
        <f>ROUND(IF(WWWW[[#This Row],[Total PoP ]]&lt;500,1,WWWW[[#This Row],[Total PoP ]]/500),0)</f>
        <v>4</v>
      </c>
      <c r="CL271" s="558">
        <f>(WWWW[[#This Row],['#_Constructed latrines_by_WASHAgencies]]+WWWW[[#This Row],['#_Non Cluster partner latrines]])-WWWW[[#This Row],['#_Non-functional latrines]]</f>
        <v>0</v>
      </c>
      <c r="CM27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1" s="558" t="str">
        <f>IF(WWWW[[#This Row],[Location Type 1]]="Village","NA",IF(WWWW[[#This Row],['#_Constructed/Existing latrines in TLS]]*50&gt;WWWW[[#This Row],['#_students at TLS_CFS]],WWWW[[#This Row],['#_students at TLS_CFS]],(WWWW[[#This Row],['#_Constructed/Existing latrines in TLS]]*50)))</f>
        <v>NA</v>
      </c>
      <c r="CQ271" s="558">
        <f>ROUND(IF(WWWW[[#This Row],[Location Type 1]]="camp",WWWW[[#This Row],[Total PoP ]]/20,IF(WWWW[[#This Row],[Location Type 1]]="Temporary Location",WWWW[[#This Row],[Total PoP ]]/50,(WWWW[[#This Row],[Total PoP ]]/6))),0)</f>
        <v>311</v>
      </c>
      <c r="CR271" s="558">
        <f>IF(WWWW[[#This Row],[Total required Latrines]]-(WWWW[[#This Row],['#_Constructed latrines_by_WASHAgencies]]+WWWW[[#This Row],['#_Non Cluster partner latrines]])&lt;0,0,WWWW[[#This Row],[Total required Latrines]]-(WWWW[[#This Row],['#_Constructed latrines_by_WASHAgencies]]+WWWW[[#This Row],['#_Non Cluster partner latrines]]))</f>
        <v>311</v>
      </c>
      <c r="CS271" s="78">
        <f>1-WWWW[[#This Row],[% people access to functioning Latrine]]</f>
        <v>1</v>
      </c>
      <c r="CT271" s="560">
        <f>IF(OR(WWWW[[#This Row],['#_Non-functional latrines]]="",WWWW[[#This Row],['#_Non-functional latrines]]=0),0,WWWW[[#This Row],['#_Non-functional latrines]]/(WWWW[[#This Row],['#_Constructed latrines_by_WASHAgencies]]+WWWW[[#This Row],['#_Non Cluster partner latrines]]))</f>
        <v>0</v>
      </c>
      <c r="CU271" s="556">
        <f>IF(500*(WWWW[[#This Row],['#_male hygiene promoters]]+WWWW[[#This Row],['#_female hygiene promoters]])&gt;WWWW[[#This Row],[Total PoP ]],WWWW[[#This Row],[Total PoP ]],500*(WWWW[[#This Row],['#_male hygiene promoters]]+WWWW[[#This Row],['#_female hygiene promoters]]))</f>
        <v>0</v>
      </c>
      <c r="CV27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1" s="558">
        <f>IF(WWWW[[#This Row],['# People with access to soap]]&gt;WWWW[[#This Row],['# People with access to Sanity Pads]],WWWW[[#This Row],['# People with access to soap]],WWWW[[#This Row],['# People with access to Sanity Pads]])</f>
        <v>0</v>
      </c>
      <c r="CY27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1" s="561">
        <f>IF(WWWW[[#This Row],[HRP3]]/WWWW[[#This Row],[Total PoP ]]&gt;100%,100%,WWWW[[#This Row],[HRP3]]/WWWW[[#This Row],[Total PoP ]])</f>
        <v>0</v>
      </c>
      <c r="DA271" s="560">
        <f>1-WWWW[[#This Row],[Hygiene Coverage%]]</f>
        <v>1</v>
      </c>
      <c r="DB271" s="559">
        <f>WWWW[[#This Row],['# people reached by regular dedicated hygiene promotion_5]]/WWWW[[#This Row],[Total PoP ]]</f>
        <v>0</v>
      </c>
      <c r="DC271" s="559">
        <f>IF(WWWW[[#This Row],['#_households that received standard amount of soap for this quarter]]/WWWW[[#This Row],[Total HH]]&gt;1,1,WWWW[[#This Row],['#_households that received standard amount of soap for this quarter]]/WWWW[[#This Row],[Total HH]])</f>
        <v>0</v>
      </c>
      <c r="DD271" s="559">
        <f>IF(WWWW[[#This Row],['#_households that received standard amount of sanitary pads for this quarter]]/WWWW[[#This Row],[Total HH]]&gt;1,1,WWWW[[#This Row],['#_households that received standard amount of sanitary pads for this quarter]]/WWWW[[#This Row],[Total HH]])</f>
        <v>0</v>
      </c>
      <c r="DE271" s="558">
        <f>WWWW[[#This Row],['#_Constructed/Existing hand washing stations]]-WWWW[[#This Row],['#_Non-Functional_hand_washing_stations]]</f>
        <v>0</v>
      </c>
      <c r="DF271" s="757">
        <f>IF(WWWW[[#This Row],['# Functional hand washing stations during reporting period]]*20&gt;WWWW[[#This Row],[Total HH]],WWWW[[#This Row],[Total HH]],WWWW[[#This Row],['# Functional hand washing stations during reporting period]]*20)</f>
        <v>0</v>
      </c>
      <c r="DG271" s="556">
        <f>IF(WWWW[[#This Row],[Is sufficient soap available for TLS? (Yes/No)]]="yes",WWWW[[#This Row],['#_Constructed/Existing hand washing stations at TLS]],0)</f>
        <v>0</v>
      </c>
      <c r="DH271" s="556">
        <f>IF(WWWW[[#This Row],['# Functional hand washing stations during reporting period]]*100&gt;WWWW[[#This Row],[Total PoP ]],WWWW[[#This Row],[Total PoP ]],WWWW[[#This Row],['# Functional hand washing stations during reporting period]]*100)</f>
        <v>0</v>
      </c>
      <c r="DI271" s="556" t="str">
        <f>IF(OR(WWWW[[#This Row],['#_students at TLS_CFS]]="",WWWW[[#This Row],['#_students at TLS_CFS]]=0),"No","Yes")</f>
        <v>No</v>
      </c>
      <c r="DJ271" s="554">
        <f>VLOOKUP(WWWW[[#This Row],[Site Name]],SiteDB6[[Site Name]:[CCCM Management]],6,FALSE)</f>
        <v>0</v>
      </c>
      <c r="DK271" s="554">
        <f>VLOOKUP(WWWW[[#This Row],[Site Name]],SiteDB6[[Site Name]:[CCCM Focal Agency]],7,FALSE)</f>
        <v>0</v>
      </c>
      <c r="DL271" s="554" t="str">
        <f>VLOOKUP(WWWW[[#This Row],[Site Name]],SiteDB6[[Site Name]:[Location Type 1]],9,FALSE)</f>
        <v>Village</v>
      </c>
      <c r="DM271" s="554" t="str">
        <f>VLOOKUP(WWWW[[#This Row],[Site Name]],SiteDB6[[Site Name]:[Type of Accommodation]],10,FALSE)</f>
        <v>Village</v>
      </c>
      <c r="DN271" s="554">
        <f>VLOOKUP(WWWW[[#This Row],[Site Name]],SiteDB6[[Site Name]:[Ethnic or GCA/NGCA]],11,FALSE)</f>
        <v>0</v>
      </c>
      <c r="DO271" s="554">
        <f>VLOOKUP(WWWW[[#This Row],[Site Name]],SiteDB6[[Site Name]:[Lat]],12,FALSE)</f>
        <v>20.170469284057599</v>
      </c>
      <c r="DP271" s="554">
        <f>VLOOKUP(WWWW[[#This Row],[Site Name]],SiteDB6[[Site Name]:[Long]],13,FALSE)</f>
        <v>92.8343505859375</v>
      </c>
      <c r="DQ271" s="554">
        <f>VLOOKUP(WWWW[[#This Row],[Site Name]],SiteDB6[[Site Name]:[Pcode]],3,FALSE)</f>
        <v>196202</v>
      </c>
      <c r="DR271" s="563" t="str">
        <f t="shared" si="9"/>
        <v>Covered</v>
      </c>
      <c r="DS271" s="563"/>
    </row>
    <row r="272" spans="1:123">
      <c r="A272" s="552" t="s">
        <v>2518</v>
      </c>
      <c r="B272" s="552" t="s">
        <v>332</v>
      </c>
      <c r="C272" s="555" t="s">
        <v>332</v>
      </c>
      <c r="D272" s="555" t="s">
        <v>325</v>
      </c>
      <c r="E272" s="574" t="s">
        <v>3006</v>
      </c>
      <c r="F272" s="555" t="s">
        <v>313</v>
      </c>
      <c r="G272" s="574" t="str">
        <f>VLOOKUP(WWWW[[#This Row],[Site Name]],SiteDB6[[Site Name]:[Location Type]],8,FALSE)</f>
        <v>Village</v>
      </c>
      <c r="H272" s="555" t="s">
        <v>1780</v>
      </c>
      <c r="I272" s="557">
        <v>863</v>
      </c>
      <c r="J272" s="557">
        <v>3768</v>
      </c>
      <c r="K272" s="564">
        <v>42736</v>
      </c>
      <c r="L272" s="565">
        <v>44551</v>
      </c>
      <c r="M272" s="557"/>
      <c r="N272" s="557"/>
      <c r="O272" s="557"/>
      <c r="P272" s="557"/>
      <c r="Q272" s="556"/>
      <c r="R272" s="557"/>
      <c r="S272" s="557"/>
      <c r="T272" s="557"/>
      <c r="U272" s="557"/>
      <c r="V272" s="557"/>
      <c r="W272" s="557"/>
      <c r="X272" s="557"/>
      <c r="Y272" s="557"/>
      <c r="Z272" s="557"/>
      <c r="AA272" s="557"/>
      <c r="AB272" s="557"/>
      <c r="AC272" s="557"/>
      <c r="AD272" s="557"/>
      <c r="AE272" s="557"/>
      <c r="AF272" s="557"/>
      <c r="AG272" s="557"/>
      <c r="AH272" s="557"/>
      <c r="AI272" s="557"/>
      <c r="AJ272" s="557"/>
      <c r="AK272" s="557"/>
      <c r="AL272" s="557"/>
      <c r="AM272" s="557"/>
      <c r="AN272" s="557"/>
      <c r="AO272" s="563"/>
      <c r="AP272" s="557"/>
      <c r="AQ272" s="557"/>
      <c r="AR272" s="559"/>
      <c r="AS272" s="557"/>
      <c r="AT272" s="557"/>
      <c r="AU272" s="557"/>
      <c r="AV272" s="557"/>
      <c r="AW272" s="557"/>
      <c r="AX272" s="554"/>
      <c r="AY272" s="563"/>
      <c r="AZ272" s="557"/>
      <c r="BA272" s="557"/>
      <c r="BB272" s="557"/>
      <c r="BC272" s="554"/>
      <c r="BD272" s="557"/>
      <c r="BE272" s="557"/>
      <c r="BF272" s="557"/>
      <c r="BG272" s="557"/>
      <c r="BH272" s="557"/>
      <c r="BI272" s="557"/>
      <c r="BJ272" s="557"/>
      <c r="BK272" s="557"/>
      <c r="BL272" s="557"/>
      <c r="BM272" s="554"/>
      <c r="BN272" s="558"/>
      <c r="BO272" s="559"/>
      <c r="BP272" s="554"/>
      <c r="BQ272" s="560" t="str">
        <f>IFERROR(WWWW[[#This Row],['#_Water sources treated]]/WWWW[[#This Row],['#_Water sources tested for contamination]],"no test")</f>
        <v>no test</v>
      </c>
      <c r="BR272" s="559" t="str">
        <f>IFERROR(WWWW[[#This Row],['#_Household received remediation action due to contamination]]/WWWW[[#This Row],['#_Household water samples tested for contamination]],"no test")</f>
        <v>no test</v>
      </c>
      <c r="BS272" s="558" t="str">
        <f>IF(AND(WWWW[[#This Row],[% of water sources treated]]="no test",WWWW[[#This Row],[% Household received corrective actions]]="no test"),"No Test","Tested")</f>
        <v>No Test</v>
      </c>
      <c r="BT272" s="558">
        <f>WWWW[[#This Row],['#_Constructed/existing protected hand dug well]]-WWWW[[#This Row],['#_Non-functional protected hand dug well]]</f>
        <v>0</v>
      </c>
      <c r="BU272" s="558">
        <f>(WWWW[[#This Row],['#_Constructed/Existing tube wells/boreholes/handpumps_WASH_agency]]+WWWW[[#This Row],['#_Non-Cluster partner water tube-wells/boreholes/handpumps]])-WWWW[[#This Row],['#_Non-functional tube wells/boreholes/handpumps]]</f>
        <v>0</v>
      </c>
      <c r="BV272" s="558">
        <f>WWWW[[#This Row],['#_Constructed/Existingwater storage tank with gravity fed reticulation system]]-WWWW[[#This Row],['#_Non-functional storage tank gravity fed reticulation system]]</f>
        <v>0</v>
      </c>
      <c r="BW272" s="558">
        <f>WWWW[[#This Row],['#_Water boating or water trucking]]</f>
        <v>0</v>
      </c>
      <c r="BX272" s="558">
        <f>WWWW[[#This Row],['#_Constructed/Existing water distribution system from river or natural spring]]</f>
        <v>0</v>
      </c>
      <c r="BY27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2" s="559">
        <f>IF(WWWW[[#This Row],[Location Type 1]]="Village",WWWW[[#This Row],[Access to safe drinking water for Village]],WWWW[[#This Row],[Access to safe drinking water for Camp]])</f>
        <v>0</v>
      </c>
      <c r="CB272" s="556">
        <f>WWWW[[#This Row],[%Equitable and continuous access to sufficient quantity of safe drinking water]]*WWWW[[#This Row],[Total PoP ]]</f>
        <v>0</v>
      </c>
      <c r="CC272" s="559">
        <f>IF((WWWW[[#This Row],['#_Constructed/Existing protected/fenced ponds]]*250)/WWWW[[#This Row],[Total PoP ]]&gt;1,1,(WWWW[[#This Row],['#_Constructed/Existing protected/fenced ponds]]*250)/WWWW[[#This Row],[Total PoP ]])</f>
        <v>0</v>
      </c>
      <c r="CD272" s="556">
        <f>WWWW[[#This Row],[% Access to unimproved water points]]*WWWW[[#This Row],[Total PoP ]]</f>
        <v>0</v>
      </c>
      <c r="CE27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2" s="556">
        <f>WWWW[[#This Row],[HRP1]]/500</f>
        <v>0</v>
      </c>
      <c r="CH272" s="561">
        <f>1-WWWW[[#This Row],[% Equitable and continuous access to sufficient quantity of domestic water]]</f>
        <v>1</v>
      </c>
      <c r="CI272" s="556">
        <f>WWWW[[#This Row],[%equitable and continuous access to sufficient quantity of safe drinking and domestic water''s GAP]]*WWWW[[#This Row],[Total PoP ]]</f>
        <v>3768</v>
      </c>
      <c r="CJ272" s="558">
        <f>IF(WWWW[[#This Row],[Total required water points]]-WWWW[[#This Row],['#Water points coverage]]&lt;0,0,WWWW[[#This Row],[Total required water points]]-WWWW[[#This Row],['#Water points coverage]])</f>
        <v>8</v>
      </c>
      <c r="CK272" s="558">
        <f>ROUND(IF(WWWW[[#This Row],[Total PoP ]]&lt;500,1,WWWW[[#This Row],[Total PoP ]]/500),0)</f>
        <v>8</v>
      </c>
      <c r="CL272" s="558">
        <f>(WWWW[[#This Row],['#_Constructed latrines_by_WASHAgencies]]+WWWW[[#This Row],['#_Non Cluster partner latrines]])-WWWW[[#This Row],['#_Non-functional latrines]]</f>
        <v>0</v>
      </c>
      <c r="CM27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2" s="558" t="str">
        <f>IF(WWWW[[#This Row],[Location Type 1]]="Village","NA",IF(WWWW[[#This Row],['#_Constructed/Existing latrines in TLS]]*50&gt;WWWW[[#This Row],['#_students at TLS_CFS]],WWWW[[#This Row],['#_students at TLS_CFS]],(WWWW[[#This Row],['#_Constructed/Existing latrines in TLS]]*50)))</f>
        <v>NA</v>
      </c>
      <c r="CQ272" s="558">
        <f>ROUND(IF(WWWW[[#This Row],[Location Type 1]]="camp",WWWW[[#This Row],[Total PoP ]]/20,IF(WWWW[[#This Row],[Location Type 1]]="Temporary Location",WWWW[[#This Row],[Total PoP ]]/50,(WWWW[[#This Row],[Total PoP ]]/6))),0)</f>
        <v>628</v>
      </c>
      <c r="CR272" s="558">
        <f>IF(WWWW[[#This Row],[Total required Latrines]]-(WWWW[[#This Row],['#_Constructed latrines_by_WASHAgencies]]+WWWW[[#This Row],['#_Non Cluster partner latrines]])&lt;0,0,WWWW[[#This Row],[Total required Latrines]]-(WWWW[[#This Row],['#_Constructed latrines_by_WASHAgencies]]+WWWW[[#This Row],['#_Non Cluster partner latrines]]))</f>
        <v>628</v>
      </c>
      <c r="CS272" s="78">
        <f>1-WWWW[[#This Row],[% people access to functioning Latrine]]</f>
        <v>1</v>
      </c>
      <c r="CT272" s="560">
        <f>IF(OR(WWWW[[#This Row],['#_Non-functional latrines]]="",WWWW[[#This Row],['#_Non-functional latrines]]=0),0,WWWW[[#This Row],['#_Non-functional latrines]]/(WWWW[[#This Row],['#_Constructed latrines_by_WASHAgencies]]+WWWW[[#This Row],['#_Non Cluster partner latrines]]))</f>
        <v>0</v>
      </c>
      <c r="CU272" s="556">
        <f>IF(500*(WWWW[[#This Row],['#_male hygiene promoters]]+WWWW[[#This Row],['#_female hygiene promoters]])&gt;WWWW[[#This Row],[Total PoP ]],WWWW[[#This Row],[Total PoP ]],500*(WWWW[[#This Row],['#_male hygiene promoters]]+WWWW[[#This Row],['#_female hygiene promoters]]))</f>
        <v>0</v>
      </c>
      <c r="CV27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2" s="558">
        <f>IF(WWWW[[#This Row],['# People with access to soap]]&gt;WWWW[[#This Row],['# People with access to Sanity Pads]],WWWW[[#This Row],['# People with access to soap]],WWWW[[#This Row],['# People with access to Sanity Pads]])</f>
        <v>0</v>
      </c>
      <c r="CY27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2" s="561">
        <f>IF(WWWW[[#This Row],[HRP3]]/WWWW[[#This Row],[Total PoP ]]&gt;100%,100%,WWWW[[#This Row],[HRP3]]/WWWW[[#This Row],[Total PoP ]])</f>
        <v>0</v>
      </c>
      <c r="DA272" s="560">
        <f>1-WWWW[[#This Row],[Hygiene Coverage%]]</f>
        <v>1</v>
      </c>
      <c r="DB272" s="559">
        <f>WWWW[[#This Row],['# people reached by regular dedicated hygiene promotion_5]]/WWWW[[#This Row],[Total PoP ]]</f>
        <v>0</v>
      </c>
      <c r="DC272" s="559">
        <f>IF(WWWW[[#This Row],['#_households that received standard amount of soap for this quarter]]/WWWW[[#This Row],[Total HH]]&gt;1,1,WWWW[[#This Row],['#_households that received standard amount of soap for this quarter]]/WWWW[[#This Row],[Total HH]])</f>
        <v>0</v>
      </c>
      <c r="DD272" s="559">
        <f>IF(WWWW[[#This Row],['#_households that received standard amount of sanitary pads for this quarter]]/WWWW[[#This Row],[Total HH]]&gt;1,1,WWWW[[#This Row],['#_households that received standard amount of sanitary pads for this quarter]]/WWWW[[#This Row],[Total HH]])</f>
        <v>0</v>
      </c>
      <c r="DE272" s="558">
        <f>WWWW[[#This Row],['#_Constructed/Existing hand washing stations]]-WWWW[[#This Row],['#_Non-Functional_hand_washing_stations]]</f>
        <v>0</v>
      </c>
      <c r="DF272" s="757">
        <f>IF(WWWW[[#This Row],['# Functional hand washing stations during reporting period]]*20&gt;WWWW[[#This Row],[Total HH]],WWWW[[#This Row],[Total HH]],WWWW[[#This Row],['# Functional hand washing stations during reporting period]]*20)</f>
        <v>0</v>
      </c>
      <c r="DG272" s="556">
        <f>IF(WWWW[[#This Row],[Is sufficient soap available for TLS? (Yes/No)]]="yes",WWWW[[#This Row],['#_Constructed/Existing hand washing stations at TLS]],0)</f>
        <v>0</v>
      </c>
      <c r="DH272" s="556">
        <f>IF(WWWW[[#This Row],['# Functional hand washing stations during reporting period]]*100&gt;WWWW[[#This Row],[Total PoP ]],WWWW[[#This Row],[Total PoP ]],WWWW[[#This Row],['# Functional hand washing stations during reporting period]]*100)</f>
        <v>0</v>
      </c>
      <c r="DI272" s="556" t="str">
        <f>IF(OR(WWWW[[#This Row],['#_students at TLS_CFS]]="",WWWW[[#This Row],['#_students at TLS_CFS]]=0),"No","Yes")</f>
        <v>No</v>
      </c>
      <c r="DJ272" s="554">
        <f>VLOOKUP(WWWW[[#This Row],[Site Name]],SiteDB6[[Site Name]:[CCCM Management]],6,FALSE)</f>
        <v>0</v>
      </c>
      <c r="DK272" s="554">
        <f>VLOOKUP(WWWW[[#This Row],[Site Name]],SiteDB6[[Site Name]:[CCCM Focal Agency]],7,FALSE)</f>
        <v>0</v>
      </c>
      <c r="DL272" s="554" t="str">
        <f>VLOOKUP(WWWW[[#This Row],[Site Name]],SiteDB6[[Site Name]:[Location Type 1]],9,FALSE)</f>
        <v>Village</v>
      </c>
      <c r="DM272" s="554" t="str">
        <f>VLOOKUP(WWWW[[#This Row],[Site Name]],SiteDB6[[Site Name]:[Type of Accommodation]],10,FALSE)</f>
        <v>Village</v>
      </c>
      <c r="DN272" s="554">
        <f>VLOOKUP(WWWW[[#This Row],[Site Name]],SiteDB6[[Site Name]:[Ethnic or GCA/NGCA]],11,FALSE)</f>
        <v>0</v>
      </c>
      <c r="DO272" s="554">
        <f>VLOOKUP(WWWW[[#This Row],[Site Name]],SiteDB6[[Site Name]:[Lat]],12,FALSE)</f>
        <v>20.168970108032202</v>
      </c>
      <c r="DP272" s="554">
        <f>VLOOKUP(WWWW[[#This Row],[Site Name]],SiteDB6[[Site Name]:[Long]],13,FALSE)</f>
        <v>92.826896667480497</v>
      </c>
      <c r="DQ272" s="554">
        <f>VLOOKUP(WWWW[[#This Row],[Site Name]],SiteDB6[[Site Name]:[Pcode]],3,FALSE)</f>
        <v>196206</v>
      </c>
      <c r="DR272" s="563" t="str">
        <f t="shared" si="9"/>
        <v>Covered</v>
      </c>
      <c r="DS272" s="563"/>
    </row>
    <row r="273" spans="1:123">
      <c r="A273" s="552" t="s">
        <v>2518</v>
      </c>
      <c r="B273" s="552" t="s">
        <v>332</v>
      </c>
      <c r="C273" s="555" t="s">
        <v>332</v>
      </c>
      <c r="D273" s="555" t="s">
        <v>325</v>
      </c>
      <c r="E273" s="574" t="s">
        <v>3006</v>
      </c>
      <c r="F273" s="555" t="s">
        <v>313</v>
      </c>
      <c r="G273" s="574" t="str">
        <f>VLOOKUP(WWWW[[#This Row],[Site Name]],SiteDB6[[Site Name]:[Location Type]],8,FALSE)</f>
        <v>Village</v>
      </c>
      <c r="H273" s="555" t="s">
        <v>2894</v>
      </c>
      <c r="I273" s="557">
        <v>310</v>
      </c>
      <c r="J273" s="557">
        <v>1750</v>
      </c>
      <c r="K273" s="564">
        <v>42736</v>
      </c>
      <c r="L273" s="565">
        <v>44551</v>
      </c>
      <c r="M273" s="557"/>
      <c r="N273" s="557"/>
      <c r="O273" s="557"/>
      <c r="P273" s="557"/>
      <c r="Q273" s="556"/>
      <c r="R273" s="557"/>
      <c r="S273" s="557"/>
      <c r="T273" s="557"/>
      <c r="U273" s="557"/>
      <c r="V273" s="557"/>
      <c r="W273" s="557"/>
      <c r="X273" s="557"/>
      <c r="Y273" s="557"/>
      <c r="Z273" s="557"/>
      <c r="AA273" s="557"/>
      <c r="AB273" s="557"/>
      <c r="AC273" s="557"/>
      <c r="AD273" s="557"/>
      <c r="AE273" s="557"/>
      <c r="AF273" s="557"/>
      <c r="AG273" s="557"/>
      <c r="AH273" s="557"/>
      <c r="AI273" s="557"/>
      <c r="AJ273" s="557"/>
      <c r="AK273" s="557"/>
      <c r="AL273" s="557"/>
      <c r="AM273" s="557"/>
      <c r="AN273" s="557"/>
      <c r="AO273" s="563"/>
      <c r="AP273" s="557"/>
      <c r="AQ273" s="557"/>
      <c r="AR273" s="559"/>
      <c r="AS273" s="557"/>
      <c r="AT273" s="557"/>
      <c r="AU273" s="557"/>
      <c r="AV273" s="557"/>
      <c r="AW273" s="557"/>
      <c r="AX273" s="554"/>
      <c r="AY273" s="563"/>
      <c r="AZ273" s="557"/>
      <c r="BA273" s="557"/>
      <c r="BB273" s="557"/>
      <c r="BC273" s="554"/>
      <c r="BD273" s="557"/>
      <c r="BE273" s="557"/>
      <c r="BF273" s="557"/>
      <c r="BG273" s="557"/>
      <c r="BH273" s="557"/>
      <c r="BI273" s="557"/>
      <c r="BJ273" s="557"/>
      <c r="BK273" s="557"/>
      <c r="BL273" s="557"/>
      <c r="BM273" s="554"/>
      <c r="BN273" s="558"/>
      <c r="BO273" s="559"/>
      <c r="BP273" s="554"/>
      <c r="BQ273" s="560" t="str">
        <f>IFERROR(WWWW[[#This Row],['#_Water sources treated]]/WWWW[[#This Row],['#_Water sources tested for contamination]],"no test")</f>
        <v>no test</v>
      </c>
      <c r="BR273" s="559" t="str">
        <f>IFERROR(WWWW[[#This Row],['#_Household received remediation action due to contamination]]/WWWW[[#This Row],['#_Household water samples tested for contamination]],"no test")</f>
        <v>no test</v>
      </c>
      <c r="BS273" s="558" t="str">
        <f>IF(AND(WWWW[[#This Row],[% of water sources treated]]="no test",WWWW[[#This Row],[% Household received corrective actions]]="no test"),"No Test","Tested")</f>
        <v>No Test</v>
      </c>
      <c r="BT273" s="558">
        <f>WWWW[[#This Row],['#_Constructed/existing protected hand dug well]]-WWWW[[#This Row],['#_Non-functional protected hand dug well]]</f>
        <v>0</v>
      </c>
      <c r="BU273" s="558">
        <f>(WWWW[[#This Row],['#_Constructed/Existing tube wells/boreholes/handpumps_WASH_agency]]+WWWW[[#This Row],['#_Non-Cluster partner water tube-wells/boreholes/handpumps]])-WWWW[[#This Row],['#_Non-functional tube wells/boreholes/handpumps]]</f>
        <v>0</v>
      </c>
      <c r="BV273" s="558">
        <f>WWWW[[#This Row],['#_Constructed/Existingwater storage tank with gravity fed reticulation system]]-WWWW[[#This Row],['#_Non-functional storage tank gravity fed reticulation system]]</f>
        <v>0</v>
      </c>
      <c r="BW273" s="558">
        <f>WWWW[[#This Row],['#_Water boating or water trucking]]</f>
        <v>0</v>
      </c>
      <c r="BX273" s="558">
        <f>WWWW[[#This Row],['#_Constructed/Existing water distribution system from river or natural spring]]</f>
        <v>0</v>
      </c>
      <c r="BY27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3" s="559">
        <f>IF(WWWW[[#This Row],[Location Type 1]]="Village",WWWW[[#This Row],[Access to safe drinking water for Village]],WWWW[[#This Row],[Access to safe drinking water for Camp]])</f>
        <v>0</v>
      </c>
      <c r="CB273" s="556">
        <f>WWWW[[#This Row],[%Equitable and continuous access to sufficient quantity of safe drinking water]]*WWWW[[#This Row],[Total PoP ]]</f>
        <v>0</v>
      </c>
      <c r="CC273" s="559">
        <f>IF((WWWW[[#This Row],['#_Constructed/Existing protected/fenced ponds]]*250)/WWWW[[#This Row],[Total PoP ]]&gt;1,1,(WWWW[[#This Row],['#_Constructed/Existing protected/fenced ponds]]*250)/WWWW[[#This Row],[Total PoP ]])</f>
        <v>0</v>
      </c>
      <c r="CD273" s="556">
        <f>WWWW[[#This Row],[% Access to unimproved water points]]*WWWW[[#This Row],[Total PoP ]]</f>
        <v>0</v>
      </c>
      <c r="CE27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3" s="556">
        <f>WWWW[[#This Row],[HRP1]]/500</f>
        <v>0</v>
      </c>
      <c r="CH273" s="561">
        <f>1-WWWW[[#This Row],[% Equitable and continuous access to sufficient quantity of domestic water]]</f>
        <v>1</v>
      </c>
      <c r="CI273" s="556">
        <f>WWWW[[#This Row],[%equitable and continuous access to sufficient quantity of safe drinking and domestic water''s GAP]]*WWWW[[#This Row],[Total PoP ]]</f>
        <v>1750</v>
      </c>
      <c r="CJ273" s="558">
        <f>IF(WWWW[[#This Row],[Total required water points]]-WWWW[[#This Row],['#Water points coverage]]&lt;0,0,WWWW[[#This Row],[Total required water points]]-WWWW[[#This Row],['#Water points coverage]])</f>
        <v>4</v>
      </c>
      <c r="CK273" s="558">
        <f>ROUND(IF(WWWW[[#This Row],[Total PoP ]]&lt;500,1,WWWW[[#This Row],[Total PoP ]]/500),0)</f>
        <v>4</v>
      </c>
      <c r="CL273" s="558">
        <f>(WWWW[[#This Row],['#_Constructed latrines_by_WASHAgencies]]+WWWW[[#This Row],['#_Non Cluster partner latrines]])-WWWW[[#This Row],['#_Non-functional latrines]]</f>
        <v>0</v>
      </c>
      <c r="CM27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3" s="558" t="str">
        <f>IF(WWWW[[#This Row],[Location Type 1]]="Village","NA",IF(WWWW[[#This Row],['#_Constructed/Existing latrines in TLS]]*50&gt;WWWW[[#This Row],['#_students at TLS_CFS]],WWWW[[#This Row],['#_students at TLS_CFS]],(WWWW[[#This Row],['#_Constructed/Existing latrines in TLS]]*50)))</f>
        <v>NA</v>
      </c>
      <c r="CQ273" s="558">
        <f>ROUND(IF(WWWW[[#This Row],[Location Type 1]]="camp",WWWW[[#This Row],[Total PoP ]]/20,IF(WWWW[[#This Row],[Location Type 1]]="Temporary Location",WWWW[[#This Row],[Total PoP ]]/50,(WWWW[[#This Row],[Total PoP ]]/6))),0)</f>
        <v>292</v>
      </c>
      <c r="CR273" s="558">
        <f>IF(WWWW[[#This Row],[Total required Latrines]]-(WWWW[[#This Row],['#_Constructed latrines_by_WASHAgencies]]+WWWW[[#This Row],['#_Non Cluster partner latrines]])&lt;0,0,WWWW[[#This Row],[Total required Latrines]]-(WWWW[[#This Row],['#_Constructed latrines_by_WASHAgencies]]+WWWW[[#This Row],['#_Non Cluster partner latrines]]))</f>
        <v>292</v>
      </c>
      <c r="CS273" s="78">
        <f>1-WWWW[[#This Row],[% people access to functioning Latrine]]</f>
        <v>1</v>
      </c>
      <c r="CT273" s="560">
        <f>IF(OR(WWWW[[#This Row],['#_Non-functional latrines]]="",WWWW[[#This Row],['#_Non-functional latrines]]=0),0,WWWW[[#This Row],['#_Non-functional latrines]]/(WWWW[[#This Row],['#_Constructed latrines_by_WASHAgencies]]+WWWW[[#This Row],['#_Non Cluster partner latrines]]))</f>
        <v>0</v>
      </c>
      <c r="CU273" s="556">
        <f>IF(500*(WWWW[[#This Row],['#_male hygiene promoters]]+WWWW[[#This Row],['#_female hygiene promoters]])&gt;WWWW[[#This Row],[Total PoP ]],WWWW[[#This Row],[Total PoP ]],500*(WWWW[[#This Row],['#_male hygiene promoters]]+WWWW[[#This Row],['#_female hygiene promoters]]))</f>
        <v>0</v>
      </c>
      <c r="CV27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3" s="558">
        <f>IF(WWWW[[#This Row],['# People with access to soap]]&gt;WWWW[[#This Row],['# People with access to Sanity Pads]],WWWW[[#This Row],['# People with access to soap]],WWWW[[#This Row],['# People with access to Sanity Pads]])</f>
        <v>0</v>
      </c>
      <c r="CY27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3" s="561">
        <f>IF(WWWW[[#This Row],[HRP3]]/WWWW[[#This Row],[Total PoP ]]&gt;100%,100%,WWWW[[#This Row],[HRP3]]/WWWW[[#This Row],[Total PoP ]])</f>
        <v>0</v>
      </c>
      <c r="DA273" s="560">
        <f>1-WWWW[[#This Row],[Hygiene Coverage%]]</f>
        <v>1</v>
      </c>
      <c r="DB273" s="559">
        <f>WWWW[[#This Row],['# people reached by regular dedicated hygiene promotion_5]]/WWWW[[#This Row],[Total PoP ]]</f>
        <v>0</v>
      </c>
      <c r="DC273" s="559">
        <f>IF(WWWW[[#This Row],['#_households that received standard amount of soap for this quarter]]/WWWW[[#This Row],[Total HH]]&gt;1,1,WWWW[[#This Row],['#_households that received standard amount of soap for this quarter]]/WWWW[[#This Row],[Total HH]])</f>
        <v>0</v>
      </c>
      <c r="DD273" s="559">
        <f>IF(WWWW[[#This Row],['#_households that received standard amount of sanitary pads for this quarter]]/WWWW[[#This Row],[Total HH]]&gt;1,1,WWWW[[#This Row],['#_households that received standard amount of sanitary pads for this quarter]]/WWWW[[#This Row],[Total HH]])</f>
        <v>0</v>
      </c>
      <c r="DE273" s="558">
        <f>WWWW[[#This Row],['#_Constructed/Existing hand washing stations]]-WWWW[[#This Row],['#_Non-Functional_hand_washing_stations]]</f>
        <v>0</v>
      </c>
      <c r="DF273" s="757">
        <f>IF(WWWW[[#This Row],['# Functional hand washing stations during reporting period]]*20&gt;WWWW[[#This Row],[Total HH]],WWWW[[#This Row],[Total HH]],WWWW[[#This Row],['# Functional hand washing stations during reporting period]]*20)</f>
        <v>0</v>
      </c>
      <c r="DG273" s="556">
        <f>IF(WWWW[[#This Row],[Is sufficient soap available for TLS? (Yes/No)]]="yes",WWWW[[#This Row],['#_Constructed/Existing hand washing stations at TLS]],0)</f>
        <v>0</v>
      </c>
      <c r="DH273" s="556">
        <f>IF(WWWW[[#This Row],['# Functional hand washing stations during reporting period]]*100&gt;WWWW[[#This Row],[Total PoP ]],WWWW[[#This Row],[Total PoP ]],WWWW[[#This Row],['# Functional hand washing stations during reporting period]]*100)</f>
        <v>0</v>
      </c>
      <c r="DI273" s="556" t="str">
        <f>IF(OR(WWWW[[#This Row],['#_students at TLS_CFS]]="",WWWW[[#This Row],['#_students at TLS_CFS]]=0),"No","Yes")</f>
        <v>No</v>
      </c>
      <c r="DJ273" s="554">
        <f>VLOOKUP(WWWW[[#This Row],[Site Name]],SiteDB6[[Site Name]:[CCCM Management]],6,FALSE)</f>
        <v>0</v>
      </c>
      <c r="DK273" s="554">
        <f>VLOOKUP(WWWW[[#This Row],[Site Name]],SiteDB6[[Site Name]:[CCCM Focal Agency]],7,FALSE)</f>
        <v>0</v>
      </c>
      <c r="DL273" s="554" t="str">
        <f>VLOOKUP(WWWW[[#This Row],[Site Name]],SiteDB6[[Site Name]:[Location Type 1]],9,FALSE)</f>
        <v>Village</v>
      </c>
      <c r="DM273" s="554" t="str">
        <f>VLOOKUP(WWWW[[#This Row],[Site Name]],SiteDB6[[Site Name]:[Type of Accommodation]],10,FALSE)</f>
        <v>Village</v>
      </c>
      <c r="DN273" s="554">
        <f>VLOOKUP(WWWW[[#This Row],[Site Name]],SiteDB6[[Site Name]:[Ethnic or GCA/NGCA]],11,FALSE)</f>
        <v>0</v>
      </c>
      <c r="DO273" s="554">
        <f>VLOOKUP(WWWW[[#This Row],[Site Name]],SiteDB6[[Site Name]:[Lat]],12,FALSE)</f>
        <v>0</v>
      </c>
      <c r="DP273" s="554">
        <f>VLOOKUP(WWWW[[#This Row],[Site Name]],SiteDB6[[Site Name]:[Long]],13,FALSE)</f>
        <v>0</v>
      </c>
      <c r="DQ273" s="554">
        <f>VLOOKUP(WWWW[[#This Row],[Site Name]],SiteDB6[[Site Name]:[Pcode]],3,FALSE)</f>
        <v>0</v>
      </c>
      <c r="DR273" s="563" t="str">
        <f t="shared" si="9"/>
        <v>Covered</v>
      </c>
      <c r="DS273" s="563"/>
    </row>
    <row r="274" spans="1:123">
      <c r="A274" s="552" t="s">
        <v>2518</v>
      </c>
      <c r="B274" s="552" t="s">
        <v>332</v>
      </c>
      <c r="C274" s="555" t="s">
        <v>332</v>
      </c>
      <c r="D274" s="555" t="s">
        <v>325</v>
      </c>
      <c r="E274" s="574" t="s">
        <v>3006</v>
      </c>
      <c r="F274" s="555" t="s">
        <v>330</v>
      </c>
      <c r="G274" s="574" t="str">
        <f>VLOOKUP(WWWW[[#This Row],[Site Name]],SiteDB6[[Site Name]:[Location Type]],8,FALSE)</f>
        <v>Village</v>
      </c>
      <c r="H274" s="555" t="s">
        <v>483</v>
      </c>
      <c r="I274" s="557">
        <v>125</v>
      </c>
      <c r="J274" s="557">
        <v>513</v>
      </c>
      <c r="K274" s="564">
        <v>42736</v>
      </c>
      <c r="L274" s="565">
        <v>44551</v>
      </c>
      <c r="M274" s="557"/>
      <c r="N274" s="557"/>
      <c r="O274" s="557"/>
      <c r="P274" s="557"/>
      <c r="Q274" s="556"/>
      <c r="R274" s="557"/>
      <c r="S274" s="557"/>
      <c r="T274" s="557"/>
      <c r="U274" s="557"/>
      <c r="V274" s="557"/>
      <c r="W274" s="557"/>
      <c r="X274" s="557"/>
      <c r="Y274" s="557"/>
      <c r="Z274" s="557"/>
      <c r="AA274" s="557"/>
      <c r="AB274" s="557"/>
      <c r="AC274" s="557"/>
      <c r="AD274" s="557"/>
      <c r="AE274" s="557"/>
      <c r="AF274" s="557"/>
      <c r="AG274" s="557"/>
      <c r="AH274" s="557"/>
      <c r="AI274" s="557"/>
      <c r="AJ274" s="557"/>
      <c r="AK274" s="557"/>
      <c r="AL274" s="557"/>
      <c r="AM274" s="557"/>
      <c r="AN274" s="557"/>
      <c r="AO274" s="563"/>
      <c r="AP274" s="557"/>
      <c r="AQ274" s="557"/>
      <c r="AR274" s="559"/>
      <c r="AS274" s="557"/>
      <c r="AT274" s="557"/>
      <c r="AU274" s="557"/>
      <c r="AV274" s="557"/>
      <c r="AW274" s="557"/>
      <c r="AX274" s="554"/>
      <c r="AY274" s="563"/>
      <c r="AZ274" s="557"/>
      <c r="BA274" s="557"/>
      <c r="BB274" s="557"/>
      <c r="BC274" s="554"/>
      <c r="BD274" s="557"/>
      <c r="BE274" s="557"/>
      <c r="BF274" s="557"/>
      <c r="BG274" s="557"/>
      <c r="BH274" s="557"/>
      <c r="BI274" s="557"/>
      <c r="BJ274" s="557"/>
      <c r="BK274" s="557"/>
      <c r="BL274" s="557"/>
      <c r="BM274" s="554"/>
      <c r="BN274" s="558"/>
      <c r="BO274" s="559"/>
      <c r="BP274" s="554"/>
      <c r="BQ274" s="560" t="str">
        <f>IFERROR(WWWW[[#This Row],['#_Water sources treated]]/WWWW[[#This Row],['#_Water sources tested for contamination]],"no test")</f>
        <v>no test</v>
      </c>
      <c r="BR274" s="559" t="str">
        <f>IFERROR(WWWW[[#This Row],['#_Household received remediation action due to contamination]]/WWWW[[#This Row],['#_Household water samples tested for contamination]],"no test")</f>
        <v>no test</v>
      </c>
      <c r="BS274" s="558" t="str">
        <f>IF(AND(WWWW[[#This Row],[% of water sources treated]]="no test",WWWW[[#This Row],[% Household received corrective actions]]="no test"),"No Test","Tested")</f>
        <v>No Test</v>
      </c>
      <c r="BT274" s="558">
        <f>WWWW[[#This Row],['#_Constructed/existing protected hand dug well]]-WWWW[[#This Row],['#_Non-functional protected hand dug well]]</f>
        <v>0</v>
      </c>
      <c r="BU274" s="558">
        <f>(WWWW[[#This Row],['#_Constructed/Existing tube wells/boreholes/handpumps_WASH_agency]]+WWWW[[#This Row],['#_Non-Cluster partner water tube-wells/boreholes/handpumps]])-WWWW[[#This Row],['#_Non-functional tube wells/boreholes/handpumps]]</f>
        <v>0</v>
      </c>
      <c r="BV274" s="558">
        <f>WWWW[[#This Row],['#_Constructed/Existingwater storage tank with gravity fed reticulation system]]-WWWW[[#This Row],['#_Non-functional storage tank gravity fed reticulation system]]</f>
        <v>0</v>
      </c>
      <c r="BW274" s="558">
        <f>WWWW[[#This Row],['#_Water boating or water trucking]]</f>
        <v>0</v>
      </c>
      <c r="BX274" s="558">
        <f>WWWW[[#This Row],['#_Constructed/Existing water distribution system from river or natural spring]]</f>
        <v>0</v>
      </c>
      <c r="BY27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4" s="559">
        <f>IF(WWWW[[#This Row],[Location Type 1]]="Village",WWWW[[#This Row],[Access to safe drinking water for Village]],WWWW[[#This Row],[Access to safe drinking water for Camp]])</f>
        <v>0</v>
      </c>
      <c r="CB274" s="556">
        <f>WWWW[[#This Row],[%Equitable and continuous access to sufficient quantity of safe drinking water]]*WWWW[[#This Row],[Total PoP ]]</f>
        <v>0</v>
      </c>
      <c r="CC274" s="559">
        <f>IF((WWWW[[#This Row],['#_Constructed/Existing protected/fenced ponds]]*250)/WWWW[[#This Row],[Total PoP ]]&gt;1,1,(WWWW[[#This Row],['#_Constructed/Existing protected/fenced ponds]]*250)/WWWW[[#This Row],[Total PoP ]])</f>
        <v>0</v>
      </c>
      <c r="CD274" s="556">
        <f>WWWW[[#This Row],[% Access to unimproved water points]]*WWWW[[#This Row],[Total PoP ]]</f>
        <v>0</v>
      </c>
      <c r="CE27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4" s="556">
        <f>WWWW[[#This Row],[HRP1]]/500</f>
        <v>0</v>
      </c>
      <c r="CH274" s="561">
        <f>1-WWWW[[#This Row],[% Equitable and continuous access to sufficient quantity of domestic water]]</f>
        <v>1</v>
      </c>
      <c r="CI274" s="556">
        <f>WWWW[[#This Row],[%equitable and continuous access to sufficient quantity of safe drinking and domestic water''s GAP]]*WWWW[[#This Row],[Total PoP ]]</f>
        <v>513</v>
      </c>
      <c r="CJ274" s="558">
        <f>IF(WWWW[[#This Row],[Total required water points]]-WWWW[[#This Row],['#Water points coverage]]&lt;0,0,WWWW[[#This Row],[Total required water points]]-WWWW[[#This Row],['#Water points coverage]])</f>
        <v>1</v>
      </c>
      <c r="CK274" s="558">
        <f>ROUND(IF(WWWW[[#This Row],[Total PoP ]]&lt;500,1,WWWW[[#This Row],[Total PoP ]]/500),0)</f>
        <v>1</v>
      </c>
      <c r="CL274" s="558">
        <f>(WWWW[[#This Row],['#_Constructed latrines_by_WASHAgencies]]+WWWW[[#This Row],['#_Non Cluster partner latrines]])-WWWW[[#This Row],['#_Non-functional latrines]]</f>
        <v>0</v>
      </c>
      <c r="CM27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4" s="558" t="str">
        <f>IF(WWWW[[#This Row],[Location Type 1]]="Village","NA",IF(WWWW[[#This Row],['#_Constructed/Existing latrines in TLS]]*50&gt;WWWW[[#This Row],['#_students at TLS_CFS]],WWWW[[#This Row],['#_students at TLS_CFS]],(WWWW[[#This Row],['#_Constructed/Existing latrines in TLS]]*50)))</f>
        <v>NA</v>
      </c>
      <c r="CQ274" s="558">
        <f>ROUND(IF(WWWW[[#This Row],[Location Type 1]]="camp",WWWW[[#This Row],[Total PoP ]]/20,IF(WWWW[[#This Row],[Location Type 1]]="Temporary Location",WWWW[[#This Row],[Total PoP ]]/50,(WWWW[[#This Row],[Total PoP ]]/6))),0)</f>
        <v>86</v>
      </c>
      <c r="CR274" s="558">
        <f>IF(WWWW[[#This Row],[Total required Latrines]]-(WWWW[[#This Row],['#_Constructed latrines_by_WASHAgencies]]+WWWW[[#This Row],['#_Non Cluster partner latrines]])&lt;0,0,WWWW[[#This Row],[Total required Latrines]]-(WWWW[[#This Row],['#_Constructed latrines_by_WASHAgencies]]+WWWW[[#This Row],['#_Non Cluster partner latrines]]))</f>
        <v>86</v>
      </c>
      <c r="CS274" s="78">
        <f>1-WWWW[[#This Row],[% people access to functioning Latrine]]</f>
        <v>1</v>
      </c>
      <c r="CT274" s="560">
        <f>IF(OR(WWWW[[#This Row],['#_Non-functional latrines]]="",WWWW[[#This Row],['#_Non-functional latrines]]=0),0,WWWW[[#This Row],['#_Non-functional latrines]]/(WWWW[[#This Row],['#_Constructed latrines_by_WASHAgencies]]+WWWW[[#This Row],['#_Non Cluster partner latrines]]))</f>
        <v>0</v>
      </c>
      <c r="CU274" s="556">
        <f>IF(500*(WWWW[[#This Row],['#_male hygiene promoters]]+WWWW[[#This Row],['#_female hygiene promoters]])&gt;WWWW[[#This Row],[Total PoP ]],WWWW[[#This Row],[Total PoP ]],500*(WWWW[[#This Row],['#_male hygiene promoters]]+WWWW[[#This Row],['#_female hygiene promoters]]))</f>
        <v>0</v>
      </c>
      <c r="CV27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4" s="558">
        <f>IF(WWWW[[#This Row],['# People with access to soap]]&gt;WWWW[[#This Row],['# People with access to Sanity Pads]],WWWW[[#This Row],['# People with access to soap]],WWWW[[#This Row],['# People with access to Sanity Pads]])</f>
        <v>0</v>
      </c>
      <c r="CY27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4" s="561">
        <f>IF(WWWW[[#This Row],[HRP3]]/WWWW[[#This Row],[Total PoP ]]&gt;100%,100%,WWWW[[#This Row],[HRP3]]/WWWW[[#This Row],[Total PoP ]])</f>
        <v>0</v>
      </c>
      <c r="DA274" s="560">
        <f>1-WWWW[[#This Row],[Hygiene Coverage%]]</f>
        <v>1</v>
      </c>
      <c r="DB274" s="559">
        <f>WWWW[[#This Row],['# people reached by regular dedicated hygiene promotion_5]]/WWWW[[#This Row],[Total PoP ]]</f>
        <v>0</v>
      </c>
      <c r="DC274" s="559">
        <f>IF(WWWW[[#This Row],['#_households that received standard amount of soap for this quarter]]/WWWW[[#This Row],[Total HH]]&gt;1,1,WWWW[[#This Row],['#_households that received standard amount of soap for this quarter]]/WWWW[[#This Row],[Total HH]])</f>
        <v>0</v>
      </c>
      <c r="DD274" s="559">
        <f>IF(WWWW[[#This Row],['#_households that received standard amount of sanitary pads for this quarter]]/WWWW[[#This Row],[Total HH]]&gt;1,1,WWWW[[#This Row],['#_households that received standard amount of sanitary pads for this quarter]]/WWWW[[#This Row],[Total HH]])</f>
        <v>0</v>
      </c>
      <c r="DE274" s="558">
        <f>WWWW[[#This Row],['#_Constructed/Existing hand washing stations]]-WWWW[[#This Row],['#_Non-Functional_hand_washing_stations]]</f>
        <v>0</v>
      </c>
      <c r="DF274" s="757">
        <f>IF(WWWW[[#This Row],['# Functional hand washing stations during reporting period]]*20&gt;WWWW[[#This Row],[Total HH]],WWWW[[#This Row],[Total HH]],WWWW[[#This Row],['# Functional hand washing stations during reporting period]]*20)</f>
        <v>0</v>
      </c>
      <c r="DG274" s="556">
        <f>IF(WWWW[[#This Row],[Is sufficient soap available for TLS? (Yes/No)]]="yes",WWWW[[#This Row],['#_Constructed/Existing hand washing stations at TLS]],0)</f>
        <v>0</v>
      </c>
      <c r="DH274" s="556">
        <f>IF(WWWW[[#This Row],['# Functional hand washing stations during reporting period]]*100&gt;WWWW[[#This Row],[Total PoP ]],WWWW[[#This Row],[Total PoP ]],WWWW[[#This Row],['# Functional hand washing stations during reporting period]]*100)</f>
        <v>0</v>
      </c>
      <c r="DI274" s="556" t="str">
        <f>IF(OR(WWWW[[#This Row],['#_students at TLS_CFS]]="",WWWW[[#This Row],['#_students at TLS_CFS]]=0),"No","Yes")</f>
        <v>No</v>
      </c>
      <c r="DJ274" s="554">
        <f>VLOOKUP(WWWW[[#This Row],[Site Name]],SiteDB6[[Site Name]:[CCCM Management]],6,FALSE)</f>
        <v>0</v>
      </c>
      <c r="DK274" s="554">
        <f>VLOOKUP(WWWW[[#This Row],[Site Name]],SiteDB6[[Site Name]:[CCCM Focal Agency]],7,FALSE)</f>
        <v>0</v>
      </c>
      <c r="DL274" s="554" t="str">
        <f>VLOOKUP(WWWW[[#This Row],[Site Name]],SiteDB6[[Site Name]:[Location Type 1]],9,FALSE)</f>
        <v>Village</v>
      </c>
      <c r="DM274" s="554" t="str">
        <f>VLOOKUP(WWWW[[#This Row],[Site Name]],SiteDB6[[Site Name]:[Type of Accommodation]],10,FALSE)</f>
        <v>Returned</v>
      </c>
      <c r="DN274" s="554" t="str">
        <f>VLOOKUP(WWWW[[#This Row],[Site Name]],SiteDB6[[Site Name]:[Ethnic or GCA/NGCA]],11,FALSE)</f>
        <v>Muslim</v>
      </c>
      <c r="DO274" s="554">
        <f>VLOOKUP(WWWW[[#This Row],[Site Name]],SiteDB6[[Site Name]:[Lat]],12,FALSE)</f>
        <v>20.39902</v>
      </c>
      <c r="DP274" s="554">
        <f>VLOOKUP(WWWW[[#This Row],[Site Name]],SiteDB6[[Site Name]:[Long]],13,FALSE)</f>
        <v>93.249669999999995</v>
      </c>
      <c r="DQ274" s="554" t="str">
        <f>VLOOKUP(WWWW[[#This Row],[Site Name]],SiteDB6[[Site Name]:[Pcode]],3,FALSE)</f>
        <v>MMR012CMP003</v>
      </c>
      <c r="DR274" s="563" t="str">
        <f t="shared" si="9"/>
        <v>Covered</v>
      </c>
      <c r="DS274" s="563"/>
    </row>
    <row r="275" spans="1:123">
      <c r="A275" s="552" t="s">
        <v>2518</v>
      </c>
      <c r="B275" s="552" t="s">
        <v>332</v>
      </c>
      <c r="C275" s="555" t="s">
        <v>332</v>
      </c>
      <c r="D275" s="555" t="s">
        <v>345</v>
      </c>
      <c r="E275" s="574" t="s">
        <v>3006</v>
      </c>
      <c r="F275" s="555" t="s">
        <v>313</v>
      </c>
      <c r="G275" s="574" t="str">
        <f>VLOOKUP(WWWW[[#This Row],[Site Name]],SiteDB6[[Site Name]:[Location Type]],8,FALSE)</f>
        <v>Village</v>
      </c>
      <c r="H275" s="555" t="s">
        <v>2895</v>
      </c>
      <c r="I275" s="557">
        <v>92</v>
      </c>
      <c r="J275" s="557">
        <v>715</v>
      </c>
      <c r="K275" s="564">
        <v>42736</v>
      </c>
      <c r="L275" s="565">
        <v>44551</v>
      </c>
      <c r="M275" s="557"/>
      <c r="N275" s="557"/>
      <c r="O275" s="557"/>
      <c r="P275" s="557"/>
      <c r="Q275" s="556"/>
      <c r="R275" s="557"/>
      <c r="S275" s="557"/>
      <c r="T275" s="557"/>
      <c r="U275" s="557"/>
      <c r="V275" s="557"/>
      <c r="W275" s="557"/>
      <c r="X275" s="557"/>
      <c r="Y275" s="557"/>
      <c r="Z275" s="557"/>
      <c r="AA275" s="557"/>
      <c r="AB275" s="557"/>
      <c r="AC275" s="557"/>
      <c r="AD275" s="557"/>
      <c r="AE275" s="557"/>
      <c r="AF275" s="557"/>
      <c r="AG275" s="557"/>
      <c r="AH275" s="557"/>
      <c r="AI275" s="557"/>
      <c r="AJ275" s="557"/>
      <c r="AK275" s="557"/>
      <c r="AL275" s="557"/>
      <c r="AM275" s="557"/>
      <c r="AN275" s="557"/>
      <c r="AO275" s="563"/>
      <c r="AP275" s="557"/>
      <c r="AQ275" s="557"/>
      <c r="AR275" s="559"/>
      <c r="AS275" s="557"/>
      <c r="AT275" s="557"/>
      <c r="AU275" s="557"/>
      <c r="AV275" s="557"/>
      <c r="AW275" s="557"/>
      <c r="AX275" s="554"/>
      <c r="AY275" s="563"/>
      <c r="AZ275" s="557"/>
      <c r="BA275" s="557"/>
      <c r="BB275" s="557"/>
      <c r="BC275" s="554"/>
      <c r="BD275" s="557"/>
      <c r="BE275" s="557"/>
      <c r="BF275" s="557"/>
      <c r="BG275" s="557"/>
      <c r="BH275" s="557"/>
      <c r="BI275" s="557"/>
      <c r="BJ275" s="557"/>
      <c r="BK275" s="557"/>
      <c r="BL275" s="557"/>
      <c r="BM275" s="554"/>
      <c r="BN275" s="558"/>
      <c r="BO275" s="559"/>
      <c r="BP275" s="554"/>
      <c r="BQ275" s="560" t="str">
        <f>IFERROR(WWWW[[#This Row],['#_Water sources treated]]/WWWW[[#This Row],['#_Water sources tested for contamination]],"no test")</f>
        <v>no test</v>
      </c>
      <c r="BR275" s="559" t="str">
        <f>IFERROR(WWWW[[#This Row],['#_Household received remediation action due to contamination]]/WWWW[[#This Row],['#_Household water samples tested for contamination]],"no test")</f>
        <v>no test</v>
      </c>
      <c r="BS275" s="558" t="str">
        <f>IF(AND(WWWW[[#This Row],[% of water sources treated]]="no test",WWWW[[#This Row],[% Household received corrective actions]]="no test"),"No Test","Tested")</f>
        <v>No Test</v>
      </c>
      <c r="BT275" s="558">
        <f>WWWW[[#This Row],['#_Constructed/existing protected hand dug well]]-WWWW[[#This Row],['#_Non-functional protected hand dug well]]</f>
        <v>0</v>
      </c>
      <c r="BU275" s="558">
        <f>(WWWW[[#This Row],['#_Constructed/Existing tube wells/boreholes/handpumps_WASH_agency]]+WWWW[[#This Row],['#_Non-Cluster partner water tube-wells/boreholes/handpumps]])-WWWW[[#This Row],['#_Non-functional tube wells/boreholes/handpumps]]</f>
        <v>0</v>
      </c>
      <c r="BV275" s="558">
        <f>WWWW[[#This Row],['#_Constructed/Existingwater storage tank with gravity fed reticulation system]]-WWWW[[#This Row],['#_Non-functional storage tank gravity fed reticulation system]]</f>
        <v>0</v>
      </c>
      <c r="BW275" s="558">
        <f>WWWW[[#This Row],['#_Water boating or water trucking]]</f>
        <v>0</v>
      </c>
      <c r="BX275" s="558">
        <f>WWWW[[#This Row],['#_Constructed/Existing water distribution system from river or natural spring]]</f>
        <v>0</v>
      </c>
      <c r="BY27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5" s="559">
        <f>IF(WWWW[[#This Row],[Location Type 1]]="Village",WWWW[[#This Row],[Access to safe drinking water for Village]],WWWW[[#This Row],[Access to safe drinking water for Camp]])</f>
        <v>0</v>
      </c>
      <c r="CB275" s="556">
        <f>WWWW[[#This Row],[%Equitable and continuous access to sufficient quantity of safe drinking water]]*WWWW[[#This Row],[Total PoP ]]</f>
        <v>0</v>
      </c>
      <c r="CC275" s="559">
        <f>IF((WWWW[[#This Row],['#_Constructed/Existing protected/fenced ponds]]*250)/WWWW[[#This Row],[Total PoP ]]&gt;1,1,(WWWW[[#This Row],['#_Constructed/Existing protected/fenced ponds]]*250)/WWWW[[#This Row],[Total PoP ]])</f>
        <v>0</v>
      </c>
      <c r="CD275" s="556">
        <f>WWWW[[#This Row],[% Access to unimproved water points]]*WWWW[[#This Row],[Total PoP ]]</f>
        <v>0</v>
      </c>
      <c r="CE27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5" s="556">
        <f>WWWW[[#This Row],[HRP1]]/500</f>
        <v>0</v>
      </c>
      <c r="CH275" s="561">
        <f>1-WWWW[[#This Row],[% Equitable and continuous access to sufficient quantity of domestic water]]</f>
        <v>1</v>
      </c>
      <c r="CI275" s="556">
        <f>WWWW[[#This Row],[%equitable and continuous access to sufficient quantity of safe drinking and domestic water''s GAP]]*WWWW[[#This Row],[Total PoP ]]</f>
        <v>715</v>
      </c>
      <c r="CJ275" s="558">
        <f>IF(WWWW[[#This Row],[Total required water points]]-WWWW[[#This Row],['#Water points coverage]]&lt;0,0,WWWW[[#This Row],[Total required water points]]-WWWW[[#This Row],['#Water points coverage]])</f>
        <v>1</v>
      </c>
      <c r="CK275" s="558">
        <f>ROUND(IF(WWWW[[#This Row],[Total PoP ]]&lt;500,1,WWWW[[#This Row],[Total PoP ]]/500),0)</f>
        <v>1</v>
      </c>
      <c r="CL275" s="558">
        <f>(WWWW[[#This Row],['#_Constructed latrines_by_WASHAgencies]]+WWWW[[#This Row],['#_Non Cluster partner latrines]])-WWWW[[#This Row],['#_Non-functional latrines]]</f>
        <v>0</v>
      </c>
      <c r="CM27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5" s="558" t="str">
        <f>IF(WWWW[[#This Row],[Location Type 1]]="Village","NA",IF(WWWW[[#This Row],['#_Constructed/Existing latrines in TLS]]*50&gt;WWWW[[#This Row],['#_students at TLS_CFS]],WWWW[[#This Row],['#_students at TLS_CFS]],(WWWW[[#This Row],['#_Constructed/Existing latrines in TLS]]*50)))</f>
        <v>NA</v>
      </c>
      <c r="CQ275" s="558">
        <f>ROUND(IF(WWWW[[#This Row],[Location Type 1]]="camp",WWWW[[#This Row],[Total PoP ]]/20,IF(WWWW[[#This Row],[Location Type 1]]="Temporary Location",WWWW[[#This Row],[Total PoP ]]/50,(WWWW[[#This Row],[Total PoP ]]/6))),0)</f>
        <v>119</v>
      </c>
      <c r="CR275" s="558">
        <f>IF(WWWW[[#This Row],[Total required Latrines]]-(WWWW[[#This Row],['#_Constructed latrines_by_WASHAgencies]]+WWWW[[#This Row],['#_Non Cluster partner latrines]])&lt;0,0,WWWW[[#This Row],[Total required Latrines]]-(WWWW[[#This Row],['#_Constructed latrines_by_WASHAgencies]]+WWWW[[#This Row],['#_Non Cluster partner latrines]]))</f>
        <v>119</v>
      </c>
      <c r="CS275" s="78">
        <f>1-WWWW[[#This Row],[% people access to functioning Latrine]]</f>
        <v>1</v>
      </c>
      <c r="CT275" s="560">
        <f>IF(OR(WWWW[[#This Row],['#_Non-functional latrines]]="",WWWW[[#This Row],['#_Non-functional latrines]]=0),0,WWWW[[#This Row],['#_Non-functional latrines]]/(WWWW[[#This Row],['#_Constructed latrines_by_WASHAgencies]]+WWWW[[#This Row],['#_Non Cluster partner latrines]]))</f>
        <v>0</v>
      </c>
      <c r="CU275" s="556">
        <f>IF(500*(WWWW[[#This Row],['#_male hygiene promoters]]+WWWW[[#This Row],['#_female hygiene promoters]])&gt;WWWW[[#This Row],[Total PoP ]],WWWW[[#This Row],[Total PoP ]],500*(WWWW[[#This Row],['#_male hygiene promoters]]+WWWW[[#This Row],['#_female hygiene promoters]]))</f>
        <v>0</v>
      </c>
      <c r="CV27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5" s="558">
        <f>IF(WWWW[[#This Row],['# People with access to soap]]&gt;WWWW[[#This Row],['# People with access to Sanity Pads]],WWWW[[#This Row],['# People with access to soap]],WWWW[[#This Row],['# People with access to Sanity Pads]])</f>
        <v>0</v>
      </c>
      <c r="CY27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5" s="561">
        <f>IF(WWWW[[#This Row],[HRP3]]/WWWW[[#This Row],[Total PoP ]]&gt;100%,100%,WWWW[[#This Row],[HRP3]]/WWWW[[#This Row],[Total PoP ]])</f>
        <v>0</v>
      </c>
      <c r="DA275" s="560">
        <f>1-WWWW[[#This Row],[Hygiene Coverage%]]</f>
        <v>1</v>
      </c>
      <c r="DB275" s="559">
        <f>WWWW[[#This Row],['# people reached by regular dedicated hygiene promotion_5]]/WWWW[[#This Row],[Total PoP ]]</f>
        <v>0</v>
      </c>
      <c r="DC275" s="559">
        <f>IF(WWWW[[#This Row],['#_households that received standard amount of soap for this quarter]]/WWWW[[#This Row],[Total HH]]&gt;1,1,WWWW[[#This Row],['#_households that received standard amount of soap for this quarter]]/WWWW[[#This Row],[Total HH]])</f>
        <v>0</v>
      </c>
      <c r="DD275" s="559">
        <f>IF(WWWW[[#This Row],['#_households that received standard amount of sanitary pads for this quarter]]/WWWW[[#This Row],[Total HH]]&gt;1,1,WWWW[[#This Row],['#_households that received standard amount of sanitary pads for this quarter]]/WWWW[[#This Row],[Total HH]])</f>
        <v>0</v>
      </c>
      <c r="DE275" s="558">
        <f>WWWW[[#This Row],['#_Constructed/Existing hand washing stations]]-WWWW[[#This Row],['#_Non-Functional_hand_washing_stations]]</f>
        <v>0</v>
      </c>
      <c r="DF275" s="757">
        <f>IF(WWWW[[#This Row],['# Functional hand washing stations during reporting period]]*20&gt;WWWW[[#This Row],[Total HH]],WWWW[[#This Row],[Total HH]],WWWW[[#This Row],['# Functional hand washing stations during reporting period]]*20)</f>
        <v>0</v>
      </c>
      <c r="DG275" s="556">
        <f>IF(WWWW[[#This Row],[Is sufficient soap available for TLS? (Yes/No)]]="yes",WWWW[[#This Row],['#_Constructed/Existing hand washing stations at TLS]],0)</f>
        <v>0</v>
      </c>
      <c r="DH275" s="556">
        <f>IF(WWWW[[#This Row],['# Functional hand washing stations during reporting period]]*100&gt;WWWW[[#This Row],[Total PoP ]],WWWW[[#This Row],[Total PoP ]],WWWW[[#This Row],['# Functional hand washing stations during reporting period]]*100)</f>
        <v>0</v>
      </c>
      <c r="DI275" s="556" t="str">
        <f>IF(OR(WWWW[[#This Row],['#_students at TLS_CFS]]="",WWWW[[#This Row],['#_students at TLS_CFS]]=0),"No","Yes")</f>
        <v>No</v>
      </c>
      <c r="DJ275" s="554">
        <f>VLOOKUP(WWWW[[#This Row],[Site Name]],SiteDB6[[Site Name]:[CCCM Management]],6,FALSE)</f>
        <v>0</v>
      </c>
      <c r="DK275" s="554">
        <f>VLOOKUP(WWWW[[#This Row],[Site Name]],SiteDB6[[Site Name]:[CCCM Focal Agency]],7,FALSE)</f>
        <v>0</v>
      </c>
      <c r="DL275" s="554" t="str">
        <f>VLOOKUP(WWWW[[#This Row],[Site Name]],SiteDB6[[Site Name]:[Location Type 1]],9,FALSE)</f>
        <v>Village</v>
      </c>
      <c r="DM275" s="554" t="str">
        <f>VLOOKUP(WWWW[[#This Row],[Site Name]],SiteDB6[[Site Name]:[Type of Accommodation]],10,FALSE)</f>
        <v>Village</v>
      </c>
      <c r="DN275" s="554">
        <f>VLOOKUP(WWWW[[#This Row],[Site Name]],SiteDB6[[Site Name]:[Ethnic or GCA/NGCA]],11,FALSE)</f>
        <v>0</v>
      </c>
      <c r="DO275" s="554">
        <f>VLOOKUP(WWWW[[#This Row],[Site Name]],SiteDB6[[Site Name]:[Lat]],12,FALSE)</f>
        <v>20.172649383544901</v>
      </c>
      <c r="DP275" s="554">
        <f>VLOOKUP(WWWW[[#This Row],[Site Name]],SiteDB6[[Site Name]:[Long]],13,FALSE)</f>
        <v>92.874351501464801</v>
      </c>
      <c r="DQ275" s="554">
        <f>VLOOKUP(WWWW[[#This Row],[Site Name]],SiteDB6[[Site Name]:[Pcode]],3,FALSE)</f>
        <v>196195</v>
      </c>
      <c r="DR275" s="563" t="str">
        <f t="shared" si="9"/>
        <v>Covered</v>
      </c>
      <c r="DS275" s="563"/>
    </row>
    <row r="276" spans="1:123">
      <c r="A276" s="552" t="s">
        <v>2518</v>
      </c>
      <c r="B276" s="552" t="s">
        <v>332</v>
      </c>
      <c r="C276" s="555" t="s">
        <v>332</v>
      </c>
      <c r="D276" s="555" t="s">
        <v>345</v>
      </c>
      <c r="E276" s="574" t="s">
        <v>3006</v>
      </c>
      <c r="F276" s="555" t="s">
        <v>313</v>
      </c>
      <c r="G276" s="574" t="str">
        <f>VLOOKUP(WWWW[[#This Row],[Site Name]],SiteDB6[[Site Name]:[Location Type]],8,FALSE)</f>
        <v>Village</v>
      </c>
      <c r="H276" s="555" t="s">
        <v>447</v>
      </c>
      <c r="I276" s="557">
        <v>381</v>
      </c>
      <c r="J276" s="557">
        <v>2256</v>
      </c>
      <c r="K276" s="564">
        <v>42736</v>
      </c>
      <c r="L276" s="565">
        <v>44551</v>
      </c>
      <c r="M276" s="557"/>
      <c r="N276" s="557"/>
      <c r="O276" s="557"/>
      <c r="P276" s="557"/>
      <c r="Q276" s="556"/>
      <c r="R276" s="557"/>
      <c r="S276" s="557"/>
      <c r="T276" s="557"/>
      <c r="U276" s="557"/>
      <c r="V276" s="557"/>
      <c r="W276" s="557"/>
      <c r="X276" s="557"/>
      <c r="Y276" s="557"/>
      <c r="Z276" s="557"/>
      <c r="AA276" s="557"/>
      <c r="AB276" s="557"/>
      <c r="AC276" s="557"/>
      <c r="AD276" s="557"/>
      <c r="AE276" s="557"/>
      <c r="AF276" s="557"/>
      <c r="AG276" s="557"/>
      <c r="AH276" s="557"/>
      <c r="AI276" s="557"/>
      <c r="AJ276" s="557"/>
      <c r="AK276" s="557"/>
      <c r="AL276" s="557"/>
      <c r="AM276" s="557"/>
      <c r="AN276" s="557"/>
      <c r="AO276" s="563"/>
      <c r="AP276" s="557"/>
      <c r="AQ276" s="557"/>
      <c r="AR276" s="559"/>
      <c r="AS276" s="557"/>
      <c r="AT276" s="557"/>
      <c r="AU276" s="557"/>
      <c r="AV276" s="557"/>
      <c r="AW276" s="557"/>
      <c r="AX276" s="554"/>
      <c r="AY276" s="563"/>
      <c r="AZ276" s="557"/>
      <c r="BA276" s="557"/>
      <c r="BB276" s="557"/>
      <c r="BC276" s="554"/>
      <c r="BD276" s="557"/>
      <c r="BE276" s="557"/>
      <c r="BF276" s="557"/>
      <c r="BG276" s="557"/>
      <c r="BH276" s="557"/>
      <c r="BI276" s="557"/>
      <c r="BJ276" s="557"/>
      <c r="BK276" s="557"/>
      <c r="BL276" s="557"/>
      <c r="BM276" s="554"/>
      <c r="BN276" s="558"/>
      <c r="BO276" s="559"/>
      <c r="BP276" s="554"/>
      <c r="BQ276" s="560" t="str">
        <f>IFERROR(WWWW[[#This Row],['#_Water sources treated]]/WWWW[[#This Row],['#_Water sources tested for contamination]],"no test")</f>
        <v>no test</v>
      </c>
      <c r="BR276" s="559" t="str">
        <f>IFERROR(WWWW[[#This Row],['#_Household received remediation action due to contamination]]/WWWW[[#This Row],['#_Household water samples tested for contamination]],"no test")</f>
        <v>no test</v>
      </c>
      <c r="BS276" s="558" t="str">
        <f>IF(AND(WWWW[[#This Row],[% of water sources treated]]="no test",WWWW[[#This Row],[% Household received corrective actions]]="no test"),"No Test","Tested")</f>
        <v>No Test</v>
      </c>
      <c r="BT276" s="558">
        <f>WWWW[[#This Row],['#_Constructed/existing protected hand dug well]]-WWWW[[#This Row],['#_Non-functional protected hand dug well]]</f>
        <v>0</v>
      </c>
      <c r="BU276" s="558">
        <f>(WWWW[[#This Row],['#_Constructed/Existing tube wells/boreholes/handpumps_WASH_agency]]+WWWW[[#This Row],['#_Non-Cluster partner water tube-wells/boreholes/handpumps]])-WWWW[[#This Row],['#_Non-functional tube wells/boreholes/handpumps]]</f>
        <v>0</v>
      </c>
      <c r="BV276" s="558">
        <f>WWWW[[#This Row],['#_Constructed/Existingwater storage tank with gravity fed reticulation system]]-WWWW[[#This Row],['#_Non-functional storage tank gravity fed reticulation system]]</f>
        <v>0</v>
      </c>
      <c r="BW276" s="558">
        <f>WWWW[[#This Row],['#_Water boating or water trucking]]</f>
        <v>0</v>
      </c>
      <c r="BX276" s="558">
        <f>WWWW[[#This Row],['#_Constructed/Existing water distribution system from river or natural spring]]</f>
        <v>0</v>
      </c>
      <c r="BY27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6" s="559">
        <f>IF(WWWW[[#This Row],[Location Type 1]]="Village",WWWW[[#This Row],[Access to safe drinking water for Village]],WWWW[[#This Row],[Access to safe drinking water for Camp]])</f>
        <v>0</v>
      </c>
      <c r="CB276" s="556">
        <f>WWWW[[#This Row],[%Equitable and continuous access to sufficient quantity of safe drinking water]]*WWWW[[#This Row],[Total PoP ]]</f>
        <v>0</v>
      </c>
      <c r="CC276" s="559">
        <f>IF((WWWW[[#This Row],['#_Constructed/Existing protected/fenced ponds]]*250)/WWWW[[#This Row],[Total PoP ]]&gt;1,1,(WWWW[[#This Row],['#_Constructed/Existing protected/fenced ponds]]*250)/WWWW[[#This Row],[Total PoP ]])</f>
        <v>0</v>
      </c>
      <c r="CD276" s="556">
        <f>WWWW[[#This Row],[% Access to unimproved water points]]*WWWW[[#This Row],[Total PoP ]]</f>
        <v>0</v>
      </c>
      <c r="CE27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6" s="556">
        <f>WWWW[[#This Row],[HRP1]]/500</f>
        <v>0</v>
      </c>
      <c r="CH276" s="561">
        <f>1-WWWW[[#This Row],[% Equitable and continuous access to sufficient quantity of domestic water]]</f>
        <v>1</v>
      </c>
      <c r="CI276" s="556">
        <f>WWWW[[#This Row],[%equitable and continuous access to sufficient quantity of safe drinking and domestic water''s GAP]]*WWWW[[#This Row],[Total PoP ]]</f>
        <v>2256</v>
      </c>
      <c r="CJ276" s="558">
        <f>IF(WWWW[[#This Row],[Total required water points]]-WWWW[[#This Row],['#Water points coverage]]&lt;0,0,WWWW[[#This Row],[Total required water points]]-WWWW[[#This Row],['#Water points coverage]])</f>
        <v>5</v>
      </c>
      <c r="CK276" s="558">
        <f>ROUND(IF(WWWW[[#This Row],[Total PoP ]]&lt;500,1,WWWW[[#This Row],[Total PoP ]]/500),0)</f>
        <v>5</v>
      </c>
      <c r="CL276" s="558">
        <f>(WWWW[[#This Row],['#_Constructed latrines_by_WASHAgencies]]+WWWW[[#This Row],['#_Non Cluster partner latrines]])-WWWW[[#This Row],['#_Non-functional latrines]]</f>
        <v>0</v>
      </c>
      <c r="CM27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6" s="558" t="str">
        <f>IF(WWWW[[#This Row],[Location Type 1]]="Village","NA",IF(WWWW[[#This Row],['#_Constructed/Existing latrines in TLS]]*50&gt;WWWW[[#This Row],['#_students at TLS_CFS]],WWWW[[#This Row],['#_students at TLS_CFS]],(WWWW[[#This Row],['#_Constructed/Existing latrines in TLS]]*50)))</f>
        <v>NA</v>
      </c>
      <c r="CQ276" s="558">
        <f>ROUND(IF(WWWW[[#This Row],[Location Type 1]]="camp",WWWW[[#This Row],[Total PoP ]]/20,IF(WWWW[[#This Row],[Location Type 1]]="Temporary Location",WWWW[[#This Row],[Total PoP ]]/50,(WWWW[[#This Row],[Total PoP ]]/6))),0)</f>
        <v>376</v>
      </c>
      <c r="CR276" s="558">
        <f>IF(WWWW[[#This Row],[Total required Latrines]]-(WWWW[[#This Row],['#_Constructed latrines_by_WASHAgencies]]+WWWW[[#This Row],['#_Non Cluster partner latrines]])&lt;0,0,WWWW[[#This Row],[Total required Latrines]]-(WWWW[[#This Row],['#_Constructed latrines_by_WASHAgencies]]+WWWW[[#This Row],['#_Non Cluster partner latrines]]))</f>
        <v>376</v>
      </c>
      <c r="CS276" s="78">
        <f>1-WWWW[[#This Row],[% people access to functioning Latrine]]</f>
        <v>1</v>
      </c>
      <c r="CT276" s="560">
        <f>IF(OR(WWWW[[#This Row],['#_Non-functional latrines]]="",WWWW[[#This Row],['#_Non-functional latrines]]=0),0,WWWW[[#This Row],['#_Non-functional latrines]]/(WWWW[[#This Row],['#_Constructed latrines_by_WASHAgencies]]+WWWW[[#This Row],['#_Non Cluster partner latrines]]))</f>
        <v>0</v>
      </c>
      <c r="CU276" s="556">
        <f>IF(500*(WWWW[[#This Row],['#_male hygiene promoters]]+WWWW[[#This Row],['#_female hygiene promoters]])&gt;WWWW[[#This Row],[Total PoP ]],WWWW[[#This Row],[Total PoP ]],500*(WWWW[[#This Row],['#_male hygiene promoters]]+WWWW[[#This Row],['#_female hygiene promoters]]))</f>
        <v>0</v>
      </c>
      <c r="CV27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6" s="558">
        <f>IF(WWWW[[#This Row],['# People with access to soap]]&gt;WWWW[[#This Row],['# People with access to Sanity Pads]],WWWW[[#This Row],['# People with access to soap]],WWWW[[#This Row],['# People with access to Sanity Pads]])</f>
        <v>0</v>
      </c>
      <c r="CY27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6" s="561">
        <f>IF(WWWW[[#This Row],[HRP3]]/WWWW[[#This Row],[Total PoP ]]&gt;100%,100%,WWWW[[#This Row],[HRP3]]/WWWW[[#This Row],[Total PoP ]])</f>
        <v>0</v>
      </c>
      <c r="DA276" s="560">
        <f>1-WWWW[[#This Row],[Hygiene Coverage%]]</f>
        <v>1</v>
      </c>
      <c r="DB276" s="559">
        <f>WWWW[[#This Row],['# people reached by regular dedicated hygiene promotion_5]]/WWWW[[#This Row],[Total PoP ]]</f>
        <v>0</v>
      </c>
      <c r="DC276" s="559">
        <f>IF(WWWW[[#This Row],['#_households that received standard amount of soap for this quarter]]/WWWW[[#This Row],[Total HH]]&gt;1,1,WWWW[[#This Row],['#_households that received standard amount of soap for this quarter]]/WWWW[[#This Row],[Total HH]])</f>
        <v>0</v>
      </c>
      <c r="DD276" s="559">
        <f>IF(WWWW[[#This Row],['#_households that received standard amount of sanitary pads for this quarter]]/WWWW[[#This Row],[Total HH]]&gt;1,1,WWWW[[#This Row],['#_households that received standard amount of sanitary pads for this quarter]]/WWWW[[#This Row],[Total HH]])</f>
        <v>0</v>
      </c>
      <c r="DE276" s="558">
        <f>WWWW[[#This Row],['#_Constructed/Existing hand washing stations]]-WWWW[[#This Row],['#_Non-Functional_hand_washing_stations]]</f>
        <v>0</v>
      </c>
      <c r="DF276" s="757">
        <f>IF(WWWW[[#This Row],['# Functional hand washing stations during reporting period]]*20&gt;WWWW[[#This Row],[Total HH]],WWWW[[#This Row],[Total HH]],WWWW[[#This Row],['# Functional hand washing stations during reporting period]]*20)</f>
        <v>0</v>
      </c>
      <c r="DG276" s="556">
        <f>IF(WWWW[[#This Row],[Is sufficient soap available for TLS? (Yes/No)]]="yes",WWWW[[#This Row],['#_Constructed/Existing hand washing stations at TLS]],0)</f>
        <v>0</v>
      </c>
      <c r="DH276" s="556">
        <f>IF(WWWW[[#This Row],['# Functional hand washing stations during reporting period]]*100&gt;WWWW[[#This Row],[Total PoP ]],WWWW[[#This Row],[Total PoP ]],WWWW[[#This Row],['# Functional hand washing stations during reporting period]]*100)</f>
        <v>0</v>
      </c>
      <c r="DI276" s="556" t="str">
        <f>IF(OR(WWWW[[#This Row],['#_students at TLS_CFS]]="",WWWW[[#This Row],['#_students at TLS_CFS]]=0),"No","Yes")</f>
        <v>No</v>
      </c>
      <c r="DJ276" s="554">
        <f>VLOOKUP(WWWW[[#This Row],[Site Name]],SiteDB6[[Site Name]:[CCCM Management]],6,FALSE)</f>
        <v>0</v>
      </c>
      <c r="DK276" s="554">
        <f>VLOOKUP(WWWW[[#This Row],[Site Name]],SiteDB6[[Site Name]:[CCCM Focal Agency]],7,FALSE)</f>
        <v>0</v>
      </c>
      <c r="DL276" s="554" t="str">
        <f>VLOOKUP(WWWW[[#This Row],[Site Name]],SiteDB6[[Site Name]:[Location Type 1]],9,FALSE)</f>
        <v>Village</v>
      </c>
      <c r="DM276" s="554" t="str">
        <f>VLOOKUP(WWWW[[#This Row],[Site Name]],SiteDB6[[Site Name]:[Type of Accommodation]],10,FALSE)</f>
        <v>Village</v>
      </c>
      <c r="DN276" s="554">
        <f>VLOOKUP(WWWW[[#This Row],[Site Name]],SiteDB6[[Site Name]:[Ethnic or GCA/NGCA]],11,FALSE)</f>
        <v>0</v>
      </c>
      <c r="DO276" s="554">
        <f>VLOOKUP(WWWW[[#This Row],[Site Name]],SiteDB6[[Site Name]:[Lat]],12,FALSE)</f>
        <v>20.183790210000002</v>
      </c>
      <c r="DP276" s="554">
        <f>VLOOKUP(WWWW[[#This Row],[Site Name]],SiteDB6[[Site Name]:[Long]],13,FALSE)</f>
        <v>92.864143369999994</v>
      </c>
      <c r="DQ276" s="554">
        <f>VLOOKUP(WWWW[[#This Row],[Site Name]],SiteDB6[[Site Name]:[Pcode]],3,FALSE)</f>
        <v>196197</v>
      </c>
      <c r="DR276" s="563" t="str">
        <f t="shared" si="9"/>
        <v>Covered</v>
      </c>
      <c r="DS276" s="563"/>
    </row>
    <row r="277" spans="1:123">
      <c r="A277" s="552" t="s">
        <v>2518</v>
      </c>
      <c r="B277" s="552" t="s">
        <v>332</v>
      </c>
      <c r="C277" s="555" t="s">
        <v>332</v>
      </c>
      <c r="D277" s="555" t="s">
        <v>345</v>
      </c>
      <c r="E277" s="574" t="s">
        <v>3006</v>
      </c>
      <c r="F277" s="555" t="s">
        <v>313</v>
      </c>
      <c r="G277" s="574" t="str">
        <f>VLOOKUP(WWWW[[#This Row],[Site Name]],SiteDB6[[Site Name]:[Location Type]],8,FALSE)</f>
        <v>Village</v>
      </c>
      <c r="H277" s="555" t="s">
        <v>2897</v>
      </c>
      <c r="I277" s="557">
        <v>2100</v>
      </c>
      <c r="J277" s="557">
        <v>12993</v>
      </c>
      <c r="K277" s="564">
        <v>42736</v>
      </c>
      <c r="L277" s="565">
        <v>44551</v>
      </c>
      <c r="M277" s="557"/>
      <c r="N277" s="557"/>
      <c r="O277" s="557"/>
      <c r="P277" s="557"/>
      <c r="Q277" s="556"/>
      <c r="R277" s="557"/>
      <c r="S277" s="557"/>
      <c r="T277" s="557"/>
      <c r="U277" s="557"/>
      <c r="V277" s="557"/>
      <c r="W277" s="557"/>
      <c r="X277" s="557"/>
      <c r="Y277" s="557"/>
      <c r="Z277" s="557"/>
      <c r="AA277" s="557"/>
      <c r="AB277" s="557"/>
      <c r="AC277" s="557"/>
      <c r="AD277" s="557"/>
      <c r="AE277" s="557"/>
      <c r="AF277" s="557"/>
      <c r="AG277" s="557"/>
      <c r="AH277" s="557"/>
      <c r="AI277" s="557"/>
      <c r="AJ277" s="557"/>
      <c r="AK277" s="557"/>
      <c r="AL277" s="557"/>
      <c r="AM277" s="557"/>
      <c r="AN277" s="557"/>
      <c r="AO277" s="563"/>
      <c r="AP277" s="557"/>
      <c r="AQ277" s="557"/>
      <c r="AR277" s="559"/>
      <c r="AS277" s="557"/>
      <c r="AT277" s="557"/>
      <c r="AU277" s="557"/>
      <c r="AV277" s="557"/>
      <c r="AW277" s="557"/>
      <c r="AX277" s="554"/>
      <c r="AY277" s="563"/>
      <c r="AZ277" s="557"/>
      <c r="BA277" s="557"/>
      <c r="BB277" s="557"/>
      <c r="BC277" s="554"/>
      <c r="BD277" s="557"/>
      <c r="BE277" s="557"/>
      <c r="BF277" s="557"/>
      <c r="BG277" s="557"/>
      <c r="BH277" s="557"/>
      <c r="BI277" s="557"/>
      <c r="BJ277" s="557"/>
      <c r="BK277" s="557"/>
      <c r="BL277" s="557"/>
      <c r="BM277" s="554"/>
      <c r="BN277" s="558"/>
      <c r="BO277" s="559"/>
      <c r="BP277" s="554"/>
      <c r="BQ277" s="560" t="str">
        <f>IFERROR(WWWW[[#This Row],['#_Water sources treated]]/WWWW[[#This Row],['#_Water sources tested for contamination]],"no test")</f>
        <v>no test</v>
      </c>
      <c r="BR277" s="559" t="str">
        <f>IFERROR(WWWW[[#This Row],['#_Household received remediation action due to contamination]]/WWWW[[#This Row],['#_Household water samples tested for contamination]],"no test")</f>
        <v>no test</v>
      </c>
      <c r="BS277" s="558" t="str">
        <f>IF(AND(WWWW[[#This Row],[% of water sources treated]]="no test",WWWW[[#This Row],[% Household received corrective actions]]="no test"),"No Test","Tested")</f>
        <v>No Test</v>
      </c>
      <c r="BT277" s="558">
        <f>WWWW[[#This Row],['#_Constructed/existing protected hand dug well]]-WWWW[[#This Row],['#_Non-functional protected hand dug well]]</f>
        <v>0</v>
      </c>
      <c r="BU277" s="558">
        <f>(WWWW[[#This Row],['#_Constructed/Existing tube wells/boreholes/handpumps_WASH_agency]]+WWWW[[#This Row],['#_Non-Cluster partner water tube-wells/boreholes/handpumps]])-WWWW[[#This Row],['#_Non-functional tube wells/boreholes/handpumps]]</f>
        <v>0</v>
      </c>
      <c r="BV277" s="558">
        <f>WWWW[[#This Row],['#_Constructed/Existingwater storage tank with gravity fed reticulation system]]-WWWW[[#This Row],['#_Non-functional storage tank gravity fed reticulation system]]</f>
        <v>0</v>
      </c>
      <c r="BW277" s="558">
        <f>WWWW[[#This Row],['#_Water boating or water trucking]]</f>
        <v>0</v>
      </c>
      <c r="BX277" s="558">
        <f>WWWW[[#This Row],['#_Constructed/Existing water distribution system from river or natural spring]]</f>
        <v>0</v>
      </c>
      <c r="BY27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7" s="559">
        <f>IF(WWWW[[#This Row],[Location Type 1]]="Village",WWWW[[#This Row],[Access to safe drinking water for Village]],WWWW[[#This Row],[Access to safe drinking water for Camp]])</f>
        <v>0</v>
      </c>
      <c r="CB277" s="556">
        <f>WWWW[[#This Row],[%Equitable and continuous access to sufficient quantity of safe drinking water]]*WWWW[[#This Row],[Total PoP ]]</f>
        <v>0</v>
      </c>
      <c r="CC277" s="559">
        <f>IF((WWWW[[#This Row],['#_Constructed/Existing protected/fenced ponds]]*250)/WWWW[[#This Row],[Total PoP ]]&gt;1,1,(WWWW[[#This Row],['#_Constructed/Existing protected/fenced ponds]]*250)/WWWW[[#This Row],[Total PoP ]])</f>
        <v>0</v>
      </c>
      <c r="CD277" s="556">
        <f>WWWW[[#This Row],[% Access to unimproved water points]]*WWWW[[#This Row],[Total PoP ]]</f>
        <v>0</v>
      </c>
      <c r="CE27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7" s="556">
        <f>WWWW[[#This Row],[HRP1]]/500</f>
        <v>0</v>
      </c>
      <c r="CH277" s="561">
        <f>1-WWWW[[#This Row],[% Equitable and continuous access to sufficient quantity of domestic water]]</f>
        <v>1</v>
      </c>
      <c r="CI277" s="556">
        <f>WWWW[[#This Row],[%equitable and continuous access to sufficient quantity of safe drinking and domestic water''s GAP]]*WWWW[[#This Row],[Total PoP ]]</f>
        <v>12993</v>
      </c>
      <c r="CJ277" s="558">
        <f>IF(WWWW[[#This Row],[Total required water points]]-WWWW[[#This Row],['#Water points coverage]]&lt;0,0,WWWW[[#This Row],[Total required water points]]-WWWW[[#This Row],['#Water points coverage]])</f>
        <v>26</v>
      </c>
      <c r="CK277" s="558">
        <f>ROUND(IF(WWWW[[#This Row],[Total PoP ]]&lt;500,1,WWWW[[#This Row],[Total PoP ]]/500),0)</f>
        <v>26</v>
      </c>
      <c r="CL277" s="558">
        <f>(WWWW[[#This Row],['#_Constructed latrines_by_WASHAgencies]]+WWWW[[#This Row],['#_Non Cluster partner latrines]])-WWWW[[#This Row],['#_Non-functional latrines]]</f>
        <v>0</v>
      </c>
      <c r="CM27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7" s="558" t="str">
        <f>IF(WWWW[[#This Row],[Location Type 1]]="Village","NA",IF(WWWW[[#This Row],['#_Constructed/Existing latrines in TLS]]*50&gt;WWWW[[#This Row],['#_students at TLS_CFS]],WWWW[[#This Row],['#_students at TLS_CFS]],(WWWW[[#This Row],['#_Constructed/Existing latrines in TLS]]*50)))</f>
        <v>NA</v>
      </c>
      <c r="CQ277" s="558">
        <f>ROUND(IF(WWWW[[#This Row],[Location Type 1]]="camp",WWWW[[#This Row],[Total PoP ]]/20,IF(WWWW[[#This Row],[Location Type 1]]="Temporary Location",WWWW[[#This Row],[Total PoP ]]/50,(WWWW[[#This Row],[Total PoP ]]/6))),0)</f>
        <v>2166</v>
      </c>
      <c r="CR277" s="558">
        <f>IF(WWWW[[#This Row],[Total required Latrines]]-(WWWW[[#This Row],['#_Constructed latrines_by_WASHAgencies]]+WWWW[[#This Row],['#_Non Cluster partner latrines]])&lt;0,0,WWWW[[#This Row],[Total required Latrines]]-(WWWW[[#This Row],['#_Constructed latrines_by_WASHAgencies]]+WWWW[[#This Row],['#_Non Cluster partner latrines]]))</f>
        <v>2166</v>
      </c>
      <c r="CS277" s="78">
        <f>1-WWWW[[#This Row],[% people access to functioning Latrine]]</f>
        <v>1</v>
      </c>
      <c r="CT277" s="560">
        <f>IF(OR(WWWW[[#This Row],['#_Non-functional latrines]]="",WWWW[[#This Row],['#_Non-functional latrines]]=0),0,WWWW[[#This Row],['#_Non-functional latrines]]/(WWWW[[#This Row],['#_Constructed latrines_by_WASHAgencies]]+WWWW[[#This Row],['#_Non Cluster partner latrines]]))</f>
        <v>0</v>
      </c>
      <c r="CU277" s="556">
        <f>IF(500*(WWWW[[#This Row],['#_male hygiene promoters]]+WWWW[[#This Row],['#_female hygiene promoters]])&gt;WWWW[[#This Row],[Total PoP ]],WWWW[[#This Row],[Total PoP ]],500*(WWWW[[#This Row],['#_male hygiene promoters]]+WWWW[[#This Row],['#_female hygiene promoters]]))</f>
        <v>0</v>
      </c>
      <c r="CV27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7" s="558">
        <f>IF(WWWW[[#This Row],['# People with access to soap]]&gt;WWWW[[#This Row],['# People with access to Sanity Pads]],WWWW[[#This Row],['# People with access to soap]],WWWW[[#This Row],['# People with access to Sanity Pads]])</f>
        <v>0</v>
      </c>
      <c r="CY27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7" s="561">
        <f>IF(WWWW[[#This Row],[HRP3]]/WWWW[[#This Row],[Total PoP ]]&gt;100%,100%,WWWW[[#This Row],[HRP3]]/WWWW[[#This Row],[Total PoP ]])</f>
        <v>0</v>
      </c>
      <c r="DA277" s="560">
        <f>1-WWWW[[#This Row],[Hygiene Coverage%]]</f>
        <v>1</v>
      </c>
      <c r="DB277" s="559">
        <f>WWWW[[#This Row],['# people reached by regular dedicated hygiene promotion_5]]/WWWW[[#This Row],[Total PoP ]]</f>
        <v>0</v>
      </c>
      <c r="DC277" s="559">
        <f>IF(WWWW[[#This Row],['#_households that received standard amount of soap for this quarter]]/WWWW[[#This Row],[Total HH]]&gt;1,1,WWWW[[#This Row],['#_households that received standard amount of soap for this quarter]]/WWWW[[#This Row],[Total HH]])</f>
        <v>0</v>
      </c>
      <c r="DD277" s="559">
        <f>IF(WWWW[[#This Row],['#_households that received standard amount of sanitary pads for this quarter]]/WWWW[[#This Row],[Total HH]]&gt;1,1,WWWW[[#This Row],['#_households that received standard amount of sanitary pads for this quarter]]/WWWW[[#This Row],[Total HH]])</f>
        <v>0</v>
      </c>
      <c r="DE277" s="558">
        <f>WWWW[[#This Row],['#_Constructed/Existing hand washing stations]]-WWWW[[#This Row],['#_Non-Functional_hand_washing_stations]]</f>
        <v>0</v>
      </c>
      <c r="DF277" s="757">
        <f>IF(WWWW[[#This Row],['# Functional hand washing stations during reporting period]]*20&gt;WWWW[[#This Row],[Total HH]],WWWW[[#This Row],[Total HH]],WWWW[[#This Row],['# Functional hand washing stations during reporting period]]*20)</f>
        <v>0</v>
      </c>
      <c r="DG277" s="556">
        <f>IF(WWWW[[#This Row],[Is sufficient soap available for TLS? (Yes/No)]]="yes",WWWW[[#This Row],['#_Constructed/Existing hand washing stations at TLS]],0)</f>
        <v>0</v>
      </c>
      <c r="DH277" s="556">
        <f>IF(WWWW[[#This Row],['# Functional hand washing stations during reporting period]]*100&gt;WWWW[[#This Row],[Total PoP ]],WWWW[[#This Row],[Total PoP ]],WWWW[[#This Row],['# Functional hand washing stations during reporting period]]*100)</f>
        <v>0</v>
      </c>
      <c r="DI277" s="556" t="str">
        <f>IF(OR(WWWW[[#This Row],['#_students at TLS_CFS]]="",WWWW[[#This Row],['#_students at TLS_CFS]]=0),"No","Yes")</f>
        <v>No</v>
      </c>
      <c r="DJ277" s="554">
        <f>VLOOKUP(WWWW[[#This Row],[Site Name]],SiteDB6[[Site Name]:[CCCM Management]],6,FALSE)</f>
        <v>0</v>
      </c>
      <c r="DK277" s="554">
        <f>VLOOKUP(WWWW[[#This Row],[Site Name]],SiteDB6[[Site Name]:[CCCM Focal Agency]],7,FALSE)</f>
        <v>0</v>
      </c>
      <c r="DL277" s="554" t="str">
        <f>VLOOKUP(WWWW[[#This Row],[Site Name]],SiteDB6[[Site Name]:[Location Type 1]],9,FALSE)</f>
        <v>Village</v>
      </c>
      <c r="DM277" s="554" t="str">
        <f>VLOOKUP(WWWW[[#This Row],[Site Name]],SiteDB6[[Site Name]:[Type of Accommodation]],10,FALSE)</f>
        <v>Village</v>
      </c>
      <c r="DN277" s="554" t="str">
        <f>VLOOKUP(WWWW[[#This Row],[Site Name]],SiteDB6[[Site Name]:[Ethnic or GCA/NGCA]],11,FALSE)</f>
        <v>Muslim</v>
      </c>
      <c r="DO277" s="554">
        <f>VLOOKUP(WWWW[[#This Row],[Site Name]],SiteDB6[[Site Name]:[Lat]],12,FALSE)</f>
        <v>0</v>
      </c>
      <c r="DP277" s="554">
        <f>VLOOKUP(WWWW[[#This Row],[Site Name]],SiteDB6[[Site Name]:[Long]],13,FALSE)</f>
        <v>0</v>
      </c>
      <c r="DQ277" s="554">
        <f>VLOOKUP(WWWW[[#This Row],[Site Name]],SiteDB6[[Site Name]:[Pcode]],3,FALSE)</f>
        <v>0</v>
      </c>
      <c r="DR277" s="563" t="str">
        <f t="shared" si="9"/>
        <v>Covered</v>
      </c>
      <c r="DS277" s="563"/>
    </row>
    <row r="278" spans="1:123">
      <c r="A278" s="552" t="s">
        <v>2518</v>
      </c>
      <c r="B278" s="552" t="s">
        <v>332</v>
      </c>
      <c r="C278" s="555" t="s">
        <v>332</v>
      </c>
      <c r="D278" s="555" t="s">
        <v>325</v>
      </c>
      <c r="E278" s="574" t="s">
        <v>3006</v>
      </c>
      <c r="F278" s="555" t="s">
        <v>330</v>
      </c>
      <c r="G278" s="574" t="str">
        <f>VLOOKUP(WWWW[[#This Row],[Site Name]],SiteDB6[[Site Name]:[Location Type]],8,FALSE)</f>
        <v>Village</v>
      </c>
      <c r="H278" s="555" t="s">
        <v>1151</v>
      </c>
      <c r="I278" s="557">
        <v>325</v>
      </c>
      <c r="J278" s="557">
        <v>1923</v>
      </c>
      <c r="K278" s="564">
        <v>42736</v>
      </c>
      <c r="L278" s="565">
        <v>44551</v>
      </c>
      <c r="M278" s="557"/>
      <c r="N278" s="557"/>
      <c r="O278" s="557"/>
      <c r="P278" s="557"/>
      <c r="Q278" s="556"/>
      <c r="R278" s="557"/>
      <c r="S278" s="557"/>
      <c r="T278" s="557"/>
      <c r="U278" s="557"/>
      <c r="V278" s="557"/>
      <c r="W278" s="557"/>
      <c r="X278" s="557"/>
      <c r="Y278" s="557"/>
      <c r="Z278" s="557"/>
      <c r="AA278" s="557"/>
      <c r="AB278" s="557"/>
      <c r="AC278" s="557"/>
      <c r="AD278" s="557"/>
      <c r="AE278" s="557"/>
      <c r="AF278" s="557"/>
      <c r="AG278" s="557"/>
      <c r="AH278" s="557"/>
      <c r="AI278" s="557"/>
      <c r="AJ278" s="557"/>
      <c r="AK278" s="557"/>
      <c r="AL278" s="557"/>
      <c r="AM278" s="557"/>
      <c r="AN278" s="557"/>
      <c r="AO278" s="563"/>
      <c r="AP278" s="557"/>
      <c r="AQ278" s="557"/>
      <c r="AR278" s="559"/>
      <c r="AS278" s="557"/>
      <c r="AT278" s="557"/>
      <c r="AU278" s="557"/>
      <c r="AV278" s="557"/>
      <c r="AW278" s="557"/>
      <c r="AX278" s="554"/>
      <c r="AY278" s="563"/>
      <c r="AZ278" s="557"/>
      <c r="BA278" s="557"/>
      <c r="BB278" s="557"/>
      <c r="BC278" s="554"/>
      <c r="BD278" s="557"/>
      <c r="BE278" s="557"/>
      <c r="BF278" s="557"/>
      <c r="BG278" s="557"/>
      <c r="BH278" s="557"/>
      <c r="BI278" s="557"/>
      <c r="BJ278" s="557"/>
      <c r="BK278" s="557"/>
      <c r="BL278" s="557"/>
      <c r="BM278" s="554"/>
      <c r="BN278" s="558"/>
      <c r="BO278" s="559"/>
      <c r="BP278" s="554"/>
      <c r="BQ278" s="560" t="str">
        <f>IFERROR(WWWW[[#This Row],['#_Water sources treated]]/WWWW[[#This Row],['#_Water sources tested for contamination]],"no test")</f>
        <v>no test</v>
      </c>
      <c r="BR278" s="559" t="str">
        <f>IFERROR(WWWW[[#This Row],['#_Household received remediation action due to contamination]]/WWWW[[#This Row],['#_Household water samples tested for contamination]],"no test")</f>
        <v>no test</v>
      </c>
      <c r="BS278" s="558" t="str">
        <f>IF(AND(WWWW[[#This Row],[% of water sources treated]]="no test",WWWW[[#This Row],[% Household received corrective actions]]="no test"),"No Test","Tested")</f>
        <v>No Test</v>
      </c>
      <c r="BT278" s="558">
        <f>WWWW[[#This Row],['#_Constructed/existing protected hand dug well]]-WWWW[[#This Row],['#_Non-functional protected hand dug well]]</f>
        <v>0</v>
      </c>
      <c r="BU278" s="558">
        <f>(WWWW[[#This Row],['#_Constructed/Existing tube wells/boreholes/handpumps_WASH_agency]]+WWWW[[#This Row],['#_Non-Cluster partner water tube-wells/boreholes/handpumps]])-WWWW[[#This Row],['#_Non-functional tube wells/boreholes/handpumps]]</f>
        <v>0</v>
      </c>
      <c r="BV278" s="558">
        <f>WWWW[[#This Row],['#_Constructed/Existingwater storage tank with gravity fed reticulation system]]-WWWW[[#This Row],['#_Non-functional storage tank gravity fed reticulation system]]</f>
        <v>0</v>
      </c>
      <c r="BW278" s="558">
        <f>WWWW[[#This Row],['#_Water boating or water trucking]]</f>
        <v>0</v>
      </c>
      <c r="BX278" s="558">
        <f>WWWW[[#This Row],['#_Constructed/Existing water distribution system from river or natural spring]]</f>
        <v>0</v>
      </c>
      <c r="BY27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8" s="559">
        <f>IF(WWWW[[#This Row],[Location Type 1]]="Village",WWWW[[#This Row],[Access to safe drinking water for Village]],WWWW[[#This Row],[Access to safe drinking water for Camp]])</f>
        <v>0</v>
      </c>
      <c r="CB278" s="556">
        <f>WWWW[[#This Row],[%Equitable and continuous access to sufficient quantity of safe drinking water]]*WWWW[[#This Row],[Total PoP ]]</f>
        <v>0</v>
      </c>
      <c r="CC278" s="559">
        <f>IF((WWWW[[#This Row],['#_Constructed/Existing protected/fenced ponds]]*250)/WWWW[[#This Row],[Total PoP ]]&gt;1,1,(WWWW[[#This Row],['#_Constructed/Existing protected/fenced ponds]]*250)/WWWW[[#This Row],[Total PoP ]])</f>
        <v>0</v>
      </c>
      <c r="CD278" s="556">
        <f>WWWW[[#This Row],[% Access to unimproved water points]]*WWWW[[#This Row],[Total PoP ]]</f>
        <v>0</v>
      </c>
      <c r="CE27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8" s="556">
        <f>WWWW[[#This Row],[HRP1]]/500</f>
        <v>0</v>
      </c>
      <c r="CH278" s="561">
        <f>1-WWWW[[#This Row],[% Equitable and continuous access to sufficient quantity of domestic water]]</f>
        <v>1</v>
      </c>
      <c r="CI278" s="556">
        <f>WWWW[[#This Row],[%equitable and continuous access to sufficient quantity of safe drinking and domestic water''s GAP]]*WWWW[[#This Row],[Total PoP ]]</f>
        <v>1923</v>
      </c>
      <c r="CJ278" s="558">
        <f>IF(WWWW[[#This Row],[Total required water points]]-WWWW[[#This Row],['#Water points coverage]]&lt;0,0,WWWW[[#This Row],[Total required water points]]-WWWW[[#This Row],['#Water points coverage]])</f>
        <v>4</v>
      </c>
      <c r="CK278" s="558">
        <f>ROUND(IF(WWWW[[#This Row],[Total PoP ]]&lt;500,1,WWWW[[#This Row],[Total PoP ]]/500),0)</f>
        <v>4</v>
      </c>
      <c r="CL278" s="558">
        <f>(WWWW[[#This Row],['#_Constructed latrines_by_WASHAgencies]]+WWWW[[#This Row],['#_Non Cluster partner latrines]])-WWWW[[#This Row],['#_Non-functional latrines]]</f>
        <v>0</v>
      </c>
      <c r="CM27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8" s="558" t="str">
        <f>IF(WWWW[[#This Row],[Location Type 1]]="Village","NA",IF(WWWW[[#This Row],['#_Constructed/Existing latrines in TLS]]*50&gt;WWWW[[#This Row],['#_students at TLS_CFS]],WWWW[[#This Row],['#_students at TLS_CFS]],(WWWW[[#This Row],['#_Constructed/Existing latrines in TLS]]*50)))</f>
        <v>NA</v>
      </c>
      <c r="CQ278" s="558">
        <f>ROUND(IF(WWWW[[#This Row],[Location Type 1]]="camp",WWWW[[#This Row],[Total PoP ]]/20,IF(WWWW[[#This Row],[Location Type 1]]="Temporary Location",WWWW[[#This Row],[Total PoP ]]/50,(WWWW[[#This Row],[Total PoP ]]/6))),0)</f>
        <v>321</v>
      </c>
      <c r="CR278" s="558">
        <f>IF(WWWW[[#This Row],[Total required Latrines]]-(WWWW[[#This Row],['#_Constructed latrines_by_WASHAgencies]]+WWWW[[#This Row],['#_Non Cluster partner latrines]])&lt;0,0,WWWW[[#This Row],[Total required Latrines]]-(WWWW[[#This Row],['#_Constructed latrines_by_WASHAgencies]]+WWWW[[#This Row],['#_Non Cluster partner latrines]]))</f>
        <v>321</v>
      </c>
      <c r="CS278" s="78">
        <f>1-WWWW[[#This Row],[% people access to functioning Latrine]]</f>
        <v>1</v>
      </c>
      <c r="CT278" s="560">
        <f>IF(OR(WWWW[[#This Row],['#_Non-functional latrines]]="",WWWW[[#This Row],['#_Non-functional latrines]]=0),0,WWWW[[#This Row],['#_Non-functional latrines]]/(WWWW[[#This Row],['#_Constructed latrines_by_WASHAgencies]]+WWWW[[#This Row],['#_Non Cluster partner latrines]]))</f>
        <v>0</v>
      </c>
      <c r="CU278" s="556">
        <f>IF(500*(WWWW[[#This Row],['#_male hygiene promoters]]+WWWW[[#This Row],['#_female hygiene promoters]])&gt;WWWW[[#This Row],[Total PoP ]],WWWW[[#This Row],[Total PoP ]],500*(WWWW[[#This Row],['#_male hygiene promoters]]+WWWW[[#This Row],['#_female hygiene promoters]]))</f>
        <v>0</v>
      </c>
      <c r="CV27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8" s="558">
        <f>IF(WWWW[[#This Row],['# People with access to soap]]&gt;WWWW[[#This Row],['# People with access to Sanity Pads]],WWWW[[#This Row],['# People with access to soap]],WWWW[[#This Row],['# People with access to Sanity Pads]])</f>
        <v>0</v>
      </c>
      <c r="CY27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8" s="561">
        <f>IF(WWWW[[#This Row],[HRP3]]/WWWW[[#This Row],[Total PoP ]]&gt;100%,100%,WWWW[[#This Row],[HRP3]]/WWWW[[#This Row],[Total PoP ]])</f>
        <v>0</v>
      </c>
      <c r="DA278" s="560">
        <f>1-WWWW[[#This Row],[Hygiene Coverage%]]</f>
        <v>1</v>
      </c>
      <c r="DB278" s="559">
        <f>WWWW[[#This Row],['# people reached by regular dedicated hygiene promotion_5]]/WWWW[[#This Row],[Total PoP ]]</f>
        <v>0</v>
      </c>
      <c r="DC278" s="559">
        <f>IF(WWWW[[#This Row],['#_households that received standard amount of soap for this quarter]]/WWWW[[#This Row],[Total HH]]&gt;1,1,WWWW[[#This Row],['#_households that received standard amount of soap for this quarter]]/WWWW[[#This Row],[Total HH]])</f>
        <v>0</v>
      </c>
      <c r="DD278" s="559">
        <f>IF(WWWW[[#This Row],['#_households that received standard amount of sanitary pads for this quarter]]/WWWW[[#This Row],[Total HH]]&gt;1,1,WWWW[[#This Row],['#_households that received standard amount of sanitary pads for this quarter]]/WWWW[[#This Row],[Total HH]])</f>
        <v>0</v>
      </c>
      <c r="DE278" s="558">
        <f>WWWW[[#This Row],['#_Constructed/Existing hand washing stations]]-WWWW[[#This Row],['#_Non-Functional_hand_washing_stations]]</f>
        <v>0</v>
      </c>
      <c r="DF278" s="757">
        <f>IF(WWWW[[#This Row],['# Functional hand washing stations during reporting period]]*20&gt;WWWW[[#This Row],[Total HH]],WWWW[[#This Row],[Total HH]],WWWW[[#This Row],['# Functional hand washing stations during reporting period]]*20)</f>
        <v>0</v>
      </c>
      <c r="DG278" s="556">
        <f>IF(WWWW[[#This Row],[Is sufficient soap available for TLS? (Yes/No)]]="yes",WWWW[[#This Row],['#_Constructed/Existing hand washing stations at TLS]],0)</f>
        <v>0</v>
      </c>
      <c r="DH278" s="556">
        <f>IF(WWWW[[#This Row],['# Functional hand washing stations during reporting period]]*100&gt;WWWW[[#This Row],[Total PoP ]],WWWW[[#This Row],[Total PoP ]],WWWW[[#This Row],['# Functional hand washing stations during reporting period]]*100)</f>
        <v>0</v>
      </c>
      <c r="DI278" s="556" t="str">
        <f>IF(OR(WWWW[[#This Row],['#_students at TLS_CFS]]="",WWWW[[#This Row],['#_students at TLS_CFS]]=0),"No","Yes")</f>
        <v>No</v>
      </c>
      <c r="DJ278" s="554">
        <f>VLOOKUP(WWWW[[#This Row],[Site Name]],SiteDB6[[Site Name]:[CCCM Management]],6,FALSE)</f>
        <v>0</v>
      </c>
      <c r="DK278" s="554">
        <f>VLOOKUP(WWWW[[#This Row],[Site Name]],SiteDB6[[Site Name]:[CCCM Focal Agency]],7,FALSE)</f>
        <v>0</v>
      </c>
      <c r="DL278" s="554" t="str">
        <f>VLOOKUP(WWWW[[#This Row],[Site Name]],SiteDB6[[Site Name]:[Location Type 1]],9,FALSE)</f>
        <v>Village</v>
      </c>
      <c r="DM278" s="554" t="str">
        <f>VLOOKUP(WWWW[[#This Row],[Site Name]],SiteDB6[[Site Name]:[Type of Accommodation]],10,FALSE)</f>
        <v>Village</v>
      </c>
      <c r="DN278" s="554" t="str">
        <f>VLOOKUP(WWWW[[#This Row],[Site Name]],SiteDB6[[Site Name]:[Ethnic or GCA/NGCA]],11,FALSE)</f>
        <v>Muslim</v>
      </c>
      <c r="DO278" s="554">
        <f>VLOOKUP(WWWW[[#This Row],[Site Name]],SiteDB6[[Site Name]:[Lat]],12,FALSE)</f>
        <v>0</v>
      </c>
      <c r="DP278" s="554">
        <f>VLOOKUP(WWWW[[#This Row],[Site Name]],SiteDB6[[Site Name]:[Long]],13,FALSE)</f>
        <v>0</v>
      </c>
      <c r="DQ278" s="554">
        <f>VLOOKUP(WWWW[[#This Row],[Site Name]],SiteDB6[[Site Name]:[Pcode]],3,FALSE)</f>
        <v>196999</v>
      </c>
      <c r="DR278" s="563" t="str">
        <f t="shared" si="9"/>
        <v>Covered</v>
      </c>
      <c r="DS278" s="563"/>
    </row>
    <row r="279" spans="1:123">
      <c r="A279" s="552" t="s">
        <v>2518</v>
      </c>
      <c r="B279" s="552" t="s">
        <v>332</v>
      </c>
      <c r="C279" s="555" t="s">
        <v>332</v>
      </c>
      <c r="D279" s="555" t="s">
        <v>325</v>
      </c>
      <c r="E279" s="574" t="s">
        <v>3006</v>
      </c>
      <c r="F279" s="555" t="s">
        <v>330</v>
      </c>
      <c r="G279" s="574" t="str">
        <f>VLOOKUP(WWWW[[#This Row],[Site Name]],SiteDB6[[Site Name]:[Location Type]],8,FALSE)</f>
        <v>Village</v>
      </c>
      <c r="H279" s="555" t="s">
        <v>2898</v>
      </c>
      <c r="I279" s="557">
        <v>146</v>
      </c>
      <c r="J279" s="557">
        <v>801</v>
      </c>
      <c r="K279" s="564">
        <v>42736</v>
      </c>
      <c r="L279" s="565">
        <v>44551</v>
      </c>
      <c r="M279" s="557"/>
      <c r="N279" s="557"/>
      <c r="O279" s="557"/>
      <c r="P279" s="557"/>
      <c r="Q279" s="556"/>
      <c r="R279" s="557"/>
      <c r="S279" s="557"/>
      <c r="T279" s="557"/>
      <c r="U279" s="557"/>
      <c r="V279" s="557"/>
      <c r="W279" s="557"/>
      <c r="X279" s="557"/>
      <c r="Y279" s="557"/>
      <c r="Z279" s="557"/>
      <c r="AA279" s="557"/>
      <c r="AB279" s="557"/>
      <c r="AC279" s="557"/>
      <c r="AD279" s="557"/>
      <c r="AE279" s="557"/>
      <c r="AF279" s="557"/>
      <c r="AG279" s="557"/>
      <c r="AH279" s="557"/>
      <c r="AI279" s="557"/>
      <c r="AJ279" s="557"/>
      <c r="AK279" s="557"/>
      <c r="AL279" s="557"/>
      <c r="AM279" s="557"/>
      <c r="AN279" s="557"/>
      <c r="AO279" s="563"/>
      <c r="AP279" s="557"/>
      <c r="AQ279" s="557"/>
      <c r="AR279" s="559"/>
      <c r="AS279" s="557"/>
      <c r="AT279" s="557"/>
      <c r="AU279" s="557"/>
      <c r="AV279" s="557"/>
      <c r="AW279" s="557"/>
      <c r="AX279" s="554"/>
      <c r="AY279" s="563"/>
      <c r="AZ279" s="557"/>
      <c r="BA279" s="557"/>
      <c r="BB279" s="557"/>
      <c r="BC279" s="554"/>
      <c r="BD279" s="557"/>
      <c r="BE279" s="557"/>
      <c r="BF279" s="557"/>
      <c r="BG279" s="557"/>
      <c r="BH279" s="557"/>
      <c r="BI279" s="557"/>
      <c r="BJ279" s="557"/>
      <c r="BK279" s="557"/>
      <c r="BL279" s="557"/>
      <c r="BM279" s="554"/>
      <c r="BN279" s="558"/>
      <c r="BO279" s="559"/>
      <c r="BP279" s="554"/>
      <c r="BQ279" s="560" t="str">
        <f>IFERROR(WWWW[[#This Row],['#_Water sources treated]]/WWWW[[#This Row],['#_Water sources tested for contamination]],"no test")</f>
        <v>no test</v>
      </c>
      <c r="BR279" s="559" t="str">
        <f>IFERROR(WWWW[[#This Row],['#_Household received remediation action due to contamination]]/WWWW[[#This Row],['#_Household water samples tested for contamination]],"no test")</f>
        <v>no test</v>
      </c>
      <c r="BS279" s="558" t="str">
        <f>IF(AND(WWWW[[#This Row],[% of water sources treated]]="no test",WWWW[[#This Row],[% Household received corrective actions]]="no test"),"No Test","Tested")</f>
        <v>No Test</v>
      </c>
      <c r="BT279" s="558">
        <f>WWWW[[#This Row],['#_Constructed/existing protected hand dug well]]-WWWW[[#This Row],['#_Non-functional protected hand dug well]]</f>
        <v>0</v>
      </c>
      <c r="BU279" s="558">
        <f>(WWWW[[#This Row],['#_Constructed/Existing tube wells/boreholes/handpumps_WASH_agency]]+WWWW[[#This Row],['#_Non-Cluster partner water tube-wells/boreholes/handpumps]])-WWWW[[#This Row],['#_Non-functional tube wells/boreholes/handpumps]]</f>
        <v>0</v>
      </c>
      <c r="BV279" s="558">
        <f>WWWW[[#This Row],['#_Constructed/Existingwater storage tank with gravity fed reticulation system]]-WWWW[[#This Row],['#_Non-functional storage tank gravity fed reticulation system]]</f>
        <v>0</v>
      </c>
      <c r="BW279" s="558">
        <f>WWWW[[#This Row],['#_Water boating or water trucking]]</f>
        <v>0</v>
      </c>
      <c r="BX279" s="558">
        <f>WWWW[[#This Row],['#_Constructed/Existing water distribution system from river or natural spring]]</f>
        <v>0</v>
      </c>
      <c r="BY27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7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79" s="559">
        <f>IF(WWWW[[#This Row],[Location Type 1]]="Village",WWWW[[#This Row],[Access to safe drinking water for Village]],WWWW[[#This Row],[Access to safe drinking water for Camp]])</f>
        <v>0</v>
      </c>
      <c r="CB279" s="556">
        <f>WWWW[[#This Row],[%Equitable and continuous access to sufficient quantity of safe drinking water]]*WWWW[[#This Row],[Total PoP ]]</f>
        <v>0</v>
      </c>
      <c r="CC279" s="559">
        <f>IF((WWWW[[#This Row],['#_Constructed/Existing protected/fenced ponds]]*250)/WWWW[[#This Row],[Total PoP ]]&gt;1,1,(WWWW[[#This Row],['#_Constructed/Existing protected/fenced ponds]]*250)/WWWW[[#This Row],[Total PoP ]])</f>
        <v>0</v>
      </c>
      <c r="CD279" s="556">
        <f>WWWW[[#This Row],[% Access to unimproved water points]]*WWWW[[#This Row],[Total PoP ]]</f>
        <v>0</v>
      </c>
      <c r="CE27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7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79" s="556">
        <f>WWWW[[#This Row],[HRP1]]/500</f>
        <v>0</v>
      </c>
      <c r="CH279" s="561">
        <f>1-WWWW[[#This Row],[% Equitable and continuous access to sufficient quantity of domestic water]]</f>
        <v>1</v>
      </c>
      <c r="CI279" s="556">
        <f>WWWW[[#This Row],[%equitable and continuous access to sufficient quantity of safe drinking and domestic water''s GAP]]*WWWW[[#This Row],[Total PoP ]]</f>
        <v>801</v>
      </c>
      <c r="CJ279" s="558">
        <f>IF(WWWW[[#This Row],[Total required water points]]-WWWW[[#This Row],['#Water points coverage]]&lt;0,0,WWWW[[#This Row],[Total required water points]]-WWWW[[#This Row],['#Water points coverage]])</f>
        <v>2</v>
      </c>
      <c r="CK279" s="558">
        <f>ROUND(IF(WWWW[[#This Row],[Total PoP ]]&lt;500,1,WWWW[[#This Row],[Total PoP ]]/500),0)</f>
        <v>2</v>
      </c>
      <c r="CL279" s="558">
        <f>(WWWW[[#This Row],['#_Constructed latrines_by_WASHAgencies]]+WWWW[[#This Row],['#_Non Cluster partner latrines]])-WWWW[[#This Row],['#_Non-functional latrines]]</f>
        <v>0</v>
      </c>
      <c r="CM27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7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7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79" s="558" t="str">
        <f>IF(WWWW[[#This Row],[Location Type 1]]="Village","NA",IF(WWWW[[#This Row],['#_Constructed/Existing latrines in TLS]]*50&gt;WWWW[[#This Row],['#_students at TLS_CFS]],WWWW[[#This Row],['#_students at TLS_CFS]],(WWWW[[#This Row],['#_Constructed/Existing latrines in TLS]]*50)))</f>
        <v>NA</v>
      </c>
      <c r="CQ279" s="558">
        <f>ROUND(IF(WWWW[[#This Row],[Location Type 1]]="camp",WWWW[[#This Row],[Total PoP ]]/20,IF(WWWW[[#This Row],[Location Type 1]]="Temporary Location",WWWW[[#This Row],[Total PoP ]]/50,(WWWW[[#This Row],[Total PoP ]]/6))),0)</f>
        <v>134</v>
      </c>
      <c r="CR279" s="558">
        <f>IF(WWWW[[#This Row],[Total required Latrines]]-(WWWW[[#This Row],['#_Constructed latrines_by_WASHAgencies]]+WWWW[[#This Row],['#_Non Cluster partner latrines]])&lt;0,0,WWWW[[#This Row],[Total required Latrines]]-(WWWW[[#This Row],['#_Constructed latrines_by_WASHAgencies]]+WWWW[[#This Row],['#_Non Cluster partner latrines]]))</f>
        <v>134</v>
      </c>
      <c r="CS279" s="78">
        <f>1-WWWW[[#This Row],[% people access to functioning Latrine]]</f>
        <v>1</v>
      </c>
      <c r="CT279" s="560">
        <f>IF(OR(WWWW[[#This Row],['#_Non-functional latrines]]="",WWWW[[#This Row],['#_Non-functional latrines]]=0),0,WWWW[[#This Row],['#_Non-functional latrines]]/(WWWW[[#This Row],['#_Constructed latrines_by_WASHAgencies]]+WWWW[[#This Row],['#_Non Cluster partner latrines]]))</f>
        <v>0</v>
      </c>
      <c r="CU279" s="556">
        <f>IF(500*(WWWW[[#This Row],['#_male hygiene promoters]]+WWWW[[#This Row],['#_female hygiene promoters]])&gt;WWWW[[#This Row],[Total PoP ]],WWWW[[#This Row],[Total PoP ]],500*(WWWW[[#This Row],['#_male hygiene promoters]]+WWWW[[#This Row],['#_female hygiene promoters]]))</f>
        <v>0</v>
      </c>
      <c r="CV27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7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79" s="558">
        <f>IF(WWWW[[#This Row],['# People with access to soap]]&gt;WWWW[[#This Row],['# People with access to Sanity Pads]],WWWW[[#This Row],['# People with access to soap]],WWWW[[#This Row],['# People with access to Sanity Pads]])</f>
        <v>0</v>
      </c>
      <c r="CY27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79" s="561">
        <f>IF(WWWW[[#This Row],[HRP3]]/WWWW[[#This Row],[Total PoP ]]&gt;100%,100%,WWWW[[#This Row],[HRP3]]/WWWW[[#This Row],[Total PoP ]])</f>
        <v>0</v>
      </c>
      <c r="DA279" s="560">
        <f>1-WWWW[[#This Row],[Hygiene Coverage%]]</f>
        <v>1</v>
      </c>
      <c r="DB279" s="559">
        <f>WWWW[[#This Row],['# people reached by regular dedicated hygiene promotion_5]]/WWWW[[#This Row],[Total PoP ]]</f>
        <v>0</v>
      </c>
      <c r="DC279" s="559">
        <f>IF(WWWW[[#This Row],['#_households that received standard amount of soap for this quarter]]/WWWW[[#This Row],[Total HH]]&gt;1,1,WWWW[[#This Row],['#_households that received standard amount of soap for this quarter]]/WWWW[[#This Row],[Total HH]])</f>
        <v>0</v>
      </c>
      <c r="DD279" s="559">
        <f>IF(WWWW[[#This Row],['#_households that received standard amount of sanitary pads for this quarter]]/WWWW[[#This Row],[Total HH]]&gt;1,1,WWWW[[#This Row],['#_households that received standard amount of sanitary pads for this quarter]]/WWWW[[#This Row],[Total HH]])</f>
        <v>0</v>
      </c>
      <c r="DE279" s="558">
        <f>WWWW[[#This Row],['#_Constructed/Existing hand washing stations]]-WWWW[[#This Row],['#_Non-Functional_hand_washing_stations]]</f>
        <v>0</v>
      </c>
      <c r="DF279" s="757">
        <f>IF(WWWW[[#This Row],['# Functional hand washing stations during reporting period]]*20&gt;WWWW[[#This Row],[Total HH]],WWWW[[#This Row],[Total HH]],WWWW[[#This Row],['# Functional hand washing stations during reporting period]]*20)</f>
        <v>0</v>
      </c>
      <c r="DG279" s="556">
        <f>IF(WWWW[[#This Row],[Is sufficient soap available for TLS? (Yes/No)]]="yes",WWWW[[#This Row],['#_Constructed/Existing hand washing stations at TLS]],0)</f>
        <v>0</v>
      </c>
      <c r="DH279" s="556">
        <f>IF(WWWW[[#This Row],['# Functional hand washing stations during reporting period]]*100&gt;WWWW[[#This Row],[Total PoP ]],WWWW[[#This Row],[Total PoP ]],WWWW[[#This Row],['# Functional hand washing stations during reporting period]]*100)</f>
        <v>0</v>
      </c>
      <c r="DI279" s="556" t="str">
        <f>IF(OR(WWWW[[#This Row],['#_students at TLS_CFS]]="",WWWW[[#This Row],['#_students at TLS_CFS]]=0),"No","Yes")</f>
        <v>No</v>
      </c>
      <c r="DJ279" s="554">
        <f>VLOOKUP(WWWW[[#This Row],[Site Name]],SiteDB6[[Site Name]:[CCCM Management]],6,FALSE)</f>
        <v>0</v>
      </c>
      <c r="DK279" s="554">
        <f>VLOOKUP(WWWW[[#This Row],[Site Name]],SiteDB6[[Site Name]:[CCCM Focal Agency]],7,FALSE)</f>
        <v>0</v>
      </c>
      <c r="DL279" s="554" t="str">
        <f>VLOOKUP(WWWW[[#This Row],[Site Name]],SiteDB6[[Site Name]:[Location Type 1]],9,FALSE)</f>
        <v>Village</v>
      </c>
      <c r="DM279" s="554" t="str">
        <f>VLOOKUP(WWWW[[#This Row],[Site Name]],SiteDB6[[Site Name]:[Type of Accommodation]],10,FALSE)</f>
        <v>Village</v>
      </c>
      <c r="DN279" s="554">
        <f>VLOOKUP(WWWW[[#This Row],[Site Name]],SiteDB6[[Site Name]:[Ethnic or GCA/NGCA]],11,FALSE)</f>
        <v>0</v>
      </c>
      <c r="DO279" s="554">
        <f>VLOOKUP(WWWW[[#This Row],[Site Name]],SiteDB6[[Site Name]:[Lat]],12,FALSE)</f>
        <v>0</v>
      </c>
      <c r="DP279" s="554">
        <f>VLOOKUP(WWWW[[#This Row],[Site Name]],SiteDB6[[Site Name]:[Long]],13,FALSE)</f>
        <v>0</v>
      </c>
      <c r="DQ279" s="554">
        <f>VLOOKUP(WWWW[[#This Row],[Site Name]],SiteDB6[[Site Name]:[Pcode]],3,FALSE)</f>
        <v>197017</v>
      </c>
      <c r="DR279" s="563" t="str">
        <f t="shared" si="9"/>
        <v>Covered</v>
      </c>
      <c r="DS279" s="563"/>
    </row>
    <row r="280" spans="1:123">
      <c r="A280" s="552" t="s">
        <v>2518</v>
      </c>
      <c r="B280" s="552" t="s">
        <v>332</v>
      </c>
      <c r="C280" s="555" t="s">
        <v>332</v>
      </c>
      <c r="D280" s="555" t="s">
        <v>325</v>
      </c>
      <c r="E280" s="574" t="s">
        <v>3006</v>
      </c>
      <c r="F280" s="555" t="s">
        <v>330</v>
      </c>
      <c r="G280" s="574" t="str">
        <f>VLOOKUP(WWWW[[#This Row],[Site Name]],SiteDB6[[Site Name]:[Location Type]],8,FALSE)</f>
        <v>Village</v>
      </c>
      <c r="H280" s="555" t="s">
        <v>2899</v>
      </c>
      <c r="I280" s="557">
        <v>31</v>
      </c>
      <c r="J280" s="557">
        <v>156</v>
      </c>
      <c r="K280" s="564">
        <v>42736</v>
      </c>
      <c r="L280" s="565">
        <v>44551</v>
      </c>
      <c r="M280" s="557"/>
      <c r="N280" s="557"/>
      <c r="O280" s="557"/>
      <c r="P280" s="557"/>
      <c r="Q280" s="556"/>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63"/>
      <c r="AP280" s="557"/>
      <c r="AQ280" s="557"/>
      <c r="AR280" s="559"/>
      <c r="AS280" s="557"/>
      <c r="AT280" s="557"/>
      <c r="AU280" s="557"/>
      <c r="AV280" s="557"/>
      <c r="AW280" s="557"/>
      <c r="AX280" s="554"/>
      <c r="AY280" s="563"/>
      <c r="AZ280" s="557"/>
      <c r="BA280" s="557"/>
      <c r="BB280" s="557"/>
      <c r="BC280" s="554"/>
      <c r="BD280" s="557"/>
      <c r="BE280" s="557"/>
      <c r="BF280" s="557"/>
      <c r="BG280" s="557"/>
      <c r="BH280" s="557"/>
      <c r="BI280" s="557"/>
      <c r="BJ280" s="557"/>
      <c r="BK280" s="557"/>
      <c r="BL280" s="557"/>
      <c r="BM280" s="554"/>
      <c r="BN280" s="558"/>
      <c r="BO280" s="559"/>
      <c r="BP280" s="554"/>
      <c r="BQ280" s="560" t="str">
        <f>IFERROR(WWWW[[#This Row],['#_Water sources treated]]/WWWW[[#This Row],['#_Water sources tested for contamination]],"no test")</f>
        <v>no test</v>
      </c>
      <c r="BR280" s="559" t="str">
        <f>IFERROR(WWWW[[#This Row],['#_Household received remediation action due to contamination]]/WWWW[[#This Row],['#_Household water samples tested for contamination]],"no test")</f>
        <v>no test</v>
      </c>
      <c r="BS280" s="558" t="str">
        <f>IF(AND(WWWW[[#This Row],[% of water sources treated]]="no test",WWWW[[#This Row],[% Household received corrective actions]]="no test"),"No Test","Tested")</f>
        <v>No Test</v>
      </c>
      <c r="BT280" s="558">
        <f>WWWW[[#This Row],['#_Constructed/existing protected hand dug well]]-WWWW[[#This Row],['#_Non-functional protected hand dug well]]</f>
        <v>0</v>
      </c>
      <c r="BU280" s="558">
        <f>(WWWW[[#This Row],['#_Constructed/Existing tube wells/boreholes/handpumps_WASH_agency]]+WWWW[[#This Row],['#_Non-Cluster partner water tube-wells/boreholes/handpumps]])-WWWW[[#This Row],['#_Non-functional tube wells/boreholes/handpumps]]</f>
        <v>0</v>
      </c>
      <c r="BV280" s="558">
        <f>WWWW[[#This Row],['#_Constructed/Existingwater storage tank with gravity fed reticulation system]]-WWWW[[#This Row],['#_Non-functional storage tank gravity fed reticulation system]]</f>
        <v>0</v>
      </c>
      <c r="BW280" s="558">
        <f>WWWW[[#This Row],['#_Water boating or water trucking]]</f>
        <v>0</v>
      </c>
      <c r="BX280" s="558">
        <f>WWWW[[#This Row],['#_Constructed/Existing water distribution system from river or natural spring]]</f>
        <v>0</v>
      </c>
      <c r="BY28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0" s="559">
        <f>IF(WWWW[[#This Row],[Location Type 1]]="Village",WWWW[[#This Row],[Access to safe drinking water for Village]],WWWW[[#This Row],[Access to safe drinking water for Camp]])</f>
        <v>0</v>
      </c>
      <c r="CB280" s="556">
        <f>WWWW[[#This Row],[%Equitable and continuous access to sufficient quantity of safe drinking water]]*WWWW[[#This Row],[Total PoP ]]</f>
        <v>0</v>
      </c>
      <c r="CC280" s="559">
        <f>IF((WWWW[[#This Row],['#_Constructed/Existing protected/fenced ponds]]*250)/WWWW[[#This Row],[Total PoP ]]&gt;1,1,(WWWW[[#This Row],['#_Constructed/Existing protected/fenced ponds]]*250)/WWWW[[#This Row],[Total PoP ]])</f>
        <v>0</v>
      </c>
      <c r="CD280" s="556">
        <f>WWWW[[#This Row],[% Access to unimproved water points]]*WWWW[[#This Row],[Total PoP ]]</f>
        <v>0</v>
      </c>
      <c r="CE28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0" s="556">
        <f>WWWW[[#This Row],[HRP1]]/500</f>
        <v>0</v>
      </c>
      <c r="CH280" s="561">
        <f>1-WWWW[[#This Row],[% Equitable and continuous access to sufficient quantity of domestic water]]</f>
        <v>1</v>
      </c>
      <c r="CI280" s="556">
        <f>WWWW[[#This Row],[%equitable and continuous access to sufficient quantity of safe drinking and domestic water''s GAP]]*WWWW[[#This Row],[Total PoP ]]</f>
        <v>156</v>
      </c>
      <c r="CJ280" s="558">
        <f>IF(WWWW[[#This Row],[Total required water points]]-WWWW[[#This Row],['#Water points coverage]]&lt;0,0,WWWW[[#This Row],[Total required water points]]-WWWW[[#This Row],['#Water points coverage]])</f>
        <v>1</v>
      </c>
      <c r="CK280" s="558">
        <f>ROUND(IF(WWWW[[#This Row],[Total PoP ]]&lt;500,1,WWWW[[#This Row],[Total PoP ]]/500),0)</f>
        <v>1</v>
      </c>
      <c r="CL280" s="558">
        <f>(WWWW[[#This Row],['#_Constructed latrines_by_WASHAgencies]]+WWWW[[#This Row],['#_Non Cluster partner latrines]])-WWWW[[#This Row],['#_Non-functional latrines]]</f>
        <v>0</v>
      </c>
      <c r="CM28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0" s="558" t="str">
        <f>IF(WWWW[[#This Row],[Location Type 1]]="Village","NA",IF(WWWW[[#This Row],['#_Constructed/Existing latrines in TLS]]*50&gt;WWWW[[#This Row],['#_students at TLS_CFS]],WWWW[[#This Row],['#_students at TLS_CFS]],(WWWW[[#This Row],['#_Constructed/Existing latrines in TLS]]*50)))</f>
        <v>NA</v>
      </c>
      <c r="CQ280" s="558">
        <f>ROUND(IF(WWWW[[#This Row],[Location Type 1]]="camp",WWWW[[#This Row],[Total PoP ]]/20,IF(WWWW[[#This Row],[Location Type 1]]="Temporary Location",WWWW[[#This Row],[Total PoP ]]/50,(WWWW[[#This Row],[Total PoP ]]/6))),0)</f>
        <v>26</v>
      </c>
      <c r="CR280" s="558">
        <f>IF(WWWW[[#This Row],[Total required Latrines]]-(WWWW[[#This Row],['#_Constructed latrines_by_WASHAgencies]]+WWWW[[#This Row],['#_Non Cluster partner latrines]])&lt;0,0,WWWW[[#This Row],[Total required Latrines]]-(WWWW[[#This Row],['#_Constructed latrines_by_WASHAgencies]]+WWWW[[#This Row],['#_Non Cluster partner latrines]]))</f>
        <v>26</v>
      </c>
      <c r="CS280" s="78">
        <f>1-WWWW[[#This Row],[% people access to functioning Latrine]]</f>
        <v>1</v>
      </c>
      <c r="CT280" s="560">
        <f>IF(OR(WWWW[[#This Row],['#_Non-functional latrines]]="",WWWW[[#This Row],['#_Non-functional latrines]]=0),0,WWWW[[#This Row],['#_Non-functional latrines]]/(WWWW[[#This Row],['#_Constructed latrines_by_WASHAgencies]]+WWWW[[#This Row],['#_Non Cluster partner latrines]]))</f>
        <v>0</v>
      </c>
      <c r="CU280" s="556">
        <f>IF(500*(WWWW[[#This Row],['#_male hygiene promoters]]+WWWW[[#This Row],['#_female hygiene promoters]])&gt;WWWW[[#This Row],[Total PoP ]],WWWW[[#This Row],[Total PoP ]],500*(WWWW[[#This Row],['#_male hygiene promoters]]+WWWW[[#This Row],['#_female hygiene promoters]]))</f>
        <v>0</v>
      </c>
      <c r="CV28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0" s="558">
        <f>IF(WWWW[[#This Row],['# People with access to soap]]&gt;WWWW[[#This Row],['# People with access to Sanity Pads]],WWWW[[#This Row],['# People with access to soap]],WWWW[[#This Row],['# People with access to Sanity Pads]])</f>
        <v>0</v>
      </c>
      <c r="CY28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0" s="561">
        <f>IF(WWWW[[#This Row],[HRP3]]/WWWW[[#This Row],[Total PoP ]]&gt;100%,100%,WWWW[[#This Row],[HRP3]]/WWWW[[#This Row],[Total PoP ]])</f>
        <v>0</v>
      </c>
      <c r="DA280" s="560">
        <f>1-WWWW[[#This Row],[Hygiene Coverage%]]</f>
        <v>1</v>
      </c>
      <c r="DB280" s="559">
        <f>WWWW[[#This Row],['# people reached by regular dedicated hygiene promotion_5]]/WWWW[[#This Row],[Total PoP ]]</f>
        <v>0</v>
      </c>
      <c r="DC280" s="559">
        <f>IF(WWWW[[#This Row],['#_households that received standard amount of soap for this quarter]]/WWWW[[#This Row],[Total HH]]&gt;1,1,WWWW[[#This Row],['#_households that received standard amount of soap for this quarter]]/WWWW[[#This Row],[Total HH]])</f>
        <v>0</v>
      </c>
      <c r="DD280" s="559">
        <f>IF(WWWW[[#This Row],['#_households that received standard amount of sanitary pads for this quarter]]/WWWW[[#This Row],[Total HH]]&gt;1,1,WWWW[[#This Row],['#_households that received standard amount of sanitary pads for this quarter]]/WWWW[[#This Row],[Total HH]])</f>
        <v>0</v>
      </c>
      <c r="DE280" s="558">
        <f>WWWW[[#This Row],['#_Constructed/Existing hand washing stations]]-WWWW[[#This Row],['#_Non-Functional_hand_washing_stations]]</f>
        <v>0</v>
      </c>
      <c r="DF280" s="757">
        <f>IF(WWWW[[#This Row],['# Functional hand washing stations during reporting period]]*20&gt;WWWW[[#This Row],[Total HH]],WWWW[[#This Row],[Total HH]],WWWW[[#This Row],['# Functional hand washing stations during reporting period]]*20)</f>
        <v>0</v>
      </c>
      <c r="DG280" s="556">
        <f>IF(WWWW[[#This Row],[Is sufficient soap available for TLS? (Yes/No)]]="yes",WWWW[[#This Row],['#_Constructed/Existing hand washing stations at TLS]],0)</f>
        <v>0</v>
      </c>
      <c r="DH280" s="556">
        <f>IF(WWWW[[#This Row],['# Functional hand washing stations during reporting period]]*100&gt;WWWW[[#This Row],[Total PoP ]],WWWW[[#This Row],[Total PoP ]],WWWW[[#This Row],['# Functional hand washing stations during reporting period]]*100)</f>
        <v>0</v>
      </c>
      <c r="DI280" s="556" t="str">
        <f>IF(OR(WWWW[[#This Row],['#_students at TLS_CFS]]="",WWWW[[#This Row],['#_students at TLS_CFS]]=0),"No","Yes")</f>
        <v>No</v>
      </c>
      <c r="DJ280" s="554">
        <f>VLOOKUP(WWWW[[#This Row],[Site Name]],SiteDB6[[Site Name]:[CCCM Management]],6,FALSE)</f>
        <v>0</v>
      </c>
      <c r="DK280" s="554">
        <f>VLOOKUP(WWWW[[#This Row],[Site Name]],SiteDB6[[Site Name]:[CCCM Focal Agency]],7,FALSE)</f>
        <v>0</v>
      </c>
      <c r="DL280" s="554" t="str">
        <f>VLOOKUP(WWWW[[#This Row],[Site Name]],SiteDB6[[Site Name]:[Location Type 1]],9,FALSE)</f>
        <v>Village</v>
      </c>
      <c r="DM280" s="554" t="str">
        <f>VLOOKUP(WWWW[[#This Row],[Site Name]],SiteDB6[[Site Name]:[Type of Accommodation]],10,FALSE)</f>
        <v>Village</v>
      </c>
      <c r="DN280" s="554">
        <f>VLOOKUP(WWWW[[#This Row],[Site Name]],SiteDB6[[Site Name]:[Ethnic or GCA/NGCA]],11,FALSE)</f>
        <v>0</v>
      </c>
      <c r="DO280" s="554">
        <f>VLOOKUP(WWWW[[#This Row],[Site Name]],SiteDB6[[Site Name]:[Lat]],12,FALSE)</f>
        <v>0</v>
      </c>
      <c r="DP280" s="554">
        <f>VLOOKUP(WWWW[[#This Row],[Site Name]],SiteDB6[[Site Name]:[Long]],13,FALSE)</f>
        <v>0</v>
      </c>
      <c r="DQ280" s="554">
        <f>VLOOKUP(WWWW[[#This Row],[Site Name]],SiteDB6[[Site Name]:[Pcode]],3,FALSE)</f>
        <v>197022</v>
      </c>
      <c r="DR280" s="563" t="str">
        <f t="shared" si="9"/>
        <v>Covered</v>
      </c>
      <c r="DS280" s="563"/>
    </row>
    <row r="281" spans="1:123">
      <c r="A281" s="552" t="s">
        <v>2518</v>
      </c>
      <c r="B281" s="552" t="s">
        <v>332</v>
      </c>
      <c r="C281" s="555" t="s">
        <v>332</v>
      </c>
      <c r="D281" s="555" t="s">
        <v>325</v>
      </c>
      <c r="E281" s="574" t="s">
        <v>3006</v>
      </c>
      <c r="F281" s="555" t="s">
        <v>330</v>
      </c>
      <c r="G281" s="574" t="str">
        <f>VLOOKUP(WWWW[[#This Row],[Site Name]],SiteDB6[[Site Name]:[Location Type]],8,FALSE)</f>
        <v>Village</v>
      </c>
      <c r="H281" s="555" t="s">
        <v>2900</v>
      </c>
      <c r="I281" s="557">
        <v>96</v>
      </c>
      <c r="J281" s="557">
        <v>329</v>
      </c>
      <c r="K281" s="564">
        <v>42736</v>
      </c>
      <c r="L281" s="565">
        <v>44551</v>
      </c>
      <c r="M281" s="557"/>
      <c r="N281" s="557"/>
      <c r="O281" s="557"/>
      <c r="P281" s="557"/>
      <c r="Q281" s="556"/>
      <c r="R281" s="557"/>
      <c r="S281" s="557"/>
      <c r="T281" s="557"/>
      <c r="U281" s="557"/>
      <c r="V281" s="557"/>
      <c r="W281" s="557"/>
      <c r="X281" s="557"/>
      <c r="Y281" s="557"/>
      <c r="Z281" s="557"/>
      <c r="AA281" s="557"/>
      <c r="AB281" s="557"/>
      <c r="AC281" s="557"/>
      <c r="AD281" s="557"/>
      <c r="AE281" s="557"/>
      <c r="AF281" s="557"/>
      <c r="AG281" s="557"/>
      <c r="AH281" s="557"/>
      <c r="AI281" s="557"/>
      <c r="AJ281" s="557"/>
      <c r="AK281" s="557"/>
      <c r="AL281" s="557"/>
      <c r="AM281" s="557"/>
      <c r="AN281" s="557"/>
      <c r="AO281" s="563"/>
      <c r="AP281" s="557"/>
      <c r="AQ281" s="557"/>
      <c r="AR281" s="559"/>
      <c r="AS281" s="557"/>
      <c r="AT281" s="557"/>
      <c r="AU281" s="557"/>
      <c r="AV281" s="557"/>
      <c r="AW281" s="557"/>
      <c r="AX281" s="554"/>
      <c r="AY281" s="563"/>
      <c r="AZ281" s="557"/>
      <c r="BA281" s="557"/>
      <c r="BB281" s="557"/>
      <c r="BC281" s="554"/>
      <c r="BD281" s="557"/>
      <c r="BE281" s="557"/>
      <c r="BF281" s="557"/>
      <c r="BG281" s="557"/>
      <c r="BH281" s="557"/>
      <c r="BI281" s="557"/>
      <c r="BJ281" s="557"/>
      <c r="BK281" s="557"/>
      <c r="BL281" s="557"/>
      <c r="BM281" s="554"/>
      <c r="BN281" s="558"/>
      <c r="BO281" s="559"/>
      <c r="BP281" s="554"/>
      <c r="BQ281" s="560" t="str">
        <f>IFERROR(WWWW[[#This Row],['#_Water sources treated]]/WWWW[[#This Row],['#_Water sources tested for contamination]],"no test")</f>
        <v>no test</v>
      </c>
      <c r="BR281" s="559" t="str">
        <f>IFERROR(WWWW[[#This Row],['#_Household received remediation action due to contamination]]/WWWW[[#This Row],['#_Household water samples tested for contamination]],"no test")</f>
        <v>no test</v>
      </c>
      <c r="BS281" s="558" t="str">
        <f>IF(AND(WWWW[[#This Row],[% of water sources treated]]="no test",WWWW[[#This Row],[% Household received corrective actions]]="no test"),"No Test","Tested")</f>
        <v>No Test</v>
      </c>
      <c r="BT281" s="558">
        <f>WWWW[[#This Row],['#_Constructed/existing protected hand dug well]]-WWWW[[#This Row],['#_Non-functional protected hand dug well]]</f>
        <v>0</v>
      </c>
      <c r="BU281" s="558">
        <f>(WWWW[[#This Row],['#_Constructed/Existing tube wells/boreholes/handpumps_WASH_agency]]+WWWW[[#This Row],['#_Non-Cluster partner water tube-wells/boreholes/handpumps]])-WWWW[[#This Row],['#_Non-functional tube wells/boreholes/handpumps]]</f>
        <v>0</v>
      </c>
      <c r="BV281" s="558">
        <f>WWWW[[#This Row],['#_Constructed/Existingwater storage tank with gravity fed reticulation system]]-WWWW[[#This Row],['#_Non-functional storage tank gravity fed reticulation system]]</f>
        <v>0</v>
      </c>
      <c r="BW281" s="558">
        <f>WWWW[[#This Row],['#_Water boating or water trucking]]</f>
        <v>0</v>
      </c>
      <c r="BX281" s="558">
        <f>WWWW[[#This Row],['#_Constructed/Existing water distribution system from river or natural spring]]</f>
        <v>0</v>
      </c>
      <c r="BY28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1" s="559">
        <f>IF(WWWW[[#This Row],[Location Type 1]]="Village",WWWW[[#This Row],[Access to safe drinking water for Village]],WWWW[[#This Row],[Access to safe drinking water for Camp]])</f>
        <v>0</v>
      </c>
      <c r="CB281" s="556">
        <f>WWWW[[#This Row],[%Equitable and continuous access to sufficient quantity of safe drinking water]]*WWWW[[#This Row],[Total PoP ]]</f>
        <v>0</v>
      </c>
      <c r="CC281" s="559">
        <f>IF((WWWW[[#This Row],['#_Constructed/Existing protected/fenced ponds]]*250)/WWWW[[#This Row],[Total PoP ]]&gt;1,1,(WWWW[[#This Row],['#_Constructed/Existing protected/fenced ponds]]*250)/WWWW[[#This Row],[Total PoP ]])</f>
        <v>0</v>
      </c>
      <c r="CD281" s="556">
        <f>WWWW[[#This Row],[% Access to unimproved water points]]*WWWW[[#This Row],[Total PoP ]]</f>
        <v>0</v>
      </c>
      <c r="CE28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1" s="556">
        <f>WWWW[[#This Row],[HRP1]]/500</f>
        <v>0</v>
      </c>
      <c r="CH281" s="561">
        <f>1-WWWW[[#This Row],[% Equitable and continuous access to sufficient quantity of domestic water]]</f>
        <v>1</v>
      </c>
      <c r="CI281" s="556">
        <f>WWWW[[#This Row],[%equitable and continuous access to sufficient quantity of safe drinking and domestic water''s GAP]]*WWWW[[#This Row],[Total PoP ]]</f>
        <v>329</v>
      </c>
      <c r="CJ281" s="558">
        <f>IF(WWWW[[#This Row],[Total required water points]]-WWWW[[#This Row],['#Water points coverage]]&lt;0,0,WWWW[[#This Row],[Total required water points]]-WWWW[[#This Row],['#Water points coverage]])</f>
        <v>1</v>
      </c>
      <c r="CK281" s="558">
        <f>ROUND(IF(WWWW[[#This Row],[Total PoP ]]&lt;500,1,WWWW[[#This Row],[Total PoP ]]/500),0)</f>
        <v>1</v>
      </c>
      <c r="CL281" s="558">
        <f>(WWWW[[#This Row],['#_Constructed latrines_by_WASHAgencies]]+WWWW[[#This Row],['#_Non Cluster partner latrines]])-WWWW[[#This Row],['#_Non-functional latrines]]</f>
        <v>0</v>
      </c>
      <c r="CM28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1" s="558" t="str">
        <f>IF(WWWW[[#This Row],[Location Type 1]]="Village","NA",IF(WWWW[[#This Row],['#_Constructed/Existing latrines in TLS]]*50&gt;WWWW[[#This Row],['#_students at TLS_CFS]],WWWW[[#This Row],['#_students at TLS_CFS]],(WWWW[[#This Row],['#_Constructed/Existing latrines in TLS]]*50)))</f>
        <v>NA</v>
      </c>
      <c r="CQ281" s="558">
        <f>ROUND(IF(WWWW[[#This Row],[Location Type 1]]="camp",WWWW[[#This Row],[Total PoP ]]/20,IF(WWWW[[#This Row],[Location Type 1]]="Temporary Location",WWWW[[#This Row],[Total PoP ]]/50,(WWWW[[#This Row],[Total PoP ]]/6))),0)</f>
        <v>55</v>
      </c>
      <c r="CR281" s="558">
        <f>IF(WWWW[[#This Row],[Total required Latrines]]-(WWWW[[#This Row],['#_Constructed latrines_by_WASHAgencies]]+WWWW[[#This Row],['#_Non Cluster partner latrines]])&lt;0,0,WWWW[[#This Row],[Total required Latrines]]-(WWWW[[#This Row],['#_Constructed latrines_by_WASHAgencies]]+WWWW[[#This Row],['#_Non Cluster partner latrines]]))</f>
        <v>55</v>
      </c>
      <c r="CS281" s="78">
        <f>1-WWWW[[#This Row],[% people access to functioning Latrine]]</f>
        <v>1</v>
      </c>
      <c r="CT281" s="560">
        <f>IF(OR(WWWW[[#This Row],['#_Non-functional latrines]]="",WWWW[[#This Row],['#_Non-functional latrines]]=0),0,WWWW[[#This Row],['#_Non-functional latrines]]/(WWWW[[#This Row],['#_Constructed latrines_by_WASHAgencies]]+WWWW[[#This Row],['#_Non Cluster partner latrines]]))</f>
        <v>0</v>
      </c>
      <c r="CU281" s="556">
        <f>IF(500*(WWWW[[#This Row],['#_male hygiene promoters]]+WWWW[[#This Row],['#_female hygiene promoters]])&gt;WWWW[[#This Row],[Total PoP ]],WWWW[[#This Row],[Total PoP ]],500*(WWWW[[#This Row],['#_male hygiene promoters]]+WWWW[[#This Row],['#_female hygiene promoters]]))</f>
        <v>0</v>
      </c>
      <c r="CV28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1" s="558">
        <f>IF(WWWW[[#This Row],['# People with access to soap]]&gt;WWWW[[#This Row],['# People with access to Sanity Pads]],WWWW[[#This Row],['# People with access to soap]],WWWW[[#This Row],['# People with access to Sanity Pads]])</f>
        <v>0</v>
      </c>
      <c r="CY28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1" s="561">
        <f>IF(WWWW[[#This Row],[HRP3]]/WWWW[[#This Row],[Total PoP ]]&gt;100%,100%,WWWW[[#This Row],[HRP3]]/WWWW[[#This Row],[Total PoP ]])</f>
        <v>0</v>
      </c>
      <c r="DA281" s="560">
        <f>1-WWWW[[#This Row],[Hygiene Coverage%]]</f>
        <v>1</v>
      </c>
      <c r="DB281" s="559">
        <f>WWWW[[#This Row],['# people reached by regular dedicated hygiene promotion_5]]/WWWW[[#This Row],[Total PoP ]]</f>
        <v>0</v>
      </c>
      <c r="DC281" s="559">
        <f>IF(WWWW[[#This Row],['#_households that received standard amount of soap for this quarter]]/WWWW[[#This Row],[Total HH]]&gt;1,1,WWWW[[#This Row],['#_households that received standard amount of soap for this quarter]]/WWWW[[#This Row],[Total HH]])</f>
        <v>0</v>
      </c>
      <c r="DD281" s="559">
        <f>IF(WWWW[[#This Row],['#_households that received standard amount of sanitary pads for this quarter]]/WWWW[[#This Row],[Total HH]]&gt;1,1,WWWW[[#This Row],['#_households that received standard amount of sanitary pads for this quarter]]/WWWW[[#This Row],[Total HH]])</f>
        <v>0</v>
      </c>
      <c r="DE281" s="558">
        <f>WWWW[[#This Row],['#_Constructed/Existing hand washing stations]]-WWWW[[#This Row],['#_Non-Functional_hand_washing_stations]]</f>
        <v>0</v>
      </c>
      <c r="DF281" s="757">
        <f>IF(WWWW[[#This Row],['# Functional hand washing stations during reporting period]]*20&gt;WWWW[[#This Row],[Total HH]],WWWW[[#This Row],[Total HH]],WWWW[[#This Row],['# Functional hand washing stations during reporting period]]*20)</f>
        <v>0</v>
      </c>
      <c r="DG281" s="556">
        <f>IF(WWWW[[#This Row],[Is sufficient soap available for TLS? (Yes/No)]]="yes",WWWW[[#This Row],['#_Constructed/Existing hand washing stations at TLS]],0)</f>
        <v>0</v>
      </c>
      <c r="DH281" s="556">
        <f>IF(WWWW[[#This Row],['# Functional hand washing stations during reporting period]]*100&gt;WWWW[[#This Row],[Total PoP ]],WWWW[[#This Row],[Total PoP ]],WWWW[[#This Row],['# Functional hand washing stations during reporting period]]*100)</f>
        <v>0</v>
      </c>
      <c r="DI281" s="556" t="str">
        <f>IF(OR(WWWW[[#This Row],['#_students at TLS_CFS]]="",WWWW[[#This Row],['#_students at TLS_CFS]]=0),"No","Yes")</f>
        <v>No</v>
      </c>
      <c r="DJ281" s="554">
        <f>VLOOKUP(WWWW[[#This Row],[Site Name]],SiteDB6[[Site Name]:[CCCM Management]],6,FALSE)</f>
        <v>0</v>
      </c>
      <c r="DK281" s="554">
        <f>VLOOKUP(WWWW[[#This Row],[Site Name]],SiteDB6[[Site Name]:[CCCM Focal Agency]],7,FALSE)</f>
        <v>0</v>
      </c>
      <c r="DL281" s="554" t="str">
        <f>VLOOKUP(WWWW[[#This Row],[Site Name]],SiteDB6[[Site Name]:[Location Type 1]],9,FALSE)</f>
        <v>Village</v>
      </c>
      <c r="DM281" s="554" t="str">
        <f>VLOOKUP(WWWW[[#This Row],[Site Name]],SiteDB6[[Site Name]:[Type of Accommodation]],10,FALSE)</f>
        <v>Village</v>
      </c>
      <c r="DN281" s="554">
        <f>VLOOKUP(WWWW[[#This Row],[Site Name]],SiteDB6[[Site Name]:[Ethnic or GCA/NGCA]],11,FALSE)</f>
        <v>0</v>
      </c>
      <c r="DO281" s="554">
        <f>VLOOKUP(WWWW[[#This Row],[Site Name]],SiteDB6[[Site Name]:[Lat]],12,FALSE)</f>
        <v>0</v>
      </c>
      <c r="DP281" s="554">
        <f>VLOOKUP(WWWW[[#This Row],[Site Name]],SiteDB6[[Site Name]:[Long]],13,FALSE)</f>
        <v>0</v>
      </c>
      <c r="DQ281" s="554">
        <f>VLOOKUP(WWWW[[#This Row],[Site Name]],SiteDB6[[Site Name]:[Pcode]],3,FALSE)</f>
        <v>197020</v>
      </c>
      <c r="DR281" s="563" t="str">
        <f t="shared" si="9"/>
        <v>Covered</v>
      </c>
      <c r="DS281" s="563"/>
    </row>
    <row r="282" spans="1:123">
      <c r="A282" s="552" t="s">
        <v>2518</v>
      </c>
      <c r="B282" s="552" t="s">
        <v>332</v>
      </c>
      <c r="C282" s="555" t="s">
        <v>332</v>
      </c>
      <c r="D282" s="555" t="s">
        <v>325</v>
      </c>
      <c r="E282" s="574" t="s">
        <v>3006</v>
      </c>
      <c r="F282" s="555" t="s">
        <v>330</v>
      </c>
      <c r="G282" s="574" t="str">
        <f>VLOOKUP(WWWW[[#This Row],[Site Name]],SiteDB6[[Site Name]:[Location Type]],8,FALSE)</f>
        <v>Village</v>
      </c>
      <c r="H282" s="555" t="s">
        <v>2901</v>
      </c>
      <c r="I282" s="557">
        <v>37</v>
      </c>
      <c r="J282" s="557">
        <v>119</v>
      </c>
      <c r="K282" s="564">
        <v>42736</v>
      </c>
      <c r="L282" s="565">
        <v>44551</v>
      </c>
      <c r="M282" s="557"/>
      <c r="N282" s="557"/>
      <c r="O282" s="557"/>
      <c r="P282" s="557"/>
      <c r="Q282" s="556"/>
      <c r="R282" s="557"/>
      <c r="S282" s="557"/>
      <c r="T282" s="557"/>
      <c r="U282" s="557"/>
      <c r="V282" s="557"/>
      <c r="W282" s="557"/>
      <c r="X282" s="557"/>
      <c r="Y282" s="557"/>
      <c r="Z282" s="557"/>
      <c r="AA282" s="557"/>
      <c r="AB282" s="557"/>
      <c r="AC282" s="557"/>
      <c r="AD282" s="557"/>
      <c r="AE282" s="557"/>
      <c r="AF282" s="557"/>
      <c r="AG282" s="557"/>
      <c r="AH282" s="557"/>
      <c r="AI282" s="557"/>
      <c r="AJ282" s="557"/>
      <c r="AK282" s="557"/>
      <c r="AL282" s="557"/>
      <c r="AM282" s="557"/>
      <c r="AN282" s="557"/>
      <c r="AO282" s="563"/>
      <c r="AP282" s="557"/>
      <c r="AQ282" s="557"/>
      <c r="AR282" s="559"/>
      <c r="AS282" s="557"/>
      <c r="AT282" s="557"/>
      <c r="AU282" s="557"/>
      <c r="AV282" s="557"/>
      <c r="AW282" s="557"/>
      <c r="AX282" s="554"/>
      <c r="AY282" s="563"/>
      <c r="AZ282" s="557"/>
      <c r="BA282" s="557"/>
      <c r="BB282" s="557"/>
      <c r="BC282" s="554"/>
      <c r="BD282" s="557"/>
      <c r="BE282" s="557"/>
      <c r="BF282" s="557"/>
      <c r="BG282" s="557"/>
      <c r="BH282" s="557"/>
      <c r="BI282" s="557"/>
      <c r="BJ282" s="557"/>
      <c r="BK282" s="557"/>
      <c r="BL282" s="557"/>
      <c r="BM282" s="554"/>
      <c r="BN282" s="558"/>
      <c r="BO282" s="559"/>
      <c r="BP282" s="554"/>
      <c r="BQ282" s="560" t="str">
        <f>IFERROR(WWWW[[#This Row],['#_Water sources treated]]/WWWW[[#This Row],['#_Water sources tested for contamination]],"no test")</f>
        <v>no test</v>
      </c>
      <c r="BR282" s="559" t="str">
        <f>IFERROR(WWWW[[#This Row],['#_Household received remediation action due to contamination]]/WWWW[[#This Row],['#_Household water samples tested for contamination]],"no test")</f>
        <v>no test</v>
      </c>
      <c r="BS282" s="558" t="str">
        <f>IF(AND(WWWW[[#This Row],[% of water sources treated]]="no test",WWWW[[#This Row],[% Household received corrective actions]]="no test"),"No Test","Tested")</f>
        <v>No Test</v>
      </c>
      <c r="BT282" s="558">
        <f>WWWW[[#This Row],['#_Constructed/existing protected hand dug well]]-WWWW[[#This Row],['#_Non-functional protected hand dug well]]</f>
        <v>0</v>
      </c>
      <c r="BU282" s="558">
        <f>(WWWW[[#This Row],['#_Constructed/Existing tube wells/boreholes/handpumps_WASH_agency]]+WWWW[[#This Row],['#_Non-Cluster partner water tube-wells/boreholes/handpumps]])-WWWW[[#This Row],['#_Non-functional tube wells/boreholes/handpumps]]</f>
        <v>0</v>
      </c>
      <c r="BV282" s="558">
        <f>WWWW[[#This Row],['#_Constructed/Existingwater storage tank with gravity fed reticulation system]]-WWWW[[#This Row],['#_Non-functional storage tank gravity fed reticulation system]]</f>
        <v>0</v>
      </c>
      <c r="BW282" s="558">
        <f>WWWW[[#This Row],['#_Water boating or water trucking]]</f>
        <v>0</v>
      </c>
      <c r="BX282" s="558">
        <f>WWWW[[#This Row],['#_Constructed/Existing water distribution system from river or natural spring]]</f>
        <v>0</v>
      </c>
      <c r="BY28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2" s="559">
        <f>IF(WWWW[[#This Row],[Location Type 1]]="Village",WWWW[[#This Row],[Access to safe drinking water for Village]],WWWW[[#This Row],[Access to safe drinking water for Camp]])</f>
        <v>0</v>
      </c>
      <c r="CB282" s="556">
        <f>WWWW[[#This Row],[%Equitable and continuous access to sufficient quantity of safe drinking water]]*WWWW[[#This Row],[Total PoP ]]</f>
        <v>0</v>
      </c>
      <c r="CC282" s="559">
        <f>IF((WWWW[[#This Row],['#_Constructed/Existing protected/fenced ponds]]*250)/WWWW[[#This Row],[Total PoP ]]&gt;1,1,(WWWW[[#This Row],['#_Constructed/Existing protected/fenced ponds]]*250)/WWWW[[#This Row],[Total PoP ]])</f>
        <v>0</v>
      </c>
      <c r="CD282" s="556">
        <f>WWWW[[#This Row],[% Access to unimproved water points]]*WWWW[[#This Row],[Total PoP ]]</f>
        <v>0</v>
      </c>
      <c r="CE28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2" s="556">
        <f>WWWW[[#This Row],[HRP1]]/500</f>
        <v>0</v>
      </c>
      <c r="CH282" s="561">
        <f>1-WWWW[[#This Row],[% Equitable and continuous access to sufficient quantity of domestic water]]</f>
        <v>1</v>
      </c>
      <c r="CI282" s="556">
        <f>WWWW[[#This Row],[%equitable and continuous access to sufficient quantity of safe drinking and domestic water''s GAP]]*WWWW[[#This Row],[Total PoP ]]</f>
        <v>119</v>
      </c>
      <c r="CJ282" s="558">
        <f>IF(WWWW[[#This Row],[Total required water points]]-WWWW[[#This Row],['#Water points coverage]]&lt;0,0,WWWW[[#This Row],[Total required water points]]-WWWW[[#This Row],['#Water points coverage]])</f>
        <v>1</v>
      </c>
      <c r="CK282" s="558">
        <f>ROUND(IF(WWWW[[#This Row],[Total PoP ]]&lt;500,1,WWWW[[#This Row],[Total PoP ]]/500),0)</f>
        <v>1</v>
      </c>
      <c r="CL282" s="558">
        <f>(WWWW[[#This Row],['#_Constructed latrines_by_WASHAgencies]]+WWWW[[#This Row],['#_Non Cluster partner latrines]])-WWWW[[#This Row],['#_Non-functional latrines]]</f>
        <v>0</v>
      </c>
      <c r="CM28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2" s="558" t="str">
        <f>IF(WWWW[[#This Row],[Location Type 1]]="Village","NA",IF(WWWW[[#This Row],['#_Constructed/Existing latrines in TLS]]*50&gt;WWWW[[#This Row],['#_students at TLS_CFS]],WWWW[[#This Row],['#_students at TLS_CFS]],(WWWW[[#This Row],['#_Constructed/Existing latrines in TLS]]*50)))</f>
        <v>NA</v>
      </c>
      <c r="CQ282" s="558">
        <f>ROUND(IF(WWWW[[#This Row],[Location Type 1]]="camp",WWWW[[#This Row],[Total PoP ]]/20,IF(WWWW[[#This Row],[Location Type 1]]="Temporary Location",WWWW[[#This Row],[Total PoP ]]/50,(WWWW[[#This Row],[Total PoP ]]/6))),0)</f>
        <v>20</v>
      </c>
      <c r="CR282" s="558">
        <f>IF(WWWW[[#This Row],[Total required Latrines]]-(WWWW[[#This Row],['#_Constructed latrines_by_WASHAgencies]]+WWWW[[#This Row],['#_Non Cluster partner latrines]])&lt;0,0,WWWW[[#This Row],[Total required Latrines]]-(WWWW[[#This Row],['#_Constructed latrines_by_WASHAgencies]]+WWWW[[#This Row],['#_Non Cluster partner latrines]]))</f>
        <v>20</v>
      </c>
      <c r="CS282" s="78">
        <f>1-WWWW[[#This Row],[% people access to functioning Latrine]]</f>
        <v>1</v>
      </c>
      <c r="CT282" s="560">
        <f>IF(OR(WWWW[[#This Row],['#_Non-functional latrines]]="",WWWW[[#This Row],['#_Non-functional latrines]]=0),0,WWWW[[#This Row],['#_Non-functional latrines]]/(WWWW[[#This Row],['#_Constructed latrines_by_WASHAgencies]]+WWWW[[#This Row],['#_Non Cluster partner latrines]]))</f>
        <v>0</v>
      </c>
      <c r="CU282" s="556">
        <f>IF(500*(WWWW[[#This Row],['#_male hygiene promoters]]+WWWW[[#This Row],['#_female hygiene promoters]])&gt;WWWW[[#This Row],[Total PoP ]],WWWW[[#This Row],[Total PoP ]],500*(WWWW[[#This Row],['#_male hygiene promoters]]+WWWW[[#This Row],['#_female hygiene promoters]]))</f>
        <v>0</v>
      </c>
      <c r="CV28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2" s="558">
        <f>IF(WWWW[[#This Row],['# People with access to soap]]&gt;WWWW[[#This Row],['# People with access to Sanity Pads]],WWWW[[#This Row],['# People with access to soap]],WWWW[[#This Row],['# People with access to Sanity Pads]])</f>
        <v>0</v>
      </c>
      <c r="CY28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2" s="561">
        <f>IF(WWWW[[#This Row],[HRP3]]/WWWW[[#This Row],[Total PoP ]]&gt;100%,100%,WWWW[[#This Row],[HRP3]]/WWWW[[#This Row],[Total PoP ]])</f>
        <v>0</v>
      </c>
      <c r="DA282" s="560">
        <f>1-WWWW[[#This Row],[Hygiene Coverage%]]</f>
        <v>1</v>
      </c>
      <c r="DB282" s="559">
        <f>WWWW[[#This Row],['# people reached by regular dedicated hygiene promotion_5]]/WWWW[[#This Row],[Total PoP ]]</f>
        <v>0</v>
      </c>
      <c r="DC282" s="559">
        <f>IF(WWWW[[#This Row],['#_households that received standard amount of soap for this quarter]]/WWWW[[#This Row],[Total HH]]&gt;1,1,WWWW[[#This Row],['#_households that received standard amount of soap for this quarter]]/WWWW[[#This Row],[Total HH]])</f>
        <v>0</v>
      </c>
      <c r="DD282" s="559">
        <f>IF(WWWW[[#This Row],['#_households that received standard amount of sanitary pads for this quarter]]/WWWW[[#This Row],[Total HH]]&gt;1,1,WWWW[[#This Row],['#_households that received standard amount of sanitary pads for this quarter]]/WWWW[[#This Row],[Total HH]])</f>
        <v>0</v>
      </c>
      <c r="DE282" s="558">
        <f>WWWW[[#This Row],['#_Constructed/Existing hand washing stations]]-WWWW[[#This Row],['#_Non-Functional_hand_washing_stations]]</f>
        <v>0</v>
      </c>
      <c r="DF282" s="757">
        <f>IF(WWWW[[#This Row],['# Functional hand washing stations during reporting period]]*20&gt;WWWW[[#This Row],[Total HH]],WWWW[[#This Row],[Total HH]],WWWW[[#This Row],['# Functional hand washing stations during reporting period]]*20)</f>
        <v>0</v>
      </c>
      <c r="DG282" s="556">
        <f>IF(WWWW[[#This Row],[Is sufficient soap available for TLS? (Yes/No)]]="yes",WWWW[[#This Row],['#_Constructed/Existing hand washing stations at TLS]],0)</f>
        <v>0</v>
      </c>
      <c r="DH282" s="556">
        <f>IF(WWWW[[#This Row],['# Functional hand washing stations during reporting period]]*100&gt;WWWW[[#This Row],[Total PoP ]],WWWW[[#This Row],[Total PoP ]],WWWW[[#This Row],['# Functional hand washing stations during reporting period]]*100)</f>
        <v>0</v>
      </c>
      <c r="DI282" s="556" t="str">
        <f>IF(OR(WWWW[[#This Row],['#_students at TLS_CFS]]="",WWWW[[#This Row],['#_students at TLS_CFS]]=0),"No","Yes")</f>
        <v>No</v>
      </c>
      <c r="DJ282" s="554">
        <f>VLOOKUP(WWWW[[#This Row],[Site Name]],SiteDB6[[Site Name]:[CCCM Management]],6,FALSE)</f>
        <v>0</v>
      </c>
      <c r="DK282" s="554">
        <f>VLOOKUP(WWWW[[#This Row],[Site Name]],SiteDB6[[Site Name]:[CCCM Focal Agency]],7,FALSE)</f>
        <v>0</v>
      </c>
      <c r="DL282" s="554" t="str">
        <f>VLOOKUP(WWWW[[#This Row],[Site Name]],SiteDB6[[Site Name]:[Location Type 1]],9,FALSE)</f>
        <v>Village</v>
      </c>
      <c r="DM282" s="554" t="str">
        <f>VLOOKUP(WWWW[[#This Row],[Site Name]],SiteDB6[[Site Name]:[Type of Accommodation]],10,FALSE)</f>
        <v>Village</v>
      </c>
      <c r="DN282" s="554">
        <f>VLOOKUP(WWWW[[#This Row],[Site Name]],SiteDB6[[Site Name]:[Ethnic or GCA/NGCA]],11,FALSE)</f>
        <v>0</v>
      </c>
      <c r="DO282" s="554">
        <f>VLOOKUP(WWWW[[#This Row],[Site Name]],SiteDB6[[Site Name]:[Lat]],12,FALSE)</f>
        <v>0</v>
      </c>
      <c r="DP282" s="554">
        <f>VLOOKUP(WWWW[[#This Row],[Site Name]],SiteDB6[[Site Name]:[Long]],13,FALSE)</f>
        <v>0</v>
      </c>
      <c r="DQ282" s="554">
        <f>VLOOKUP(WWWW[[#This Row],[Site Name]],SiteDB6[[Site Name]:[Pcode]],3,FALSE)</f>
        <v>197027</v>
      </c>
      <c r="DR282" s="563" t="str">
        <f t="shared" si="9"/>
        <v>Covered</v>
      </c>
      <c r="DS282" s="563"/>
    </row>
    <row r="283" spans="1:123">
      <c r="A283" s="552" t="s">
        <v>2518</v>
      </c>
      <c r="B283" s="552" t="s">
        <v>332</v>
      </c>
      <c r="C283" s="555" t="s">
        <v>332</v>
      </c>
      <c r="D283" s="555" t="s">
        <v>325</v>
      </c>
      <c r="E283" s="574" t="s">
        <v>3006</v>
      </c>
      <c r="F283" s="555" t="s">
        <v>330</v>
      </c>
      <c r="G283" s="574" t="str">
        <f>VLOOKUP(WWWW[[#This Row],[Site Name]],SiteDB6[[Site Name]:[Location Type]],8,FALSE)</f>
        <v>Village</v>
      </c>
      <c r="H283" s="555" t="s">
        <v>2902</v>
      </c>
      <c r="I283" s="557">
        <v>167</v>
      </c>
      <c r="J283" s="557">
        <v>1027</v>
      </c>
      <c r="K283" s="564">
        <v>42736</v>
      </c>
      <c r="L283" s="565">
        <v>44551</v>
      </c>
      <c r="M283" s="557"/>
      <c r="N283" s="557"/>
      <c r="O283" s="557"/>
      <c r="P283" s="557"/>
      <c r="Q283" s="556"/>
      <c r="R283" s="557"/>
      <c r="S283" s="557"/>
      <c r="T283" s="557"/>
      <c r="U283" s="557"/>
      <c r="V283" s="557"/>
      <c r="W283" s="557"/>
      <c r="X283" s="557"/>
      <c r="Y283" s="557"/>
      <c r="Z283" s="557"/>
      <c r="AA283" s="557"/>
      <c r="AB283" s="557"/>
      <c r="AC283" s="557"/>
      <c r="AD283" s="557"/>
      <c r="AE283" s="557"/>
      <c r="AF283" s="557"/>
      <c r="AG283" s="557"/>
      <c r="AH283" s="557"/>
      <c r="AI283" s="557"/>
      <c r="AJ283" s="557"/>
      <c r="AK283" s="557"/>
      <c r="AL283" s="557"/>
      <c r="AM283" s="557"/>
      <c r="AN283" s="557"/>
      <c r="AO283" s="563"/>
      <c r="AP283" s="557"/>
      <c r="AQ283" s="557"/>
      <c r="AR283" s="559"/>
      <c r="AS283" s="557"/>
      <c r="AT283" s="557"/>
      <c r="AU283" s="557"/>
      <c r="AV283" s="557"/>
      <c r="AW283" s="557"/>
      <c r="AX283" s="554"/>
      <c r="AY283" s="563"/>
      <c r="AZ283" s="557"/>
      <c r="BA283" s="557"/>
      <c r="BB283" s="557"/>
      <c r="BC283" s="554"/>
      <c r="BD283" s="557"/>
      <c r="BE283" s="557"/>
      <c r="BF283" s="557"/>
      <c r="BG283" s="557"/>
      <c r="BH283" s="557"/>
      <c r="BI283" s="557"/>
      <c r="BJ283" s="557"/>
      <c r="BK283" s="557"/>
      <c r="BL283" s="557"/>
      <c r="BM283" s="554"/>
      <c r="BN283" s="558"/>
      <c r="BO283" s="559"/>
      <c r="BP283" s="554"/>
      <c r="BQ283" s="560" t="str">
        <f>IFERROR(WWWW[[#This Row],['#_Water sources treated]]/WWWW[[#This Row],['#_Water sources tested for contamination]],"no test")</f>
        <v>no test</v>
      </c>
      <c r="BR283" s="559" t="str">
        <f>IFERROR(WWWW[[#This Row],['#_Household received remediation action due to contamination]]/WWWW[[#This Row],['#_Household water samples tested for contamination]],"no test")</f>
        <v>no test</v>
      </c>
      <c r="BS283" s="558" t="str">
        <f>IF(AND(WWWW[[#This Row],[% of water sources treated]]="no test",WWWW[[#This Row],[% Household received corrective actions]]="no test"),"No Test","Tested")</f>
        <v>No Test</v>
      </c>
      <c r="BT283" s="558">
        <f>WWWW[[#This Row],['#_Constructed/existing protected hand dug well]]-WWWW[[#This Row],['#_Non-functional protected hand dug well]]</f>
        <v>0</v>
      </c>
      <c r="BU283" s="558">
        <f>(WWWW[[#This Row],['#_Constructed/Existing tube wells/boreholes/handpumps_WASH_agency]]+WWWW[[#This Row],['#_Non-Cluster partner water tube-wells/boreholes/handpumps]])-WWWW[[#This Row],['#_Non-functional tube wells/boreholes/handpumps]]</f>
        <v>0</v>
      </c>
      <c r="BV283" s="558">
        <f>WWWW[[#This Row],['#_Constructed/Existingwater storage tank with gravity fed reticulation system]]-WWWW[[#This Row],['#_Non-functional storage tank gravity fed reticulation system]]</f>
        <v>0</v>
      </c>
      <c r="BW283" s="558">
        <f>WWWW[[#This Row],['#_Water boating or water trucking]]</f>
        <v>0</v>
      </c>
      <c r="BX283" s="558">
        <f>WWWW[[#This Row],['#_Constructed/Existing water distribution system from river or natural spring]]</f>
        <v>0</v>
      </c>
      <c r="BY28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3" s="559">
        <f>IF(WWWW[[#This Row],[Location Type 1]]="Village",WWWW[[#This Row],[Access to safe drinking water for Village]],WWWW[[#This Row],[Access to safe drinking water for Camp]])</f>
        <v>0</v>
      </c>
      <c r="CB283" s="556">
        <f>WWWW[[#This Row],[%Equitable and continuous access to sufficient quantity of safe drinking water]]*WWWW[[#This Row],[Total PoP ]]</f>
        <v>0</v>
      </c>
      <c r="CC283" s="559">
        <f>IF((WWWW[[#This Row],['#_Constructed/Existing protected/fenced ponds]]*250)/WWWW[[#This Row],[Total PoP ]]&gt;1,1,(WWWW[[#This Row],['#_Constructed/Existing protected/fenced ponds]]*250)/WWWW[[#This Row],[Total PoP ]])</f>
        <v>0</v>
      </c>
      <c r="CD283" s="556">
        <f>WWWW[[#This Row],[% Access to unimproved water points]]*WWWW[[#This Row],[Total PoP ]]</f>
        <v>0</v>
      </c>
      <c r="CE28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3" s="556">
        <f>WWWW[[#This Row],[HRP1]]/500</f>
        <v>0</v>
      </c>
      <c r="CH283" s="561">
        <f>1-WWWW[[#This Row],[% Equitable and continuous access to sufficient quantity of domestic water]]</f>
        <v>1</v>
      </c>
      <c r="CI283" s="556">
        <f>WWWW[[#This Row],[%equitable and continuous access to sufficient quantity of safe drinking and domestic water''s GAP]]*WWWW[[#This Row],[Total PoP ]]</f>
        <v>1027</v>
      </c>
      <c r="CJ283" s="558">
        <f>IF(WWWW[[#This Row],[Total required water points]]-WWWW[[#This Row],['#Water points coverage]]&lt;0,0,WWWW[[#This Row],[Total required water points]]-WWWW[[#This Row],['#Water points coverage]])</f>
        <v>2</v>
      </c>
      <c r="CK283" s="558">
        <f>ROUND(IF(WWWW[[#This Row],[Total PoP ]]&lt;500,1,WWWW[[#This Row],[Total PoP ]]/500),0)</f>
        <v>2</v>
      </c>
      <c r="CL283" s="558">
        <f>(WWWW[[#This Row],['#_Constructed latrines_by_WASHAgencies]]+WWWW[[#This Row],['#_Non Cluster partner latrines]])-WWWW[[#This Row],['#_Non-functional latrines]]</f>
        <v>0</v>
      </c>
      <c r="CM28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3" s="558" t="str">
        <f>IF(WWWW[[#This Row],[Location Type 1]]="Village","NA",IF(WWWW[[#This Row],['#_Constructed/Existing latrines in TLS]]*50&gt;WWWW[[#This Row],['#_students at TLS_CFS]],WWWW[[#This Row],['#_students at TLS_CFS]],(WWWW[[#This Row],['#_Constructed/Existing latrines in TLS]]*50)))</f>
        <v>NA</v>
      </c>
      <c r="CQ283" s="558">
        <f>ROUND(IF(WWWW[[#This Row],[Location Type 1]]="camp",WWWW[[#This Row],[Total PoP ]]/20,IF(WWWW[[#This Row],[Location Type 1]]="Temporary Location",WWWW[[#This Row],[Total PoP ]]/50,(WWWW[[#This Row],[Total PoP ]]/6))),0)</f>
        <v>171</v>
      </c>
      <c r="CR283" s="558">
        <f>IF(WWWW[[#This Row],[Total required Latrines]]-(WWWW[[#This Row],['#_Constructed latrines_by_WASHAgencies]]+WWWW[[#This Row],['#_Non Cluster partner latrines]])&lt;0,0,WWWW[[#This Row],[Total required Latrines]]-(WWWW[[#This Row],['#_Constructed latrines_by_WASHAgencies]]+WWWW[[#This Row],['#_Non Cluster partner latrines]]))</f>
        <v>171</v>
      </c>
      <c r="CS283" s="78">
        <f>1-WWWW[[#This Row],[% people access to functioning Latrine]]</f>
        <v>1</v>
      </c>
      <c r="CT283" s="560">
        <f>IF(OR(WWWW[[#This Row],['#_Non-functional latrines]]="",WWWW[[#This Row],['#_Non-functional latrines]]=0),0,WWWW[[#This Row],['#_Non-functional latrines]]/(WWWW[[#This Row],['#_Constructed latrines_by_WASHAgencies]]+WWWW[[#This Row],['#_Non Cluster partner latrines]]))</f>
        <v>0</v>
      </c>
      <c r="CU283" s="556">
        <f>IF(500*(WWWW[[#This Row],['#_male hygiene promoters]]+WWWW[[#This Row],['#_female hygiene promoters]])&gt;WWWW[[#This Row],[Total PoP ]],WWWW[[#This Row],[Total PoP ]],500*(WWWW[[#This Row],['#_male hygiene promoters]]+WWWW[[#This Row],['#_female hygiene promoters]]))</f>
        <v>0</v>
      </c>
      <c r="CV28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3" s="558">
        <f>IF(WWWW[[#This Row],['# People with access to soap]]&gt;WWWW[[#This Row],['# People with access to Sanity Pads]],WWWW[[#This Row],['# People with access to soap]],WWWW[[#This Row],['# People with access to Sanity Pads]])</f>
        <v>0</v>
      </c>
      <c r="CY28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3" s="561">
        <f>IF(WWWW[[#This Row],[HRP3]]/WWWW[[#This Row],[Total PoP ]]&gt;100%,100%,WWWW[[#This Row],[HRP3]]/WWWW[[#This Row],[Total PoP ]])</f>
        <v>0</v>
      </c>
      <c r="DA283" s="560">
        <f>1-WWWW[[#This Row],[Hygiene Coverage%]]</f>
        <v>1</v>
      </c>
      <c r="DB283" s="559">
        <f>WWWW[[#This Row],['# people reached by regular dedicated hygiene promotion_5]]/WWWW[[#This Row],[Total PoP ]]</f>
        <v>0</v>
      </c>
      <c r="DC283" s="559">
        <f>IF(WWWW[[#This Row],['#_households that received standard amount of soap for this quarter]]/WWWW[[#This Row],[Total HH]]&gt;1,1,WWWW[[#This Row],['#_households that received standard amount of soap for this quarter]]/WWWW[[#This Row],[Total HH]])</f>
        <v>0</v>
      </c>
      <c r="DD283" s="559">
        <f>IF(WWWW[[#This Row],['#_households that received standard amount of sanitary pads for this quarter]]/WWWW[[#This Row],[Total HH]]&gt;1,1,WWWW[[#This Row],['#_households that received standard amount of sanitary pads for this quarter]]/WWWW[[#This Row],[Total HH]])</f>
        <v>0</v>
      </c>
      <c r="DE283" s="558">
        <f>WWWW[[#This Row],['#_Constructed/Existing hand washing stations]]-WWWW[[#This Row],['#_Non-Functional_hand_washing_stations]]</f>
        <v>0</v>
      </c>
      <c r="DF283" s="757">
        <f>IF(WWWW[[#This Row],['# Functional hand washing stations during reporting period]]*20&gt;WWWW[[#This Row],[Total HH]],WWWW[[#This Row],[Total HH]],WWWW[[#This Row],['# Functional hand washing stations during reporting period]]*20)</f>
        <v>0</v>
      </c>
      <c r="DG283" s="556">
        <f>IF(WWWW[[#This Row],[Is sufficient soap available for TLS? (Yes/No)]]="yes",WWWW[[#This Row],['#_Constructed/Existing hand washing stations at TLS]],0)</f>
        <v>0</v>
      </c>
      <c r="DH283" s="556">
        <f>IF(WWWW[[#This Row],['# Functional hand washing stations during reporting period]]*100&gt;WWWW[[#This Row],[Total PoP ]],WWWW[[#This Row],[Total PoP ]],WWWW[[#This Row],['# Functional hand washing stations during reporting period]]*100)</f>
        <v>0</v>
      </c>
      <c r="DI283" s="556" t="str">
        <f>IF(OR(WWWW[[#This Row],['#_students at TLS_CFS]]="",WWWW[[#This Row],['#_students at TLS_CFS]]=0),"No","Yes")</f>
        <v>No</v>
      </c>
      <c r="DJ283" s="554">
        <f>VLOOKUP(WWWW[[#This Row],[Site Name]],SiteDB6[[Site Name]:[CCCM Management]],6,FALSE)</f>
        <v>0</v>
      </c>
      <c r="DK283" s="554">
        <f>VLOOKUP(WWWW[[#This Row],[Site Name]],SiteDB6[[Site Name]:[CCCM Focal Agency]],7,FALSE)</f>
        <v>0</v>
      </c>
      <c r="DL283" s="554" t="str">
        <f>VLOOKUP(WWWW[[#This Row],[Site Name]],SiteDB6[[Site Name]:[Location Type 1]],9,FALSE)</f>
        <v>Village</v>
      </c>
      <c r="DM283" s="554" t="str">
        <f>VLOOKUP(WWWW[[#This Row],[Site Name]],SiteDB6[[Site Name]:[Type of Accommodation]],10,FALSE)</f>
        <v>Village</v>
      </c>
      <c r="DN283" s="554">
        <f>VLOOKUP(WWWW[[#This Row],[Site Name]],SiteDB6[[Site Name]:[Ethnic or GCA/NGCA]],11,FALSE)</f>
        <v>0</v>
      </c>
      <c r="DO283" s="554">
        <f>VLOOKUP(WWWW[[#This Row],[Site Name]],SiteDB6[[Site Name]:[Lat]],12,FALSE)</f>
        <v>0</v>
      </c>
      <c r="DP283" s="554">
        <f>VLOOKUP(WWWW[[#This Row],[Site Name]],SiteDB6[[Site Name]:[Long]],13,FALSE)</f>
        <v>0</v>
      </c>
      <c r="DQ283" s="554">
        <f>VLOOKUP(WWWW[[#This Row],[Site Name]],SiteDB6[[Site Name]:[Pcode]],3,FALSE)</f>
        <v>197028</v>
      </c>
      <c r="DR283" s="563" t="str">
        <f t="shared" si="9"/>
        <v>Covered</v>
      </c>
      <c r="DS283" s="563"/>
    </row>
    <row r="284" spans="1:123">
      <c r="A284" s="552" t="s">
        <v>2518</v>
      </c>
      <c r="B284" s="552" t="s">
        <v>332</v>
      </c>
      <c r="C284" s="555" t="s">
        <v>332</v>
      </c>
      <c r="D284" s="555" t="s">
        <v>325</v>
      </c>
      <c r="E284" s="574" t="s">
        <v>3006</v>
      </c>
      <c r="F284" s="555" t="s">
        <v>330</v>
      </c>
      <c r="G284" s="574" t="str">
        <f>VLOOKUP(WWWW[[#This Row],[Site Name]],SiteDB6[[Site Name]:[Location Type]],8,FALSE)</f>
        <v>Village</v>
      </c>
      <c r="H284" s="555" t="s">
        <v>2903</v>
      </c>
      <c r="I284" s="557">
        <v>90</v>
      </c>
      <c r="J284" s="557">
        <v>414</v>
      </c>
      <c r="K284" s="564">
        <v>42736</v>
      </c>
      <c r="L284" s="565">
        <v>44551</v>
      </c>
      <c r="M284" s="557"/>
      <c r="N284" s="557"/>
      <c r="O284" s="557"/>
      <c r="P284" s="557"/>
      <c r="Q284" s="556"/>
      <c r="R284" s="557"/>
      <c r="S284" s="557"/>
      <c r="T284" s="557"/>
      <c r="U284" s="557"/>
      <c r="V284" s="557"/>
      <c r="W284" s="557"/>
      <c r="X284" s="557"/>
      <c r="Y284" s="557"/>
      <c r="Z284" s="557"/>
      <c r="AA284" s="557"/>
      <c r="AB284" s="557"/>
      <c r="AC284" s="557"/>
      <c r="AD284" s="557"/>
      <c r="AE284" s="557"/>
      <c r="AF284" s="557"/>
      <c r="AG284" s="557"/>
      <c r="AH284" s="557"/>
      <c r="AI284" s="557"/>
      <c r="AJ284" s="557"/>
      <c r="AK284" s="557"/>
      <c r="AL284" s="557"/>
      <c r="AM284" s="557"/>
      <c r="AN284" s="557"/>
      <c r="AO284" s="563"/>
      <c r="AP284" s="557"/>
      <c r="AQ284" s="557"/>
      <c r="AR284" s="559"/>
      <c r="AS284" s="557"/>
      <c r="AT284" s="557"/>
      <c r="AU284" s="557"/>
      <c r="AV284" s="557"/>
      <c r="AW284" s="557"/>
      <c r="AX284" s="554"/>
      <c r="AY284" s="563"/>
      <c r="AZ284" s="557"/>
      <c r="BA284" s="557"/>
      <c r="BB284" s="557"/>
      <c r="BC284" s="554"/>
      <c r="BD284" s="557"/>
      <c r="BE284" s="557"/>
      <c r="BF284" s="557"/>
      <c r="BG284" s="557"/>
      <c r="BH284" s="557"/>
      <c r="BI284" s="557"/>
      <c r="BJ284" s="557"/>
      <c r="BK284" s="557"/>
      <c r="BL284" s="557"/>
      <c r="BM284" s="554"/>
      <c r="BN284" s="558"/>
      <c r="BO284" s="559"/>
      <c r="BP284" s="554"/>
      <c r="BQ284" s="560" t="str">
        <f>IFERROR(WWWW[[#This Row],['#_Water sources treated]]/WWWW[[#This Row],['#_Water sources tested for contamination]],"no test")</f>
        <v>no test</v>
      </c>
      <c r="BR284" s="559" t="str">
        <f>IFERROR(WWWW[[#This Row],['#_Household received remediation action due to contamination]]/WWWW[[#This Row],['#_Household water samples tested for contamination]],"no test")</f>
        <v>no test</v>
      </c>
      <c r="BS284" s="558" t="str">
        <f>IF(AND(WWWW[[#This Row],[% of water sources treated]]="no test",WWWW[[#This Row],[% Household received corrective actions]]="no test"),"No Test","Tested")</f>
        <v>No Test</v>
      </c>
      <c r="BT284" s="558">
        <f>WWWW[[#This Row],['#_Constructed/existing protected hand dug well]]-WWWW[[#This Row],['#_Non-functional protected hand dug well]]</f>
        <v>0</v>
      </c>
      <c r="BU284" s="558">
        <f>(WWWW[[#This Row],['#_Constructed/Existing tube wells/boreholes/handpumps_WASH_agency]]+WWWW[[#This Row],['#_Non-Cluster partner water tube-wells/boreholes/handpumps]])-WWWW[[#This Row],['#_Non-functional tube wells/boreholes/handpumps]]</f>
        <v>0</v>
      </c>
      <c r="BV284" s="558">
        <f>WWWW[[#This Row],['#_Constructed/Existingwater storage tank with gravity fed reticulation system]]-WWWW[[#This Row],['#_Non-functional storage tank gravity fed reticulation system]]</f>
        <v>0</v>
      </c>
      <c r="BW284" s="558">
        <f>WWWW[[#This Row],['#_Water boating or water trucking]]</f>
        <v>0</v>
      </c>
      <c r="BX284" s="558">
        <f>WWWW[[#This Row],['#_Constructed/Existing water distribution system from river or natural spring]]</f>
        <v>0</v>
      </c>
      <c r="BY28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4" s="559">
        <f>IF(WWWW[[#This Row],[Location Type 1]]="Village",WWWW[[#This Row],[Access to safe drinking water for Village]],WWWW[[#This Row],[Access to safe drinking water for Camp]])</f>
        <v>0</v>
      </c>
      <c r="CB284" s="556">
        <f>WWWW[[#This Row],[%Equitable and continuous access to sufficient quantity of safe drinking water]]*WWWW[[#This Row],[Total PoP ]]</f>
        <v>0</v>
      </c>
      <c r="CC284" s="559">
        <f>IF((WWWW[[#This Row],['#_Constructed/Existing protected/fenced ponds]]*250)/WWWW[[#This Row],[Total PoP ]]&gt;1,1,(WWWW[[#This Row],['#_Constructed/Existing protected/fenced ponds]]*250)/WWWW[[#This Row],[Total PoP ]])</f>
        <v>0</v>
      </c>
      <c r="CD284" s="556">
        <f>WWWW[[#This Row],[% Access to unimproved water points]]*WWWW[[#This Row],[Total PoP ]]</f>
        <v>0</v>
      </c>
      <c r="CE28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4" s="556">
        <f>WWWW[[#This Row],[HRP1]]/500</f>
        <v>0</v>
      </c>
      <c r="CH284" s="561">
        <f>1-WWWW[[#This Row],[% Equitable and continuous access to sufficient quantity of domestic water]]</f>
        <v>1</v>
      </c>
      <c r="CI284" s="556">
        <f>WWWW[[#This Row],[%equitable and continuous access to sufficient quantity of safe drinking and domestic water''s GAP]]*WWWW[[#This Row],[Total PoP ]]</f>
        <v>414</v>
      </c>
      <c r="CJ284" s="558">
        <f>IF(WWWW[[#This Row],[Total required water points]]-WWWW[[#This Row],['#Water points coverage]]&lt;0,0,WWWW[[#This Row],[Total required water points]]-WWWW[[#This Row],['#Water points coverage]])</f>
        <v>1</v>
      </c>
      <c r="CK284" s="558">
        <f>ROUND(IF(WWWW[[#This Row],[Total PoP ]]&lt;500,1,WWWW[[#This Row],[Total PoP ]]/500),0)</f>
        <v>1</v>
      </c>
      <c r="CL284" s="558">
        <f>(WWWW[[#This Row],['#_Constructed latrines_by_WASHAgencies]]+WWWW[[#This Row],['#_Non Cluster partner latrines]])-WWWW[[#This Row],['#_Non-functional latrines]]</f>
        <v>0</v>
      </c>
      <c r="CM28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4" s="558" t="str">
        <f>IF(WWWW[[#This Row],[Location Type 1]]="Village","NA",IF(WWWW[[#This Row],['#_Constructed/Existing latrines in TLS]]*50&gt;WWWW[[#This Row],['#_students at TLS_CFS]],WWWW[[#This Row],['#_students at TLS_CFS]],(WWWW[[#This Row],['#_Constructed/Existing latrines in TLS]]*50)))</f>
        <v>NA</v>
      </c>
      <c r="CQ284" s="558">
        <f>ROUND(IF(WWWW[[#This Row],[Location Type 1]]="camp",WWWW[[#This Row],[Total PoP ]]/20,IF(WWWW[[#This Row],[Location Type 1]]="Temporary Location",WWWW[[#This Row],[Total PoP ]]/50,(WWWW[[#This Row],[Total PoP ]]/6))),0)</f>
        <v>69</v>
      </c>
      <c r="CR284" s="558">
        <f>IF(WWWW[[#This Row],[Total required Latrines]]-(WWWW[[#This Row],['#_Constructed latrines_by_WASHAgencies]]+WWWW[[#This Row],['#_Non Cluster partner latrines]])&lt;0,0,WWWW[[#This Row],[Total required Latrines]]-(WWWW[[#This Row],['#_Constructed latrines_by_WASHAgencies]]+WWWW[[#This Row],['#_Non Cluster partner latrines]]))</f>
        <v>69</v>
      </c>
      <c r="CS284" s="78">
        <f>1-WWWW[[#This Row],[% people access to functioning Latrine]]</f>
        <v>1</v>
      </c>
      <c r="CT284" s="560">
        <f>IF(OR(WWWW[[#This Row],['#_Non-functional latrines]]="",WWWW[[#This Row],['#_Non-functional latrines]]=0),0,WWWW[[#This Row],['#_Non-functional latrines]]/(WWWW[[#This Row],['#_Constructed latrines_by_WASHAgencies]]+WWWW[[#This Row],['#_Non Cluster partner latrines]]))</f>
        <v>0</v>
      </c>
      <c r="CU284" s="556">
        <f>IF(500*(WWWW[[#This Row],['#_male hygiene promoters]]+WWWW[[#This Row],['#_female hygiene promoters]])&gt;WWWW[[#This Row],[Total PoP ]],WWWW[[#This Row],[Total PoP ]],500*(WWWW[[#This Row],['#_male hygiene promoters]]+WWWW[[#This Row],['#_female hygiene promoters]]))</f>
        <v>0</v>
      </c>
      <c r="CV28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4" s="558">
        <f>IF(WWWW[[#This Row],['# People with access to soap]]&gt;WWWW[[#This Row],['# People with access to Sanity Pads]],WWWW[[#This Row],['# People with access to soap]],WWWW[[#This Row],['# People with access to Sanity Pads]])</f>
        <v>0</v>
      </c>
      <c r="CY28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4" s="561">
        <f>IF(WWWW[[#This Row],[HRP3]]/WWWW[[#This Row],[Total PoP ]]&gt;100%,100%,WWWW[[#This Row],[HRP3]]/WWWW[[#This Row],[Total PoP ]])</f>
        <v>0</v>
      </c>
      <c r="DA284" s="560">
        <f>1-WWWW[[#This Row],[Hygiene Coverage%]]</f>
        <v>1</v>
      </c>
      <c r="DB284" s="559">
        <f>WWWW[[#This Row],['# people reached by regular dedicated hygiene promotion_5]]/WWWW[[#This Row],[Total PoP ]]</f>
        <v>0</v>
      </c>
      <c r="DC284" s="559">
        <f>IF(WWWW[[#This Row],['#_households that received standard amount of soap for this quarter]]/WWWW[[#This Row],[Total HH]]&gt;1,1,WWWW[[#This Row],['#_households that received standard amount of soap for this quarter]]/WWWW[[#This Row],[Total HH]])</f>
        <v>0</v>
      </c>
      <c r="DD284" s="559">
        <f>IF(WWWW[[#This Row],['#_households that received standard amount of sanitary pads for this quarter]]/WWWW[[#This Row],[Total HH]]&gt;1,1,WWWW[[#This Row],['#_households that received standard amount of sanitary pads for this quarter]]/WWWW[[#This Row],[Total HH]])</f>
        <v>0</v>
      </c>
      <c r="DE284" s="558">
        <f>WWWW[[#This Row],['#_Constructed/Existing hand washing stations]]-WWWW[[#This Row],['#_Non-Functional_hand_washing_stations]]</f>
        <v>0</v>
      </c>
      <c r="DF284" s="757">
        <f>IF(WWWW[[#This Row],['# Functional hand washing stations during reporting period]]*20&gt;WWWW[[#This Row],[Total HH]],WWWW[[#This Row],[Total HH]],WWWW[[#This Row],['# Functional hand washing stations during reporting period]]*20)</f>
        <v>0</v>
      </c>
      <c r="DG284" s="556">
        <f>IF(WWWW[[#This Row],[Is sufficient soap available for TLS? (Yes/No)]]="yes",WWWW[[#This Row],['#_Constructed/Existing hand washing stations at TLS]],0)</f>
        <v>0</v>
      </c>
      <c r="DH284" s="556">
        <f>IF(WWWW[[#This Row],['# Functional hand washing stations during reporting period]]*100&gt;WWWW[[#This Row],[Total PoP ]],WWWW[[#This Row],[Total PoP ]],WWWW[[#This Row],['# Functional hand washing stations during reporting period]]*100)</f>
        <v>0</v>
      </c>
      <c r="DI284" s="556" t="str">
        <f>IF(OR(WWWW[[#This Row],['#_students at TLS_CFS]]="",WWWW[[#This Row],['#_students at TLS_CFS]]=0),"No","Yes")</f>
        <v>No</v>
      </c>
      <c r="DJ284" s="554">
        <f>VLOOKUP(WWWW[[#This Row],[Site Name]],SiteDB6[[Site Name]:[CCCM Management]],6,FALSE)</f>
        <v>0</v>
      </c>
      <c r="DK284" s="554">
        <f>VLOOKUP(WWWW[[#This Row],[Site Name]],SiteDB6[[Site Name]:[CCCM Focal Agency]],7,FALSE)</f>
        <v>0</v>
      </c>
      <c r="DL284" s="554" t="str">
        <f>VLOOKUP(WWWW[[#This Row],[Site Name]],SiteDB6[[Site Name]:[Location Type 1]],9,FALSE)</f>
        <v>Village</v>
      </c>
      <c r="DM284" s="554" t="str">
        <f>VLOOKUP(WWWW[[#This Row],[Site Name]],SiteDB6[[Site Name]:[Type of Accommodation]],10,FALSE)</f>
        <v>Village</v>
      </c>
      <c r="DN284" s="554">
        <f>VLOOKUP(WWWW[[#This Row],[Site Name]],SiteDB6[[Site Name]:[Ethnic or GCA/NGCA]],11,FALSE)</f>
        <v>0</v>
      </c>
      <c r="DO284" s="554">
        <f>VLOOKUP(WWWW[[#This Row],[Site Name]],SiteDB6[[Site Name]:[Lat]],12,FALSE)</f>
        <v>0</v>
      </c>
      <c r="DP284" s="554">
        <f>VLOOKUP(WWWW[[#This Row],[Site Name]],SiteDB6[[Site Name]:[Long]],13,FALSE)</f>
        <v>0</v>
      </c>
      <c r="DQ284" s="554">
        <f>VLOOKUP(WWWW[[#This Row],[Site Name]],SiteDB6[[Site Name]:[Pcode]],3,FALSE)</f>
        <v>197034</v>
      </c>
      <c r="DR284" s="563" t="str">
        <f t="shared" si="9"/>
        <v>Covered</v>
      </c>
      <c r="DS284" s="563"/>
    </row>
    <row r="285" spans="1:123">
      <c r="A285" s="552" t="s">
        <v>2518</v>
      </c>
      <c r="B285" s="552" t="s">
        <v>332</v>
      </c>
      <c r="C285" s="555" t="s">
        <v>332</v>
      </c>
      <c r="D285" s="555" t="s">
        <v>325</v>
      </c>
      <c r="E285" s="574" t="s">
        <v>3006</v>
      </c>
      <c r="F285" s="555" t="s">
        <v>330</v>
      </c>
      <c r="G285" s="574" t="str">
        <f>VLOOKUP(WWWW[[#This Row],[Site Name]],SiteDB6[[Site Name]:[Location Type]],8,FALSE)</f>
        <v>Village</v>
      </c>
      <c r="H285" s="555" t="s">
        <v>2904</v>
      </c>
      <c r="I285" s="557">
        <v>78</v>
      </c>
      <c r="J285" s="557">
        <v>308</v>
      </c>
      <c r="K285" s="564">
        <v>42736</v>
      </c>
      <c r="L285" s="565">
        <v>44551</v>
      </c>
      <c r="M285" s="557"/>
      <c r="N285" s="557"/>
      <c r="O285" s="557"/>
      <c r="P285" s="557"/>
      <c r="Q285" s="556"/>
      <c r="R285" s="557"/>
      <c r="S285" s="557"/>
      <c r="T285" s="557"/>
      <c r="U285" s="557"/>
      <c r="V285" s="557"/>
      <c r="W285" s="557"/>
      <c r="X285" s="557"/>
      <c r="Y285" s="557"/>
      <c r="Z285" s="557"/>
      <c r="AA285" s="557"/>
      <c r="AB285" s="557"/>
      <c r="AC285" s="557"/>
      <c r="AD285" s="557"/>
      <c r="AE285" s="557"/>
      <c r="AF285" s="557"/>
      <c r="AG285" s="557"/>
      <c r="AH285" s="557"/>
      <c r="AI285" s="557"/>
      <c r="AJ285" s="557"/>
      <c r="AK285" s="557"/>
      <c r="AL285" s="557"/>
      <c r="AM285" s="557"/>
      <c r="AN285" s="557"/>
      <c r="AO285" s="563"/>
      <c r="AP285" s="557"/>
      <c r="AQ285" s="557"/>
      <c r="AR285" s="559"/>
      <c r="AS285" s="557"/>
      <c r="AT285" s="557"/>
      <c r="AU285" s="557"/>
      <c r="AV285" s="557"/>
      <c r="AW285" s="557"/>
      <c r="AX285" s="554"/>
      <c r="AY285" s="563"/>
      <c r="AZ285" s="557"/>
      <c r="BA285" s="557"/>
      <c r="BB285" s="557"/>
      <c r="BC285" s="554"/>
      <c r="BD285" s="557"/>
      <c r="BE285" s="557"/>
      <c r="BF285" s="557"/>
      <c r="BG285" s="557"/>
      <c r="BH285" s="557"/>
      <c r="BI285" s="557"/>
      <c r="BJ285" s="557"/>
      <c r="BK285" s="557"/>
      <c r="BL285" s="557"/>
      <c r="BM285" s="554"/>
      <c r="BN285" s="558"/>
      <c r="BO285" s="559"/>
      <c r="BP285" s="554"/>
      <c r="BQ285" s="560" t="str">
        <f>IFERROR(WWWW[[#This Row],['#_Water sources treated]]/WWWW[[#This Row],['#_Water sources tested for contamination]],"no test")</f>
        <v>no test</v>
      </c>
      <c r="BR285" s="559" t="str">
        <f>IFERROR(WWWW[[#This Row],['#_Household received remediation action due to contamination]]/WWWW[[#This Row],['#_Household water samples tested for contamination]],"no test")</f>
        <v>no test</v>
      </c>
      <c r="BS285" s="558" t="str">
        <f>IF(AND(WWWW[[#This Row],[% of water sources treated]]="no test",WWWW[[#This Row],[% Household received corrective actions]]="no test"),"No Test","Tested")</f>
        <v>No Test</v>
      </c>
      <c r="BT285" s="558">
        <f>WWWW[[#This Row],['#_Constructed/existing protected hand dug well]]-WWWW[[#This Row],['#_Non-functional protected hand dug well]]</f>
        <v>0</v>
      </c>
      <c r="BU285" s="558">
        <f>(WWWW[[#This Row],['#_Constructed/Existing tube wells/boreholes/handpumps_WASH_agency]]+WWWW[[#This Row],['#_Non-Cluster partner water tube-wells/boreholes/handpumps]])-WWWW[[#This Row],['#_Non-functional tube wells/boreholes/handpumps]]</f>
        <v>0</v>
      </c>
      <c r="BV285" s="558">
        <f>WWWW[[#This Row],['#_Constructed/Existingwater storage tank with gravity fed reticulation system]]-WWWW[[#This Row],['#_Non-functional storage tank gravity fed reticulation system]]</f>
        <v>0</v>
      </c>
      <c r="BW285" s="558">
        <f>WWWW[[#This Row],['#_Water boating or water trucking]]</f>
        <v>0</v>
      </c>
      <c r="BX285" s="558">
        <f>WWWW[[#This Row],['#_Constructed/Existing water distribution system from river or natural spring]]</f>
        <v>0</v>
      </c>
      <c r="BY28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5" s="559">
        <f>IF(WWWW[[#This Row],[Location Type 1]]="Village",WWWW[[#This Row],[Access to safe drinking water for Village]],WWWW[[#This Row],[Access to safe drinking water for Camp]])</f>
        <v>0</v>
      </c>
      <c r="CB285" s="556">
        <f>WWWW[[#This Row],[%Equitable and continuous access to sufficient quantity of safe drinking water]]*WWWW[[#This Row],[Total PoP ]]</f>
        <v>0</v>
      </c>
      <c r="CC285" s="559">
        <f>IF((WWWW[[#This Row],['#_Constructed/Existing protected/fenced ponds]]*250)/WWWW[[#This Row],[Total PoP ]]&gt;1,1,(WWWW[[#This Row],['#_Constructed/Existing protected/fenced ponds]]*250)/WWWW[[#This Row],[Total PoP ]])</f>
        <v>0</v>
      </c>
      <c r="CD285" s="556">
        <f>WWWW[[#This Row],[% Access to unimproved water points]]*WWWW[[#This Row],[Total PoP ]]</f>
        <v>0</v>
      </c>
      <c r="CE28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5" s="556">
        <f>WWWW[[#This Row],[HRP1]]/500</f>
        <v>0</v>
      </c>
      <c r="CH285" s="561">
        <f>1-WWWW[[#This Row],[% Equitable and continuous access to sufficient quantity of domestic water]]</f>
        <v>1</v>
      </c>
      <c r="CI285" s="556">
        <f>WWWW[[#This Row],[%equitable and continuous access to sufficient quantity of safe drinking and domestic water''s GAP]]*WWWW[[#This Row],[Total PoP ]]</f>
        <v>308</v>
      </c>
      <c r="CJ285" s="558">
        <f>IF(WWWW[[#This Row],[Total required water points]]-WWWW[[#This Row],['#Water points coverage]]&lt;0,0,WWWW[[#This Row],[Total required water points]]-WWWW[[#This Row],['#Water points coverage]])</f>
        <v>1</v>
      </c>
      <c r="CK285" s="558">
        <f>ROUND(IF(WWWW[[#This Row],[Total PoP ]]&lt;500,1,WWWW[[#This Row],[Total PoP ]]/500),0)</f>
        <v>1</v>
      </c>
      <c r="CL285" s="558">
        <f>(WWWW[[#This Row],['#_Constructed latrines_by_WASHAgencies]]+WWWW[[#This Row],['#_Non Cluster partner latrines]])-WWWW[[#This Row],['#_Non-functional latrines]]</f>
        <v>0</v>
      </c>
      <c r="CM28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5" s="558" t="str">
        <f>IF(WWWW[[#This Row],[Location Type 1]]="Village","NA",IF(WWWW[[#This Row],['#_Constructed/Existing latrines in TLS]]*50&gt;WWWW[[#This Row],['#_students at TLS_CFS]],WWWW[[#This Row],['#_students at TLS_CFS]],(WWWW[[#This Row],['#_Constructed/Existing latrines in TLS]]*50)))</f>
        <v>NA</v>
      </c>
      <c r="CQ285" s="558">
        <f>ROUND(IF(WWWW[[#This Row],[Location Type 1]]="camp",WWWW[[#This Row],[Total PoP ]]/20,IF(WWWW[[#This Row],[Location Type 1]]="Temporary Location",WWWW[[#This Row],[Total PoP ]]/50,(WWWW[[#This Row],[Total PoP ]]/6))),0)</f>
        <v>51</v>
      </c>
      <c r="CR285" s="558">
        <f>IF(WWWW[[#This Row],[Total required Latrines]]-(WWWW[[#This Row],['#_Constructed latrines_by_WASHAgencies]]+WWWW[[#This Row],['#_Non Cluster partner latrines]])&lt;0,0,WWWW[[#This Row],[Total required Latrines]]-(WWWW[[#This Row],['#_Constructed latrines_by_WASHAgencies]]+WWWW[[#This Row],['#_Non Cluster partner latrines]]))</f>
        <v>51</v>
      </c>
      <c r="CS285" s="78">
        <f>1-WWWW[[#This Row],[% people access to functioning Latrine]]</f>
        <v>1</v>
      </c>
      <c r="CT285" s="560">
        <f>IF(OR(WWWW[[#This Row],['#_Non-functional latrines]]="",WWWW[[#This Row],['#_Non-functional latrines]]=0),0,WWWW[[#This Row],['#_Non-functional latrines]]/(WWWW[[#This Row],['#_Constructed latrines_by_WASHAgencies]]+WWWW[[#This Row],['#_Non Cluster partner latrines]]))</f>
        <v>0</v>
      </c>
      <c r="CU285" s="556">
        <f>IF(500*(WWWW[[#This Row],['#_male hygiene promoters]]+WWWW[[#This Row],['#_female hygiene promoters]])&gt;WWWW[[#This Row],[Total PoP ]],WWWW[[#This Row],[Total PoP ]],500*(WWWW[[#This Row],['#_male hygiene promoters]]+WWWW[[#This Row],['#_female hygiene promoters]]))</f>
        <v>0</v>
      </c>
      <c r="CV28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5" s="558">
        <f>IF(WWWW[[#This Row],['# People with access to soap]]&gt;WWWW[[#This Row],['# People with access to Sanity Pads]],WWWW[[#This Row],['# People with access to soap]],WWWW[[#This Row],['# People with access to Sanity Pads]])</f>
        <v>0</v>
      </c>
      <c r="CY28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5" s="561">
        <f>IF(WWWW[[#This Row],[HRP3]]/WWWW[[#This Row],[Total PoP ]]&gt;100%,100%,WWWW[[#This Row],[HRP3]]/WWWW[[#This Row],[Total PoP ]])</f>
        <v>0</v>
      </c>
      <c r="DA285" s="560">
        <f>1-WWWW[[#This Row],[Hygiene Coverage%]]</f>
        <v>1</v>
      </c>
      <c r="DB285" s="559">
        <f>WWWW[[#This Row],['# people reached by regular dedicated hygiene promotion_5]]/WWWW[[#This Row],[Total PoP ]]</f>
        <v>0</v>
      </c>
      <c r="DC285" s="559">
        <f>IF(WWWW[[#This Row],['#_households that received standard amount of soap for this quarter]]/WWWW[[#This Row],[Total HH]]&gt;1,1,WWWW[[#This Row],['#_households that received standard amount of soap for this quarter]]/WWWW[[#This Row],[Total HH]])</f>
        <v>0</v>
      </c>
      <c r="DD285" s="559">
        <f>IF(WWWW[[#This Row],['#_households that received standard amount of sanitary pads for this quarter]]/WWWW[[#This Row],[Total HH]]&gt;1,1,WWWW[[#This Row],['#_households that received standard amount of sanitary pads for this quarter]]/WWWW[[#This Row],[Total HH]])</f>
        <v>0</v>
      </c>
      <c r="DE285" s="558">
        <f>WWWW[[#This Row],['#_Constructed/Existing hand washing stations]]-WWWW[[#This Row],['#_Non-Functional_hand_washing_stations]]</f>
        <v>0</v>
      </c>
      <c r="DF285" s="757">
        <f>IF(WWWW[[#This Row],['# Functional hand washing stations during reporting period]]*20&gt;WWWW[[#This Row],[Total HH]],WWWW[[#This Row],[Total HH]],WWWW[[#This Row],['# Functional hand washing stations during reporting period]]*20)</f>
        <v>0</v>
      </c>
      <c r="DG285" s="556">
        <f>IF(WWWW[[#This Row],[Is sufficient soap available for TLS? (Yes/No)]]="yes",WWWW[[#This Row],['#_Constructed/Existing hand washing stations at TLS]],0)</f>
        <v>0</v>
      </c>
      <c r="DH285" s="556">
        <f>IF(WWWW[[#This Row],['# Functional hand washing stations during reporting period]]*100&gt;WWWW[[#This Row],[Total PoP ]],WWWW[[#This Row],[Total PoP ]],WWWW[[#This Row],['# Functional hand washing stations during reporting period]]*100)</f>
        <v>0</v>
      </c>
      <c r="DI285" s="556" t="str">
        <f>IF(OR(WWWW[[#This Row],['#_students at TLS_CFS]]="",WWWW[[#This Row],['#_students at TLS_CFS]]=0),"No","Yes")</f>
        <v>No</v>
      </c>
      <c r="DJ285" s="554">
        <f>VLOOKUP(WWWW[[#This Row],[Site Name]],SiteDB6[[Site Name]:[CCCM Management]],6,FALSE)</f>
        <v>0</v>
      </c>
      <c r="DK285" s="554">
        <f>VLOOKUP(WWWW[[#This Row],[Site Name]],SiteDB6[[Site Name]:[CCCM Focal Agency]],7,FALSE)</f>
        <v>0</v>
      </c>
      <c r="DL285" s="554" t="str">
        <f>VLOOKUP(WWWW[[#This Row],[Site Name]],SiteDB6[[Site Name]:[Location Type 1]],9,FALSE)</f>
        <v>Village</v>
      </c>
      <c r="DM285" s="554" t="str">
        <f>VLOOKUP(WWWW[[#This Row],[Site Name]],SiteDB6[[Site Name]:[Type of Accommodation]],10,FALSE)</f>
        <v>Village</v>
      </c>
      <c r="DN285" s="554">
        <f>VLOOKUP(WWWW[[#This Row],[Site Name]],SiteDB6[[Site Name]:[Ethnic or GCA/NGCA]],11,FALSE)</f>
        <v>0</v>
      </c>
      <c r="DO285" s="554">
        <f>VLOOKUP(WWWW[[#This Row],[Site Name]],SiteDB6[[Site Name]:[Lat]],12,FALSE)</f>
        <v>0</v>
      </c>
      <c r="DP285" s="554">
        <f>VLOOKUP(WWWW[[#This Row],[Site Name]],SiteDB6[[Site Name]:[Long]],13,FALSE)</f>
        <v>0</v>
      </c>
      <c r="DQ285" s="554">
        <f>VLOOKUP(WWWW[[#This Row],[Site Name]],SiteDB6[[Site Name]:[Pcode]],3,FALSE)</f>
        <v>197036</v>
      </c>
      <c r="DR285" s="563" t="str">
        <f t="shared" si="9"/>
        <v>Covered</v>
      </c>
      <c r="DS285" s="563"/>
    </row>
    <row r="286" spans="1:123">
      <c r="A286" s="552" t="s">
        <v>2518</v>
      </c>
      <c r="B286" s="552" t="s">
        <v>332</v>
      </c>
      <c r="C286" s="555" t="s">
        <v>332</v>
      </c>
      <c r="D286" s="555" t="s">
        <v>325</v>
      </c>
      <c r="E286" s="574" t="s">
        <v>3006</v>
      </c>
      <c r="F286" s="555" t="s">
        <v>330</v>
      </c>
      <c r="G286" s="574" t="str">
        <f>VLOOKUP(WWWW[[#This Row],[Site Name]],SiteDB6[[Site Name]:[Location Type]],8,FALSE)</f>
        <v>Village</v>
      </c>
      <c r="H286" s="555" t="s">
        <v>2905</v>
      </c>
      <c r="I286" s="557">
        <v>85</v>
      </c>
      <c r="J286" s="557">
        <v>413</v>
      </c>
      <c r="K286" s="564">
        <v>42736</v>
      </c>
      <c r="L286" s="565">
        <v>44551</v>
      </c>
      <c r="M286" s="557"/>
      <c r="N286" s="557"/>
      <c r="O286" s="557"/>
      <c r="P286" s="557"/>
      <c r="Q286" s="556"/>
      <c r="R286" s="557"/>
      <c r="S286" s="557"/>
      <c r="T286" s="557"/>
      <c r="U286" s="557"/>
      <c r="V286" s="557"/>
      <c r="W286" s="557"/>
      <c r="X286" s="557"/>
      <c r="Y286" s="557"/>
      <c r="Z286" s="557"/>
      <c r="AA286" s="557"/>
      <c r="AB286" s="557"/>
      <c r="AC286" s="557"/>
      <c r="AD286" s="557"/>
      <c r="AE286" s="557"/>
      <c r="AF286" s="557"/>
      <c r="AG286" s="557"/>
      <c r="AH286" s="557"/>
      <c r="AI286" s="557"/>
      <c r="AJ286" s="557"/>
      <c r="AK286" s="557"/>
      <c r="AL286" s="557"/>
      <c r="AM286" s="557"/>
      <c r="AN286" s="557"/>
      <c r="AO286" s="563"/>
      <c r="AP286" s="557"/>
      <c r="AQ286" s="557"/>
      <c r="AR286" s="559"/>
      <c r="AS286" s="557"/>
      <c r="AT286" s="557"/>
      <c r="AU286" s="557"/>
      <c r="AV286" s="557"/>
      <c r="AW286" s="557"/>
      <c r="AX286" s="554"/>
      <c r="AY286" s="563"/>
      <c r="AZ286" s="557"/>
      <c r="BA286" s="557"/>
      <c r="BB286" s="557"/>
      <c r="BC286" s="554"/>
      <c r="BD286" s="557"/>
      <c r="BE286" s="557"/>
      <c r="BF286" s="557"/>
      <c r="BG286" s="557"/>
      <c r="BH286" s="557"/>
      <c r="BI286" s="557"/>
      <c r="BJ286" s="557"/>
      <c r="BK286" s="557"/>
      <c r="BL286" s="557"/>
      <c r="BM286" s="554"/>
      <c r="BN286" s="558"/>
      <c r="BO286" s="559"/>
      <c r="BP286" s="554"/>
      <c r="BQ286" s="560" t="str">
        <f>IFERROR(WWWW[[#This Row],['#_Water sources treated]]/WWWW[[#This Row],['#_Water sources tested for contamination]],"no test")</f>
        <v>no test</v>
      </c>
      <c r="BR286" s="559" t="str">
        <f>IFERROR(WWWW[[#This Row],['#_Household received remediation action due to contamination]]/WWWW[[#This Row],['#_Household water samples tested for contamination]],"no test")</f>
        <v>no test</v>
      </c>
      <c r="BS286" s="558" t="str">
        <f>IF(AND(WWWW[[#This Row],[% of water sources treated]]="no test",WWWW[[#This Row],[% Household received corrective actions]]="no test"),"No Test","Tested")</f>
        <v>No Test</v>
      </c>
      <c r="BT286" s="558">
        <f>WWWW[[#This Row],['#_Constructed/existing protected hand dug well]]-WWWW[[#This Row],['#_Non-functional protected hand dug well]]</f>
        <v>0</v>
      </c>
      <c r="BU286" s="558">
        <f>(WWWW[[#This Row],['#_Constructed/Existing tube wells/boreholes/handpumps_WASH_agency]]+WWWW[[#This Row],['#_Non-Cluster partner water tube-wells/boreholes/handpumps]])-WWWW[[#This Row],['#_Non-functional tube wells/boreholes/handpumps]]</f>
        <v>0</v>
      </c>
      <c r="BV286" s="558">
        <f>WWWW[[#This Row],['#_Constructed/Existingwater storage tank with gravity fed reticulation system]]-WWWW[[#This Row],['#_Non-functional storage tank gravity fed reticulation system]]</f>
        <v>0</v>
      </c>
      <c r="BW286" s="558">
        <f>WWWW[[#This Row],['#_Water boating or water trucking]]</f>
        <v>0</v>
      </c>
      <c r="BX286" s="558">
        <f>WWWW[[#This Row],['#_Constructed/Existing water distribution system from river or natural spring]]</f>
        <v>0</v>
      </c>
      <c r="BY28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6" s="559">
        <f>IF(WWWW[[#This Row],[Location Type 1]]="Village",WWWW[[#This Row],[Access to safe drinking water for Village]],WWWW[[#This Row],[Access to safe drinking water for Camp]])</f>
        <v>0</v>
      </c>
      <c r="CB286" s="556">
        <f>WWWW[[#This Row],[%Equitable and continuous access to sufficient quantity of safe drinking water]]*WWWW[[#This Row],[Total PoP ]]</f>
        <v>0</v>
      </c>
      <c r="CC286" s="559">
        <f>IF((WWWW[[#This Row],['#_Constructed/Existing protected/fenced ponds]]*250)/WWWW[[#This Row],[Total PoP ]]&gt;1,1,(WWWW[[#This Row],['#_Constructed/Existing protected/fenced ponds]]*250)/WWWW[[#This Row],[Total PoP ]])</f>
        <v>0</v>
      </c>
      <c r="CD286" s="556">
        <f>WWWW[[#This Row],[% Access to unimproved water points]]*WWWW[[#This Row],[Total PoP ]]</f>
        <v>0</v>
      </c>
      <c r="CE28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6" s="556">
        <f>WWWW[[#This Row],[HRP1]]/500</f>
        <v>0</v>
      </c>
      <c r="CH286" s="561">
        <f>1-WWWW[[#This Row],[% Equitable and continuous access to sufficient quantity of domestic water]]</f>
        <v>1</v>
      </c>
      <c r="CI286" s="556">
        <f>WWWW[[#This Row],[%equitable and continuous access to sufficient quantity of safe drinking and domestic water''s GAP]]*WWWW[[#This Row],[Total PoP ]]</f>
        <v>413</v>
      </c>
      <c r="CJ286" s="558">
        <f>IF(WWWW[[#This Row],[Total required water points]]-WWWW[[#This Row],['#Water points coverage]]&lt;0,0,WWWW[[#This Row],[Total required water points]]-WWWW[[#This Row],['#Water points coverage]])</f>
        <v>1</v>
      </c>
      <c r="CK286" s="558">
        <f>ROUND(IF(WWWW[[#This Row],[Total PoP ]]&lt;500,1,WWWW[[#This Row],[Total PoP ]]/500),0)</f>
        <v>1</v>
      </c>
      <c r="CL286" s="558">
        <f>(WWWW[[#This Row],['#_Constructed latrines_by_WASHAgencies]]+WWWW[[#This Row],['#_Non Cluster partner latrines]])-WWWW[[#This Row],['#_Non-functional latrines]]</f>
        <v>0</v>
      </c>
      <c r="CM28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6" s="558" t="str">
        <f>IF(WWWW[[#This Row],[Location Type 1]]="Village","NA",IF(WWWW[[#This Row],['#_Constructed/Existing latrines in TLS]]*50&gt;WWWW[[#This Row],['#_students at TLS_CFS]],WWWW[[#This Row],['#_students at TLS_CFS]],(WWWW[[#This Row],['#_Constructed/Existing latrines in TLS]]*50)))</f>
        <v>NA</v>
      </c>
      <c r="CQ286" s="558">
        <f>ROUND(IF(WWWW[[#This Row],[Location Type 1]]="camp",WWWW[[#This Row],[Total PoP ]]/20,IF(WWWW[[#This Row],[Location Type 1]]="Temporary Location",WWWW[[#This Row],[Total PoP ]]/50,(WWWW[[#This Row],[Total PoP ]]/6))),0)</f>
        <v>69</v>
      </c>
      <c r="CR286" s="558">
        <f>IF(WWWW[[#This Row],[Total required Latrines]]-(WWWW[[#This Row],['#_Constructed latrines_by_WASHAgencies]]+WWWW[[#This Row],['#_Non Cluster partner latrines]])&lt;0,0,WWWW[[#This Row],[Total required Latrines]]-(WWWW[[#This Row],['#_Constructed latrines_by_WASHAgencies]]+WWWW[[#This Row],['#_Non Cluster partner latrines]]))</f>
        <v>69</v>
      </c>
      <c r="CS286" s="78">
        <f>1-WWWW[[#This Row],[% people access to functioning Latrine]]</f>
        <v>1</v>
      </c>
      <c r="CT286" s="560">
        <f>IF(OR(WWWW[[#This Row],['#_Non-functional latrines]]="",WWWW[[#This Row],['#_Non-functional latrines]]=0),0,WWWW[[#This Row],['#_Non-functional latrines]]/(WWWW[[#This Row],['#_Constructed latrines_by_WASHAgencies]]+WWWW[[#This Row],['#_Non Cluster partner latrines]]))</f>
        <v>0</v>
      </c>
      <c r="CU286" s="556">
        <f>IF(500*(WWWW[[#This Row],['#_male hygiene promoters]]+WWWW[[#This Row],['#_female hygiene promoters]])&gt;WWWW[[#This Row],[Total PoP ]],WWWW[[#This Row],[Total PoP ]],500*(WWWW[[#This Row],['#_male hygiene promoters]]+WWWW[[#This Row],['#_female hygiene promoters]]))</f>
        <v>0</v>
      </c>
      <c r="CV28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6" s="558">
        <f>IF(WWWW[[#This Row],['# People with access to soap]]&gt;WWWW[[#This Row],['# People with access to Sanity Pads]],WWWW[[#This Row],['# People with access to soap]],WWWW[[#This Row],['# People with access to Sanity Pads]])</f>
        <v>0</v>
      </c>
      <c r="CY28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6" s="561">
        <f>IF(WWWW[[#This Row],[HRP3]]/WWWW[[#This Row],[Total PoP ]]&gt;100%,100%,WWWW[[#This Row],[HRP3]]/WWWW[[#This Row],[Total PoP ]])</f>
        <v>0</v>
      </c>
      <c r="DA286" s="560">
        <f>1-WWWW[[#This Row],[Hygiene Coverage%]]</f>
        <v>1</v>
      </c>
      <c r="DB286" s="559">
        <f>WWWW[[#This Row],['# people reached by regular dedicated hygiene promotion_5]]/WWWW[[#This Row],[Total PoP ]]</f>
        <v>0</v>
      </c>
      <c r="DC286" s="559">
        <f>IF(WWWW[[#This Row],['#_households that received standard amount of soap for this quarter]]/WWWW[[#This Row],[Total HH]]&gt;1,1,WWWW[[#This Row],['#_households that received standard amount of soap for this quarter]]/WWWW[[#This Row],[Total HH]])</f>
        <v>0</v>
      </c>
      <c r="DD286" s="559">
        <f>IF(WWWW[[#This Row],['#_households that received standard amount of sanitary pads for this quarter]]/WWWW[[#This Row],[Total HH]]&gt;1,1,WWWW[[#This Row],['#_households that received standard amount of sanitary pads for this quarter]]/WWWW[[#This Row],[Total HH]])</f>
        <v>0</v>
      </c>
      <c r="DE286" s="558">
        <f>WWWW[[#This Row],['#_Constructed/Existing hand washing stations]]-WWWW[[#This Row],['#_Non-Functional_hand_washing_stations]]</f>
        <v>0</v>
      </c>
      <c r="DF286" s="757">
        <f>IF(WWWW[[#This Row],['# Functional hand washing stations during reporting period]]*20&gt;WWWW[[#This Row],[Total HH]],WWWW[[#This Row],[Total HH]],WWWW[[#This Row],['# Functional hand washing stations during reporting period]]*20)</f>
        <v>0</v>
      </c>
      <c r="DG286" s="556">
        <f>IF(WWWW[[#This Row],[Is sufficient soap available for TLS? (Yes/No)]]="yes",WWWW[[#This Row],['#_Constructed/Existing hand washing stations at TLS]],0)</f>
        <v>0</v>
      </c>
      <c r="DH286" s="556">
        <f>IF(WWWW[[#This Row],['# Functional hand washing stations during reporting period]]*100&gt;WWWW[[#This Row],[Total PoP ]],WWWW[[#This Row],[Total PoP ]],WWWW[[#This Row],['# Functional hand washing stations during reporting period]]*100)</f>
        <v>0</v>
      </c>
      <c r="DI286" s="556" t="str">
        <f>IF(OR(WWWW[[#This Row],['#_students at TLS_CFS]]="",WWWW[[#This Row],['#_students at TLS_CFS]]=0),"No","Yes")</f>
        <v>No</v>
      </c>
      <c r="DJ286" s="554">
        <f>VLOOKUP(WWWW[[#This Row],[Site Name]],SiteDB6[[Site Name]:[CCCM Management]],6,FALSE)</f>
        <v>0</v>
      </c>
      <c r="DK286" s="554">
        <f>VLOOKUP(WWWW[[#This Row],[Site Name]],SiteDB6[[Site Name]:[CCCM Focal Agency]],7,FALSE)</f>
        <v>0</v>
      </c>
      <c r="DL286" s="554" t="str">
        <f>VLOOKUP(WWWW[[#This Row],[Site Name]],SiteDB6[[Site Name]:[Location Type 1]],9,FALSE)</f>
        <v>Village</v>
      </c>
      <c r="DM286" s="554" t="str">
        <f>VLOOKUP(WWWW[[#This Row],[Site Name]],SiteDB6[[Site Name]:[Type of Accommodation]],10,FALSE)</f>
        <v>Village</v>
      </c>
      <c r="DN286" s="554">
        <f>VLOOKUP(WWWW[[#This Row],[Site Name]],SiteDB6[[Site Name]:[Ethnic or GCA/NGCA]],11,FALSE)</f>
        <v>0</v>
      </c>
      <c r="DO286" s="554">
        <f>VLOOKUP(WWWW[[#This Row],[Site Name]],SiteDB6[[Site Name]:[Lat]],12,FALSE)</f>
        <v>0</v>
      </c>
      <c r="DP286" s="554">
        <f>VLOOKUP(WWWW[[#This Row],[Site Name]],SiteDB6[[Site Name]:[Long]],13,FALSE)</f>
        <v>0</v>
      </c>
      <c r="DQ286" s="554">
        <f>VLOOKUP(WWWW[[#This Row],[Site Name]],SiteDB6[[Site Name]:[Pcode]],3,FALSE)</f>
        <v>197033</v>
      </c>
      <c r="DR286" s="563" t="str">
        <f t="shared" si="9"/>
        <v>Covered</v>
      </c>
      <c r="DS286" s="563"/>
    </row>
    <row r="287" spans="1:123">
      <c r="A287" s="552" t="s">
        <v>2518</v>
      </c>
      <c r="B287" s="552" t="s">
        <v>332</v>
      </c>
      <c r="C287" s="555" t="s">
        <v>332</v>
      </c>
      <c r="D287" s="555" t="s">
        <v>325</v>
      </c>
      <c r="E287" s="574" t="s">
        <v>3006</v>
      </c>
      <c r="F287" s="555" t="s">
        <v>330</v>
      </c>
      <c r="G287" s="574" t="str">
        <f>VLOOKUP(WWWW[[#This Row],[Site Name]],SiteDB6[[Site Name]:[Location Type]],8,FALSE)</f>
        <v>Village</v>
      </c>
      <c r="H287" s="555" t="s">
        <v>2906</v>
      </c>
      <c r="I287" s="557">
        <v>353</v>
      </c>
      <c r="J287" s="557">
        <v>2111</v>
      </c>
      <c r="K287" s="564">
        <v>42736</v>
      </c>
      <c r="L287" s="565">
        <v>44551</v>
      </c>
      <c r="M287" s="557"/>
      <c r="N287" s="557"/>
      <c r="O287" s="557"/>
      <c r="P287" s="557"/>
      <c r="Q287" s="556"/>
      <c r="R287" s="557"/>
      <c r="S287" s="557"/>
      <c r="T287" s="557"/>
      <c r="U287" s="557"/>
      <c r="V287" s="557"/>
      <c r="W287" s="557"/>
      <c r="X287" s="557"/>
      <c r="Y287" s="557"/>
      <c r="Z287" s="557"/>
      <c r="AA287" s="557"/>
      <c r="AB287" s="557"/>
      <c r="AC287" s="557"/>
      <c r="AD287" s="557"/>
      <c r="AE287" s="557"/>
      <c r="AF287" s="557"/>
      <c r="AG287" s="557"/>
      <c r="AH287" s="557"/>
      <c r="AI287" s="557"/>
      <c r="AJ287" s="557"/>
      <c r="AK287" s="557"/>
      <c r="AL287" s="557"/>
      <c r="AM287" s="557"/>
      <c r="AN287" s="557"/>
      <c r="AO287" s="563"/>
      <c r="AP287" s="557"/>
      <c r="AQ287" s="557"/>
      <c r="AR287" s="559"/>
      <c r="AS287" s="557"/>
      <c r="AT287" s="557"/>
      <c r="AU287" s="557"/>
      <c r="AV287" s="557"/>
      <c r="AW287" s="557"/>
      <c r="AX287" s="554"/>
      <c r="AY287" s="563"/>
      <c r="AZ287" s="557"/>
      <c r="BA287" s="557"/>
      <c r="BB287" s="557"/>
      <c r="BC287" s="554"/>
      <c r="BD287" s="557"/>
      <c r="BE287" s="557"/>
      <c r="BF287" s="557"/>
      <c r="BG287" s="557"/>
      <c r="BH287" s="557"/>
      <c r="BI287" s="557"/>
      <c r="BJ287" s="557"/>
      <c r="BK287" s="557"/>
      <c r="BL287" s="557"/>
      <c r="BM287" s="554"/>
      <c r="BN287" s="558"/>
      <c r="BO287" s="559"/>
      <c r="BP287" s="554"/>
      <c r="BQ287" s="560" t="str">
        <f>IFERROR(WWWW[[#This Row],['#_Water sources treated]]/WWWW[[#This Row],['#_Water sources tested for contamination]],"no test")</f>
        <v>no test</v>
      </c>
      <c r="BR287" s="559" t="str">
        <f>IFERROR(WWWW[[#This Row],['#_Household received remediation action due to contamination]]/WWWW[[#This Row],['#_Household water samples tested for contamination]],"no test")</f>
        <v>no test</v>
      </c>
      <c r="BS287" s="558" t="str">
        <f>IF(AND(WWWW[[#This Row],[% of water sources treated]]="no test",WWWW[[#This Row],[% Household received corrective actions]]="no test"),"No Test","Tested")</f>
        <v>No Test</v>
      </c>
      <c r="BT287" s="558">
        <f>WWWW[[#This Row],['#_Constructed/existing protected hand dug well]]-WWWW[[#This Row],['#_Non-functional protected hand dug well]]</f>
        <v>0</v>
      </c>
      <c r="BU287" s="558">
        <f>(WWWW[[#This Row],['#_Constructed/Existing tube wells/boreholes/handpumps_WASH_agency]]+WWWW[[#This Row],['#_Non-Cluster partner water tube-wells/boreholes/handpumps]])-WWWW[[#This Row],['#_Non-functional tube wells/boreholes/handpumps]]</f>
        <v>0</v>
      </c>
      <c r="BV287" s="558">
        <f>WWWW[[#This Row],['#_Constructed/Existingwater storage tank with gravity fed reticulation system]]-WWWW[[#This Row],['#_Non-functional storage tank gravity fed reticulation system]]</f>
        <v>0</v>
      </c>
      <c r="BW287" s="558">
        <f>WWWW[[#This Row],['#_Water boating or water trucking]]</f>
        <v>0</v>
      </c>
      <c r="BX287" s="558">
        <f>WWWW[[#This Row],['#_Constructed/Existing water distribution system from river or natural spring]]</f>
        <v>0</v>
      </c>
      <c r="BY28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7" s="559">
        <f>IF(WWWW[[#This Row],[Location Type 1]]="Village",WWWW[[#This Row],[Access to safe drinking water for Village]],WWWW[[#This Row],[Access to safe drinking water for Camp]])</f>
        <v>0</v>
      </c>
      <c r="CB287" s="556">
        <f>WWWW[[#This Row],[%Equitable and continuous access to sufficient quantity of safe drinking water]]*WWWW[[#This Row],[Total PoP ]]</f>
        <v>0</v>
      </c>
      <c r="CC287" s="559">
        <f>IF((WWWW[[#This Row],['#_Constructed/Existing protected/fenced ponds]]*250)/WWWW[[#This Row],[Total PoP ]]&gt;1,1,(WWWW[[#This Row],['#_Constructed/Existing protected/fenced ponds]]*250)/WWWW[[#This Row],[Total PoP ]])</f>
        <v>0</v>
      </c>
      <c r="CD287" s="556">
        <f>WWWW[[#This Row],[% Access to unimproved water points]]*WWWW[[#This Row],[Total PoP ]]</f>
        <v>0</v>
      </c>
      <c r="CE28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7" s="556">
        <f>WWWW[[#This Row],[HRP1]]/500</f>
        <v>0</v>
      </c>
      <c r="CH287" s="561">
        <f>1-WWWW[[#This Row],[% Equitable and continuous access to sufficient quantity of domestic water]]</f>
        <v>1</v>
      </c>
      <c r="CI287" s="556">
        <f>WWWW[[#This Row],[%equitable and continuous access to sufficient quantity of safe drinking and domestic water''s GAP]]*WWWW[[#This Row],[Total PoP ]]</f>
        <v>2111</v>
      </c>
      <c r="CJ287" s="558">
        <f>IF(WWWW[[#This Row],[Total required water points]]-WWWW[[#This Row],['#Water points coverage]]&lt;0,0,WWWW[[#This Row],[Total required water points]]-WWWW[[#This Row],['#Water points coverage]])</f>
        <v>4</v>
      </c>
      <c r="CK287" s="558">
        <f>ROUND(IF(WWWW[[#This Row],[Total PoP ]]&lt;500,1,WWWW[[#This Row],[Total PoP ]]/500),0)</f>
        <v>4</v>
      </c>
      <c r="CL287" s="558">
        <f>(WWWW[[#This Row],['#_Constructed latrines_by_WASHAgencies]]+WWWW[[#This Row],['#_Non Cluster partner latrines]])-WWWW[[#This Row],['#_Non-functional latrines]]</f>
        <v>0</v>
      </c>
      <c r="CM28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7" s="558" t="str">
        <f>IF(WWWW[[#This Row],[Location Type 1]]="Village","NA",IF(WWWW[[#This Row],['#_Constructed/Existing latrines in TLS]]*50&gt;WWWW[[#This Row],['#_students at TLS_CFS]],WWWW[[#This Row],['#_students at TLS_CFS]],(WWWW[[#This Row],['#_Constructed/Existing latrines in TLS]]*50)))</f>
        <v>NA</v>
      </c>
      <c r="CQ287" s="558">
        <f>ROUND(IF(WWWW[[#This Row],[Location Type 1]]="camp",WWWW[[#This Row],[Total PoP ]]/20,IF(WWWW[[#This Row],[Location Type 1]]="Temporary Location",WWWW[[#This Row],[Total PoP ]]/50,(WWWW[[#This Row],[Total PoP ]]/6))),0)</f>
        <v>352</v>
      </c>
      <c r="CR287" s="558">
        <f>IF(WWWW[[#This Row],[Total required Latrines]]-(WWWW[[#This Row],['#_Constructed latrines_by_WASHAgencies]]+WWWW[[#This Row],['#_Non Cluster partner latrines]])&lt;0,0,WWWW[[#This Row],[Total required Latrines]]-(WWWW[[#This Row],['#_Constructed latrines_by_WASHAgencies]]+WWWW[[#This Row],['#_Non Cluster partner latrines]]))</f>
        <v>352</v>
      </c>
      <c r="CS287" s="78">
        <f>1-WWWW[[#This Row],[% people access to functioning Latrine]]</f>
        <v>1</v>
      </c>
      <c r="CT287" s="560">
        <f>IF(OR(WWWW[[#This Row],['#_Non-functional latrines]]="",WWWW[[#This Row],['#_Non-functional latrines]]=0),0,WWWW[[#This Row],['#_Non-functional latrines]]/(WWWW[[#This Row],['#_Constructed latrines_by_WASHAgencies]]+WWWW[[#This Row],['#_Non Cluster partner latrines]]))</f>
        <v>0</v>
      </c>
      <c r="CU287" s="556">
        <f>IF(500*(WWWW[[#This Row],['#_male hygiene promoters]]+WWWW[[#This Row],['#_female hygiene promoters]])&gt;WWWW[[#This Row],[Total PoP ]],WWWW[[#This Row],[Total PoP ]],500*(WWWW[[#This Row],['#_male hygiene promoters]]+WWWW[[#This Row],['#_female hygiene promoters]]))</f>
        <v>0</v>
      </c>
      <c r="CV28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7" s="558">
        <f>IF(WWWW[[#This Row],['# People with access to soap]]&gt;WWWW[[#This Row],['# People with access to Sanity Pads]],WWWW[[#This Row],['# People with access to soap]],WWWW[[#This Row],['# People with access to Sanity Pads]])</f>
        <v>0</v>
      </c>
      <c r="CY28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7" s="561">
        <f>IF(WWWW[[#This Row],[HRP3]]/WWWW[[#This Row],[Total PoP ]]&gt;100%,100%,WWWW[[#This Row],[HRP3]]/WWWW[[#This Row],[Total PoP ]])</f>
        <v>0</v>
      </c>
      <c r="DA287" s="560">
        <f>1-WWWW[[#This Row],[Hygiene Coverage%]]</f>
        <v>1</v>
      </c>
      <c r="DB287" s="559">
        <f>WWWW[[#This Row],['# people reached by regular dedicated hygiene promotion_5]]/WWWW[[#This Row],[Total PoP ]]</f>
        <v>0</v>
      </c>
      <c r="DC287" s="559">
        <f>IF(WWWW[[#This Row],['#_households that received standard amount of soap for this quarter]]/WWWW[[#This Row],[Total HH]]&gt;1,1,WWWW[[#This Row],['#_households that received standard amount of soap for this quarter]]/WWWW[[#This Row],[Total HH]])</f>
        <v>0</v>
      </c>
      <c r="DD287" s="559">
        <f>IF(WWWW[[#This Row],['#_households that received standard amount of sanitary pads for this quarter]]/WWWW[[#This Row],[Total HH]]&gt;1,1,WWWW[[#This Row],['#_households that received standard amount of sanitary pads for this quarter]]/WWWW[[#This Row],[Total HH]])</f>
        <v>0</v>
      </c>
      <c r="DE287" s="558">
        <f>WWWW[[#This Row],['#_Constructed/Existing hand washing stations]]-WWWW[[#This Row],['#_Non-Functional_hand_washing_stations]]</f>
        <v>0</v>
      </c>
      <c r="DF287" s="757">
        <f>IF(WWWW[[#This Row],['# Functional hand washing stations during reporting period]]*20&gt;WWWW[[#This Row],[Total HH]],WWWW[[#This Row],[Total HH]],WWWW[[#This Row],['# Functional hand washing stations during reporting period]]*20)</f>
        <v>0</v>
      </c>
      <c r="DG287" s="556">
        <f>IF(WWWW[[#This Row],[Is sufficient soap available for TLS? (Yes/No)]]="yes",WWWW[[#This Row],['#_Constructed/Existing hand washing stations at TLS]],0)</f>
        <v>0</v>
      </c>
      <c r="DH287" s="556">
        <f>IF(WWWW[[#This Row],['# Functional hand washing stations during reporting period]]*100&gt;WWWW[[#This Row],[Total PoP ]],WWWW[[#This Row],[Total PoP ]],WWWW[[#This Row],['# Functional hand washing stations during reporting period]]*100)</f>
        <v>0</v>
      </c>
      <c r="DI287" s="556" t="str">
        <f>IF(OR(WWWW[[#This Row],['#_students at TLS_CFS]]="",WWWW[[#This Row],['#_students at TLS_CFS]]=0),"No","Yes")</f>
        <v>No</v>
      </c>
      <c r="DJ287" s="554">
        <f>VLOOKUP(WWWW[[#This Row],[Site Name]],SiteDB6[[Site Name]:[CCCM Management]],6,FALSE)</f>
        <v>0</v>
      </c>
      <c r="DK287" s="554">
        <f>VLOOKUP(WWWW[[#This Row],[Site Name]],SiteDB6[[Site Name]:[CCCM Focal Agency]],7,FALSE)</f>
        <v>0</v>
      </c>
      <c r="DL287" s="554" t="str">
        <f>VLOOKUP(WWWW[[#This Row],[Site Name]],SiteDB6[[Site Name]:[Location Type 1]],9,FALSE)</f>
        <v>Village</v>
      </c>
      <c r="DM287" s="554" t="str">
        <f>VLOOKUP(WWWW[[#This Row],[Site Name]],SiteDB6[[Site Name]:[Type of Accommodation]],10,FALSE)</f>
        <v>Village</v>
      </c>
      <c r="DN287" s="554">
        <f>VLOOKUP(WWWW[[#This Row],[Site Name]],SiteDB6[[Site Name]:[Ethnic or GCA/NGCA]],11,FALSE)</f>
        <v>0</v>
      </c>
      <c r="DO287" s="554">
        <f>VLOOKUP(WWWW[[#This Row],[Site Name]],SiteDB6[[Site Name]:[Lat]],12,FALSE)</f>
        <v>0</v>
      </c>
      <c r="DP287" s="554">
        <f>VLOOKUP(WWWW[[#This Row],[Site Name]],SiteDB6[[Site Name]:[Long]],13,FALSE)</f>
        <v>0</v>
      </c>
      <c r="DQ287" s="554">
        <f>VLOOKUP(WWWW[[#This Row],[Site Name]],SiteDB6[[Site Name]:[Pcode]],3,FALSE)</f>
        <v>197040</v>
      </c>
      <c r="DR287" s="563" t="str">
        <f t="shared" si="9"/>
        <v>Covered</v>
      </c>
      <c r="DS287" s="563"/>
    </row>
    <row r="288" spans="1:123">
      <c r="A288" s="552" t="s">
        <v>2518</v>
      </c>
      <c r="B288" s="552" t="s">
        <v>332</v>
      </c>
      <c r="C288" s="555" t="s">
        <v>332</v>
      </c>
      <c r="D288" s="555" t="s">
        <v>325</v>
      </c>
      <c r="E288" s="574" t="s">
        <v>3006</v>
      </c>
      <c r="F288" s="555" t="s">
        <v>330</v>
      </c>
      <c r="G288" s="574" t="str">
        <f>VLOOKUP(WWWW[[#This Row],[Site Name]],SiteDB6[[Site Name]:[Location Type]],8,FALSE)</f>
        <v>Village</v>
      </c>
      <c r="H288" s="555" t="s">
        <v>2907</v>
      </c>
      <c r="I288" s="557">
        <v>295</v>
      </c>
      <c r="J288" s="557">
        <v>1698</v>
      </c>
      <c r="K288" s="564">
        <v>42736</v>
      </c>
      <c r="L288" s="565">
        <v>44551</v>
      </c>
      <c r="M288" s="557"/>
      <c r="N288" s="557"/>
      <c r="O288" s="557"/>
      <c r="P288" s="557"/>
      <c r="Q288" s="556"/>
      <c r="R288" s="557"/>
      <c r="S288" s="557"/>
      <c r="T288" s="557"/>
      <c r="U288" s="557"/>
      <c r="V288" s="557"/>
      <c r="W288" s="557"/>
      <c r="X288" s="557"/>
      <c r="Y288" s="557"/>
      <c r="Z288" s="557"/>
      <c r="AA288" s="557"/>
      <c r="AB288" s="557"/>
      <c r="AC288" s="557"/>
      <c r="AD288" s="557"/>
      <c r="AE288" s="557"/>
      <c r="AF288" s="557"/>
      <c r="AG288" s="557"/>
      <c r="AH288" s="557"/>
      <c r="AI288" s="557"/>
      <c r="AJ288" s="557"/>
      <c r="AK288" s="557"/>
      <c r="AL288" s="557"/>
      <c r="AM288" s="557"/>
      <c r="AN288" s="557"/>
      <c r="AO288" s="563"/>
      <c r="AP288" s="557"/>
      <c r="AQ288" s="557"/>
      <c r="AR288" s="559"/>
      <c r="AS288" s="557"/>
      <c r="AT288" s="557"/>
      <c r="AU288" s="557"/>
      <c r="AV288" s="557"/>
      <c r="AW288" s="557"/>
      <c r="AX288" s="554"/>
      <c r="AY288" s="563"/>
      <c r="AZ288" s="557"/>
      <c r="BA288" s="557"/>
      <c r="BB288" s="557"/>
      <c r="BC288" s="554"/>
      <c r="BD288" s="557"/>
      <c r="BE288" s="557"/>
      <c r="BF288" s="557"/>
      <c r="BG288" s="557"/>
      <c r="BH288" s="557"/>
      <c r="BI288" s="557"/>
      <c r="BJ288" s="557"/>
      <c r="BK288" s="557"/>
      <c r="BL288" s="557"/>
      <c r="BM288" s="554"/>
      <c r="BN288" s="558"/>
      <c r="BO288" s="559"/>
      <c r="BP288" s="554"/>
      <c r="BQ288" s="560" t="str">
        <f>IFERROR(WWWW[[#This Row],['#_Water sources treated]]/WWWW[[#This Row],['#_Water sources tested for contamination]],"no test")</f>
        <v>no test</v>
      </c>
      <c r="BR288" s="559" t="str">
        <f>IFERROR(WWWW[[#This Row],['#_Household received remediation action due to contamination]]/WWWW[[#This Row],['#_Household water samples tested for contamination]],"no test")</f>
        <v>no test</v>
      </c>
      <c r="BS288" s="558" t="str">
        <f>IF(AND(WWWW[[#This Row],[% of water sources treated]]="no test",WWWW[[#This Row],[% Household received corrective actions]]="no test"),"No Test","Tested")</f>
        <v>No Test</v>
      </c>
      <c r="BT288" s="558">
        <f>WWWW[[#This Row],['#_Constructed/existing protected hand dug well]]-WWWW[[#This Row],['#_Non-functional protected hand dug well]]</f>
        <v>0</v>
      </c>
      <c r="BU288" s="558">
        <f>(WWWW[[#This Row],['#_Constructed/Existing tube wells/boreholes/handpumps_WASH_agency]]+WWWW[[#This Row],['#_Non-Cluster partner water tube-wells/boreholes/handpumps]])-WWWW[[#This Row],['#_Non-functional tube wells/boreholes/handpumps]]</f>
        <v>0</v>
      </c>
      <c r="BV288" s="558">
        <f>WWWW[[#This Row],['#_Constructed/Existingwater storage tank with gravity fed reticulation system]]-WWWW[[#This Row],['#_Non-functional storage tank gravity fed reticulation system]]</f>
        <v>0</v>
      </c>
      <c r="BW288" s="558">
        <f>WWWW[[#This Row],['#_Water boating or water trucking]]</f>
        <v>0</v>
      </c>
      <c r="BX288" s="558">
        <f>WWWW[[#This Row],['#_Constructed/Existing water distribution system from river or natural spring]]</f>
        <v>0</v>
      </c>
      <c r="BY28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8" s="559">
        <f>IF(WWWW[[#This Row],[Location Type 1]]="Village",WWWW[[#This Row],[Access to safe drinking water for Village]],WWWW[[#This Row],[Access to safe drinking water for Camp]])</f>
        <v>0</v>
      </c>
      <c r="CB288" s="556">
        <f>WWWW[[#This Row],[%Equitable and continuous access to sufficient quantity of safe drinking water]]*WWWW[[#This Row],[Total PoP ]]</f>
        <v>0</v>
      </c>
      <c r="CC288" s="559">
        <f>IF((WWWW[[#This Row],['#_Constructed/Existing protected/fenced ponds]]*250)/WWWW[[#This Row],[Total PoP ]]&gt;1,1,(WWWW[[#This Row],['#_Constructed/Existing protected/fenced ponds]]*250)/WWWW[[#This Row],[Total PoP ]])</f>
        <v>0</v>
      </c>
      <c r="CD288" s="556">
        <f>WWWW[[#This Row],[% Access to unimproved water points]]*WWWW[[#This Row],[Total PoP ]]</f>
        <v>0</v>
      </c>
      <c r="CE28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8" s="556">
        <f>WWWW[[#This Row],[HRP1]]/500</f>
        <v>0</v>
      </c>
      <c r="CH288" s="561">
        <f>1-WWWW[[#This Row],[% Equitable and continuous access to sufficient quantity of domestic water]]</f>
        <v>1</v>
      </c>
      <c r="CI288" s="556">
        <f>WWWW[[#This Row],[%equitable and continuous access to sufficient quantity of safe drinking and domestic water''s GAP]]*WWWW[[#This Row],[Total PoP ]]</f>
        <v>1698</v>
      </c>
      <c r="CJ288" s="558">
        <f>IF(WWWW[[#This Row],[Total required water points]]-WWWW[[#This Row],['#Water points coverage]]&lt;0,0,WWWW[[#This Row],[Total required water points]]-WWWW[[#This Row],['#Water points coverage]])</f>
        <v>3</v>
      </c>
      <c r="CK288" s="558">
        <f>ROUND(IF(WWWW[[#This Row],[Total PoP ]]&lt;500,1,WWWW[[#This Row],[Total PoP ]]/500),0)</f>
        <v>3</v>
      </c>
      <c r="CL288" s="558">
        <f>(WWWW[[#This Row],['#_Constructed latrines_by_WASHAgencies]]+WWWW[[#This Row],['#_Non Cluster partner latrines]])-WWWW[[#This Row],['#_Non-functional latrines]]</f>
        <v>0</v>
      </c>
      <c r="CM28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8" s="558" t="str">
        <f>IF(WWWW[[#This Row],[Location Type 1]]="Village","NA",IF(WWWW[[#This Row],['#_Constructed/Existing latrines in TLS]]*50&gt;WWWW[[#This Row],['#_students at TLS_CFS]],WWWW[[#This Row],['#_students at TLS_CFS]],(WWWW[[#This Row],['#_Constructed/Existing latrines in TLS]]*50)))</f>
        <v>NA</v>
      </c>
      <c r="CQ288" s="558">
        <f>ROUND(IF(WWWW[[#This Row],[Location Type 1]]="camp",WWWW[[#This Row],[Total PoP ]]/20,IF(WWWW[[#This Row],[Location Type 1]]="Temporary Location",WWWW[[#This Row],[Total PoP ]]/50,(WWWW[[#This Row],[Total PoP ]]/6))),0)</f>
        <v>283</v>
      </c>
      <c r="CR288" s="558">
        <f>IF(WWWW[[#This Row],[Total required Latrines]]-(WWWW[[#This Row],['#_Constructed latrines_by_WASHAgencies]]+WWWW[[#This Row],['#_Non Cluster partner latrines]])&lt;0,0,WWWW[[#This Row],[Total required Latrines]]-(WWWW[[#This Row],['#_Constructed latrines_by_WASHAgencies]]+WWWW[[#This Row],['#_Non Cluster partner latrines]]))</f>
        <v>283</v>
      </c>
      <c r="CS288" s="78">
        <f>1-WWWW[[#This Row],[% people access to functioning Latrine]]</f>
        <v>1</v>
      </c>
      <c r="CT288" s="560">
        <f>IF(OR(WWWW[[#This Row],['#_Non-functional latrines]]="",WWWW[[#This Row],['#_Non-functional latrines]]=0),0,WWWW[[#This Row],['#_Non-functional latrines]]/(WWWW[[#This Row],['#_Constructed latrines_by_WASHAgencies]]+WWWW[[#This Row],['#_Non Cluster partner latrines]]))</f>
        <v>0</v>
      </c>
      <c r="CU288" s="556">
        <f>IF(500*(WWWW[[#This Row],['#_male hygiene promoters]]+WWWW[[#This Row],['#_female hygiene promoters]])&gt;WWWW[[#This Row],[Total PoP ]],WWWW[[#This Row],[Total PoP ]],500*(WWWW[[#This Row],['#_male hygiene promoters]]+WWWW[[#This Row],['#_female hygiene promoters]]))</f>
        <v>0</v>
      </c>
      <c r="CV28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8" s="558">
        <f>IF(WWWW[[#This Row],['# People with access to soap]]&gt;WWWW[[#This Row],['# People with access to Sanity Pads]],WWWW[[#This Row],['# People with access to soap]],WWWW[[#This Row],['# People with access to Sanity Pads]])</f>
        <v>0</v>
      </c>
      <c r="CY28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8" s="561">
        <f>IF(WWWW[[#This Row],[HRP3]]/WWWW[[#This Row],[Total PoP ]]&gt;100%,100%,WWWW[[#This Row],[HRP3]]/WWWW[[#This Row],[Total PoP ]])</f>
        <v>0</v>
      </c>
      <c r="DA288" s="560">
        <f>1-WWWW[[#This Row],[Hygiene Coverage%]]</f>
        <v>1</v>
      </c>
      <c r="DB288" s="559">
        <f>WWWW[[#This Row],['# people reached by regular dedicated hygiene promotion_5]]/WWWW[[#This Row],[Total PoP ]]</f>
        <v>0</v>
      </c>
      <c r="DC288" s="559">
        <f>IF(WWWW[[#This Row],['#_households that received standard amount of soap for this quarter]]/WWWW[[#This Row],[Total HH]]&gt;1,1,WWWW[[#This Row],['#_households that received standard amount of soap for this quarter]]/WWWW[[#This Row],[Total HH]])</f>
        <v>0</v>
      </c>
      <c r="DD288" s="559">
        <f>IF(WWWW[[#This Row],['#_households that received standard amount of sanitary pads for this quarter]]/WWWW[[#This Row],[Total HH]]&gt;1,1,WWWW[[#This Row],['#_households that received standard amount of sanitary pads for this quarter]]/WWWW[[#This Row],[Total HH]])</f>
        <v>0</v>
      </c>
      <c r="DE288" s="558">
        <f>WWWW[[#This Row],['#_Constructed/Existing hand washing stations]]-WWWW[[#This Row],['#_Non-Functional_hand_washing_stations]]</f>
        <v>0</v>
      </c>
      <c r="DF288" s="757">
        <f>IF(WWWW[[#This Row],['# Functional hand washing stations during reporting period]]*20&gt;WWWW[[#This Row],[Total HH]],WWWW[[#This Row],[Total HH]],WWWW[[#This Row],['# Functional hand washing stations during reporting period]]*20)</f>
        <v>0</v>
      </c>
      <c r="DG288" s="556">
        <f>IF(WWWW[[#This Row],[Is sufficient soap available for TLS? (Yes/No)]]="yes",WWWW[[#This Row],['#_Constructed/Existing hand washing stations at TLS]],0)</f>
        <v>0</v>
      </c>
      <c r="DH288" s="556">
        <f>IF(WWWW[[#This Row],['# Functional hand washing stations during reporting period]]*100&gt;WWWW[[#This Row],[Total PoP ]],WWWW[[#This Row],[Total PoP ]],WWWW[[#This Row],['# Functional hand washing stations during reporting period]]*100)</f>
        <v>0</v>
      </c>
      <c r="DI288" s="556" t="str">
        <f>IF(OR(WWWW[[#This Row],['#_students at TLS_CFS]]="",WWWW[[#This Row],['#_students at TLS_CFS]]=0),"No","Yes")</f>
        <v>No</v>
      </c>
      <c r="DJ288" s="554">
        <f>VLOOKUP(WWWW[[#This Row],[Site Name]],SiteDB6[[Site Name]:[CCCM Management]],6,FALSE)</f>
        <v>0</v>
      </c>
      <c r="DK288" s="554">
        <f>VLOOKUP(WWWW[[#This Row],[Site Name]],SiteDB6[[Site Name]:[CCCM Focal Agency]],7,FALSE)</f>
        <v>0</v>
      </c>
      <c r="DL288" s="554" t="str">
        <f>VLOOKUP(WWWW[[#This Row],[Site Name]],SiteDB6[[Site Name]:[Location Type 1]],9,FALSE)</f>
        <v>Village</v>
      </c>
      <c r="DM288" s="554" t="str">
        <f>VLOOKUP(WWWW[[#This Row],[Site Name]],SiteDB6[[Site Name]:[Type of Accommodation]],10,FALSE)</f>
        <v>Village</v>
      </c>
      <c r="DN288" s="554">
        <f>VLOOKUP(WWWW[[#This Row],[Site Name]],SiteDB6[[Site Name]:[Ethnic or GCA/NGCA]],11,FALSE)</f>
        <v>0</v>
      </c>
      <c r="DO288" s="554">
        <f>VLOOKUP(WWWW[[#This Row],[Site Name]],SiteDB6[[Site Name]:[Lat]],12,FALSE)</f>
        <v>0</v>
      </c>
      <c r="DP288" s="554">
        <f>VLOOKUP(WWWW[[#This Row],[Site Name]],SiteDB6[[Site Name]:[Long]],13,FALSE)</f>
        <v>0</v>
      </c>
      <c r="DQ288" s="554">
        <f>VLOOKUP(WWWW[[#This Row],[Site Name]],SiteDB6[[Site Name]:[Pcode]],3,FALSE)</f>
        <v>197039</v>
      </c>
      <c r="DR288" s="563" t="str">
        <f t="shared" si="9"/>
        <v>Covered</v>
      </c>
      <c r="DS288" s="563"/>
    </row>
    <row r="289" spans="1:123">
      <c r="A289" s="552" t="s">
        <v>2518</v>
      </c>
      <c r="B289" s="552" t="s">
        <v>332</v>
      </c>
      <c r="C289" s="555" t="s">
        <v>332</v>
      </c>
      <c r="D289" s="555" t="s">
        <v>325</v>
      </c>
      <c r="E289" s="574" t="s">
        <v>3006</v>
      </c>
      <c r="F289" s="555" t="s">
        <v>330</v>
      </c>
      <c r="G289" s="574" t="str">
        <f>VLOOKUP(WWWW[[#This Row],[Site Name]],SiteDB6[[Site Name]:[Location Type]],8,FALSE)</f>
        <v>Village</v>
      </c>
      <c r="H289" s="555" t="s">
        <v>2908</v>
      </c>
      <c r="I289" s="557">
        <v>140</v>
      </c>
      <c r="J289" s="557">
        <v>985</v>
      </c>
      <c r="K289" s="564">
        <v>42736</v>
      </c>
      <c r="L289" s="565">
        <v>44551</v>
      </c>
      <c r="M289" s="557"/>
      <c r="N289" s="557"/>
      <c r="O289" s="557"/>
      <c r="P289" s="557"/>
      <c r="Q289" s="556"/>
      <c r="R289" s="557"/>
      <c r="S289" s="557"/>
      <c r="T289" s="557"/>
      <c r="U289" s="557"/>
      <c r="V289" s="557"/>
      <c r="W289" s="557"/>
      <c r="X289" s="557"/>
      <c r="Y289" s="557"/>
      <c r="Z289" s="557"/>
      <c r="AA289" s="557"/>
      <c r="AB289" s="557"/>
      <c r="AC289" s="557"/>
      <c r="AD289" s="557"/>
      <c r="AE289" s="557"/>
      <c r="AF289" s="557"/>
      <c r="AG289" s="557"/>
      <c r="AH289" s="557"/>
      <c r="AI289" s="557"/>
      <c r="AJ289" s="557"/>
      <c r="AK289" s="557"/>
      <c r="AL289" s="557"/>
      <c r="AM289" s="557"/>
      <c r="AN289" s="557"/>
      <c r="AO289" s="563"/>
      <c r="AP289" s="557"/>
      <c r="AQ289" s="557"/>
      <c r="AR289" s="559"/>
      <c r="AS289" s="557"/>
      <c r="AT289" s="557"/>
      <c r="AU289" s="557"/>
      <c r="AV289" s="557"/>
      <c r="AW289" s="557"/>
      <c r="AX289" s="554"/>
      <c r="AY289" s="563"/>
      <c r="AZ289" s="557"/>
      <c r="BA289" s="557"/>
      <c r="BB289" s="557"/>
      <c r="BC289" s="554"/>
      <c r="BD289" s="557"/>
      <c r="BE289" s="557"/>
      <c r="BF289" s="557"/>
      <c r="BG289" s="557"/>
      <c r="BH289" s="557"/>
      <c r="BI289" s="557"/>
      <c r="BJ289" s="557"/>
      <c r="BK289" s="557"/>
      <c r="BL289" s="557"/>
      <c r="BM289" s="554"/>
      <c r="BN289" s="558"/>
      <c r="BO289" s="559"/>
      <c r="BP289" s="554"/>
      <c r="BQ289" s="560" t="str">
        <f>IFERROR(WWWW[[#This Row],['#_Water sources treated]]/WWWW[[#This Row],['#_Water sources tested for contamination]],"no test")</f>
        <v>no test</v>
      </c>
      <c r="BR289" s="559" t="str">
        <f>IFERROR(WWWW[[#This Row],['#_Household received remediation action due to contamination]]/WWWW[[#This Row],['#_Household water samples tested for contamination]],"no test")</f>
        <v>no test</v>
      </c>
      <c r="BS289" s="558" t="str">
        <f>IF(AND(WWWW[[#This Row],[% of water sources treated]]="no test",WWWW[[#This Row],[% Household received corrective actions]]="no test"),"No Test","Tested")</f>
        <v>No Test</v>
      </c>
      <c r="BT289" s="558">
        <f>WWWW[[#This Row],['#_Constructed/existing protected hand dug well]]-WWWW[[#This Row],['#_Non-functional protected hand dug well]]</f>
        <v>0</v>
      </c>
      <c r="BU289" s="558">
        <f>(WWWW[[#This Row],['#_Constructed/Existing tube wells/boreholes/handpumps_WASH_agency]]+WWWW[[#This Row],['#_Non-Cluster partner water tube-wells/boreholes/handpumps]])-WWWW[[#This Row],['#_Non-functional tube wells/boreholes/handpumps]]</f>
        <v>0</v>
      </c>
      <c r="BV289" s="558">
        <f>WWWW[[#This Row],['#_Constructed/Existingwater storage tank with gravity fed reticulation system]]-WWWW[[#This Row],['#_Non-functional storage tank gravity fed reticulation system]]</f>
        <v>0</v>
      </c>
      <c r="BW289" s="558">
        <f>WWWW[[#This Row],['#_Water boating or water trucking]]</f>
        <v>0</v>
      </c>
      <c r="BX289" s="558">
        <f>WWWW[[#This Row],['#_Constructed/Existing water distribution system from river or natural spring]]</f>
        <v>0</v>
      </c>
      <c r="BY28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8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89" s="559">
        <f>IF(WWWW[[#This Row],[Location Type 1]]="Village",WWWW[[#This Row],[Access to safe drinking water for Village]],WWWW[[#This Row],[Access to safe drinking water for Camp]])</f>
        <v>0</v>
      </c>
      <c r="CB289" s="556">
        <f>WWWW[[#This Row],[%Equitable and continuous access to sufficient quantity of safe drinking water]]*WWWW[[#This Row],[Total PoP ]]</f>
        <v>0</v>
      </c>
      <c r="CC289" s="559">
        <f>IF((WWWW[[#This Row],['#_Constructed/Existing protected/fenced ponds]]*250)/WWWW[[#This Row],[Total PoP ]]&gt;1,1,(WWWW[[#This Row],['#_Constructed/Existing protected/fenced ponds]]*250)/WWWW[[#This Row],[Total PoP ]])</f>
        <v>0</v>
      </c>
      <c r="CD289" s="556">
        <f>WWWW[[#This Row],[% Access to unimproved water points]]*WWWW[[#This Row],[Total PoP ]]</f>
        <v>0</v>
      </c>
      <c r="CE28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8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89" s="556">
        <f>WWWW[[#This Row],[HRP1]]/500</f>
        <v>0</v>
      </c>
      <c r="CH289" s="561">
        <f>1-WWWW[[#This Row],[% Equitable and continuous access to sufficient quantity of domestic water]]</f>
        <v>1</v>
      </c>
      <c r="CI289" s="556">
        <f>WWWW[[#This Row],[%equitable and continuous access to sufficient quantity of safe drinking and domestic water''s GAP]]*WWWW[[#This Row],[Total PoP ]]</f>
        <v>985</v>
      </c>
      <c r="CJ289" s="558">
        <f>IF(WWWW[[#This Row],[Total required water points]]-WWWW[[#This Row],['#Water points coverage]]&lt;0,0,WWWW[[#This Row],[Total required water points]]-WWWW[[#This Row],['#Water points coverage]])</f>
        <v>2</v>
      </c>
      <c r="CK289" s="558">
        <f>ROUND(IF(WWWW[[#This Row],[Total PoP ]]&lt;500,1,WWWW[[#This Row],[Total PoP ]]/500),0)</f>
        <v>2</v>
      </c>
      <c r="CL289" s="558">
        <f>(WWWW[[#This Row],['#_Constructed latrines_by_WASHAgencies]]+WWWW[[#This Row],['#_Non Cluster partner latrines]])-WWWW[[#This Row],['#_Non-functional latrines]]</f>
        <v>0</v>
      </c>
      <c r="CM28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8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8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89" s="558" t="str">
        <f>IF(WWWW[[#This Row],[Location Type 1]]="Village","NA",IF(WWWW[[#This Row],['#_Constructed/Existing latrines in TLS]]*50&gt;WWWW[[#This Row],['#_students at TLS_CFS]],WWWW[[#This Row],['#_students at TLS_CFS]],(WWWW[[#This Row],['#_Constructed/Existing latrines in TLS]]*50)))</f>
        <v>NA</v>
      </c>
      <c r="CQ289" s="558">
        <f>ROUND(IF(WWWW[[#This Row],[Location Type 1]]="camp",WWWW[[#This Row],[Total PoP ]]/20,IF(WWWW[[#This Row],[Location Type 1]]="Temporary Location",WWWW[[#This Row],[Total PoP ]]/50,(WWWW[[#This Row],[Total PoP ]]/6))),0)</f>
        <v>164</v>
      </c>
      <c r="CR289" s="558">
        <f>IF(WWWW[[#This Row],[Total required Latrines]]-(WWWW[[#This Row],['#_Constructed latrines_by_WASHAgencies]]+WWWW[[#This Row],['#_Non Cluster partner latrines]])&lt;0,0,WWWW[[#This Row],[Total required Latrines]]-(WWWW[[#This Row],['#_Constructed latrines_by_WASHAgencies]]+WWWW[[#This Row],['#_Non Cluster partner latrines]]))</f>
        <v>164</v>
      </c>
      <c r="CS289" s="78">
        <f>1-WWWW[[#This Row],[% people access to functioning Latrine]]</f>
        <v>1</v>
      </c>
      <c r="CT289" s="560">
        <f>IF(OR(WWWW[[#This Row],['#_Non-functional latrines]]="",WWWW[[#This Row],['#_Non-functional latrines]]=0),0,WWWW[[#This Row],['#_Non-functional latrines]]/(WWWW[[#This Row],['#_Constructed latrines_by_WASHAgencies]]+WWWW[[#This Row],['#_Non Cluster partner latrines]]))</f>
        <v>0</v>
      </c>
      <c r="CU289" s="556">
        <f>IF(500*(WWWW[[#This Row],['#_male hygiene promoters]]+WWWW[[#This Row],['#_female hygiene promoters]])&gt;WWWW[[#This Row],[Total PoP ]],WWWW[[#This Row],[Total PoP ]],500*(WWWW[[#This Row],['#_male hygiene promoters]]+WWWW[[#This Row],['#_female hygiene promoters]]))</f>
        <v>0</v>
      </c>
      <c r="CV28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8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89" s="558">
        <f>IF(WWWW[[#This Row],['# People with access to soap]]&gt;WWWW[[#This Row],['# People with access to Sanity Pads]],WWWW[[#This Row],['# People with access to soap]],WWWW[[#This Row],['# People with access to Sanity Pads]])</f>
        <v>0</v>
      </c>
      <c r="CY28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89" s="561">
        <f>IF(WWWW[[#This Row],[HRP3]]/WWWW[[#This Row],[Total PoP ]]&gt;100%,100%,WWWW[[#This Row],[HRP3]]/WWWW[[#This Row],[Total PoP ]])</f>
        <v>0</v>
      </c>
      <c r="DA289" s="560">
        <f>1-WWWW[[#This Row],[Hygiene Coverage%]]</f>
        <v>1</v>
      </c>
      <c r="DB289" s="559">
        <f>WWWW[[#This Row],['# people reached by regular dedicated hygiene promotion_5]]/WWWW[[#This Row],[Total PoP ]]</f>
        <v>0</v>
      </c>
      <c r="DC289" s="559">
        <f>IF(WWWW[[#This Row],['#_households that received standard amount of soap for this quarter]]/WWWW[[#This Row],[Total HH]]&gt;1,1,WWWW[[#This Row],['#_households that received standard amount of soap for this quarter]]/WWWW[[#This Row],[Total HH]])</f>
        <v>0</v>
      </c>
      <c r="DD289" s="559">
        <f>IF(WWWW[[#This Row],['#_households that received standard amount of sanitary pads for this quarter]]/WWWW[[#This Row],[Total HH]]&gt;1,1,WWWW[[#This Row],['#_households that received standard amount of sanitary pads for this quarter]]/WWWW[[#This Row],[Total HH]])</f>
        <v>0</v>
      </c>
      <c r="DE289" s="558">
        <f>WWWW[[#This Row],['#_Constructed/Existing hand washing stations]]-WWWW[[#This Row],['#_Non-Functional_hand_washing_stations]]</f>
        <v>0</v>
      </c>
      <c r="DF289" s="757">
        <f>IF(WWWW[[#This Row],['# Functional hand washing stations during reporting period]]*20&gt;WWWW[[#This Row],[Total HH]],WWWW[[#This Row],[Total HH]],WWWW[[#This Row],['# Functional hand washing stations during reporting period]]*20)</f>
        <v>0</v>
      </c>
      <c r="DG289" s="556">
        <f>IF(WWWW[[#This Row],[Is sufficient soap available for TLS? (Yes/No)]]="yes",WWWW[[#This Row],['#_Constructed/Existing hand washing stations at TLS]],0)</f>
        <v>0</v>
      </c>
      <c r="DH289" s="556">
        <f>IF(WWWW[[#This Row],['# Functional hand washing stations during reporting period]]*100&gt;WWWW[[#This Row],[Total PoP ]],WWWW[[#This Row],[Total PoP ]],WWWW[[#This Row],['# Functional hand washing stations during reporting period]]*100)</f>
        <v>0</v>
      </c>
      <c r="DI289" s="556" t="str">
        <f>IF(OR(WWWW[[#This Row],['#_students at TLS_CFS]]="",WWWW[[#This Row],['#_students at TLS_CFS]]=0),"No","Yes")</f>
        <v>No</v>
      </c>
      <c r="DJ289" s="554">
        <f>VLOOKUP(WWWW[[#This Row],[Site Name]],SiteDB6[[Site Name]:[CCCM Management]],6,FALSE)</f>
        <v>0</v>
      </c>
      <c r="DK289" s="554">
        <f>VLOOKUP(WWWW[[#This Row],[Site Name]],SiteDB6[[Site Name]:[CCCM Focal Agency]],7,FALSE)</f>
        <v>0</v>
      </c>
      <c r="DL289" s="554" t="str">
        <f>VLOOKUP(WWWW[[#This Row],[Site Name]],SiteDB6[[Site Name]:[Location Type 1]],9,FALSE)</f>
        <v>Village</v>
      </c>
      <c r="DM289" s="554" t="str">
        <f>VLOOKUP(WWWW[[#This Row],[Site Name]],SiteDB6[[Site Name]:[Type of Accommodation]],10,FALSE)</f>
        <v>Village</v>
      </c>
      <c r="DN289" s="554">
        <f>VLOOKUP(WWWW[[#This Row],[Site Name]],SiteDB6[[Site Name]:[Ethnic or GCA/NGCA]],11,FALSE)</f>
        <v>0</v>
      </c>
      <c r="DO289" s="554">
        <f>VLOOKUP(WWWW[[#This Row],[Site Name]],SiteDB6[[Site Name]:[Lat]],12,FALSE)</f>
        <v>0</v>
      </c>
      <c r="DP289" s="554">
        <f>VLOOKUP(WWWW[[#This Row],[Site Name]],SiteDB6[[Site Name]:[Long]],13,FALSE)</f>
        <v>0</v>
      </c>
      <c r="DQ289" s="554">
        <f>VLOOKUP(WWWW[[#This Row],[Site Name]],SiteDB6[[Site Name]:[Pcode]],3,FALSE)</f>
        <v>197041</v>
      </c>
      <c r="DR289" s="563" t="str">
        <f t="shared" si="9"/>
        <v>Covered</v>
      </c>
      <c r="DS289" s="563"/>
    </row>
    <row r="290" spans="1:123">
      <c r="A290" s="552" t="s">
        <v>2518</v>
      </c>
      <c r="B290" s="552" t="s">
        <v>332</v>
      </c>
      <c r="C290" s="555" t="s">
        <v>332</v>
      </c>
      <c r="D290" s="555" t="s">
        <v>325</v>
      </c>
      <c r="E290" s="574" t="s">
        <v>3006</v>
      </c>
      <c r="F290" s="555" t="s">
        <v>330</v>
      </c>
      <c r="G290" s="574" t="str">
        <f>VLOOKUP(WWWW[[#This Row],[Site Name]],SiteDB6[[Site Name]:[Location Type]],8,FALSE)</f>
        <v>Village</v>
      </c>
      <c r="H290" s="555" t="s">
        <v>2909</v>
      </c>
      <c r="I290" s="557">
        <v>157</v>
      </c>
      <c r="J290" s="557">
        <v>735</v>
      </c>
      <c r="K290" s="564">
        <v>42736</v>
      </c>
      <c r="L290" s="565">
        <v>44551</v>
      </c>
      <c r="M290" s="557"/>
      <c r="N290" s="557"/>
      <c r="O290" s="557"/>
      <c r="P290" s="557"/>
      <c r="Q290" s="556"/>
      <c r="R290" s="557"/>
      <c r="S290" s="557"/>
      <c r="T290" s="557"/>
      <c r="U290" s="557"/>
      <c r="V290" s="557"/>
      <c r="W290" s="557"/>
      <c r="X290" s="557"/>
      <c r="Y290" s="557"/>
      <c r="Z290" s="557"/>
      <c r="AA290" s="557"/>
      <c r="AB290" s="557"/>
      <c r="AC290" s="557"/>
      <c r="AD290" s="557"/>
      <c r="AE290" s="557"/>
      <c r="AF290" s="557"/>
      <c r="AG290" s="557"/>
      <c r="AH290" s="557"/>
      <c r="AI290" s="557"/>
      <c r="AJ290" s="557"/>
      <c r="AK290" s="557"/>
      <c r="AL290" s="557"/>
      <c r="AM290" s="557"/>
      <c r="AN290" s="557"/>
      <c r="AO290" s="563"/>
      <c r="AP290" s="557"/>
      <c r="AQ290" s="557"/>
      <c r="AR290" s="559"/>
      <c r="AS290" s="557"/>
      <c r="AT290" s="557"/>
      <c r="AU290" s="557"/>
      <c r="AV290" s="557"/>
      <c r="AW290" s="557"/>
      <c r="AX290" s="554"/>
      <c r="AY290" s="563"/>
      <c r="AZ290" s="557"/>
      <c r="BA290" s="557"/>
      <c r="BB290" s="557"/>
      <c r="BC290" s="554"/>
      <c r="BD290" s="557"/>
      <c r="BE290" s="557"/>
      <c r="BF290" s="557"/>
      <c r="BG290" s="557"/>
      <c r="BH290" s="557"/>
      <c r="BI290" s="557"/>
      <c r="BJ290" s="557"/>
      <c r="BK290" s="557"/>
      <c r="BL290" s="557"/>
      <c r="BM290" s="554"/>
      <c r="BN290" s="558"/>
      <c r="BO290" s="559"/>
      <c r="BP290" s="554"/>
      <c r="BQ290" s="560" t="str">
        <f>IFERROR(WWWW[[#This Row],['#_Water sources treated]]/WWWW[[#This Row],['#_Water sources tested for contamination]],"no test")</f>
        <v>no test</v>
      </c>
      <c r="BR290" s="559" t="str">
        <f>IFERROR(WWWW[[#This Row],['#_Household received remediation action due to contamination]]/WWWW[[#This Row],['#_Household water samples tested for contamination]],"no test")</f>
        <v>no test</v>
      </c>
      <c r="BS290" s="558" t="str">
        <f>IF(AND(WWWW[[#This Row],[% of water sources treated]]="no test",WWWW[[#This Row],[% Household received corrective actions]]="no test"),"No Test","Tested")</f>
        <v>No Test</v>
      </c>
      <c r="BT290" s="558">
        <f>WWWW[[#This Row],['#_Constructed/existing protected hand dug well]]-WWWW[[#This Row],['#_Non-functional protected hand dug well]]</f>
        <v>0</v>
      </c>
      <c r="BU290" s="558">
        <f>(WWWW[[#This Row],['#_Constructed/Existing tube wells/boreholes/handpumps_WASH_agency]]+WWWW[[#This Row],['#_Non-Cluster partner water tube-wells/boreholes/handpumps]])-WWWW[[#This Row],['#_Non-functional tube wells/boreholes/handpumps]]</f>
        <v>0</v>
      </c>
      <c r="BV290" s="558">
        <f>WWWW[[#This Row],['#_Constructed/Existingwater storage tank with gravity fed reticulation system]]-WWWW[[#This Row],['#_Non-functional storage tank gravity fed reticulation system]]</f>
        <v>0</v>
      </c>
      <c r="BW290" s="558">
        <f>WWWW[[#This Row],['#_Water boating or water trucking]]</f>
        <v>0</v>
      </c>
      <c r="BX290" s="558">
        <f>WWWW[[#This Row],['#_Constructed/Existing water distribution system from river or natural spring]]</f>
        <v>0</v>
      </c>
      <c r="BY29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0" s="559">
        <f>IF(WWWW[[#This Row],[Location Type 1]]="Village",WWWW[[#This Row],[Access to safe drinking water for Village]],WWWW[[#This Row],[Access to safe drinking water for Camp]])</f>
        <v>0</v>
      </c>
      <c r="CB290" s="556">
        <f>WWWW[[#This Row],[%Equitable and continuous access to sufficient quantity of safe drinking water]]*WWWW[[#This Row],[Total PoP ]]</f>
        <v>0</v>
      </c>
      <c r="CC290" s="559">
        <f>IF((WWWW[[#This Row],['#_Constructed/Existing protected/fenced ponds]]*250)/WWWW[[#This Row],[Total PoP ]]&gt;1,1,(WWWW[[#This Row],['#_Constructed/Existing protected/fenced ponds]]*250)/WWWW[[#This Row],[Total PoP ]])</f>
        <v>0</v>
      </c>
      <c r="CD290" s="556">
        <f>WWWW[[#This Row],[% Access to unimproved water points]]*WWWW[[#This Row],[Total PoP ]]</f>
        <v>0</v>
      </c>
      <c r="CE29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0" s="556">
        <f>WWWW[[#This Row],[HRP1]]/500</f>
        <v>0</v>
      </c>
      <c r="CH290" s="561">
        <f>1-WWWW[[#This Row],[% Equitable and continuous access to sufficient quantity of domestic water]]</f>
        <v>1</v>
      </c>
      <c r="CI290" s="556">
        <f>WWWW[[#This Row],[%equitable and continuous access to sufficient quantity of safe drinking and domestic water''s GAP]]*WWWW[[#This Row],[Total PoP ]]</f>
        <v>735</v>
      </c>
      <c r="CJ290" s="558">
        <f>IF(WWWW[[#This Row],[Total required water points]]-WWWW[[#This Row],['#Water points coverage]]&lt;0,0,WWWW[[#This Row],[Total required water points]]-WWWW[[#This Row],['#Water points coverage]])</f>
        <v>1</v>
      </c>
      <c r="CK290" s="558">
        <f>ROUND(IF(WWWW[[#This Row],[Total PoP ]]&lt;500,1,WWWW[[#This Row],[Total PoP ]]/500),0)</f>
        <v>1</v>
      </c>
      <c r="CL290" s="558">
        <f>(WWWW[[#This Row],['#_Constructed latrines_by_WASHAgencies]]+WWWW[[#This Row],['#_Non Cluster partner latrines]])-WWWW[[#This Row],['#_Non-functional latrines]]</f>
        <v>0</v>
      </c>
      <c r="CM29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0" s="558" t="str">
        <f>IF(WWWW[[#This Row],[Location Type 1]]="Village","NA",IF(WWWW[[#This Row],['#_Constructed/Existing latrines in TLS]]*50&gt;WWWW[[#This Row],['#_students at TLS_CFS]],WWWW[[#This Row],['#_students at TLS_CFS]],(WWWW[[#This Row],['#_Constructed/Existing latrines in TLS]]*50)))</f>
        <v>NA</v>
      </c>
      <c r="CQ290" s="558">
        <f>ROUND(IF(WWWW[[#This Row],[Location Type 1]]="camp",WWWW[[#This Row],[Total PoP ]]/20,IF(WWWW[[#This Row],[Location Type 1]]="Temporary Location",WWWW[[#This Row],[Total PoP ]]/50,(WWWW[[#This Row],[Total PoP ]]/6))),0)</f>
        <v>123</v>
      </c>
      <c r="CR290" s="558">
        <f>IF(WWWW[[#This Row],[Total required Latrines]]-(WWWW[[#This Row],['#_Constructed latrines_by_WASHAgencies]]+WWWW[[#This Row],['#_Non Cluster partner latrines]])&lt;0,0,WWWW[[#This Row],[Total required Latrines]]-(WWWW[[#This Row],['#_Constructed latrines_by_WASHAgencies]]+WWWW[[#This Row],['#_Non Cluster partner latrines]]))</f>
        <v>123</v>
      </c>
      <c r="CS290" s="78">
        <f>1-WWWW[[#This Row],[% people access to functioning Latrine]]</f>
        <v>1</v>
      </c>
      <c r="CT290" s="560">
        <f>IF(OR(WWWW[[#This Row],['#_Non-functional latrines]]="",WWWW[[#This Row],['#_Non-functional latrines]]=0),0,WWWW[[#This Row],['#_Non-functional latrines]]/(WWWW[[#This Row],['#_Constructed latrines_by_WASHAgencies]]+WWWW[[#This Row],['#_Non Cluster partner latrines]]))</f>
        <v>0</v>
      </c>
      <c r="CU290" s="556">
        <f>IF(500*(WWWW[[#This Row],['#_male hygiene promoters]]+WWWW[[#This Row],['#_female hygiene promoters]])&gt;WWWW[[#This Row],[Total PoP ]],WWWW[[#This Row],[Total PoP ]],500*(WWWW[[#This Row],['#_male hygiene promoters]]+WWWW[[#This Row],['#_female hygiene promoters]]))</f>
        <v>0</v>
      </c>
      <c r="CV29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0" s="558">
        <f>IF(WWWW[[#This Row],['# People with access to soap]]&gt;WWWW[[#This Row],['# People with access to Sanity Pads]],WWWW[[#This Row],['# People with access to soap]],WWWW[[#This Row],['# People with access to Sanity Pads]])</f>
        <v>0</v>
      </c>
      <c r="CY29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0" s="561">
        <f>IF(WWWW[[#This Row],[HRP3]]/WWWW[[#This Row],[Total PoP ]]&gt;100%,100%,WWWW[[#This Row],[HRP3]]/WWWW[[#This Row],[Total PoP ]])</f>
        <v>0</v>
      </c>
      <c r="DA290" s="560">
        <f>1-WWWW[[#This Row],[Hygiene Coverage%]]</f>
        <v>1</v>
      </c>
      <c r="DB290" s="559">
        <f>WWWW[[#This Row],['# people reached by regular dedicated hygiene promotion_5]]/WWWW[[#This Row],[Total PoP ]]</f>
        <v>0</v>
      </c>
      <c r="DC290" s="559">
        <f>IF(WWWW[[#This Row],['#_households that received standard amount of soap for this quarter]]/WWWW[[#This Row],[Total HH]]&gt;1,1,WWWW[[#This Row],['#_households that received standard amount of soap for this quarter]]/WWWW[[#This Row],[Total HH]])</f>
        <v>0</v>
      </c>
      <c r="DD290" s="559">
        <f>IF(WWWW[[#This Row],['#_households that received standard amount of sanitary pads for this quarter]]/WWWW[[#This Row],[Total HH]]&gt;1,1,WWWW[[#This Row],['#_households that received standard amount of sanitary pads for this quarter]]/WWWW[[#This Row],[Total HH]])</f>
        <v>0</v>
      </c>
      <c r="DE290" s="558">
        <f>WWWW[[#This Row],['#_Constructed/Existing hand washing stations]]-WWWW[[#This Row],['#_Non-Functional_hand_washing_stations]]</f>
        <v>0</v>
      </c>
      <c r="DF290" s="757">
        <f>IF(WWWW[[#This Row],['# Functional hand washing stations during reporting period]]*20&gt;WWWW[[#This Row],[Total HH]],WWWW[[#This Row],[Total HH]],WWWW[[#This Row],['# Functional hand washing stations during reporting period]]*20)</f>
        <v>0</v>
      </c>
      <c r="DG290" s="556">
        <f>IF(WWWW[[#This Row],[Is sufficient soap available for TLS? (Yes/No)]]="yes",WWWW[[#This Row],['#_Constructed/Existing hand washing stations at TLS]],0)</f>
        <v>0</v>
      </c>
      <c r="DH290" s="556">
        <f>IF(WWWW[[#This Row],['# Functional hand washing stations during reporting period]]*100&gt;WWWW[[#This Row],[Total PoP ]],WWWW[[#This Row],[Total PoP ]],WWWW[[#This Row],['# Functional hand washing stations during reporting period]]*100)</f>
        <v>0</v>
      </c>
      <c r="DI290" s="556" t="str">
        <f>IF(OR(WWWW[[#This Row],['#_students at TLS_CFS]]="",WWWW[[#This Row],['#_students at TLS_CFS]]=0),"No","Yes")</f>
        <v>No</v>
      </c>
      <c r="DJ290" s="554">
        <f>VLOOKUP(WWWW[[#This Row],[Site Name]],SiteDB6[[Site Name]:[CCCM Management]],6,FALSE)</f>
        <v>0</v>
      </c>
      <c r="DK290" s="554">
        <f>VLOOKUP(WWWW[[#This Row],[Site Name]],SiteDB6[[Site Name]:[CCCM Focal Agency]],7,FALSE)</f>
        <v>0</v>
      </c>
      <c r="DL290" s="554" t="str">
        <f>VLOOKUP(WWWW[[#This Row],[Site Name]],SiteDB6[[Site Name]:[Location Type 1]],9,FALSE)</f>
        <v>Village</v>
      </c>
      <c r="DM290" s="554" t="str">
        <f>VLOOKUP(WWWW[[#This Row],[Site Name]],SiteDB6[[Site Name]:[Type of Accommodation]],10,FALSE)</f>
        <v>Village</v>
      </c>
      <c r="DN290" s="554">
        <f>VLOOKUP(WWWW[[#This Row],[Site Name]],SiteDB6[[Site Name]:[Ethnic or GCA/NGCA]],11,FALSE)</f>
        <v>0</v>
      </c>
      <c r="DO290" s="554">
        <f>VLOOKUP(WWWW[[#This Row],[Site Name]],SiteDB6[[Site Name]:[Lat]],12,FALSE)</f>
        <v>0</v>
      </c>
      <c r="DP290" s="554">
        <f>VLOOKUP(WWWW[[#This Row],[Site Name]],SiteDB6[[Site Name]:[Long]],13,FALSE)</f>
        <v>0</v>
      </c>
      <c r="DQ290" s="554">
        <f>VLOOKUP(WWWW[[#This Row],[Site Name]],SiteDB6[[Site Name]:[Pcode]],3,FALSE)</f>
        <v>197042</v>
      </c>
      <c r="DR290" s="563" t="str">
        <f t="shared" si="9"/>
        <v>Covered</v>
      </c>
      <c r="DS290" s="563"/>
    </row>
    <row r="291" spans="1:123">
      <c r="A291" s="552" t="s">
        <v>2518</v>
      </c>
      <c r="B291" s="552" t="s">
        <v>332</v>
      </c>
      <c r="C291" s="555" t="s">
        <v>332</v>
      </c>
      <c r="D291" s="555" t="s">
        <v>325</v>
      </c>
      <c r="E291" s="574" t="s">
        <v>3006</v>
      </c>
      <c r="F291" s="555" t="s">
        <v>330</v>
      </c>
      <c r="G291" s="574" t="str">
        <f>VLOOKUP(WWWW[[#This Row],[Site Name]],SiteDB6[[Site Name]:[Location Type]],8,FALSE)</f>
        <v>Village</v>
      </c>
      <c r="H291" s="555" t="s">
        <v>2910</v>
      </c>
      <c r="I291" s="557">
        <v>35</v>
      </c>
      <c r="J291" s="557">
        <v>142</v>
      </c>
      <c r="K291" s="564">
        <v>42736</v>
      </c>
      <c r="L291" s="565">
        <v>44551</v>
      </c>
      <c r="M291" s="557"/>
      <c r="N291" s="557"/>
      <c r="O291" s="557"/>
      <c r="P291" s="557"/>
      <c r="Q291" s="556"/>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7"/>
      <c r="AM291" s="557"/>
      <c r="AN291" s="557"/>
      <c r="AO291" s="563"/>
      <c r="AP291" s="557"/>
      <c r="AQ291" s="557"/>
      <c r="AR291" s="559"/>
      <c r="AS291" s="557"/>
      <c r="AT291" s="557"/>
      <c r="AU291" s="557"/>
      <c r="AV291" s="557"/>
      <c r="AW291" s="557"/>
      <c r="AX291" s="554"/>
      <c r="AY291" s="563"/>
      <c r="AZ291" s="557"/>
      <c r="BA291" s="557"/>
      <c r="BB291" s="557"/>
      <c r="BC291" s="554"/>
      <c r="BD291" s="557"/>
      <c r="BE291" s="557"/>
      <c r="BF291" s="557"/>
      <c r="BG291" s="557"/>
      <c r="BH291" s="557"/>
      <c r="BI291" s="557"/>
      <c r="BJ291" s="557"/>
      <c r="BK291" s="557"/>
      <c r="BL291" s="557"/>
      <c r="BM291" s="554"/>
      <c r="BN291" s="558"/>
      <c r="BO291" s="559"/>
      <c r="BP291" s="554"/>
      <c r="BQ291" s="560" t="str">
        <f>IFERROR(WWWW[[#This Row],['#_Water sources treated]]/WWWW[[#This Row],['#_Water sources tested for contamination]],"no test")</f>
        <v>no test</v>
      </c>
      <c r="BR291" s="559" t="str">
        <f>IFERROR(WWWW[[#This Row],['#_Household received remediation action due to contamination]]/WWWW[[#This Row],['#_Household water samples tested for contamination]],"no test")</f>
        <v>no test</v>
      </c>
      <c r="BS291" s="558" t="str">
        <f>IF(AND(WWWW[[#This Row],[% of water sources treated]]="no test",WWWW[[#This Row],[% Household received corrective actions]]="no test"),"No Test","Tested")</f>
        <v>No Test</v>
      </c>
      <c r="BT291" s="558">
        <f>WWWW[[#This Row],['#_Constructed/existing protected hand dug well]]-WWWW[[#This Row],['#_Non-functional protected hand dug well]]</f>
        <v>0</v>
      </c>
      <c r="BU291" s="558">
        <f>(WWWW[[#This Row],['#_Constructed/Existing tube wells/boreholes/handpumps_WASH_agency]]+WWWW[[#This Row],['#_Non-Cluster partner water tube-wells/boreholes/handpumps]])-WWWW[[#This Row],['#_Non-functional tube wells/boreholes/handpumps]]</f>
        <v>0</v>
      </c>
      <c r="BV291" s="558">
        <f>WWWW[[#This Row],['#_Constructed/Existingwater storage tank with gravity fed reticulation system]]-WWWW[[#This Row],['#_Non-functional storage tank gravity fed reticulation system]]</f>
        <v>0</v>
      </c>
      <c r="BW291" s="558">
        <f>WWWW[[#This Row],['#_Water boating or water trucking]]</f>
        <v>0</v>
      </c>
      <c r="BX291" s="558">
        <f>WWWW[[#This Row],['#_Constructed/Existing water distribution system from river or natural spring]]</f>
        <v>0</v>
      </c>
      <c r="BY29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1" s="559">
        <f>IF(WWWW[[#This Row],[Location Type 1]]="Village",WWWW[[#This Row],[Access to safe drinking water for Village]],WWWW[[#This Row],[Access to safe drinking water for Camp]])</f>
        <v>0</v>
      </c>
      <c r="CB291" s="556">
        <f>WWWW[[#This Row],[%Equitable and continuous access to sufficient quantity of safe drinking water]]*WWWW[[#This Row],[Total PoP ]]</f>
        <v>0</v>
      </c>
      <c r="CC291" s="559">
        <f>IF((WWWW[[#This Row],['#_Constructed/Existing protected/fenced ponds]]*250)/WWWW[[#This Row],[Total PoP ]]&gt;1,1,(WWWW[[#This Row],['#_Constructed/Existing protected/fenced ponds]]*250)/WWWW[[#This Row],[Total PoP ]])</f>
        <v>0</v>
      </c>
      <c r="CD291" s="556">
        <f>WWWW[[#This Row],[% Access to unimproved water points]]*WWWW[[#This Row],[Total PoP ]]</f>
        <v>0</v>
      </c>
      <c r="CE29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1" s="556">
        <f>WWWW[[#This Row],[HRP1]]/500</f>
        <v>0</v>
      </c>
      <c r="CH291" s="561">
        <f>1-WWWW[[#This Row],[% Equitable and continuous access to sufficient quantity of domestic water]]</f>
        <v>1</v>
      </c>
      <c r="CI291" s="556">
        <f>WWWW[[#This Row],[%equitable and continuous access to sufficient quantity of safe drinking and domestic water''s GAP]]*WWWW[[#This Row],[Total PoP ]]</f>
        <v>142</v>
      </c>
      <c r="CJ291" s="558">
        <f>IF(WWWW[[#This Row],[Total required water points]]-WWWW[[#This Row],['#Water points coverage]]&lt;0,0,WWWW[[#This Row],[Total required water points]]-WWWW[[#This Row],['#Water points coverage]])</f>
        <v>1</v>
      </c>
      <c r="CK291" s="558">
        <f>ROUND(IF(WWWW[[#This Row],[Total PoP ]]&lt;500,1,WWWW[[#This Row],[Total PoP ]]/500),0)</f>
        <v>1</v>
      </c>
      <c r="CL291" s="558">
        <f>(WWWW[[#This Row],['#_Constructed latrines_by_WASHAgencies]]+WWWW[[#This Row],['#_Non Cluster partner latrines]])-WWWW[[#This Row],['#_Non-functional latrines]]</f>
        <v>0</v>
      </c>
      <c r="CM29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1" s="558" t="str">
        <f>IF(WWWW[[#This Row],[Location Type 1]]="Village","NA",IF(WWWW[[#This Row],['#_Constructed/Existing latrines in TLS]]*50&gt;WWWW[[#This Row],['#_students at TLS_CFS]],WWWW[[#This Row],['#_students at TLS_CFS]],(WWWW[[#This Row],['#_Constructed/Existing latrines in TLS]]*50)))</f>
        <v>NA</v>
      </c>
      <c r="CQ291" s="558">
        <f>ROUND(IF(WWWW[[#This Row],[Location Type 1]]="camp",WWWW[[#This Row],[Total PoP ]]/20,IF(WWWW[[#This Row],[Location Type 1]]="Temporary Location",WWWW[[#This Row],[Total PoP ]]/50,(WWWW[[#This Row],[Total PoP ]]/6))),0)</f>
        <v>24</v>
      </c>
      <c r="CR291" s="558">
        <f>IF(WWWW[[#This Row],[Total required Latrines]]-(WWWW[[#This Row],['#_Constructed latrines_by_WASHAgencies]]+WWWW[[#This Row],['#_Non Cluster partner latrines]])&lt;0,0,WWWW[[#This Row],[Total required Latrines]]-(WWWW[[#This Row],['#_Constructed latrines_by_WASHAgencies]]+WWWW[[#This Row],['#_Non Cluster partner latrines]]))</f>
        <v>24</v>
      </c>
      <c r="CS291" s="78">
        <f>1-WWWW[[#This Row],[% people access to functioning Latrine]]</f>
        <v>1</v>
      </c>
      <c r="CT291" s="560">
        <f>IF(OR(WWWW[[#This Row],['#_Non-functional latrines]]="",WWWW[[#This Row],['#_Non-functional latrines]]=0),0,WWWW[[#This Row],['#_Non-functional latrines]]/(WWWW[[#This Row],['#_Constructed latrines_by_WASHAgencies]]+WWWW[[#This Row],['#_Non Cluster partner latrines]]))</f>
        <v>0</v>
      </c>
      <c r="CU291" s="556">
        <f>IF(500*(WWWW[[#This Row],['#_male hygiene promoters]]+WWWW[[#This Row],['#_female hygiene promoters]])&gt;WWWW[[#This Row],[Total PoP ]],WWWW[[#This Row],[Total PoP ]],500*(WWWW[[#This Row],['#_male hygiene promoters]]+WWWW[[#This Row],['#_female hygiene promoters]]))</f>
        <v>0</v>
      </c>
      <c r="CV29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1" s="558">
        <f>IF(WWWW[[#This Row],['# People with access to soap]]&gt;WWWW[[#This Row],['# People with access to Sanity Pads]],WWWW[[#This Row],['# People with access to soap]],WWWW[[#This Row],['# People with access to Sanity Pads]])</f>
        <v>0</v>
      </c>
      <c r="CY29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1" s="561">
        <f>IF(WWWW[[#This Row],[HRP3]]/WWWW[[#This Row],[Total PoP ]]&gt;100%,100%,WWWW[[#This Row],[HRP3]]/WWWW[[#This Row],[Total PoP ]])</f>
        <v>0</v>
      </c>
      <c r="DA291" s="560">
        <f>1-WWWW[[#This Row],[Hygiene Coverage%]]</f>
        <v>1</v>
      </c>
      <c r="DB291" s="559">
        <f>WWWW[[#This Row],['# people reached by regular dedicated hygiene promotion_5]]/WWWW[[#This Row],[Total PoP ]]</f>
        <v>0</v>
      </c>
      <c r="DC291" s="559">
        <f>IF(WWWW[[#This Row],['#_households that received standard amount of soap for this quarter]]/WWWW[[#This Row],[Total HH]]&gt;1,1,WWWW[[#This Row],['#_households that received standard amount of soap for this quarter]]/WWWW[[#This Row],[Total HH]])</f>
        <v>0</v>
      </c>
      <c r="DD291" s="559">
        <f>IF(WWWW[[#This Row],['#_households that received standard amount of sanitary pads for this quarter]]/WWWW[[#This Row],[Total HH]]&gt;1,1,WWWW[[#This Row],['#_households that received standard amount of sanitary pads for this quarter]]/WWWW[[#This Row],[Total HH]])</f>
        <v>0</v>
      </c>
      <c r="DE291" s="558">
        <f>WWWW[[#This Row],['#_Constructed/Existing hand washing stations]]-WWWW[[#This Row],['#_Non-Functional_hand_washing_stations]]</f>
        <v>0</v>
      </c>
      <c r="DF291" s="757">
        <f>IF(WWWW[[#This Row],['# Functional hand washing stations during reporting period]]*20&gt;WWWW[[#This Row],[Total HH]],WWWW[[#This Row],[Total HH]],WWWW[[#This Row],['# Functional hand washing stations during reporting period]]*20)</f>
        <v>0</v>
      </c>
      <c r="DG291" s="556">
        <f>IF(WWWW[[#This Row],[Is sufficient soap available for TLS? (Yes/No)]]="yes",WWWW[[#This Row],['#_Constructed/Existing hand washing stations at TLS]],0)</f>
        <v>0</v>
      </c>
      <c r="DH291" s="556">
        <f>IF(WWWW[[#This Row],['# Functional hand washing stations during reporting period]]*100&gt;WWWW[[#This Row],[Total PoP ]],WWWW[[#This Row],[Total PoP ]],WWWW[[#This Row],['# Functional hand washing stations during reporting period]]*100)</f>
        <v>0</v>
      </c>
      <c r="DI291" s="556" t="str">
        <f>IF(OR(WWWW[[#This Row],['#_students at TLS_CFS]]="",WWWW[[#This Row],['#_students at TLS_CFS]]=0),"No","Yes")</f>
        <v>No</v>
      </c>
      <c r="DJ291" s="554">
        <f>VLOOKUP(WWWW[[#This Row],[Site Name]],SiteDB6[[Site Name]:[CCCM Management]],6,FALSE)</f>
        <v>0</v>
      </c>
      <c r="DK291" s="554">
        <f>VLOOKUP(WWWW[[#This Row],[Site Name]],SiteDB6[[Site Name]:[CCCM Focal Agency]],7,FALSE)</f>
        <v>0</v>
      </c>
      <c r="DL291" s="554" t="str">
        <f>VLOOKUP(WWWW[[#This Row],[Site Name]],SiteDB6[[Site Name]:[Location Type 1]],9,FALSE)</f>
        <v>Village</v>
      </c>
      <c r="DM291" s="554" t="str">
        <f>VLOOKUP(WWWW[[#This Row],[Site Name]],SiteDB6[[Site Name]:[Type of Accommodation]],10,FALSE)</f>
        <v>Village</v>
      </c>
      <c r="DN291" s="554">
        <f>VLOOKUP(WWWW[[#This Row],[Site Name]],SiteDB6[[Site Name]:[Ethnic or GCA/NGCA]],11,FALSE)</f>
        <v>0</v>
      </c>
      <c r="DO291" s="554">
        <f>VLOOKUP(WWWW[[#This Row],[Site Name]],SiteDB6[[Site Name]:[Lat]],12,FALSE)</f>
        <v>0</v>
      </c>
      <c r="DP291" s="554">
        <f>VLOOKUP(WWWW[[#This Row],[Site Name]],SiteDB6[[Site Name]:[Long]],13,FALSE)</f>
        <v>0</v>
      </c>
      <c r="DQ291" s="554">
        <f>VLOOKUP(WWWW[[#This Row],[Site Name]],SiteDB6[[Site Name]:[Pcode]],3,FALSE)</f>
        <v>197043</v>
      </c>
      <c r="DR291" s="563" t="str">
        <f t="shared" si="9"/>
        <v>Covered</v>
      </c>
      <c r="DS291" s="563"/>
    </row>
    <row r="292" spans="1:123">
      <c r="A292" s="552" t="s">
        <v>2518</v>
      </c>
      <c r="B292" s="552" t="s">
        <v>332</v>
      </c>
      <c r="C292" s="555" t="s">
        <v>332</v>
      </c>
      <c r="D292" s="555" t="s">
        <v>325</v>
      </c>
      <c r="E292" s="574" t="s">
        <v>3006</v>
      </c>
      <c r="F292" s="555" t="s">
        <v>330</v>
      </c>
      <c r="G292" s="574" t="str">
        <f>VLOOKUP(WWWW[[#This Row],[Site Name]],SiteDB6[[Site Name]:[Location Type]],8,FALSE)</f>
        <v>Village</v>
      </c>
      <c r="H292" s="555" t="s">
        <v>2911</v>
      </c>
      <c r="I292" s="557">
        <v>148</v>
      </c>
      <c r="J292" s="557">
        <v>630</v>
      </c>
      <c r="K292" s="564">
        <v>42736</v>
      </c>
      <c r="L292" s="565">
        <v>44551</v>
      </c>
      <c r="M292" s="557"/>
      <c r="N292" s="557"/>
      <c r="O292" s="557"/>
      <c r="P292" s="557"/>
      <c r="Q292" s="556"/>
      <c r="R292" s="557"/>
      <c r="S292" s="557"/>
      <c r="T292" s="557"/>
      <c r="U292" s="557"/>
      <c r="V292" s="557"/>
      <c r="W292" s="557"/>
      <c r="X292" s="557"/>
      <c r="Y292" s="557"/>
      <c r="Z292" s="557"/>
      <c r="AA292" s="557"/>
      <c r="AB292" s="557"/>
      <c r="AC292" s="557"/>
      <c r="AD292" s="557"/>
      <c r="AE292" s="557"/>
      <c r="AF292" s="557"/>
      <c r="AG292" s="557"/>
      <c r="AH292" s="557"/>
      <c r="AI292" s="557"/>
      <c r="AJ292" s="557"/>
      <c r="AK292" s="557"/>
      <c r="AL292" s="557"/>
      <c r="AM292" s="557"/>
      <c r="AN292" s="557"/>
      <c r="AO292" s="563"/>
      <c r="AP292" s="557"/>
      <c r="AQ292" s="557"/>
      <c r="AR292" s="559"/>
      <c r="AS292" s="557"/>
      <c r="AT292" s="557"/>
      <c r="AU292" s="557"/>
      <c r="AV292" s="557"/>
      <c r="AW292" s="557"/>
      <c r="AX292" s="554"/>
      <c r="AY292" s="563"/>
      <c r="AZ292" s="557"/>
      <c r="BA292" s="557"/>
      <c r="BB292" s="557"/>
      <c r="BC292" s="554"/>
      <c r="BD292" s="557"/>
      <c r="BE292" s="557"/>
      <c r="BF292" s="557"/>
      <c r="BG292" s="557"/>
      <c r="BH292" s="557"/>
      <c r="BI292" s="557"/>
      <c r="BJ292" s="557"/>
      <c r="BK292" s="557"/>
      <c r="BL292" s="557"/>
      <c r="BM292" s="554"/>
      <c r="BN292" s="558"/>
      <c r="BO292" s="559"/>
      <c r="BP292" s="554"/>
      <c r="BQ292" s="560" t="str">
        <f>IFERROR(WWWW[[#This Row],['#_Water sources treated]]/WWWW[[#This Row],['#_Water sources tested for contamination]],"no test")</f>
        <v>no test</v>
      </c>
      <c r="BR292" s="559" t="str">
        <f>IFERROR(WWWW[[#This Row],['#_Household received remediation action due to contamination]]/WWWW[[#This Row],['#_Household water samples tested for contamination]],"no test")</f>
        <v>no test</v>
      </c>
      <c r="BS292" s="558" t="str">
        <f>IF(AND(WWWW[[#This Row],[% of water sources treated]]="no test",WWWW[[#This Row],[% Household received corrective actions]]="no test"),"No Test","Tested")</f>
        <v>No Test</v>
      </c>
      <c r="BT292" s="558">
        <f>WWWW[[#This Row],['#_Constructed/existing protected hand dug well]]-WWWW[[#This Row],['#_Non-functional protected hand dug well]]</f>
        <v>0</v>
      </c>
      <c r="BU292" s="558">
        <f>(WWWW[[#This Row],['#_Constructed/Existing tube wells/boreholes/handpumps_WASH_agency]]+WWWW[[#This Row],['#_Non-Cluster partner water tube-wells/boreholes/handpumps]])-WWWW[[#This Row],['#_Non-functional tube wells/boreholes/handpumps]]</f>
        <v>0</v>
      </c>
      <c r="BV292" s="558">
        <f>WWWW[[#This Row],['#_Constructed/Existingwater storage tank with gravity fed reticulation system]]-WWWW[[#This Row],['#_Non-functional storage tank gravity fed reticulation system]]</f>
        <v>0</v>
      </c>
      <c r="BW292" s="558">
        <f>WWWW[[#This Row],['#_Water boating or water trucking]]</f>
        <v>0</v>
      </c>
      <c r="BX292" s="558">
        <f>WWWW[[#This Row],['#_Constructed/Existing water distribution system from river or natural spring]]</f>
        <v>0</v>
      </c>
      <c r="BY29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2" s="559">
        <f>IF(WWWW[[#This Row],[Location Type 1]]="Village",WWWW[[#This Row],[Access to safe drinking water for Village]],WWWW[[#This Row],[Access to safe drinking water for Camp]])</f>
        <v>0</v>
      </c>
      <c r="CB292" s="556">
        <f>WWWW[[#This Row],[%Equitable and continuous access to sufficient quantity of safe drinking water]]*WWWW[[#This Row],[Total PoP ]]</f>
        <v>0</v>
      </c>
      <c r="CC292" s="559">
        <f>IF((WWWW[[#This Row],['#_Constructed/Existing protected/fenced ponds]]*250)/WWWW[[#This Row],[Total PoP ]]&gt;1,1,(WWWW[[#This Row],['#_Constructed/Existing protected/fenced ponds]]*250)/WWWW[[#This Row],[Total PoP ]])</f>
        <v>0</v>
      </c>
      <c r="CD292" s="556">
        <f>WWWW[[#This Row],[% Access to unimproved water points]]*WWWW[[#This Row],[Total PoP ]]</f>
        <v>0</v>
      </c>
      <c r="CE29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2" s="556">
        <f>WWWW[[#This Row],[HRP1]]/500</f>
        <v>0</v>
      </c>
      <c r="CH292" s="561">
        <f>1-WWWW[[#This Row],[% Equitable and continuous access to sufficient quantity of domestic water]]</f>
        <v>1</v>
      </c>
      <c r="CI292" s="556">
        <f>WWWW[[#This Row],[%equitable and continuous access to sufficient quantity of safe drinking and domestic water''s GAP]]*WWWW[[#This Row],[Total PoP ]]</f>
        <v>630</v>
      </c>
      <c r="CJ292" s="558">
        <f>IF(WWWW[[#This Row],[Total required water points]]-WWWW[[#This Row],['#Water points coverage]]&lt;0,0,WWWW[[#This Row],[Total required water points]]-WWWW[[#This Row],['#Water points coverage]])</f>
        <v>1</v>
      </c>
      <c r="CK292" s="558">
        <f>ROUND(IF(WWWW[[#This Row],[Total PoP ]]&lt;500,1,WWWW[[#This Row],[Total PoP ]]/500),0)</f>
        <v>1</v>
      </c>
      <c r="CL292" s="558">
        <f>(WWWW[[#This Row],['#_Constructed latrines_by_WASHAgencies]]+WWWW[[#This Row],['#_Non Cluster partner latrines]])-WWWW[[#This Row],['#_Non-functional latrines]]</f>
        <v>0</v>
      </c>
      <c r="CM29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2" s="558" t="str">
        <f>IF(WWWW[[#This Row],[Location Type 1]]="Village","NA",IF(WWWW[[#This Row],['#_Constructed/Existing latrines in TLS]]*50&gt;WWWW[[#This Row],['#_students at TLS_CFS]],WWWW[[#This Row],['#_students at TLS_CFS]],(WWWW[[#This Row],['#_Constructed/Existing latrines in TLS]]*50)))</f>
        <v>NA</v>
      </c>
      <c r="CQ292" s="558">
        <f>ROUND(IF(WWWW[[#This Row],[Location Type 1]]="camp",WWWW[[#This Row],[Total PoP ]]/20,IF(WWWW[[#This Row],[Location Type 1]]="Temporary Location",WWWW[[#This Row],[Total PoP ]]/50,(WWWW[[#This Row],[Total PoP ]]/6))),0)</f>
        <v>105</v>
      </c>
      <c r="CR292" s="558">
        <f>IF(WWWW[[#This Row],[Total required Latrines]]-(WWWW[[#This Row],['#_Constructed latrines_by_WASHAgencies]]+WWWW[[#This Row],['#_Non Cluster partner latrines]])&lt;0,0,WWWW[[#This Row],[Total required Latrines]]-(WWWW[[#This Row],['#_Constructed latrines_by_WASHAgencies]]+WWWW[[#This Row],['#_Non Cluster partner latrines]]))</f>
        <v>105</v>
      </c>
      <c r="CS292" s="78">
        <f>1-WWWW[[#This Row],[% people access to functioning Latrine]]</f>
        <v>1</v>
      </c>
      <c r="CT292" s="560">
        <f>IF(OR(WWWW[[#This Row],['#_Non-functional latrines]]="",WWWW[[#This Row],['#_Non-functional latrines]]=0),0,WWWW[[#This Row],['#_Non-functional latrines]]/(WWWW[[#This Row],['#_Constructed latrines_by_WASHAgencies]]+WWWW[[#This Row],['#_Non Cluster partner latrines]]))</f>
        <v>0</v>
      </c>
      <c r="CU292" s="556">
        <f>IF(500*(WWWW[[#This Row],['#_male hygiene promoters]]+WWWW[[#This Row],['#_female hygiene promoters]])&gt;WWWW[[#This Row],[Total PoP ]],WWWW[[#This Row],[Total PoP ]],500*(WWWW[[#This Row],['#_male hygiene promoters]]+WWWW[[#This Row],['#_female hygiene promoters]]))</f>
        <v>0</v>
      </c>
      <c r="CV29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2" s="558">
        <f>IF(WWWW[[#This Row],['# People with access to soap]]&gt;WWWW[[#This Row],['# People with access to Sanity Pads]],WWWW[[#This Row],['# People with access to soap]],WWWW[[#This Row],['# People with access to Sanity Pads]])</f>
        <v>0</v>
      </c>
      <c r="CY29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2" s="561">
        <f>IF(WWWW[[#This Row],[HRP3]]/WWWW[[#This Row],[Total PoP ]]&gt;100%,100%,WWWW[[#This Row],[HRP3]]/WWWW[[#This Row],[Total PoP ]])</f>
        <v>0</v>
      </c>
      <c r="DA292" s="560">
        <f>1-WWWW[[#This Row],[Hygiene Coverage%]]</f>
        <v>1</v>
      </c>
      <c r="DB292" s="559">
        <f>WWWW[[#This Row],['# people reached by regular dedicated hygiene promotion_5]]/WWWW[[#This Row],[Total PoP ]]</f>
        <v>0</v>
      </c>
      <c r="DC292" s="559">
        <f>IF(WWWW[[#This Row],['#_households that received standard amount of soap for this quarter]]/WWWW[[#This Row],[Total HH]]&gt;1,1,WWWW[[#This Row],['#_households that received standard amount of soap for this quarter]]/WWWW[[#This Row],[Total HH]])</f>
        <v>0</v>
      </c>
      <c r="DD292" s="559">
        <f>IF(WWWW[[#This Row],['#_households that received standard amount of sanitary pads for this quarter]]/WWWW[[#This Row],[Total HH]]&gt;1,1,WWWW[[#This Row],['#_households that received standard amount of sanitary pads for this quarter]]/WWWW[[#This Row],[Total HH]])</f>
        <v>0</v>
      </c>
      <c r="DE292" s="558">
        <f>WWWW[[#This Row],['#_Constructed/Existing hand washing stations]]-WWWW[[#This Row],['#_Non-Functional_hand_washing_stations]]</f>
        <v>0</v>
      </c>
      <c r="DF292" s="757">
        <f>IF(WWWW[[#This Row],['# Functional hand washing stations during reporting period]]*20&gt;WWWW[[#This Row],[Total HH]],WWWW[[#This Row],[Total HH]],WWWW[[#This Row],['# Functional hand washing stations during reporting period]]*20)</f>
        <v>0</v>
      </c>
      <c r="DG292" s="556">
        <f>IF(WWWW[[#This Row],[Is sufficient soap available for TLS? (Yes/No)]]="yes",WWWW[[#This Row],['#_Constructed/Existing hand washing stations at TLS]],0)</f>
        <v>0</v>
      </c>
      <c r="DH292" s="556">
        <f>IF(WWWW[[#This Row],['# Functional hand washing stations during reporting period]]*100&gt;WWWW[[#This Row],[Total PoP ]],WWWW[[#This Row],[Total PoP ]],WWWW[[#This Row],['# Functional hand washing stations during reporting period]]*100)</f>
        <v>0</v>
      </c>
      <c r="DI292" s="556" t="str">
        <f>IF(OR(WWWW[[#This Row],['#_students at TLS_CFS]]="",WWWW[[#This Row],['#_students at TLS_CFS]]=0),"No","Yes")</f>
        <v>No</v>
      </c>
      <c r="DJ292" s="554">
        <f>VLOOKUP(WWWW[[#This Row],[Site Name]],SiteDB6[[Site Name]:[CCCM Management]],6,FALSE)</f>
        <v>0</v>
      </c>
      <c r="DK292" s="554">
        <f>VLOOKUP(WWWW[[#This Row],[Site Name]],SiteDB6[[Site Name]:[CCCM Focal Agency]],7,FALSE)</f>
        <v>0</v>
      </c>
      <c r="DL292" s="554" t="str">
        <f>VLOOKUP(WWWW[[#This Row],[Site Name]],SiteDB6[[Site Name]:[Location Type 1]],9,FALSE)</f>
        <v>Village</v>
      </c>
      <c r="DM292" s="554" t="str">
        <f>VLOOKUP(WWWW[[#This Row],[Site Name]],SiteDB6[[Site Name]:[Type of Accommodation]],10,FALSE)</f>
        <v>Village</v>
      </c>
      <c r="DN292" s="554">
        <f>VLOOKUP(WWWW[[#This Row],[Site Name]],SiteDB6[[Site Name]:[Ethnic or GCA/NGCA]],11,FALSE)</f>
        <v>0</v>
      </c>
      <c r="DO292" s="554">
        <f>VLOOKUP(WWWW[[#This Row],[Site Name]],SiteDB6[[Site Name]:[Lat]],12,FALSE)</f>
        <v>0</v>
      </c>
      <c r="DP292" s="554">
        <f>VLOOKUP(WWWW[[#This Row],[Site Name]],SiteDB6[[Site Name]:[Long]],13,FALSE)</f>
        <v>0</v>
      </c>
      <c r="DQ292" s="554">
        <f>VLOOKUP(WWWW[[#This Row],[Site Name]],SiteDB6[[Site Name]:[Pcode]],3,FALSE)</f>
        <v>197089</v>
      </c>
      <c r="DR292" s="563" t="str">
        <f t="shared" si="9"/>
        <v>Covered</v>
      </c>
      <c r="DS292" s="563"/>
    </row>
    <row r="293" spans="1:123">
      <c r="A293" s="552" t="s">
        <v>2518</v>
      </c>
      <c r="B293" s="552" t="s">
        <v>332</v>
      </c>
      <c r="C293" s="555" t="s">
        <v>332</v>
      </c>
      <c r="D293" s="555" t="s">
        <v>325</v>
      </c>
      <c r="E293" s="574" t="s">
        <v>3006</v>
      </c>
      <c r="F293" s="555" t="s">
        <v>330</v>
      </c>
      <c r="G293" s="574" t="str">
        <f>VLOOKUP(WWWW[[#This Row],[Site Name]],SiteDB6[[Site Name]:[Location Type]],8,FALSE)</f>
        <v>Village</v>
      </c>
      <c r="H293" s="555" t="s">
        <v>2912</v>
      </c>
      <c r="I293" s="557">
        <v>135</v>
      </c>
      <c r="J293" s="557">
        <v>593</v>
      </c>
      <c r="K293" s="564">
        <v>42736</v>
      </c>
      <c r="L293" s="565">
        <v>44551</v>
      </c>
      <c r="M293" s="557"/>
      <c r="N293" s="557"/>
      <c r="O293" s="557"/>
      <c r="P293" s="557"/>
      <c r="Q293" s="556"/>
      <c r="R293" s="557"/>
      <c r="S293" s="557"/>
      <c r="T293" s="557"/>
      <c r="U293" s="557"/>
      <c r="V293" s="557"/>
      <c r="W293" s="557"/>
      <c r="X293" s="557"/>
      <c r="Y293" s="557"/>
      <c r="Z293" s="557"/>
      <c r="AA293" s="557"/>
      <c r="AB293" s="557"/>
      <c r="AC293" s="557"/>
      <c r="AD293" s="557"/>
      <c r="AE293" s="557"/>
      <c r="AF293" s="557"/>
      <c r="AG293" s="557"/>
      <c r="AH293" s="557"/>
      <c r="AI293" s="557"/>
      <c r="AJ293" s="557"/>
      <c r="AK293" s="557"/>
      <c r="AL293" s="557"/>
      <c r="AM293" s="557"/>
      <c r="AN293" s="557"/>
      <c r="AO293" s="563"/>
      <c r="AP293" s="557"/>
      <c r="AQ293" s="557"/>
      <c r="AR293" s="559"/>
      <c r="AS293" s="557"/>
      <c r="AT293" s="557"/>
      <c r="AU293" s="557"/>
      <c r="AV293" s="557"/>
      <c r="AW293" s="557"/>
      <c r="AX293" s="554"/>
      <c r="AY293" s="563"/>
      <c r="AZ293" s="557"/>
      <c r="BA293" s="557"/>
      <c r="BB293" s="557"/>
      <c r="BC293" s="554"/>
      <c r="BD293" s="557"/>
      <c r="BE293" s="557"/>
      <c r="BF293" s="557"/>
      <c r="BG293" s="557"/>
      <c r="BH293" s="557"/>
      <c r="BI293" s="557"/>
      <c r="BJ293" s="557"/>
      <c r="BK293" s="557"/>
      <c r="BL293" s="557"/>
      <c r="BM293" s="554"/>
      <c r="BN293" s="558"/>
      <c r="BO293" s="559"/>
      <c r="BP293" s="554"/>
      <c r="BQ293" s="560" t="str">
        <f>IFERROR(WWWW[[#This Row],['#_Water sources treated]]/WWWW[[#This Row],['#_Water sources tested for contamination]],"no test")</f>
        <v>no test</v>
      </c>
      <c r="BR293" s="559" t="str">
        <f>IFERROR(WWWW[[#This Row],['#_Household received remediation action due to contamination]]/WWWW[[#This Row],['#_Household water samples tested for contamination]],"no test")</f>
        <v>no test</v>
      </c>
      <c r="BS293" s="558" t="str">
        <f>IF(AND(WWWW[[#This Row],[% of water sources treated]]="no test",WWWW[[#This Row],[% Household received corrective actions]]="no test"),"No Test","Tested")</f>
        <v>No Test</v>
      </c>
      <c r="BT293" s="558">
        <f>WWWW[[#This Row],['#_Constructed/existing protected hand dug well]]-WWWW[[#This Row],['#_Non-functional protected hand dug well]]</f>
        <v>0</v>
      </c>
      <c r="BU293" s="558">
        <f>(WWWW[[#This Row],['#_Constructed/Existing tube wells/boreholes/handpumps_WASH_agency]]+WWWW[[#This Row],['#_Non-Cluster partner water tube-wells/boreholes/handpumps]])-WWWW[[#This Row],['#_Non-functional tube wells/boreholes/handpumps]]</f>
        <v>0</v>
      </c>
      <c r="BV293" s="558">
        <f>WWWW[[#This Row],['#_Constructed/Existingwater storage tank with gravity fed reticulation system]]-WWWW[[#This Row],['#_Non-functional storage tank gravity fed reticulation system]]</f>
        <v>0</v>
      </c>
      <c r="BW293" s="558">
        <f>WWWW[[#This Row],['#_Water boating or water trucking]]</f>
        <v>0</v>
      </c>
      <c r="BX293" s="558">
        <f>WWWW[[#This Row],['#_Constructed/Existing water distribution system from river or natural spring]]</f>
        <v>0</v>
      </c>
      <c r="BY29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3" s="559">
        <f>IF(WWWW[[#This Row],[Location Type 1]]="Village",WWWW[[#This Row],[Access to safe drinking water for Village]],WWWW[[#This Row],[Access to safe drinking water for Camp]])</f>
        <v>0</v>
      </c>
      <c r="CB293" s="556">
        <f>WWWW[[#This Row],[%Equitable and continuous access to sufficient quantity of safe drinking water]]*WWWW[[#This Row],[Total PoP ]]</f>
        <v>0</v>
      </c>
      <c r="CC293" s="559">
        <f>IF((WWWW[[#This Row],['#_Constructed/Existing protected/fenced ponds]]*250)/WWWW[[#This Row],[Total PoP ]]&gt;1,1,(WWWW[[#This Row],['#_Constructed/Existing protected/fenced ponds]]*250)/WWWW[[#This Row],[Total PoP ]])</f>
        <v>0</v>
      </c>
      <c r="CD293" s="556">
        <f>WWWW[[#This Row],[% Access to unimproved water points]]*WWWW[[#This Row],[Total PoP ]]</f>
        <v>0</v>
      </c>
      <c r="CE29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3" s="556">
        <f>WWWW[[#This Row],[HRP1]]/500</f>
        <v>0</v>
      </c>
      <c r="CH293" s="561">
        <f>1-WWWW[[#This Row],[% Equitable and continuous access to sufficient quantity of domestic water]]</f>
        <v>1</v>
      </c>
      <c r="CI293" s="556">
        <f>WWWW[[#This Row],[%equitable and continuous access to sufficient quantity of safe drinking and domestic water''s GAP]]*WWWW[[#This Row],[Total PoP ]]</f>
        <v>593</v>
      </c>
      <c r="CJ293" s="558">
        <f>IF(WWWW[[#This Row],[Total required water points]]-WWWW[[#This Row],['#Water points coverage]]&lt;0,0,WWWW[[#This Row],[Total required water points]]-WWWW[[#This Row],['#Water points coverage]])</f>
        <v>1</v>
      </c>
      <c r="CK293" s="558">
        <f>ROUND(IF(WWWW[[#This Row],[Total PoP ]]&lt;500,1,WWWW[[#This Row],[Total PoP ]]/500),0)</f>
        <v>1</v>
      </c>
      <c r="CL293" s="558">
        <f>(WWWW[[#This Row],['#_Constructed latrines_by_WASHAgencies]]+WWWW[[#This Row],['#_Non Cluster partner latrines]])-WWWW[[#This Row],['#_Non-functional latrines]]</f>
        <v>0</v>
      </c>
      <c r="CM29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3" s="558" t="str">
        <f>IF(WWWW[[#This Row],[Location Type 1]]="Village","NA",IF(WWWW[[#This Row],['#_Constructed/Existing latrines in TLS]]*50&gt;WWWW[[#This Row],['#_students at TLS_CFS]],WWWW[[#This Row],['#_students at TLS_CFS]],(WWWW[[#This Row],['#_Constructed/Existing latrines in TLS]]*50)))</f>
        <v>NA</v>
      </c>
      <c r="CQ293" s="558">
        <f>ROUND(IF(WWWW[[#This Row],[Location Type 1]]="camp",WWWW[[#This Row],[Total PoP ]]/20,IF(WWWW[[#This Row],[Location Type 1]]="Temporary Location",WWWW[[#This Row],[Total PoP ]]/50,(WWWW[[#This Row],[Total PoP ]]/6))),0)</f>
        <v>99</v>
      </c>
      <c r="CR293" s="558">
        <f>IF(WWWW[[#This Row],[Total required Latrines]]-(WWWW[[#This Row],['#_Constructed latrines_by_WASHAgencies]]+WWWW[[#This Row],['#_Non Cluster partner latrines]])&lt;0,0,WWWW[[#This Row],[Total required Latrines]]-(WWWW[[#This Row],['#_Constructed latrines_by_WASHAgencies]]+WWWW[[#This Row],['#_Non Cluster partner latrines]]))</f>
        <v>99</v>
      </c>
      <c r="CS293" s="78">
        <f>1-WWWW[[#This Row],[% people access to functioning Latrine]]</f>
        <v>1</v>
      </c>
      <c r="CT293" s="560">
        <f>IF(OR(WWWW[[#This Row],['#_Non-functional latrines]]="",WWWW[[#This Row],['#_Non-functional latrines]]=0),0,WWWW[[#This Row],['#_Non-functional latrines]]/(WWWW[[#This Row],['#_Constructed latrines_by_WASHAgencies]]+WWWW[[#This Row],['#_Non Cluster partner latrines]]))</f>
        <v>0</v>
      </c>
      <c r="CU293" s="556">
        <f>IF(500*(WWWW[[#This Row],['#_male hygiene promoters]]+WWWW[[#This Row],['#_female hygiene promoters]])&gt;WWWW[[#This Row],[Total PoP ]],WWWW[[#This Row],[Total PoP ]],500*(WWWW[[#This Row],['#_male hygiene promoters]]+WWWW[[#This Row],['#_female hygiene promoters]]))</f>
        <v>0</v>
      </c>
      <c r="CV29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3" s="558">
        <f>IF(WWWW[[#This Row],['# People with access to soap]]&gt;WWWW[[#This Row],['# People with access to Sanity Pads]],WWWW[[#This Row],['# People with access to soap]],WWWW[[#This Row],['# People with access to Sanity Pads]])</f>
        <v>0</v>
      </c>
      <c r="CY29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3" s="561">
        <f>IF(WWWW[[#This Row],[HRP3]]/WWWW[[#This Row],[Total PoP ]]&gt;100%,100%,WWWW[[#This Row],[HRP3]]/WWWW[[#This Row],[Total PoP ]])</f>
        <v>0</v>
      </c>
      <c r="DA293" s="560">
        <f>1-WWWW[[#This Row],[Hygiene Coverage%]]</f>
        <v>1</v>
      </c>
      <c r="DB293" s="559">
        <f>WWWW[[#This Row],['# people reached by regular dedicated hygiene promotion_5]]/WWWW[[#This Row],[Total PoP ]]</f>
        <v>0</v>
      </c>
      <c r="DC293" s="559">
        <f>IF(WWWW[[#This Row],['#_households that received standard amount of soap for this quarter]]/WWWW[[#This Row],[Total HH]]&gt;1,1,WWWW[[#This Row],['#_households that received standard amount of soap for this quarter]]/WWWW[[#This Row],[Total HH]])</f>
        <v>0</v>
      </c>
      <c r="DD293" s="559">
        <f>IF(WWWW[[#This Row],['#_households that received standard amount of sanitary pads for this quarter]]/WWWW[[#This Row],[Total HH]]&gt;1,1,WWWW[[#This Row],['#_households that received standard amount of sanitary pads for this quarter]]/WWWW[[#This Row],[Total HH]])</f>
        <v>0</v>
      </c>
      <c r="DE293" s="558">
        <f>WWWW[[#This Row],['#_Constructed/Existing hand washing stations]]-WWWW[[#This Row],['#_Non-Functional_hand_washing_stations]]</f>
        <v>0</v>
      </c>
      <c r="DF293" s="757">
        <f>IF(WWWW[[#This Row],['# Functional hand washing stations during reporting period]]*20&gt;WWWW[[#This Row],[Total HH]],WWWW[[#This Row],[Total HH]],WWWW[[#This Row],['# Functional hand washing stations during reporting period]]*20)</f>
        <v>0</v>
      </c>
      <c r="DG293" s="556">
        <f>IF(WWWW[[#This Row],[Is sufficient soap available for TLS? (Yes/No)]]="yes",WWWW[[#This Row],['#_Constructed/Existing hand washing stations at TLS]],0)</f>
        <v>0</v>
      </c>
      <c r="DH293" s="556">
        <f>IF(WWWW[[#This Row],['# Functional hand washing stations during reporting period]]*100&gt;WWWW[[#This Row],[Total PoP ]],WWWW[[#This Row],[Total PoP ]],WWWW[[#This Row],['# Functional hand washing stations during reporting period]]*100)</f>
        <v>0</v>
      </c>
      <c r="DI293" s="556" t="str">
        <f>IF(OR(WWWW[[#This Row],['#_students at TLS_CFS]]="",WWWW[[#This Row],['#_students at TLS_CFS]]=0),"No","Yes")</f>
        <v>No</v>
      </c>
      <c r="DJ293" s="554">
        <f>VLOOKUP(WWWW[[#This Row],[Site Name]],SiteDB6[[Site Name]:[CCCM Management]],6,FALSE)</f>
        <v>0</v>
      </c>
      <c r="DK293" s="554">
        <f>VLOOKUP(WWWW[[#This Row],[Site Name]],SiteDB6[[Site Name]:[CCCM Focal Agency]],7,FALSE)</f>
        <v>0</v>
      </c>
      <c r="DL293" s="554" t="str">
        <f>VLOOKUP(WWWW[[#This Row],[Site Name]],SiteDB6[[Site Name]:[Location Type 1]],9,FALSE)</f>
        <v>Village</v>
      </c>
      <c r="DM293" s="554" t="str">
        <f>VLOOKUP(WWWW[[#This Row],[Site Name]],SiteDB6[[Site Name]:[Type of Accommodation]],10,FALSE)</f>
        <v>Village</v>
      </c>
      <c r="DN293" s="554">
        <f>VLOOKUP(WWWW[[#This Row],[Site Name]],SiteDB6[[Site Name]:[Ethnic or GCA/NGCA]],11,FALSE)</f>
        <v>0</v>
      </c>
      <c r="DO293" s="554">
        <f>VLOOKUP(WWWW[[#This Row],[Site Name]],SiteDB6[[Site Name]:[Lat]],12,FALSE)</f>
        <v>0</v>
      </c>
      <c r="DP293" s="554">
        <f>VLOOKUP(WWWW[[#This Row],[Site Name]],SiteDB6[[Site Name]:[Long]],13,FALSE)</f>
        <v>0</v>
      </c>
      <c r="DQ293" s="554">
        <f>VLOOKUP(WWWW[[#This Row],[Site Name]],SiteDB6[[Site Name]:[Pcode]],3,FALSE)</f>
        <v>197090</v>
      </c>
      <c r="DR293" s="563" t="str">
        <f t="shared" ref="DR293:DR324" si="10">IF(C293="none","Notcovered","Covered")</f>
        <v>Covered</v>
      </c>
      <c r="DS293" s="563"/>
    </row>
    <row r="294" spans="1:123">
      <c r="A294" s="552" t="s">
        <v>2518</v>
      </c>
      <c r="B294" s="552" t="s">
        <v>332</v>
      </c>
      <c r="C294" s="555" t="s">
        <v>332</v>
      </c>
      <c r="D294" s="555" t="s">
        <v>325</v>
      </c>
      <c r="E294" s="574" t="s">
        <v>3006</v>
      </c>
      <c r="F294" s="555" t="s">
        <v>330</v>
      </c>
      <c r="G294" s="574" t="str">
        <f>VLOOKUP(WWWW[[#This Row],[Site Name]],SiteDB6[[Site Name]:[Location Type]],8,FALSE)</f>
        <v>Village</v>
      </c>
      <c r="H294" s="555" t="s">
        <v>894</v>
      </c>
      <c r="I294" s="557">
        <v>139</v>
      </c>
      <c r="J294" s="557">
        <v>585</v>
      </c>
      <c r="K294" s="564">
        <v>42736</v>
      </c>
      <c r="L294" s="565">
        <v>44551</v>
      </c>
      <c r="M294" s="557"/>
      <c r="N294" s="557"/>
      <c r="O294" s="557"/>
      <c r="P294" s="557"/>
      <c r="Q294" s="556"/>
      <c r="R294" s="557"/>
      <c r="S294" s="557"/>
      <c r="T294" s="557"/>
      <c r="U294" s="557"/>
      <c r="V294" s="557"/>
      <c r="W294" s="557"/>
      <c r="X294" s="557"/>
      <c r="Y294" s="557"/>
      <c r="Z294" s="557"/>
      <c r="AA294" s="557"/>
      <c r="AB294" s="557"/>
      <c r="AC294" s="557"/>
      <c r="AD294" s="557"/>
      <c r="AE294" s="557"/>
      <c r="AF294" s="557"/>
      <c r="AG294" s="557"/>
      <c r="AH294" s="557"/>
      <c r="AI294" s="557"/>
      <c r="AJ294" s="557"/>
      <c r="AK294" s="557"/>
      <c r="AL294" s="557"/>
      <c r="AM294" s="557"/>
      <c r="AN294" s="557"/>
      <c r="AO294" s="563"/>
      <c r="AP294" s="557"/>
      <c r="AQ294" s="557"/>
      <c r="AR294" s="559"/>
      <c r="AS294" s="557"/>
      <c r="AT294" s="557"/>
      <c r="AU294" s="557"/>
      <c r="AV294" s="557"/>
      <c r="AW294" s="557"/>
      <c r="AX294" s="554"/>
      <c r="AY294" s="563"/>
      <c r="AZ294" s="557"/>
      <c r="BA294" s="557"/>
      <c r="BB294" s="557"/>
      <c r="BC294" s="554"/>
      <c r="BD294" s="557"/>
      <c r="BE294" s="557"/>
      <c r="BF294" s="557"/>
      <c r="BG294" s="557"/>
      <c r="BH294" s="557"/>
      <c r="BI294" s="557"/>
      <c r="BJ294" s="557"/>
      <c r="BK294" s="557"/>
      <c r="BL294" s="557"/>
      <c r="BM294" s="554"/>
      <c r="BN294" s="558"/>
      <c r="BO294" s="559"/>
      <c r="BP294" s="554"/>
      <c r="BQ294" s="560" t="str">
        <f>IFERROR(WWWW[[#This Row],['#_Water sources treated]]/WWWW[[#This Row],['#_Water sources tested for contamination]],"no test")</f>
        <v>no test</v>
      </c>
      <c r="BR294" s="559" t="str">
        <f>IFERROR(WWWW[[#This Row],['#_Household received remediation action due to contamination]]/WWWW[[#This Row],['#_Household water samples tested for contamination]],"no test")</f>
        <v>no test</v>
      </c>
      <c r="BS294" s="558" t="str">
        <f>IF(AND(WWWW[[#This Row],[% of water sources treated]]="no test",WWWW[[#This Row],[% Household received corrective actions]]="no test"),"No Test","Tested")</f>
        <v>No Test</v>
      </c>
      <c r="BT294" s="558">
        <f>WWWW[[#This Row],['#_Constructed/existing protected hand dug well]]-WWWW[[#This Row],['#_Non-functional protected hand dug well]]</f>
        <v>0</v>
      </c>
      <c r="BU294" s="558">
        <f>(WWWW[[#This Row],['#_Constructed/Existing tube wells/boreholes/handpumps_WASH_agency]]+WWWW[[#This Row],['#_Non-Cluster partner water tube-wells/boreholes/handpumps]])-WWWW[[#This Row],['#_Non-functional tube wells/boreholes/handpumps]]</f>
        <v>0</v>
      </c>
      <c r="BV294" s="558">
        <f>WWWW[[#This Row],['#_Constructed/Existingwater storage tank with gravity fed reticulation system]]-WWWW[[#This Row],['#_Non-functional storage tank gravity fed reticulation system]]</f>
        <v>0</v>
      </c>
      <c r="BW294" s="558">
        <f>WWWW[[#This Row],['#_Water boating or water trucking]]</f>
        <v>0</v>
      </c>
      <c r="BX294" s="558">
        <f>WWWW[[#This Row],['#_Constructed/Existing water distribution system from river or natural spring]]</f>
        <v>0</v>
      </c>
      <c r="BY29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4" s="559">
        <f>IF(WWWW[[#This Row],[Location Type 1]]="Village",WWWW[[#This Row],[Access to safe drinking water for Village]],WWWW[[#This Row],[Access to safe drinking water for Camp]])</f>
        <v>0</v>
      </c>
      <c r="CB294" s="556">
        <f>WWWW[[#This Row],[%Equitable and continuous access to sufficient quantity of safe drinking water]]*WWWW[[#This Row],[Total PoP ]]</f>
        <v>0</v>
      </c>
      <c r="CC294" s="559">
        <f>IF((WWWW[[#This Row],['#_Constructed/Existing protected/fenced ponds]]*250)/WWWW[[#This Row],[Total PoP ]]&gt;1,1,(WWWW[[#This Row],['#_Constructed/Existing protected/fenced ponds]]*250)/WWWW[[#This Row],[Total PoP ]])</f>
        <v>0</v>
      </c>
      <c r="CD294" s="556">
        <f>WWWW[[#This Row],[% Access to unimproved water points]]*WWWW[[#This Row],[Total PoP ]]</f>
        <v>0</v>
      </c>
      <c r="CE29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4" s="556">
        <f>WWWW[[#This Row],[HRP1]]/500</f>
        <v>0</v>
      </c>
      <c r="CH294" s="561">
        <f>1-WWWW[[#This Row],[% Equitable and continuous access to sufficient quantity of domestic water]]</f>
        <v>1</v>
      </c>
      <c r="CI294" s="556">
        <f>WWWW[[#This Row],[%equitable and continuous access to sufficient quantity of safe drinking and domestic water''s GAP]]*WWWW[[#This Row],[Total PoP ]]</f>
        <v>585</v>
      </c>
      <c r="CJ294" s="558">
        <f>IF(WWWW[[#This Row],[Total required water points]]-WWWW[[#This Row],['#Water points coverage]]&lt;0,0,WWWW[[#This Row],[Total required water points]]-WWWW[[#This Row],['#Water points coverage]])</f>
        <v>1</v>
      </c>
      <c r="CK294" s="558">
        <f>ROUND(IF(WWWW[[#This Row],[Total PoP ]]&lt;500,1,WWWW[[#This Row],[Total PoP ]]/500),0)</f>
        <v>1</v>
      </c>
      <c r="CL294" s="558">
        <f>(WWWW[[#This Row],['#_Constructed latrines_by_WASHAgencies]]+WWWW[[#This Row],['#_Non Cluster partner latrines]])-WWWW[[#This Row],['#_Non-functional latrines]]</f>
        <v>0</v>
      </c>
      <c r="CM29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4" s="558" t="str">
        <f>IF(WWWW[[#This Row],[Location Type 1]]="Village","NA",IF(WWWW[[#This Row],['#_Constructed/Existing latrines in TLS]]*50&gt;WWWW[[#This Row],['#_students at TLS_CFS]],WWWW[[#This Row],['#_students at TLS_CFS]],(WWWW[[#This Row],['#_Constructed/Existing latrines in TLS]]*50)))</f>
        <v>NA</v>
      </c>
      <c r="CQ294" s="558">
        <f>ROUND(IF(WWWW[[#This Row],[Location Type 1]]="camp",WWWW[[#This Row],[Total PoP ]]/20,IF(WWWW[[#This Row],[Location Type 1]]="Temporary Location",WWWW[[#This Row],[Total PoP ]]/50,(WWWW[[#This Row],[Total PoP ]]/6))),0)</f>
        <v>98</v>
      </c>
      <c r="CR294" s="558">
        <f>IF(WWWW[[#This Row],[Total required Latrines]]-(WWWW[[#This Row],['#_Constructed latrines_by_WASHAgencies]]+WWWW[[#This Row],['#_Non Cluster partner latrines]])&lt;0,0,WWWW[[#This Row],[Total required Latrines]]-(WWWW[[#This Row],['#_Constructed latrines_by_WASHAgencies]]+WWWW[[#This Row],['#_Non Cluster partner latrines]]))</f>
        <v>98</v>
      </c>
      <c r="CS294" s="78">
        <f>1-WWWW[[#This Row],[% people access to functioning Latrine]]</f>
        <v>1</v>
      </c>
      <c r="CT294" s="560">
        <f>IF(OR(WWWW[[#This Row],['#_Non-functional latrines]]="",WWWW[[#This Row],['#_Non-functional latrines]]=0),0,WWWW[[#This Row],['#_Non-functional latrines]]/(WWWW[[#This Row],['#_Constructed latrines_by_WASHAgencies]]+WWWW[[#This Row],['#_Non Cluster partner latrines]]))</f>
        <v>0</v>
      </c>
      <c r="CU294" s="556">
        <f>IF(500*(WWWW[[#This Row],['#_male hygiene promoters]]+WWWW[[#This Row],['#_female hygiene promoters]])&gt;WWWW[[#This Row],[Total PoP ]],WWWW[[#This Row],[Total PoP ]],500*(WWWW[[#This Row],['#_male hygiene promoters]]+WWWW[[#This Row],['#_female hygiene promoters]]))</f>
        <v>0</v>
      </c>
      <c r="CV29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4" s="558">
        <f>IF(WWWW[[#This Row],['# People with access to soap]]&gt;WWWW[[#This Row],['# People with access to Sanity Pads]],WWWW[[#This Row],['# People with access to soap]],WWWW[[#This Row],['# People with access to Sanity Pads]])</f>
        <v>0</v>
      </c>
      <c r="CY29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4" s="561">
        <f>IF(WWWW[[#This Row],[HRP3]]/WWWW[[#This Row],[Total PoP ]]&gt;100%,100%,WWWW[[#This Row],[HRP3]]/WWWW[[#This Row],[Total PoP ]])</f>
        <v>0</v>
      </c>
      <c r="DA294" s="560">
        <f>1-WWWW[[#This Row],[Hygiene Coverage%]]</f>
        <v>1</v>
      </c>
      <c r="DB294" s="559">
        <f>WWWW[[#This Row],['# people reached by regular dedicated hygiene promotion_5]]/WWWW[[#This Row],[Total PoP ]]</f>
        <v>0</v>
      </c>
      <c r="DC294" s="559">
        <f>IF(WWWW[[#This Row],['#_households that received standard amount of soap for this quarter]]/WWWW[[#This Row],[Total HH]]&gt;1,1,WWWW[[#This Row],['#_households that received standard amount of soap for this quarter]]/WWWW[[#This Row],[Total HH]])</f>
        <v>0</v>
      </c>
      <c r="DD294" s="559">
        <f>IF(WWWW[[#This Row],['#_households that received standard amount of sanitary pads for this quarter]]/WWWW[[#This Row],[Total HH]]&gt;1,1,WWWW[[#This Row],['#_households that received standard amount of sanitary pads for this quarter]]/WWWW[[#This Row],[Total HH]])</f>
        <v>0</v>
      </c>
      <c r="DE294" s="558">
        <f>WWWW[[#This Row],['#_Constructed/Existing hand washing stations]]-WWWW[[#This Row],['#_Non-Functional_hand_washing_stations]]</f>
        <v>0</v>
      </c>
      <c r="DF294" s="757">
        <f>IF(WWWW[[#This Row],['# Functional hand washing stations during reporting period]]*20&gt;WWWW[[#This Row],[Total HH]],WWWW[[#This Row],[Total HH]],WWWW[[#This Row],['# Functional hand washing stations during reporting period]]*20)</f>
        <v>0</v>
      </c>
      <c r="DG294" s="556">
        <f>IF(WWWW[[#This Row],[Is sufficient soap available for TLS? (Yes/No)]]="yes",WWWW[[#This Row],['#_Constructed/Existing hand washing stations at TLS]],0)</f>
        <v>0</v>
      </c>
      <c r="DH294" s="556">
        <f>IF(WWWW[[#This Row],['# Functional hand washing stations during reporting period]]*100&gt;WWWW[[#This Row],[Total PoP ]],WWWW[[#This Row],[Total PoP ]],WWWW[[#This Row],['# Functional hand washing stations during reporting period]]*100)</f>
        <v>0</v>
      </c>
      <c r="DI294" s="556" t="str">
        <f>IF(OR(WWWW[[#This Row],['#_students at TLS_CFS]]="",WWWW[[#This Row],['#_students at TLS_CFS]]=0),"No","Yes")</f>
        <v>No</v>
      </c>
      <c r="DJ294" s="554">
        <f>VLOOKUP(WWWW[[#This Row],[Site Name]],SiteDB6[[Site Name]:[CCCM Management]],6,FALSE)</f>
        <v>0</v>
      </c>
      <c r="DK294" s="554">
        <f>VLOOKUP(WWWW[[#This Row],[Site Name]],SiteDB6[[Site Name]:[CCCM Focal Agency]],7,FALSE)</f>
        <v>0</v>
      </c>
      <c r="DL294" s="554" t="str">
        <f>VLOOKUP(WWWW[[#This Row],[Site Name]],SiteDB6[[Site Name]:[Location Type 1]],9,FALSE)</f>
        <v>Village</v>
      </c>
      <c r="DM294" s="554" t="str">
        <f>VLOOKUP(WWWW[[#This Row],[Site Name]],SiteDB6[[Site Name]:[Type of Accommodation]],10,FALSE)</f>
        <v>Village</v>
      </c>
      <c r="DN294" s="554">
        <f>VLOOKUP(WWWW[[#This Row],[Site Name]],SiteDB6[[Site Name]:[Ethnic or GCA/NGCA]],11,FALSE)</f>
        <v>0</v>
      </c>
      <c r="DO294" s="554">
        <f>VLOOKUP(WWWW[[#This Row],[Site Name]],SiteDB6[[Site Name]:[Lat]],12,FALSE)</f>
        <v>0</v>
      </c>
      <c r="DP294" s="554">
        <f>VLOOKUP(WWWW[[#This Row],[Site Name]],SiteDB6[[Site Name]:[Long]],13,FALSE)</f>
        <v>0</v>
      </c>
      <c r="DQ294" s="554">
        <f>VLOOKUP(WWWW[[#This Row],[Site Name]],SiteDB6[[Site Name]:[Pcode]],3,FALSE)</f>
        <v>197149</v>
      </c>
      <c r="DR294" s="563" t="str">
        <f t="shared" si="10"/>
        <v>Covered</v>
      </c>
      <c r="DS294" s="563"/>
    </row>
    <row r="295" spans="1:123">
      <c r="A295" s="552" t="s">
        <v>2518</v>
      </c>
      <c r="B295" s="552" t="s">
        <v>332</v>
      </c>
      <c r="C295" s="555" t="s">
        <v>332</v>
      </c>
      <c r="D295" s="555" t="s">
        <v>325</v>
      </c>
      <c r="E295" s="574" t="s">
        <v>3006</v>
      </c>
      <c r="F295" s="555" t="s">
        <v>330</v>
      </c>
      <c r="G295" s="574" t="str">
        <f>VLOOKUP(WWWW[[#This Row],[Site Name]],SiteDB6[[Site Name]:[Location Type]],8,FALSE)</f>
        <v>Village</v>
      </c>
      <c r="H295" s="555" t="s">
        <v>913</v>
      </c>
      <c r="I295" s="557">
        <v>408</v>
      </c>
      <c r="J295" s="557">
        <v>2009</v>
      </c>
      <c r="K295" s="564">
        <v>42736</v>
      </c>
      <c r="L295" s="565">
        <v>44551</v>
      </c>
      <c r="M295" s="557"/>
      <c r="N295" s="557"/>
      <c r="O295" s="557"/>
      <c r="P295" s="557"/>
      <c r="Q295" s="556"/>
      <c r="R295" s="557"/>
      <c r="S295" s="557"/>
      <c r="T295" s="557"/>
      <c r="U295" s="557"/>
      <c r="V295" s="557"/>
      <c r="W295" s="557"/>
      <c r="X295" s="557"/>
      <c r="Y295" s="557"/>
      <c r="Z295" s="557"/>
      <c r="AA295" s="557"/>
      <c r="AB295" s="557"/>
      <c r="AC295" s="557"/>
      <c r="AD295" s="557"/>
      <c r="AE295" s="557"/>
      <c r="AF295" s="557"/>
      <c r="AG295" s="557"/>
      <c r="AH295" s="557"/>
      <c r="AI295" s="557"/>
      <c r="AJ295" s="557"/>
      <c r="AK295" s="557"/>
      <c r="AL295" s="557"/>
      <c r="AM295" s="557"/>
      <c r="AN295" s="557"/>
      <c r="AO295" s="563"/>
      <c r="AP295" s="557"/>
      <c r="AQ295" s="557"/>
      <c r="AR295" s="559"/>
      <c r="AS295" s="557"/>
      <c r="AT295" s="557"/>
      <c r="AU295" s="557"/>
      <c r="AV295" s="557"/>
      <c r="AW295" s="557"/>
      <c r="AX295" s="554"/>
      <c r="AY295" s="563"/>
      <c r="AZ295" s="557"/>
      <c r="BA295" s="557"/>
      <c r="BB295" s="557"/>
      <c r="BC295" s="554"/>
      <c r="BD295" s="557"/>
      <c r="BE295" s="557"/>
      <c r="BF295" s="557"/>
      <c r="BG295" s="557"/>
      <c r="BH295" s="557"/>
      <c r="BI295" s="557"/>
      <c r="BJ295" s="557"/>
      <c r="BK295" s="557"/>
      <c r="BL295" s="557"/>
      <c r="BM295" s="554"/>
      <c r="BN295" s="558"/>
      <c r="BO295" s="559"/>
      <c r="BP295" s="554"/>
      <c r="BQ295" s="560" t="str">
        <f>IFERROR(WWWW[[#This Row],['#_Water sources treated]]/WWWW[[#This Row],['#_Water sources tested for contamination]],"no test")</f>
        <v>no test</v>
      </c>
      <c r="BR295" s="559" t="str">
        <f>IFERROR(WWWW[[#This Row],['#_Household received remediation action due to contamination]]/WWWW[[#This Row],['#_Household water samples tested for contamination]],"no test")</f>
        <v>no test</v>
      </c>
      <c r="BS295" s="558" t="str">
        <f>IF(AND(WWWW[[#This Row],[% of water sources treated]]="no test",WWWW[[#This Row],[% Household received corrective actions]]="no test"),"No Test","Tested")</f>
        <v>No Test</v>
      </c>
      <c r="BT295" s="558">
        <f>WWWW[[#This Row],['#_Constructed/existing protected hand dug well]]-WWWW[[#This Row],['#_Non-functional protected hand dug well]]</f>
        <v>0</v>
      </c>
      <c r="BU295" s="558">
        <f>(WWWW[[#This Row],['#_Constructed/Existing tube wells/boreholes/handpumps_WASH_agency]]+WWWW[[#This Row],['#_Non-Cluster partner water tube-wells/boreholes/handpumps]])-WWWW[[#This Row],['#_Non-functional tube wells/boreholes/handpumps]]</f>
        <v>0</v>
      </c>
      <c r="BV295" s="558">
        <f>WWWW[[#This Row],['#_Constructed/Existingwater storage tank with gravity fed reticulation system]]-WWWW[[#This Row],['#_Non-functional storage tank gravity fed reticulation system]]</f>
        <v>0</v>
      </c>
      <c r="BW295" s="558">
        <f>WWWW[[#This Row],['#_Water boating or water trucking]]</f>
        <v>0</v>
      </c>
      <c r="BX295" s="558">
        <f>WWWW[[#This Row],['#_Constructed/Existing water distribution system from river or natural spring]]</f>
        <v>0</v>
      </c>
      <c r="BY29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5" s="559">
        <f>IF(WWWW[[#This Row],[Location Type 1]]="Village",WWWW[[#This Row],[Access to safe drinking water for Village]],WWWW[[#This Row],[Access to safe drinking water for Camp]])</f>
        <v>0</v>
      </c>
      <c r="CB295" s="556">
        <f>WWWW[[#This Row],[%Equitable and continuous access to sufficient quantity of safe drinking water]]*WWWW[[#This Row],[Total PoP ]]</f>
        <v>0</v>
      </c>
      <c r="CC295" s="559">
        <f>IF((WWWW[[#This Row],['#_Constructed/Existing protected/fenced ponds]]*250)/WWWW[[#This Row],[Total PoP ]]&gt;1,1,(WWWW[[#This Row],['#_Constructed/Existing protected/fenced ponds]]*250)/WWWW[[#This Row],[Total PoP ]])</f>
        <v>0</v>
      </c>
      <c r="CD295" s="556">
        <f>WWWW[[#This Row],[% Access to unimproved water points]]*WWWW[[#This Row],[Total PoP ]]</f>
        <v>0</v>
      </c>
      <c r="CE29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5" s="556">
        <f>WWWW[[#This Row],[HRP1]]/500</f>
        <v>0</v>
      </c>
      <c r="CH295" s="561">
        <f>1-WWWW[[#This Row],[% Equitable and continuous access to sufficient quantity of domestic water]]</f>
        <v>1</v>
      </c>
      <c r="CI295" s="556">
        <f>WWWW[[#This Row],[%equitable and continuous access to sufficient quantity of safe drinking and domestic water''s GAP]]*WWWW[[#This Row],[Total PoP ]]</f>
        <v>2009</v>
      </c>
      <c r="CJ295" s="558">
        <f>IF(WWWW[[#This Row],[Total required water points]]-WWWW[[#This Row],['#Water points coverage]]&lt;0,0,WWWW[[#This Row],[Total required water points]]-WWWW[[#This Row],['#Water points coverage]])</f>
        <v>4</v>
      </c>
      <c r="CK295" s="558">
        <f>ROUND(IF(WWWW[[#This Row],[Total PoP ]]&lt;500,1,WWWW[[#This Row],[Total PoP ]]/500),0)</f>
        <v>4</v>
      </c>
      <c r="CL295" s="558">
        <f>(WWWW[[#This Row],['#_Constructed latrines_by_WASHAgencies]]+WWWW[[#This Row],['#_Non Cluster partner latrines]])-WWWW[[#This Row],['#_Non-functional latrines]]</f>
        <v>0</v>
      </c>
      <c r="CM29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5" s="558" t="str">
        <f>IF(WWWW[[#This Row],[Location Type 1]]="Village","NA",IF(WWWW[[#This Row],['#_Constructed/Existing latrines in TLS]]*50&gt;WWWW[[#This Row],['#_students at TLS_CFS]],WWWW[[#This Row],['#_students at TLS_CFS]],(WWWW[[#This Row],['#_Constructed/Existing latrines in TLS]]*50)))</f>
        <v>NA</v>
      </c>
      <c r="CQ295" s="558">
        <f>ROUND(IF(WWWW[[#This Row],[Location Type 1]]="camp",WWWW[[#This Row],[Total PoP ]]/20,IF(WWWW[[#This Row],[Location Type 1]]="Temporary Location",WWWW[[#This Row],[Total PoP ]]/50,(WWWW[[#This Row],[Total PoP ]]/6))),0)</f>
        <v>335</v>
      </c>
      <c r="CR295" s="558">
        <f>IF(WWWW[[#This Row],[Total required Latrines]]-(WWWW[[#This Row],['#_Constructed latrines_by_WASHAgencies]]+WWWW[[#This Row],['#_Non Cluster partner latrines]])&lt;0,0,WWWW[[#This Row],[Total required Latrines]]-(WWWW[[#This Row],['#_Constructed latrines_by_WASHAgencies]]+WWWW[[#This Row],['#_Non Cluster partner latrines]]))</f>
        <v>335</v>
      </c>
      <c r="CS295" s="78">
        <f>1-WWWW[[#This Row],[% people access to functioning Latrine]]</f>
        <v>1</v>
      </c>
      <c r="CT295" s="560">
        <f>IF(OR(WWWW[[#This Row],['#_Non-functional latrines]]="",WWWW[[#This Row],['#_Non-functional latrines]]=0),0,WWWW[[#This Row],['#_Non-functional latrines]]/(WWWW[[#This Row],['#_Constructed latrines_by_WASHAgencies]]+WWWW[[#This Row],['#_Non Cluster partner latrines]]))</f>
        <v>0</v>
      </c>
      <c r="CU295" s="556">
        <f>IF(500*(WWWW[[#This Row],['#_male hygiene promoters]]+WWWW[[#This Row],['#_female hygiene promoters]])&gt;WWWW[[#This Row],[Total PoP ]],WWWW[[#This Row],[Total PoP ]],500*(WWWW[[#This Row],['#_male hygiene promoters]]+WWWW[[#This Row],['#_female hygiene promoters]]))</f>
        <v>0</v>
      </c>
      <c r="CV29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5" s="558">
        <f>IF(WWWW[[#This Row],['# People with access to soap]]&gt;WWWW[[#This Row],['# People with access to Sanity Pads]],WWWW[[#This Row],['# People with access to soap]],WWWW[[#This Row],['# People with access to Sanity Pads]])</f>
        <v>0</v>
      </c>
      <c r="CY29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5" s="561">
        <f>IF(WWWW[[#This Row],[HRP3]]/WWWW[[#This Row],[Total PoP ]]&gt;100%,100%,WWWW[[#This Row],[HRP3]]/WWWW[[#This Row],[Total PoP ]])</f>
        <v>0</v>
      </c>
      <c r="DA295" s="560">
        <f>1-WWWW[[#This Row],[Hygiene Coverage%]]</f>
        <v>1</v>
      </c>
      <c r="DB295" s="559">
        <f>WWWW[[#This Row],['# people reached by regular dedicated hygiene promotion_5]]/WWWW[[#This Row],[Total PoP ]]</f>
        <v>0</v>
      </c>
      <c r="DC295" s="559">
        <f>IF(WWWW[[#This Row],['#_households that received standard amount of soap for this quarter]]/WWWW[[#This Row],[Total HH]]&gt;1,1,WWWW[[#This Row],['#_households that received standard amount of soap for this quarter]]/WWWW[[#This Row],[Total HH]])</f>
        <v>0</v>
      </c>
      <c r="DD295" s="559">
        <f>IF(WWWW[[#This Row],['#_households that received standard amount of sanitary pads for this quarter]]/WWWW[[#This Row],[Total HH]]&gt;1,1,WWWW[[#This Row],['#_households that received standard amount of sanitary pads for this quarter]]/WWWW[[#This Row],[Total HH]])</f>
        <v>0</v>
      </c>
      <c r="DE295" s="558">
        <f>WWWW[[#This Row],['#_Constructed/Existing hand washing stations]]-WWWW[[#This Row],['#_Non-Functional_hand_washing_stations]]</f>
        <v>0</v>
      </c>
      <c r="DF295" s="757">
        <f>IF(WWWW[[#This Row],['# Functional hand washing stations during reporting period]]*20&gt;WWWW[[#This Row],[Total HH]],WWWW[[#This Row],[Total HH]],WWWW[[#This Row],['# Functional hand washing stations during reporting period]]*20)</f>
        <v>0</v>
      </c>
      <c r="DG295" s="556">
        <f>IF(WWWW[[#This Row],[Is sufficient soap available for TLS? (Yes/No)]]="yes",WWWW[[#This Row],['#_Constructed/Existing hand washing stations at TLS]],0)</f>
        <v>0</v>
      </c>
      <c r="DH295" s="556">
        <f>IF(WWWW[[#This Row],['# Functional hand washing stations during reporting period]]*100&gt;WWWW[[#This Row],[Total PoP ]],WWWW[[#This Row],[Total PoP ]],WWWW[[#This Row],['# Functional hand washing stations during reporting period]]*100)</f>
        <v>0</v>
      </c>
      <c r="DI295" s="556" t="str">
        <f>IF(OR(WWWW[[#This Row],['#_students at TLS_CFS]]="",WWWW[[#This Row],['#_students at TLS_CFS]]=0),"No","Yes")</f>
        <v>No</v>
      </c>
      <c r="DJ295" s="554">
        <f>VLOOKUP(WWWW[[#This Row],[Site Name]],SiteDB6[[Site Name]:[CCCM Management]],6,FALSE)</f>
        <v>0</v>
      </c>
      <c r="DK295" s="554">
        <f>VLOOKUP(WWWW[[#This Row],[Site Name]],SiteDB6[[Site Name]:[CCCM Focal Agency]],7,FALSE)</f>
        <v>0</v>
      </c>
      <c r="DL295" s="554" t="str">
        <f>VLOOKUP(WWWW[[#This Row],[Site Name]],SiteDB6[[Site Name]:[Location Type 1]],9,FALSE)</f>
        <v>Village</v>
      </c>
      <c r="DM295" s="554" t="str">
        <f>VLOOKUP(WWWW[[#This Row],[Site Name]],SiteDB6[[Site Name]:[Type of Accommodation]],10,FALSE)</f>
        <v>Returned</v>
      </c>
      <c r="DN295" s="554" t="str">
        <f>VLOOKUP(WWWW[[#This Row],[Site Name]],SiteDB6[[Site Name]:[Ethnic or GCA/NGCA]],11,FALSE)</f>
        <v>Muslim</v>
      </c>
      <c r="DO295" s="554">
        <f>VLOOKUP(WWWW[[#This Row],[Site Name]],SiteDB6[[Site Name]:[Lat]],12,FALSE)</f>
        <v>20.480898</v>
      </c>
      <c r="DP295" s="554">
        <f>VLOOKUP(WWWW[[#This Row],[Site Name]],SiteDB6[[Site Name]:[Long]],13,FALSE)</f>
        <v>93.299485000000004</v>
      </c>
      <c r="DQ295" s="554" t="str">
        <f>VLOOKUP(WWWW[[#This Row],[Site Name]],SiteDB6[[Site Name]:[Pcode]],3,FALSE)</f>
        <v>MMR012CMP006</v>
      </c>
      <c r="DR295" s="563" t="str">
        <f t="shared" si="10"/>
        <v>Covered</v>
      </c>
      <c r="DS295" s="563"/>
    </row>
    <row r="296" spans="1:123">
      <c r="A296" s="552" t="s">
        <v>2518</v>
      </c>
      <c r="B296" s="552" t="s">
        <v>332</v>
      </c>
      <c r="C296" s="555" t="s">
        <v>332</v>
      </c>
      <c r="D296" s="555" t="s">
        <v>325</v>
      </c>
      <c r="E296" s="574" t="s">
        <v>3006</v>
      </c>
      <c r="F296" s="555" t="s">
        <v>330</v>
      </c>
      <c r="G296" s="574" t="str">
        <f>VLOOKUP(WWWW[[#This Row],[Site Name]],SiteDB6[[Site Name]:[Location Type]],8,FALSE)</f>
        <v>Village</v>
      </c>
      <c r="H296" s="555" t="s">
        <v>2913</v>
      </c>
      <c r="I296" s="557">
        <v>47</v>
      </c>
      <c r="J296" s="557">
        <v>190</v>
      </c>
      <c r="K296" s="564">
        <v>42736</v>
      </c>
      <c r="L296" s="565">
        <v>44551</v>
      </c>
      <c r="M296" s="557"/>
      <c r="N296" s="557"/>
      <c r="O296" s="557"/>
      <c r="P296" s="557"/>
      <c r="Q296" s="556"/>
      <c r="R296" s="557"/>
      <c r="S296" s="557"/>
      <c r="T296" s="557"/>
      <c r="U296" s="557"/>
      <c r="V296" s="557"/>
      <c r="W296" s="557"/>
      <c r="X296" s="557"/>
      <c r="Y296" s="557"/>
      <c r="Z296" s="557"/>
      <c r="AA296" s="557"/>
      <c r="AB296" s="557"/>
      <c r="AC296" s="557"/>
      <c r="AD296" s="557"/>
      <c r="AE296" s="557"/>
      <c r="AF296" s="557"/>
      <c r="AG296" s="557"/>
      <c r="AH296" s="557"/>
      <c r="AI296" s="557"/>
      <c r="AJ296" s="557"/>
      <c r="AK296" s="557"/>
      <c r="AL296" s="557"/>
      <c r="AM296" s="557"/>
      <c r="AN296" s="557"/>
      <c r="AO296" s="563"/>
      <c r="AP296" s="557"/>
      <c r="AQ296" s="557"/>
      <c r="AR296" s="559"/>
      <c r="AS296" s="557"/>
      <c r="AT296" s="557"/>
      <c r="AU296" s="557"/>
      <c r="AV296" s="557"/>
      <c r="AW296" s="557"/>
      <c r="AX296" s="554"/>
      <c r="AY296" s="563"/>
      <c r="AZ296" s="557"/>
      <c r="BA296" s="557"/>
      <c r="BB296" s="557"/>
      <c r="BC296" s="554"/>
      <c r="BD296" s="557"/>
      <c r="BE296" s="557"/>
      <c r="BF296" s="557"/>
      <c r="BG296" s="557"/>
      <c r="BH296" s="557"/>
      <c r="BI296" s="557"/>
      <c r="BJ296" s="557"/>
      <c r="BK296" s="557"/>
      <c r="BL296" s="557"/>
      <c r="BM296" s="554"/>
      <c r="BN296" s="558"/>
      <c r="BO296" s="559"/>
      <c r="BP296" s="554"/>
      <c r="BQ296" s="560" t="str">
        <f>IFERROR(WWWW[[#This Row],['#_Water sources treated]]/WWWW[[#This Row],['#_Water sources tested for contamination]],"no test")</f>
        <v>no test</v>
      </c>
      <c r="BR296" s="559" t="str">
        <f>IFERROR(WWWW[[#This Row],['#_Household received remediation action due to contamination]]/WWWW[[#This Row],['#_Household water samples tested for contamination]],"no test")</f>
        <v>no test</v>
      </c>
      <c r="BS296" s="558" t="str">
        <f>IF(AND(WWWW[[#This Row],[% of water sources treated]]="no test",WWWW[[#This Row],[% Household received corrective actions]]="no test"),"No Test","Tested")</f>
        <v>No Test</v>
      </c>
      <c r="BT296" s="558">
        <f>WWWW[[#This Row],['#_Constructed/existing protected hand dug well]]-WWWW[[#This Row],['#_Non-functional protected hand dug well]]</f>
        <v>0</v>
      </c>
      <c r="BU296" s="558">
        <f>(WWWW[[#This Row],['#_Constructed/Existing tube wells/boreholes/handpumps_WASH_agency]]+WWWW[[#This Row],['#_Non-Cluster partner water tube-wells/boreholes/handpumps]])-WWWW[[#This Row],['#_Non-functional tube wells/boreholes/handpumps]]</f>
        <v>0</v>
      </c>
      <c r="BV296" s="558">
        <f>WWWW[[#This Row],['#_Constructed/Existingwater storage tank with gravity fed reticulation system]]-WWWW[[#This Row],['#_Non-functional storage tank gravity fed reticulation system]]</f>
        <v>0</v>
      </c>
      <c r="BW296" s="558">
        <f>WWWW[[#This Row],['#_Water boating or water trucking]]</f>
        <v>0</v>
      </c>
      <c r="BX296" s="558">
        <f>WWWW[[#This Row],['#_Constructed/Existing water distribution system from river or natural spring]]</f>
        <v>0</v>
      </c>
      <c r="BY29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6" s="559">
        <f>IF(WWWW[[#This Row],[Location Type 1]]="Village",WWWW[[#This Row],[Access to safe drinking water for Village]],WWWW[[#This Row],[Access to safe drinking water for Camp]])</f>
        <v>0</v>
      </c>
      <c r="CB296" s="556">
        <f>WWWW[[#This Row],[%Equitable and continuous access to sufficient quantity of safe drinking water]]*WWWW[[#This Row],[Total PoP ]]</f>
        <v>0</v>
      </c>
      <c r="CC296" s="559">
        <f>IF((WWWW[[#This Row],['#_Constructed/Existing protected/fenced ponds]]*250)/WWWW[[#This Row],[Total PoP ]]&gt;1,1,(WWWW[[#This Row],['#_Constructed/Existing protected/fenced ponds]]*250)/WWWW[[#This Row],[Total PoP ]])</f>
        <v>0</v>
      </c>
      <c r="CD296" s="556">
        <f>WWWW[[#This Row],[% Access to unimproved water points]]*WWWW[[#This Row],[Total PoP ]]</f>
        <v>0</v>
      </c>
      <c r="CE29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6" s="556">
        <f>WWWW[[#This Row],[HRP1]]/500</f>
        <v>0</v>
      </c>
      <c r="CH296" s="561">
        <f>1-WWWW[[#This Row],[% Equitable and continuous access to sufficient quantity of domestic water]]</f>
        <v>1</v>
      </c>
      <c r="CI296" s="556">
        <f>WWWW[[#This Row],[%equitable and continuous access to sufficient quantity of safe drinking and domestic water''s GAP]]*WWWW[[#This Row],[Total PoP ]]</f>
        <v>190</v>
      </c>
      <c r="CJ296" s="558">
        <f>IF(WWWW[[#This Row],[Total required water points]]-WWWW[[#This Row],['#Water points coverage]]&lt;0,0,WWWW[[#This Row],[Total required water points]]-WWWW[[#This Row],['#Water points coverage]])</f>
        <v>1</v>
      </c>
      <c r="CK296" s="558">
        <f>ROUND(IF(WWWW[[#This Row],[Total PoP ]]&lt;500,1,WWWW[[#This Row],[Total PoP ]]/500),0)</f>
        <v>1</v>
      </c>
      <c r="CL296" s="558">
        <f>(WWWW[[#This Row],['#_Constructed latrines_by_WASHAgencies]]+WWWW[[#This Row],['#_Non Cluster partner latrines]])-WWWW[[#This Row],['#_Non-functional latrines]]</f>
        <v>0</v>
      </c>
      <c r="CM29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6" s="558" t="str">
        <f>IF(WWWW[[#This Row],[Location Type 1]]="Village","NA",IF(WWWW[[#This Row],['#_Constructed/Existing latrines in TLS]]*50&gt;WWWW[[#This Row],['#_students at TLS_CFS]],WWWW[[#This Row],['#_students at TLS_CFS]],(WWWW[[#This Row],['#_Constructed/Existing latrines in TLS]]*50)))</f>
        <v>NA</v>
      </c>
      <c r="CQ296" s="558">
        <f>ROUND(IF(WWWW[[#This Row],[Location Type 1]]="camp",WWWW[[#This Row],[Total PoP ]]/20,IF(WWWW[[#This Row],[Location Type 1]]="Temporary Location",WWWW[[#This Row],[Total PoP ]]/50,(WWWW[[#This Row],[Total PoP ]]/6))),0)</f>
        <v>32</v>
      </c>
      <c r="CR296" s="558">
        <f>IF(WWWW[[#This Row],[Total required Latrines]]-(WWWW[[#This Row],['#_Constructed latrines_by_WASHAgencies]]+WWWW[[#This Row],['#_Non Cluster partner latrines]])&lt;0,0,WWWW[[#This Row],[Total required Latrines]]-(WWWW[[#This Row],['#_Constructed latrines_by_WASHAgencies]]+WWWW[[#This Row],['#_Non Cluster partner latrines]]))</f>
        <v>32</v>
      </c>
      <c r="CS296" s="78">
        <f>1-WWWW[[#This Row],[% people access to functioning Latrine]]</f>
        <v>1</v>
      </c>
      <c r="CT296" s="560">
        <f>IF(OR(WWWW[[#This Row],['#_Non-functional latrines]]="",WWWW[[#This Row],['#_Non-functional latrines]]=0),0,WWWW[[#This Row],['#_Non-functional latrines]]/(WWWW[[#This Row],['#_Constructed latrines_by_WASHAgencies]]+WWWW[[#This Row],['#_Non Cluster partner latrines]]))</f>
        <v>0</v>
      </c>
      <c r="CU296" s="556">
        <f>IF(500*(WWWW[[#This Row],['#_male hygiene promoters]]+WWWW[[#This Row],['#_female hygiene promoters]])&gt;WWWW[[#This Row],[Total PoP ]],WWWW[[#This Row],[Total PoP ]],500*(WWWW[[#This Row],['#_male hygiene promoters]]+WWWW[[#This Row],['#_female hygiene promoters]]))</f>
        <v>0</v>
      </c>
      <c r="CV29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6" s="558">
        <f>IF(WWWW[[#This Row],['# People with access to soap]]&gt;WWWW[[#This Row],['# People with access to Sanity Pads]],WWWW[[#This Row],['# People with access to soap]],WWWW[[#This Row],['# People with access to Sanity Pads]])</f>
        <v>0</v>
      </c>
      <c r="CY29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6" s="561">
        <f>IF(WWWW[[#This Row],[HRP3]]/WWWW[[#This Row],[Total PoP ]]&gt;100%,100%,WWWW[[#This Row],[HRP3]]/WWWW[[#This Row],[Total PoP ]])</f>
        <v>0</v>
      </c>
      <c r="DA296" s="560">
        <f>1-WWWW[[#This Row],[Hygiene Coverage%]]</f>
        <v>1</v>
      </c>
      <c r="DB296" s="559">
        <f>WWWW[[#This Row],['# people reached by regular dedicated hygiene promotion_5]]/WWWW[[#This Row],[Total PoP ]]</f>
        <v>0</v>
      </c>
      <c r="DC296" s="559">
        <f>IF(WWWW[[#This Row],['#_households that received standard amount of soap for this quarter]]/WWWW[[#This Row],[Total HH]]&gt;1,1,WWWW[[#This Row],['#_households that received standard amount of soap for this quarter]]/WWWW[[#This Row],[Total HH]])</f>
        <v>0</v>
      </c>
      <c r="DD296" s="559">
        <f>IF(WWWW[[#This Row],['#_households that received standard amount of sanitary pads for this quarter]]/WWWW[[#This Row],[Total HH]]&gt;1,1,WWWW[[#This Row],['#_households that received standard amount of sanitary pads for this quarter]]/WWWW[[#This Row],[Total HH]])</f>
        <v>0</v>
      </c>
      <c r="DE296" s="558">
        <f>WWWW[[#This Row],['#_Constructed/Existing hand washing stations]]-WWWW[[#This Row],['#_Non-Functional_hand_washing_stations]]</f>
        <v>0</v>
      </c>
      <c r="DF296" s="757">
        <f>IF(WWWW[[#This Row],['# Functional hand washing stations during reporting period]]*20&gt;WWWW[[#This Row],[Total HH]],WWWW[[#This Row],[Total HH]],WWWW[[#This Row],['# Functional hand washing stations during reporting period]]*20)</f>
        <v>0</v>
      </c>
      <c r="DG296" s="556">
        <f>IF(WWWW[[#This Row],[Is sufficient soap available for TLS? (Yes/No)]]="yes",WWWW[[#This Row],['#_Constructed/Existing hand washing stations at TLS]],0)</f>
        <v>0</v>
      </c>
      <c r="DH296" s="556">
        <f>IF(WWWW[[#This Row],['# Functional hand washing stations during reporting period]]*100&gt;WWWW[[#This Row],[Total PoP ]],WWWW[[#This Row],[Total PoP ]],WWWW[[#This Row],['# Functional hand washing stations during reporting period]]*100)</f>
        <v>0</v>
      </c>
      <c r="DI296" s="556" t="str">
        <f>IF(OR(WWWW[[#This Row],['#_students at TLS_CFS]]="",WWWW[[#This Row],['#_students at TLS_CFS]]=0),"No","Yes")</f>
        <v>No</v>
      </c>
      <c r="DJ296" s="554">
        <f>VLOOKUP(WWWW[[#This Row],[Site Name]],SiteDB6[[Site Name]:[CCCM Management]],6,FALSE)</f>
        <v>0</v>
      </c>
      <c r="DK296" s="554">
        <f>VLOOKUP(WWWW[[#This Row],[Site Name]],SiteDB6[[Site Name]:[CCCM Focal Agency]],7,FALSE)</f>
        <v>0</v>
      </c>
      <c r="DL296" s="554" t="str">
        <f>VLOOKUP(WWWW[[#This Row],[Site Name]],SiteDB6[[Site Name]:[Location Type 1]],9,FALSE)</f>
        <v>Village</v>
      </c>
      <c r="DM296" s="554" t="str">
        <f>VLOOKUP(WWWW[[#This Row],[Site Name]],SiteDB6[[Site Name]:[Type of Accommodation]],10,FALSE)</f>
        <v>Village</v>
      </c>
      <c r="DN296" s="554">
        <f>VLOOKUP(WWWW[[#This Row],[Site Name]],SiteDB6[[Site Name]:[Ethnic or GCA/NGCA]],11,FALSE)</f>
        <v>0</v>
      </c>
      <c r="DO296" s="554">
        <f>VLOOKUP(WWWW[[#This Row],[Site Name]],SiteDB6[[Site Name]:[Lat]],12,FALSE)</f>
        <v>0</v>
      </c>
      <c r="DP296" s="554">
        <f>VLOOKUP(WWWW[[#This Row],[Site Name]],SiteDB6[[Site Name]:[Long]],13,FALSE)</f>
        <v>0</v>
      </c>
      <c r="DQ296" s="554">
        <f>VLOOKUP(WWWW[[#This Row],[Site Name]],SiteDB6[[Site Name]:[Pcode]],3,FALSE)</f>
        <v>0</v>
      </c>
      <c r="DR296" s="563" t="str">
        <f t="shared" si="10"/>
        <v>Covered</v>
      </c>
      <c r="DS296" s="563"/>
    </row>
    <row r="297" spans="1:123">
      <c r="A297" s="552" t="s">
        <v>2518</v>
      </c>
      <c r="B297" s="552" t="s">
        <v>332</v>
      </c>
      <c r="C297" s="555" t="s">
        <v>332</v>
      </c>
      <c r="D297" s="555" t="s">
        <v>325</v>
      </c>
      <c r="E297" s="574" t="s">
        <v>3006</v>
      </c>
      <c r="F297" s="555" t="s">
        <v>330</v>
      </c>
      <c r="G297" s="574" t="str">
        <f>VLOOKUP(WWWW[[#This Row],[Site Name]],SiteDB6[[Site Name]:[Location Type]],8,FALSE)</f>
        <v>Village</v>
      </c>
      <c r="H297" s="555" t="s">
        <v>2914</v>
      </c>
      <c r="I297" s="557">
        <v>150</v>
      </c>
      <c r="J297" s="557">
        <v>532</v>
      </c>
      <c r="K297" s="564">
        <v>42736</v>
      </c>
      <c r="L297" s="565">
        <v>44551</v>
      </c>
      <c r="M297" s="557"/>
      <c r="N297" s="557"/>
      <c r="O297" s="557"/>
      <c r="P297" s="557"/>
      <c r="Q297" s="556"/>
      <c r="R297" s="557"/>
      <c r="S297" s="557"/>
      <c r="T297" s="557"/>
      <c r="U297" s="557"/>
      <c r="V297" s="557"/>
      <c r="W297" s="557"/>
      <c r="X297" s="557"/>
      <c r="Y297" s="557"/>
      <c r="Z297" s="557"/>
      <c r="AA297" s="557"/>
      <c r="AB297" s="557"/>
      <c r="AC297" s="557"/>
      <c r="AD297" s="557"/>
      <c r="AE297" s="557"/>
      <c r="AF297" s="557"/>
      <c r="AG297" s="557"/>
      <c r="AH297" s="557"/>
      <c r="AI297" s="557"/>
      <c r="AJ297" s="557"/>
      <c r="AK297" s="557"/>
      <c r="AL297" s="557"/>
      <c r="AM297" s="557"/>
      <c r="AN297" s="557"/>
      <c r="AO297" s="563"/>
      <c r="AP297" s="557"/>
      <c r="AQ297" s="557"/>
      <c r="AR297" s="559"/>
      <c r="AS297" s="557"/>
      <c r="AT297" s="557"/>
      <c r="AU297" s="557"/>
      <c r="AV297" s="557"/>
      <c r="AW297" s="557"/>
      <c r="AX297" s="554"/>
      <c r="AY297" s="563"/>
      <c r="AZ297" s="557"/>
      <c r="BA297" s="557"/>
      <c r="BB297" s="557"/>
      <c r="BC297" s="554"/>
      <c r="BD297" s="557"/>
      <c r="BE297" s="557"/>
      <c r="BF297" s="557"/>
      <c r="BG297" s="557"/>
      <c r="BH297" s="557"/>
      <c r="BI297" s="557"/>
      <c r="BJ297" s="557"/>
      <c r="BK297" s="557"/>
      <c r="BL297" s="557"/>
      <c r="BM297" s="554"/>
      <c r="BN297" s="558"/>
      <c r="BO297" s="559"/>
      <c r="BP297" s="554"/>
      <c r="BQ297" s="560" t="str">
        <f>IFERROR(WWWW[[#This Row],['#_Water sources treated]]/WWWW[[#This Row],['#_Water sources tested for contamination]],"no test")</f>
        <v>no test</v>
      </c>
      <c r="BR297" s="559" t="str">
        <f>IFERROR(WWWW[[#This Row],['#_Household received remediation action due to contamination]]/WWWW[[#This Row],['#_Household water samples tested for contamination]],"no test")</f>
        <v>no test</v>
      </c>
      <c r="BS297" s="558" t="str">
        <f>IF(AND(WWWW[[#This Row],[% of water sources treated]]="no test",WWWW[[#This Row],[% Household received corrective actions]]="no test"),"No Test","Tested")</f>
        <v>No Test</v>
      </c>
      <c r="BT297" s="558">
        <f>WWWW[[#This Row],['#_Constructed/existing protected hand dug well]]-WWWW[[#This Row],['#_Non-functional protected hand dug well]]</f>
        <v>0</v>
      </c>
      <c r="BU297" s="558">
        <f>(WWWW[[#This Row],['#_Constructed/Existing tube wells/boreholes/handpumps_WASH_agency]]+WWWW[[#This Row],['#_Non-Cluster partner water tube-wells/boreholes/handpumps]])-WWWW[[#This Row],['#_Non-functional tube wells/boreholes/handpumps]]</f>
        <v>0</v>
      </c>
      <c r="BV297" s="558">
        <f>WWWW[[#This Row],['#_Constructed/Existingwater storage tank with gravity fed reticulation system]]-WWWW[[#This Row],['#_Non-functional storage tank gravity fed reticulation system]]</f>
        <v>0</v>
      </c>
      <c r="BW297" s="558">
        <f>WWWW[[#This Row],['#_Water boating or water trucking]]</f>
        <v>0</v>
      </c>
      <c r="BX297" s="558">
        <f>WWWW[[#This Row],['#_Constructed/Existing water distribution system from river or natural spring]]</f>
        <v>0</v>
      </c>
      <c r="BY29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7" s="559">
        <f>IF(WWWW[[#This Row],[Location Type 1]]="Village",WWWW[[#This Row],[Access to safe drinking water for Village]],WWWW[[#This Row],[Access to safe drinking water for Camp]])</f>
        <v>0</v>
      </c>
      <c r="CB297" s="556">
        <f>WWWW[[#This Row],[%Equitable and continuous access to sufficient quantity of safe drinking water]]*WWWW[[#This Row],[Total PoP ]]</f>
        <v>0</v>
      </c>
      <c r="CC297" s="559">
        <f>IF((WWWW[[#This Row],['#_Constructed/Existing protected/fenced ponds]]*250)/WWWW[[#This Row],[Total PoP ]]&gt;1,1,(WWWW[[#This Row],['#_Constructed/Existing protected/fenced ponds]]*250)/WWWW[[#This Row],[Total PoP ]])</f>
        <v>0</v>
      </c>
      <c r="CD297" s="556">
        <f>WWWW[[#This Row],[% Access to unimproved water points]]*WWWW[[#This Row],[Total PoP ]]</f>
        <v>0</v>
      </c>
      <c r="CE29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7" s="556">
        <f>WWWW[[#This Row],[HRP1]]/500</f>
        <v>0</v>
      </c>
      <c r="CH297" s="561">
        <f>1-WWWW[[#This Row],[% Equitable and continuous access to sufficient quantity of domestic water]]</f>
        <v>1</v>
      </c>
      <c r="CI297" s="556">
        <f>WWWW[[#This Row],[%equitable and continuous access to sufficient quantity of safe drinking and domestic water''s GAP]]*WWWW[[#This Row],[Total PoP ]]</f>
        <v>532</v>
      </c>
      <c r="CJ297" s="558">
        <f>IF(WWWW[[#This Row],[Total required water points]]-WWWW[[#This Row],['#Water points coverage]]&lt;0,0,WWWW[[#This Row],[Total required water points]]-WWWW[[#This Row],['#Water points coverage]])</f>
        <v>1</v>
      </c>
      <c r="CK297" s="558">
        <f>ROUND(IF(WWWW[[#This Row],[Total PoP ]]&lt;500,1,WWWW[[#This Row],[Total PoP ]]/500),0)</f>
        <v>1</v>
      </c>
      <c r="CL297" s="558">
        <f>(WWWW[[#This Row],['#_Constructed latrines_by_WASHAgencies]]+WWWW[[#This Row],['#_Non Cluster partner latrines]])-WWWW[[#This Row],['#_Non-functional latrines]]</f>
        <v>0</v>
      </c>
      <c r="CM29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7" s="558" t="str">
        <f>IF(WWWW[[#This Row],[Location Type 1]]="Village","NA",IF(WWWW[[#This Row],['#_Constructed/Existing latrines in TLS]]*50&gt;WWWW[[#This Row],['#_students at TLS_CFS]],WWWW[[#This Row],['#_students at TLS_CFS]],(WWWW[[#This Row],['#_Constructed/Existing latrines in TLS]]*50)))</f>
        <v>NA</v>
      </c>
      <c r="CQ297" s="558">
        <f>ROUND(IF(WWWW[[#This Row],[Location Type 1]]="camp",WWWW[[#This Row],[Total PoP ]]/20,IF(WWWW[[#This Row],[Location Type 1]]="Temporary Location",WWWW[[#This Row],[Total PoP ]]/50,(WWWW[[#This Row],[Total PoP ]]/6))),0)</f>
        <v>89</v>
      </c>
      <c r="CR297" s="558">
        <f>IF(WWWW[[#This Row],[Total required Latrines]]-(WWWW[[#This Row],['#_Constructed latrines_by_WASHAgencies]]+WWWW[[#This Row],['#_Non Cluster partner latrines]])&lt;0,0,WWWW[[#This Row],[Total required Latrines]]-(WWWW[[#This Row],['#_Constructed latrines_by_WASHAgencies]]+WWWW[[#This Row],['#_Non Cluster partner latrines]]))</f>
        <v>89</v>
      </c>
      <c r="CS297" s="78">
        <f>1-WWWW[[#This Row],[% people access to functioning Latrine]]</f>
        <v>1</v>
      </c>
      <c r="CT297" s="560">
        <f>IF(OR(WWWW[[#This Row],['#_Non-functional latrines]]="",WWWW[[#This Row],['#_Non-functional latrines]]=0),0,WWWW[[#This Row],['#_Non-functional latrines]]/(WWWW[[#This Row],['#_Constructed latrines_by_WASHAgencies]]+WWWW[[#This Row],['#_Non Cluster partner latrines]]))</f>
        <v>0</v>
      </c>
      <c r="CU297" s="556">
        <f>IF(500*(WWWW[[#This Row],['#_male hygiene promoters]]+WWWW[[#This Row],['#_female hygiene promoters]])&gt;WWWW[[#This Row],[Total PoP ]],WWWW[[#This Row],[Total PoP ]],500*(WWWW[[#This Row],['#_male hygiene promoters]]+WWWW[[#This Row],['#_female hygiene promoters]]))</f>
        <v>0</v>
      </c>
      <c r="CV29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7" s="558">
        <f>IF(WWWW[[#This Row],['# People with access to soap]]&gt;WWWW[[#This Row],['# People with access to Sanity Pads]],WWWW[[#This Row],['# People with access to soap]],WWWW[[#This Row],['# People with access to Sanity Pads]])</f>
        <v>0</v>
      </c>
      <c r="CY29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7" s="561">
        <f>IF(WWWW[[#This Row],[HRP3]]/WWWW[[#This Row],[Total PoP ]]&gt;100%,100%,WWWW[[#This Row],[HRP3]]/WWWW[[#This Row],[Total PoP ]])</f>
        <v>0</v>
      </c>
      <c r="DA297" s="560">
        <f>1-WWWW[[#This Row],[Hygiene Coverage%]]</f>
        <v>1</v>
      </c>
      <c r="DB297" s="559">
        <f>WWWW[[#This Row],['# people reached by regular dedicated hygiene promotion_5]]/WWWW[[#This Row],[Total PoP ]]</f>
        <v>0</v>
      </c>
      <c r="DC297" s="559">
        <f>IF(WWWW[[#This Row],['#_households that received standard amount of soap for this quarter]]/WWWW[[#This Row],[Total HH]]&gt;1,1,WWWW[[#This Row],['#_households that received standard amount of soap for this quarter]]/WWWW[[#This Row],[Total HH]])</f>
        <v>0</v>
      </c>
      <c r="DD297" s="559">
        <f>IF(WWWW[[#This Row],['#_households that received standard amount of sanitary pads for this quarter]]/WWWW[[#This Row],[Total HH]]&gt;1,1,WWWW[[#This Row],['#_households that received standard amount of sanitary pads for this quarter]]/WWWW[[#This Row],[Total HH]])</f>
        <v>0</v>
      </c>
      <c r="DE297" s="558">
        <f>WWWW[[#This Row],['#_Constructed/Existing hand washing stations]]-WWWW[[#This Row],['#_Non-Functional_hand_washing_stations]]</f>
        <v>0</v>
      </c>
      <c r="DF297" s="757">
        <f>IF(WWWW[[#This Row],['# Functional hand washing stations during reporting period]]*20&gt;WWWW[[#This Row],[Total HH]],WWWW[[#This Row],[Total HH]],WWWW[[#This Row],['# Functional hand washing stations during reporting period]]*20)</f>
        <v>0</v>
      </c>
      <c r="DG297" s="556">
        <f>IF(WWWW[[#This Row],[Is sufficient soap available for TLS? (Yes/No)]]="yes",WWWW[[#This Row],['#_Constructed/Existing hand washing stations at TLS]],0)</f>
        <v>0</v>
      </c>
      <c r="DH297" s="556">
        <f>IF(WWWW[[#This Row],['# Functional hand washing stations during reporting period]]*100&gt;WWWW[[#This Row],[Total PoP ]],WWWW[[#This Row],[Total PoP ]],WWWW[[#This Row],['# Functional hand washing stations during reporting period]]*100)</f>
        <v>0</v>
      </c>
      <c r="DI297" s="556" t="str">
        <f>IF(OR(WWWW[[#This Row],['#_students at TLS_CFS]]="",WWWW[[#This Row],['#_students at TLS_CFS]]=0),"No","Yes")</f>
        <v>No</v>
      </c>
      <c r="DJ297" s="554">
        <f>VLOOKUP(WWWW[[#This Row],[Site Name]],SiteDB6[[Site Name]:[CCCM Management]],6,FALSE)</f>
        <v>0</v>
      </c>
      <c r="DK297" s="554">
        <f>VLOOKUP(WWWW[[#This Row],[Site Name]],SiteDB6[[Site Name]:[CCCM Focal Agency]],7,FALSE)</f>
        <v>0</v>
      </c>
      <c r="DL297" s="554" t="str">
        <f>VLOOKUP(WWWW[[#This Row],[Site Name]],SiteDB6[[Site Name]:[Location Type 1]],9,FALSE)</f>
        <v>Village</v>
      </c>
      <c r="DM297" s="554" t="str">
        <f>VLOOKUP(WWWW[[#This Row],[Site Name]],SiteDB6[[Site Name]:[Type of Accommodation]],10,FALSE)</f>
        <v>Village</v>
      </c>
      <c r="DN297" s="554">
        <f>VLOOKUP(WWWW[[#This Row],[Site Name]],SiteDB6[[Site Name]:[Ethnic or GCA/NGCA]],11,FALSE)</f>
        <v>0</v>
      </c>
      <c r="DO297" s="554">
        <f>VLOOKUP(WWWW[[#This Row],[Site Name]],SiteDB6[[Site Name]:[Lat]],12,FALSE)</f>
        <v>0</v>
      </c>
      <c r="DP297" s="554">
        <f>VLOOKUP(WWWW[[#This Row],[Site Name]],SiteDB6[[Site Name]:[Long]],13,FALSE)</f>
        <v>0</v>
      </c>
      <c r="DQ297" s="554">
        <f>VLOOKUP(WWWW[[#This Row],[Site Name]],SiteDB6[[Site Name]:[Pcode]],3,FALSE)</f>
        <v>197092</v>
      </c>
      <c r="DR297" s="563" t="str">
        <f t="shared" si="10"/>
        <v>Covered</v>
      </c>
      <c r="DS297" s="563"/>
    </row>
    <row r="298" spans="1:123">
      <c r="A298" s="552" t="s">
        <v>2518</v>
      </c>
      <c r="B298" s="552" t="s">
        <v>332</v>
      </c>
      <c r="C298" s="555" t="s">
        <v>332</v>
      </c>
      <c r="D298" s="555" t="s">
        <v>325</v>
      </c>
      <c r="E298" s="574" t="s">
        <v>3006</v>
      </c>
      <c r="F298" s="555" t="s">
        <v>330</v>
      </c>
      <c r="G298" s="574" t="str">
        <f>VLOOKUP(WWWW[[#This Row],[Site Name]],SiteDB6[[Site Name]:[Location Type]],8,FALSE)</f>
        <v>Village</v>
      </c>
      <c r="H298" s="555" t="s">
        <v>2915</v>
      </c>
      <c r="I298" s="557">
        <v>142</v>
      </c>
      <c r="J298" s="557">
        <v>542</v>
      </c>
      <c r="K298" s="564">
        <v>42736</v>
      </c>
      <c r="L298" s="565">
        <v>44551</v>
      </c>
      <c r="M298" s="557"/>
      <c r="N298" s="557"/>
      <c r="O298" s="557"/>
      <c r="P298" s="557"/>
      <c r="Q298" s="556"/>
      <c r="R298" s="557"/>
      <c r="S298" s="557"/>
      <c r="T298" s="557"/>
      <c r="U298" s="557"/>
      <c r="V298" s="557"/>
      <c r="W298" s="557"/>
      <c r="X298" s="557"/>
      <c r="Y298" s="557"/>
      <c r="Z298" s="557"/>
      <c r="AA298" s="557"/>
      <c r="AB298" s="557"/>
      <c r="AC298" s="557"/>
      <c r="AD298" s="557"/>
      <c r="AE298" s="557"/>
      <c r="AF298" s="557"/>
      <c r="AG298" s="557"/>
      <c r="AH298" s="557"/>
      <c r="AI298" s="557"/>
      <c r="AJ298" s="557"/>
      <c r="AK298" s="557"/>
      <c r="AL298" s="557"/>
      <c r="AM298" s="557"/>
      <c r="AN298" s="557"/>
      <c r="AO298" s="563"/>
      <c r="AP298" s="557"/>
      <c r="AQ298" s="557"/>
      <c r="AR298" s="559"/>
      <c r="AS298" s="557"/>
      <c r="AT298" s="557"/>
      <c r="AU298" s="557"/>
      <c r="AV298" s="557"/>
      <c r="AW298" s="557"/>
      <c r="AX298" s="554"/>
      <c r="AY298" s="563"/>
      <c r="AZ298" s="557"/>
      <c r="BA298" s="557"/>
      <c r="BB298" s="557"/>
      <c r="BC298" s="554"/>
      <c r="BD298" s="557"/>
      <c r="BE298" s="557"/>
      <c r="BF298" s="557"/>
      <c r="BG298" s="557"/>
      <c r="BH298" s="557"/>
      <c r="BI298" s="557"/>
      <c r="BJ298" s="557"/>
      <c r="BK298" s="557"/>
      <c r="BL298" s="557"/>
      <c r="BM298" s="554"/>
      <c r="BN298" s="558"/>
      <c r="BO298" s="559"/>
      <c r="BP298" s="554"/>
      <c r="BQ298" s="560" t="str">
        <f>IFERROR(WWWW[[#This Row],['#_Water sources treated]]/WWWW[[#This Row],['#_Water sources tested for contamination]],"no test")</f>
        <v>no test</v>
      </c>
      <c r="BR298" s="559" t="str">
        <f>IFERROR(WWWW[[#This Row],['#_Household received remediation action due to contamination]]/WWWW[[#This Row],['#_Household water samples tested for contamination]],"no test")</f>
        <v>no test</v>
      </c>
      <c r="BS298" s="558" t="str">
        <f>IF(AND(WWWW[[#This Row],[% of water sources treated]]="no test",WWWW[[#This Row],[% Household received corrective actions]]="no test"),"No Test","Tested")</f>
        <v>No Test</v>
      </c>
      <c r="BT298" s="558">
        <f>WWWW[[#This Row],['#_Constructed/existing protected hand dug well]]-WWWW[[#This Row],['#_Non-functional protected hand dug well]]</f>
        <v>0</v>
      </c>
      <c r="BU298" s="558">
        <f>(WWWW[[#This Row],['#_Constructed/Existing tube wells/boreholes/handpumps_WASH_agency]]+WWWW[[#This Row],['#_Non-Cluster partner water tube-wells/boreholes/handpumps]])-WWWW[[#This Row],['#_Non-functional tube wells/boreholes/handpumps]]</f>
        <v>0</v>
      </c>
      <c r="BV298" s="558">
        <f>WWWW[[#This Row],['#_Constructed/Existingwater storage tank with gravity fed reticulation system]]-WWWW[[#This Row],['#_Non-functional storage tank gravity fed reticulation system]]</f>
        <v>0</v>
      </c>
      <c r="BW298" s="558">
        <f>WWWW[[#This Row],['#_Water boating or water trucking]]</f>
        <v>0</v>
      </c>
      <c r="BX298" s="558">
        <f>WWWW[[#This Row],['#_Constructed/Existing water distribution system from river or natural spring]]</f>
        <v>0</v>
      </c>
      <c r="BY29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8" s="559">
        <f>IF(WWWW[[#This Row],[Location Type 1]]="Village",WWWW[[#This Row],[Access to safe drinking water for Village]],WWWW[[#This Row],[Access to safe drinking water for Camp]])</f>
        <v>0</v>
      </c>
      <c r="CB298" s="556">
        <f>WWWW[[#This Row],[%Equitable and continuous access to sufficient quantity of safe drinking water]]*WWWW[[#This Row],[Total PoP ]]</f>
        <v>0</v>
      </c>
      <c r="CC298" s="559">
        <f>IF((WWWW[[#This Row],['#_Constructed/Existing protected/fenced ponds]]*250)/WWWW[[#This Row],[Total PoP ]]&gt;1,1,(WWWW[[#This Row],['#_Constructed/Existing protected/fenced ponds]]*250)/WWWW[[#This Row],[Total PoP ]])</f>
        <v>0</v>
      </c>
      <c r="CD298" s="556">
        <f>WWWW[[#This Row],[% Access to unimproved water points]]*WWWW[[#This Row],[Total PoP ]]</f>
        <v>0</v>
      </c>
      <c r="CE29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8" s="556">
        <f>WWWW[[#This Row],[HRP1]]/500</f>
        <v>0</v>
      </c>
      <c r="CH298" s="561">
        <f>1-WWWW[[#This Row],[% Equitable and continuous access to sufficient quantity of domestic water]]</f>
        <v>1</v>
      </c>
      <c r="CI298" s="556">
        <f>WWWW[[#This Row],[%equitable and continuous access to sufficient quantity of safe drinking and domestic water''s GAP]]*WWWW[[#This Row],[Total PoP ]]</f>
        <v>542</v>
      </c>
      <c r="CJ298" s="558">
        <f>IF(WWWW[[#This Row],[Total required water points]]-WWWW[[#This Row],['#Water points coverage]]&lt;0,0,WWWW[[#This Row],[Total required water points]]-WWWW[[#This Row],['#Water points coverage]])</f>
        <v>1</v>
      </c>
      <c r="CK298" s="558">
        <f>ROUND(IF(WWWW[[#This Row],[Total PoP ]]&lt;500,1,WWWW[[#This Row],[Total PoP ]]/500),0)</f>
        <v>1</v>
      </c>
      <c r="CL298" s="558">
        <f>(WWWW[[#This Row],['#_Constructed latrines_by_WASHAgencies]]+WWWW[[#This Row],['#_Non Cluster partner latrines]])-WWWW[[#This Row],['#_Non-functional latrines]]</f>
        <v>0</v>
      </c>
      <c r="CM29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8" s="558" t="str">
        <f>IF(WWWW[[#This Row],[Location Type 1]]="Village","NA",IF(WWWW[[#This Row],['#_Constructed/Existing latrines in TLS]]*50&gt;WWWW[[#This Row],['#_students at TLS_CFS]],WWWW[[#This Row],['#_students at TLS_CFS]],(WWWW[[#This Row],['#_Constructed/Existing latrines in TLS]]*50)))</f>
        <v>NA</v>
      </c>
      <c r="CQ298" s="558">
        <f>ROUND(IF(WWWW[[#This Row],[Location Type 1]]="camp",WWWW[[#This Row],[Total PoP ]]/20,IF(WWWW[[#This Row],[Location Type 1]]="Temporary Location",WWWW[[#This Row],[Total PoP ]]/50,(WWWW[[#This Row],[Total PoP ]]/6))),0)</f>
        <v>90</v>
      </c>
      <c r="CR298" s="558">
        <f>IF(WWWW[[#This Row],[Total required Latrines]]-(WWWW[[#This Row],['#_Constructed latrines_by_WASHAgencies]]+WWWW[[#This Row],['#_Non Cluster partner latrines]])&lt;0,0,WWWW[[#This Row],[Total required Latrines]]-(WWWW[[#This Row],['#_Constructed latrines_by_WASHAgencies]]+WWWW[[#This Row],['#_Non Cluster partner latrines]]))</f>
        <v>90</v>
      </c>
      <c r="CS298" s="78">
        <f>1-WWWW[[#This Row],[% people access to functioning Latrine]]</f>
        <v>1</v>
      </c>
      <c r="CT298" s="560">
        <f>IF(OR(WWWW[[#This Row],['#_Non-functional latrines]]="",WWWW[[#This Row],['#_Non-functional latrines]]=0),0,WWWW[[#This Row],['#_Non-functional latrines]]/(WWWW[[#This Row],['#_Constructed latrines_by_WASHAgencies]]+WWWW[[#This Row],['#_Non Cluster partner latrines]]))</f>
        <v>0</v>
      </c>
      <c r="CU298" s="556">
        <f>IF(500*(WWWW[[#This Row],['#_male hygiene promoters]]+WWWW[[#This Row],['#_female hygiene promoters]])&gt;WWWW[[#This Row],[Total PoP ]],WWWW[[#This Row],[Total PoP ]],500*(WWWW[[#This Row],['#_male hygiene promoters]]+WWWW[[#This Row],['#_female hygiene promoters]]))</f>
        <v>0</v>
      </c>
      <c r="CV29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8" s="558">
        <f>IF(WWWW[[#This Row],['# People with access to soap]]&gt;WWWW[[#This Row],['# People with access to Sanity Pads]],WWWW[[#This Row],['# People with access to soap]],WWWW[[#This Row],['# People with access to Sanity Pads]])</f>
        <v>0</v>
      </c>
      <c r="CY29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8" s="561">
        <f>IF(WWWW[[#This Row],[HRP3]]/WWWW[[#This Row],[Total PoP ]]&gt;100%,100%,WWWW[[#This Row],[HRP3]]/WWWW[[#This Row],[Total PoP ]])</f>
        <v>0</v>
      </c>
      <c r="DA298" s="560">
        <f>1-WWWW[[#This Row],[Hygiene Coverage%]]</f>
        <v>1</v>
      </c>
      <c r="DB298" s="559">
        <f>WWWW[[#This Row],['# people reached by regular dedicated hygiene promotion_5]]/WWWW[[#This Row],[Total PoP ]]</f>
        <v>0</v>
      </c>
      <c r="DC298" s="559">
        <f>IF(WWWW[[#This Row],['#_households that received standard amount of soap for this quarter]]/WWWW[[#This Row],[Total HH]]&gt;1,1,WWWW[[#This Row],['#_households that received standard amount of soap for this quarter]]/WWWW[[#This Row],[Total HH]])</f>
        <v>0</v>
      </c>
      <c r="DD298" s="559">
        <f>IF(WWWW[[#This Row],['#_households that received standard amount of sanitary pads for this quarter]]/WWWW[[#This Row],[Total HH]]&gt;1,1,WWWW[[#This Row],['#_households that received standard amount of sanitary pads for this quarter]]/WWWW[[#This Row],[Total HH]])</f>
        <v>0</v>
      </c>
      <c r="DE298" s="558">
        <f>WWWW[[#This Row],['#_Constructed/Existing hand washing stations]]-WWWW[[#This Row],['#_Non-Functional_hand_washing_stations]]</f>
        <v>0</v>
      </c>
      <c r="DF298" s="757">
        <f>IF(WWWW[[#This Row],['# Functional hand washing stations during reporting period]]*20&gt;WWWW[[#This Row],[Total HH]],WWWW[[#This Row],[Total HH]],WWWW[[#This Row],['# Functional hand washing stations during reporting period]]*20)</f>
        <v>0</v>
      </c>
      <c r="DG298" s="556">
        <f>IF(WWWW[[#This Row],[Is sufficient soap available for TLS? (Yes/No)]]="yes",WWWW[[#This Row],['#_Constructed/Existing hand washing stations at TLS]],0)</f>
        <v>0</v>
      </c>
      <c r="DH298" s="556">
        <f>IF(WWWW[[#This Row],['# Functional hand washing stations during reporting period]]*100&gt;WWWW[[#This Row],[Total PoP ]],WWWW[[#This Row],[Total PoP ]],WWWW[[#This Row],['# Functional hand washing stations during reporting period]]*100)</f>
        <v>0</v>
      </c>
      <c r="DI298" s="556" t="str">
        <f>IF(OR(WWWW[[#This Row],['#_students at TLS_CFS]]="",WWWW[[#This Row],['#_students at TLS_CFS]]=0),"No","Yes")</f>
        <v>No</v>
      </c>
      <c r="DJ298" s="554">
        <f>VLOOKUP(WWWW[[#This Row],[Site Name]],SiteDB6[[Site Name]:[CCCM Management]],6,FALSE)</f>
        <v>0</v>
      </c>
      <c r="DK298" s="554">
        <f>VLOOKUP(WWWW[[#This Row],[Site Name]],SiteDB6[[Site Name]:[CCCM Focal Agency]],7,FALSE)</f>
        <v>0</v>
      </c>
      <c r="DL298" s="554" t="str">
        <f>VLOOKUP(WWWW[[#This Row],[Site Name]],SiteDB6[[Site Name]:[Location Type 1]],9,FALSE)</f>
        <v>Village</v>
      </c>
      <c r="DM298" s="554" t="str">
        <f>VLOOKUP(WWWW[[#This Row],[Site Name]],SiteDB6[[Site Name]:[Type of Accommodation]],10,FALSE)</f>
        <v>Village</v>
      </c>
      <c r="DN298" s="554">
        <f>VLOOKUP(WWWW[[#This Row],[Site Name]],SiteDB6[[Site Name]:[Ethnic or GCA/NGCA]],11,FALSE)</f>
        <v>0</v>
      </c>
      <c r="DO298" s="554">
        <f>VLOOKUP(WWWW[[#This Row],[Site Name]],SiteDB6[[Site Name]:[Lat]],12,FALSE)</f>
        <v>0</v>
      </c>
      <c r="DP298" s="554">
        <f>VLOOKUP(WWWW[[#This Row],[Site Name]],SiteDB6[[Site Name]:[Long]],13,FALSE)</f>
        <v>0</v>
      </c>
      <c r="DQ298" s="554">
        <f>VLOOKUP(WWWW[[#This Row],[Site Name]],SiteDB6[[Site Name]:[Pcode]],3,FALSE)</f>
        <v>197100</v>
      </c>
      <c r="DR298" s="563" t="str">
        <f t="shared" si="10"/>
        <v>Covered</v>
      </c>
      <c r="DS298" s="563"/>
    </row>
    <row r="299" spans="1:123">
      <c r="A299" s="552" t="s">
        <v>2518</v>
      </c>
      <c r="B299" s="552" t="s">
        <v>332</v>
      </c>
      <c r="C299" s="555" t="s">
        <v>332</v>
      </c>
      <c r="D299" s="555" t="s">
        <v>325</v>
      </c>
      <c r="E299" s="574" t="s">
        <v>3006</v>
      </c>
      <c r="F299" s="555" t="s">
        <v>330</v>
      </c>
      <c r="G299" s="574" t="str">
        <f>VLOOKUP(WWWW[[#This Row],[Site Name]],SiteDB6[[Site Name]:[Location Type]],8,FALSE)</f>
        <v>Village</v>
      </c>
      <c r="H299" s="555" t="s">
        <v>2916</v>
      </c>
      <c r="I299" s="557">
        <v>290</v>
      </c>
      <c r="J299" s="557">
        <v>1314</v>
      </c>
      <c r="K299" s="564">
        <v>42736</v>
      </c>
      <c r="L299" s="565">
        <v>44551</v>
      </c>
      <c r="M299" s="557"/>
      <c r="N299" s="557"/>
      <c r="O299" s="557"/>
      <c r="P299" s="557"/>
      <c r="Q299" s="556"/>
      <c r="R299" s="557"/>
      <c r="S299" s="557"/>
      <c r="T299" s="557"/>
      <c r="U299" s="557"/>
      <c r="V299" s="557"/>
      <c r="W299" s="557"/>
      <c r="X299" s="557"/>
      <c r="Y299" s="557"/>
      <c r="Z299" s="557"/>
      <c r="AA299" s="557"/>
      <c r="AB299" s="557"/>
      <c r="AC299" s="557"/>
      <c r="AD299" s="557"/>
      <c r="AE299" s="557"/>
      <c r="AF299" s="557"/>
      <c r="AG299" s="557"/>
      <c r="AH299" s="557"/>
      <c r="AI299" s="557"/>
      <c r="AJ299" s="557"/>
      <c r="AK299" s="557"/>
      <c r="AL299" s="557"/>
      <c r="AM299" s="557"/>
      <c r="AN299" s="557"/>
      <c r="AO299" s="563"/>
      <c r="AP299" s="557"/>
      <c r="AQ299" s="557"/>
      <c r="AR299" s="559"/>
      <c r="AS299" s="557"/>
      <c r="AT299" s="557"/>
      <c r="AU299" s="557"/>
      <c r="AV299" s="557"/>
      <c r="AW299" s="557"/>
      <c r="AX299" s="554"/>
      <c r="AY299" s="563"/>
      <c r="AZ299" s="557"/>
      <c r="BA299" s="557"/>
      <c r="BB299" s="557"/>
      <c r="BC299" s="554"/>
      <c r="BD299" s="557"/>
      <c r="BE299" s="557"/>
      <c r="BF299" s="557"/>
      <c r="BG299" s="557"/>
      <c r="BH299" s="557"/>
      <c r="BI299" s="557"/>
      <c r="BJ299" s="557"/>
      <c r="BK299" s="557"/>
      <c r="BL299" s="557"/>
      <c r="BM299" s="554"/>
      <c r="BN299" s="558"/>
      <c r="BO299" s="559"/>
      <c r="BP299" s="554"/>
      <c r="BQ299" s="560" t="str">
        <f>IFERROR(WWWW[[#This Row],['#_Water sources treated]]/WWWW[[#This Row],['#_Water sources tested for contamination]],"no test")</f>
        <v>no test</v>
      </c>
      <c r="BR299" s="559" t="str">
        <f>IFERROR(WWWW[[#This Row],['#_Household received remediation action due to contamination]]/WWWW[[#This Row],['#_Household water samples tested for contamination]],"no test")</f>
        <v>no test</v>
      </c>
      <c r="BS299" s="558" t="str">
        <f>IF(AND(WWWW[[#This Row],[% of water sources treated]]="no test",WWWW[[#This Row],[% Household received corrective actions]]="no test"),"No Test","Tested")</f>
        <v>No Test</v>
      </c>
      <c r="BT299" s="558">
        <f>WWWW[[#This Row],['#_Constructed/existing protected hand dug well]]-WWWW[[#This Row],['#_Non-functional protected hand dug well]]</f>
        <v>0</v>
      </c>
      <c r="BU299" s="558">
        <f>(WWWW[[#This Row],['#_Constructed/Existing tube wells/boreholes/handpumps_WASH_agency]]+WWWW[[#This Row],['#_Non-Cluster partner water tube-wells/boreholes/handpumps]])-WWWW[[#This Row],['#_Non-functional tube wells/boreholes/handpumps]]</f>
        <v>0</v>
      </c>
      <c r="BV299" s="558">
        <f>WWWW[[#This Row],['#_Constructed/Existingwater storage tank with gravity fed reticulation system]]-WWWW[[#This Row],['#_Non-functional storage tank gravity fed reticulation system]]</f>
        <v>0</v>
      </c>
      <c r="BW299" s="558">
        <f>WWWW[[#This Row],['#_Water boating or water trucking]]</f>
        <v>0</v>
      </c>
      <c r="BX299" s="558">
        <f>WWWW[[#This Row],['#_Constructed/Existing water distribution system from river or natural spring]]</f>
        <v>0</v>
      </c>
      <c r="BY29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29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299" s="559">
        <f>IF(WWWW[[#This Row],[Location Type 1]]="Village",WWWW[[#This Row],[Access to safe drinking water for Village]],WWWW[[#This Row],[Access to safe drinking water for Camp]])</f>
        <v>0</v>
      </c>
      <c r="CB299" s="556">
        <f>WWWW[[#This Row],[%Equitable and continuous access to sufficient quantity of safe drinking water]]*WWWW[[#This Row],[Total PoP ]]</f>
        <v>0</v>
      </c>
      <c r="CC299" s="559">
        <f>IF((WWWW[[#This Row],['#_Constructed/Existing protected/fenced ponds]]*250)/WWWW[[#This Row],[Total PoP ]]&gt;1,1,(WWWW[[#This Row],['#_Constructed/Existing protected/fenced ponds]]*250)/WWWW[[#This Row],[Total PoP ]])</f>
        <v>0</v>
      </c>
      <c r="CD299" s="556">
        <f>WWWW[[#This Row],[% Access to unimproved water points]]*WWWW[[#This Row],[Total PoP ]]</f>
        <v>0</v>
      </c>
      <c r="CE29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29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299" s="556">
        <f>WWWW[[#This Row],[HRP1]]/500</f>
        <v>0</v>
      </c>
      <c r="CH299" s="561">
        <f>1-WWWW[[#This Row],[% Equitable and continuous access to sufficient quantity of domestic water]]</f>
        <v>1</v>
      </c>
      <c r="CI299" s="556">
        <f>WWWW[[#This Row],[%equitable and continuous access to sufficient quantity of safe drinking and domestic water''s GAP]]*WWWW[[#This Row],[Total PoP ]]</f>
        <v>1314</v>
      </c>
      <c r="CJ299" s="558">
        <f>IF(WWWW[[#This Row],[Total required water points]]-WWWW[[#This Row],['#Water points coverage]]&lt;0,0,WWWW[[#This Row],[Total required water points]]-WWWW[[#This Row],['#Water points coverage]])</f>
        <v>3</v>
      </c>
      <c r="CK299" s="558">
        <f>ROUND(IF(WWWW[[#This Row],[Total PoP ]]&lt;500,1,WWWW[[#This Row],[Total PoP ]]/500),0)</f>
        <v>3</v>
      </c>
      <c r="CL299" s="558">
        <f>(WWWW[[#This Row],['#_Constructed latrines_by_WASHAgencies]]+WWWW[[#This Row],['#_Non Cluster partner latrines]])-WWWW[[#This Row],['#_Non-functional latrines]]</f>
        <v>0</v>
      </c>
      <c r="CM29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29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29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299" s="558" t="str">
        <f>IF(WWWW[[#This Row],[Location Type 1]]="Village","NA",IF(WWWW[[#This Row],['#_Constructed/Existing latrines in TLS]]*50&gt;WWWW[[#This Row],['#_students at TLS_CFS]],WWWW[[#This Row],['#_students at TLS_CFS]],(WWWW[[#This Row],['#_Constructed/Existing latrines in TLS]]*50)))</f>
        <v>NA</v>
      </c>
      <c r="CQ299" s="558">
        <f>ROUND(IF(WWWW[[#This Row],[Location Type 1]]="camp",WWWW[[#This Row],[Total PoP ]]/20,IF(WWWW[[#This Row],[Location Type 1]]="Temporary Location",WWWW[[#This Row],[Total PoP ]]/50,(WWWW[[#This Row],[Total PoP ]]/6))),0)</f>
        <v>219</v>
      </c>
      <c r="CR299" s="558">
        <f>IF(WWWW[[#This Row],[Total required Latrines]]-(WWWW[[#This Row],['#_Constructed latrines_by_WASHAgencies]]+WWWW[[#This Row],['#_Non Cluster partner latrines]])&lt;0,0,WWWW[[#This Row],[Total required Latrines]]-(WWWW[[#This Row],['#_Constructed latrines_by_WASHAgencies]]+WWWW[[#This Row],['#_Non Cluster partner latrines]]))</f>
        <v>219</v>
      </c>
      <c r="CS299" s="78">
        <f>1-WWWW[[#This Row],[% people access to functioning Latrine]]</f>
        <v>1</v>
      </c>
      <c r="CT299" s="560">
        <f>IF(OR(WWWW[[#This Row],['#_Non-functional latrines]]="",WWWW[[#This Row],['#_Non-functional latrines]]=0),0,WWWW[[#This Row],['#_Non-functional latrines]]/(WWWW[[#This Row],['#_Constructed latrines_by_WASHAgencies]]+WWWW[[#This Row],['#_Non Cluster partner latrines]]))</f>
        <v>0</v>
      </c>
      <c r="CU299" s="556">
        <f>IF(500*(WWWW[[#This Row],['#_male hygiene promoters]]+WWWW[[#This Row],['#_female hygiene promoters]])&gt;WWWW[[#This Row],[Total PoP ]],WWWW[[#This Row],[Total PoP ]],500*(WWWW[[#This Row],['#_male hygiene promoters]]+WWWW[[#This Row],['#_female hygiene promoters]]))</f>
        <v>0</v>
      </c>
      <c r="CV29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29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299" s="558">
        <f>IF(WWWW[[#This Row],['# People with access to soap]]&gt;WWWW[[#This Row],['# People with access to Sanity Pads]],WWWW[[#This Row],['# People with access to soap]],WWWW[[#This Row],['# People with access to Sanity Pads]])</f>
        <v>0</v>
      </c>
      <c r="CY29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299" s="561">
        <f>IF(WWWW[[#This Row],[HRP3]]/WWWW[[#This Row],[Total PoP ]]&gt;100%,100%,WWWW[[#This Row],[HRP3]]/WWWW[[#This Row],[Total PoP ]])</f>
        <v>0</v>
      </c>
      <c r="DA299" s="560">
        <f>1-WWWW[[#This Row],[Hygiene Coverage%]]</f>
        <v>1</v>
      </c>
      <c r="DB299" s="559">
        <f>WWWW[[#This Row],['# people reached by regular dedicated hygiene promotion_5]]/WWWW[[#This Row],[Total PoP ]]</f>
        <v>0</v>
      </c>
      <c r="DC299" s="559">
        <f>IF(WWWW[[#This Row],['#_households that received standard amount of soap for this quarter]]/WWWW[[#This Row],[Total HH]]&gt;1,1,WWWW[[#This Row],['#_households that received standard amount of soap for this quarter]]/WWWW[[#This Row],[Total HH]])</f>
        <v>0</v>
      </c>
      <c r="DD299" s="559">
        <f>IF(WWWW[[#This Row],['#_households that received standard amount of sanitary pads for this quarter]]/WWWW[[#This Row],[Total HH]]&gt;1,1,WWWW[[#This Row],['#_households that received standard amount of sanitary pads for this quarter]]/WWWW[[#This Row],[Total HH]])</f>
        <v>0</v>
      </c>
      <c r="DE299" s="558">
        <f>WWWW[[#This Row],['#_Constructed/Existing hand washing stations]]-WWWW[[#This Row],['#_Non-Functional_hand_washing_stations]]</f>
        <v>0</v>
      </c>
      <c r="DF299" s="757">
        <f>IF(WWWW[[#This Row],['# Functional hand washing stations during reporting period]]*20&gt;WWWW[[#This Row],[Total HH]],WWWW[[#This Row],[Total HH]],WWWW[[#This Row],['# Functional hand washing stations during reporting period]]*20)</f>
        <v>0</v>
      </c>
      <c r="DG299" s="556">
        <f>IF(WWWW[[#This Row],[Is sufficient soap available for TLS? (Yes/No)]]="yes",WWWW[[#This Row],['#_Constructed/Existing hand washing stations at TLS]],0)</f>
        <v>0</v>
      </c>
      <c r="DH299" s="556">
        <f>IF(WWWW[[#This Row],['# Functional hand washing stations during reporting period]]*100&gt;WWWW[[#This Row],[Total PoP ]],WWWW[[#This Row],[Total PoP ]],WWWW[[#This Row],['# Functional hand washing stations during reporting period]]*100)</f>
        <v>0</v>
      </c>
      <c r="DI299" s="556" t="str">
        <f>IF(OR(WWWW[[#This Row],['#_students at TLS_CFS]]="",WWWW[[#This Row],['#_students at TLS_CFS]]=0),"No","Yes")</f>
        <v>No</v>
      </c>
      <c r="DJ299" s="554">
        <f>VLOOKUP(WWWW[[#This Row],[Site Name]],SiteDB6[[Site Name]:[CCCM Management]],6,FALSE)</f>
        <v>0</v>
      </c>
      <c r="DK299" s="554">
        <f>VLOOKUP(WWWW[[#This Row],[Site Name]],SiteDB6[[Site Name]:[CCCM Focal Agency]],7,FALSE)</f>
        <v>0</v>
      </c>
      <c r="DL299" s="554" t="str">
        <f>VLOOKUP(WWWW[[#This Row],[Site Name]],SiteDB6[[Site Name]:[Location Type 1]],9,FALSE)</f>
        <v>Village</v>
      </c>
      <c r="DM299" s="554" t="str">
        <f>VLOOKUP(WWWW[[#This Row],[Site Name]],SiteDB6[[Site Name]:[Type of Accommodation]],10,FALSE)</f>
        <v>Village</v>
      </c>
      <c r="DN299" s="554">
        <f>VLOOKUP(WWWW[[#This Row],[Site Name]],SiteDB6[[Site Name]:[Ethnic or GCA/NGCA]],11,FALSE)</f>
        <v>0</v>
      </c>
      <c r="DO299" s="554">
        <f>VLOOKUP(WWWW[[#This Row],[Site Name]],SiteDB6[[Site Name]:[Lat]],12,FALSE)</f>
        <v>0</v>
      </c>
      <c r="DP299" s="554">
        <f>VLOOKUP(WWWW[[#This Row],[Site Name]],SiteDB6[[Site Name]:[Long]],13,FALSE)</f>
        <v>0</v>
      </c>
      <c r="DQ299" s="554">
        <f>VLOOKUP(WWWW[[#This Row],[Site Name]],SiteDB6[[Site Name]:[Pcode]],3,FALSE)</f>
        <v>197099</v>
      </c>
      <c r="DR299" s="563" t="str">
        <f t="shared" si="10"/>
        <v>Covered</v>
      </c>
      <c r="DS299" s="563"/>
    </row>
    <row r="300" spans="1:123">
      <c r="A300" s="552" t="s">
        <v>2518</v>
      </c>
      <c r="B300" s="552" t="s">
        <v>332</v>
      </c>
      <c r="C300" s="555" t="s">
        <v>332</v>
      </c>
      <c r="D300" s="555" t="s">
        <v>325</v>
      </c>
      <c r="E300" s="574" t="s">
        <v>3006</v>
      </c>
      <c r="F300" s="555" t="s">
        <v>330</v>
      </c>
      <c r="G300" s="574" t="str">
        <f>VLOOKUP(WWWW[[#This Row],[Site Name]],SiteDB6[[Site Name]:[Location Type]],8,FALSE)</f>
        <v>Village</v>
      </c>
      <c r="H300" s="555" t="s">
        <v>2917</v>
      </c>
      <c r="I300" s="557">
        <v>215</v>
      </c>
      <c r="J300" s="557">
        <v>1125</v>
      </c>
      <c r="K300" s="564">
        <v>42736</v>
      </c>
      <c r="L300" s="565">
        <v>44551</v>
      </c>
      <c r="M300" s="557"/>
      <c r="N300" s="557"/>
      <c r="O300" s="557"/>
      <c r="P300" s="557"/>
      <c r="Q300" s="556"/>
      <c r="R300" s="557"/>
      <c r="S300" s="557"/>
      <c r="T300" s="557"/>
      <c r="U300" s="557"/>
      <c r="V300" s="557"/>
      <c r="W300" s="557"/>
      <c r="X300" s="557"/>
      <c r="Y300" s="557"/>
      <c r="Z300" s="557"/>
      <c r="AA300" s="557"/>
      <c r="AB300" s="557"/>
      <c r="AC300" s="557"/>
      <c r="AD300" s="557"/>
      <c r="AE300" s="557"/>
      <c r="AF300" s="557"/>
      <c r="AG300" s="557"/>
      <c r="AH300" s="557"/>
      <c r="AI300" s="557"/>
      <c r="AJ300" s="557"/>
      <c r="AK300" s="557"/>
      <c r="AL300" s="557"/>
      <c r="AM300" s="557"/>
      <c r="AN300" s="557"/>
      <c r="AO300" s="563"/>
      <c r="AP300" s="557"/>
      <c r="AQ300" s="557"/>
      <c r="AR300" s="559"/>
      <c r="AS300" s="557"/>
      <c r="AT300" s="557"/>
      <c r="AU300" s="557"/>
      <c r="AV300" s="557"/>
      <c r="AW300" s="557"/>
      <c r="AX300" s="554"/>
      <c r="AY300" s="563"/>
      <c r="AZ300" s="557"/>
      <c r="BA300" s="557"/>
      <c r="BB300" s="557"/>
      <c r="BC300" s="554"/>
      <c r="BD300" s="557"/>
      <c r="BE300" s="557"/>
      <c r="BF300" s="557"/>
      <c r="BG300" s="557"/>
      <c r="BH300" s="557"/>
      <c r="BI300" s="557"/>
      <c r="BJ300" s="557"/>
      <c r="BK300" s="557"/>
      <c r="BL300" s="557"/>
      <c r="BM300" s="554"/>
      <c r="BN300" s="558"/>
      <c r="BO300" s="559"/>
      <c r="BP300" s="554"/>
      <c r="BQ300" s="560" t="str">
        <f>IFERROR(WWWW[[#This Row],['#_Water sources treated]]/WWWW[[#This Row],['#_Water sources tested for contamination]],"no test")</f>
        <v>no test</v>
      </c>
      <c r="BR300" s="559" t="str">
        <f>IFERROR(WWWW[[#This Row],['#_Household received remediation action due to contamination]]/WWWW[[#This Row],['#_Household water samples tested for contamination]],"no test")</f>
        <v>no test</v>
      </c>
      <c r="BS300" s="558" t="str">
        <f>IF(AND(WWWW[[#This Row],[% of water sources treated]]="no test",WWWW[[#This Row],[% Household received corrective actions]]="no test"),"No Test","Tested")</f>
        <v>No Test</v>
      </c>
      <c r="BT300" s="558">
        <f>WWWW[[#This Row],['#_Constructed/existing protected hand dug well]]-WWWW[[#This Row],['#_Non-functional protected hand dug well]]</f>
        <v>0</v>
      </c>
      <c r="BU300" s="558">
        <f>(WWWW[[#This Row],['#_Constructed/Existing tube wells/boreholes/handpumps_WASH_agency]]+WWWW[[#This Row],['#_Non-Cluster partner water tube-wells/boreholes/handpumps]])-WWWW[[#This Row],['#_Non-functional tube wells/boreholes/handpumps]]</f>
        <v>0</v>
      </c>
      <c r="BV300" s="558">
        <f>WWWW[[#This Row],['#_Constructed/Existingwater storage tank with gravity fed reticulation system]]-WWWW[[#This Row],['#_Non-functional storage tank gravity fed reticulation system]]</f>
        <v>0</v>
      </c>
      <c r="BW300" s="558">
        <f>WWWW[[#This Row],['#_Water boating or water trucking]]</f>
        <v>0</v>
      </c>
      <c r="BX300" s="558">
        <f>WWWW[[#This Row],['#_Constructed/Existing water distribution system from river or natural spring]]</f>
        <v>0</v>
      </c>
      <c r="BY30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0" s="559">
        <f>IF(WWWW[[#This Row],[Location Type 1]]="Village",WWWW[[#This Row],[Access to safe drinking water for Village]],WWWW[[#This Row],[Access to safe drinking water for Camp]])</f>
        <v>0</v>
      </c>
      <c r="CB300" s="556">
        <f>WWWW[[#This Row],[%Equitable and continuous access to sufficient quantity of safe drinking water]]*WWWW[[#This Row],[Total PoP ]]</f>
        <v>0</v>
      </c>
      <c r="CC300" s="559">
        <f>IF((WWWW[[#This Row],['#_Constructed/Existing protected/fenced ponds]]*250)/WWWW[[#This Row],[Total PoP ]]&gt;1,1,(WWWW[[#This Row],['#_Constructed/Existing protected/fenced ponds]]*250)/WWWW[[#This Row],[Total PoP ]])</f>
        <v>0</v>
      </c>
      <c r="CD300" s="556">
        <f>WWWW[[#This Row],[% Access to unimproved water points]]*WWWW[[#This Row],[Total PoP ]]</f>
        <v>0</v>
      </c>
      <c r="CE30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0" s="556">
        <f>WWWW[[#This Row],[HRP1]]/500</f>
        <v>0</v>
      </c>
      <c r="CH300" s="561">
        <f>1-WWWW[[#This Row],[% Equitable and continuous access to sufficient quantity of domestic water]]</f>
        <v>1</v>
      </c>
      <c r="CI300" s="556">
        <f>WWWW[[#This Row],[%equitable and continuous access to sufficient quantity of safe drinking and domestic water''s GAP]]*WWWW[[#This Row],[Total PoP ]]</f>
        <v>1125</v>
      </c>
      <c r="CJ300" s="558">
        <f>IF(WWWW[[#This Row],[Total required water points]]-WWWW[[#This Row],['#Water points coverage]]&lt;0,0,WWWW[[#This Row],[Total required water points]]-WWWW[[#This Row],['#Water points coverage]])</f>
        <v>2</v>
      </c>
      <c r="CK300" s="558">
        <f>ROUND(IF(WWWW[[#This Row],[Total PoP ]]&lt;500,1,WWWW[[#This Row],[Total PoP ]]/500),0)</f>
        <v>2</v>
      </c>
      <c r="CL300" s="558">
        <f>(WWWW[[#This Row],['#_Constructed latrines_by_WASHAgencies]]+WWWW[[#This Row],['#_Non Cluster partner latrines]])-WWWW[[#This Row],['#_Non-functional latrines]]</f>
        <v>0</v>
      </c>
      <c r="CM30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0" s="558" t="str">
        <f>IF(WWWW[[#This Row],[Location Type 1]]="Village","NA",IF(WWWW[[#This Row],['#_Constructed/Existing latrines in TLS]]*50&gt;WWWW[[#This Row],['#_students at TLS_CFS]],WWWW[[#This Row],['#_students at TLS_CFS]],(WWWW[[#This Row],['#_Constructed/Existing latrines in TLS]]*50)))</f>
        <v>NA</v>
      </c>
      <c r="CQ300" s="558">
        <f>ROUND(IF(WWWW[[#This Row],[Location Type 1]]="camp",WWWW[[#This Row],[Total PoP ]]/20,IF(WWWW[[#This Row],[Location Type 1]]="Temporary Location",WWWW[[#This Row],[Total PoP ]]/50,(WWWW[[#This Row],[Total PoP ]]/6))),0)</f>
        <v>188</v>
      </c>
      <c r="CR300" s="558">
        <f>IF(WWWW[[#This Row],[Total required Latrines]]-(WWWW[[#This Row],['#_Constructed latrines_by_WASHAgencies]]+WWWW[[#This Row],['#_Non Cluster partner latrines]])&lt;0,0,WWWW[[#This Row],[Total required Latrines]]-(WWWW[[#This Row],['#_Constructed latrines_by_WASHAgencies]]+WWWW[[#This Row],['#_Non Cluster partner latrines]]))</f>
        <v>188</v>
      </c>
      <c r="CS300" s="78">
        <f>1-WWWW[[#This Row],[% people access to functioning Latrine]]</f>
        <v>1</v>
      </c>
      <c r="CT300" s="560">
        <f>IF(OR(WWWW[[#This Row],['#_Non-functional latrines]]="",WWWW[[#This Row],['#_Non-functional latrines]]=0),0,WWWW[[#This Row],['#_Non-functional latrines]]/(WWWW[[#This Row],['#_Constructed latrines_by_WASHAgencies]]+WWWW[[#This Row],['#_Non Cluster partner latrines]]))</f>
        <v>0</v>
      </c>
      <c r="CU300" s="556">
        <f>IF(500*(WWWW[[#This Row],['#_male hygiene promoters]]+WWWW[[#This Row],['#_female hygiene promoters]])&gt;WWWW[[#This Row],[Total PoP ]],WWWW[[#This Row],[Total PoP ]],500*(WWWW[[#This Row],['#_male hygiene promoters]]+WWWW[[#This Row],['#_female hygiene promoters]]))</f>
        <v>0</v>
      </c>
      <c r="CV30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0" s="558">
        <f>IF(WWWW[[#This Row],['# People with access to soap]]&gt;WWWW[[#This Row],['# People with access to Sanity Pads]],WWWW[[#This Row],['# People with access to soap]],WWWW[[#This Row],['# People with access to Sanity Pads]])</f>
        <v>0</v>
      </c>
      <c r="CY30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0" s="561">
        <f>IF(WWWW[[#This Row],[HRP3]]/WWWW[[#This Row],[Total PoP ]]&gt;100%,100%,WWWW[[#This Row],[HRP3]]/WWWW[[#This Row],[Total PoP ]])</f>
        <v>0</v>
      </c>
      <c r="DA300" s="560">
        <f>1-WWWW[[#This Row],[Hygiene Coverage%]]</f>
        <v>1</v>
      </c>
      <c r="DB300" s="559">
        <f>WWWW[[#This Row],['# people reached by regular dedicated hygiene promotion_5]]/WWWW[[#This Row],[Total PoP ]]</f>
        <v>0</v>
      </c>
      <c r="DC300" s="559">
        <f>IF(WWWW[[#This Row],['#_households that received standard amount of soap for this quarter]]/WWWW[[#This Row],[Total HH]]&gt;1,1,WWWW[[#This Row],['#_households that received standard amount of soap for this quarter]]/WWWW[[#This Row],[Total HH]])</f>
        <v>0</v>
      </c>
      <c r="DD300" s="559">
        <f>IF(WWWW[[#This Row],['#_households that received standard amount of sanitary pads for this quarter]]/WWWW[[#This Row],[Total HH]]&gt;1,1,WWWW[[#This Row],['#_households that received standard amount of sanitary pads for this quarter]]/WWWW[[#This Row],[Total HH]])</f>
        <v>0</v>
      </c>
      <c r="DE300" s="558">
        <f>WWWW[[#This Row],['#_Constructed/Existing hand washing stations]]-WWWW[[#This Row],['#_Non-Functional_hand_washing_stations]]</f>
        <v>0</v>
      </c>
      <c r="DF300" s="757">
        <f>IF(WWWW[[#This Row],['# Functional hand washing stations during reporting period]]*20&gt;WWWW[[#This Row],[Total HH]],WWWW[[#This Row],[Total HH]],WWWW[[#This Row],['# Functional hand washing stations during reporting period]]*20)</f>
        <v>0</v>
      </c>
      <c r="DG300" s="556">
        <f>IF(WWWW[[#This Row],[Is sufficient soap available for TLS? (Yes/No)]]="yes",WWWW[[#This Row],['#_Constructed/Existing hand washing stations at TLS]],0)</f>
        <v>0</v>
      </c>
      <c r="DH300" s="556">
        <f>IF(WWWW[[#This Row],['# Functional hand washing stations during reporting period]]*100&gt;WWWW[[#This Row],[Total PoP ]],WWWW[[#This Row],[Total PoP ]],WWWW[[#This Row],['# Functional hand washing stations during reporting period]]*100)</f>
        <v>0</v>
      </c>
      <c r="DI300" s="556" t="str">
        <f>IF(OR(WWWW[[#This Row],['#_students at TLS_CFS]]="",WWWW[[#This Row],['#_students at TLS_CFS]]=0),"No","Yes")</f>
        <v>No</v>
      </c>
      <c r="DJ300" s="554">
        <f>VLOOKUP(WWWW[[#This Row],[Site Name]],SiteDB6[[Site Name]:[CCCM Management]],6,FALSE)</f>
        <v>0</v>
      </c>
      <c r="DK300" s="554">
        <f>VLOOKUP(WWWW[[#This Row],[Site Name]],SiteDB6[[Site Name]:[CCCM Focal Agency]],7,FALSE)</f>
        <v>0</v>
      </c>
      <c r="DL300" s="554" t="str">
        <f>VLOOKUP(WWWW[[#This Row],[Site Name]],SiteDB6[[Site Name]:[Location Type 1]],9,FALSE)</f>
        <v>Village</v>
      </c>
      <c r="DM300" s="554" t="str">
        <f>VLOOKUP(WWWW[[#This Row],[Site Name]],SiteDB6[[Site Name]:[Type of Accommodation]],10,FALSE)</f>
        <v>Village</v>
      </c>
      <c r="DN300" s="554">
        <f>VLOOKUP(WWWW[[#This Row],[Site Name]],SiteDB6[[Site Name]:[Ethnic or GCA/NGCA]],11,FALSE)</f>
        <v>0</v>
      </c>
      <c r="DO300" s="554">
        <f>VLOOKUP(WWWW[[#This Row],[Site Name]],SiteDB6[[Site Name]:[Lat]],12,FALSE)</f>
        <v>0</v>
      </c>
      <c r="DP300" s="554">
        <f>VLOOKUP(WWWW[[#This Row],[Site Name]],SiteDB6[[Site Name]:[Long]],13,FALSE)</f>
        <v>0</v>
      </c>
      <c r="DQ300" s="554">
        <f>VLOOKUP(WWWW[[#This Row],[Site Name]],SiteDB6[[Site Name]:[Pcode]],3,FALSE)</f>
        <v>197102</v>
      </c>
      <c r="DR300" s="563" t="str">
        <f t="shared" si="10"/>
        <v>Covered</v>
      </c>
      <c r="DS300" s="563"/>
    </row>
    <row r="301" spans="1:123">
      <c r="A301" s="552" t="s">
        <v>2518</v>
      </c>
      <c r="B301" s="552" t="s">
        <v>332</v>
      </c>
      <c r="C301" s="555" t="s">
        <v>332</v>
      </c>
      <c r="D301" s="555" t="s">
        <v>325</v>
      </c>
      <c r="E301" s="574" t="s">
        <v>3006</v>
      </c>
      <c r="F301" s="555" t="s">
        <v>330</v>
      </c>
      <c r="G301" s="574" t="str">
        <f>VLOOKUP(WWWW[[#This Row],[Site Name]],SiteDB6[[Site Name]:[Location Type]],8,FALSE)</f>
        <v>Village</v>
      </c>
      <c r="H301" s="555" t="s">
        <v>2918</v>
      </c>
      <c r="I301" s="557">
        <v>181</v>
      </c>
      <c r="J301" s="557">
        <v>940</v>
      </c>
      <c r="K301" s="564">
        <v>42736</v>
      </c>
      <c r="L301" s="565">
        <v>44551</v>
      </c>
      <c r="M301" s="557"/>
      <c r="N301" s="557"/>
      <c r="O301" s="557"/>
      <c r="P301" s="557"/>
      <c r="Q301" s="556"/>
      <c r="R301" s="557"/>
      <c r="S301" s="557"/>
      <c r="T301" s="557"/>
      <c r="U301" s="557"/>
      <c r="V301" s="557"/>
      <c r="W301" s="557"/>
      <c r="X301" s="557"/>
      <c r="Y301" s="557"/>
      <c r="Z301" s="557"/>
      <c r="AA301" s="557"/>
      <c r="AB301" s="557"/>
      <c r="AC301" s="557"/>
      <c r="AD301" s="557"/>
      <c r="AE301" s="557"/>
      <c r="AF301" s="557"/>
      <c r="AG301" s="557"/>
      <c r="AH301" s="557"/>
      <c r="AI301" s="557"/>
      <c r="AJ301" s="557"/>
      <c r="AK301" s="557"/>
      <c r="AL301" s="557"/>
      <c r="AM301" s="557"/>
      <c r="AN301" s="557"/>
      <c r="AO301" s="563"/>
      <c r="AP301" s="557"/>
      <c r="AQ301" s="557"/>
      <c r="AR301" s="559"/>
      <c r="AS301" s="557"/>
      <c r="AT301" s="557"/>
      <c r="AU301" s="557"/>
      <c r="AV301" s="557"/>
      <c r="AW301" s="557"/>
      <c r="AX301" s="554"/>
      <c r="AY301" s="563"/>
      <c r="AZ301" s="557"/>
      <c r="BA301" s="557"/>
      <c r="BB301" s="557"/>
      <c r="BC301" s="554"/>
      <c r="BD301" s="557"/>
      <c r="BE301" s="557"/>
      <c r="BF301" s="557"/>
      <c r="BG301" s="557"/>
      <c r="BH301" s="557"/>
      <c r="BI301" s="557"/>
      <c r="BJ301" s="557"/>
      <c r="BK301" s="557"/>
      <c r="BL301" s="557"/>
      <c r="BM301" s="554"/>
      <c r="BN301" s="558"/>
      <c r="BO301" s="559"/>
      <c r="BP301" s="554"/>
      <c r="BQ301" s="560" t="str">
        <f>IFERROR(WWWW[[#This Row],['#_Water sources treated]]/WWWW[[#This Row],['#_Water sources tested for contamination]],"no test")</f>
        <v>no test</v>
      </c>
      <c r="BR301" s="559" t="str">
        <f>IFERROR(WWWW[[#This Row],['#_Household received remediation action due to contamination]]/WWWW[[#This Row],['#_Household water samples tested for contamination]],"no test")</f>
        <v>no test</v>
      </c>
      <c r="BS301" s="558" t="str">
        <f>IF(AND(WWWW[[#This Row],[% of water sources treated]]="no test",WWWW[[#This Row],[% Household received corrective actions]]="no test"),"No Test","Tested")</f>
        <v>No Test</v>
      </c>
      <c r="BT301" s="558">
        <f>WWWW[[#This Row],['#_Constructed/existing protected hand dug well]]-WWWW[[#This Row],['#_Non-functional protected hand dug well]]</f>
        <v>0</v>
      </c>
      <c r="BU301" s="558">
        <f>(WWWW[[#This Row],['#_Constructed/Existing tube wells/boreholes/handpumps_WASH_agency]]+WWWW[[#This Row],['#_Non-Cluster partner water tube-wells/boreholes/handpumps]])-WWWW[[#This Row],['#_Non-functional tube wells/boreholes/handpumps]]</f>
        <v>0</v>
      </c>
      <c r="BV301" s="558">
        <f>WWWW[[#This Row],['#_Constructed/Existingwater storage tank with gravity fed reticulation system]]-WWWW[[#This Row],['#_Non-functional storage tank gravity fed reticulation system]]</f>
        <v>0</v>
      </c>
      <c r="BW301" s="558">
        <f>WWWW[[#This Row],['#_Water boating or water trucking]]</f>
        <v>0</v>
      </c>
      <c r="BX301" s="558">
        <f>WWWW[[#This Row],['#_Constructed/Existing water distribution system from river or natural spring]]</f>
        <v>0</v>
      </c>
      <c r="BY30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1" s="559">
        <f>IF(WWWW[[#This Row],[Location Type 1]]="Village",WWWW[[#This Row],[Access to safe drinking water for Village]],WWWW[[#This Row],[Access to safe drinking water for Camp]])</f>
        <v>0</v>
      </c>
      <c r="CB301" s="556">
        <f>WWWW[[#This Row],[%Equitable and continuous access to sufficient quantity of safe drinking water]]*WWWW[[#This Row],[Total PoP ]]</f>
        <v>0</v>
      </c>
      <c r="CC301" s="559">
        <f>IF((WWWW[[#This Row],['#_Constructed/Existing protected/fenced ponds]]*250)/WWWW[[#This Row],[Total PoP ]]&gt;1,1,(WWWW[[#This Row],['#_Constructed/Existing protected/fenced ponds]]*250)/WWWW[[#This Row],[Total PoP ]])</f>
        <v>0</v>
      </c>
      <c r="CD301" s="556">
        <f>WWWW[[#This Row],[% Access to unimproved water points]]*WWWW[[#This Row],[Total PoP ]]</f>
        <v>0</v>
      </c>
      <c r="CE30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1" s="556">
        <f>WWWW[[#This Row],[HRP1]]/500</f>
        <v>0</v>
      </c>
      <c r="CH301" s="561">
        <f>1-WWWW[[#This Row],[% Equitable and continuous access to sufficient quantity of domestic water]]</f>
        <v>1</v>
      </c>
      <c r="CI301" s="556">
        <f>WWWW[[#This Row],[%equitable and continuous access to sufficient quantity of safe drinking and domestic water''s GAP]]*WWWW[[#This Row],[Total PoP ]]</f>
        <v>940</v>
      </c>
      <c r="CJ301" s="558">
        <f>IF(WWWW[[#This Row],[Total required water points]]-WWWW[[#This Row],['#Water points coverage]]&lt;0,0,WWWW[[#This Row],[Total required water points]]-WWWW[[#This Row],['#Water points coverage]])</f>
        <v>2</v>
      </c>
      <c r="CK301" s="558">
        <f>ROUND(IF(WWWW[[#This Row],[Total PoP ]]&lt;500,1,WWWW[[#This Row],[Total PoP ]]/500),0)</f>
        <v>2</v>
      </c>
      <c r="CL301" s="558">
        <f>(WWWW[[#This Row],['#_Constructed latrines_by_WASHAgencies]]+WWWW[[#This Row],['#_Non Cluster partner latrines]])-WWWW[[#This Row],['#_Non-functional latrines]]</f>
        <v>0</v>
      </c>
      <c r="CM30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1" s="558" t="str">
        <f>IF(WWWW[[#This Row],[Location Type 1]]="Village","NA",IF(WWWW[[#This Row],['#_Constructed/Existing latrines in TLS]]*50&gt;WWWW[[#This Row],['#_students at TLS_CFS]],WWWW[[#This Row],['#_students at TLS_CFS]],(WWWW[[#This Row],['#_Constructed/Existing latrines in TLS]]*50)))</f>
        <v>NA</v>
      </c>
      <c r="CQ301" s="558">
        <f>ROUND(IF(WWWW[[#This Row],[Location Type 1]]="camp",WWWW[[#This Row],[Total PoP ]]/20,IF(WWWW[[#This Row],[Location Type 1]]="Temporary Location",WWWW[[#This Row],[Total PoP ]]/50,(WWWW[[#This Row],[Total PoP ]]/6))),0)</f>
        <v>157</v>
      </c>
      <c r="CR301" s="558">
        <f>IF(WWWW[[#This Row],[Total required Latrines]]-(WWWW[[#This Row],['#_Constructed latrines_by_WASHAgencies]]+WWWW[[#This Row],['#_Non Cluster partner latrines]])&lt;0,0,WWWW[[#This Row],[Total required Latrines]]-(WWWW[[#This Row],['#_Constructed latrines_by_WASHAgencies]]+WWWW[[#This Row],['#_Non Cluster partner latrines]]))</f>
        <v>157</v>
      </c>
      <c r="CS301" s="78">
        <f>1-WWWW[[#This Row],[% people access to functioning Latrine]]</f>
        <v>1</v>
      </c>
      <c r="CT301" s="560">
        <f>IF(OR(WWWW[[#This Row],['#_Non-functional latrines]]="",WWWW[[#This Row],['#_Non-functional latrines]]=0),0,WWWW[[#This Row],['#_Non-functional latrines]]/(WWWW[[#This Row],['#_Constructed latrines_by_WASHAgencies]]+WWWW[[#This Row],['#_Non Cluster partner latrines]]))</f>
        <v>0</v>
      </c>
      <c r="CU301" s="556">
        <f>IF(500*(WWWW[[#This Row],['#_male hygiene promoters]]+WWWW[[#This Row],['#_female hygiene promoters]])&gt;WWWW[[#This Row],[Total PoP ]],WWWW[[#This Row],[Total PoP ]],500*(WWWW[[#This Row],['#_male hygiene promoters]]+WWWW[[#This Row],['#_female hygiene promoters]]))</f>
        <v>0</v>
      </c>
      <c r="CV30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1" s="558">
        <f>IF(WWWW[[#This Row],['# People with access to soap]]&gt;WWWW[[#This Row],['# People with access to Sanity Pads]],WWWW[[#This Row],['# People with access to soap]],WWWW[[#This Row],['# People with access to Sanity Pads]])</f>
        <v>0</v>
      </c>
      <c r="CY30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1" s="561">
        <f>IF(WWWW[[#This Row],[HRP3]]/WWWW[[#This Row],[Total PoP ]]&gt;100%,100%,WWWW[[#This Row],[HRP3]]/WWWW[[#This Row],[Total PoP ]])</f>
        <v>0</v>
      </c>
      <c r="DA301" s="560">
        <f>1-WWWW[[#This Row],[Hygiene Coverage%]]</f>
        <v>1</v>
      </c>
      <c r="DB301" s="559">
        <f>WWWW[[#This Row],['# people reached by regular dedicated hygiene promotion_5]]/WWWW[[#This Row],[Total PoP ]]</f>
        <v>0</v>
      </c>
      <c r="DC301" s="559">
        <f>IF(WWWW[[#This Row],['#_households that received standard amount of soap for this quarter]]/WWWW[[#This Row],[Total HH]]&gt;1,1,WWWW[[#This Row],['#_households that received standard amount of soap for this quarter]]/WWWW[[#This Row],[Total HH]])</f>
        <v>0</v>
      </c>
      <c r="DD301" s="559">
        <f>IF(WWWW[[#This Row],['#_households that received standard amount of sanitary pads for this quarter]]/WWWW[[#This Row],[Total HH]]&gt;1,1,WWWW[[#This Row],['#_households that received standard amount of sanitary pads for this quarter]]/WWWW[[#This Row],[Total HH]])</f>
        <v>0</v>
      </c>
      <c r="DE301" s="558">
        <f>WWWW[[#This Row],['#_Constructed/Existing hand washing stations]]-WWWW[[#This Row],['#_Non-Functional_hand_washing_stations]]</f>
        <v>0</v>
      </c>
      <c r="DF301" s="757">
        <f>IF(WWWW[[#This Row],['# Functional hand washing stations during reporting period]]*20&gt;WWWW[[#This Row],[Total HH]],WWWW[[#This Row],[Total HH]],WWWW[[#This Row],['# Functional hand washing stations during reporting period]]*20)</f>
        <v>0</v>
      </c>
      <c r="DG301" s="556">
        <f>IF(WWWW[[#This Row],[Is sufficient soap available for TLS? (Yes/No)]]="yes",WWWW[[#This Row],['#_Constructed/Existing hand washing stations at TLS]],0)</f>
        <v>0</v>
      </c>
      <c r="DH301" s="556">
        <f>IF(WWWW[[#This Row],['# Functional hand washing stations during reporting period]]*100&gt;WWWW[[#This Row],[Total PoP ]],WWWW[[#This Row],[Total PoP ]],WWWW[[#This Row],['# Functional hand washing stations during reporting period]]*100)</f>
        <v>0</v>
      </c>
      <c r="DI301" s="556" t="str">
        <f>IF(OR(WWWW[[#This Row],['#_students at TLS_CFS]]="",WWWW[[#This Row],['#_students at TLS_CFS]]=0),"No","Yes")</f>
        <v>No</v>
      </c>
      <c r="DJ301" s="554">
        <f>VLOOKUP(WWWW[[#This Row],[Site Name]],SiteDB6[[Site Name]:[CCCM Management]],6,FALSE)</f>
        <v>0</v>
      </c>
      <c r="DK301" s="554">
        <f>VLOOKUP(WWWW[[#This Row],[Site Name]],SiteDB6[[Site Name]:[CCCM Focal Agency]],7,FALSE)</f>
        <v>0</v>
      </c>
      <c r="DL301" s="554" t="str">
        <f>VLOOKUP(WWWW[[#This Row],[Site Name]],SiteDB6[[Site Name]:[Location Type 1]],9,FALSE)</f>
        <v>Village</v>
      </c>
      <c r="DM301" s="554" t="str">
        <f>VLOOKUP(WWWW[[#This Row],[Site Name]],SiteDB6[[Site Name]:[Type of Accommodation]],10,FALSE)</f>
        <v>Village</v>
      </c>
      <c r="DN301" s="554">
        <f>VLOOKUP(WWWW[[#This Row],[Site Name]],SiteDB6[[Site Name]:[Ethnic or GCA/NGCA]],11,FALSE)</f>
        <v>0</v>
      </c>
      <c r="DO301" s="554">
        <f>VLOOKUP(WWWW[[#This Row],[Site Name]],SiteDB6[[Site Name]:[Lat]],12,FALSE)</f>
        <v>0</v>
      </c>
      <c r="DP301" s="554">
        <f>VLOOKUP(WWWW[[#This Row],[Site Name]],SiteDB6[[Site Name]:[Long]],13,FALSE)</f>
        <v>0</v>
      </c>
      <c r="DQ301" s="554">
        <f>VLOOKUP(WWWW[[#This Row],[Site Name]],SiteDB6[[Site Name]:[Pcode]],3,FALSE)</f>
        <v>220651</v>
      </c>
      <c r="DR301" s="563" t="str">
        <f t="shared" si="10"/>
        <v>Covered</v>
      </c>
      <c r="DS301" s="563"/>
    </row>
    <row r="302" spans="1:123">
      <c r="A302" s="552" t="s">
        <v>2518</v>
      </c>
      <c r="B302" s="552" t="s">
        <v>332</v>
      </c>
      <c r="C302" s="555" t="s">
        <v>332</v>
      </c>
      <c r="D302" s="555" t="s">
        <v>325</v>
      </c>
      <c r="E302" s="574" t="s">
        <v>3006</v>
      </c>
      <c r="F302" s="555" t="s">
        <v>330</v>
      </c>
      <c r="G302" s="574" t="str">
        <f>VLOOKUP(WWWW[[#This Row],[Site Name]],SiteDB6[[Site Name]:[Location Type]],8,FALSE)</f>
        <v>Village</v>
      </c>
      <c r="H302" s="555" t="s">
        <v>2919</v>
      </c>
      <c r="I302" s="557">
        <v>170</v>
      </c>
      <c r="J302" s="557">
        <v>743</v>
      </c>
      <c r="K302" s="564">
        <v>42736</v>
      </c>
      <c r="L302" s="565">
        <v>44551</v>
      </c>
      <c r="M302" s="557"/>
      <c r="N302" s="557"/>
      <c r="O302" s="557"/>
      <c r="P302" s="557"/>
      <c r="Q302" s="556"/>
      <c r="R302" s="557"/>
      <c r="S302" s="557"/>
      <c r="T302" s="557"/>
      <c r="U302" s="557"/>
      <c r="V302" s="557"/>
      <c r="W302" s="557"/>
      <c r="X302" s="557"/>
      <c r="Y302" s="557"/>
      <c r="Z302" s="557"/>
      <c r="AA302" s="557"/>
      <c r="AB302" s="557"/>
      <c r="AC302" s="557"/>
      <c r="AD302" s="557"/>
      <c r="AE302" s="557"/>
      <c r="AF302" s="557"/>
      <c r="AG302" s="557"/>
      <c r="AH302" s="557"/>
      <c r="AI302" s="557"/>
      <c r="AJ302" s="557"/>
      <c r="AK302" s="557"/>
      <c r="AL302" s="557"/>
      <c r="AM302" s="557"/>
      <c r="AN302" s="557"/>
      <c r="AO302" s="563"/>
      <c r="AP302" s="557"/>
      <c r="AQ302" s="557"/>
      <c r="AR302" s="559"/>
      <c r="AS302" s="557"/>
      <c r="AT302" s="557"/>
      <c r="AU302" s="557"/>
      <c r="AV302" s="557"/>
      <c r="AW302" s="557"/>
      <c r="AX302" s="554"/>
      <c r="AY302" s="563"/>
      <c r="AZ302" s="557"/>
      <c r="BA302" s="557"/>
      <c r="BB302" s="557"/>
      <c r="BC302" s="554"/>
      <c r="BD302" s="557"/>
      <c r="BE302" s="557"/>
      <c r="BF302" s="557"/>
      <c r="BG302" s="557"/>
      <c r="BH302" s="557"/>
      <c r="BI302" s="557"/>
      <c r="BJ302" s="557"/>
      <c r="BK302" s="557"/>
      <c r="BL302" s="557"/>
      <c r="BM302" s="554"/>
      <c r="BN302" s="558"/>
      <c r="BO302" s="559"/>
      <c r="BP302" s="554"/>
      <c r="BQ302" s="560" t="str">
        <f>IFERROR(WWWW[[#This Row],['#_Water sources treated]]/WWWW[[#This Row],['#_Water sources tested for contamination]],"no test")</f>
        <v>no test</v>
      </c>
      <c r="BR302" s="559" t="str">
        <f>IFERROR(WWWW[[#This Row],['#_Household received remediation action due to contamination]]/WWWW[[#This Row],['#_Household water samples tested for contamination]],"no test")</f>
        <v>no test</v>
      </c>
      <c r="BS302" s="558" t="str">
        <f>IF(AND(WWWW[[#This Row],[% of water sources treated]]="no test",WWWW[[#This Row],[% Household received corrective actions]]="no test"),"No Test","Tested")</f>
        <v>No Test</v>
      </c>
      <c r="BT302" s="558">
        <f>WWWW[[#This Row],['#_Constructed/existing protected hand dug well]]-WWWW[[#This Row],['#_Non-functional protected hand dug well]]</f>
        <v>0</v>
      </c>
      <c r="BU302" s="558">
        <f>(WWWW[[#This Row],['#_Constructed/Existing tube wells/boreholes/handpumps_WASH_agency]]+WWWW[[#This Row],['#_Non-Cluster partner water tube-wells/boreholes/handpumps]])-WWWW[[#This Row],['#_Non-functional tube wells/boreholes/handpumps]]</f>
        <v>0</v>
      </c>
      <c r="BV302" s="558">
        <f>WWWW[[#This Row],['#_Constructed/Existingwater storage tank with gravity fed reticulation system]]-WWWW[[#This Row],['#_Non-functional storage tank gravity fed reticulation system]]</f>
        <v>0</v>
      </c>
      <c r="BW302" s="558">
        <f>WWWW[[#This Row],['#_Water boating or water trucking]]</f>
        <v>0</v>
      </c>
      <c r="BX302" s="558">
        <f>WWWW[[#This Row],['#_Constructed/Existing water distribution system from river or natural spring]]</f>
        <v>0</v>
      </c>
      <c r="BY30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2" s="559">
        <f>IF(WWWW[[#This Row],[Location Type 1]]="Village",WWWW[[#This Row],[Access to safe drinking water for Village]],WWWW[[#This Row],[Access to safe drinking water for Camp]])</f>
        <v>0</v>
      </c>
      <c r="CB302" s="556">
        <f>WWWW[[#This Row],[%Equitable and continuous access to sufficient quantity of safe drinking water]]*WWWW[[#This Row],[Total PoP ]]</f>
        <v>0</v>
      </c>
      <c r="CC302" s="559">
        <f>IF((WWWW[[#This Row],['#_Constructed/Existing protected/fenced ponds]]*250)/WWWW[[#This Row],[Total PoP ]]&gt;1,1,(WWWW[[#This Row],['#_Constructed/Existing protected/fenced ponds]]*250)/WWWW[[#This Row],[Total PoP ]])</f>
        <v>0</v>
      </c>
      <c r="CD302" s="556">
        <f>WWWW[[#This Row],[% Access to unimproved water points]]*WWWW[[#This Row],[Total PoP ]]</f>
        <v>0</v>
      </c>
      <c r="CE30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2" s="556">
        <f>WWWW[[#This Row],[HRP1]]/500</f>
        <v>0</v>
      </c>
      <c r="CH302" s="561">
        <f>1-WWWW[[#This Row],[% Equitable and continuous access to sufficient quantity of domestic water]]</f>
        <v>1</v>
      </c>
      <c r="CI302" s="556">
        <f>WWWW[[#This Row],[%equitable and continuous access to sufficient quantity of safe drinking and domestic water''s GAP]]*WWWW[[#This Row],[Total PoP ]]</f>
        <v>743</v>
      </c>
      <c r="CJ302" s="558">
        <f>IF(WWWW[[#This Row],[Total required water points]]-WWWW[[#This Row],['#Water points coverage]]&lt;0,0,WWWW[[#This Row],[Total required water points]]-WWWW[[#This Row],['#Water points coverage]])</f>
        <v>1</v>
      </c>
      <c r="CK302" s="558">
        <f>ROUND(IF(WWWW[[#This Row],[Total PoP ]]&lt;500,1,WWWW[[#This Row],[Total PoP ]]/500),0)</f>
        <v>1</v>
      </c>
      <c r="CL302" s="558">
        <f>(WWWW[[#This Row],['#_Constructed latrines_by_WASHAgencies]]+WWWW[[#This Row],['#_Non Cluster partner latrines]])-WWWW[[#This Row],['#_Non-functional latrines]]</f>
        <v>0</v>
      </c>
      <c r="CM30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2" s="558" t="str">
        <f>IF(WWWW[[#This Row],[Location Type 1]]="Village","NA",IF(WWWW[[#This Row],['#_Constructed/Existing latrines in TLS]]*50&gt;WWWW[[#This Row],['#_students at TLS_CFS]],WWWW[[#This Row],['#_students at TLS_CFS]],(WWWW[[#This Row],['#_Constructed/Existing latrines in TLS]]*50)))</f>
        <v>NA</v>
      </c>
      <c r="CQ302" s="558">
        <f>ROUND(IF(WWWW[[#This Row],[Location Type 1]]="camp",WWWW[[#This Row],[Total PoP ]]/20,IF(WWWW[[#This Row],[Location Type 1]]="Temporary Location",WWWW[[#This Row],[Total PoP ]]/50,(WWWW[[#This Row],[Total PoP ]]/6))),0)</f>
        <v>124</v>
      </c>
      <c r="CR302" s="558">
        <f>IF(WWWW[[#This Row],[Total required Latrines]]-(WWWW[[#This Row],['#_Constructed latrines_by_WASHAgencies]]+WWWW[[#This Row],['#_Non Cluster partner latrines]])&lt;0,0,WWWW[[#This Row],[Total required Latrines]]-(WWWW[[#This Row],['#_Constructed latrines_by_WASHAgencies]]+WWWW[[#This Row],['#_Non Cluster partner latrines]]))</f>
        <v>124</v>
      </c>
      <c r="CS302" s="78">
        <f>1-WWWW[[#This Row],[% people access to functioning Latrine]]</f>
        <v>1</v>
      </c>
      <c r="CT302" s="560">
        <f>IF(OR(WWWW[[#This Row],['#_Non-functional latrines]]="",WWWW[[#This Row],['#_Non-functional latrines]]=0),0,WWWW[[#This Row],['#_Non-functional latrines]]/(WWWW[[#This Row],['#_Constructed latrines_by_WASHAgencies]]+WWWW[[#This Row],['#_Non Cluster partner latrines]]))</f>
        <v>0</v>
      </c>
      <c r="CU302" s="556">
        <f>IF(500*(WWWW[[#This Row],['#_male hygiene promoters]]+WWWW[[#This Row],['#_female hygiene promoters]])&gt;WWWW[[#This Row],[Total PoP ]],WWWW[[#This Row],[Total PoP ]],500*(WWWW[[#This Row],['#_male hygiene promoters]]+WWWW[[#This Row],['#_female hygiene promoters]]))</f>
        <v>0</v>
      </c>
      <c r="CV30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2" s="558">
        <f>IF(WWWW[[#This Row],['# People with access to soap]]&gt;WWWW[[#This Row],['# People with access to Sanity Pads]],WWWW[[#This Row],['# People with access to soap]],WWWW[[#This Row],['# People with access to Sanity Pads]])</f>
        <v>0</v>
      </c>
      <c r="CY30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2" s="561">
        <f>IF(WWWW[[#This Row],[HRP3]]/WWWW[[#This Row],[Total PoP ]]&gt;100%,100%,WWWW[[#This Row],[HRP3]]/WWWW[[#This Row],[Total PoP ]])</f>
        <v>0</v>
      </c>
      <c r="DA302" s="560">
        <f>1-WWWW[[#This Row],[Hygiene Coverage%]]</f>
        <v>1</v>
      </c>
      <c r="DB302" s="559">
        <f>WWWW[[#This Row],['# people reached by regular dedicated hygiene promotion_5]]/WWWW[[#This Row],[Total PoP ]]</f>
        <v>0</v>
      </c>
      <c r="DC302" s="559">
        <f>IF(WWWW[[#This Row],['#_households that received standard amount of soap for this quarter]]/WWWW[[#This Row],[Total HH]]&gt;1,1,WWWW[[#This Row],['#_households that received standard amount of soap for this quarter]]/WWWW[[#This Row],[Total HH]])</f>
        <v>0</v>
      </c>
      <c r="DD302" s="559">
        <f>IF(WWWW[[#This Row],['#_households that received standard amount of sanitary pads for this quarter]]/WWWW[[#This Row],[Total HH]]&gt;1,1,WWWW[[#This Row],['#_households that received standard amount of sanitary pads for this quarter]]/WWWW[[#This Row],[Total HH]])</f>
        <v>0</v>
      </c>
      <c r="DE302" s="558">
        <f>WWWW[[#This Row],['#_Constructed/Existing hand washing stations]]-WWWW[[#This Row],['#_Non-Functional_hand_washing_stations]]</f>
        <v>0</v>
      </c>
      <c r="DF302" s="757">
        <f>IF(WWWW[[#This Row],['# Functional hand washing stations during reporting period]]*20&gt;WWWW[[#This Row],[Total HH]],WWWW[[#This Row],[Total HH]],WWWW[[#This Row],['# Functional hand washing stations during reporting period]]*20)</f>
        <v>0</v>
      </c>
      <c r="DG302" s="556">
        <f>IF(WWWW[[#This Row],[Is sufficient soap available for TLS? (Yes/No)]]="yes",WWWW[[#This Row],['#_Constructed/Existing hand washing stations at TLS]],0)</f>
        <v>0</v>
      </c>
      <c r="DH302" s="556">
        <f>IF(WWWW[[#This Row],['# Functional hand washing stations during reporting period]]*100&gt;WWWW[[#This Row],[Total PoP ]],WWWW[[#This Row],[Total PoP ]],WWWW[[#This Row],['# Functional hand washing stations during reporting period]]*100)</f>
        <v>0</v>
      </c>
      <c r="DI302" s="556" t="str">
        <f>IF(OR(WWWW[[#This Row],['#_students at TLS_CFS]]="",WWWW[[#This Row],['#_students at TLS_CFS]]=0),"No","Yes")</f>
        <v>No</v>
      </c>
      <c r="DJ302" s="554">
        <f>VLOOKUP(WWWW[[#This Row],[Site Name]],SiteDB6[[Site Name]:[CCCM Management]],6,FALSE)</f>
        <v>0</v>
      </c>
      <c r="DK302" s="554">
        <f>VLOOKUP(WWWW[[#This Row],[Site Name]],SiteDB6[[Site Name]:[CCCM Focal Agency]],7,FALSE)</f>
        <v>0</v>
      </c>
      <c r="DL302" s="554" t="str">
        <f>VLOOKUP(WWWW[[#This Row],[Site Name]],SiteDB6[[Site Name]:[Location Type 1]],9,FALSE)</f>
        <v>Village</v>
      </c>
      <c r="DM302" s="554" t="str">
        <f>VLOOKUP(WWWW[[#This Row],[Site Name]],SiteDB6[[Site Name]:[Type of Accommodation]],10,FALSE)</f>
        <v>Village</v>
      </c>
      <c r="DN302" s="554">
        <f>VLOOKUP(WWWW[[#This Row],[Site Name]],SiteDB6[[Site Name]:[Ethnic or GCA/NGCA]],11,FALSE)</f>
        <v>0</v>
      </c>
      <c r="DO302" s="554">
        <f>VLOOKUP(WWWW[[#This Row],[Site Name]],SiteDB6[[Site Name]:[Lat]],12,FALSE)</f>
        <v>0</v>
      </c>
      <c r="DP302" s="554">
        <f>VLOOKUP(WWWW[[#This Row],[Site Name]],SiteDB6[[Site Name]:[Long]],13,FALSE)</f>
        <v>0</v>
      </c>
      <c r="DQ302" s="554">
        <f>VLOOKUP(WWWW[[#This Row],[Site Name]],SiteDB6[[Site Name]:[Pcode]],3,FALSE)</f>
        <v>197103</v>
      </c>
      <c r="DR302" s="563" t="str">
        <f t="shared" si="10"/>
        <v>Covered</v>
      </c>
      <c r="DS302" s="563"/>
    </row>
    <row r="303" spans="1:123">
      <c r="A303" s="552" t="s">
        <v>2518</v>
      </c>
      <c r="B303" s="552" t="s">
        <v>332</v>
      </c>
      <c r="C303" s="555" t="s">
        <v>332</v>
      </c>
      <c r="D303" s="555" t="s">
        <v>325</v>
      </c>
      <c r="E303" s="574" t="s">
        <v>3006</v>
      </c>
      <c r="F303" s="555" t="s">
        <v>330</v>
      </c>
      <c r="G303" s="574" t="str">
        <f>VLOOKUP(WWWW[[#This Row],[Site Name]],SiteDB6[[Site Name]:[Location Type]],8,FALSE)</f>
        <v>Village</v>
      </c>
      <c r="H303" s="555" t="s">
        <v>480</v>
      </c>
      <c r="I303" s="557">
        <v>121</v>
      </c>
      <c r="J303" s="557">
        <v>421</v>
      </c>
      <c r="K303" s="564">
        <v>42736</v>
      </c>
      <c r="L303" s="565">
        <v>44551</v>
      </c>
      <c r="M303" s="557"/>
      <c r="N303" s="557"/>
      <c r="O303" s="557"/>
      <c r="P303" s="557"/>
      <c r="Q303" s="556"/>
      <c r="R303" s="557"/>
      <c r="S303" s="557"/>
      <c r="T303" s="557"/>
      <c r="U303" s="557"/>
      <c r="V303" s="557"/>
      <c r="W303" s="557"/>
      <c r="X303" s="557"/>
      <c r="Y303" s="557"/>
      <c r="Z303" s="557"/>
      <c r="AA303" s="557"/>
      <c r="AB303" s="557"/>
      <c r="AC303" s="557"/>
      <c r="AD303" s="557"/>
      <c r="AE303" s="557"/>
      <c r="AF303" s="557"/>
      <c r="AG303" s="557"/>
      <c r="AH303" s="557"/>
      <c r="AI303" s="557"/>
      <c r="AJ303" s="557"/>
      <c r="AK303" s="557"/>
      <c r="AL303" s="557"/>
      <c r="AM303" s="557"/>
      <c r="AN303" s="557"/>
      <c r="AO303" s="563"/>
      <c r="AP303" s="557"/>
      <c r="AQ303" s="557"/>
      <c r="AR303" s="559"/>
      <c r="AS303" s="557"/>
      <c r="AT303" s="557"/>
      <c r="AU303" s="557"/>
      <c r="AV303" s="557"/>
      <c r="AW303" s="557"/>
      <c r="AX303" s="554"/>
      <c r="AY303" s="563"/>
      <c r="AZ303" s="557"/>
      <c r="BA303" s="557"/>
      <c r="BB303" s="557"/>
      <c r="BC303" s="554"/>
      <c r="BD303" s="557"/>
      <c r="BE303" s="557"/>
      <c r="BF303" s="557"/>
      <c r="BG303" s="557"/>
      <c r="BH303" s="557"/>
      <c r="BI303" s="557"/>
      <c r="BJ303" s="557"/>
      <c r="BK303" s="557"/>
      <c r="BL303" s="557"/>
      <c r="BM303" s="554"/>
      <c r="BN303" s="558"/>
      <c r="BO303" s="559"/>
      <c r="BP303" s="554"/>
      <c r="BQ303" s="560" t="str">
        <f>IFERROR(WWWW[[#This Row],['#_Water sources treated]]/WWWW[[#This Row],['#_Water sources tested for contamination]],"no test")</f>
        <v>no test</v>
      </c>
      <c r="BR303" s="559" t="str">
        <f>IFERROR(WWWW[[#This Row],['#_Household received remediation action due to contamination]]/WWWW[[#This Row],['#_Household water samples tested for contamination]],"no test")</f>
        <v>no test</v>
      </c>
      <c r="BS303" s="558" t="str">
        <f>IF(AND(WWWW[[#This Row],[% of water sources treated]]="no test",WWWW[[#This Row],[% Household received corrective actions]]="no test"),"No Test","Tested")</f>
        <v>No Test</v>
      </c>
      <c r="BT303" s="558">
        <f>WWWW[[#This Row],['#_Constructed/existing protected hand dug well]]-WWWW[[#This Row],['#_Non-functional protected hand dug well]]</f>
        <v>0</v>
      </c>
      <c r="BU303" s="558">
        <f>(WWWW[[#This Row],['#_Constructed/Existing tube wells/boreholes/handpumps_WASH_agency]]+WWWW[[#This Row],['#_Non-Cluster partner water tube-wells/boreholes/handpumps]])-WWWW[[#This Row],['#_Non-functional tube wells/boreholes/handpumps]]</f>
        <v>0</v>
      </c>
      <c r="BV303" s="558">
        <f>WWWW[[#This Row],['#_Constructed/Existingwater storage tank with gravity fed reticulation system]]-WWWW[[#This Row],['#_Non-functional storage tank gravity fed reticulation system]]</f>
        <v>0</v>
      </c>
      <c r="BW303" s="558">
        <f>WWWW[[#This Row],['#_Water boating or water trucking]]</f>
        <v>0</v>
      </c>
      <c r="BX303" s="558">
        <f>WWWW[[#This Row],['#_Constructed/Existing water distribution system from river or natural spring]]</f>
        <v>0</v>
      </c>
      <c r="BY30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3" s="559">
        <f>IF(WWWW[[#This Row],[Location Type 1]]="Village",WWWW[[#This Row],[Access to safe drinking water for Village]],WWWW[[#This Row],[Access to safe drinking water for Camp]])</f>
        <v>0</v>
      </c>
      <c r="CB303" s="556">
        <f>WWWW[[#This Row],[%Equitable and continuous access to sufficient quantity of safe drinking water]]*WWWW[[#This Row],[Total PoP ]]</f>
        <v>0</v>
      </c>
      <c r="CC303" s="559">
        <f>IF((WWWW[[#This Row],['#_Constructed/Existing protected/fenced ponds]]*250)/WWWW[[#This Row],[Total PoP ]]&gt;1,1,(WWWW[[#This Row],['#_Constructed/Existing protected/fenced ponds]]*250)/WWWW[[#This Row],[Total PoP ]])</f>
        <v>0</v>
      </c>
      <c r="CD303" s="556">
        <f>WWWW[[#This Row],[% Access to unimproved water points]]*WWWW[[#This Row],[Total PoP ]]</f>
        <v>0</v>
      </c>
      <c r="CE30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3" s="556">
        <f>WWWW[[#This Row],[HRP1]]/500</f>
        <v>0</v>
      </c>
      <c r="CH303" s="561">
        <f>1-WWWW[[#This Row],[% Equitable and continuous access to sufficient quantity of domestic water]]</f>
        <v>1</v>
      </c>
      <c r="CI303" s="556">
        <f>WWWW[[#This Row],[%equitable and continuous access to sufficient quantity of safe drinking and domestic water''s GAP]]*WWWW[[#This Row],[Total PoP ]]</f>
        <v>421</v>
      </c>
      <c r="CJ303" s="558">
        <f>IF(WWWW[[#This Row],[Total required water points]]-WWWW[[#This Row],['#Water points coverage]]&lt;0,0,WWWW[[#This Row],[Total required water points]]-WWWW[[#This Row],['#Water points coverage]])</f>
        <v>1</v>
      </c>
      <c r="CK303" s="558">
        <f>ROUND(IF(WWWW[[#This Row],[Total PoP ]]&lt;500,1,WWWW[[#This Row],[Total PoP ]]/500),0)</f>
        <v>1</v>
      </c>
      <c r="CL303" s="558">
        <f>(WWWW[[#This Row],['#_Constructed latrines_by_WASHAgencies]]+WWWW[[#This Row],['#_Non Cluster partner latrines]])-WWWW[[#This Row],['#_Non-functional latrines]]</f>
        <v>0</v>
      </c>
      <c r="CM30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3" s="558" t="str">
        <f>IF(WWWW[[#This Row],[Location Type 1]]="Village","NA",IF(WWWW[[#This Row],['#_Constructed/Existing latrines in TLS]]*50&gt;WWWW[[#This Row],['#_students at TLS_CFS]],WWWW[[#This Row],['#_students at TLS_CFS]],(WWWW[[#This Row],['#_Constructed/Existing latrines in TLS]]*50)))</f>
        <v>NA</v>
      </c>
      <c r="CQ303" s="558">
        <f>ROUND(IF(WWWW[[#This Row],[Location Type 1]]="camp",WWWW[[#This Row],[Total PoP ]]/20,IF(WWWW[[#This Row],[Location Type 1]]="Temporary Location",WWWW[[#This Row],[Total PoP ]]/50,(WWWW[[#This Row],[Total PoP ]]/6))),0)</f>
        <v>70</v>
      </c>
      <c r="CR303" s="558">
        <f>IF(WWWW[[#This Row],[Total required Latrines]]-(WWWW[[#This Row],['#_Constructed latrines_by_WASHAgencies]]+WWWW[[#This Row],['#_Non Cluster partner latrines]])&lt;0,0,WWWW[[#This Row],[Total required Latrines]]-(WWWW[[#This Row],['#_Constructed latrines_by_WASHAgencies]]+WWWW[[#This Row],['#_Non Cluster partner latrines]]))</f>
        <v>70</v>
      </c>
      <c r="CS303" s="78">
        <f>1-WWWW[[#This Row],[% people access to functioning Latrine]]</f>
        <v>1</v>
      </c>
      <c r="CT303" s="560">
        <f>IF(OR(WWWW[[#This Row],['#_Non-functional latrines]]="",WWWW[[#This Row],['#_Non-functional latrines]]=0),0,WWWW[[#This Row],['#_Non-functional latrines]]/(WWWW[[#This Row],['#_Constructed latrines_by_WASHAgencies]]+WWWW[[#This Row],['#_Non Cluster partner latrines]]))</f>
        <v>0</v>
      </c>
      <c r="CU303" s="556">
        <f>IF(500*(WWWW[[#This Row],['#_male hygiene promoters]]+WWWW[[#This Row],['#_female hygiene promoters]])&gt;WWWW[[#This Row],[Total PoP ]],WWWW[[#This Row],[Total PoP ]],500*(WWWW[[#This Row],['#_male hygiene promoters]]+WWWW[[#This Row],['#_female hygiene promoters]]))</f>
        <v>0</v>
      </c>
      <c r="CV30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3" s="558">
        <f>IF(WWWW[[#This Row],['# People with access to soap]]&gt;WWWW[[#This Row],['# People with access to Sanity Pads]],WWWW[[#This Row],['# People with access to soap]],WWWW[[#This Row],['# People with access to Sanity Pads]])</f>
        <v>0</v>
      </c>
      <c r="CY30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3" s="561">
        <f>IF(WWWW[[#This Row],[HRP3]]/WWWW[[#This Row],[Total PoP ]]&gt;100%,100%,WWWW[[#This Row],[HRP3]]/WWWW[[#This Row],[Total PoP ]])</f>
        <v>0</v>
      </c>
      <c r="DA303" s="560">
        <f>1-WWWW[[#This Row],[Hygiene Coverage%]]</f>
        <v>1</v>
      </c>
      <c r="DB303" s="559">
        <f>WWWW[[#This Row],['# people reached by regular dedicated hygiene promotion_5]]/WWWW[[#This Row],[Total PoP ]]</f>
        <v>0</v>
      </c>
      <c r="DC303" s="559">
        <f>IF(WWWW[[#This Row],['#_households that received standard amount of soap for this quarter]]/WWWW[[#This Row],[Total HH]]&gt;1,1,WWWW[[#This Row],['#_households that received standard amount of soap for this quarter]]/WWWW[[#This Row],[Total HH]])</f>
        <v>0</v>
      </c>
      <c r="DD303" s="559">
        <f>IF(WWWW[[#This Row],['#_households that received standard amount of sanitary pads for this quarter]]/WWWW[[#This Row],[Total HH]]&gt;1,1,WWWW[[#This Row],['#_households that received standard amount of sanitary pads for this quarter]]/WWWW[[#This Row],[Total HH]])</f>
        <v>0</v>
      </c>
      <c r="DE303" s="558">
        <f>WWWW[[#This Row],['#_Constructed/Existing hand washing stations]]-WWWW[[#This Row],['#_Non-Functional_hand_washing_stations]]</f>
        <v>0</v>
      </c>
      <c r="DF303" s="757">
        <f>IF(WWWW[[#This Row],['# Functional hand washing stations during reporting period]]*20&gt;WWWW[[#This Row],[Total HH]],WWWW[[#This Row],[Total HH]],WWWW[[#This Row],['# Functional hand washing stations during reporting period]]*20)</f>
        <v>0</v>
      </c>
      <c r="DG303" s="556">
        <f>IF(WWWW[[#This Row],[Is sufficient soap available for TLS? (Yes/No)]]="yes",WWWW[[#This Row],['#_Constructed/Existing hand washing stations at TLS]],0)</f>
        <v>0</v>
      </c>
      <c r="DH303" s="556">
        <f>IF(WWWW[[#This Row],['# Functional hand washing stations during reporting period]]*100&gt;WWWW[[#This Row],[Total PoP ]],WWWW[[#This Row],[Total PoP ]],WWWW[[#This Row],['# Functional hand washing stations during reporting period]]*100)</f>
        <v>0</v>
      </c>
      <c r="DI303" s="556" t="str">
        <f>IF(OR(WWWW[[#This Row],['#_students at TLS_CFS]]="",WWWW[[#This Row],['#_students at TLS_CFS]]=0),"No","Yes")</f>
        <v>No</v>
      </c>
      <c r="DJ303" s="554">
        <f>VLOOKUP(WWWW[[#This Row],[Site Name]],SiteDB6[[Site Name]:[CCCM Management]],6,FALSE)</f>
        <v>0</v>
      </c>
      <c r="DK303" s="554">
        <f>VLOOKUP(WWWW[[#This Row],[Site Name]],SiteDB6[[Site Name]:[CCCM Focal Agency]],7,FALSE)</f>
        <v>0</v>
      </c>
      <c r="DL303" s="554" t="str">
        <f>VLOOKUP(WWWW[[#This Row],[Site Name]],SiteDB6[[Site Name]:[Location Type 1]],9,FALSE)</f>
        <v>Village</v>
      </c>
      <c r="DM303" s="554" t="str">
        <f>VLOOKUP(WWWW[[#This Row],[Site Name]],SiteDB6[[Site Name]:[Type of Accommodation]],10,FALSE)</f>
        <v>Village</v>
      </c>
      <c r="DN303" s="554" t="str">
        <f>VLOOKUP(WWWW[[#This Row],[Site Name]],SiteDB6[[Site Name]:[Ethnic or GCA/NGCA]],11,FALSE)</f>
        <v>Mixed</v>
      </c>
      <c r="DO303" s="554">
        <f>VLOOKUP(WWWW[[#This Row],[Site Name]],SiteDB6[[Site Name]:[Lat]],12,FALSE)</f>
        <v>20.394809720000001</v>
      </c>
      <c r="DP303" s="554">
        <f>VLOOKUP(WWWW[[#This Row],[Site Name]],SiteDB6[[Site Name]:[Long]],13,FALSE)</f>
        <v>93.251609799999997</v>
      </c>
      <c r="DQ303" s="554">
        <f>VLOOKUP(WWWW[[#This Row],[Site Name]],SiteDB6[[Site Name]:[Pcode]],3,FALSE)</f>
        <v>196994</v>
      </c>
      <c r="DR303" s="563" t="str">
        <f t="shared" si="10"/>
        <v>Covered</v>
      </c>
      <c r="DS303" s="563"/>
    </row>
    <row r="304" spans="1:123">
      <c r="A304" s="552" t="s">
        <v>2518</v>
      </c>
      <c r="B304" s="552" t="s">
        <v>332</v>
      </c>
      <c r="C304" s="555" t="s">
        <v>332</v>
      </c>
      <c r="D304" s="555" t="s">
        <v>325</v>
      </c>
      <c r="E304" s="574" t="s">
        <v>3006</v>
      </c>
      <c r="F304" s="555" t="s">
        <v>330</v>
      </c>
      <c r="G304" s="574" t="str">
        <f>VLOOKUP(WWWW[[#This Row],[Site Name]],SiteDB6[[Site Name]:[Location Type]],8,FALSE)</f>
        <v>Village</v>
      </c>
      <c r="H304" s="555" t="s">
        <v>1784</v>
      </c>
      <c r="I304" s="557">
        <v>203</v>
      </c>
      <c r="J304" s="557">
        <v>1118</v>
      </c>
      <c r="K304" s="564">
        <v>42736</v>
      </c>
      <c r="L304" s="565">
        <v>44551</v>
      </c>
      <c r="M304" s="557"/>
      <c r="N304" s="557"/>
      <c r="O304" s="557"/>
      <c r="P304" s="557"/>
      <c r="Q304" s="556"/>
      <c r="R304" s="557"/>
      <c r="S304" s="557"/>
      <c r="T304" s="557"/>
      <c r="U304" s="557"/>
      <c r="V304" s="557"/>
      <c r="W304" s="557"/>
      <c r="X304" s="557"/>
      <c r="Y304" s="557"/>
      <c r="Z304" s="557"/>
      <c r="AA304" s="557"/>
      <c r="AB304" s="557"/>
      <c r="AC304" s="557"/>
      <c r="AD304" s="557"/>
      <c r="AE304" s="557"/>
      <c r="AF304" s="557"/>
      <c r="AG304" s="557"/>
      <c r="AH304" s="557"/>
      <c r="AI304" s="557"/>
      <c r="AJ304" s="557"/>
      <c r="AK304" s="557"/>
      <c r="AL304" s="557"/>
      <c r="AM304" s="557"/>
      <c r="AN304" s="557"/>
      <c r="AO304" s="563"/>
      <c r="AP304" s="557"/>
      <c r="AQ304" s="557"/>
      <c r="AR304" s="559"/>
      <c r="AS304" s="557"/>
      <c r="AT304" s="557"/>
      <c r="AU304" s="557"/>
      <c r="AV304" s="557"/>
      <c r="AW304" s="557"/>
      <c r="AX304" s="554"/>
      <c r="AY304" s="563"/>
      <c r="AZ304" s="557"/>
      <c r="BA304" s="557"/>
      <c r="BB304" s="557"/>
      <c r="BC304" s="554"/>
      <c r="BD304" s="557"/>
      <c r="BE304" s="557"/>
      <c r="BF304" s="557"/>
      <c r="BG304" s="557"/>
      <c r="BH304" s="557"/>
      <c r="BI304" s="557"/>
      <c r="BJ304" s="557"/>
      <c r="BK304" s="557"/>
      <c r="BL304" s="557"/>
      <c r="BM304" s="554"/>
      <c r="BN304" s="558"/>
      <c r="BO304" s="559"/>
      <c r="BP304" s="554"/>
      <c r="BQ304" s="560" t="str">
        <f>IFERROR(WWWW[[#This Row],['#_Water sources treated]]/WWWW[[#This Row],['#_Water sources tested for contamination]],"no test")</f>
        <v>no test</v>
      </c>
      <c r="BR304" s="559" t="str">
        <f>IFERROR(WWWW[[#This Row],['#_Household received remediation action due to contamination]]/WWWW[[#This Row],['#_Household water samples tested for contamination]],"no test")</f>
        <v>no test</v>
      </c>
      <c r="BS304" s="558" t="str">
        <f>IF(AND(WWWW[[#This Row],[% of water sources treated]]="no test",WWWW[[#This Row],[% Household received corrective actions]]="no test"),"No Test","Tested")</f>
        <v>No Test</v>
      </c>
      <c r="BT304" s="558">
        <f>WWWW[[#This Row],['#_Constructed/existing protected hand dug well]]-WWWW[[#This Row],['#_Non-functional protected hand dug well]]</f>
        <v>0</v>
      </c>
      <c r="BU304" s="558">
        <f>(WWWW[[#This Row],['#_Constructed/Existing tube wells/boreholes/handpumps_WASH_agency]]+WWWW[[#This Row],['#_Non-Cluster partner water tube-wells/boreholes/handpumps]])-WWWW[[#This Row],['#_Non-functional tube wells/boreholes/handpumps]]</f>
        <v>0</v>
      </c>
      <c r="BV304" s="558">
        <f>WWWW[[#This Row],['#_Constructed/Existingwater storage tank with gravity fed reticulation system]]-WWWW[[#This Row],['#_Non-functional storage tank gravity fed reticulation system]]</f>
        <v>0</v>
      </c>
      <c r="BW304" s="558">
        <f>WWWW[[#This Row],['#_Water boating or water trucking]]</f>
        <v>0</v>
      </c>
      <c r="BX304" s="558">
        <f>WWWW[[#This Row],['#_Constructed/Existing water distribution system from river or natural spring]]</f>
        <v>0</v>
      </c>
      <c r="BY30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4" s="559">
        <f>IF(WWWW[[#This Row],[Location Type 1]]="Village",WWWW[[#This Row],[Access to safe drinking water for Village]],WWWW[[#This Row],[Access to safe drinking water for Camp]])</f>
        <v>0</v>
      </c>
      <c r="CB304" s="556">
        <f>WWWW[[#This Row],[%Equitable and continuous access to sufficient quantity of safe drinking water]]*WWWW[[#This Row],[Total PoP ]]</f>
        <v>0</v>
      </c>
      <c r="CC304" s="559">
        <f>IF((WWWW[[#This Row],['#_Constructed/Existing protected/fenced ponds]]*250)/WWWW[[#This Row],[Total PoP ]]&gt;1,1,(WWWW[[#This Row],['#_Constructed/Existing protected/fenced ponds]]*250)/WWWW[[#This Row],[Total PoP ]])</f>
        <v>0</v>
      </c>
      <c r="CD304" s="556">
        <f>WWWW[[#This Row],[% Access to unimproved water points]]*WWWW[[#This Row],[Total PoP ]]</f>
        <v>0</v>
      </c>
      <c r="CE30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4" s="556">
        <f>WWWW[[#This Row],[HRP1]]/500</f>
        <v>0</v>
      </c>
      <c r="CH304" s="561">
        <f>1-WWWW[[#This Row],[% Equitable and continuous access to sufficient quantity of domestic water]]</f>
        <v>1</v>
      </c>
      <c r="CI304" s="556">
        <f>WWWW[[#This Row],[%equitable and continuous access to sufficient quantity of safe drinking and domestic water''s GAP]]*WWWW[[#This Row],[Total PoP ]]</f>
        <v>1118</v>
      </c>
      <c r="CJ304" s="558">
        <f>IF(WWWW[[#This Row],[Total required water points]]-WWWW[[#This Row],['#Water points coverage]]&lt;0,0,WWWW[[#This Row],[Total required water points]]-WWWW[[#This Row],['#Water points coverage]])</f>
        <v>2</v>
      </c>
      <c r="CK304" s="558">
        <f>ROUND(IF(WWWW[[#This Row],[Total PoP ]]&lt;500,1,WWWW[[#This Row],[Total PoP ]]/500),0)</f>
        <v>2</v>
      </c>
      <c r="CL304" s="558">
        <f>(WWWW[[#This Row],['#_Constructed latrines_by_WASHAgencies]]+WWWW[[#This Row],['#_Non Cluster partner latrines]])-WWWW[[#This Row],['#_Non-functional latrines]]</f>
        <v>0</v>
      </c>
      <c r="CM30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4" s="558" t="str">
        <f>IF(WWWW[[#This Row],[Location Type 1]]="Village","NA",IF(WWWW[[#This Row],['#_Constructed/Existing latrines in TLS]]*50&gt;WWWW[[#This Row],['#_students at TLS_CFS]],WWWW[[#This Row],['#_students at TLS_CFS]],(WWWW[[#This Row],['#_Constructed/Existing latrines in TLS]]*50)))</f>
        <v>NA</v>
      </c>
      <c r="CQ304" s="558">
        <f>ROUND(IF(WWWW[[#This Row],[Location Type 1]]="camp",WWWW[[#This Row],[Total PoP ]]/20,IF(WWWW[[#This Row],[Location Type 1]]="Temporary Location",WWWW[[#This Row],[Total PoP ]]/50,(WWWW[[#This Row],[Total PoP ]]/6))),0)</f>
        <v>186</v>
      </c>
      <c r="CR304" s="558">
        <f>IF(WWWW[[#This Row],[Total required Latrines]]-(WWWW[[#This Row],['#_Constructed latrines_by_WASHAgencies]]+WWWW[[#This Row],['#_Non Cluster partner latrines]])&lt;0,0,WWWW[[#This Row],[Total required Latrines]]-(WWWW[[#This Row],['#_Constructed latrines_by_WASHAgencies]]+WWWW[[#This Row],['#_Non Cluster partner latrines]]))</f>
        <v>186</v>
      </c>
      <c r="CS304" s="78">
        <f>1-WWWW[[#This Row],[% people access to functioning Latrine]]</f>
        <v>1</v>
      </c>
      <c r="CT304" s="560">
        <f>IF(OR(WWWW[[#This Row],['#_Non-functional latrines]]="",WWWW[[#This Row],['#_Non-functional latrines]]=0),0,WWWW[[#This Row],['#_Non-functional latrines]]/(WWWW[[#This Row],['#_Constructed latrines_by_WASHAgencies]]+WWWW[[#This Row],['#_Non Cluster partner latrines]]))</f>
        <v>0</v>
      </c>
      <c r="CU304" s="556">
        <f>IF(500*(WWWW[[#This Row],['#_male hygiene promoters]]+WWWW[[#This Row],['#_female hygiene promoters]])&gt;WWWW[[#This Row],[Total PoP ]],WWWW[[#This Row],[Total PoP ]],500*(WWWW[[#This Row],['#_male hygiene promoters]]+WWWW[[#This Row],['#_female hygiene promoters]]))</f>
        <v>0</v>
      </c>
      <c r="CV30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4" s="558">
        <f>IF(WWWW[[#This Row],['# People with access to soap]]&gt;WWWW[[#This Row],['# People with access to Sanity Pads]],WWWW[[#This Row],['# People with access to soap]],WWWW[[#This Row],['# People with access to Sanity Pads]])</f>
        <v>0</v>
      </c>
      <c r="CY30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4" s="561">
        <f>IF(WWWW[[#This Row],[HRP3]]/WWWW[[#This Row],[Total PoP ]]&gt;100%,100%,WWWW[[#This Row],[HRP3]]/WWWW[[#This Row],[Total PoP ]])</f>
        <v>0</v>
      </c>
      <c r="DA304" s="560">
        <f>1-WWWW[[#This Row],[Hygiene Coverage%]]</f>
        <v>1</v>
      </c>
      <c r="DB304" s="559">
        <f>WWWW[[#This Row],['# people reached by regular dedicated hygiene promotion_5]]/WWWW[[#This Row],[Total PoP ]]</f>
        <v>0</v>
      </c>
      <c r="DC304" s="559">
        <f>IF(WWWW[[#This Row],['#_households that received standard amount of soap for this quarter]]/WWWW[[#This Row],[Total HH]]&gt;1,1,WWWW[[#This Row],['#_households that received standard amount of soap for this quarter]]/WWWW[[#This Row],[Total HH]])</f>
        <v>0</v>
      </c>
      <c r="DD304" s="559">
        <f>IF(WWWW[[#This Row],['#_households that received standard amount of sanitary pads for this quarter]]/WWWW[[#This Row],[Total HH]]&gt;1,1,WWWW[[#This Row],['#_households that received standard amount of sanitary pads for this quarter]]/WWWW[[#This Row],[Total HH]])</f>
        <v>0</v>
      </c>
      <c r="DE304" s="558">
        <f>WWWW[[#This Row],['#_Constructed/Existing hand washing stations]]-WWWW[[#This Row],['#_Non-Functional_hand_washing_stations]]</f>
        <v>0</v>
      </c>
      <c r="DF304" s="757">
        <f>IF(WWWW[[#This Row],['# Functional hand washing stations during reporting period]]*20&gt;WWWW[[#This Row],[Total HH]],WWWW[[#This Row],[Total HH]],WWWW[[#This Row],['# Functional hand washing stations during reporting period]]*20)</f>
        <v>0</v>
      </c>
      <c r="DG304" s="556">
        <f>IF(WWWW[[#This Row],[Is sufficient soap available for TLS? (Yes/No)]]="yes",WWWW[[#This Row],['#_Constructed/Existing hand washing stations at TLS]],0)</f>
        <v>0</v>
      </c>
      <c r="DH304" s="556">
        <f>IF(WWWW[[#This Row],['# Functional hand washing stations during reporting period]]*100&gt;WWWW[[#This Row],[Total PoP ]],WWWW[[#This Row],[Total PoP ]],WWWW[[#This Row],['# Functional hand washing stations during reporting period]]*100)</f>
        <v>0</v>
      </c>
      <c r="DI304" s="556" t="str">
        <f>IF(OR(WWWW[[#This Row],['#_students at TLS_CFS]]="",WWWW[[#This Row],['#_students at TLS_CFS]]=0),"No","Yes")</f>
        <v>No</v>
      </c>
      <c r="DJ304" s="554">
        <f>VLOOKUP(WWWW[[#This Row],[Site Name]],SiteDB6[[Site Name]:[CCCM Management]],6,FALSE)</f>
        <v>0</v>
      </c>
      <c r="DK304" s="554">
        <f>VLOOKUP(WWWW[[#This Row],[Site Name]],SiteDB6[[Site Name]:[CCCM Focal Agency]],7,FALSE)</f>
        <v>0</v>
      </c>
      <c r="DL304" s="554" t="str">
        <f>VLOOKUP(WWWW[[#This Row],[Site Name]],SiteDB6[[Site Name]:[Location Type 1]],9,FALSE)</f>
        <v>Village</v>
      </c>
      <c r="DM304" s="554" t="str">
        <f>VLOOKUP(WWWW[[#This Row],[Site Name]],SiteDB6[[Site Name]:[Type of Accommodation]],10,FALSE)</f>
        <v>Village</v>
      </c>
      <c r="DN304" s="554">
        <f>VLOOKUP(WWWW[[#This Row],[Site Name]],SiteDB6[[Site Name]:[Ethnic or GCA/NGCA]],11,FALSE)</f>
        <v>0</v>
      </c>
      <c r="DO304" s="554">
        <f>VLOOKUP(WWWW[[#This Row],[Site Name]],SiteDB6[[Site Name]:[Lat]],12,FALSE)</f>
        <v>0</v>
      </c>
      <c r="DP304" s="554">
        <f>VLOOKUP(WWWW[[#This Row],[Site Name]],SiteDB6[[Site Name]:[Long]],13,FALSE)</f>
        <v>0</v>
      </c>
      <c r="DQ304" s="554">
        <f>VLOOKUP(WWWW[[#This Row],[Site Name]],SiteDB6[[Site Name]:[Pcode]],3,FALSE)</f>
        <v>196997</v>
      </c>
      <c r="DR304" s="563" t="str">
        <f t="shared" si="10"/>
        <v>Covered</v>
      </c>
      <c r="DS304" s="563"/>
    </row>
    <row r="305" spans="1:123">
      <c r="A305" s="552" t="s">
        <v>2518</v>
      </c>
      <c r="B305" s="552" t="s">
        <v>332</v>
      </c>
      <c r="C305" s="555" t="s">
        <v>332</v>
      </c>
      <c r="D305" s="555" t="s">
        <v>325</v>
      </c>
      <c r="E305" s="574" t="s">
        <v>3006</v>
      </c>
      <c r="F305" s="555" t="s">
        <v>330</v>
      </c>
      <c r="G305" s="574" t="str">
        <f>VLOOKUP(WWWW[[#This Row],[Site Name]],SiteDB6[[Site Name]:[Location Type]],8,FALSE)</f>
        <v>Village</v>
      </c>
      <c r="H305" s="555" t="s">
        <v>481</v>
      </c>
      <c r="I305" s="557">
        <v>31</v>
      </c>
      <c r="J305" s="557">
        <v>170</v>
      </c>
      <c r="K305" s="564">
        <v>42736</v>
      </c>
      <c r="L305" s="565">
        <v>44551</v>
      </c>
      <c r="M305" s="557"/>
      <c r="N305" s="557"/>
      <c r="O305" s="557"/>
      <c r="P305" s="557"/>
      <c r="Q305" s="556"/>
      <c r="R305" s="557"/>
      <c r="S305" s="557"/>
      <c r="T305" s="557"/>
      <c r="U305" s="557"/>
      <c r="V305" s="557"/>
      <c r="W305" s="557"/>
      <c r="X305" s="557"/>
      <c r="Y305" s="557"/>
      <c r="Z305" s="557"/>
      <c r="AA305" s="557"/>
      <c r="AB305" s="557"/>
      <c r="AC305" s="557"/>
      <c r="AD305" s="557"/>
      <c r="AE305" s="557"/>
      <c r="AF305" s="557"/>
      <c r="AG305" s="557"/>
      <c r="AH305" s="557"/>
      <c r="AI305" s="557"/>
      <c r="AJ305" s="557"/>
      <c r="AK305" s="557"/>
      <c r="AL305" s="557"/>
      <c r="AM305" s="557"/>
      <c r="AN305" s="557"/>
      <c r="AO305" s="563"/>
      <c r="AP305" s="557"/>
      <c r="AQ305" s="557"/>
      <c r="AR305" s="559"/>
      <c r="AS305" s="557"/>
      <c r="AT305" s="557"/>
      <c r="AU305" s="557"/>
      <c r="AV305" s="557"/>
      <c r="AW305" s="557"/>
      <c r="AX305" s="554"/>
      <c r="AY305" s="563"/>
      <c r="AZ305" s="557"/>
      <c r="BA305" s="557"/>
      <c r="BB305" s="557"/>
      <c r="BC305" s="554"/>
      <c r="BD305" s="557"/>
      <c r="BE305" s="557"/>
      <c r="BF305" s="557"/>
      <c r="BG305" s="557"/>
      <c r="BH305" s="557"/>
      <c r="BI305" s="557"/>
      <c r="BJ305" s="557"/>
      <c r="BK305" s="557"/>
      <c r="BL305" s="557"/>
      <c r="BM305" s="554"/>
      <c r="BN305" s="558"/>
      <c r="BO305" s="559"/>
      <c r="BP305" s="554"/>
      <c r="BQ305" s="560" t="str">
        <f>IFERROR(WWWW[[#This Row],['#_Water sources treated]]/WWWW[[#This Row],['#_Water sources tested for contamination]],"no test")</f>
        <v>no test</v>
      </c>
      <c r="BR305" s="559" t="str">
        <f>IFERROR(WWWW[[#This Row],['#_Household received remediation action due to contamination]]/WWWW[[#This Row],['#_Household water samples tested for contamination]],"no test")</f>
        <v>no test</v>
      </c>
      <c r="BS305" s="558" t="str">
        <f>IF(AND(WWWW[[#This Row],[% of water sources treated]]="no test",WWWW[[#This Row],[% Household received corrective actions]]="no test"),"No Test","Tested")</f>
        <v>No Test</v>
      </c>
      <c r="BT305" s="558">
        <f>WWWW[[#This Row],['#_Constructed/existing protected hand dug well]]-WWWW[[#This Row],['#_Non-functional protected hand dug well]]</f>
        <v>0</v>
      </c>
      <c r="BU305" s="558">
        <f>(WWWW[[#This Row],['#_Constructed/Existing tube wells/boreholes/handpumps_WASH_agency]]+WWWW[[#This Row],['#_Non-Cluster partner water tube-wells/boreholes/handpumps]])-WWWW[[#This Row],['#_Non-functional tube wells/boreholes/handpumps]]</f>
        <v>0</v>
      </c>
      <c r="BV305" s="558">
        <f>WWWW[[#This Row],['#_Constructed/Existingwater storage tank with gravity fed reticulation system]]-WWWW[[#This Row],['#_Non-functional storage tank gravity fed reticulation system]]</f>
        <v>0</v>
      </c>
      <c r="BW305" s="558">
        <f>WWWW[[#This Row],['#_Water boating or water trucking]]</f>
        <v>0</v>
      </c>
      <c r="BX305" s="558">
        <f>WWWW[[#This Row],['#_Constructed/Existing water distribution system from river or natural spring]]</f>
        <v>0</v>
      </c>
      <c r="BY30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5" s="559">
        <f>IF(WWWW[[#This Row],[Location Type 1]]="Village",WWWW[[#This Row],[Access to safe drinking water for Village]],WWWW[[#This Row],[Access to safe drinking water for Camp]])</f>
        <v>0</v>
      </c>
      <c r="CB305" s="556">
        <f>WWWW[[#This Row],[%Equitable and continuous access to sufficient quantity of safe drinking water]]*WWWW[[#This Row],[Total PoP ]]</f>
        <v>0</v>
      </c>
      <c r="CC305" s="559">
        <f>IF((WWWW[[#This Row],['#_Constructed/Existing protected/fenced ponds]]*250)/WWWW[[#This Row],[Total PoP ]]&gt;1,1,(WWWW[[#This Row],['#_Constructed/Existing protected/fenced ponds]]*250)/WWWW[[#This Row],[Total PoP ]])</f>
        <v>0</v>
      </c>
      <c r="CD305" s="556">
        <f>WWWW[[#This Row],[% Access to unimproved water points]]*WWWW[[#This Row],[Total PoP ]]</f>
        <v>0</v>
      </c>
      <c r="CE30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5" s="556">
        <f>WWWW[[#This Row],[HRP1]]/500</f>
        <v>0</v>
      </c>
      <c r="CH305" s="561">
        <f>1-WWWW[[#This Row],[% Equitable and continuous access to sufficient quantity of domestic water]]</f>
        <v>1</v>
      </c>
      <c r="CI305" s="556">
        <f>WWWW[[#This Row],[%equitable and continuous access to sufficient quantity of safe drinking and domestic water''s GAP]]*WWWW[[#This Row],[Total PoP ]]</f>
        <v>170</v>
      </c>
      <c r="CJ305" s="558">
        <f>IF(WWWW[[#This Row],[Total required water points]]-WWWW[[#This Row],['#Water points coverage]]&lt;0,0,WWWW[[#This Row],[Total required water points]]-WWWW[[#This Row],['#Water points coverage]])</f>
        <v>1</v>
      </c>
      <c r="CK305" s="558">
        <f>ROUND(IF(WWWW[[#This Row],[Total PoP ]]&lt;500,1,WWWW[[#This Row],[Total PoP ]]/500),0)</f>
        <v>1</v>
      </c>
      <c r="CL305" s="558">
        <f>(WWWW[[#This Row],['#_Constructed latrines_by_WASHAgencies]]+WWWW[[#This Row],['#_Non Cluster partner latrines]])-WWWW[[#This Row],['#_Non-functional latrines]]</f>
        <v>0</v>
      </c>
      <c r="CM30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5" s="558" t="str">
        <f>IF(WWWW[[#This Row],[Location Type 1]]="Village","NA",IF(WWWW[[#This Row],['#_Constructed/Existing latrines in TLS]]*50&gt;WWWW[[#This Row],['#_students at TLS_CFS]],WWWW[[#This Row],['#_students at TLS_CFS]],(WWWW[[#This Row],['#_Constructed/Existing latrines in TLS]]*50)))</f>
        <v>NA</v>
      </c>
      <c r="CQ305" s="558">
        <f>ROUND(IF(WWWW[[#This Row],[Location Type 1]]="camp",WWWW[[#This Row],[Total PoP ]]/20,IF(WWWW[[#This Row],[Location Type 1]]="Temporary Location",WWWW[[#This Row],[Total PoP ]]/50,(WWWW[[#This Row],[Total PoP ]]/6))),0)</f>
        <v>28</v>
      </c>
      <c r="CR305" s="558">
        <f>IF(WWWW[[#This Row],[Total required Latrines]]-(WWWW[[#This Row],['#_Constructed latrines_by_WASHAgencies]]+WWWW[[#This Row],['#_Non Cluster partner latrines]])&lt;0,0,WWWW[[#This Row],[Total required Latrines]]-(WWWW[[#This Row],['#_Constructed latrines_by_WASHAgencies]]+WWWW[[#This Row],['#_Non Cluster partner latrines]]))</f>
        <v>28</v>
      </c>
      <c r="CS305" s="78">
        <f>1-WWWW[[#This Row],[% people access to functioning Latrine]]</f>
        <v>1</v>
      </c>
      <c r="CT305" s="560">
        <f>IF(OR(WWWW[[#This Row],['#_Non-functional latrines]]="",WWWW[[#This Row],['#_Non-functional latrines]]=0),0,WWWW[[#This Row],['#_Non-functional latrines]]/(WWWW[[#This Row],['#_Constructed latrines_by_WASHAgencies]]+WWWW[[#This Row],['#_Non Cluster partner latrines]]))</f>
        <v>0</v>
      </c>
      <c r="CU305" s="556">
        <f>IF(500*(WWWW[[#This Row],['#_male hygiene promoters]]+WWWW[[#This Row],['#_female hygiene promoters]])&gt;WWWW[[#This Row],[Total PoP ]],WWWW[[#This Row],[Total PoP ]],500*(WWWW[[#This Row],['#_male hygiene promoters]]+WWWW[[#This Row],['#_female hygiene promoters]]))</f>
        <v>0</v>
      </c>
      <c r="CV30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5" s="558">
        <f>IF(WWWW[[#This Row],['# People with access to soap]]&gt;WWWW[[#This Row],['# People with access to Sanity Pads]],WWWW[[#This Row],['# People with access to soap]],WWWW[[#This Row],['# People with access to Sanity Pads]])</f>
        <v>0</v>
      </c>
      <c r="CY30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5" s="561">
        <f>IF(WWWW[[#This Row],[HRP3]]/WWWW[[#This Row],[Total PoP ]]&gt;100%,100%,WWWW[[#This Row],[HRP3]]/WWWW[[#This Row],[Total PoP ]])</f>
        <v>0</v>
      </c>
      <c r="DA305" s="560">
        <f>1-WWWW[[#This Row],[Hygiene Coverage%]]</f>
        <v>1</v>
      </c>
      <c r="DB305" s="559">
        <f>WWWW[[#This Row],['# people reached by regular dedicated hygiene promotion_5]]/WWWW[[#This Row],[Total PoP ]]</f>
        <v>0</v>
      </c>
      <c r="DC305" s="559">
        <f>IF(WWWW[[#This Row],['#_households that received standard amount of soap for this quarter]]/WWWW[[#This Row],[Total HH]]&gt;1,1,WWWW[[#This Row],['#_households that received standard amount of soap for this quarter]]/WWWW[[#This Row],[Total HH]])</f>
        <v>0</v>
      </c>
      <c r="DD305" s="559">
        <f>IF(WWWW[[#This Row],['#_households that received standard amount of sanitary pads for this quarter]]/WWWW[[#This Row],[Total HH]]&gt;1,1,WWWW[[#This Row],['#_households that received standard amount of sanitary pads for this quarter]]/WWWW[[#This Row],[Total HH]])</f>
        <v>0</v>
      </c>
      <c r="DE305" s="558">
        <f>WWWW[[#This Row],['#_Constructed/Existing hand washing stations]]-WWWW[[#This Row],['#_Non-Functional_hand_washing_stations]]</f>
        <v>0</v>
      </c>
      <c r="DF305" s="757">
        <f>IF(WWWW[[#This Row],['# Functional hand washing stations during reporting period]]*20&gt;WWWW[[#This Row],[Total HH]],WWWW[[#This Row],[Total HH]],WWWW[[#This Row],['# Functional hand washing stations during reporting period]]*20)</f>
        <v>0</v>
      </c>
      <c r="DG305" s="556">
        <f>IF(WWWW[[#This Row],[Is sufficient soap available for TLS? (Yes/No)]]="yes",WWWW[[#This Row],['#_Constructed/Existing hand washing stations at TLS]],0)</f>
        <v>0</v>
      </c>
      <c r="DH305" s="556">
        <f>IF(WWWW[[#This Row],['# Functional hand washing stations during reporting period]]*100&gt;WWWW[[#This Row],[Total PoP ]],WWWW[[#This Row],[Total PoP ]],WWWW[[#This Row],['# Functional hand washing stations during reporting period]]*100)</f>
        <v>0</v>
      </c>
      <c r="DI305" s="556" t="str">
        <f>IF(OR(WWWW[[#This Row],['#_students at TLS_CFS]]="",WWWW[[#This Row],['#_students at TLS_CFS]]=0),"No","Yes")</f>
        <v>No</v>
      </c>
      <c r="DJ305" s="554">
        <f>VLOOKUP(WWWW[[#This Row],[Site Name]],SiteDB6[[Site Name]:[CCCM Management]],6,FALSE)</f>
        <v>0</v>
      </c>
      <c r="DK305" s="554">
        <f>VLOOKUP(WWWW[[#This Row],[Site Name]],SiteDB6[[Site Name]:[CCCM Focal Agency]],7,FALSE)</f>
        <v>0</v>
      </c>
      <c r="DL305" s="554" t="str">
        <f>VLOOKUP(WWWW[[#This Row],[Site Name]],SiteDB6[[Site Name]:[Location Type 1]],9,FALSE)</f>
        <v>Village</v>
      </c>
      <c r="DM305" s="554" t="str">
        <f>VLOOKUP(WWWW[[#This Row],[Site Name]],SiteDB6[[Site Name]:[Type of Accommodation]],10,FALSE)</f>
        <v>Village</v>
      </c>
      <c r="DN305" s="554" t="str">
        <f>VLOOKUP(WWWW[[#This Row],[Site Name]],SiteDB6[[Site Name]:[Ethnic or GCA/NGCA]],11,FALSE)</f>
        <v>Rakhine</v>
      </c>
      <c r="DO305" s="554">
        <f>VLOOKUP(WWWW[[#This Row],[Site Name]],SiteDB6[[Site Name]:[Lat]],12,FALSE)</f>
        <v>20.396680830000001</v>
      </c>
      <c r="DP305" s="554">
        <f>VLOOKUP(WWWW[[#This Row],[Site Name]],SiteDB6[[Site Name]:[Long]],13,FALSE)</f>
        <v>93.252868649999996</v>
      </c>
      <c r="DQ305" s="554">
        <f>VLOOKUP(WWWW[[#This Row],[Site Name]],SiteDB6[[Site Name]:[Pcode]],3,FALSE)</f>
        <v>196998</v>
      </c>
      <c r="DR305" s="563" t="str">
        <f t="shared" si="10"/>
        <v>Covered</v>
      </c>
      <c r="DS305" s="563"/>
    </row>
    <row r="306" spans="1:123">
      <c r="A306" s="552" t="s">
        <v>2518</v>
      </c>
      <c r="B306" s="552" t="s">
        <v>332</v>
      </c>
      <c r="C306" s="555" t="s">
        <v>332</v>
      </c>
      <c r="D306" s="555" t="s">
        <v>345</v>
      </c>
      <c r="E306" s="574" t="s">
        <v>3006</v>
      </c>
      <c r="F306" s="555" t="s">
        <v>330</v>
      </c>
      <c r="G306" s="574" t="str">
        <f>VLOOKUP(WWWW[[#This Row],[Site Name]],SiteDB6[[Site Name]:[Location Type]],8,FALSE)</f>
        <v>Village</v>
      </c>
      <c r="H306" s="555" t="s">
        <v>2920</v>
      </c>
      <c r="I306" s="557">
        <v>180</v>
      </c>
      <c r="J306" s="557">
        <v>964</v>
      </c>
      <c r="K306" s="564">
        <v>42736</v>
      </c>
      <c r="L306" s="565">
        <v>44551</v>
      </c>
      <c r="M306" s="557"/>
      <c r="N306" s="557"/>
      <c r="O306" s="557"/>
      <c r="P306" s="557"/>
      <c r="Q306" s="556"/>
      <c r="R306" s="557"/>
      <c r="S306" s="557"/>
      <c r="T306" s="557"/>
      <c r="U306" s="557"/>
      <c r="V306" s="557"/>
      <c r="W306" s="557"/>
      <c r="X306" s="557"/>
      <c r="Y306" s="557"/>
      <c r="Z306" s="557"/>
      <c r="AA306" s="557"/>
      <c r="AB306" s="557"/>
      <c r="AC306" s="557"/>
      <c r="AD306" s="557"/>
      <c r="AE306" s="557"/>
      <c r="AF306" s="557"/>
      <c r="AG306" s="557"/>
      <c r="AH306" s="557"/>
      <c r="AI306" s="557"/>
      <c r="AJ306" s="557"/>
      <c r="AK306" s="557"/>
      <c r="AL306" s="557"/>
      <c r="AM306" s="557"/>
      <c r="AN306" s="557"/>
      <c r="AO306" s="563"/>
      <c r="AP306" s="557"/>
      <c r="AQ306" s="557"/>
      <c r="AR306" s="559"/>
      <c r="AS306" s="557"/>
      <c r="AT306" s="557"/>
      <c r="AU306" s="557"/>
      <c r="AV306" s="557"/>
      <c r="AW306" s="557"/>
      <c r="AX306" s="554"/>
      <c r="AY306" s="563"/>
      <c r="AZ306" s="557"/>
      <c r="BA306" s="557"/>
      <c r="BB306" s="557"/>
      <c r="BC306" s="554"/>
      <c r="BD306" s="557"/>
      <c r="BE306" s="557"/>
      <c r="BF306" s="557"/>
      <c r="BG306" s="557"/>
      <c r="BH306" s="557"/>
      <c r="BI306" s="557"/>
      <c r="BJ306" s="557"/>
      <c r="BK306" s="557"/>
      <c r="BL306" s="557"/>
      <c r="BM306" s="554"/>
      <c r="BN306" s="558"/>
      <c r="BO306" s="559"/>
      <c r="BP306" s="554"/>
      <c r="BQ306" s="560" t="str">
        <f>IFERROR(WWWW[[#This Row],['#_Water sources treated]]/WWWW[[#This Row],['#_Water sources tested for contamination]],"no test")</f>
        <v>no test</v>
      </c>
      <c r="BR306" s="559" t="str">
        <f>IFERROR(WWWW[[#This Row],['#_Household received remediation action due to contamination]]/WWWW[[#This Row],['#_Household water samples tested for contamination]],"no test")</f>
        <v>no test</v>
      </c>
      <c r="BS306" s="558" t="str">
        <f>IF(AND(WWWW[[#This Row],[% of water sources treated]]="no test",WWWW[[#This Row],[% Household received corrective actions]]="no test"),"No Test","Tested")</f>
        <v>No Test</v>
      </c>
      <c r="BT306" s="558">
        <f>WWWW[[#This Row],['#_Constructed/existing protected hand dug well]]-WWWW[[#This Row],['#_Non-functional protected hand dug well]]</f>
        <v>0</v>
      </c>
      <c r="BU306" s="558">
        <f>(WWWW[[#This Row],['#_Constructed/Existing tube wells/boreholes/handpumps_WASH_agency]]+WWWW[[#This Row],['#_Non-Cluster partner water tube-wells/boreholes/handpumps]])-WWWW[[#This Row],['#_Non-functional tube wells/boreholes/handpumps]]</f>
        <v>0</v>
      </c>
      <c r="BV306" s="558">
        <f>WWWW[[#This Row],['#_Constructed/Existingwater storage tank with gravity fed reticulation system]]-WWWW[[#This Row],['#_Non-functional storage tank gravity fed reticulation system]]</f>
        <v>0</v>
      </c>
      <c r="BW306" s="558">
        <f>WWWW[[#This Row],['#_Water boating or water trucking]]</f>
        <v>0</v>
      </c>
      <c r="BX306" s="558">
        <f>WWWW[[#This Row],['#_Constructed/Existing water distribution system from river or natural spring]]</f>
        <v>0</v>
      </c>
      <c r="BY30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6" s="559">
        <f>IF(WWWW[[#This Row],[Location Type 1]]="Village",WWWW[[#This Row],[Access to safe drinking water for Village]],WWWW[[#This Row],[Access to safe drinking water for Camp]])</f>
        <v>0</v>
      </c>
      <c r="CB306" s="556">
        <f>WWWW[[#This Row],[%Equitable and continuous access to sufficient quantity of safe drinking water]]*WWWW[[#This Row],[Total PoP ]]</f>
        <v>0</v>
      </c>
      <c r="CC306" s="559">
        <f>IF((WWWW[[#This Row],['#_Constructed/Existing protected/fenced ponds]]*250)/WWWW[[#This Row],[Total PoP ]]&gt;1,1,(WWWW[[#This Row],['#_Constructed/Existing protected/fenced ponds]]*250)/WWWW[[#This Row],[Total PoP ]])</f>
        <v>0</v>
      </c>
      <c r="CD306" s="556">
        <f>WWWW[[#This Row],[% Access to unimproved water points]]*WWWW[[#This Row],[Total PoP ]]</f>
        <v>0</v>
      </c>
      <c r="CE30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6" s="556">
        <f>WWWW[[#This Row],[HRP1]]/500</f>
        <v>0</v>
      </c>
      <c r="CH306" s="561">
        <f>1-WWWW[[#This Row],[% Equitable and continuous access to sufficient quantity of domestic water]]</f>
        <v>1</v>
      </c>
      <c r="CI306" s="556">
        <f>WWWW[[#This Row],[%equitable and continuous access to sufficient quantity of safe drinking and domestic water''s GAP]]*WWWW[[#This Row],[Total PoP ]]</f>
        <v>964</v>
      </c>
      <c r="CJ306" s="558">
        <f>IF(WWWW[[#This Row],[Total required water points]]-WWWW[[#This Row],['#Water points coverage]]&lt;0,0,WWWW[[#This Row],[Total required water points]]-WWWW[[#This Row],['#Water points coverage]])</f>
        <v>2</v>
      </c>
      <c r="CK306" s="558">
        <f>ROUND(IF(WWWW[[#This Row],[Total PoP ]]&lt;500,1,WWWW[[#This Row],[Total PoP ]]/500),0)</f>
        <v>2</v>
      </c>
      <c r="CL306" s="558">
        <f>(WWWW[[#This Row],['#_Constructed latrines_by_WASHAgencies]]+WWWW[[#This Row],['#_Non Cluster partner latrines]])-WWWW[[#This Row],['#_Non-functional latrines]]</f>
        <v>0</v>
      </c>
      <c r="CM30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6" s="558" t="str">
        <f>IF(WWWW[[#This Row],[Location Type 1]]="Village","NA",IF(WWWW[[#This Row],['#_Constructed/Existing latrines in TLS]]*50&gt;WWWW[[#This Row],['#_students at TLS_CFS]],WWWW[[#This Row],['#_students at TLS_CFS]],(WWWW[[#This Row],['#_Constructed/Existing latrines in TLS]]*50)))</f>
        <v>NA</v>
      </c>
      <c r="CQ306" s="558">
        <f>ROUND(IF(WWWW[[#This Row],[Location Type 1]]="camp",WWWW[[#This Row],[Total PoP ]]/20,IF(WWWW[[#This Row],[Location Type 1]]="Temporary Location",WWWW[[#This Row],[Total PoP ]]/50,(WWWW[[#This Row],[Total PoP ]]/6))),0)</f>
        <v>161</v>
      </c>
      <c r="CR306" s="558">
        <f>IF(WWWW[[#This Row],[Total required Latrines]]-(WWWW[[#This Row],['#_Constructed latrines_by_WASHAgencies]]+WWWW[[#This Row],['#_Non Cluster partner latrines]])&lt;0,0,WWWW[[#This Row],[Total required Latrines]]-(WWWW[[#This Row],['#_Constructed latrines_by_WASHAgencies]]+WWWW[[#This Row],['#_Non Cluster partner latrines]]))</f>
        <v>161</v>
      </c>
      <c r="CS306" s="78">
        <f>1-WWWW[[#This Row],[% people access to functioning Latrine]]</f>
        <v>1</v>
      </c>
      <c r="CT306" s="560">
        <f>IF(OR(WWWW[[#This Row],['#_Non-functional latrines]]="",WWWW[[#This Row],['#_Non-functional latrines]]=0),0,WWWW[[#This Row],['#_Non-functional latrines]]/(WWWW[[#This Row],['#_Constructed latrines_by_WASHAgencies]]+WWWW[[#This Row],['#_Non Cluster partner latrines]]))</f>
        <v>0</v>
      </c>
      <c r="CU306" s="556">
        <f>IF(500*(WWWW[[#This Row],['#_male hygiene promoters]]+WWWW[[#This Row],['#_female hygiene promoters]])&gt;WWWW[[#This Row],[Total PoP ]],WWWW[[#This Row],[Total PoP ]],500*(WWWW[[#This Row],['#_male hygiene promoters]]+WWWW[[#This Row],['#_female hygiene promoters]]))</f>
        <v>0</v>
      </c>
      <c r="CV30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6" s="558">
        <f>IF(WWWW[[#This Row],['# People with access to soap]]&gt;WWWW[[#This Row],['# People with access to Sanity Pads]],WWWW[[#This Row],['# People with access to soap]],WWWW[[#This Row],['# People with access to Sanity Pads]])</f>
        <v>0</v>
      </c>
      <c r="CY30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6" s="561">
        <f>IF(WWWW[[#This Row],[HRP3]]/WWWW[[#This Row],[Total PoP ]]&gt;100%,100%,WWWW[[#This Row],[HRP3]]/WWWW[[#This Row],[Total PoP ]])</f>
        <v>0</v>
      </c>
      <c r="DA306" s="560">
        <f>1-WWWW[[#This Row],[Hygiene Coverage%]]</f>
        <v>1</v>
      </c>
      <c r="DB306" s="559">
        <f>WWWW[[#This Row],['# people reached by regular dedicated hygiene promotion_5]]/WWWW[[#This Row],[Total PoP ]]</f>
        <v>0</v>
      </c>
      <c r="DC306" s="559">
        <f>IF(WWWW[[#This Row],['#_households that received standard amount of soap for this quarter]]/WWWW[[#This Row],[Total HH]]&gt;1,1,WWWW[[#This Row],['#_households that received standard amount of soap for this quarter]]/WWWW[[#This Row],[Total HH]])</f>
        <v>0</v>
      </c>
      <c r="DD306" s="559">
        <f>IF(WWWW[[#This Row],['#_households that received standard amount of sanitary pads for this quarter]]/WWWW[[#This Row],[Total HH]]&gt;1,1,WWWW[[#This Row],['#_households that received standard amount of sanitary pads for this quarter]]/WWWW[[#This Row],[Total HH]])</f>
        <v>0</v>
      </c>
      <c r="DE306" s="558">
        <f>WWWW[[#This Row],['#_Constructed/Existing hand washing stations]]-WWWW[[#This Row],['#_Non-Functional_hand_washing_stations]]</f>
        <v>0</v>
      </c>
      <c r="DF306" s="757">
        <f>IF(WWWW[[#This Row],['# Functional hand washing stations during reporting period]]*20&gt;WWWW[[#This Row],[Total HH]],WWWW[[#This Row],[Total HH]],WWWW[[#This Row],['# Functional hand washing stations during reporting period]]*20)</f>
        <v>0</v>
      </c>
      <c r="DG306" s="556">
        <f>IF(WWWW[[#This Row],[Is sufficient soap available for TLS? (Yes/No)]]="yes",WWWW[[#This Row],['#_Constructed/Existing hand washing stations at TLS]],0)</f>
        <v>0</v>
      </c>
      <c r="DH306" s="556">
        <f>IF(WWWW[[#This Row],['# Functional hand washing stations during reporting period]]*100&gt;WWWW[[#This Row],[Total PoP ]],WWWW[[#This Row],[Total PoP ]],WWWW[[#This Row],['# Functional hand washing stations during reporting period]]*100)</f>
        <v>0</v>
      </c>
      <c r="DI306" s="556" t="str">
        <f>IF(OR(WWWW[[#This Row],['#_students at TLS_CFS]]="",WWWW[[#This Row],['#_students at TLS_CFS]]=0),"No","Yes")</f>
        <v>No</v>
      </c>
      <c r="DJ306" s="554">
        <f>VLOOKUP(WWWW[[#This Row],[Site Name]],SiteDB6[[Site Name]:[CCCM Management]],6,FALSE)</f>
        <v>0</v>
      </c>
      <c r="DK306" s="554">
        <f>VLOOKUP(WWWW[[#This Row],[Site Name]],SiteDB6[[Site Name]:[CCCM Focal Agency]],7,FALSE)</f>
        <v>0</v>
      </c>
      <c r="DL306" s="554" t="str">
        <f>VLOOKUP(WWWW[[#This Row],[Site Name]],SiteDB6[[Site Name]:[Location Type 1]],9,FALSE)</f>
        <v>Village</v>
      </c>
      <c r="DM306" s="554" t="str">
        <f>VLOOKUP(WWWW[[#This Row],[Site Name]],SiteDB6[[Site Name]:[Type of Accommodation]],10,FALSE)</f>
        <v>Village</v>
      </c>
      <c r="DN306" s="554">
        <f>VLOOKUP(WWWW[[#This Row],[Site Name]],SiteDB6[[Site Name]:[Ethnic or GCA/NGCA]],11,FALSE)</f>
        <v>0</v>
      </c>
      <c r="DO306" s="554">
        <f>VLOOKUP(WWWW[[#This Row],[Site Name]],SiteDB6[[Site Name]:[Lat]],12,FALSE)</f>
        <v>0</v>
      </c>
      <c r="DP306" s="554">
        <f>VLOOKUP(WWWW[[#This Row],[Site Name]],SiteDB6[[Site Name]:[Long]],13,FALSE)</f>
        <v>0</v>
      </c>
      <c r="DQ306" s="554">
        <f>VLOOKUP(WWWW[[#This Row],[Site Name]],SiteDB6[[Site Name]:[Pcode]],3,FALSE)</f>
        <v>197114</v>
      </c>
      <c r="DR306" s="563" t="str">
        <f t="shared" si="10"/>
        <v>Covered</v>
      </c>
      <c r="DS306" s="563"/>
    </row>
    <row r="307" spans="1:123">
      <c r="A307" s="552" t="s">
        <v>2518</v>
      </c>
      <c r="B307" s="552" t="s">
        <v>332</v>
      </c>
      <c r="C307" s="555" t="s">
        <v>332</v>
      </c>
      <c r="D307" s="555" t="s">
        <v>345</v>
      </c>
      <c r="E307" s="574" t="s">
        <v>3006</v>
      </c>
      <c r="F307" s="555" t="s">
        <v>330</v>
      </c>
      <c r="G307" s="574" t="str">
        <f>VLOOKUP(WWWW[[#This Row],[Site Name]],SiteDB6[[Site Name]:[Location Type]],8,FALSE)</f>
        <v>Village</v>
      </c>
      <c r="H307" s="555" t="s">
        <v>2921</v>
      </c>
      <c r="I307" s="557">
        <v>130</v>
      </c>
      <c r="J307" s="557">
        <v>398</v>
      </c>
      <c r="K307" s="564">
        <v>42736</v>
      </c>
      <c r="L307" s="565">
        <v>44551</v>
      </c>
      <c r="M307" s="557"/>
      <c r="N307" s="557"/>
      <c r="O307" s="557"/>
      <c r="P307" s="557"/>
      <c r="Q307" s="556"/>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63"/>
      <c r="AP307" s="557"/>
      <c r="AQ307" s="557"/>
      <c r="AR307" s="559"/>
      <c r="AS307" s="557"/>
      <c r="AT307" s="557"/>
      <c r="AU307" s="557"/>
      <c r="AV307" s="557"/>
      <c r="AW307" s="557"/>
      <c r="AX307" s="554"/>
      <c r="AY307" s="563"/>
      <c r="AZ307" s="557"/>
      <c r="BA307" s="557"/>
      <c r="BB307" s="557"/>
      <c r="BC307" s="554"/>
      <c r="BD307" s="557"/>
      <c r="BE307" s="557"/>
      <c r="BF307" s="557"/>
      <c r="BG307" s="557"/>
      <c r="BH307" s="557"/>
      <c r="BI307" s="557"/>
      <c r="BJ307" s="557"/>
      <c r="BK307" s="557"/>
      <c r="BL307" s="557"/>
      <c r="BM307" s="554"/>
      <c r="BN307" s="558"/>
      <c r="BO307" s="559"/>
      <c r="BP307" s="554"/>
      <c r="BQ307" s="560" t="str">
        <f>IFERROR(WWWW[[#This Row],['#_Water sources treated]]/WWWW[[#This Row],['#_Water sources tested for contamination]],"no test")</f>
        <v>no test</v>
      </c>
      <c r="BR307" s="559" t="str">
        <f>IFERROR(WWWW[[#This Row],['#_Household received remediation action due to contamination]]/WWWW[[#This Row],['#_Household water samples tested for contamination]],"no test")</f>
        <v>no test</v>
      </c>
      <c r="BS307" s="558" t="str">
        <f>IF(AND(WWWW[[#This Row],[% of water sources treated]]="no test",WWWW[[#This Row],[% Household received corrective actions]]="no test"),"No Test","Tested")</f>
        <v>No Test</v>
      </c>
      <c r="BT307" s="558">
        <f>WWWW[[#This Row],['#_Constructed/existing protected hand dug well]]-WWWW[[#This Row],['#_Non-functional protected hand dug well]]</f>
        <v>0</v>
      </c>
      <c r="BU307" s="558">
        <f>(WWWW[[#This Row],['#_Constructed/Existing tube wells/boreholes/handpumps_WASH_agency]]+WWWW[[#This Row],['#_Non-Cluster partner water tube-wells/boreholes/handpumps]])-WWWW[[#This Row],['#_Non-functional tube wells/boreholes/handpumps]]</f>
        <v>0</v>
      </c>
      <c r="BV307" s="558">
        <f>WWWW[[#This Row],['#_Constructed/Existingwater storage tank with gravity fed reticulation system]]-WWWW[[#This Row],['#_Non-functional storage tank gravity fed reticulation system]]</f>
        <v>0</v>
      </c>
      <c r="BW307" s="558">
        <f>WWWW[[#This Row],['#_Water boating or water trucking]]</f>
        <v>0</v>
      </c>
      <c r="BX307" s="558">
        <f>WWWW[[#This Row],['#_Constructed/Existing water distribution system from river or natural spring]]</f>
        <v>0</v>
      </c>
      <c r="BY30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7" s="559">
        <f>IF(WWWW[[#This Row],[Location Type 1]]="Village",WWWW[[#This Row],[Access to safe drinking water for Village]],WWWW[[#This Row],[Access to safe drinking water for Camp]])</f>
        <v>0</v>
      </c>
      <c r="CB307" s="556">
        <f>WWWW[[#This Row],[%Equitable and continuous access to sufficient quantity of safe drinking water]]*WWWW[[#This Row],[Total PoP ]]</f>
        <v>0</v>
      </c>
      <c r="CC307" s="559">
        <f>IF((WWWW[[#This Row],['#_Constructed/Existing protected/fenced ponds]]*250)/WWWW[[#This Row],[Total PoP ]]&gt;1,1,(WWWW[[#This Row],['#_Constructed/Existing protected/fenced ponds]]*250)/WWWW[[#This Row],[Total PoP ]])</f>
        <v>0</v>
      </c>
      <c r="CD307" s="556">
        <f>WWWW[[#This Row],[% Access to unimproved water points]]*WWWW[[#This Row],[Total PoP ]]</f>
        <v>0</v>
      </c>
      <c r="CE30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7" s="556">
        <f>WWWW[[#This Row],[HRP1]]/500</f>
        <v>0</v>
      </c>
      <c r="CH307" s="561">
        <f>1-WWWW[[#This Row],[% Equitable and continuous access to sufficient quantity of domestic water]]</f>
        <v>1</v>
      </c>
      <c r="CI307" s="556">
        <f>WWWW[[#This Row],[%equitable and continuous access to sufficient quantity of safe drinking and domestic water''s GAP]]*WWWW[[#This Row],[Total PoP ]]</f>
        <v>398</v>
      </c>
      <c r="CJ307" s="558">
        <f>IF(WWWW[[#This Row],[Total required water points]]-WWWW[[#This Row],['#Water points coverage]]&lt;0,0,WWWW[[#This Row],[Total required water points]]-WWWW[[#This Row],['#Water points coverage]])</f>
        <v>1</v>
      </c>
      <c r="CK307" s="558">
        <f>ROUND(IF(WWWW[[#This Row],[Total PoP ]]&lt;500,1,WWWW[[#This Row],[Total PoP ]]/500),0)</f>
        <v>1</v>
      </c>
      <c r="CL307" s="558">
        <f>(WWWW[[#This Row],['#_Constructed latrines_by_WASHAgencies]]+WWWW[[#This Row],['#_Non Cluster partner latrines]])-WWWW[[#This Row],['#_Non-functional latrines]]</f>
        <v>0</v>
      </c>
      <c r="CM30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7" s="558" t="str">
        <f>IF(WWWW[[#This Row],[Location Type 1]]="Village","NA",IF(WWWW[[#This Row],['#_Constructed/Existing latrines in TLS]]*50&gt;WWWW[[#This Row],['#_students at TLS_CFS]],WWWW[[#This Row],['#_students at TLS_CFS]],(WWWW[[#This Row],['#_Constructed/Existing latrines in TLS]]*50)))</f>
        <v>NA</v>
      </c>
      <c r="CQ307" s="558">
        <f>ROUND(IF(WWWW[[#This Row],[Location Type 1]]="camp",WWWW[[#This Row],[Total PoP ]]/20,IF(WWWW[[#This Row],[Location Type 1]]="Temporary Location",WWWW[[#This Row],[Total PoP ]]/50,(WWWW[[#This Row],[Total PoP ]]/6))),0)</f>
        <v>66</v>
      </c>
      <c r="CR307" s="558">
        <f>IF(WWWW[[#This Row],[Total required Latrines]]-(WWWW[[#This Row],['#_Constructed latrines_by_WASHAgencies]]+WWWW[[#This Row],['#_Non Cluster partner latrines]])&lt;0,0,WWWW[[#This Row],[Total required Latrines]]-(WWWW[[#This Row],['#_Constructed latrines_by_WASHAgencies]]+WWWW[[#This Row],['#_Non Cluster partner latrines]]))</f>
        <v>66</v>
      </c>
      <c r="CS307" s="78">
        <f>1-WWWW[[#This Row],[% people access to functioning Latrine]]</f>
        <v>1</v>
      </c>
      <c r="CT307" s="560">
        <f>IF(OR(WWWW[[#This Row],['#_Non-functional latrines]]="",WWWW[[#This Row],['#_Non-functional latrines]]=0),0,WWWW[[#This Row],['#_Non-functional latrines]]/(WWWW[[#This Row],['#_Constructed latrines_by_WASHAgencies]]+WWWW[[#This Row],['#_Non Cluster partner latrines]]))</f>
        <v>0</v>
      </c>
      <c r="CU307" s="556">
        <f>IF(500*(WWWW[[#This Row],['#_male hygiene promoters]]+WWWW[[#This Row],['#_female hygiene promoters]])&gt;WWWW[[#This Row],[Total PoP ]],WWWW[[#This Row],[Total PoP ]],500*(WWWW[[#This Row],['#_male hygiene promoters]]+WWWW[[#This Row],['#_female hygiene promoters]]))</f>
        <v>0</v>
      </c>
      <c r="CV30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7" s="558">
        <f>IF(WWWW[[#This Row],['# People with access to soap]]&gt;WWWW[[#This Row],['# People with access to Sanity Pads]],WWWW[[#This Row],['# People with access to soap]],WWWW[[#This Row],['# People with access to Sanity Pads]])</f>
        <v>0</v>
      </c>
      <c r="CY30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7" s="561">
        <f>IF(WWWW[[#This Row],[HRP3]]/WWWW[[#This Row],[Total PoP ]]&gt;100%,100%,WWWW[[#This Row],[HRP3]]/WWWW[[#This Row],[Total PoP ]])</f>
        <v>0</v>
      </c>
      <c r="DA307" s="560">
        <f>1-WWWW[[#This Row],[Hygiene Coverage%]]</f>
        <v>1</v>
      </c>
      <c r="DB307" s="559">
        <f>WWWW[[#This Row],['# people reached by regular dedicated hygiene promotion_5]]/WWWW[[#This Row],[Total PoP ]]</f>
        <v>0</v>
      </c>
      <c r="DC307" s="559">
        <f>IF(WWWW[[#This Row],['#_households that received standard amount of soap for this quarter]]/WWWW[[#This Row],[Total HH]]&gt;1,1,WWWW[[#This Row],['#_households that received standard amount of soap for this quarter]]/WWWW[[#This Row],[Total HH]])</f>
        <v>0</v>
      </c>
      <c r="DD307" s="559">
        <f>IF(WWWW[[#This Row],['#_households that received standard amount of sanitary pads for this quarter]]/WWWW[[#This Row],[Total HH]]&gt;1,1,WWWW[[#This Row],['#_households that received standard amount of sanitary pads for this quarter]]/WWWW[[#This Row],[Total HH]])</f>
        <v>0</v>
      </c>
      <c r="DE307" s="558">
        <f>WWWW[[#This Row],['#_Constructed/Existing hand washing stations]]-WWWW[[#This Row],['#_Non-Functional_hand_washing_stations]]</f>
        <v>0</v>
      </c>
      <c r="DF307" s="757">
        <f>IF(WWWW[[#This Row],['# Functional hand washing stations during reporting period]]*20&gt;WWWW[[#This Row],[Total HH]],WWWW[[#This Row],[Total HH]],WWWW[[#This Row],['# Functional hand washing stations during reporting period]]*20)</f>
        <v>0</v>
      </c>
      <c r="DG307" s="556">
        <f>IF(WWWW[[#This Row],[Is sufficient soap available for TLS? (Yes/No)]]="yes",WWWW[[#This Row],['#_Constructed/Existing hand washing stations at TLS]],0)</f>
        <v>0</v>
      </c>
      <c r="DH307" s="556">
        <f>IF(WWWW[[#This Row],['# Functional hand washing stations during reporting period]]*100&gt;WWWW[[#This Row],[Total PoP ]],WWWW[[#This Row],[Total PoP ]],WWWW[[#This Row],['# Functional hand washing stations during reporting period]]*100)</f>
        <v>0</v>
      </c>
      <c r="DI307" s="556" t="str">
        <f>IF(OR(WWWW[[#This Row],['#_students at TLS_CFS]]="",WWWW[[#This Row],['#_students at TLS_CFS]]=0),"No","Yes")</f>
        <v>No</v>
      </c>
      <c r="DJ307" s="554">
        <f>VLOOKUP(WWWW[[#This Row],[Site Name]],SiteDB6[[Site Name]:[CCCM Management]],6,FALSE)</f>
        <v>0</v>
      </c>
      <c r="DK307" s="554">
        <f>VLOOKUP(WWWW[[#This Row],[Site Name]],SiteDB6[[Site Name]:[CCCM Focal Agency]],7,FALSE)</f>
        <v>0</v>
      </c>
      <c r="DL307" s="554" t="str">
        <f>VLOOKUP(WWWW[[#This Row],[Site Name]],SiteDB6[[Site Name]:[Location Type 1]],9,FALSE)</f>
        <v>Village</v>
      </c>
      <c r="DM307" s="554" t="str">
        <f>VLOOKUP(WWWW[[#This Row],[Site Name]],SiteDB6[[Site Name]:[Type of Accommodation]],10,FALSE)</f>
        <v>Village</v>
      </c>
      <c r="DN307" s="554">
        <f>VLOOKUP(WWWW[[#This Row],[Site Name]],SiteDB6[[Site Name]:[Ethnic or GCA/NGCA]],11,FALSE)</f>
        <v>0</v>
      </c>
      <c r="DO307" s="554">
        <f>VLOOKUP(WWWW[[#This Row],[Site Name]],SiteDB6[[Site Name]:[Lat]],12,FALSE)</f>
        <v>0</v>
      </c>
      <c r="DP307" s="554">
        <f>VLOOKUP(WWWW[[#This Row],[Site Name]],SiteDB6[[Site Name]:[Long]],13,FALSE)</f>
        <v>0</v>
      </c>
      <c r="DQ307" s="554">
        <f>VLOOKUP(WWWW[[#This Row],[Site Name]],SiteDB6[[Site Name]:[Pcode]],3,FALSE)</f>
        <v>197111</v>
      </c>
      <c r="DR307" s="563" t="str">
        <f t="shared" si="10"/>
        <v>Covered</v>
      </c>
      <c r="DS307" s="563"/>
    </row>
    <row r="308" spans="1:123">
      <c r="A308" s="552" t="s">
        <v>2518</v>
      </c>
      <c r="B308" s="552" t="s">
        <v>332</v>
      </c>
      <c r="C308" s="555" t="s">
        <v>332</v>
      </c>
      <c r="D308" s="555" t="s">
        <v>345</v>
      </c>
      <c r="E308" s="574" t="s">
        <v>3006</v>
      </c>
      <c r="F308" s="555" t="s">
        <v>330</v>
      </c>
      <c r="G308" s="574" t="str">
        <f>VLOOKUP(WWWW[[#This Row],[Site Name]],SiteDB6[[Site Name]:[Location Type]],8,FALSE)</f>
        <v>Village</v>
      </c>
      <c r="H308" s="555" t="s">
        <v>2922</v>
      </c>
      <c r="I308" s="557">
        <v>191</v>
      </c>
      <c r="J308" s="557">
        <v>713</v>
      </c>
      <c r="K308" s="564">
        <v>42736</v>
      </c>
      <c r="L308" s="565">
        <v>44551</v>
      </c>
      <c r="M308" s="557"/>
      <c r="N308" s="557"/>
      <c r="O308" s="557"/>
      <c r="P308" s="557"/>
      <c r="Q308" s="556"/>
      <c r="R308" s="557"/>
      <c r="S308" s="557"/>
      <c r="T308" s="557"/>
      <c r="U308" s="557"/>
      <c r="V308" s="557"/>
      <c r="W308" s="557"/>
      <c r="X308" s="557"/>
      <c r="Y308" s="557"/>
      <c r="Z308" s="557"/>
      <c r="AA308" s="557"/>
      <c r="AB308" s="557"/>
      <c r="AC308" s="557"/>
      <c r="AD308" s="557"/>
      <c r="AE308" s="557"/>
      <c r="AF308" s="557"/>
      <c r="AG308" s="557"/>
      <c r="AH308" s="557"/>
      <c r="AI308" s="557"/>
      <c r="AJ308" s="557"/>
      <c r="AK308" s="557"/>
      <c r="AL308" s="557"/>
      <c r="AM308" s="557"/>
      <c r="AN308" s="557"/>
      <c r="AO308" s="563"/>
      <c r="AP308" s="557"/>
      <c r="AQ308" s="557"/>
      <c r="AR308" s="559"/>
      <c r="AS308" s="557"/>
      <c r="AT308" s="557"/>
      <c r="AU308" s="557"/>
      <c r="AV308" s="557"/>
      <c r="AW308" s="557"/>
      <c r="AX308" s="554"/>
      <c r="AY308" s="563"/>
      <c r="AZ308" s="557"/>
      <c r="BA308" s="557"/>
      <c r="BB308" s="557"/>
      <c r="BC308" s="554"/>
      <c r="BD308" s="557"/>
      <c r="BE308" s="557"/>
      <c r="BF308" s="557"/>
      <c r="BG308" s="557"/>
      <c r="BH308" s="557"/>
      <c r="BI308" s="557"/>
      <c r="BJ308" s="557"/>
      <c r="BK308" s="557"/>
      <c r="BL308" s="557"/>
      <c r="BM308" s="554"/>
      <c r="BN308" s="558"/>
      <c r="BO308" s="559"/>
      <c r="BP308" s="554"/>
      <c r="BQ308" s="560" t="str">
        <f>IFERROR(WWWW[[#This Row],['#_Water sources treated]]/WWWW[[#This Row],['#_Water sources tested for contamination]],"no test")</f>
        <v>no test</v>
      </c>
      <c r="BR308" s="559" t="str">
        <f>IFERROR(WWWW[[#This Row],['#_Household received remediation action due to contamination]]/WWWW[[#This Row],['#_Household water samples tested for contamination]],"no test")</f>
        <v>no test</v>
      </c>
      <c r="BS308" s="558" t="str">
        <f>IF(AND(WWWW[[#This Row],[% of water sources treated]]="no test",WWWW[[#This Row],[% Household received corrective actions]]="no test"),"No Test","Tested")</f>
        <v>No Test</v>
      </c>
      <c r="BT308" s="558">
        <f>WWWW[[#This Row],['#_Constructed/existing protected hand dug well]]-WWWW[[#This Row],['#_Non-functional protected hand dug well]]</f>
        <v>0</v>
      </c>
      <c r="BU308" s="558">
        <f>(WWWW[[#This Row],['#_Constructed/Existing tube wells/boreholes/handpumps_WASH_agency]]+WWWW[[#This Row],['#_Non-Cluster partner water tube-wells/boreholes/handpumps]])-WWWW[[#This Row],['#_Non-functional tube wells/boreholes/handpumps]]</f>
        <v>0</v>
      </c>
      <c r="BV308" s="558">
        <f>WWWW[[#This Row],['#_Constructed/Existingwater storage tank with gravity fed reticulation system]]-WWWW[[#This Row],['#_Non-functional storage tank gravity fed reticulation system]]</f>
        <v>0</v>
      </c>
      <c r="BW308" s="558">
        <f>WWWW[[#This Row],['#_Water boating or water trucking]]</f>
        <v>0</v>
      </c>
      <c r="BX308" s="558">
        <f>WWWW[[#This Row],['#_Constructed/Existing water distribution system from river or natural spring]]</f>
        <v>0</v>
      </c>
      <c r="BY30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8" s="559">
        <f>IF(WWWW[[#This Row],[Location Type 1]]="Village",WWWW[[#This Row],[Access to safe drinking water for Village]],WWWW[[#This Row],[Access to safe drinking water for Camp]])</f>
        <v>0</v>
      </c>
      <c r="CB308" s="556">
        <f>WWWW[[#This Row],[%Equitable and continuous access to sufficient quantity of safe drinking water]]*WWWW[[#This Row],[Total PoP ]]</f>
        <v>0</v>
      </c>
      <c r="CC308" s="559">
        <f>IF((WWWW[[#This Row],['#_Constructed/Existing protected/fenced ponds]]*250)/WWWW[[#This Row],[Total PoP ]]&gt;1,1,(WWWW[[#This Row],['#_Constructed/Existing protected/fenced ponds]]*250)/WWWW[[#This Row],[Total PoP ]])</f>
        <v>0</v>
      </c>
      <c r="CD308" s="556">
        <f>WWWW[[#This Row],[% Access to unimproved water points]]*WWWW[[#This Row],[Total PoP ]]</f>
        <v>0</v>
      </c>
      <c r="CE30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8" s="556">
        <f>WWWW[[#This Row],[HRP1]]/500</f>
        <v>0</v>
      </c>
      <c r="CH308" s="561">
        <f>1-WWWW[[#This Row],[% Equitable and continuous access to sufficient quantity of domestic water]]</f>
        <v>1</v>
      </c>
      <c r="CI308" s="556">
        <f>WWWW[[#This Row],[%equitable and continuous access to sufficient quantity of safe drinking and domestic water''s GAP]]*WWWW[[#This Row],[Total PoP ]]</f>
        <v>713</v>
      </c>
      <c r="CJ308" s="558">
        <f>IF(WWWW[[#This Row],[Total required water points]]-WWWW[[#This Row],['#Water points coverage]]&lt;0,0,WWWW[[#This Row],[Total required water points]]-WWWW[[#This Row],['#Water points coverage]])</f>
        <v>1</v>
      </c>
      <c r="CK308" s="558">
        <f>ROUND(IF(WWWW[[#This Row],[Total PoP ]]&lt;500,1,WWWW[[#This Row],[Total PoP ]]/500),0)</f>
        <v>1</v>
      </c>
      <c r="CL308" s="558">
        <f>(WWWW[[#This Row],['#_Constructed latrines_by_WASHAgencies]]+WWWW[[#This Row],['#_Non Cluster partner latrines]])-WWWW[[#This Row],['#_Non-functional latrines]]</f>
        <v>0</v>
      </c>
      <c r="CM30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8" s="558" t="str">
        <f>IF(WWWW[[#This Row],[Location Type 1]]="Village","NA",IF(WWWW[[#This Row],['#_Constructed/Existing latrines in TLS]]*50&gt;WWWW[[#This Row],['#_students at TLS_CFS]],WWWW[[#This Row],['#_students at TLS_CFS]],(WWWW[[#This Row],['#_Constructed/Existing latrines in TLS]]*50)))</f>
        <v>NA</v>
      </c>
      <c r="CQ308" s="558">
        <f>ROUND(IF(WWWW[[#This Row],[Location Type 1]]="camp",WWWW[[#This Row],[Total PoP ]]/20,IF(WWWW[[#This Row],[Location Type 1]]="Temporary Location",WWWW[[#This Row],[Total PoP ]]/50,(WWWW[[#This Row],[Total PoP ]]/6))),0)</f>
        <v>119</v>
      </c>
      <c r="CR308" s="558">
        <f>IF(WWWW[[#This Row],[Total required Latrines]]-(WWWW[[#This Row],['#_Constructed latrines_by_WASHAgencies]]+WWWW[[#This Row],['#_Non Cluster partner latrines]])&lt;0,0,WWWW[[#This Row],[Total required Latrines]]-(WWWW[[#This Row],['#_Constructed latrines_by_WASHAgencies]]+WWWW[[#This Row],['#_Non Cluster partner latrines]]))</f>
        <v>119</v>
      </c>
      <c r="CS308" s="78">
        <f>1-WWWW[[#This Row],[% people access to functioning Latrine]]</f>
        <v>1</v>
      </c>
      <c r="CT308" s="560">
        <f>IF(OR(WWWW[[#This Row],['#_Non-functional latrines]]="",WWWW[[#This Row],['#_Non-functional latrines]]=0),0,WWWW[[#This Row],['#_Non-functional latrines]]/(WWWW[[#This Row],['#_Constructed latrines_by_WASHAgencies]]+WWWW[[#This Row],['#_Non Cluster partner latrines]]))</f>
        <v>0</v>
      </c>
      <c r="CU308" s="556">
        <f>IF(500*(WWWW[[#This Row],['#_male hygiene promoters]]+WWWW[[#This Row],['#_female hygiene promoters]])&gt;WWWW[[#This Row],[Total PoP ]],WWWW[[#This Row],[Total PoP ]],500*(WWWW[[#This Row],['#_male hygiene promoters]]+WWWW[[#This Row],['#_female hygiene promoters]]))</f>
        <v>0</v>
      </c>
      <c r="CV30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8" s="558">
        <f>IF(WWWW[[#This Row],['# People with access to soap]]&gt;WWWW[[#This Row],['# People with access to Sanity Pads]],WWWW[[#This Row],['# People with access to soap]],WWWW[[#This Row],['# People with access to Sanity Pads]])</f>
        <v>0</v>
      </c>
      <c r="CY30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8" s="561">
        <f>IF(WWWW[[#This Row],[HRP3]]/WWWW[[#This Row],[Total PoP ]]&gt;100%,100%,WWWW[[#This Row],[HRP3]]/WWWW[[#This Row],[Total PoP ]])</f>
        <v>0</v>
      </c>
      <c r="DA308" s="560">
        <f>1-WWWW[[#This Row],[Hygiene Coverage%]]</f>
        <v>1</v>
      </c>
      <c r="DB308" s="559">
        <f>WWWW[[#This Row],['# people reached by regular dedicated hygiene promotion_5]]/WWWW[[#This Row],[Total PoP ]]</f>
        <v>0</v>
      </c>
      <c r="DC308" s="559">
        <f>IF(WWWW[[#This Row],['#_households that received standard amount of soap for this quarter]]/WWWW[[#This Row],[Total HH]]&gt;1,1,WWWW[[#This Row],['#_households that received standard amount of soap for this quarter]]/WWWW[[#This Row],[Total HH]])</f>
        <v>0</v>
      </c>
      <c r="DD308" s="559">
        <f>IF(WWWW[[#This Row],['#_households that received standard amount of sanitary pads for this quarter]]/WWWW[[#This Row],[Total HH]]&gt;1,1,WWWW[[#This Row],['#_households that received standard amount of sanitary pads for this quarter]]/WWWW[[#This Row],[Total HH]])</f>
        <v>0</v>
      </c>
      <c r="DE308" s="558">
        <f>WWWW[[#This Row],['#_Constructed/Existing hand washing stations]]-WWWW[[#This Row],['#_Non-Functional_hand_washing_stations]]</f>
        <v>0</v>
      </c>
      <c r="DF308" s="757">
        <f>IF(WWWW[[#This Row],['# Functional hand washing stations during reporting period]]*20&gt;WWWW[[#This Row],[Total HH]],WWWW[[#This Row],[Total HH]],WWWW[[#This Row],['# Functional hand washing stations during reporting period]]*20)</f>
        <v>0</v>
      </c>
      <c r="DG308" s="556">
        <f>IF(WWWW[[#This Row],[Is sufficient soap available for TLS? (Yes/No)]]="yes",WWWW[[#This Row],['#_Constructed/Existing hand washing stations at TLS]],0)</f>
        <v>0</v>
      </c>
      <c r="DH308" s="556">
        <f>IF(WWWW[[#This Row],['# Functional hand washing stations during reporting period]]*100&gt;WWWW[[#This Row],[Total PoP ]],WWWW[[#This Row],[Total PoP ]],WWWW[[#This Row],['# Functional hand washing stations during reporting period]]*100)</f>
        <v>0</v>
      </c>
      <c r="DI308" s="556" t="str">
        <f>IF(OR(WWWW[[#This Row],['#_students at TLS_CFS]]="",WWWW[[#This Row],['#_students at TLS_CFS]]=0),"No","Yes")</f>
        <v>No</v>
      </c>
      <c r="DJ308" s="554">
        <f>VLOOKUP(WWWW[[#This Row],[Site Name]],SiteDB6[[Site Name]:[CCCM Management]],6,FALSE)</f>
        <v>0</v>
      </c>
      <c r="DK308" s="554">
        <f>VLOOKUP(WWWW[[#This Row],[Site Name]],SiteDB6[[Site Name]:[CCCM Focal Agency]],7,FALSE)</f>
        <v>0</v>
      </c>
      <c r="DL308" s="554" t="str">
        <f>VLOOKUP(WWWW[[#This Row],[Site Name]],SiteDB6[[Site Name]:[Location Type 1]],9,FALSE)</f>
        <v>Village</v>
      </c>
      <c r="DM308" s="554" t="str">
        <f>VLOOKUP(WWWW[[#This Row],[Site Name]],SiteDB6[[Site Name]:[Type of Accommodation]],10,FALSE)</f>
        <v>Village</v>
      </c>
      <c r="DN308" s="554">
        <f>VLOOKUP(WWWW[[#This Row],[Site Name]],SiteDB6[[Site Name]:[Ethnic or GCA/NGCA]],11,FALSE)</f>
        <v>0</v>
      </c>
      <c r="DO308" s="554">
        <f>VLOOKUP(WWWW[[#This Row],[Site Name]],SiteDB6[[Site Name]:[Lat]],12,FALSE)</f>
        <v>0</v>
      </c>
      <c r="DP308" s="554">
        <f>VLOOKUP(WWWW[[#This Row],[Site Name]],SiteDB6[[Site Name]:[Long]],13,FALSE)</f>
        <v>0</v>
      </c>
      <c r="DQ308" s="554">
        <f>VLOOKUP(WWWW[[#This Row],[Site Name]],SiteDB6[[Site Name]:[Pcode]],3,FALSE)</f>
        <v>197112</v>
      </c>
      <c r="DR308" s="563" t="str">
        <f t="shared" si="10"/>
        <v>Covered</v>
      </c>
      <c r="DS308" s="563"/>
    </row>
    <row r="309" spans="1:123">
      <c r="A309" s="552" t="s">
        <v>2518</v>
      </c>
      <c r="B309" s="552" t="s">
        <v>332</v>
      </c>
      <c r="C309" s="555" t="s">
        <v>332</v>
      </c>
      <c r="D309" s="555" t="s">
        <v>345</v>
      </c>
      <c r="E309" s="574" t="s">
        <v>3006</v>
      </c>
      <c r="F309" s="555" t="s">
        <v>330</v>
      </c>
      <c r="G309" s="574" t="str">
        <f>VLOOKUP(WWWW[[#This Row],[Site Name]],SiteDB6[[Site Name]:[Location Type]],8,FALSE)</f>
        <v>Village</v>
      </c>
      <c r="H309" s="555" t="s">
        <v>2923</v>
      </c>
      <c r="I309" s="557">
        <v>27</v>
      </c>
      <c r="J309" s="557">
        <v>53</v>
      </c>
      <c r="K309" s="564">
        <v>42736</v>
      </c>
      <c r="L309" s="565">
        <v>44551</v>
      </c>
      <c r="M309" s="557"/>
      <c r="N309" s="557"/>
      <c r="O309" s="557"/>
      <c r="P309" s="557"/>
      <c r="Q309" s="556"/>
      <c r="R309" s="557"/>
      <c r="S309" s="557"/>
      <c r="T309" s="557"/>
      <c r="U309" s="557"/>
      <c r="V309" s="557"/>
      <c r="W309" s="557"/>
      <c r="X309" s="557"/>
      <c r="Y309" s="557"/>
      <c r="Z309" s="557"/>
      <c r="AA309" s="557"/>
      <c r="AB309" s="557"/>
      <c r="AC309" s="557"/>
      <c r="AD309" s="557"/>
      <c r="AE309" s="557"/>
      <c r="AF309" s="557"/>
      <c r="AG309" s="557"/>
      <c r="AH309" s="557"/>
      <c r="AI309" s="557"/>
      <c r="AJ309" s="557"/>
      <c r="AK309" s="557"/>
      <c r="AL309" s="557"/>
      <c r="AM309" s="557"/>
      <c r="AN309" s="557"/>
      <c r="AO309" s="563"/>
      <c r="AP309" s="557"/>
      <c r="AQ309" s="557"/>
      <c r="AR309" s="559"/>
      <c r="AS309" s="557"/>
      <c r="AT309" s="557"/>
      <c r="AU309" s="557"/>
      <c r="AV309" s="557"/>
      <c r="AW309" s="557"/>
      <c r="AX309" s="554"/>
      <c r="AY309" s="563"/>
      <c r="AZ309" s="557"/>
      <c r="BA309" s="557"/>
      <c r="BB309" s="557"/>
      <c r="BC309" s="554"/>
      <c r="BD309" s="557"/>
      <c r="BE309" s="557"/>
      <c r="BF309" s="557"/>
      <c r="BG309" s="557"/>
      <c r="BH309" s="557"/>
      <c r="BI309" s="557"/>
      <c r="BJ309" s="557"/>
      <c r="BK309" s="557"/>
      <c r="BL309" s="557"/>
      <c r="BM309" s="554"/>
      <c r="BN309" s="558"/>
      <c r="BO309" s="559"/>
      <c r="BP309" s="554"/>
      <c r="BQ309" s="560" t="str">
        <f>IFERROR(WWWW[[#This Row],['#_Water sources treated]]/WWWW[[#This Row],['#_Water sources tested for contamination]],"no test")</f>
        <v>no test</v>
      </c>
      <c r="BR309" s="559" t="str">
        <f>IFERROR(WWWW[[#This Row],['#_Household received remediation action due to contamination]]/WWWW[[#This Row],['#_Household water samples tested for contamination]],"no test")</f>
        <v>no test</v>
      </c>
      <c r="BS309" s="558" t="str">
        <f>IF(AND(WWWW[[#This Row],[% of water sources treated]]="no test",WWWW[[#This Row],[% Household received corrective actions]]="no test"),"No Test","Tested")</f>
        <v>No Test</v>
      </c>
      <c r="BT309" s="558">
        <f>WWWW[[#This Row],['#_Constructed/existing protected hand dug well]]-WWWW[[#This Row],['#_Non-functional protected hand dug well]]</f>
        <v>0</v>
      </c>
      <c r="BU309" s="558">
        <f>(WWWW[[#This Row],['#_Constructed/Existing tube wells/boreholes/handpumps_WASH_agency]]+WWWW[[#This Row],['#_Non-Cluster partner water tube-wells/boreholes/handpumps]])-WWWW[[#This Row],['#_Non-functional tube wells/boreholes/handpumps]]</f>
        <v>0</v>
      </c>
      <c r="BV309" s="558">
        <f>WWWW[[#This Row],['#_Constructed/Existingwater storage tank with gravity fed reticulation system]]-WWWW[[#This Row],['#_Non-functional storage tank gravity fed reticulation system]]</f>
        <v>0</v>
      </c>
      <c r="BW309" s="558">
        <f>WWWW[[#This Row],['#_Water boating or water trucking]]</f>
        <v>0</v>
      </c>
      <c r="BX309" s="558">
        <f>WWWW[[#This Row],['#_Constructed/Existing water distribution system from river or natural spring]]</f>
        <v>0</v>
      </c>
      <c r="BY30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0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09" s="559">
        <f>IF(WWWW[[#This Row],[Location Type 1]]="Village",WWWW[[#This Row],[Access to safe drinking water for Village]],WWWW[[#This Row],[Access to safe drinking water for Camp]])</f>
        <v>0</v>
      </c>
      <c r="CB309" s="556">
        <f>WWWW[[#This Row],[%Equitable and continuous access to sufficient quantity of safe drinking water]]*WWWW[[#This Row],[Total PoP ]]</f>
        <v>0</v>
      </c>
      <c r="CC309" s="559">
        <f>IF((WWWW[[#This Row],['#_Constructed/Existing protected/fenced ponds]]*250)/WWWW[[#This Row],[Total PoP ]]&gt;1,1,(WWWW[[#This Row],['#_Constructed/Existing protected/fenced ponds]]*250)/WWWW[[#This Row],[Total PoP ]])</f>
        <v>0</v>
      </c>
      <c r="CD309" s="556">
        <f>WWWW[[#This Row],[% Access to unimproved water points]]*WWWW[[#This Row],[Total PoP ]]</f>
        <v>0</v>
      </c>
      <c r="CE30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0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09" s="556">
        <f>WWWW[[#This Row],[HRP1]]/500</f>
        <v>0</v>
      </c>
      <c r="CH309" s="561">
        <f>1-WWWW[[#This Row],[% Equitable and continuous access to sufficient quantity of domestic water]]</f>
        <v>1</v>
      </c>
      <c r="CI309" s="556">
        <f>WWWW[[#This Row],[%equitable and continuous access to sufficient quantity of safe drinking and domestic water''s GAP]]*WWWW[[#This Row],[Total PoP ]]</f>
        <v>53</v>
      </c>
      <c r="CJ309" s="558">
        <f>IF(WWWW[[#This Row],[Total required water points]]-WWWW[[#This Row],['#Water points coverage]]&lt;0,0,WWWW[[#This Row],[Total required water points]]-WWWW[[#This Row],['#Water points coverage]])</f>
        <v>1</v>
      </c>
      <c r="CK309" s="558">
        <f>ROUND(IF(WWWW[[#This Row],[Total PoP ]]&lt;500,1,WWWW[[#This Row],[Total PoP ]]/500),0)</f>
        <v>1</v>
      </c>
      <c r="CL309" s="558">
        <f>(WWWW[[#This Row],['#_Constructed latrines_by_WASHAgencies]]+WWWW[[#This Row],['#_Non Cluster partner latrines]])-WWWW[[#This Row],['#_Non-functional latrines]]</f>
        <v>0</v>
      </c>
      <c r="CM30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0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0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09" s="558" t="str">
        <f>IF(WWWW[[#This Row],[Location Type 1]]="Village","NA",IF(WWWW[[#This Row],['#_Constructed/Existing latrines in TLS]]*50&gt;WWWW[[#This Row],['#_students at TLS_CFS]],WWWW[[#This Row],['#_students at TLS_CFS]],(WWWW[[#This Row],['#_Constructed/Existing latrines in TLS]]*50)))</f>
        <v>NA</v>
      </c>
      <c r="CQ309" s="558">
        <f>ROUND(IF(WWWW[[#This Row],[Location Type 1]]="camp",WWWW[[#This Row],[Total PoP ]]/20,IF(WWWW[[#This Row],[Location Type 1]]="Temporary Location",WWWW[[#This Row],[Total PoP ]]/50,(WWWW[[#This Row],[Total PoP ]]/6))),0)</f>
        <v>9</v>
      </c>
      <c r="CR309" s="558">
        <f>IF(WWWW[[#This Row],[Total required Latrines]]-(WWWW[[#This Row],['#_Constructed latrines_by_WASHAgencies]]+WWWW[[#This Row],['#_Non Cluster partner latrines]])&lt;0,0,WWWW[[#This Row],[Total required Latrines]]-(WWWW[[#This Row],['#_Constructed latrines_by_WASHAgencies]]+WWWW[[#This Row],['#_Non Cluster partner latrines]]))</f>
        <v>9</v>
      </c>
      <c r="CS309" s="78">
        <f>1-WWWW[[#This Row],[% people access to functioning Latrine]]</f>
        <v>1</v>
      </c>
      <c r="CT309" s="560">
        <f>IF(OR(WWWW[[#This Row],['#_Non-functional latrines]]="",WWWW[[#This Row],['#_Non-functional latrines]]=0),0,WWWW[[#This Row],['#_Non-functional latrines]]/(WWWW[[#This Row],['#_Constructed latrines_by_WASHAgencies]]+WWWW[[#This Row],['#_Non Cluster partner latrines]]))</f>
        <v>0</v>
      </c>
      <c r="CU309" s="556">
        <f>IF(500*(WWWW[[#This Row],['#_male hygiene promoters]]+WWWW[[#This Row],['#_female hygiene promoters]])&gt;WWWW[[#This Row],[Total PoP ]],WWWW[[#This Row],[Total PoP ]],500*(WWWW[[#This Row],['#_male hygiene promoters]]+WWWW[[#This Row],['#_female hygiene promoters]]))</f>
        <v>0</v>
      </c>
      <c r="CV30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0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09" s="558">
        <f>IF(WWWW[[#This Row],['# People with access to soap]]&gt;WWWW[[#This Row],['# People with access to Sanity Pads]],WWWW[[#This Row],['# People with access to soap]],WWWW[[#This Row],['# People with access to Sanity Pads]])</f>
        <v>0</v>
      </c>
      <c r="CY30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09" s="561">
        <f>IF(WWWW[[#This Row],[HRP3]]/WWWW[[#This Row],[Total PoP ]]&gt;100%,100%,WWWW[[#This Row],[HRP3]]/WWWW[[#This Row],[Total PoP ]])</f>
        <v>0</v>
      </c>
      <c r="DA309" s="560">
        <f>1-WWWW[[#This Row],[Hygiene Coverage%]]</f>
        <v>1</v>
      </c>
      <c r="DB309" s="559">
        <f>WWWW[[#This Row],['# people reached by regular dedicated hygiene promotion_5]]/WWWW[[#This Row],[Total PoP ]]</f>
        <v>0</v>
      </c>
      <c r="DC309" s="559">
        <f>IF(WWWW[[#This Row],['#_households that received standard amount of soap for this quarter]]/WWWW[[#This Row],[Total HH]]&gt;1,1,WWWW[[#This Row],['#_households that received standard amount of soap for this quarter]]/WWWW[[#This Row],[Total HH]])</f>
        <v>0</v>
      </c>
      <c r="DD309" s="559">
        <f>IF(WWWW[[#This Row],['#_households that received standard amount of sanitary pads for this quarter]]/WWWW[[#This Row],[Total HH]]&gt;1,1,WWWW[[#This Row],['#_households that received standard amount of sanitary pads for this quarter]]/WWWW[[#This Row],[Total HH]])</f>
        <v>0</v>
      </c>
      <c r="DE309" s="558">
        <f>WWWW[[#This Row],['#_Constructed/Existing hand washing stations]]-WWWW[[#This Row],['#_Non-Functional_hand_washing_stations]]</f>
        <v>0</v>
      </c>
      <c r="DF309" s="757">
        <f>IF(WWWW[[#This Row],['# Functional hand washing stations during reporting period]]*20&gt;WWWW[[#This Row],[Total HH]],WWWW[[#This Row],[Total HH]],WWWW[[#This Row],['# Functional hand washing stations during reporting period]]*20)</f>
        <v>0</v>
      </c>
      <c r="DG309" s="556">
        <f>IF(WWWW[[#This Row],[Is sufficient soap available for TLS? (Yes/No)]]="yes",WWWW[[#This Row],['#_Constructed/Existing hand washing stations at TLS]],0)</f>
        <v>0</v>
      </c>
      <c r="DH309" s="556">
        <f>IF(WWWW[[#This Row],['# Functional hand washing stations during reporting period]]*100&gt;WWWW[[#This Row],[Total PoP ]],WWWW[[#This Row],[Total PoP ]],WWWW[[#This Row],['# Functional hand washing stations during reporting period]]*100)</f>
        <v>0</v>
      </c>
      <c r="DI309" s="556" t="str">
        <f>IF(OR(WWWW[[#This Row],['#_students at TLS_CFS]]="",WWWW[[#This Row],['#_students at TLS_CFS]]=0),"No","Yes")</f>
        <v>No</v>
      </c>
      <c r="DJ309" s="554">
        <f>VLOOKUP(WWWW[[#This Row],[Site Name]],SiteDB6[[Site Name]:[CCCM Management]],6,FALSE)</f>
        <v>0</v>
      </c>
      <c r="DK309" s="554">
        <f>VLOOKUP(WWWW[[#This Row],[Site Name]],SiteDB6[[Site Name]:[CCCM Focal Agency]],7,FALSE)</f>
        <v>0</v>
      </c>
      <c r="DL309" s="554" t="str">
        <f>VLOOKUP(WWWW[[#This Row],[Site Name]],SiteDB6[[Site Name]:[Location Type 1]],9,FALSE)</f>
        <v>Village</v>
      </c>
      <c r="DM309" s="554" t="str">
        <f>VLOOKUP(WWWW[[#This Row],[Site Name]],SiteDB6[[Site Name]:[Type of Accommodation]],10,FALSE)</f>
        <v>Village</v>
      </c>
      <c r="DN309" s="554">
        <f>VLOOKUP(WWWW[[#This Row],[Site Name]],SiteDB6[[Site Name]:[Ethnic or GCA/NGCA]],11,FALSE)</f>
        <v>0</v>
      </c>
      <c r="DO309" s="554">
        <f>VLOOKUP(WWWW[[#This Row],[Site Name]],SiteDB6[[Site Name]:[Lat]],12,FALSE)</f>
        <v>0</v>
      </c>
      <c r="DP309" s="554">
        <f>VLOOKUP(WWWW[[#This Row],[Site Name]],SiteDB6[[Site Name]:[Long]],13,FALSE)</f>
        <v>0</v>
      </c>
      <c r="DQ309" s="554">
        <f>VLOOKUP(WWWW[[#This Row],[Site Name]],SiteDB6[[Site Name]:[Pcode]],3,FALSE)</f>
        <v>220653</v>
      </c>
      <c r="DR309" s="563" t="str">
        <f t="shared" si="10"/>
        <v>Covered</v>
      </c>
      <c r="DS309" s="563"/>
    </row>
    <row r="310" spans="1:123">
      <c r="A310" s="552" t="s">
        <v>2518</v>
      </c>
      <c r="B310" s="552" t="s">
        <v>332</v>
      </c>
      <c r="C310" s="555" t="s">
        <v>332</v>
      </c>
      <c r="D310" s="555" t="s">
        <v>345</v>
      </c>
      <c r="E310" s="574" t="s">
        <v>3006</v>
      </c>
      <c r="F310" s="555" t="s">
        <v>330</v>
      </c>
      <c r="G310" s="574" t="str">
        <f>VLOOKUP(WWWW[[#This Row],[Site Name]],SiteDB6[[Site Name]:[Location Type]],8,FALSE)</f>
        <v>Village</v>
      </c>
      <c r="H310" s="555" t="s">
        <v>676</v>
      </c>
      <c r="I310" s="557">
        <v>63</v>
      </c>
      <c r="J310" s="557">
        <v>249</v>
      </c>
      <c r="K310" s="564">
        <v>42736</v>
      </c>
      <c r="L310" s="565">
        <v>44551</v>
      </c>
      <c r="M310" s="557"/>
      <c r="N310" s="557"/>
      <c r="O310" s="557"/>
      <c r="P310" s="557"/>
      <c r="Q310" s="556"/>
      <c r="R310" s="557"/>
      <c r="S310" s="557"/>
      <c r="T310" s="557"/>
      <c r="U310" s="557"/>
      <c r="V310" s="557"/>
      <c r="W310" s="557"/>
      <c r="X310" s="557"/>
      <c r="Y310" s="557"/>
      <c r="Z310" s="557"/>
      <c r="AA310" s="557"/>
      <c r="AB310" s="557"/>
      <c r="AC310" s="557"/>
      <c r="AD310" s="557"/>
      <c r="AE310" s="557"/>
      <c r="AF310" s="557"/>
      <c r="AG310" s="557"/>
      <c r="AH310" s="557"/>
      <c r="AI310" s="557"/>
      <c r="AJ310" s="557"/>
      <c r="AK310" s="557"/>
      <c r="AL310" s="557"/>
      <c r="AM310" s="557"/>
      <c r="AN310" s="557"/>
      <c r="AO310" s="563"/>
      <c r="AP310" s="557"/>
      <c r="AQ310" s="557"/>
      <c r="AR310" s="559"/>
      <c r="AS310" s="557"/>
      <c r="AT310" s="557"/>
      <c r="AU310" s="557"/>
      <c r="AV310" s="557"/>
      <c r="AW310" s="557"/>
      <c r="AX310" s="554"/>
      <c r="AY310" s="563"/>
      <c r="AZ310" s="557"/>
      <c r="BA310" s="557"/>
      <c r="BB310" s="557"/>
      <c r="BC310" s="554"/>
      <c r="BD310" s="557"/>
      <c r="BE310" s="557"/>
      <c r="BF310" s="557"/>
      <c r="BG310" s="557"/>
      <c r="BH310" s="557"/>
      <c r="BI310" s="557"/>
      <c r="BJ310" s="557"/>
      <c r="BK310" s="557"/>
      <c r="BL310" s="557"/>
      <c r="BM310" s="554"/>
      <c r="BN310" s="558"/>
      <c r="BO310" s="559"/>
      <c r="BP310" s="554"/>
      <c r="BQ310" s="560" t="str">
        <f>IFERROR(WWWW[[#This Row],['#_Water sources treated]]/WWWW[[#This Row],['#_Water sources tested for contamination]],"no test")</f>
        <v>no test</v>
      </c>
      <c r="BR310" s="559" t="str">
        <f>IFERROR(WWWW[[#This Row],['#_Household received remediation action due to contamination]]/WWWW[[#This Row],['#_Household water samples tested for contamination]],"no test")</f>
        <v>no test</v>
      </c>
      <c r="BS310" s="558" t="str">
        <f>IF(AND(WWWW[[#This Row],[% of water sources treated]]="no test",WWWW[[#This Row],[% Household received corrective actions]]="no test"),"No Test","Tested")</f>
        <v>No Test</v>
      </c>
      <c r="BT310" s="558">
        <f>WWWW[[#This Row],['#_Constructed/existing protected hand dug well]]-WWWW[[#This Row],['#_Non-functional protected hand dug well]]</f>
        <v>0</v>
      </c>
      <c r="BU310" s="558">
        <f>(WWWW[[#This Row],['#_Constructed/Existing tube wells/boreholes/handpumps_WASH_agency]]+WWWW[[#This Row],['#_Non-Cluster partner water tube-wells/boreholes/handpumps]])-WWWW[[#This Row],['#_Non-functional tube wells/boreholes/handpumps]]</f>
        <v>0</v>
      </c>
      <c r="BV310" s="558">
        <f>WWWW[[#This Row],['#_Constructed/Existingwater storage tank with gravity fed reticulation system]]-WWWW[[#This Row],['#_Non-functional storage tank gravity fed reticulation system]]</f>
        <v>0</v>
      </c>
      <c r="BW310" s="558">
        <f>WWWW[[#This Row],['#_Water boating or water trucking]]</f>
        <v>0</v>
      </c>
      <c r="BX310" s="558">
        <f>WWWW[[#This Row],['#_Constructed/Existing water distribution system from river or natural spring]]</f>
        <v>0</v>
      </c>
      <c r="BY31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0" s="559">
        <f>IF(WWWW[[#This Row],[Location Type 1]]="Village",WWWW[[#This Row],[Access to safe drinking water for Village]],WWWW[[#This Row],[Access to safe drinking water for Camp]])</f>
        <v>0</v>
      </c>
      <c r="CB310" s="556">
        <f>WWWW[[#This Row],[%Equitable and continuous access to sufficient quantity of safe drinking water]]*WWWW[[#This Row],[Total PoP ]]</f>
        <v>0</v>
      </c>
      <c r="CC310" s="559">
        <f>IF((WWWW[[#This Row],['#_Constructed/Existing protected/fenced ponds]]*250)/WWWW[[#This Row],[Total PoP ]]&gt;1,1,(WWWW[[#This Row],['#_Constructed/Existing protected/fenced ponds]]*250)/WWWW[[#This Row],[Total PoP ]])</f>
        <v>0</v>
      </c>
      <c r="CD310" s="556">
        <f>WWWW[[#This Row],[% Access to unimproved water points]]*WWWW[[#This Row],[Total PoP ]]</f>
        <v>0</v>
      </c>
      <c r="CE31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0" s="556">
        <f>WWWW[[#This Row],[HRP1]]/500</f>
        <v>0</v>
      </c>
      <c r="CH310" s="561">
        <f>1-WWWW[[#This Row],[% Equitable and continuous access to sufficient quantity of domestic water]]</f>
        <v>1</v>
      </c>
      <c r="CI310" s="556">
        <f>WWWW[[#This Row],[%equitable and continuous access to sufficient quantity of safe drinking and domestic water''s GAP]]*WWWW[[#This Row],[Total PoP ]]</f>
        <v>249</v>
      </c>
      <c r="CJ310" s="558">
        <f>IF(WWWW[[#This Row],[Total required water points]]-WWWW[[#This Row],['#Water points coverage]]&lt;0,0,WWWW[[#This Row],[Total required water points]]-WWWW[[#This Row],['#Water points coverage]])</f>
        <v>1</v>
      </c>
      <c r="CK310" s="558">
        <f>ROUND(IF(WWWW[[#This Row],[Total PoP ]]&lt;500,1,WWWW[[#This Row],[Total PoP ]]/500),0)</f>
        <v>1</v>
      </c>
      <c r="CL310" s="558">
        <f>(WWWW[[#This Row],['#_Constructed latrines_by_WASHAgencies]]+WWWW[[#This Row],['#_Non Cluster partner latrines]])-WWWW[[#This Row],['#_Non-functional latrines]]</f>
        <v>0</v>
      </c>
      <c r="CM31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10" s="558" t="str">
        <f>IF(WWWW[[#This Row],[Location Type 1]]="Village","NA",IF(WWWW[[#This Row],['#_Constructed/Existing latrines in TLS]]*50&gt;WWWW[[#This Row],['#_students at TLS_CFS]],WWWW[[#This Row],['#_students at TLS_CFS]],(WWWW[[#This Row],['#_Constructed/Existing latrines in TLS]]*50)))</f>
        <v>NA</v>
      </c>
      <c r="CQ310" s="558">
        <f>ROUND(IF(WWWW[[#This Row],[Location Type 1]]="camp",WWWW[[#This Row],[Total PoP ]]/20,IF(WWWW[[#This Row],[Location Type 1]]="Temporary Location",WWWW[[#This Row],[Total PoP ]]/50,(WWWW[[#This Row],[Total PoP ]]/6))),0)</f>
        <v>42</v>
      </c>
      <c r="CR310" s="558">
        <f>IF(WWWW[[#This Row],[Total required Latrines]]-(WWWW[[#This Row],['#_Constructed latrines_by_WASHAgencies]]+WWWW[[#This Row],['#_Non Cluster partner latrines]])&lt;0,0,WWWW[[#This Row],[Total required Latrines]]-(WWWW[[#This Row],['#_Constructed latrines_by_WASHAgencies]]+WWWW[[#This Row],['#_Non Cluster partner latrines]]))</f>
        <v>42</v>
      </c>
      <c r="CS310" s="78">
        <f>1-WWWW[[#This Row],[% people access to functioning Latrine]]</f>
        <v>1</v>
      </c>
      <c r="CT310" s="560">
        <f>IF(OR(WWWW[[#This Row],['#_Non-functional latrines]]="",WWWW[[#This Row],['#_Non-functional latrines]]=0),0,WWWW[[#This Row],['#_Non-functional latrines]]/(WWWW[[#This Row],['#_Constructed latrines_by_WASHAgencies]]+WWWW[[#This Row],['#_Non Cluster partner latrines]]))</f>
        <v>0</v>
      </c>
      <c r="CU310" s="556">
        <f>IF(500*(WWWW[[#This Row],['#_male hygiene promoters]]+WWWW[[#This Row],['#_female hygiene promoters]])&gt;WWWW[[#This Row],[Total PoP ]],WWWW[[#This Row],[Total PoP ]],500*(WWWW[[#This Row],['#_male hygiene promoters]]+WWWW[[#This Row],['#_female hygiene promoters]]))</f>
        <v>0</v>
      </c>
      <c r="CV31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1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10" s="558">
        <f>IF(WWWW[[#This Row],['# People with access to soap]]&gt;WWWW[[#This Row],['# People with access to Sanity Pads]],WWWW[[#This Row],['# People with access to soap]],WWWW[[#This Row],['# People with access to Sanity Pads]])</f>
        <v>0</v>
      </c>
      <c r="CY31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10" s="561">
        <f>IF(WWWW[[#This Row],[HRP3]]/WWWW[[#This Row],[Total PoP ]]&gt;100%,100%,WWWW[[#This Row],[HRP3]]/WWWW[[#This Row],[Total PoP ]])</f>
        <v>0</v>
      </c>
      <c r="DA310" s="560">
        <f>1-WWWW[[#This Row],[Hygiene Coverage%]]</f>
        <v>1</v>
      </c>
      <c r="DB310" s="559">
        <f>WWWW[[#This Row],['# people reached by regular dedicated hygiene promotion_5]]/WWWW[[#This Row],[Total PoP ]]</f>
        <v>0</v>
      </c>
      <c r="DC310" s="559">
        <f>IF(WWWW[[#This Row],['#_households that received standard amount of soap for this quarter]]/WWWW[[#This Row],[Total HH]]&gt;1,1,WWWW[[#This Row],['#_households that received standard amount of soap for this quarter]]/WWWW[[#This Row],[Total HH]])</f>
        <v>0</v>
      </c>
      <c r="DD310" s="559">
        <f>IF(WWWW[[#This Row],['#_households that received standard amount of sanitary pads for this quarter]]/WWWW[[#This Row],[Total HH]]&gt;1,1,WWWW[[#This Row],['#_households that received standard amount of sanitary pads for this quarter]]/WWWW[[#This Row],[Total HH]])</f>
        <v>0</v>
      </c>
      <c r="DE310" s="558">
        <f>WWWW[[#This Row],['#_Constructed/Existing hand washing stations]]-WWWW[[#This Row],['#_Non-Functional_hand_washing_stations]]</f>
        <v>0</v>
      </c>
      <c r="DF310" s="757">
        <f>IF(WWWW[[#This Row],['# Functional hand washing stations during reporting period]]*20&gt;WWWW[[#This Row],[Total HH]],WWWW[[#This Row],[Total HH]],WWWW[[#This Row],['# Functional hand washing stations during reporting period]]*20)</f>
        <v>0</v>
      </c>
      <c r="DG310" s="556">
        <f>IF(WWWW[[#This Row],[Is sufficient soap available for TLS? (Yes/No)]]="yes",WWWW[[#This Row],['#_Constructed/Existing hand washing stations at TLS]],0)</f>
        <v>0</v>
      </c>
      <c r="DH310" s="556">
        <f>IF(WWWW[[#This Row],['# Functional hand washing stations during reporting period]]*100&gt;WWWW[[#This Row],[Total PoP ]],WWWW[[#This Row],[Total PoP ]],WWWW[[#This Row],['# Functional hand washing stations during reporting period]]*100)</f>
        <v>0</v>
      </c>
      <c r="DI310" s="556" t="str">
        <f>IF(OR(WWWW[[#This Row],['#_students at TLS_CFS]]="",WWWW[[#This Row],['#_students at TLS_CFS]]=0),"No","Yes")</f>
        <v>No</v>
      </c>
      <c r="DJ310" s="554">
        <f>VLOOKUP(WWWW[[#This Row],[Site Name]],SiteDB6[[Site Name]:[CCCM Management]],6,FALSE)</f>
        <v>0</v>
      </c>
      <c r="DK310" s="554">
        <f>VLOOKUP(WWWW[[#This Row],[Site Name]],SiteDB6[[Site Name]:[CCCM Focal Agency]],7,FALSE)</f>
        <v>0</v>
      </c>
      <c r="DL310" s="554" t="str">
        <f>VLOOKUP(WWWW[[#This Row],[Site Name]],SiteDB6[[Site Name]:[Location Type 1]],9,FALSE)</f>
        <v>Village</v>
      </c>
      <c r="DM310" s="554" t="str">
        <f>VLOOKUP(WWWW[[#This Row],[Site Name]],SiteDB6[[Site Name]:[Type of Accommodation]],10,FALSE)</f>
        <v>Village</v>
      </c>
      <c r="DN310" s="554">
        <f>VLOOKUP(WWWW[[#This Row],[Site Name]],SiteDB6[[Site Name]:[Ethnic or GCA/NGCA]],11,FALSE)</f>
        <v>0</v>
      </c>
      <c r="DO310" s="554">
        <f>VLOOKUP(WWWW[[#This Row],[Site Name]],SiteDB6[[Site Name]:[Lat]],12,FALSE)</f>
        <v>0</v>
      </c>
      <c r="DP310" s="554">
        <f>VLOOKUP(WWWW[[#This Row],[Site Name]],SiteDB6[[Site Name]:[Long]],13,FALSE)</f>
        <v>0</v>
      </c>
      <c r="DQ310" s="554">
        <f>VLOOKUP(WWWW[[#This Row],[Site Name]],SiteDB6[[Site Name]:[Pcode]],3,FALSE)</f>
        <v>197110</v>
      </c>
      <c r="DR310" s="563" t="str">
        <f t="shared" si="10"/>
        <v>Covered</v>
      </c>
      <c r="DS310" s="563"/>
    </row>
    <row r="311" spans="1:123">
      <c r="A311" s="552" t="s">
        <v>2518</v>
      </c>
      <c r="B311" s="552" t="s">
        <v>2370</v>
      </c>
      <c r="C311" s="555" t="s">
        <v>2370</v>
      </c>
      <c r="D311" s="555" t="s">
        <v>42</v>
      </c>
      <c r="E311" s="574" t="s">
        <v>3006</v>
      </c>
      <c r="F311" s="555" t="s">
        <v>313</v>
      </c>
      <c r="G311" s="574" t="str">
        <f>VLOOKUP(WWWW[[#This Row],[Site Name]],SiteDB6[[Site Name]:[Location Type]],8,FALSE)</f>
        <v>Camp</v>
      </c>
      <c r="H311" s="555" t="s">
        <v>445</v>
      </c>
      <c r="I311" s="557">
        <v>1311</v>
      </c>
      <c r="J311" s="557">
        <v>6936</v>
      </c>
      <c r="K311" s="564"/>
      <c r="L311" s="565">
        <v>44104</v>
      </c>
      <c r="M311" s="557"/>
      <c r="N311" s="557"/>
      <c r="O311" s="557"/>
      <c r="P311" s="557" t="s">
        <v>2934</v>
      </c>
      <c r="Q311" s="556"/>
      <c r="R311" s="557"/>
      <c r="S311" s="557"/>
      <c r="T311" s="557"/>
      <c r="U311" s="557"/>
      <c r="V311" s="557"/>
      <c r="W311" s="557"/>
      <c r="X311" s="557"/>
      <c r="Y311" s="557"/>
      <c r="Z311" s="557" t="s">
        <v>2934</v>
      </c>
      <c r="AA311" s="557"/>
      <c r="AB311" s="557"/>
      <c r="AC311" s="557"/>
      <c r="AD311" s="557"/>
      <c r="AE311" s="557"/>
      <c r="AF311" s="557"/>
      <c r="AG311" s="557"/>
      <c r="AH311" s="557"/>
      <c r="AI311" s="557"/>
      <c r="AJ311" s="557"/>
      <c r="AK311" s="557"/>
      <c r="AL311" s="557">
        <v>2</v>
      </c>
      <c r="AM311" s="557"/>
      <c r="AN311" s="557"/>
      <c r="AO311" s="563"/>
      <c r="AP311" s="557"/>
      <c r="AQ311" s="557"/>
      <c r="AR311" s="559"/>
      <c r="AS311" s="557"/>
      <c r="AT311" s="557"/>
      <c r="AU311" s="557"/>
      <c r="AV311" s="557"/>
      <c r="AW311" s="557"/>
      <c r="AX311" s="554" t="s">
        <v>43</v>
      </c>
      <c r="AY311" s="563" t="s">
        <v>145</v>
      </c>
      <c r="AZ311" s="557"/>
      <c r="BA311" s="557"/>
      <c r="BB311" s="557"/>
      <c r="BC311" s="554"/>
      <c r="BD311" s="557"/>
      <c r="BE311" s="557"/>
      <c r="BF311" s="557"/>
      <c r="BG311" s="557"/>
      <c r="BH311" s="557"/>
      <c r="BI311" s="557">
        <v>8</v>
      </c>
      <c r="BJ311" s="557">
        <v>5</v>
      </c>
      <c r="BK311" s="557">
        <v>1350</v>
      </c>
      <c r="BL311" s="557">
        <v>1350</v>
      </c>
      <c r="BM311" s="554"/>
      <c r="BN311" s="558">
        <v>33</v>
      </c>
      <c r="BO311" s="559"/>
      <c r="BP311" s="554"/>
      <c r="BQ311" s="560" t="str">
        <f>IFERROR(WWWW[[#This Row],['#_Water sources treated]]/WWWW[[#This Row],['#_Water sources tested for contamination]],"no test")</f>
        <v>no test</v>
      </c>
      <c r="BR311" s="559" t="str">
        <f>IFERROR(WWWW[[#This Row],['#_Household received remediation action due to contamination]]/WWWW[[#This Row],['#_Household water samples tested for contamination]],"no test")</f>
        <v>no test</v>
      </c>
      <c r="BS311" s="558" t="str">
        <f>IF(AND(WWWW[[#This Row],[% of water sources treated]]="no test",WWWW[[#This Row],[% Household received corrective actions]]="no test"),"No Test","Tested")</f>
        <v>No Test</v>
      </c>
      <c r="BT311" s="558">
        <f>WWWW[[#This Row],['#_Constructed/existing protected hand dug well]]-WWWW[[#This Row],['#_Non-functional protected hand dug well]]</f>
        <v>0</v>
      </c>
      <c r="BU311" s="558">
        <f>(WWWW[[#This Row],['#_Constructed/Existing tube wells/boreholes/handpumps_WASH_agency]]+WWWW[[#This Row],['#_Non-Cluster partner water tube-wells/boreholes/handpumps]])-WWWW[[#This Row],['#_Non-functional tube wells/boreholes/handpumps]]</f>
        <v>0</v>
      </c>
      <c r="BV311" s="558">
        <f>WWWW[[#This Row],['#_Constructed/Existingwater storage tank with gravity fed reticulation system]]-WWWW[[#This Row],['#_Non-functional storage tank gravity fed reticulation system]]</f>
        <v>0</v>
      </c>
      <c r="BW311" s="558">
        <f>WWWW[[#This Row],['#_Water boating or water trucking]]</f>
        <v>0</v>
      </c>
      <c r="BX311" s="558">
        <f>WWWW[[#This Row],['#_Constructed/Existing water distribution system from river or natural spring]]</f>
        <v>0</v>
      </c>
      <c r="BY31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1" s="559">
        <f>IF(WWWW[[#This Row],[Location Type 1]]="Village",WWWW[[#This Row],[Access to safe drinking water for Village]],WWWW[[#This Row],[Access to safe drinking water for Camp]])</f>
        <v>0</v>
      </c>
      <c r="CB311" s="556">
        <f>WWWW[[#This Row],[%Equitable and continuous access to sufficient quantity of safe drinking water]]*WWWW[[#This Row],[Total PoP ]]</f>
        <v>0</v>
      </c>
      <c r="CC311" s="559">
        <f>IF((WWWW[[#This Row],['#_Constructed/Existing protected/fenced ponds]]*250)/WWWW[[#This Row],[Total PoP ]]&gt;1,1,(WWWW[[#This Row],['#_Constructed/Existing protected/fenced ponds]]*250)/WWWW[[#This Row],[Total PoP ]])</f>
        <v>0</v>
      </c>
      <c r="CD311" s="556">
        <f>WWWW[[#This Row],[% Access to unimproved water points]]*WWWW[[#This Row],[Total PoP ]]</f>
        <v>0</v>
      </c>
      <c r="CE31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1" s="556">
        <f>WWWW[[#This Row],[HRP1]]/500</f>
        <v>0</v>
      </c>
      <c r="CH311" s="561">
        <f>1-WWWW[[#This Row],[% Equitable and continuous access to sufficient quantity of domestic water]]</f>
        <v>1</v>
      </c>
      <c r="CI311" s="556">
        <f>WWWW[[#This Row],[%equitable and continuous access to sufficient quantity of safe drinking and domestic water''s GAP]]*WWWW[[#This Row],[Total PoP ]]</f>
        <v>6936</v>
      </c>
      <c r="CJ311" s="558">
        <f>IF(WWWW[[#This Row],[Total required water points]]-WWWW[[#This Row],['#Water points coverage]]&lt;0,0,WWWW[[#This Row],[Total required water points]]-WWWW[[#This Row],['#Water points coverage]])</f>
        <v>14</v>
      </c>
      <c r="CK311" s="558">
        <f>ROUND(IF(WWWW[[#This Row],[Total PoP ]]&lt;500,1,WWWW[[#This Row],[Total PoP ]]/500),0)</f>
        <v>14</v>
      </c>
      <c r="CL311" s="558">
        <f>(WWWW[[#This Row],['#_Constructed latrines_by_WASHAgencies]]+WWWW[[#This Row],['#_Non Cluster partner latrines]])-WWWW[[#This Row],['#_Non-functional latrines]]</f>
        <v>0</v>
      </c>
      <c r="CM31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1"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1" s="558">
        <f>IF(WWWW[[#This Row],[Location Type 1]]="Village","NA",IF(WWWW[[#This Row],['#_Constructed/Existing latrines in TLS]]*50&gt;WWWW[[#This Row],['#_students at TLS_CFS]],WWWW[[#This Row],['#_students at TLS_CFS]],(WWWW[[#This Row],['#_Constructed/Existing latrines in TLS]]*50)))</f>
        <v>0</v>
      </c>
      <c r="CQ311" s="558">
        <f>ROUND(IF(WWWW[[#This Row],[Location Type 1]]="camp",WWWW[[#This Row],[Total PoP ]]/20,IF(WWWW[[#This Row],[Location Type 1]]="Temporary Location",WWWW[[#This Row],[Total PoP ]]/50,(WWWW[[#This Row],[Total PoP ]]/6))),0)</f>
        <v>347</v>
      </c>
      <c r="CR311" s="558">
        <f>IF(WWWW[[#This Row],[Total required Latrines]]-(WWWW[[#This Row],['#_Constructed latrines_by_WASHAgencies]]+WWWW[[#This Row],['#_Non Cluster partner latrines]])&lt;0,0,WWWW[[#This Row],[Total required Latrines]]-(WWWW[[#This Row],['#_Constructed latrines_by_WASHAgencies]]+WWWW[[#This Row],['#_Non Cluster partner latrines]]))</f>
        <v>347</v>
      </c>
      <c r="CS311" s="78">
        <f>1-WWWW[[#This Row],[% people access to functioning Latrine]]</f>
        <v>1</v>
      </c>
      <c r="CT311" s="560">
        <f>IF(OR(WWWW[[#This Row],['#_Non-functional latrines]]="",WWWW[[#This Row],['#_Non-functional latrines]]=0),0,WWWW[[#This Row],['#_Non-functional latrines]]/(WWWW[[#This Row],['#_Constructed latrines_by_WASHAgencies]]+WWWW[[#This Row],['#_Non Cluster partner latrines]]))</f>
        <v>0</v>
      </c>
      <c r="CU311" s="556">
        <f>IF(500*(WWWW[[#This Row],['#_male hygiene promoters]]+WWWW[[#This Row],['#_female hygiene promoters]])&gt;WWWW[[#This Row],[Total PoP ]],WWWW[[#This Row],[Total PoP ]],500*(WWWW[[#This Row],['#_male hygiene promoters]]+WWWW[[#This Row],['#_female hygiene promoters]]))</f>
        <v>6500</v>
      </c>
      <c r="CV31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6750</v>
      </c>
      <c r="CW31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6750</v>
      </c>
      <c r="CX311" s="558">
        <f>IF(WWWW[[#This Row],['# People with access to soap]]&gt;WWWW[[#This Row],['# People with access to Sanity Pads]],WWWW[[#This Row],['# People with access to soap]],WWWW[[#This Row],['# People with access to Sanity Pads]])</f>
        <v>6750</v>
      </c>
      <c r="CY311" s="558">
        <f>IF(WWWW[[#This Row],['# people reached by regular dedicated hygiene promotion_5]]&gt;WWWW[[#This Row],['# People received regular supply of hygiene items_6]],WWWW[[#This Row],['# people reached by regular dedicated hygiene promotion_5]],WWWW[[#This Row],['# People received regular supply of hygiene items_6]])</f>
        <v>6750</v>
      </c>
      <c r="CZ311" s="561">
        <f>IF(WWWW[[#This Row],[HRP3]]/WWWW[[#This Row],[Total PoP ]]&gt;100%,100%,WWWW[[#This Row],[HRP3]]/WWWW[[#This Row],[Total PoP ]])</f>
        <v>0.97318339100346019</v>
      </c>
      <c r="DA311" s="560">
        <f>1-WWWW[[#This Row],[Hygiene Coverage%]]</f>
        <v>2.6816608996539815E-2</v>
      </c>
      <c r="DB311" s="559">
        <f>WWWW[[#This Row],['# people reached by regular dedicated hygiene promotion_5]]/WWWW[[#This Row],[Total PoP ]]</f>
        <v>0.93713956170703572</v>
      </c>
      <c r="DC311" s="559">
        <f>IF(WWWW[[#This Row],['#_households that received standard amount of soap for this quarter]]/WWWW[[#This Row],[Total HH]]&gt;1,1,WWWW[[#This Row],['#_households that received standard amount of soap for this quarter]]/WWWW[[#This Row],[Total HH]])</f>
        <v>1</v>
      </c>
      <c r="DD311" s="559">
        <f>IF(WWWW[[#This Row],['#_households that received standard amount of sanitary pads for this quarter]]/WWWW[[#This Row],[Total HH]]&gt;1,1,WWWW[[#This Row],['#_households that received standard amount of sanitary pads for this quarter]]/WWWW[[#This Row],[Total HH]])</f>
        <v>1</v>
      </c>
      <c r="DE311" s="558">
        <f>WWWW[[#This Row],['#_Constructed/Existing hand washing stations]]-WWWW[[#This Row],['#_Non-Functional_hand_washing_stations]]</f>
        <v>0</v>
      </c>
      <c r="DF311" s="757">
        <f>IF(WWWW[[#This Row],['# Functional hand washing stations during reporting period]]*20&gt;WWWW[[#This Row],[Total HH]],WWWW[[#This Row],[Total HH]],WWWW[[#This Row],['# Functional hand washing stations during reporting period]]*20)</f>
        <v>0</v>
      </c>
      <c r="DG311" s="556">
        <f>IF(WWWW[[#This Row],[Is sufficient soap available for TLS? (Yes/No)]]="yes",WWWW[[#This Row],['#_Constructed/Existing hand washing stations at TLS]],0)</f>
        <v>0</v>
      </c>
      <c r="DH311" s="556">
        <f>IF(WWWW[[#This Row],['# Functional hand washing stations during reporting period]]*100&gt;WWWW[[#This Row],[Total PoP ]],WWWW[[#This Row],[Total PoP ]],WWWW[[#This Row],['# Functional hand washing stations during reporting period]]*100)</f>
        <v>0</v>
      </c>
      <c r="DI311" s="556" t="str">
        <f>IF(OR(WWWW[[#This Row],['#_students at TLS_CFS]]="",WWWW[[#This Row],['#_students at TLS_CFS]]=0),"No","Yes")</f>
        <v>No</v>
      </c>
      <c r="DJ311" s="554" t="str">
        <f>VLOOKUP(WWWW[[#This Row],[Site Name]],SiteDB6[[Site Name]:[CCCM Management]],6,FALSE)</f>
        <v>Yes</v>
      </c>
      <c r="DK311" s="554">
        <f>VLOOKUP(WWWW[[#This Row],[Site Name]],SiteDB6[[Site Name]:[CCCM Focal Agency]],7,FALSE)</f>
        <v>0</v>
      </c>
      <c r="DL311" s="554" t="str">
        <f>VLOOKUP(WWWW[[#This Row],[Site Name]],SiteDB6[[Site Name]:[Location Type 1]],9,FALSE)</f>
        <v>Camp</v>
      </c>
      <c r="DM311" s="554" t="str">
        <f>VLOOKUP(WWWW[[#This Row],[Site Name]],SiteDB6[[Site Name]:[Type of Accommodation]],10,FALSE)</f>
        <v>Planned Camp</v>
      </c>
      <c r="DN311" s="554" t="str">
        <f>VLOOKUP(WWWW[[#This Row],[Site Name]],SiteDB6[[Site Name]:[Ethnic or GCA/NGCA]],11,FALSE)</f>
        <v>Muslim</v>
      </c>
      <c r="DO311" s="554">
        <f>VLOOKUP(WWWW[[#This Row],[Site Name]],SiteDB6[[Site Name]:[Lat]],12,FALSE)</f>
        <v>20.181405999999999</v>
      </c>
      <c r="DP311" s="554">
        <f>VLOOKUP(WWWW[[#This Row],[Site Name]],SiteDB6[[Site Name]:[Long]],13,FALSE)</f>
        <v>92.807552000000001</v>
      </c>
      <c r="DQ311" s="554" t="str">
        <f>VLOOKUP(WWWW[[#This Row],[Site Name]],SiteDB6[[Site Name]:[Pcode]],3,FALSE)</f>
        <v>MMR012CMP114</v>
      </c>
      <c r="DR311" s="563" t="str">
        <f t="shared" si="10"/>
        <v>Covered</v>
      </c>
      <c r="DS311" s="563"/>
    </row>
    <row r="312" spans="1:123">
      <c r="A312" s="552" t="s">
        <v>2518</v>
      </c>
      <c r="B312" s="552" t="s">
        <v>2370</v>
      </c>
      <c r="C312" s="555" t="s">
        <v>2370</v>
      </c>
      <c r="D312" s="555" t="s">
        <v>42</v>
      </c>
      <c r="E312" s="574" t="s">
        <v>3006</v>
      </c>
      <c r="F312" s="555" t="s">
        <v>313</v>
      </c>
      <c r="G312" s="574" t="str">
        <f>VLOOKUP(WWWW[[#This Row],[Site Name]],SiteDB6[[Site Name]:[Location Type]],8,FALSE)</f>
        <v>Camp</v>
      </c>
      <c r="H312" s="555" t="s">
        <v>442</v>
      </c>
      <c r="I312" s="557">
        <v>2009</v>
      </c>
      <c r="J312" s="557">
        <v>11625</v>
      </c>
      <c r="K312" s="564"/>
      <c r="L312" s="565">
        <v>44104</v>
      </c>
      <c r="M312" s="557"/>
      <c r="N312" s="557"/>
      <c r="O312" s="557"/>
      <c r="P312" s="557" t="s">
        <v>2934</v>
      </c>
      <c r="Q312" s="556"/>
      <c r="R312" s="557"/>
      <c r="S312" s="557"/>
      <c r="T312" s="557"/>
      <c r="U312" s="557"/>
      <c r="V312" s="557"/>
      <c r="W312" s="557">
        <v>92</v>
      </c>
      <c r="X312" s="557"/>
      <c r="Y312" s="557">
        <v>18</v>
      </c>
      <c r="Z312" s="557">
        <v>67</v>
      </c>
      <c r="AA312" s="557"/>
      <c r="AB312" s="557"/>
      <c r="AC312" s="557"/>
      <c r="AD312" s="557"/>
      <c r="AE312" s="557"/>
      <c r="AF312" s="557"/>
      <c r="AG312" s="557"/>
      <c r="AH312" s="557">
        <v>92</v>
      </c>
      <c r="AI312" s="557">
        <v>67</v>
      </c>
      <c r="AJ312" s="557">
        <v>4</v>
      </c>
      <c r="AK312" s="557">
        <v>91</v>
      </c>
      <c r="AL312" s="557">
        <v>3</v>
      </c>
      <c r="AM312" s="557"/>
      <c r="AN312" s="557"/>
      <c r="AO312" s="563"/>
      <c r="AP312" s="557">
        <v>498</v>
      </c>
      <c r="AQ312" s="557"/>
      <c r="AR312" s="559"/>
      <c r="AS312" s="557">
        <v>85</v>
      </c>
      <c r="AT312" s="557">
        <v>211</v>
      </c>
      <c r="AU312" s="557">
        <v>239</v>
      </c>
      <c r="AV312" s="557"/>
      <c r="AW312" s="557">
        <v>498</v>
      </c>
      <c r="AX312" s="554" t="s">
        <v>43</v>
      </c>
      <c r="AY312" s="563" t="s">
        <v>145</v>
      </c>
      <c r="AZ312" s="557"/>
      <c r="BA312" s="557"/>
      <c r="BB312" s="557"/>
      <c r="BC312" s="554"/>
      <c r="BD312" s="557"/>
      <c r="BE312" s="557"/>
      <c r="BF312" s="557"/>
      <c r="BG312" s="557"/>
      <c r="BH312" s="557"/>
      <c r="BI312" s="557">
        <v>12</v>
      </c>
      <c r="BJ312" s="557">
        <v>6</v>
      </c>
      <c r="BK312" s="557">
        <v>2003</v>
      </c>
      <c r="BL312" s="557">
        <v>2003</v>
      </c>
      <c r="BM312" s="554"/>
      <c r="BN312" s="558">
        <v>48</v>
      </c>
      <c r="BO312" s="559"/>
      <c r="BP312" s="554"/>
      <c r="BQ312" s="560">
        <f>IFERROR(WWWW[[#This Row],['#_Water sources treated]]/WWWW[[#This Row],['#_Water sources tested for contamination]],"no test")</f>
        <v>5.9701492537313432E-2</v>
      </c>
      <c r="BR312" s="559">
        <f>IFERROR(WWWW[[#This Row],['#_Household received remediation action due to contamination]]/WWWW[[#This Row],['#_Household water samples tested for contamination]],"no test")</f>
        <v>3.2967032967032968E-2</v>
      </c>
      <c r="BS312" s="558" t="str">
        <f>IF(AND(WWWW[[#This Row],[% of water sources treated]]="no test",WWWW[[#This Row],[% Household received corrective actions]]="no test"),"No Test","Tested")</f>
        <v>Tested</v>
      </c>
      <c r="BT312" s="558">
        <f>WWWW[[#This Row],['#_Constructed/existing protected hand dug well]]-WWWW[[#This Row],['#_Non-functional protected hand dug well]]</f>
        <v>0</v>
      </c>
      <c r="BU312" s="558">
        <f>(WWWW[[#This Row],['#_Constructed/Existing tube wells/boreholes/handpumps_WASH_agency]]+WWWW[[#This Row],['#_Non-Cluster partner water tube-wells/boreholes/handpumps]])-WWWW[[#This Row],['#_Non-functional tube wells/boreholes/handpumps]]</f>
        <v>74</v>
      </c>
      <c r="BV312" s="558">
        <f>WWWW[[#This Row],['#_Constructed/Existingwater storage tank with gravity fed reticulation system]]-WWWW[[#This Row],['#_Non-functional storage tank gravity fed reticulation system]]</f>
        <v>0</v>
      </c>
      <c r="BW312" s="558">
        <f>WWWW[[#This Row],['#_Water boating or water trucking]]</f>
        <v>0</v>
      </c>
      <c r="BX312" s="558">
        <f>WWWW[[#This Row],['#_Constructed/Existing water distribution system from river or natural spring]]</f>
        <v>0</v>
      </c>
      <c r="BY31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2" s="559">
        <f>IF(WWWW[[#This Row],[Location Type 1]]="Village",WWWW[[#This Row],[Access to safe drinking water for Village]],WWWW[[#This Row],[Access to safe drinking water for Camp]])</f>
        <v>1</v>
      </c>
      <c r="CB312" s="556">
        <f>WWWW[[#This Row],[%Equitable and continuous access to sufficient quantity of safe drinking water]]*WWWW[[#This Row],[Total PoP ]]</f>
        <v>11625</v>
      </c>
      <c r="CC312" s="559">
        <f>IF((WWWW[[#This Row],['#_Constructed/Existing protected/fenced ponds]]*250)/WWWW[[#This Row],[Total PoP ]]&gt;1,1,(WWWW[[#This Row],['#_Constructed/Existing protected/fenced ponds]]*250)/WWWW[[#This Row],[Total PoP ]])</f>
        <v>0</v>
      </c>
      <c r="CD312" s="556">
        <f>WWWW[[#This Row],[% Access to unimproved water points]]*WWWW[[#This Row],[Total PoP ]]</f>
        <v>0</v>
      </c>
      <c r="CE31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11625</v>
      </c>
      <c r="CG312" s="556">
        <f>WWWW[[#This Row],[HRP1]]/500</f>
        <v>23.25</v>
      </c>
      <c r="CH312" s="561">
        <f>1-WWWW[[#This Row],[% Equitable and continuous access to sufficient quantity of domestic water]]</f>
        <v>0</v>
      </c>
      <c r="CI312" s="556">
        <f>WWWW[[#This Row],[%equitable and continuous access to sufficient quantity of safe drinking and domestic water''s GAP]]*WWWW[[#This Row],[Total PoP ]]</f>
        <v>0</v>
      </c>
      <c r="CJ312" s="558">
        <f>IF(WWWW[[#This Row],[Total required water points]]-WWWW[[#This Row],['#Water points coverage]]&lt;0,0,WWWW[[#This Row],[Total required water points]]-WWWW[[#This Row],['#Water points coverage]])</f>
        <v>0</v>
      </c>
      <c r="CK312" s="558">
        <f>ROUND(IF(WWWW[[#This Row],[Total PoP ]]&lt;500,1,WWWW[[#This Row],[Total PoP ]]/500),0)</f>
        <v>23</v>
      </c>
      <c r="CL312" s="558">
        <f>(WWWW[[#This Row],['#_Constructed latrines_by_WASHAgencies]]+WWWW[[#This Row],['#_Non Cluster partner latrines]])-WWWW[[#This Row],['#_Non-functional latrines]]</f>
        <v>413</v>
      </c>
      <c r="CM31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0.71053763440860218</v>
      </c>
      <c r="CN31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8260</v>
      </c>
      <c r="CO312"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4780</v>
      </c>
      <c r="CP312" s="558">
        <f>IF(WWWW[[#This Row],[Location Type 1]]="Village","NA",IF(WWWW[[#This Row],['#_Constructed/Existing latrines in TLS]]*50&gt;WWWW[[#This Row],['#_students at TLS_CFS]],WWWW[[#This Row],['#_students at TLS_CFS]],(WWWW[[#This Row],['#_Constructed/Existing latrines in TLS]]*50)))</f>
        <v>0</v>
      </c>
      <c r="CQ312" s="558">
        <f>ROUND(IF(WWWW[[#This Row],[Location Type 1]]="camp",WWWW[[#This Row],[Total PoP ]]/20,IF(WWWW[[#This Row],[Location Type 1]]="Temporary Location",WWWW[[#This Row],[Total PoP ]]/50,(WWWW[[#This Row],[Total PoP ]]/6))),0)</f>
        <v>581</v>
      </c>
      <c r="CR312" s="558">
        <f>IF(WWWW[[#This Row],[Total required Latrines]]-(WWWW[[#This Row],['#_Constructed latrines_by_WASHAgencies]]+WWWW[[#This Row],['#_Non Cluster partner latrines]])&lt;0,0,WWWW[[#This Row],[Total required Latrines]]-(WWWW[[#This Row],['#_Constructed latrines_by_WASHAgencies]]+WWWW[[#This Row],['#_Non Cluster partner latrines]]))</f>
        <v>83</v>
      </c>
      <c r="CS312" s="78">
        <f>1-WWWW[[#This Row],[% people access to functioning Latrine]]</f>
        <v>0.28946236559139782</v>
      </c>
      <c r="CT312" s="560">
        <f>IF(OR(WWWW[[#This Row],['#_Non-functional latrines]]="",WWWW[[#This Row],['#_Non-functional latrines]]=0),0,WWWW[[#This Row],['#_Non-functional latrines]]/(WWWW[[#This Row],['#_Constructed latrines_by_WASHAgencies]]+WWWW[[#This Row],['#_Non Cluster partner latrines]]))</f>
        <v>0.17068273092369479</v>
      </c>
      <c r="CU312" s="556">
        <f>IF(500*(WWWW[[#This Row],['#_male hygiene promoters]]+WWWW[[#This Row],['#_female hygiene promoters]])&gt;WWWW[[#This Row],[Total PoP ]],WWWW[[#This Row],[Total PoP ]],500*(WWWW[[#This Row],['#_male hygiene promoters]]+WWWW[[#This Row],['#_female hygiene promoters]]))</f>
        <v>9000</v>
      </c>
      <c r="CV31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10015</v>
      </c>
      <c r="CW31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10015</v>
      </c>
      <c r="CX312" s="558">
        <f>IF(WWWW[[#This Row],['# People with access to soap]]&gt;WWWW[[#This Row],['# People with access to Sanity Pads]],WWWW[[#This Row],['# People with access to soap]],WWWW[[#This Row],['# People with access to Sanity Pads]])</f>
        <v>10015</v>
      </c>
      <c r="CY312" s="558">
        <f>IF(WWWW[[#This Row],['# people reached by regular dedicated hygiene promotion_5]]&gt;WWWW[[#This Row],['# People received regular supply of hygiene items_6]],WWWW[[#This Row],['# people reached by regular dedicated hygiene promotion_5]],WWWW[[#This Row],['# People received regular supply of hygiene items_6]])</f>
        <v>10015</v>
      </c>
      <c r="CZ312" s="561">
        <f>IF(WWWW[[#This Row],[HRP3]]/WWWW[[#This Row],[Total PoP ]]&gt;100%,100%,WWWW[[#This Row],[HRP3]]/WWWW[[#This Row],[Total PoP ]])</f>
        <v>0.86150537634408597</v>
      </c>
      <c r="DA312" s="560">
        <f>1-WWWW[[#This Row],[Hygiene Coverage%]]</f>
        <v>0.13849462365591403</v>
      </c>
      <c r="DB312" s="559">
        <f>WWWW[[#This Row],['# people reached by regular dedicated hygiene promotion_5]]/WWWW[[#This Row],[Total PoP ]]</f>
        <v>0.77419354838709675</v>
      </c>
      <c r="DC312" s="559">
        <f>IF(WWWW[[#This Row],['#_households that received standard amount of soap for this quarter]]/WWWW[[#This Row],[Total HH]]&gt;1,1,WWWW[[#This Row],['#_households that received standard amount of soap for this quarter]]/WWWW[[#This Row],[Total HH]])</f>
        <v>0.99701343952215027</v>
      </c>
      <c r="DD312" s="559">
        <f>IF(WWWW[[#This Row],['#_households that received standard amount of sanitary pads for this quarter]]/WWWW[[#This Row],[Total HH]]&gt;1,1,WWWW[[#This Row],['#_households that received standard amount of sanitary pads for this quarter]]/WWWW[[#This Row],[Total HH]])</f>
        <v>0.99701343952215027</v>
      </c>
      <c r="DE312" s="558">
        <f>WWWW[[#This Row],['#_Constructed/Existing hand washing stations]]-WWWW[[#This Row],['#_Non-Functional_hand_washing_stations]]</f>
        <v>0</v>
      </c>
      <c r="DF312" s="757">
        <f>IF(WWWW[[#This Row],['# Functional hand washing stations during reporting period]]*20&gt;WWWW[[#This Row],[Total HH]],WWWW[[#This Row],[Total HH]],WWWW[[#This Row],['# Functional hand washing stations during reporting period]]*20)</f>
        <v>0</v>
      </c>
      <c r="DG312" s="556">
        <f>IF(WWWW[[#This Row],[Is sufficient soap available for TLS? (Yes/No)]]="yes",WWWW[[#This Row],['#_Constructed/Existing hand washing stations at TLS]],0)</f>
        <v>0</v>
      </c>
      <c r="DH312" s="556">
        <f>IF(WWWW[[#This Row],['# Functional hand washing stations during reporting period]]*100&gt;WWWW[[#This Row],[Total PoP ]],WWWW[[#This Row],[Total PoP ]],WWWW[[#This Row],['# Functional hand washing stations during reporting period]]*100)</f>
        <v>0</v>
      </c>
      <c r="DI312" s="556" t="str">
        <f>IF(OR(WWWW[[#This Row],['#_students at TLS_CFS]]="",WWWW[[#This Row],['#_students at TLS_CFS]]=0),"No","Yes")</f>
        <v>No</v>
      </c>
      <c r="DJ312" s="554" t="str">
        <f>VLOOKUP(WWWW[[#This Row],[Site Name]],SiteDB6[[Site Name]:[CCCM Management]],6,FALSE)</f>
        <v>Yes</v>
      </c>
      <c r="DK312" s="554">
        <f>VLOOKUP(WWWW[[#This Row],[Site Name]],SiteDB6[[Site Name]:[CCCM Focal Agency]],7,FALSE)</f>
        <v>0</v>
      </c>
      <c r="DL312" s="554" t="str">
        <f>VLOOKUP(WWWW[[#This Row],[Site Name]],SiteDB6[[Site Name]:[Location Type 1]],9,FALSE)</f>
        <v>Camp</v>
      </c>
      <c r="DM312" s="554" t="str">
        <f>VLOOKUP(WWWW[[#This Row],[Site Name]],SiteDB6[[Site Name]:[Type of Accommodation]],10,FALSE)</f>
        <v>Planned Camp</v>
      </c>
      <c r="DN312" s="554" t="str">
        <f>VLOOKUP(WWWW[[#This Row],[Site Name]],SiteDB6[[Site Name]:[Ethnic or GCA/NGCA]],11,FALSE)</f>
        <v>Muslim</v>
      </c>
      <c r="DO312" s="554">
        <f>VLOOKUP(WWWW[[#This Row],[Site Name]],SiteDB6[[Site Name]:[Lat]],12,FALSE)</f>
        <v>20.16846</v>
      </c>
      <c r="DP312" s="554">
        <f>VLOOKUP(WWWW[[#This Row],[Site Name]],SiteDB6[[Site Name]:[Long]],13,FALSE)</f>
        <v>92.827427</v>
      </c>
      <c r="DQ312" s="554" t="str">
        <f>VLOOKUP(WWWW[[#This Row],[Site Name]],SiteDB6[[Site Name]:[Pcode]],3,FALSE)</f>
        <v>MMR012CMP041</v>
      </c>
      <c r="DR312" s="563" t="str">
        <f t="shared" si="10"/>
        <v>Covered</v>
      </c>
      <c r="DS312" s="563"/>
    </row>
    <row r="313" spans="1:123">
      <c r="A313" s="552" t="s">
        <v>2518</v>
      </c>
      <c r="B313" s="552" t="s">
        <v>2370</v>
      </c>
      <c r="C313" s="555" t="s">
        <v>2370</v>
      </c>
      <c r="D313" s="555" t="s">
        <v>42</v>
      </c>
      <c r="E313" s="574" t="s">
        <v>3006</v>
      </c>
      <c r="F313" s="555" t="s">
        <v>313</v>
      </c>
      <c r="G313" s="574" t="str">
        <f>VLOOKUP(WWWW[[#This Row],[Site Name]],SiteDB6[[Site Name]:[Location Type]],8,FALSE)</f>
        <v>Camp</v>
      </c>
      <c r="H313" s="555" t="s">
        <v>441</v>
      </c>
      <c r="I313" s="557">
        <v>604</v>
      </c>
      <c r="J313" s="557">
        <v>3360</v>
      </c>
      <c r="K313" s="564"/>
      <c r="L313" s="565">
        <v>44104</v>
      </c>
      <c r="M313" s="557"/>
      <c r="N313" s="557"/>
      <c r="O313" s="557"/>
      <c r="P313" s="557" t="s">
        <v>2934</v>
      </c>
      <c r="Q313" s="556"/>
      <c r="R313" s="557"/>
      <c r="S313" s="557"/>
      <c r="T313" s="557"/>
      <c r="U313" s="557"/>
      <c r="V313" s="557"/>
      <c r="W313" s="557">
        <v>20</v>
      </c>
      <c r="X313" s="557"/>
      <c r="Y313" s="557">
        <v>1</v>
      </c>
      <c r="Z313" s="557">
        <v>1</v>
      </c>
      <c r="AA313" s="557"/>
      <c r="AB313" s="557"/>
      <c r="AC313" s="557"/>
      <c r="AD313" s="557"/>
      <c r="AE313" s="557"/>
      <c r="AF313" s="557"/>
      <c r="AG313" s="557"/>
      <c r="AH313" s="557">
        <v>20</v>
      </c>
      <c r="AI313" s="557">
        <v>21</v>
      </c>
      <c r="AJ313" s="557">
        <v>1</v>
      </c>
      <c r="AK313" s="557">
        <v>26</v>
      </c>
      <c r="AL313" s="557">
        <v>1</v>
      </c>
      <c r="AM313" s="557"/>
      <c r="AN313" s="557"/>
      <c r="AO313" s="563"/>
      <c r="AP313" s="557"/>
      <c r="AQ313" s="557"/>
      <c r="AR313" s="559"/>
      <c r="AS313" s="557"/>
      <c r="AT313" s="557">
        <v>0</v>
      </c>
      <c r="AU313" s="557">
        <v>0</v>
      </c>
      <c r="AV313" s="557"/>
      <c r="AW313" s="557"/>
      <c r="AX313" s="554" t="s">
        <v>43</v>
      </c>
      <c r="AY313" s="563" t="s">
        <v>148</v>
      </c>
      <c r="AZ313" s="557"/>
      <c r="BA313" s="557"/>
      <c r="BB313" s="557"/>
      <c r="BC313" s="554"/>
      <c r="BD313" s="557"/>
      <c r="BE313" s="557"/>
      <c r="BF313" s="557"/>
      <c r="BG313" s="557"/>
      <c r="BH313" s="557"/>
      <c r="BI313" s="557">
        <v>8</v>
      </c>
      <c r="BJ313" s="557">
        <v>3</v>
      </c>
      <c r="BK313" s="557">
        <v>594</v>
      </c>
      <c r="BL313" s="557">
        <v>594</v>
      </c>
      <c r="BM313" s="554"/>
      <c r="BN313" s="558">
        <v>35</v>
      </c>
      <c r="BO313" s="559"/>
      <c r="BP313" s="554"/>
      <c r="BQ313" s="560">
        <f>IFERROR(WWWW[[#This Row],['#_Water sources treated]]/WWWW[[#This Row],['#_Water sources tested for contamination]],"no test")</f>
        <v>4.7619047619047616E-2</v>
      </c>
      <c r="BR313" s="559">
        <f>IFERROR(WWWW[[#This Row],['#_Household received remediation action due to contamination]]/WWWW[[#This Row],['#_Household water samples tested for contamination]],"no test")</f>
        <v>3.8461538461538464E-2</v>
      </c>
      <c r="BS313" s="558" t="str">
        <f>IF(AND(WWWW[[#This Row],[% of water sources treated]]="no test",WWWW[[#This Row],[% Household received corrective actions]]="no test"),"No Test","Tested")</f>
        <v>Tested</v>
      </c>
      <c r="BT313" s="558">
        <f>WWWW[[#This Row],['#_Constructed/existing protected hand dug well]]-WWWW[[#This Row],['#_Non-functional protected hand dug well]]</f>
        <v>0</v>
      </c>
      <c r="BU313" s="558">
        <f>(WWWW[[#This Row],['#_Constructed/Existing tube wells/boreholes/handpumps_WASH_agency]]+WWWW[[#This Row],['#_Non-Cluster partner water tube-wells/boreholes/handpumps]])-WWWW[[#This Row],['#_Non-functional tube wells/boreholes/handpumps]]</f>
        <v>19</v>
      </c>
      <c r="BV313" s="558">
        <f>WWWW[[#This Row],['#_Constructed/Existingwater storage tank with gravity fed reticulation system]]-WWWW[[#This Row],['#_Non-functional storage tank gravity fed reticulation system]]</f>
        <v>0</v>
      </c>
      <c r="BW313" s="558">
        <f>WWWW[[#This Row],['#_Water boating or water trucking]]</f>
        <v>0</v>
      </c>
      <c r="BX313" s="558">
        <f>WWWW[[#This Row],['#_Constructed/Existing water distribution system from river or natural spring]]</f>
        <v>0</v>
      </c>
      <c r="BY31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3" s="559">
        <f>IF(WWWW[[#This Row],[Location Type 1]]="Village",WWWW[[#This Row],[Access to safe drinking water for Village]],WWWW[[#This Row],[Access to safe drinking water for Camp]])</f>
        <v>1</v>
      </c>
      <c r="CB313" s="556">
        <f>WWWW[[#This Row],[%Equitable and continuous access to sufficient quantity of safe drinking water]]*WWWW[[#This Row],[Total PoP ]]</f>
        <v>3360</v>
      </c>
      <c r="CC313" s="559">
        <f>IF((WWWW[[#This Row],['#_Constructed/Existing protected/fenced ponds]]*250)/WWWW[[#This Row],[Total PoP ]]&gt;1,1,(WWWW[[#This Row],['#_Constructed/Existing protected/fenced ponds]]*250)/WWWW[[#This Row],[Total PoP ]])</f>
        <v>0</v>
      </c>
      <c r="CD313" s="556">
        <f>WWWW[[#This Row],[% Access to unimproved water points]]*WWWW[[#This Row],[Total PoP ]]</f>
        <v>0</v>
      </c>
      <c r="CE31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3360</v>
      </c>
      <c r="CG313" s="556">
        <f>WWWW[[#This Row],[HRP1]]/500</f>
        <v>6.72</v>
      </c>
      <c r="CH313" s="561">
        <f>1-WWWW[[#This Row],[% Equitable and continuous access to sufficient quantity of domestic water]]</f>
        <v>0</v>
      </c>
      <c r="CI313" s="556">
        <f>WWWW[[#This Row],[%equitable and continuous access to sufficient quantity of safe drinking and domestic water''s GAP]]*WWWW[[#This Row],[Total PoP ]]</f>
        <v>0</v>
      </c>
      <c r="CJ313" s="558">
        <f>IF(WWWW[[#This Row],[Total required water points]]-WWWW[[#This Row],['#Water points coverage]]&lt;0,0,WWWW[[#This Row],[Total required water points]]-WWWW[[#This Row],['#Water points coverage]])</f>
        <v>0.28000000000000025</v>
      </c>
      <c r="CK313" s="558">
        <f>ROUND(IF(WWWW[[#This Row],[Total PoP ]]&lt;500,1,WWWW[[#This Row],[Total PoP ]]/500),0)</f>
        <v>7</v>
      </c>
      <c r="CL313" s="558">
        <f>(WWWW[[#This Row],['#_Constructed latrines_by_WASHAgencies]]+WWWW[[#This Row],['#_Non Cluster partner latrines]])-WWWW[[#This Row],['#_Non-functional latrines]]</f>
        <v>0</v>
      </c>
      <c r="CM31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3"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3" s="558">
        <f>IF(WWWW[[#This Row],[Location Type 1]]="Village","NA",IF(WWWW[[#This Row],['#_Constructed/Existing latrines in TLS]]*50&gt;WWWW[[#This Row],['#_students at TLS_CFS]],WWWW[[#This Row],['#_students at TLS_CFS]],(WWWW[[#This Row],['#_Constructed/Existing latrines in TLS]]*50)))</f>
        <v>0</v>
      </c>
      <c r="CQ313" s="558">
        <f>ROUND(IF(WWWW[[#This Row],[Location Type 1]]="camp",WWWW[[#This Row],[Total PoP ]]/20,IF(WWWW[[#This Row],[Location Type 1]]="Temporary Location",WWWW[[#This Row],[Total PoP ]]/50,(WWWW[[#This Row],[Total PoP ]]/6))),0)</f>
        <v>168</v>
      </c>
      <c r="CR313" s="558">
        <f>IF(WWWW[[#This Row],[Total required Latrines]]-(WWWW[[#This Row],['#_Constructed latrines_by_WASHAgencies]]+WWWW[[#This Row],['#_Non Cluster partner latrines]])&lt;0,0,WWWW[[#This Row],[Total required Latrines]]-(WWWW[[#This Row],['#_Constructed latrines_by_WASHAgencies]]+WWWW[[#This Row],['#_Non Cluster partner latrines]]))</f>
        <v>168</v>
      </c>
      <c r="CS313" s="78">
        <f>1-WWWW[[#This Row],[% people access to functioning Latrine]]</f>
        <v>1</v>
      </c>
      <c r="CT313" s="560">
        <f>IF(OR(WWWW[[#This Row],['#_Non-functional latrines]]="",WWWW[[#This Row],['#_Non-functional latrines]]=0),0,WWWW[[#This Row],['#_Non-functional latrines]]/(WWWW[[#This Row],['#_Constructed latrines_by_WASHAgencies]]+WWWW[[#This Row],['#_Non Cluster partner latrines]]))</f>
        <v>0</v>
      </c>
      <c r="CU313" s="556">
        <f>IF(500*(WWWW[[#This Row],['#_male hygiene promoters]]+WWWW[[#This Row],['#_female hygiene promoters]])&gt;WWWW[[#This Row],[Total PoP ]],WWWW[[#This Row],[Total PoP ]],500*(WWWW[[#This Row],['#_male hygiene promoters]]+WWWW[[#This Row],['#_female hygiene promoters]]))</f>
        <v>3360</v>
      </c>
      <c r="CV31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2970</v>
      </c>
      <c r="CW31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2970</v>
      </c>
      <c r="CX313" s="558">
        <f>IF(WWWW[[#This Row],['# People with access to soap]]&gt;WWWW[[#This Row],['# People with access to Sanity Pads]],WWWW[[#This Row],['# People with access to soap]],WWWW[[#This Row],['# People with access to Sanity Pads]])</f>
        <v>2970</v>
      </c>
      <c r="CY313" s="558">
        <f>IF(WWWW[[#This Row],['# people reached by regular dedicated hygiene promotion_5]]&gt;WWWW[[#This Row],['# People received regular supply of hygiene items_6]],WWWW[[#This Row],['# people reached by regular dedicated hygiene promotion_5]],WWWW[[#This Row],['# People received regular supply of hygiene items_6]])</f>
        <v>3360</v>
      </c>
      <c r="CZ313" s="561">
        <f>IF(WWWW[[#This Row],[HRP3]]/WWWW[[#This Row],[Total PoP ]]&gt;100%,100%,WWWW[[#This Row],[HRP3]]/WWWW[[#This Row],[Total PoP ]])</f>
        <v>1</v>
      </c>
      <c r="DA313" s="560">
        <f>1-WWWW[[#This Row],[Hygiene Coverage%]]</f>
        <v>0</v>
      </c>
      <c r="DB313" s="559">
        <f>WWWW[[#This Row],['# people reached by regular dedicated hygiene promotion_5]]/WWWW[[#This Row],[Total PoP ]]</f>
        <v>1</v>
      </c>
      <c r="DC313" s="559">
        <f>IF(WWWW[[#This Row],['#_households that received standard amount of soap for this quarter]]/WWWW[[#This Row],[Total HH]]&gt;1,1,WWWW[[#This Row],['#_households that received standard amount of soap for this quarter]]/WWWW[[#This Row],[Total HH]])</f>
        <v>0.98344370860927155</v>
      </c>
      <c r="DD313" s="559">
        <f>IF(WWWW[[#This Row],['#_households that received standard amount of sanitary pads for this quarter]]/WWWW[[#This Row],[Total HH]]&gt;1,1,WWWW[[#This Row],['#_households that received standard amount of sanitary pads for this quarter]]/WWWW[[#This Row],[Total HH]])</f>
        <v>0.98344370860927155</v>
      </c>
      <c r="DE313" s="558">
        <f>WWWW[[#This Row],['#_Constructed/Existing hand washing stations]]-WWWW[[#This Row],['#_Non-Functional_hand_washing_stations]]</f>
        <v>0</v>
      </c>
      <c r="DF313" s="757">
        <f>IF(WWWW[[#This Row],['# Functional hand washing stations during reporting period]]*20&gt;WWWW[[#This Row],[Total HH]],WWWW[[#This Row],[Total HH]],WWWW[[#This Row],['# Functional hand washing stations during reporting period]]*20)</f>
        <v>0</v>
      </c>
      <c r="DG313" s="556">
        <f>IF(WWWW[[#This Row],[Is sufficient soap available for TLS? (Yes/No)]]="yes",WWWW[[#This Row],['#_Constructed/Existing hand washing stations at TLS]],0)</f>
        <v>0</v>
      </c>
      <c r="DH313" s="556">
        <f>IF(WWWW[[#This Row],['# Functional hand washing stations during reporting period]]*100&gt;WWWW[[#This Row],[Total PoP ]],WWWW[[#This Row],[Total PoP ]],WWWW[[#This Row],['# Functional hand washing stations during reporting period]]*100)</f>
        <v>0</v>
      </c>
      <c r="DI313" s="556" t="str">
        <f>IF(OR(WWWW[[#This Row],['#_students at TLS_CFS]]="",WWWW[[#This Row],['#_students at TLS_CFS]]=0),"No","Yes")</f>
        <v>No</v>
      </c>
      <c r="DJ313" s="554" t="str">
        <f>VLOOKUP(WWWW[[#This Row],[Site Name]],SiteDB6[[Site Name]:[CCCM Management]],6,FALSE)</f>
        <v>Yes</v>
      </c>
      <c r="DK313" s="554">
        <f>VLOOKUP(WWWW[[#This Row],[Site Name]],SiteDB6[[Site Name]:[CCCM Focal Agency]],7,FALSE)</f>
        <v>0</v>
      </c>
      <c r="DL313" s="554" t="str">
        <f>VLOOKUP(WWWW[[#This Row],[Site Name]],SiteDB6[[Site Name]:[Location Type 1]],9,FALSE)</f>
        <v>Camp</v>
      </c>
      <c r="DM313" s="554" t="str">
        <f>VLOOKUP(WWWW[[#This Row],[Site Name]],SiteDB6[[Site Name]:[Type of Accommodation]],10,FALSE)</f>
        <v>Host Families</v>
      </c>
      <c r="DN313" s="554" t="str">
        <f>VLOOKUP(WWWW[[#This Row],[Site Name]],SiteDB6[[Site Name]:[Ethnic or GCA/NGCA]],11,FALSE)</f>
        <v>Muslim</v>
      </c>
      <c r="DO313" s="554">
        <f>VLOOKUP(WWWW[[#This Row],[Site Name]],SiteDB6[[Site Name]:[Lat]],12,FALSE)</f>
        <v>20.167421999999998</v>
      </c>
      <c r="DP313" s="554">
        <f>VLOOKUP(WWWW[[#This Row],[Site Name]],SiteDB6[[Site Name]:[Long]],13,FALSE)</f>
        <v>92.830074999999994</v>
      </c>
      <c r="DQ313" s="554" t="str">
        <f>VLOOKUP(WWWW[[#This Row],[Site Name]],SiteDB6[[Site Name]:[Pcode]],3,FALSE)</f>
        <v>MMR012CMP097</v>
      </c>
      <c r="DR313" s="563" t="str">
        <f t="shared" si="10"/>
        <v>Covered</v>
      </c>
      <c r="DS313" s="563"/>
    </row>
    <row r="314" spans="1:123">
      <c r="A314" s="552" t="s">
        <v>2518</v>
      </c>
      <c r="B314" s="552" t="s">
        <v>2370</v>
      </c>
      <c r="C314" s="555" t="s">
        <v>2370</v>
      </c>
      <c r="D314" s="555"/>
      <c r="E314" s="574" t="s">
        <v>3006</v>
      </c>
      <c r="F314" s="555" t="s">
        <v>313</v>
      </c>
      <c r="G314" s="574" t="str">
        <f>VLOOKUP(WWWW[[#This Row],[Site Name]],SiteDB6[[Site Name]:[Location Type]],8,FALSE)</f>
        <v>Camp</v>
      </c>
      <c r="H314" s="555" t="s">
        <v>2997</v>
      </c>
      <c r="I314" s="557">
        <v>14</v>
      </c>
      <c r="J314" s="557">
        <v>93</v>
      </c>
      <c r="K314" s="564"/>
      <c r="L314" s="565"/>
      <c r="M314" s="557"/>
      <c r="N314" s="557"/>
      <c r="O314" s="557"/>
      <c r="P314" s="557" t="s">
        <v>2934</v>
      </c>
      <c r="Q314" s="556"/>
      <c r="R314" s="557"/>
      <c r="S314" s="557"/>
      <c r="T314" s="557"/>
      <c r="U314" s="557"/>
      <c r="V314" s="557"/>
      <c r="W314" s="557"/>
      <c r="X314" s="557"/>
      <c r="Y314" s="557"/>
      <c r="Z314" s="557" t="s">
        <v>2934</v>
      </c>
      <c r="AA314" s="557"/>
      <c r="AB314" s="557"/>
      <c r="AC314" s="557"/>
      <c r="AD314" s="557"/>
      <c r="AE314" s="557"/>
      <c r="AF314" s="557"/>
      <c r="AG314" s="557"/>
      <c r="AH314" s="557" t="s">
        <v>2934</v>
      </c>
      <c r="AI314" s="557"/>
      <c r="AJ314" s="557"/>
      <c r="AK314" s="557"/>
      <c r="AL314" s="557"/>
      <c r="AM314" s="557"/>
      <c r="AN314" s="557"/>
      <c r="AO314" s="563"/>
      <c r="AP314" s="557"/>
      <c r="AQ314" s="557"/>
      <c r="AR314" s="559"/>
      <c r="AS314" s="557"/>
      <c r="AT314" s="557">
        <v>0</v>
      </c>
      <c r="AU314" s="557">
        <v>0</v>
      </c>
      <c r="AV314" s="557"/>
      <c r="AW314" s="557"/>
      <c r="AX314" s="554" t="s">
        <v>43</v>
      </c>
      <c r="AY314" s="563" t="s">
        <v>148</v>
      </c>
      <c r="AZ314" s="557"/>
      <c r="BA314" s="557"/>
      <c r="BB314" s="557"/>
      <c r="BC314" s="554"/>
      <c r="BD314" s="557"/>
      <c r="BE314" s="557"/>
      <c r="BF314" s="557"/>
      <c r="BG314" s="557"/>
      <c r="BH314" s="557"/>
      <c r="BI314" s="557"/>
      <c r="BJ314" s="557"/>
      <c r="BK314" s="557"/>
      <c r="BL314" s="557"/>
      <c r="BM314" s="554"/>
      <c r="BN314" s="558"/>
      <c r="BO314" s="559"/>
      <c r="BP314" s="554"/>
      <c r="BQ314" s="560" t="str">
        <f>IFERROR(WWWW[[#This Row],['#_Water sources treated]]/WWWW[[#This Row],['#_Water sources tested for contamination]],"no test")</f>
        <v>no test</v>
      </c>
      <c r="BR314" s="559" t="str">
        <f>IFERROR(WWWW[[#This Row],['#_Household received remediation action due to contamination]]/WWWW[[#This Row],['#_Household water samples tested for contamination]],"no test")</f>
        <v>no test</v>
      </c>
      <c r="BS314" s="558" t="str">
        <f>IF(AND(WWWW[[#This Row],[% of water sources treated]]="no test",WWWW[[#This Row],[% Household received corrective actions]]="no test"),"No Test","Tested")</f>
        <v>No Test</v>
      </c>
      <c r="BT314" s="558">
        <f>WWWW[[#This Row],['#_Constructed/existing protected hand dug well]]-WWWW[[#This Row],['#_Non-functional protected hand dug well]]</f>
        <v>0</v>
      </c>
      <c r="BU314" s="558">
        <f>(WWWW[[#This Row],['#_Constructed/Existing tube wells/boreholes/handpumps_WASH_agency]]+WWWW[[#This Row],['#_Non-Cluster partner water tube-wells/boreholes/handpumps]])-WWWW[[#This Row],['#_Non-functional tube wells/boreholes/handpumps]]</f>
        <v>0</v>
      </c>
      <c r="BV314" s="558">
        <f>WWWW[[#This Row],['#_Constructed/Existingwater storage tank with gravity fed reticulation system]]-WWWW[[#This Row],['#_Non-functional storage tank gravity fed reticulation system]]</f>
        <v>0</v>
      </c>
      <c r="BW314" s="558">
        <f>WWWW[[#This Row],['#_Water boating or water trucking]]</f>
        <v>0</v>
      </c>
      <c r="BX314" s="558">
        <f>WWWW[[#This Row],['#_Constructed/Existing water distribution system from river or natural spring]]</f>
        <v>0</v>
      </c>
      <c r="BY31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1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14" s="559">
        <f>IF(WWWW[[#This Row],[Location Type 1]]="Village",WWWW[[#This Row],[Access to safe drinking water for Village]],WWWW[[#This Row],[Access to safe drinking water for Camp]])</f>
        <v>0</v>
      </c>
      <c r="CB314" s="556">
        <f>WWWW[[#This Row],[%Equitable and continuous access to sufficient quantity of safe drinking water]]*WWWW[[#This Row],[Total PoP ]]</f>
        <v>0</v>
      </c>
      <c r="CC314" s="559">
        <f>IF((WWWW[[#This Row],['#_Constructed/Existing protected/fenced ponds]]*250)/WWWW[[#This Row],[Total PoP ]]&gt;1,1,(WWWW[[#This Row],['#_Constructed/Existing protected/fenced ponds]]*250)/WWWW[[#This Row],[Total PoP ]])</f>
        <v>0</v>
      </c>
      <c r="CD314" s="556">
        <f>WWWW[[#This Row],[% Access to unimproved water points]]*WWWW[[#This Row],[Total PoP ]]</f>
        <v>0</v>
      </c>
      <c r="CE31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1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14" s="556">
        <f>WWWW[[#This Row],[HRP1]]/500</f>
        <v>0</v>
      </c>
      <c r="CH314" s="561">
        <f>1-WWWW[[#This Row],[% Equitable and continuous access to sufficient quantity of domestic water]]</f>
        <v>1</v>
      </c>
      <c r="CI314" s="556">
        <f>WWWW[[#This Row],[%equitable and continuous access to sufficient quantity of safe drinking and domestic water''s GAP]]*WWWW[[#This Row],[Total PoP ]]</f>
        <v>93</v>
      </c>
      <c r="CJ314" s="558">
        <f>IF(WWWW[[#This Row],[Total required water points]]-WWWW[[#This Row],['#Water points coverage]]&lt;0,0,WWWW[[#This Row],[Total required water points]]-WWWW[[#This Row],['#Water points coverage]])</f>
        <v>1</v>
      </c>
      <c r="CK314" s="558">
        <f>ROUND(IF(WWWW[[#This Row],[Total PoP ]]&lt;500,1,WWWW[[#This Row],[Total PoP ]]/500),0)</f>
        <v>1</v>
      </c>
      <c r="CL314" s="558">
        <f>(WWWW[[#This Row],['#_Constructed latrines_by_WASHAgencies]]+WWWW[[#This Row],['#_Non Cluster partner latrines]])-WWWW[[#This Row],['#_Non-functional latrines]]</f>
        <v>0</v>
      </c>
      <c r="CM31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1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14"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14" s="558">
        <f>IF(WWWW[[#This Row],[Location Type 1]]="Village","NA",IF(WWWW[[#This Row],['#_Constructed/Existing latrines in TLS]]*50&gt;WWWW[[#This Row],['#_students at TLS_CFS]],WWWW[[#This Row],['#_students at TLS_CFS]],(WWWW[[#This Row],['#_Constructed/Existing latrines in TLS]]*50)))</f>
        <v>0</v>
      </c>
      <c r="CQ314" s="558">
        <f>ROUND(IF(WWWW[[#This Row],[Location Type 1]]="camp",WWWW[[#This Row],[Total PoP ]]/20,IF(WWWW[[#This Row],[Location Type 1]]="Temporary Location",WWWW[[#This Row],[Total PoP ]]/50,(WWWW[[#This Row],[Total PoP ]]/6))),0)</f>
        <v>5</v>
      </c>
      <c r="CR314" s="558">
        <f>IF(WWWW[[#This Row],[Total required Latrines]]-(WWWW[[#This Row],['#_Constructed latrines_by_WASHAgencies]]+WWWW[[#This Row],['#_Non Cluster partner latrines]])&lt;0,0,WWWW[[#This Row],[Total required Latrines]]-(WWWW[[#This Row],['#_Constructed latrines_by_WASHAgencies]]+WWWW[[#This Row],['#_Non Cluster partner latrines]]))</f>
        <v>5</v>
      </c>
      <c r="CS314" s="78">
        <f>1-WWWW[[#This Row],[% people access to functioning Latrine]]</f>
        <v>1</v>
      </c>
      <c r="CT314" s="560">
        <f>IF(OR(WWWW[[#This Row],['#_Non-functional latrines]]="",WWWW[[#This Row],['#_Non-functional latrines]]=0),0,WWWW[[#This Row],['#_Non-functional latrines]]/(WWWW[[#This Row],['#_Constructed latrines_by_WASHAgencies]]+WWWW[[#This Row],['#_Non Cluster partner latrines]]))</f>
        <v>0</v>
      </c>
      <c r="CU314" s="556">
        <f>IF(500*(WWWW[[#This Row],['#_male hygiene promoters]]+WWWW[[#This Row],['#_female hygiene promoters]])&gt;WWWW[[#This Row],[Total PoP ]],WWWW[[#This Row],[Total PoP ]],500*(WWWW[[#This Row],['#_male hygiene promoters]]+WWWW[[#This Row],['#_female hygiene promoters]]))</f>
        <v>0</v>
      </c>
      <c r="CV31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1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14" s="558">
        <f>IF(WWWW[[#This Row],['# People with access to soap]]&gt;WWWW[[#This Row],['# People with access to Sanity Pads]],WWWW[[#This Row],['# People with access to soap]],WWWW[[#This Row],['# People with access to Sanity Pads]])</f>
        <v>0</v>
      </c>
      <c r="CY31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14" s="561">
        <f>IF(WWWW[[#This Row],[HRP3]]/WWWW[[#This Row],[Total PoP ]]&gt;100%,100%,WWWW[[#This Row],[HRP3]]/WWWW[[#This Row],[Total PoP ]])</f>
        <v>0</v>
      </c>
      <c r="DA314" s="560">
        <f>1-WWWW[[#This Row],[Hygiene Coverage%]]</f>
        <v>1</v>
      </c>
      <c r="DB314" s="559">
        <f>WWWW[[#This Row],['# people reached by regular dedicated hygiene promotion_5]]/WWWW[[#This Row],[Total PoP ]]</f>
        <v>0</v>
      </c>
      <c r="DC314" s="559">
        <f>IF(WWWW[[#This Row],['#_households that received standard amount of soap for this quarter]]/WWWW[[#This Row],[Total HH]]&gt;1,1,WWWW[[#This Row],['#_households that received standard amount of soap for this quarter]]/WWWW[[#This Row],[Total HH]])</f>
        <v>0</v>
      </c>
      <c r="DD314" s="559">
        <f>IF(WWWW[[#This Row],['#_households that received standard amount of sanitary pads for this quarter]]/WWWW[[#This Row],[Total HH]]&gt;1,1,WWWW[[#This Row],['#_households that received standard amount of sanitary pads for this quarter]]/WWWW[[#This Row],[Total HH]])</f>
        <v>0</v>
      </c>
      <c r="DE314" s="558">
        <f>WWWW[[#This Row],['#_Constructed/Existing hand washing stations]]-WWWW[[#This Row],['#_Non-Functional_hand_washing_stations]]</f>
        <v>0</v>
      </c>
      <c r="DF314" s="757">
        <f>IF(WWWW[[#This Row],['# Functional hand washing stations during reporting period]]*20&gt;WWWW[[#This Row],[Total HH]],WWWW[[#This Row],[Total HH]],WWWW[[#This Row],['# Functional hand washing stations during reporting period]]*20)</f>
        <v>0</v>
      </c>
      <c r="DG314" s="556">
        <f>IF(WWWW[[#This Row],[Is sufficient soap available for TLS? (Yes/No)]]="yes",WWWW[[#This Row],['#_Constructed/Existing hand washing stations at TLS]],0)</f>
        <v>0</v>
      </c>
      <c r="DH314" s="556">
        <f>IF(WWWW[[#This Row],['# Functional hand washing stations during reporting period]]*100&gt;WWWW[[#This Row],[Total PoP ]],WWWW[[#This Row],[Total PoP ]],WWWW[[#This Row],['# Functional hand washing stations during reporting period]]*100)</f>
        <v>0</v>
      </c>
      <c r="DI314" s="556" t="str">
        <f>IF(OR(WWWW[[#This Row],['#_students at TLS_CFS]]="",WWWW[[#This Row],['#_students at TLS_CFS]]=0),"No","Yes")</f>
        <v>No</v>
      </c>
      <c r="DJ314" s="554" t="str">
        <f>VLOOKUP(WWWW[[#This Row],[Site Name]],SiteDB6[[Site Name]:[CCCM Management]],6,FALSE)</f>
        <v>Yes</v>
      </c>
      <c r="DK314" s="554">
        <f>VLOOKUP(WWWW[[#This Row],[Site Name]],SiteDB6[[Site Name]:[CCCM Focal Agency]],7,FALSE)</f>
        <v>0</v>
      </c>
      <c r="DL314" s="554" t="str">
        <f>VLOOKUP(WWWW[[#This Row],[Site Name]],SiteDB6[[Site Name]:[Location Type 1]],9,FALSE)</f>
        <v>Camp</v>
      </c>
      <c r="DM314" s="554" t="str">
        <f>VLOOKUP(WWWW[[#This Row],[Site Name]],SiteDB6[[Site Name]:[Type of Accommodation]],10,FALSE)</f>
        <v>Host Families</v>
      </c>
      <c r="DN314" s="554" t="str">
        <f>VLOOKUP(WWWW[[#This Row],[Site Name]],SiteDB6[[Site Name]:[Ethnic or GCA/NGCA]],11,FALSE)</f>
        <v>Muslim</v>
      </c>
      <c r="DO314" s="554">
        <f>VLOOKUP(WWWW[[#This Row],[Site Name]],SiteDB6[[Site Name]:[Lat]],12,FALSE)</f>
        <v>20.182987000000001</v>
      </c>
      <c r="DP314" s="554">
        <f>VLOOKUP(WWWW[[#This Row],[Site Name]],SiteDB6[[Site Name]:[Long]],13,FALSE)</f>
        <v>92.804803000000007</v>
      </c>
      <c r="DQ314" s="554" t="str">
        <f>VLOOKUP(WWWW[[#This Row],[Site Name]],SiteDB6[[Site Name]:[Pcode]],3,FALSE)</f>
        <v>MMR012CMP103</v>
      </c>
      <c r="DR314" s="563" t="str">
        <f t="shared" si="10"/>
        <v>Covered</v>
      </c>
      <c r="DS314" s="563"/>
    </row>
    <row r="315" spans="1:123">
      <c r="A315" s="552" t="s">
        <v>2518</v>
      </c>
      <c r="B315" s="555" t="s">
        <v>2924</v>
      </c>
      <c r="C315" s="555" t="s">
        <v>2924</v>
      </c>
      <c r="D315" s="555" t="s">
        <v>2083</v>
      </c>
      <c r="E315" s="574" t="s">
        <v>3006</v>
      </c>
      <c r="F315" s="555" t="s">
        <v>313</v>
      </c>
      <c r="G315" s="574" t="str">
        <f>VLOOKUP(WWWW[[#This Row],[Site Name]],SiteDB6[[Site Name]:[Location Type]],8,FALSE)</f>
        <v>Camp</v>
      </c>
      <c r="H315" s="555" t="s">
        <v>2373</v>
      </c>
      <c r="I315" s="557">
        <v>400</v>
      </c>
      <c r="J315" s="557">
        <v>2248</v>
      </c>
      <c r="K315" s="564"/>
      <c r="L315" s="565" t="s">
        <v>2369</v>
      </c>
      <c r="M315" s="557"/>
      <c r="N315" s="557"/>
      <c r="O315" s="557"/>
      <c r="P315" s="557" t="s">
        <v>2934</v>
      </c>
      <c r="Q315" s="556"/>
      <c r="R315" s="557"/>
      <c r="S315" s="557"/>
      <c r="T315" s="557"/>
      <c r="U315" s="557"/>
      <c r="V315" s="557"/>
      <c r="W315" s="557">
        <v>55</v>
      </c>
      <c r="X315" s="557"/>
      <c r="Y315" s="557">
        <v>10</v>
      </c>
      <c r="Z315" s="557" t="s">
        <v>2934</v>
      </c>
      <c r="AA315" s="557"/>
      <c r="AB315" s="557"/>
      <c r="AC315" s="557"/>
      <c r="AD315" s="557"/>
      <c r="AE315" s="557"/>
      <c r="AF315" s="557"/>
      <c r="AG315" s="557"/>
      <c r="AH315" s="557">
        <v>55</v>
      </c>
      <c r="AI315" s="557"/>
      <c r="AJ315" s="557"/>
      <c r="AK315" s="557"/>
      <c r="AL315" s="557"/>
      <c r="AM315" s="557"/>
      <c r="AN315" s="557"/>
      <c r="AO315" s="563"/>
      <c r="AP315" s="557">
        <v>106</v>
      </c>
      <c r="AQ315" s="557"/>
      <c r="AR315" s="559"/>
      <c r="AS315" s="557">
        <v>5</v>
      </c>
      <c r="AT315" s="557">
        <v>0</v>
      </c>
      <c r="AU315" s="557">
        <v>67</v>
      </c>
      <c r="AV315" s="557"/>
      <c r="AW315" s="557">
        <v>106</v>
      </c>
      <c r="AX315" s="554" t="s">
        <v>43</v>
      </c>
      <c r="AY315" s="563" t="s">
        <v>145</v>
      </c>
      <c r="AZ315" s="557"/>
      <c r="BA315" s="557"/>
      <c r="BB315" s="557"/>
      <c r="BC315" s="554"/>
      <c r="BD315" s="557"/>
      <c r="BE315" s="557"/>
      <c r="BF315" s="557"/>
      <c r="BG315" s="557"/>
      <c r="BH315" s="557"/>
      <c r="BI315" s="557">
        <v>9</v>
      </c>
      <c r="BJ315" s="557"/>
      <c r="BK315" s="557">
        <v>400</v>
      </c>
      <c r="BL315" s="557">
        <v>400</v>
      </c>
      <c r="BM315" s="554" t="s">
        <v>43</v>
      </c>
      <c r="BN315" s="558">
        <v>0</v>
      </c>
      <c r="BO315" s="559"/>
      <c r="BP315" s="554"/>
      <c r="BQ315" s="560" t="str">
        <f>IFERROR(WWWW[[#This Row],['#_Water sources treated]]/WWWW[[#This Row],['#_Water sources tested for contamination]],"no test")</f>
        <v>no test</v>
      </c>
      <c r="BR315" s="559" t="str">
        <f>IFERROR(WWWW[[#This Row],['#_Household received remediation action due to contamination]]/WWWW[[#This Row],['#_Household water samples tested for contamination]],"no test")</f>
        <v>no test</v>
      </c>
      <c r="BS315" s="558" t="str">
        <f>IF(AND(WWWW[[#This Row],[% of water sources treated]]="no test",WWWW[[#This Row],[% Household received corrective actions]]="no test"),"No Test","Tested")</f>
        <v>No Test</v>
      </c>
      <c r="BT315" s="558">
        <f>WWWW[[#This Row],['#_Constructed/existing protected hand dug well]]-WWWW[[#This Row],['#_Non-functional protected hand dug well]]</f>
        <v>0</v>
      </c>
      <c r="BU315" s="558">
        <f>(WWWW[[#This Row],['#_Constructed/Existing tube wells/boreholes/handpumps_WASH_agency]]+WWWW[[#This Row],['#_Non-Cluster partner water tube-wells/boreholes/handpumps]])-WWWW[[#This Row],['#_Non-functional tube wells/boreholes/handpumps]]</f>
        <v>45</v>
      </c>
      <c r="BV315" s="558">
        <f>WWWW[[#This Row],['#_Constructed/Existingwater storage tank with gravity fed reticulation system]]-WWWW[[#This Row],['#_Non-functional storage tank gravity fed reticulation system]]</f>
        <v>0</v>
      </c>
      <c r="BW315" s="558">
        <f>WWWW[[#This Row],['#_Water boating or water trucking]]</f>
        <v>0</v>
      </c>
      <c r="BX315" s="558">
        <f>WWWW[[#This Row],['#_Constructed/Existing water distribution system from river or natural spring]]</f>
        <v>0</v>
      </c>
      <c r="BY31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5" s="559">
        <f>IF(WWWW[[#This Row],[Location Type 1]]="Village",WWWW[[#This Row],[Access to safe drinking water for Village]],WWWW[[#This Row],[Access to safe drinking water for Camp]])</f>
        <v>1</v>
      </c>
      <c r="CB315" s="556">
        <f>WWWW[[#This Row],[%Equitable and continuous access to sufficient quantity of safe drinking water]]*WWWW[[#This Row],[Total PoP ]]</f>
        <v>2248</v>
      </c>
      <c r="CC315" s="559">
        <f>IF((WWWW[[#This Row],['#_Constructed/Existing protected/fenced ponds]]*250)/WWWW[[#This Row],[Total PoP ]]&gt;1,1,(WWWW[[#This Row],['#_Constructed/Existing protected/fenced ponds]]*250)/WWWW[[#This Row],[Total PoP ]])</f>
        <v>0</v>
      </c>
      <c r="CD315" s="556">
        <f>WWWW[[#This Row],[% Access to unimproved water points]]*WWWW[[#This Row],[Total PoP ]]</f>
        <v>0</v>
      </c>
      <c r="CE31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2248</v>
      </c>
      <c r="CG315" s="556">
        <f>WWWW[[#This Row],[HRP1]]/500</f>
        <v>4.4960000000000004</v>
      </c>
      <c r="CH315" s="561">
        <f>1-WWWW[[#This Row],[% Equitable and continuous access to sufficient quantity of domestic water]]</f>
        <v>0</v>
      </c>
      <c r="CI315" s="556">
        <f>WWWW[[#This Row],[%equitable and continuous access to sufficient quantity of safe drinking and domestic water''s GAP]]*WWWW[[#This Row],[Total PoP ]]</f>
        <v>0</v>
      </c>
      <c r="CJ315" s="558">
        <f>IF(WWWW[[#This Row],[Total required water points]]-WWWW[[#This Row],['#Water points coverage]]&lt;0,0,WWWW[[#This Row],[Total required water points]]-WWWW[[#This Row],['#Water points coverage]])</f>
        <v>0</v>
      </c>
      <c r="CK315" s="558">
        <f>ROUND(IF(WWWW[[#This Row],[Total PoP ]]&lt;500,1,WWWW[[#This Row],[Total PoP ]]/500),0)</f>
        <v>4</v>
      </c>
      <c r="CL315" s="558">
        <f>(WWWW[[#This Row],['#_Constructed latrines_by_WASHAgencies]]+WWWW[[#This Row],['#_Non Cluster partner latrines]])-WWWW[[#This Row],['#_Non-functional latrines]]</f>
        <v>101</v>
      </c>
      <c r="CM31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0.89857651245551606</v>
      </c>
      <c r="CN31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2020</v>
      </c>
      <c r="CO315"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1340</v>
      </c>
      <c r="CP315" s="558">
        <f>IF(WWWW[[#This Row],[Location Type 1]]="Village","NA",IF(WWWW[[#This Row],['#_Constructed/Existing latrines in TLS]]*50&gt;WWWW[[#This Row],['#_students at TLS_CFS]],WWWW[[#This Row],['#_students at TLS_CFS]],(WWWW[[#This Row],['#_Constructed/Existing latrines in TLS]]*50)))</f>
        <v>0</v>
      </c>
      <c r="CQ315" s="558">
        <f>ROUND(IF(WWWW[[#This Row],[Location Type 1]]="camp",WWWW[[#This Row],[Total PoP ]]/20,IF(WWWW[[#This Row],[Location Type 1]]="Temporary Location",WWWW[[#This Row],[Total PoP ]]/50,(WWWW[[#This Row],[Total PoP ]]/6))),0)</f>
        <v>112</v>
      </c>
      <c r="CR315" s="558">
        <f>IF(WWWW[[#This Row],[Total required Latrines]]-(WWWW[[#This Row],['#_Constructed latrines_by_WASHAgencies]]+WWWW[[#This Row],['#_Non Cluster partner latrines]])&lt;0,0,WWWW[[#This Row],[Total required Latrines]]-(WWWW[[#This Row],['#_Constructed latrines_by_WASHAgencies]]+WWWW[[#This Row],['#_Non Cluster partner latrines]]))</f>
        <v>6</v>
      </c>
      <c r="CS315" s="78">
        <f>1-WWWW[[#This Row],[% people access to functioning Latrine]]</f>
        <v>0.10142348754448394</v>
      </c>
      <c r="CT315" s="560">
        <f>IF(OR(WWWW[[#This Row],['#_Non-functional latrines]]="",WWWW[[#This Row],['#_Non-functional latrines]]=0),0,WWWW[[#This Row],['#_Non-functional latrines]]/(WWWW[[#This Row],['#_Constructed latrines_by_WASHAgencies]]+WWWW[[#This Row],['#_Non Cluster partner latrines]]))</f>
        <v>4.716981132075472E-2</v>
      </c>
      <c r="CU315" s="556">
        <f>IF(500*(WWWW[[#This Row],['#_male hygiene promoters]]+WWWW[[#This Row],['#_female hygiene promoters]])&gt;WWWW[[#This Row],[Total PoP ]],WWWW[[#This Row],[Total PoP ]],500*(WWWW[[#This Row],['#_male hygiene promoters]]+WWWW[[#This Row],['#_female hygiene promoters]]))</f>
        <v>2248</v>
      </c>
      <c r="CV31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2248</v>
      </c>
      <c r="CW31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2248</v>
      </c>
      <c r="CX315" s="558">
        <f>IF(WWWW[[#This Row],['# People with access to soap]]&gt;WWWW[[#This Row],['# People with access to Sanity Pads]],WWWW[[#This Row],['# People with access to soap]],WWWW[[#This Row],['# People with access to Sanity Pads]])</f>
        <v>2248</v>
      </c>
      <c r="CY315" s="558">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Z315" s="561">
        <f>IF(WWWW[[#This Row],[HRP3]]/WWWW[[#This Row],[Total PoP ]]&gt;100%,100%,WWWW[[#This Row],[HRP3]]/WWWW[[#This Row],[Total PoP ]])</f>
        <v>1</v>
      </c>
      <c r="DA315" s="560">
        <f>1-WWWW[[#This Row],[Hygiene Coverage%]]</f>
        <v>0</v>
      </c>
      <c r="DB315" s="559">
        <f>WWWW[[#This Row],['# people reached by regular dedicated hygiene promotion_5]]/WWWW[[#This Row],[Total PoP ]]</f>
        <v>1</v>
      </c>
      <c r="DC315" s="559">
        <f>IF(WWWW[[#This Row],['#_households that received standard amount of soap for this quarter]]/WWWW[[#This Row],[Total HH]]&gt;1,1,WWWW[[#This Row],['#_households that received standard amount of soap for this quarter]]/WWWW[[#This Row],[Total HH]])</f>
        <v>1</v>
      </c>
      <c r="DD315" s="559">
        <f>IF(WWWW[[#This Row],['#_households that received standard amount of sanitary pads for this quarter]]/WWWW[[#This Row],[Total HH]]&gt;1,1,WWWW[[#This Row],['#_households that received standard amount of sanitary pads for this quarter]]/WWWW[[#This Row],[Total HH]])</f>
        <v>1</v>
      </c>
      <c r="DE315" s="558">
        <f>WWWW[[#This Row],['#_Constructed/Existing hand washing stations]]-WWWW[[#This Row],['#_Non-Functional_hand_washing_stations]]</f>
        <v>0</v>
      </c>
      <c r="DF315" s="757">
        <f>IF(WWWW[[#This Row],['# Functional hand washing stations during reporting period]]*20&gt;WWWW[[#This Row],[Total HH]],WWWW[[#This Row],[Total HH]],WWWW[[#This Row],['# Functional hand washing stations during reporting period]]*20)</f>
        <v>0</v>
      </c>
      <c r="DG315" s="556">
        <f>IF(WWWW[[#This Row],[Is sufficient soap available for TLS? (Yes/No)]]="yes",WWWW[[#This Row],['#_Constructed/Existing hand washing stations at TLS]],0)</f>
        <v>0</v>
      </c>
      <c r="DH315" s="556">
        <f>IF(WWWW[[#This Row],['# Functional hand washing stations during reporting period]]*100&gt;WWWW[[#This Row],[Total PoP ]],WWWW[[#This Row],[Total PoP ]],WWWW[[#This Row],['# Functional hand washing stations during reporting period]]*100)</f>
        <v>0</v>
      </c>
      <c r="DI315" s="556" t="str">
        <f>IF(OR(WWWW[[#This Row],['#_students at TLS_CFS]]="",WWWW[[#This Row],['#_students at TLS_CFS]]=0),"No","Yes")</f>
        <v>No</v>
      </c>
      <c r="DJ315" s="554" t="str">
        <f>VLOOKUP(WWWW[[#This Row],[Site Name]],SiteDB6[[Site Name]:[CCCM Management]],6,FALSE)</f>
        <v>Yes</v>
      </c>
      <c r="DK315" s="554">
        <f>VLOOKUP(WWWW[[#This Row],[Site Name]],SiteDB6[[Site Name]:[CCCM Focal Agency]],7,FALSE)</f>
        <v>0</v>
      </c>
      <c r="DL315" s="554" t="str">
        <f>VLOOKUP(WWWW[[#This Row],[Site Name]],SiteDB6[[Site Name]:[Location Type 1]],9,FALSE)</f>
        <v>Camp</v>
      </c>
      <c r="DM315" s="554" t="str">
        <f>VLOOKUP(WWWW[[#This Row],[Site Name]],SiteDB6[[Site Name]:[Type of Accommodation]],10,FALSE)</f>
        <v>Planned Camp</v>
      </c>
      <c r="DN315" s="554" t="str">
        <f>VLOOKUP(WWWW[[#This Row],[Site Name]],SiteDB6[[Site Name]:[Ethnic or GCA/NGCA]],11,FALSE)</f>
        <v>Muslim</v>
      </c>
      <c r="DO315" s="554">
        <f>VLOOKUP(WWWW[[#This Row],[Site Name]],SiteDB6[[Site Name]:[Lat]],12,FALSE)</f>
        <v>20.181778000000001</v>
      </c>
      <c r="DP315" s="554">
        <f>VLOOKUP(WWWW[[#This Row],[Site Name]],SiteDB6[[Site Name]:[Long]],13,FALSE)</f>
        <v>92.823166999999998</v>
      </c>
      <c r="DQ315" s="554" t="str">
        <f>VLOOKUP(WWWW[[#This Row],[Site Name]],SiteDB6[[Site Name]:[Pcode]],3,FALSE)</f>
        <v>MMR012CMP042</v>
      </c>
      <c r="DR315" s="563" t="str">
        <f t="shared" si="10"/>
        <v>Covered</v>
      </c>
      <c r="DS315" s="563"/>
    </row>
    <row r="316" spans="1:123">
      <c r="A316" s="552" t="s">
        <v>2518</v>
      </c>
      <c r="B316" s="552" t="s">
        <v>2370</v>
      </c>
      <c r="C316" s="555" t="s">
        <v>2370</v>
      </c>
      <c r="D316" s="555" t="s">
        <v>42</v>
      </c>
      <c r="E316" s="574" t="s">
        <v>3006</v>
      </c>
      <c r="F316" s="555" t="s">
        <v>313</v>
      </c>
      <c r="G316" s="574" t="str">
        <f>VLOOKUP(WWWW[[#This Row],[Site Name]],SiteDB6[[Site Name]:[Location Type]],8,FALSE)</f>
        <v>Camp</v>
      </c>
      <c r="H316" s="555" t="s">
        <v>2374</v>
      </c>
      <c r="I316" s="557">
        <v>400</v>
      </c>
      <c r="J316" s="557">
        <v>2186</v>
      </c>
      <c r="K316" s="564"/>
      <c r="L316" s="565">
        <v>44104</v>
      </c>
      <c r="M316" s="557"/>
      <c r="N316" s="557"/>
      <c r="O316" s="557"/>
      <c r="P316" s="557" t="s">
        <v>2934</v>
      </c>
      <c r="Q316" s="556"/>
      <c r="R316" s="557"/>
      <c r="S316" s="557"/>
      <c r="T316" s="557"/>
      <c r="U316" s="557"/>
      <c r="V316" s="557"/>
      <c r="W316" s="557">
        <v>29</v>
      </c>
      <c r="X316" s="557"/>
      <c r="Y316" s="557">
        <v>2</v>
      </c>
      <c r="Z316" s="557">
        <v>9</v>
      </c>
      <c r="AA316" s="557"/>
      <c r="AB316" s="557"/>
      <c r="AC316" s="557"/>
      <c r="AD316" s="557"/>
      <c r="AE316" s="557"/>
      <c r="AF316" s="557"/>
      <c r="AG316" s="557"/>
      <c r="AH316" s="557">
        <v>29</v>
      </c>
      <c r="AI316" s="557"/>
      <c r="AJ316" s="557"/>
      <c r="AK316" s="557"/>
      <c r="AL316" s="557">
        <v>4</v>
      </c>
      <c r="AM316" s="557"/>
      <c r="AN316" s="557"/>
      <c r="AO316" s="563"/>
      <c r="AP316" s="557">
        <v>104</v>
      </c>
      <c r="AQ316" s="557"/>
      <c r="AR316" s="559"/>
      <c r="AS316" s="557">
        <v>18</v>
      </c>
      <c r="AT316" s="557">
        <v>1</v>
      </c>
      <c r="AU316" s="557">
        <v>38</v>
      </c>
      <c r="AV316" s="557"/>
      <c r="AW316" s="557">
        <v>104</v>
      </c>
      <c r="AX316" s="554" t="s">
        <v>43</v>
      </c>
      <c r="AY316" s="563" t="s">
        <v>145</v>
      </c>
      <c r="AZ316" s="557"/>
      <c r="BA316" s="557"/>
      <c r="BB316" s="557"/>
      <c r="BC316" s="554"/>
      <c r="BD316" s="557"/>
      <c r="BE316" s="557"/>
      <c r="BF316" s="557"/>
      <c r="BG316" s="557"/>
      <c r="BH316" s="557"/>
      <c r="BI316" s="557">
        <v>4</v>
      </c>
      <c r="BJ316" s="557">
        <v>2</v>
      </c>
      <c r="BK316" s="557">
        <v>400</v>
      </c>
      <c r="BL316" s="557">
        <v>400</v>
      </c>
      <c r="BM316" s="554"/>
      <c r="BN316" s="558">
        <v>30</v>
      </c>
      <c r="BO316" s="559"/>
      <c r="BP316" s="554"/>
      <c r="BQ316" s="560" t="str">
        <f>IFERROR(WWWW[[#This Row],['#_Water sources treated]]/WWWW[[#This Row],['#_Water sources tested for contamination]],"no test")</f>
        <v>no test</v>
      </c>
      <c r="BR316" s="559" t="str">
        <f>IFERROR(WWWW[[#This Row],['#_Household received remediation action due to contamination]]/WWWW[[#This Row],['#_Household water samples tested for contamination]],"no test")</f>
        <v>no test</v>
      </c>
      <c r="BS316" s="558" t="str">
        <f>IF(AND(WWWW[[#This Row],[% of water sources treated]]="no test",WWWW[[#This Row],[% Household received corrective actions]]="no test"),"No Test","Tested")</f>
        <v>No Test</v>
      </c>
      <c r="BT316" s="558">
        <f>WWWW[[#This Row],['#_Constructed/existing protected hand dug well]]-WWWW[[#This Row],['#_Non-functional protected hand dug well]]</f>
        <v>0</v>
      </c>
      <c r="BU316" s="558">
        <f>(WWWW[[#This Row],['#_Constructed/Existing tube wells/boreholes/handpumps_WASH_agency]]+WWWW[[#This Row],['#_Non-Cluster partner water tube-wells/boreholes/handpumps]])-WWWW[[#This Row],['#_Non-functional tube wells/boreholes/handpumps]]</f>
        <v>27</v>
      </c>
      <c r="BV316" s="558">
        <f>WWWW[[#This Row],['#_Constructed/Existingwater storage tank with gravity fed reticulation system]]-WWWW[[#This Row],['#_Non-functional storage tank gravity fed reticulation system]]</f>
        <v>0</v>
      </c>
      <c r="BW316" s="558">
        <f>WWWW[[#This Row],['#_Water boating or water trucking]]</f>
        <v>0</v>
      </c>
      <c r="BX316" s="558">
        <f>WWWW[[#This Row],['#_Constructed/Existing water distribution system from river or natural spring]]</f>
        <v>0</v>
      </c>
      <c r="BY31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6" s="559">
        <f>IF(WWWW[[#This Row],[Location Type 1]]="Village",WWWW[[#This Row],[Access to safe drinking water for Village]],WWWW[[#This Row],[Access to safe drinking water for Camp]])</f>
        <v>1</v>
      </c>
      <c r="CB316" s="556">
        <f>WWWW[[#This Row],[%Equitable and continuous access to sufficient quantity of safe drinking water]]*WWWW[[#This Row],[Total PoP ]]</f>
        <v>2186</v>
      </c>
      <c r="CC316" s="559">
        <f>IF((WWWW[[#This Row],['#_Constructed/Existing protected/fenced ponds]]*250)/WWWW[[#This Row],[Total PoP ]]&gt;1,1,(WWWW[[#This Row],['#_Constructed/Existing protected/fenced ponds]]*250)/WWWW[[#This Row],[Total PoP ]])</f>
        <v>0</v>
      </c>
      <c r="CD316" s="556">
        <f>WWWW[[#This Row],[% Access to unimproved water points]]*WWWW[[#This Row],[Total PoP ]]</f>
        <v>0</v>
      </c>
      <c r="CE31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2186</v>
      </c>
      <c r="CG316" s="556">
        <f>WWWW[[#This Row],[HRP1]]/500</f>
        <v>4.3719999999999999</v>
      </c>
      <c r="CH316" s="561">
        <f>1-WWWW[[#This Row],[% Equitable and continuous access to sufficient quantity of domestic water]]</f>
        <v>0</v>
      </c>
      <c r="CI316" s="556">
        <f>WWWW[[#This Row],[%equitable and continuous access to sufficient quantity of safe drinking and domestic water''s GAP]]*WWWW[[#This Row],[Total PoP ]]</f>
        <v>0</v>
      </c>
      <c r="CJ316" s="558">
        <f>IF(WWWW[[#This Row],[Total required water points]]-WWWW[[#This Row],['#Water points coverage]]&lt;0,0,WWWW[[#This Row],[Total required water points]]-WWWW[[#This Row],['#Water points coverage]])</f>
        <v>0</v>
      </c>
      <c r="CK316" s="558">
        <f>ROUND(IF(WWWW[[#This Row],[Total PoP ]]&lt;500,1,WWWW[[#This Row],[Total PoP ]]/500),0)</f>
        <v>4</v>
      </c>
      <c r="CL316" s="558">
        <f>(WWWW[[#This Row],['#_Constructed latrines_by_WASHAgencies]]+WWWW[[#This Row],['#_Non Cluster partner latrines]])-WWWW[[#This Row],['#_Non-functional latrines]]</f>
        <v>86</v>
      </c>
      <c r="CM31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0.78682525160109784</v>
      </c>
      <c r="CN31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1720</v>
      </c>
      <c r="CO316"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760</v>
      </c>
      <c r="CP316" s="558">
        <f>IF(WWWW[[#This Row],[Location Type 1]]="Village","NA",IF(WWWW[[#This Row],['#_Constructed/Existing latrines in TLS]]*50&gt;WWWW[[#This Row],['#_students at TLS_CFS]],WWWW[[#This Row],['#_students at TLS_CFS]],(WWWW[[#This Row],['#_Constructed/Existing latrines in TLS]]*50)))</f>
        <v>0</v>
      </c>
      <c r="CQ316" s="558">
        <f>ROUND(IF(WWWW[[#This Row],[Location Type 1]]="camp",WWWW[[#This Row],[Total PoP ]]/20,IF(WWWW[[#This Row],[Location Type 1]]="Temporary Location",WWWW[[#This Row],[Total PoP ]]/50,(WWWW[[#This Row],[Total PoP ]]/6))),0)</f>
        <v>109</v>
      </c>
      <c r="CR316" s="558">
        <f>IF(WWWW[[#This Row],[Total required Latrines]]-(WWWW[[#This Row],['#_Constructed latrines_by_WASHAgencies]]+WWWW[[#This Row],['#_Non Cluster partner latrines]])&lt;0,0,WWWW[[#This Row],[Total required Latrines]]-(WWWW[[#This Row],['#_Constructed latrines_by_WASHAgencies]]+WWWW[[#This Row],['#_Non Cluster partner latrines]]))</f>
        <v>5</v>
      </c>
      <c r="CS316" s="78">
        <f>1-WWWW[[#This Row],[% people access to functioning Latrine]]</f>
        <v>0.21317474839890216</v>
      </c>
      <c r="CT316" s="560">
        <f>IF(OR(WWWW[[#This Row],['#_Non-functional latrines]]="",WWWW[[#This Row],['#_Non-functional latrines]]=0),0,WWWW[[#This Row],['#_Non-functional latrines]]/(WWWW[[#This Row],['#_Constructed latrines_by_WASHAgencies]]+WWWW[[#This Row],['#_Non Cluster partner latrines]]))</f>
        <v>0.17307692307692307</v>
      </c>
      <c r="CU316" s="556">
        <f>IF(500*(WWWW[[#This Row],['#_male hygiene promoters]]+WWWW[[#This Row],['#_female hygiene promoters]])&gt;WWWW[[#This Row],[Total PoP ]],WWWW[[#This Row],[Total PoP ]],500*(WWWW[[#This Row],['#_male hygiene promoters]]+WWWW[[#This Row],['#_female hygiene promoters]]))</f>
        <v>2186</v>
      </c>
      <c r="CV31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2186</v>
      </c>
      <c r="CW31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2186</v>
      </c>
      <c r="CX316" s="558">
        <f>IF(WWWW[[#This Row],['# People with access to soap]]&gt;WWWW[[#This Row],['# People with access to Sanity Pads]],WWWW[[#This Row],['# People with access to soap]],WWWW[[#This Row],['# People with access to Sanity Pads]])</f>
        <v>2186</v>
      </c>
      <c r="CY316" s="558">
        <f>IF(WWWW[[#This Row],['# people reached by regular dedicated hygiene promotion_5]]&gt;WWWW[[#This Row],['# People received regular supply of hygiene items_6]],WWWW[[#This Row],['# people reached by regular dedicated hygiene promotion_5]],WWWW[[#This Row],['# People received regular supply of hygiene items_6]])</f>
        <v>2186</v>
      </c>
      <c r="CZ316" s="561">
        <f>IF(WWWW[[#This Row],[HRP3]]/WWWW[[#This Row],[Total PoP ]]&gt;100%,100%,WWWW[[#This Row],[HRP3]]/WWWW[[#This Row],[Total PoP ]])</f>
        <v>1</v>
      </c>
      <c r="DA316" s="560">
        <f>1-WWWW[[#This Row],[Hygiene Coverage%]]</f>
        <v>0</v>
      </c>
      <c r="DB316" s="559">
        <f>WWWW[[#This Row],['# people reached by regular dedicated hygiene promotion_5]]/WWWW[[#This Row],[Total PoP ]]</f>
        <v>1</v>
      </c>
      <c r="DC316" s="559">
        <f>IF(WWWW[[#This Row],['#_households that received standard amount of soap for this quarter]]/WWWW[[#This Row],[Total HH]]&gt;1,1,WWWW[[#This Row],['#_households that received standard amount of soap for this quarter]]/WWWW[[#This Row],[Total HH]])</f>
        <v>1</v>
      </c>
      <c r="DD316" s="559">
        <f>IF(WWWW[[#This Row],['#_households that received standard amount of sanitary pads for this quarter]]/WWWW[[#This Row],[Total HH]]&gt;1,1,WWWW[[#This Row],['#_households that received standard amount of sanitary pads for this quarter]]/WWWW[[#This Row],[Total HH]])</f>
        <v>1</v>
      </c>
      <c r="DE316" s="558">
        <f>WWWW[[#This Row],['#_Constructed/Existing hand washing stations]]-WWWW[[#This Row],['#_Non-Functional_hand_washing_stations]]</f>
        <v>0</v>
      </c>
      <c r="DF316" s="757">
        <f>IF(WWWW[[#This Row],['# Functional hand washing stations during reporting period]]*20&gt;WWWW[[#This Row],[Total HH]],WWWW[[#This Row],[Total HH]],WWWW[[#This Row],['# Functional hand washing stations during reporting period]]*20)</f>
        <v>0</v>
      </c>
      <c r="DG316" s="556">
        <f>IF(WWWW[[#This Row],[Is sufficient soap available for TLS? (Yes/No)]]="yes",WWWW[[#This Row],['#_Constructed/Existing hand washing stations at TLS]],0)</f>
        <v>0</v>
      </c>
      <c r="DH316" s="556">
        <f>IF(WWWW[[#This Row],['# Functional hand washing stations during reporting period]]*100&gt;WWWW[[#This Row],[Total PoP ]],WWWW[[#This Row],[Total PoP ]],WWWW[[#This Row],['# Functional hand washing stations during reporting period]]*100)</f>
        <v>0</v>
      </c>
      <c r="DI316" s="556" t="str">
        <f>IF(OR(WWWW[[#This Row],['#_students at TLS_CFS]]="",WWWW[[#This Row],['#_students at TLS_CFS]]=0),"No","Yes")</f>
        <v>No</v>
      </c>
      <c r="DJ316" s="554">
        <f>VLOOKUP(WWWW[[#This Row],[Site Name]],SiteDB6[[Site Name]:[CCCM Management]],6,FALSE)</f>
        <v>0</v>
      </c>
      <c r="DK316" s="554">
        <f>VLOOKUP(WWWW[[#This Row],[Site Name]],SiteDB6[[Site Name]:[CCCM Focal Agency]],7,FALSE)</f>
        <v>0</v>
      </c>
      <c r="DL316" s="554" t="str">
        <f>VLOOKUP(WWWW[[#This Row],[Site Name]],SiteDB6[[Site Name]:[Location Type 1]],9,FALSE)</f>
        <v>Camp</v>
      </c>
      <c r="DM316" s="554" t="str">
        <f>VLOOKUP(WWWW[[#This Row],[Site Name]],SiteDB6[[Site Name]:[Type of Accommodation]],10,FALSE)</f>
        <v>Planned Camp</v>
      </c>
      <c r="DN316" s="554" t="str">
        <f>VLOOKUP(WWWW[[#This Row],[Site Name]],SiteDB6[[Site Name]:[Ethnic or GCA/NGCA]],11,FALSE)</f>
        <v>Muslim</v>
      </c>
      <c r="DO316" s="554">
        <f>VLOOKUP(WWWW[[#This Row],[Site Name]],SiteDB6[[Site Name]:[Lat]],12,FALSE)</f>
        <v>20.180194</v>
      </c>
      <c r="DP316" s="554">
        <f>VLOOKUP(WWWW[[#This Row],[Site Name]],SiteDB6[[Site Name]:[Long]],13,FALSE)</f>
        <v>92.816638999999995</v>
      </c>
      <c r="DQ316" s="554" t="str">
        <f>VLOOKUP(WWWW[[#This Row],[Site Name]],SiteDB6[[Site Name]:[Pcode]],3,FALSE)</f>
        <v>MMR012CMP042</v>
      </c>
      <c r="DR316" s="563" t="str">
        <f t="shared" si="10"/>
        <v>Covered</v>
      </c>
      <c r="DS316" s="563"/>
    </row>
    <row r="317" spans="1:123">
      <c r="A317" s="552" t="s">
        <v>2518</v>
      </c>
      <c r="B317" s="552" t="s">
        <v>3000</v>
      </c>
      <c r="C317" s="555" t="s">
        <v>2368</v>
      </c>
      <c r="D317" s="555" t="s">
        <v>42</v>
      </c>
      <c r="E317" s="574" t="s">
        <v>3006</v>
      </c>
      <c r="F317" s="555" t="s">
        <v>313</v>
      </c>
      <c r="G317" s="574" t="str">
        <f>VLOOKUP(WWWW[[#This Row],[Site Name]],SiteDB6[[Site Name]:[Location Type]],8,FALSE)</f>
        <v>Camp</v>
      </c>
      <c r="H317" s="555" t="s">
        <v>449</v>
      </c>
      <c r="I317" s="557">
        <v>656</v>
      </c>
      <c r="J317" s="557">
        <v>3486</v>
      </c>
      <c r="K317" s="564"/>
      <c r="L317" s="565">
        <v>44104</v>
      </c>
      <c r="M317" s="557"/>
      <c r="N317" s="557"/>
      <c r="O317" s="557"/>
      <c r="P317" s="557" t="s">
        <v>2934</v>
      </c>
      <c r="Q317" s="556"/>
      <c r="R317" s="557"/>
      <c r="S317" s="557"/>
      <c r="T317" s="557"/>
      <c r="U317" s="557"/>
      <c r="V317" s="557"/>
      <c r="W317" s="557">
        <v>46</v>
      </c>
      <c r="X317" s="557"/>
      <c r="Y317" s="557">
        <v>17</v>
      </c>
      <c r="Z317" s="557">
        <v>13</v>
      </c>
      <c r="AA317" s="557"/>
      <c r="AB317" s="557"/>
      <c r="AC317" s="557"/>
      <c r="AD317" s="557"/>
      <c r="AE317" s="557"/>
      <c r="AF317" s="557"/>
      <c r="AG317" s="557"/>
      <c r="AH317" s="557">
        <v>46</v>
      </c>
      <c r="AI317" s="557">
        <v>30</v>
      </c>
      <c r="AJ317" s="557">
        <v>2</v>
      </c>
      <c r="AK317" s="557">
        <v>59</v>
      </c>
      <c r="AL317" s="557">
        <v>16</v>
      </c>
      <c r="AM317" s="557"/>
      <c r="AN317" s="557"/>
      <c r="AO317" s="563"/>
      <c r="AP317" s="557">
        <v>241</v>
      </c>
      <c r="AQ317" s="557"/>
      <c r="AR317" s="559"/>
      <c r="AS317" s="557">
        <v>78</v>
      </c>
      <c r="AT317" s="557">
        <v>134</v>
      </c>
      <c r="AU317" s="557">
        <v>114</v>
      </c>
      <c r="AV317" s="557"/>
      <c r="AW317" s="557">
        <v>241</v>
      </c>
      <c r="AX317" s="554" t="s">
        <v>43</v>
      </c>
      <c r="AY317" s="563" t="s">
        <v>145</v>
      </c>
      <c r="AZ317" s="557"/>
      <c r="BA317" s="557"/>
      <c r="BB317" s="557"/>
      <c r="BC317" s="554"/>
      <c r="BD317" s="557"/>
      <c r="BE317" s="557"/>
      <c r="BF317" s="557"/>
      <c r="BG317" s="557"/>
      <c r="BH317" s="557"/>
      <c r="BI317" s="557">
        <v>7</v>
      </c>
      <c r="BJ317" s="557"/>
      <c r="BK317" s="557">
        <v>656</v>
      </c>
      <c r="BL317" s="557">
        <v>656</v>
      </c>
      <c r="BM317" s="554" t="s">
        <v>43</v>
      </c>
      <c r="BN317" s="558">
        <v>39</v>
      </c>
      <c r="BO317" s="559"/>
      <c r="BP317" s="554"/>
      <c r="BQ317" s="560">
        <f>IFERROR(WWWW[[#This Row],['#_Water sources treated]]/WWWW[[#This Row],['#_Water sources tested for contamination]],"no test")</f>
        <v>6.6666666666666666E-2</v>
      </c>
      <c r="BR317" s="559">
        <f>IFERROR(WWWW[[#This Row],['#_Household received remediation action due to contamination]]/WWWW[[#This Row],['#_Household water samples tested for contamination]],"no test")</f>
        <v>0.2711864406779661</v>
      </c>
      <c r="BS317" s="558" t="str">
        <f>IF(AND(WWWW[[#This Row],[% of water sources treated]]="no test",WWWW[[#This Row],[% Household received corrective actions]]="no test"),"No Test","Tested")</f>
        <v>Tested</v>
      </c>
      <c r="BT317" s="558">
        <f>WWWW[[#This Row],['#_Constructed/existing protected hand dug well]]-WWWW[[#This Row],['#_Non-functional protected hand dug well]]</f>
        <v>0</v>
      </c>
      <c r="BU317" s="558">
        <f>(WWWW[[#This Row],['#_Constructed/Existing tube wells/boreholes/handpumps_WASH_agency]]+WWWW[[#This Row],['#_Non-Cluster partner water tube-wells/boreholes/handpumps]])-WWWW[[#This Row],['#_Non-functional tube wells/boreholes/handpumps]]</f>
        <v>29</v>
      </c>
      <c r="BV317" s="558">
        <f>WWWW[[#This Row],['#_Constructed/Existingwater storage tank with gravity fed reticulation system]]-WWWW[[#This Row],['#_Non-functional storage tank gravity fed reticulation system]]</f>
        <v>0</v>
      </c>
      <c r="BW317" s="558">
        <f>WWWW[[#This Row],['#_Water boating or water trucking]]</f>
        <v>0</v>
      </c>
      <c r="BX317" s="558">
        <f>WWWW[[#This Row],['#_Constructed/Existing water distribution system from river or natural spring]]</f>
        <v>0</v>
      </c>
      <c r="BY31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7" s="559">
        <f>IF(WWWW[[#This Row],[Location Type 1]]="Village",WWWW[[#This Row],[Access to safe drinking water for Village]],WWWW[[#This Row],[Access to safe drinking water for Camp]])</f>
        <v>1</v>
      </c>
      <c r="CB317" s="556">
        <f>WWWW[[#This Row],[%Equitable and continuous access to sufficient quantity of safe drinking water]]*WWWW[[#This Row],[Total PoP ]]</f>
        <v>3486</v>
      </c>
      <c r="CC317" s="559">
        <f>IF((WWWW[[#This Row],['#_Constructed/Existing protected/fenced ponds]]*250)/WWWW[[#This Row],[Total PoP ]]&gt;1,1,(WWWW[[#This Row],['#_Constructed/Existing protected/fenced ponds]]*250)/WWWW[[#This Row],[Total PoP ]])</f>
        <v>0</v>
      </c>
      <c r="CD317" s="556">
        <f>WWWW[[#This Row],[% Access to unimproved water points]]*WWWW[[#This Row],[Total PoP ]]</f>
        <v>0</v>
      </c>
      <c r="CE31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3486</v>
      </c>
      <c r="CG317" s="556">
        <f>WWWW[[#This Row],[HRP1]]/500</f>
        <v>6.9720000000000004</v>
      </c>
      <c r="CH317" s="561">
        <f>1-WWWW[[#This Row],[% Equitable and continuous access to sufficient quantity of domestic water]]</f>
        <v>0</v>
      </c>
      <c r="CI317" s="556">
        <f>WWWW[[#This Row],[%equitable and continuous access to sufficient quantity of safe drinking and domestic water''s GAP]]*WWWW[[#This Row],[Total PoP ]]</f>
        <v>0</v>
      </c>
      <c r="CJ317" s="558">
        <f>IF(WWWW[[#This Row],[Total required water points]]-WWWW[[#This Row],['#Water points coverage]]&lt;0,0,WWWW[[#This Row],[Total required water points]]-WWWW[[#This Row],['#Water points coverage]])</f>
        <v>2.7999999999999581E-2</v>
      </c>
      <c r="CK317" s="558">
        <f>ROUND(IF(WWWW[[#This Row],[Total PoP ]]&lt;500,1,WWWW[[#This Row],[Total PoP ]]/500),0)</f>
        <v>7</v>
      </c>
      <c r="CL317" s="558">
        <f>(WWWW[[#This Row],['#_Constructed latrines_by_WASHAgencies]]+WWWW[[#This Row],['#_Non Cluster partner latrines]])-WWWW[[#This Row],['#_Non-functional latrines]]</f>
        <v>163</v>
      </c>
      <c r="CM31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0.93516924842226046</v>
      </c>
      <c r="CN31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3260</v>
      </c>
      <c r="CO317"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2280</v>
      </c>
      <c r="CP317" s="558">
        <f>IF(WWWW[[#This Row],[Location Type 1]]="Village","NA",IF(WWWW[[#This Row],['#_Constructed/Existing latrines in TLS]]*50&gt;WWWW[[#This Row],['#_students at TLS_CFS]],WWWW[[#This Row],['#_students at TLS_CFS]],(WWWW[[#This Row],['#_Constructed/Existing latrines in TLS]]*50)))</f>
        <v>0</v>
      </c>
      <c r="CQ317" s="558">
        <f>ROUND(IF(WWWW[[#This Row],[Location Type 1]]="camp",WWWW[[#This Row],[Total PoP ]]/20,IF(WWWW[[#This Row],[Location Type 1]]="Temporary Location",WWWW[[#This Row],[Total PoP ]]/50,(WWWW[[#This Row],[Total PoP ]]/6))),0)</f>
        <v>174</v>
      </c>
      <c r="CR317" s="558">
        <f>IF(WWWW[[#This Row],[Total required Latrines]]-(WWWW[[#This Row],['#_Constructed latrines_by_WASHAgencies]]+WWWW[[#This Row],['#_Non Cluster partner latrines]])&lt;0,0,WWWW[[#This Row],[Total required Latrines]]-(WWWW[[#This Row],['#_Constructed latrines_by_WASHAgencies]]+WWWW[[#This Row],['#_Non Cluster partner latrines]]))</f>
        <v>0</v>
      </c>
      <c r="CS317" s="78">
        <f>1-WWWW[[#This Row],[% people access to functioning Latrine]]</f>
        <v>6.4830751577739543E-2</v>
      </c>
      <c r="CT317" s="560">
        <f>IF(OR(WWWW[[#This Row],['#_Non-functional latrines]]="",WWWW[[#This Row],['#_Non-functional latrines]]=0),0,WWWW[[#This Row],['#_Non-functional latrines]]/(WWWW[[#This Row],['#_Constructed latrines_by_WASHAgencies]]+WWWW[[#This Row],['#_Non Cluster partner latrines]]))</f>
        <v>0.32365145228215769</v>
      </c>
      <c r="CU317" s="556">
        <f>IF(500*(WWWW[[#This Row],['#_male hygiene promoters]]+WWWW[[#This Row],['#_female hygiene promoters]])&gt;WWWW[[#This Row],[Total PoP ]],WWWW[[#This Row],[Total PoP ]],500*(WWWW[[#This Row],['#_male hygiene promoters]]+WWWW[[#This Row],['#_female hygiene promoters]]))</f>
        <v>3486</v>
      </c>
      <c r="CV31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3486</v>
      </c>
      <c r="CW31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3486</v>
      </c>
      <c r="CX317" s="558">
        <f>IF(WWWW[[#This Row],['# People with access to soap]]&gt;WWWW[[#This Row],['# People with access to Sanity Pads]],WWWW[[#This Row],['# People with access to soap]],WWWW[[#This Row],['# People with access to Sanity Pads]])</f>
        <v>3486</v>
      </c>
      <c r="CY317" s="558">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Z317" s="561">
        <f>IF(WWWW[[#This Row],[HRP3]]/WWWW[[#This Row],[Total PoP ]]&gt;100%,100%,WWWW[[#This Row],[HRP3]]/WWWW[[#This Row],[Total PoP ]])</f>
        <v>1</v>
      </c>
      <c r="DA317" s="560">
        <f>1-WWWW[[#This Row],[Hygiene Coverage%]]</f>
        <v>0</v>
      </c>
      <c r="DB317" s="559">
        <f>WWWW[[#This Row],['# people reached by regular dedicated hygiene promotion_5]]/WWWW[[#This Row],[Total PoP ]]</f>
        <v>1</v>
      </c>
      <c r="DC317" s="559">
        <f>IF(WWWW[[#This Row],['#_households that received standard amount of soap for this quarter]]/WWWW[[#This Row],[Total HH]]&gt;1,1,WWWW[[#This Row],['#_households that received standard amount of soap for this quarter]]/WWWW[[#This Row],[Total HH]])</f>
        <v>1</v>
      </c>
      <c r="DD317" s="559">
        <f>IF(WWWW[[#This Row],['#_households that received standard amount of sanitary pads for this quarter]]/WWWW[[#This Row],[Total HH]]&gt;1,1,WWWW[[#This Row],['#_households that received standard amount of sanitary pads for this quarter]]/WWWW[[#This Row],[Total HH]])</f>
        <v>1</v>
      </c>
      <c r="DE317" s="558">
        <f>WWWW[[#This Row],['#_Constructed/Existing hand washing stations]]-WWWW[[#This Row],['#_Non-Functional_hand_washing_stations]]</f>
        <v>0</v>
      </c>
      <c r="DF317" s="757">
        <f>IF(WWWW[[#This Row],['# Functional hand washing stations during reporting period]]*20&gt;WWWW[[#This Row],[Total HH]],WWWW[[#This Row],[Total HH]],WWWW[[#This Row],['# Functional hand washing stations during reporting period]]*20)</f>
        <v>0</v>
      </c>
      <c r="DG317" s="556">
        <f>IF(WWWW[[#This Row],[Is sufficient soap available for TLS? (Yes/No)]]="yes",WWWW[[#This Row],['#_Constructed/Existing hand washing stations at TLS]],0)</f>
        <v>0</v>
      </c>
      <c r="DH317" s="556">
        <f>IF(WWWW[[#This Row],['# Functional hand washing stations during reporting period]]*100&gt;WWWW[[#This Row],[Total PoP ]],WWWW[[#This Row],[Total PoP ]],WWWW[[#This Row],['# Functional hand washing stations during reporting period]]*100)</f>
        <v>0</v>
      </c>
      <c r="DI317" s="556" t="str">
        <f>IF(OR(WWWW[[#This Row],['#_students at TLS_CFS]]="",WWWW[[#This Row],['#_students at TLS_CFS]]=0),"No","Yes")</f>
        <v>No</v>
      </c>
      <c r="DJ317" s="554" t="str">
        <f>VLOOKUP(WWWW[[#This Row],[Site Name]],SiteDB6[[Site Name]:[CCCM Management]],6,FALSE)</f>
        <v>Yes</v>
      </c>
      <c r="DK317" s="554">
        <f>VLOOKUP(WWWW[[#This Row],[Site Name]],SiteDB6[[Site Name]:[CCCM Focal Agency]],7,FALSE)</f>
        <v>0</v>
      </c>
      <c r="DL317" s="554" t="str">
        <f>VLOOKUP(WWWW[[#This Row],[Site Name]],SiteDB6[[Site Name]:[Location Type 1]],9,FALSE)</f>
        <v>Camp</v>
      </c>
      <c r="DM317" s="554" t="str">
        <f>VLOOKUP(WWWW[[#This Row],[Site Name]],SiteDB6[[Site Name]:[Type of Accommodation]],10,FALSE)</f>
        <v>Planned Camp</v>
      </c>
      <c r="DN317" s="554" t="str">
        <f>VLOOKUP(WWWW[[#This Row],[Site Name]],SiteDB6[[Site Name]:[Ethnic or GCA/NGCA]],11,FALSE)</f>
        <v>Muslim</v>
      </c>
      <c r="DO317" s="554">
        <f>VLOOKUP(WWWW[[#This Row],[Site Name]],SiteDB6[[Site Name]:[Lat]],12,FALSE)</f>
        <v>20.185917</v>
      </c>
      <c r="DP317" s="554">
        <f>VLOOKUP(WWWW[[#This Row],[Site Name]],SiteDB6[[Site Name]:[Long]],13,FALSE)</f>
        <v>92.831000000000003</v>
      </c>
      <c r="DQ317" s="554" t="str">
        <f>VLOOKUP(WWWW[[#This Row],[Site Name]],SiteDB6[[Site Name]:[Pcode]],3,FALSE)</f>
        <v>MMR012CMP092</v>
      </c>
      <c r="DR317" s="563" t="str">
        <f t="shared" si="10"/>
        <v>Covered</v>
      </c>
      <c r="DS317" s="563"/>
    </row>
    <row r="318" spans="1:123">
      <c r="A318" s="552" t="s">
        <v>2518</v>
      </c>
      <c r="B318" s="552" t="s">
        <v>3000</v>
      </c>
      <c r="C318" s="555" t="s">
        <v>2368</v>
      </c>
      <c r="D318" s="555" t="s">
        <v>42</v>
      </c>
      <c r="E318" s="574" t="s">
        <v>3006</v>
      </c>
      <c r="F318" s="555" t="s">
        <v>313</v>
      </c>
      <c r="G318" s="574" t="str">
        <f>VLOOKUP(WWWW[[#This Row],[Site Name]],SiteDB6[[Site Name]:[Location Type]],8,FALSE)</f>
        <v>Camp</v>
      </c>
      <c r="H318" s="555" t="s">
        <v>459</v>
      </c>
      <c r="I318" s="557">
        <v>673</v>
      </c>
      <c r="J318" s="557">
        <v>3095</v>
      </c>
      <c r="K318" s="564"/>
      <c r="L318" s="565">
        <v>44104</v>
      </c>
      <c r="M318" s="557"/>
      <c r="N318" s="557"/>
      <c r="O318" s="557"/>
      <c r="P318" s="557" t="s">
        <v>2934</v>
      </c>
      <c r="Q318" s="556"/>
      <c r="R318" s="557"/>
      <c r="S318" s="557"/>
      <c r="T318" s="557"/>
      <c r="U318" s="557"/>
      <c r="V318" s="557"/>
      <c r="W318" s="557">
        <v>80</v>
      </c>
      <c r="X318" s="557"/>
      <c r="Y318" s="557">
        <v>14</v>
      </c>
      <c r="Z318" s="557" t="s">
        <v>2934</v>
      </c>
      <c r="AA318" s="557"/>
      <c r="AB318" s="557"/>
      <c r="AC318" s="557"/>
      <c r="AD318" s="557"/>
      <c r="AE318" s="557"/>
      <c r="AF318" s="557"/>
      <c r="AG318" s="557"/>
      <c r="AH318" s="557">
        <v>80</v>
      </c>
      <c r="AI318" s="557">
        <v>2</v>
      </c>
      <c r="AJ318" s="557"/>
      <c r="AK318" s="557"/>
      <c r="AL318" s="557"/>
      <c r="AM318" s="557"/>
      <c r="AN318" s="557"/>
      <c r="AO318" s="563"/>
      <c r="AP318" s="557">
        <v>175</v>
      </c>
      <c r="AQ318" s="557"/>
      <c r="AR318" s="559"/>
      <c r="AS318" s="557">
        <v>14</v>
      </c>
      <c r="AT318" s="557">
        <v>0</v>
      </c>
      <c r="AU318" s="557">
        <v>14</v>
      </c>
      <c r="AV318" s="557"/>
      <c r="AW318" s="557">
        <v>175</v>
      </c>
      <c r="AX318" s="554" t="s">
        <v>43</v>
      </c>
      <c r="AY318" s="563" t="s">
        <v>145</v>
      </c>
      <c r="AZ318" s="557"/>
      <c r="BA318" s="557"/>
      <c r="BB318" s="557"/>
      <c r="BC318" s="554"/>
      <c r="BD318" s="557"/>
      <c r="BE318" s="557"/>
      <c r="BF318" s="557"/>
      <c r="BG318" s="557"/>
      <c r="BH318" s="557"/>
      <c r="BI318" s="557">
        <v>6</v>
      </c>
      <c r="BJ318" s="557"/>
      <c r="BK318" s="557">
        <v>705</v>
      </c>
      <c r="BL318" s="557">
        <v>705</v>
      </c>
      <c r="BM318" s="554" t="s">
        <v>43</v>
      </c>
      <c r="BN318" s="558">
        <v>3</v>
      </c>
      <c r="BO318" s="559"/>
      <c r="BP318" s="554"/>
      <c r="BQ318" s="560">
        <f>IFERROR(WWWW[[#This Row],['#_Water sources treated]]/WWWW[[#This Row],['#_Water sources tested for contamination]],"no test")</f>
        <v>0</v>
      </c>
      <c r="BR318" s="559" t="str">
        <f>IFERROR(WWWW[[#This Row],['#_Household received remediation action due to contamination]]/WWWW[[#This Row],['#_Household water samples tested for contamination]],"no test")</f>
        <v>no test</v>
      </c>
      <c r="BS318" s="558" t="str">
        <f>IF(AND(WWWW[[#This Row],[% of water sources treated]]="no test",WWWW[[#This Row],[% Household received corrective actions]]="no test"),"No Test","Tested")</f>
        <v>Tested</v>
      </c>
      <c r="BT318" s="558">
        <f>WWWW[[#This Row],['#_Constructed/existing protected hand dug well]]-WWWW[[#This Row],['#_Non-functional protected hand dug well]]</f>
        <v>0</v>
      </c>
      <c r="BU318" s="558">
        <f>(WWWW[[#This Row],['#_Constructed/Existing tube wells/boreholes/handpumps_WASH_agency]]+WWWW[[#This Row],['#_Non-Cluster partner water tube-wells/boreholes/handpumps]])-WWWW[[#This Row],['#_Non-functional tube wells/boreholes/handpumps]]</f>
        <v>66</v>
      </c>
      <c r="BV318" s="558">
        <f>WWWW[[#This Row],['#_Constructed/Existingwater storage tank with gravity fed reticulation system]]-WWWW[[#This Row],['#_Non-functional storage tank gravity fed reticulation system]]</f>
        <v>0</v>
      </c>
      <c r="BW318" s="558">
        <f>WWWW[[#This Row],['#_Water boating or water trucking]]</f>
        <v>0</v>
      </c>
      <c r="BX318" s="558">
        <f>WWWW[[#This Row],['#_Constructed/Existing water distribution system from river or natural spring]]</f>
        <v>0</v>
      </c>
      <c r="BY31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8" s="559">
        <f>IF(WWWW[[#This Row],[Location Type 1]]="Village",WWWW[[#This Row],[Access to safe drinking water for Village]],WWWW[[#This Row],[Access to safe drinking water for Camp]])</f>
        <v>1</v>
      </c>
      <c r="CB318" s="556">
        <f>WWWW[[#This Row],[%Equitable and continuous access to sufficient quantity of safe drinking water]]*WWWW[[#This Row],[Total PoP ]]</f>
        <v>3095</v>
      </c>
      <c r="CC318" s="559">
        <f>IF((WWWW[[#This Row],['#_Constructed/Existing protected/fenced ponds]]*250)/WWWW[[#This Row],[Total PoP ]]&gt;1,1,(WWWW[[#This Row],['#_Constructed/Existing protected/fenced ponds]]*250)/WWWW[[#This Row],[Total PoP ]])</f>
        <v>0</v>
      </c>
      <c r="CD318" s="556">
        <f>WWWW[[#This Row],[% Access to unimproved water points]]*WWWW[[#This Row],[Total PoP ]]</f>
        <v>0</v>
      </c>
      <c r="CE31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3095</v>
      </c>
      <c r="CG318" s="556">
        <f>WWWW[[#This Row],[HRP1]]/500</f>
        <v>6.19</v>
      </c>
      <c r="CH318" s="561">
        <f>1-WWWW[[#This Row],[% Equitable and continuous access to sufficient quantity of domestic water]]</f>
        <v>0</v>
      </c>
      <c r="CI318" s="556">
        <f>WWWW[[#This Row],[%equitable and continuous access to sufficient quantity of safe drinking and domestic water''s GAP]]*WWWW[[#This Row],[Total PoP ]]</f>
        <v>0</v>
      </c>
      <c r="CJ318" s="558">
        <f>IF(WWWW[[#This Row],[Total required water points]]-WWWW[[#This Row],['#Water points coverage]]&lt;0,0,WWWW[[#This Row],[Total required water points]]-WWWW[[#This Row],['#Water points coverage]])</f>
        <v>0</v>
      </c>
      <c r="CK318" s="558">
        <f>ROUND(IF(WWWW[[#This Row],[Total PoP ]]&lt;500,1,WWWW[[#This Row],[Total PoP ]]/500),0)</f>
        <v>6</v>
      </c>
      <c r="CL318" s="558">
        <f>(WWWW[[#This Row],['#_Constructed latrines_by_WASHAgencies]]+WWWW[[#This Row],['#_Non Cluster partner latrines]])-WWWW[[#This Row],['#_Non-functional latrines]]</f>
        <v>161</v>
      </c>
      <c r="CM31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1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3095</v>
      </c>
      <c r="CO318"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318" s="558">
        <f>IF(WWWW[[#This Row],[Location Type 1]]="Village","NA",IF(WWWW[[#This Row],['#_Constructed/Existing latrines in TLS]]*50&gt;WWWW[[#This Row],['#_students at TLS_CFS]],WWWW[[#This Row],['#_students at TLS_CFS]],(WWWW[[#This Row],['#_Constructed/Existing latrines in TLS]]*50)))</f>
        <v>0</v>
      </c>
      <c r="CQ318" s="558">
        <f>ROUND(IF(WWWW[[#This Row],[Location Type 1]]="camp",WWWW[[#This Row],[Total PoP ]]/20,IF(WWWW[[#This Row],[Location Type 1]]="Temporary Location",WWWW[[#This Row],[Total PoP ]]/50,(WWWW[[#This Row],[Total PoP ]]/6))),0)</f>
        <v>155</v>
      </c>
      <c r="CR318" s="558">
        <f>IF(WWWW[[#This Row],[Total required Latrines]]-(WWWW[[#This Row],['#_Constructed latrines_by_WASHAgencies]]+WWWW[[#This Row],['#_Non Cluster partner latrines]])&lt;0,0,WWWW[[#This Row],[Total required Latrines]]-(WWWW[[#This Row],['#_Constructed latrines_by_WASHAgencies]]+WWWW[[#This Row],['#_Non Cluster partner latrines]]))</f>
        <v>0</v>
      </c>
      <c r="CS318" s="78">
        <f>1-WWWW[[#This Row],[% people access to functioning Latrine]]</f>
        <v>0</v>
      </c>
      <c r="CT318" s="560">
        <f>IF(OR(WWWW[[#This Row],['#_Non-functional latrines]]="",WWWW[[#This Row],['#_Non-functional latrines]]=0),0,WWWW[[#This Row],['#_Non-functional latrines]]/(WWWW[[#This Row],['#_Constructed latrines_by_WASHAgencies]]+WWWW[[#This Row],['#_Non Cluster partner latrines]]))</f>
        <v>0.08</v>
      </c>
      <c r="CU318" s="556">
        <f>IF(500*(WWWW[[#This Row],['#_male hygiene promoters]]+WWWW[[#This Row],['#_female hygiene promoters]])&gt;WWWW[[#This Row],[Total PoP ]],WWWW[[#This Row],[Total PoP ]],500*(WWWW[[#This Row],['#_male hygiene promoters]]+WWWW[[#This Row],['#_female hygiene promoters]]))</f>
        <v>3000</v>
      </c>
      <c r="CV31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3095</v>
      </c>
      <c r="CW31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3095</v>
      </c>
      <c r="CX318" s="558">
        <f>IF(WWWW[[#This Row],['# People with access to soap]]&gt;WWWW[[#This Row],['# People with access to Sanity Pads]],WWWW[[#This Row],['# People with access to soap]],WWWW[[#This Row],['# People with access to Sanity Pads]])</f>
        <v>3095</v>
      </c>
      <c r="CY318" s="558">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Z318" s="561">
        <f>IF(WWWW[[#This Row],[HRP3]]/WWWW[[#This Row],[Total PoP ]]&gt;100%,100%,WWWW[[#This Row],[HRP3]]/WWWW[[#This Row],[Total PoP ]])</f>
        <v>1</v>
      </c>
      <c r="DA318" s="560">
        <f>1-WWWW[[#This Row],[Hygiene Coverage%]]</f>
        <v>0</v>
      </c>
      <c r="DB318" s="559">
        <f>WWWW[[#This Row],['# people reached by regular dedicated hygiene promotion_5]]/WWWW[[#This Row],[Total PoP ]]</f>
        <v>0.96930533117932149</v>
      </c>
      <c r="DC318" s="559">
        <f>IF(WWWW[[#This Row],['#_households that received standard amount of soap for this quarter]]/WWWW[[#This Row],[Total HH]]&gt;1,1,WWWW[[#This Row],['#_households that received standard amount of soap for this quarter]]/WWWW[[#This Row],[Total HH]])</f>
        <v>1</v>
      </c>
      <c r="DD318" s="559">
        <f>IF(WWWW[[#This Row],['#_households that received standard amount of sanitary pads for this quarter]]/WWWW[[#This Row],[Total HH]]&gt;1,1,WWWW[[#This Row],['#_households that received standard amount of sanitary pads for this quarter]]/WWWW[[#This Row],[Total HH]])</f>
        <v>1</v>
      </c>
      <c r="DE318" s="558">
        <f>WWWW[[#This Row],['#_Constructed/Existing hand washing stations]]-WWWW[[#This Row],['#_Non-Functional_hand_washing_stations]]</f>
        <v>0</v>
      </c>
      <c r="DF318" s="757">
        <f>IF(WWWW[[#This Row],['# Functional hand washing stations during reporting period]]*20&gt;WWWW[[#This Row],[Total HH]],WWWW[[#This Row],[Total HH]],WWWW[[#This Row],['# Functional hand washing stations during reporting period]]*20)</f>
        <v>0</v>
      </c>
      <c r="DG318" s="556">
        <f>IF(WWWW[[#This Row],[Is sufficient soap available for TLS? (Yes/No)]]="yes",WWWW[[#This Row],['#_Constructed/Existing hand washing stations at TLS]],0)</f>
        <v>0</v>
      </c>
      <c r="DH318" s="556">
        <f>IF(WWWW[[#This Row],['# Functional hand washing stations during reporting period]]*100&gt;WWWW[[#This Row],[Total PoP ]],WWWW[[#This Row],[Total PoP ]],WWWW[[#This Row],['# Functional hand washing stations during reporting period]]*100)</f>
        <v>0</v>
      </c>
      <c r="DI318" s="556" t="str">
        <f>IF(OR(WWWW[[#This Row],['#_students at TLS_CFS]]="",WWWW[[#This Row],['#_students at TLS_CFS]]=0),"No","Yes")</f>
        <v>No</v>
      </c>
      <c r="DJ318" s="554" t="str">
        <f>VLOOKUP(WWWW[[#This Row],[Site Name]],SiteDB6[[Site Name]:[CCCM Management]],6,FALSE)</f>
        <v>Yes</v>
      </c>
      <c r="DK318" s="554">
        <f>VLOOKUP(WWWW[[#This Row],[Site Name]],SiteDB6[[Site Name]:[CCCM Focal Agency]],7,FALSE)</f>
        <v>0</v>
      </c>
      <c r="DL318" s="554" t="str">
        <f>VLOOKUP(WWWW[[#This Row],[Site Name]],SiteDB6[[Site Name]:[Location Type 1]],9,FALSE)</f>
        <v>Camp</v>
      </c>
      <c r="DM318" s="554" t="str">
        <f>VLOOKUP(WWWW[[#This Row],[Site Name]],SiteDB6[[Site Name]:[Type of Accommodation]],10,FALSE)</f>
        <v>Planned Camp</v>
      </c>
      <c r="DN318" s="554" t="str">
        <f>VLOOKUP(WWWW[[#This Row],[Site Name]],SiteDB6[[Site Name]:[Ethnic or GCA/NGCA]],11,FALSE)</f>
        <v>Muslim</v>
      </c>
      <c r="DO318" s="554">
        <f>VLOOKUP(WWWW[[#This Row],[Site Name]],SiteDB6[[Site Name]:[Lat]],12,FALSE)</f>
        <v>20.206778</v>
      </c>
      <c r="DP318" s="554">
        <f>VLOOKUP(WWWW[[#This Row],[Site Name]],SiteDB6[[Site Name]:[Long]],13,FALSE)</f>
        <v>92.774193999999994</v>
      </c>
      <c r="DQ318" s="554" t="str">
        <f>VLOOKUP(WWWW[[#This Row],[Site Name]],SiteDB6[[Site Name]:[Pcode]],3,FALSE)</f>
        <v>MMR012CMP098</v>
      </c>
      <c r="DR318" s="563" t="str">
        <f t="shared" si="10"/>
        <v>Covered</v>
      </c>
      <c r="DS318" s="563"/>
    </row>
    <row r="319" spans="1:123">
      <c r="A319" s="552" t="s">
        <v>2518</v>
      </c>
      <c r="B319" s="552" t="s">
        <v>3000</v>
      </c>
      <c r="C319" s="555" t="s">
        <v>2368</v>
      </c>
      <c r="D319" s="555" t="s">
        <v>42</v>
      </c>
      <c r="E319" s="574" t="s">
        <v>3006</v>
      </c>
      <c r="F319" s="555" t="s">
        <v>313</v>
      </c>
      <c r="G319" s="574" t="str">
        <f>VLOOKUP(WWWW[[#This Row],[Site Name]],SiteDB6[[Site Name]:[Location Type]],8,FALSE)</f>
        <v>Camp</v>
      </c>
      <c r="H319" s="555" t="s">
        <v>450</v>
      </c>
      <c r="I319" s="557">
        <v>2428</v>
      </c>
      <c r="J319" s="557">
        <v>13302</v>
      </c>
      <c r="K319" s="564"/>
      <c r="L319" s="565">
        <v>44104</v>
      </c>
      <c r="M319" s="557"/>
      <c r="N319" s="557"/>
      <c r="O319" s="557"/>
      <c r="P319" s="557" t="s">
        <v>2934</v>
      </c>
      <c r="Q319" s="556"/>
      <c r="R319" s="557"/>
      <c r="S319" s="557"/>
      <c r="T319" s="557"/>
      <c r="U319" s="557"/>
      <c r="V319" s="557"/>
      <c r="W319" s="557">
        <v>226</v>
      </c>
      <c r="X319" s="557"/>
      <c r="Y319" s="557">
        <v>117</v>
      </c>
      <c r="Z319" s="557">
        <v>26</v>
      </c>
      <c r="AA319" s="557"/>
      <c r="AB319" s="557"/>
      <c r="AC319" s="557"/>
      <c r="AD319" s="557"/>
      <c r="AE319" s="557"/>
      <c r="AF319" s="557"/>
      <c r="AG319" s="557"/>
      <c r="AH319" s="557">
        <v>226</v>
      </c>
      <c r="AI319" s="557"/>
      <c r="AJ319" s="557"/>
      <c r="AK319" s="557"/>
      <c r="AL319" s="557"/>
      <c r="AM319" s="557"/>
      <c r="AN319" s="557"/>
      <c r="AO319" s="563"/>
      <c r="AP319" s="557">
        <v>778</v>
      </c>
      <c r="AQ319" s="557"/>
      <c r="AR319" s="559"/>
      <c r="AS319" s="557">
        <v>431</v>
      </c>
      <c r="AT319" s="557">
        <v>242</v>
      </c>
      <c r="AU319" s="557">
        <v>359</v>
      </c>
      <c r="AV319" s="557"/>
      <c r="AW319" s="557">
        <v>778</v>
      </c>
      <c r="AX319" s="554" t="s">
        <v>43</v>
      </c>
      <c r="AY319" s="563" t="s">
        <v>145</v>
      </c>
      <c r="AZ319" s="557"/>
      <c r="BA319" s="557"/>
      <c r="BB319" s="557"/>
      <c r="BC319" s="554"/>
      <c r="BD319" s="557"/>
      <c r="BE319" s="557"/>
      <c r="BF319" s="557"/>
      <c r="BG319" s="557"/>
      <c r="BH319" s="557"/>
      <c r="BI319" s="557">
        <v>28</v>
      </c>
      <c r="BJ319" s="557"/>
      <c r="BK319" s="557">
        <v>2728</v>
      </c>
      <c r="BL319" s="557">
        <v>2728</v>
      </c>
      <c r="BM319" s="554" t="s">
        <v>43</v>
      </c>
      <c r="BN319" s="558">
        <v>58</v>
      </c>
      <c r="BO319" s="559"/>
      <c r="BP319" s="554"/>
      <c r="BQ319" s="560" t="str">
        <f>IFERROR(WWWW[[#This Row],['#_Water sources treated]]/WWWW[[#This Row],['#_Water sources tested for contamination]],"no test")</f>
        <v>no test</v>
      </c>
      <c r="BR319" s="559" t="str">
        <f>IFERROR(WWWW[[#This Row],['#_Household received remediation action due to contamination]]/WWWW[[#This Row],['#_Household water samples tested for contamination]],"no test")</f>
        <v>no test</v>
      </c>
      <c r="BS319" s="558" t="str">
        <f>IF(AND(WWWW[[#This Row],[% of water sources treated]]="no test",WWWW[[#This Row],[% Household received corrective actions]]="no test"),"No Test","Tested")</f>
        <v>No Test</v>
      </c>
      <c r="BT319" s="558">
        <f>WWWW[[#This Row],['#_Constructed/existing protected hand dug well]]-WWWW[[#This Row],['#_Non-functional protected hand dug well]]</f>
        <v>0</v>
      </c>
      <c r="BU319" s="558">
        <f>(WWWW[[#This Row],['#_Constructed/Existing tube wells/boreholes/handpumps_WASH_agency]]+WWWW[[#This Row],['#_Non-Cluster partner water tube-wells/boreholes/handpumps]])-WWWW[[#This Row],['#_Non-functional tube wells/boreholes/handpumps]]</f>
        <v>109</v>
      </c>
      <c r="BV319" s="558">
        <f>WWWW[[#This Row],['#_Constructed/Existingwater storage tank with gravity fed reticulation system]]-WWWW[[#This Row],['#_Non-functional storage tank gravity fed reticulation system]]</f>
        <v>0</v>
      </c>
      <c r="BW319" s="558">
        <f>WWWW[[#This Row],['#_Water boating or water trucking]]</f>
        <v>0</v>
      </c>
      <c r="BX319" s="558">
        <f>WWWW[[#This Row],['#_Constructed/Existing water distribution system from river or natural spring]]</f>
        <v>0</v>
      </c>
      <c r="BY31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1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19" s="559">
        <f>IF(WWWW[[#This Row],[Location Type 1]]="Village",WWWW[[#This Row],[Access to safe drinking water for Village]],WWWW[[#This Row],[Access to safe drinking water for Camp]])</f>
        <v>1</v>
      </c>
      <c r="CB319" s="556">
        <f>WWWW[[#This Row],[%Equitable and continuous access to sufficient quantity of safe drinking water]]*WWWW[[#This Row],[Total PoP ]]</f>
        <v>13302</v>
      </c>
      <c r="CC319" s="559">
        <f>IF((WWWW[[#This Row],['#_Constructed/Existing protected/fenced ponds]]*250)/WWWW[[#This Row],[Total PoP ]]&gt;1,1,(WWWW[[#This Row],['#_Constructed/Existing protected/fenced ponds]]*250)/WWWW[[#This Row],[Total PoP ]])</f>
        <v>0</v>
      </c>
      <c r="CD319" s="556">
        <f>WWWW[[#This Row],[% Access to unimproved water points]]*WWWW[[#This Row],[Total PoP ]]</f>
        <v>0</v>
      </c>
      <c r="CE31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1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13302</v>
      </c>
      <c r="CG319" s="556">
        <f>WWWW[[#This Row],[HRP1]]/500</f>
        <v>26.603999999999999</v>
      </c>
      <c r="CH319" s="561">
        <f>1-WWWW[[#This Row],[% Equitable and continuous access to sufficient quantity of domestic water]]</f>
        <v>0</v>
      </c>
      <c r="CI319" s="556">
        <f>WWWW[[#This Row],[%equitable and continuous access to sufficient quantity of safe drinking and domestic water''s GAP]]*WWWW[[#This Row],[Total PoP ]]</f>
        <v>0</v>
      </c>
      <c r="CJ319" s="558">
        <f>IF(WWWW[[#This Row],[Total required water points]]-WWWW[[#This Row],['#Water points coverage]]&lt;0,0,WWWW[[#This Row],[Total required water points]]-WWWW[[#This Row],['#Water points coverage]])</f>
        <v>0.3960000000000008</v>
      </c>
      <c r="CK319" s="558">
        <f>ROUND(IF(WWWW[[#This Row],[Total PoP ]]&lt;500,1,WWWW[[#This Row],[Total PoP ]]/500),0)</f>
        <v>27</v>
      </c>
      <c r="CL319" s="558">
        <f>(WWWW[[#This Row],['#_Constructed latrines_by_WASHAgencies]]+WWWW[[#This Row],['#_Non Cluster partner latrines]])-WWWW[[#This Row],['#_Non-functional latrines]]</f>
        <v>347</v>
      </c>
      <c r="CM31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0.52172605623214552</v>
      </c>
      <c r="CN31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6940</v>
      </c>
      <c r="CO319"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7180</v>
      </c>
      <c r="CP319" s="558">
        <f>IF(WWWW[[#This Row],[Location Type 1]]="Village","NA",IF(WWWW[[#This Row],['#_Constructed/Existing latrines in TLS]]*50&gt;WWWW[[#This Row],['#_students at TLS_CFS]],WWWW[[#This Row],['#_students at TLS_CFS]],(WWWW[[#This Row],['#_Constructed/Existing latrines in TLS]]*50)))</f>
        <v>0</v>
      </c>
      <c r="CQ319" s="558">
        <f>ROUND(IF(WWWW[[#This Row],[Location Type 1]]="camp",WWWW[[#This Row],[Total PoP ]]/20,IF(WWWW[[#This Row],[Location Type 1]]="Temporary Location",WWWW[[#This Row],[Total PoP ]]/50,(WWWW[[#This Row],[Total PoP ]]/6))),0)</f>
        <v>665</v>
      </c>
      <c r="CR319" s="558">
        <f>IF(WWWW[[#This Row],[Total required Latrines]]-(WWWW[[#This Row],['#_Constructed latrines_by_WASHAgencies]]+WWWW[[#This Row],['#_Non Cluster partner latrines]])&lt;0,0,WWWW[[#This Row],[Total required Latrines]]-(WWWW[[#This Row],['#_Constructed latrines_by_WASHAgencies]]+WWWW[[#This Row],['#_Non Cluster partner latrines]]))</f>
        <v>0</v>
      </c>
      <c r="CS319" s="78">
        <f>1-WWWW[[#This Row],[% people access to functioning Latrine]]</f>
        <v>0.47827394376785448</v>
      </c>
      <c r="CT319" s="560">
        <f>IF(OR(WWWW[[#This Row],['#_Non-functional latrines]]="",WWWW[[#This Row],['#_Non-functional latrines]]=0),0,WWWW[[#This Row],['#_Non-functional latrines]]/(WWWW[[#This Row],['#_Constructed latrines_by_WASHAgencies]]+WWWW[[#This Row],['#_Non Cluster partner latrines]]))</f>
        <v>0.55398457583547556</v>
      </c>
      <c r="CU319" s="556">
        <f>IF(500*(WWWW[[#This Row],['#_male hygiene promoters]]+WWWW[[#This Row],['#_female hygiene promoters]])&gt;WWWW[[#This Row],[Total PoP ]],WWWW[[#This Row],[Total PoP ]],500*(WWWW[[#This Row],['#_male hygiene promoters]]+WWWW[[#This Row],['#_female hygiene promoters]]))</f>
        <v>13302</v>
      </c>
      <c r="CV31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13302</v>
      </c>
      <c r="CW31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13302</v>
      </c>
      <c r="CX319" s="558">
        <f>IF(WWWW[[#This Row],['# People with access to soap]]&gt;WWWW[[#This Row],['# People with access to Sanity Pads]],WWWW[[#This Row],['# People with access to soap]],WWWW[[#This Row],['# People with access to Sanity Pads]])</f>
        <v>13302</v>
      </c>
      <c r="CY319" s="558">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Z319" s="561">
        <f>IF(WWWW[[#This Row],[HRP3]]/WWWW[[#This Row],[Total PoP ]]&gt;100%,100%,WWWW[[#This Row],[HRP3]]/WWWW[[#This Row],[Total PoP ]])</f>
        <v>1</v>
      </c>
      <c r="DA319" s="560">
        <f>1-WWWW[[#This Row],[Hygiene Coverage%]]</f>
        <v>0</v>
      </c>
      <c r="DB319" s="559">
        <f>WWWW[[#This Row],['# people reached by regular dedicated hygiene promotion_5]]/WWWW[[#This Row],[Total PoP ]]</f>
        <v>1</v>
      </c>
      <c r="DC319" s="559">
        <f>IF(WWWW[[#This Row],['#_households that received standard amount of soap for this quarter]]/WWWW[[#This Row],[Total HH]]&gt;1,1,WWWW[[#This Row],['#_households that received standard amount of soap for this quarter]]/WWWW[[#This Row],[Total HH]])</f>
        <v>1</v>
      </c>
      <c r="DD319" s="559">
        <f>IF(WWWW[[#This Row],['#_households that received standard amount of sanitary pads for this quarter]]/WWWW[[#This Row],[Total HH]]&gt;1,1,WWWW[[#This Row],['#_households that received standard amount of sanitary pads for this quarter]]/WWWW[[#This Row],[Total HH]])</f>
        <v>1</v>
      </c>
      <c r="DE319" s="558">
        <f>WWWW[[#This Row],['#_Constructed/Existing hand washing stations]]-WWWW[[#This Row],['#_Non-Functional_hand_washing_stations]]</f>
        <v>0</v>
      </c>
      <c r="DF319" s="757">
        <f>IF(WWWW[[#This Row],['# Functional hand washing stations during reporting period]]*20&gt;WWWW[[#This Row],[Total HH]],WWWW[[#This Row],[Total HH]],WWWW[[#This Row],['# Functional hand washing stations during reporting period]]*20)</f>
        <v>0</v>
      </c>
      <c r="DG319" s="556">
        <f>IF(WWWW[[#This Row],[Is sufficient soap available for TLS? (Yes/No)]]="yes",WWWW[[#This Row],['#_Constructed/Existing hand washing stations at TLS]],0)</f>
        <v>0</v>
      </c>
      <c r="DH319" s="556">
        <f>IF(WWWW[[#This Row],['# Functional hand washing stations during reporting period]]*100&gt;WWWW[[#This Row],[Total PoP ]],WWWW[[#This Row],[Total PoP ]],WWWW[[#This Row],['# Functional hand washing stations during reporting period]]*100)</f>
        <v>0</v>
      </c>
      <c r="DI319" s="556" t="str">
        <f>IF(OR(WWWW[[#This Row],['#_students at TLS_CFS]]="",WWWW[[#This Row],['#_students at TLS_CFS]]=0),"No","Yes")</f>
        <v>No</v>
      </c>
      <c r="DJ319" s="554" t="str">
        <f>VLOOKUP(WWWW[[#This Row],[Site Name]],SiteDB6[[Site Name]:[CCCM Management]],6,FALSE)</f>
        <v>Yes</v>
      </c>
      <c r="DK319" s="554">
        <f>VLOOKUP(WWWW[[#This Row],[Site Name]],SiteDB6[[Site Name]:[CCCM Focal Agency]],7,FALSE)</f>
        <v>0</v>
      </c>
      <c r="DL319" s="554" t="str">
        <f>VLOOKUP(WWWW[[#This Row],[Site Name]],SiteDB6[[Site Name]:[Location Type 1]],9,FALSE)</f>
        <v>Camp</v>
      </c>
      <c r="DM319" s="554" t="str">
        <f>VLOOKUP(WWWW[[#This Row],[Site Name]],SiteDB6[[Site Name]:[Type of Accommodation]],10,FALSE)</f>
        <v>Planned Camp</v>
      </c>
      <c r="DN319" s="554" t="str">
        <f>VLOOKUP(WWWW[[#This Row],[Site Name]],SiteDB6[[Site Name]:[Ethnic or GCA/NGCA]],11,FALSE)</f>
        <v>Muslim</v>
      </c>
      <c r="DO319" s="554">
        <f>VLOOKUP(WWWW[[#This Row],[Site Name]],SiteDB6[[Site Name]:[Lat]],12,FALSE)</f>
        <v>20.18994</v>
      </c>
      <c r="DP319" s="554">
        <f>VLOOKUP(WWWW[[#This Row],[Site Name]],SiteDB6[[Site Name]:[Long]],13,FALSE)</f>
        <v>92.798880999999994</v>
      </c>
      <c r="DQ319" s="554" t="str">
        <f>VLOOKUP(WWWW[[#This Row],[Site Name]],SiteDB6[[Site Name]:[Pcode]],3,FALSE)</f>
        <v>MMR012CMP115</v>
      </c>
      <c r="DR319" s="563" t="str">
        <f t="shared" si="10"/>
        <v>Covered</v>
      </c>
      <c r="DS319" s="563"/>
    </row>
    <row r="320" spans="1:123" ht="31.5" customHeight="1">
      <c r="A320" s="552" t="s">
        <v>2518</v>
      </c>
      <c r="B320" s="552" t="s">
        <v>427</v>
      </c>
      <c r="C320" s="555" t="s">
        <v>427</v>
      </c>
      <c r="D320" s="555" t="s">
        <v>2839</v>
      </c>
      <c r="E320" s="574" t="s">
        <v>3006</v>
      </c>
      <c r="F320" s="555" t="s">
        <v>313</v>
      </c>
      <c r="G320" s="574" t="str">
        <f>VLOOKUP(WWWW[[#This Row],[Site Name]],SiteDB6[[Site Name]:[Location Type]],8,FALSE)</f>
        <v>Camp</v>
      </c>
      <c r="H320" s="555" t="s">
        <v>448</v>
      </c>
      <c r="I320" s="557">
        <v>2259</v>
      </c>
      <c r="J320" s="557">
        <v>11375</v>
      </c>
      <c r="K320" s="566" t="s">
        <v>2840</v>
      </c>
      <c r="L320" s="567" t="s">
        <v>2841</v>
      </c>
      <c r="M320" s="557">
        <v>3256</v>
      </c>
      <c r="N320" s="557">
        <v>12</v>
      </c>
      <c r="O320" s="557">
        <v>162</v>
      </c>
      <c r="P320" s="557">
        <v>0</v>
      </c>
      <c r="Q320" s="556" t="s">
        <v>144</v>
      </c>
      <c r="R320" s="557">
        <v>98</v>
      </c>
      <c r="S320" s="557">
        <v>76</v>
      </c>
      <c r="T320" s="557">
        <v>0</v>
      </c>
      <c r="U320" s="557">
        <v>0</v>
      </c>
      <c r="V320" s="557">
        <v>0</v>
      </c>
      <c r="W320" s="557">
        <v>151</v>
      </c>
      <c r="X320" s="557">
        <v>101</v>
      </c>
      <c r="Y320" s="557">
        <v>42</v>
      </c>
      <c r="Z320" s="557">
        <v>135</v>
      </c>
      <c r="AA320" s="557">
        <v>0</v>
      </c>
      <c r="AB320" s="557">
        <v>0</v>
      </c>
      <c r="AC320" s="557">
        <v>0</v>
      </c>
      <c r="AD320" s="557">
        <v>0</v>
      </c>
      <c r="AE320" s="557">
        <v>0</v>
      </c>
      <c r="AF320" s="557">
        <v>0</v>
      </c>
      <c r="AG320" s="557">
        <v>0</v>
      </c>
      <c r="AH320" s="557">
        <v>2</v>
      </c>
      <c r="AI320" s="557">
        <v>100</v>
      </c>
      <c r="AJ320" s="557">
        <v>7</v>
      </c>
      <c r="AK320" s="557">
        <v>120</v>
      </c>
      <c r="AL320" s="557">
        <v>45</v>
      </c>
      <c r="AM320" s="557" t="s">
        <v>2934</v>
      </c>
      <c r="AN320" s="557" t="s">
        <v>2934</v>
      </c>
      <c r="AO320" s="568" t="s">
        <v>2842</v>
      </c>
      <c r="AP320" s="557">
        <v>591</v>
      </c>
      <c r="AQ320" s="557">
        <v>240</v>
      </c>
      <c r="AR320" s="559"/>
      <c r="AS320" s="557">
        <v>225</v>
      </c>
      <c r="AT320" s="557">
        <v>130</v>
      </c>
      <c r="AU320" s="557">
        <v>476</v>
      </c>
      <c r="AV320" s="557" t="s">
        <v>2843</v>
      </c>
      <c r="AW320" s="557">
        <v>0</v>
      </c>
      <c r="AX320" s="554" t="s">
        <v>43</v>
      </c>
      <c r="AY320" s="563" t="s">
        <v>148</v>
      </c>
      <c r="AZ320" s="557">
        <v>32</v>
      </c>
      <c r="BA320" s="557">
        <v>26</v>
      </c>
      <c r="BB320" s="557">
        <v>2</v>
      </c>
      <c r="BC320" s="554" t="s">
        <v>2844</v>
      </c>
      <c r="BD320" s="557"/>
      <c r="BE320" s="557"/>
      <c r="BF320" s="557">
        <v>0</v>
      </c>
      <c r="BG320" s="557">
        <v>0</v>
      </c>
      <c r="BH320" s="557">
        <v>0</v>
      </c>
      <c r="BI320" s="557">
        <v>12</v>
      </c>
      <c r="BJ320" s="557">
        <v>10</v>
      </c>
      <c r="BK320" s="557">
        <v>2259</v>
      </c>
      <c r="BL320" s="557">
        <v>2259</v>
      </c>
      <c r="BM320" s="554" t="s">
        <v>144</v>
      </c>
      <c r="BN320" s="558">
        <v>0</v>
      </c>
      <c r="BO320" s="559">
        <v>0</v>
      </c>
      <c r="BP320" s="554" t="s">
        <v>2845</v>
      </c>
      <c r="BQ320" s="560">
        <f>IFERROR(WWWW[[#This Row],['#_Water sources treated]]/WWWW[[#This Row],['#_Water sources tested for contamination]],"no test")</f>
        <v>7.0000000000000007E-2</v>
      </c>
      <c r="BR320" s="559">
        <f>IFERROR(WWWW[[#This Row],['#_Household received remediation action due to contamination]]/WWWW[[#This Row],['#_Household water samples tested for contamination]],"no test")</f>
        <v>0.375</v>
      </c>
      <c r="BS320" s="558" t="str">
        <f>IF(AND(WWWW[[#This Row],[% of water sources treated]]="no test",WWWW[[#This Row],[% Household received corrective actions]]="no test"),"No Test","Tested")</f>
        <v>Tested</v>
      </c>
      <c r="BT320" s="558">
        <f>WWWW[[#This Row],['#_Constructed/existing protected hand dug well]]-WWWW[[#This Row],['#_Non-functional protected hand dug well]]</f>
        <v>0</v>
      </c>
      <c r="BU320" s="558">
        <f>(WWWW[[#This Row],['#_Constructed/Existing tube wells/boreholes/handpumps_WASH_agency]]+WWWW[[#This Row],['#_Non-Cluster partner water tube-wells/boreholes/handpumps]])-WWWW[[#This Row],['#_Non-functional tube wells/boreholes/handpumps]]</f>
        <v>210</v>
      </c>
      <c r="BV320" s="558">
        <f>WWWW[[#This Row],['#_Constructed/Existingwater storage tank with gravity fed reticulation system]]-WWWW[[#This Row],['#_Non-functional storage tank gravity fed reticulation system]]</f>
        <v>0</v>
      </c>
      <c r="BW320" s="558">
        <f>WWWW[[#This Row],['#_Water boating or water trucking]]</f>
        <v>0</v>
      </c>
      <c r="BX320" s="558">
        <f>WWWW[[#This Row],['#_Constructed/Existing water distribution system from river or natural spring]]</f>
        <v>0</v>
      </c>
      <c r="BY32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0" s="559">
        <f>IF(WWWW[[#This Row],[Location Type 1]]="Village",WWWW[[#This Row],[Access to safe drinking water for Village]],WWWW[[#This Row],[Access to safe drinking water for Camp]])</f>
        <v>1</v>
      </c>
      <c r="CB320" s="556">
        <f>WWWW[[#This Row],[%Equitable and continuous access to sufficient quantity of safe drinking water]]*WWWW[[#This Row],[Total PoP ]]</f>
        <v>11375</v>
      </c>
      <c r="CC320" s="559">
        <f>IF((WWWW[[#This Row],['#_Constructed/Existing protected/fenced ponds]]*250)/WWWW[[#This Row],[Total PoP ]]&gt;1,1,(WWWW[[#This Row],['#_Constructed/Existing protected/fenced ponds]]*250)/WWWW[[#This Row],[Total PoP ]])</f>
        <v>0</v>
      </c>
      <c r="CD320" s="556">
        <f>WWWW[[#This Row],[% Access to unimproved water points]]*WWWW[[#This Row],[Total PoP ]]</f>
        <v>0</v>
      </c>
      <c r="CE32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11375</v>
      </c>
      <c r="CG320" s="556">
        <f>WWWW[[#This Row],[HRP1]]/500</f>
        <v>22.75</v>
      </c>
      <c r="CH320" s="561">
        <f>1-WWWW[[#This Row],[% Equitable and continuous access to sufficient quantity of domestic water]]</f>
        <v>0</v>
      </c>
      <c r="CI320" s="556">
        <f>WWWW[[#This Row],[%equitable and continuous access to sufficient quantity of safe drinking and domestic water''s GAP]]*WWWW[[#This Row],[Total PoP ]]</f>
        <v>0</v>
      </c>
      <c r="CJ320" s="558">
        <f>IF(WWWW[[#This Row],[Total required water points]]-WWWW[[#This Row],['#Water points coverage]]&lt;0,0,WWWW[[#This Row],[Total required water points]]-WWWW[[#This Row],['#Water points coverage]])</f>
        <v>0.25</v>
      </c>
      <c r="CK320" s="558">
        <f>ROUND(IF(WWWW[[#This Row],[Total PoP ]]&lt;500,1,WWWW[[#This Row],[Total PoP ]]/500),0)</f>
        <v>23</v>
      </c>
      <c r="CL320" s="558">
        <f>(WWWW[[#This Row],['#_Constructed latrines_by_WASHAgencies]]+WWWW[[#This Row],['#_Non Cluster partner latrines]])-WWWW[[#This Row],['#_Non-functional latrines]]</f>
        <v>606</v>
      </c>
      <c r="CM32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2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11375</v>
      </c>
      <c r="CO32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9520</v>
      </c>
      <c r="CP320" s="558">
        <f>IF(WWWW[[#This Row],[Location Type 1]]="Village","NA",IF(WWWW[[#This Row],['#_Constructed/Existing latrines in TLS]]*50&gt;WWWW[[#This Row],['#_students at TLS_CFS]],WWWW[[#This Row],['#_students at TLS_CFS]],(WWWW[[#This Row],['#_Constructed/Existing latrines in TLS]]*50)))</f>
        <v>100</v>
      </c>
      <c r="CQ320" s="558">
        <f>ROUND(IF(WWWW[[#This Row],[Location Type 1]]="camp",WWWW[[#This Row],[Total PoP ]]/20,IF(WWWW[[#This Row],[Location Type 1]]="Temporary Location",WWWW[[#This Row],[Total PoP ]]/50,(WWWW[[#This Row],[Total PoP ]]/6))),0)</f>
        <v>569</v>
      </c>
      <c r="CR320" s="558">
        <f>IF(WWWW[[#This Row],[Total required Latrines]]-(WWWW[[#This Row],['#_Constructed latrines_by_WASHAgencies]]+WWWW[[#This Row],['#_Non Cluster partner latrines]])&lt;0,0,WWWW[[#This Row],[Total required Latrines]]-(WWWW[[#This Row],['#_Constructed latrines_by_WASHAgencies]]+WWWW[[#This Row],['#_Non Cluster partner latrines]]))</f>
        <v>0</v>
      </c>
      <c r="CS320" s="78">
        <f>1-WWWW[[#This Row],[% people access to functioning Latrine]]</f>
        <v>0</v>
      </c>
      <c r="CT320" s="560">
        <f>IF(OR(WWWW[[#This Row],['#_Non-functional latrines]]="",WWWW[[#This Row],['#_Non-functional latrines]]=0),0,WWWW[[#This Row],['#_Non-functional latrines]]/(WWWW[[#This Row],['#_Constructed latrines_by_WASHAgencies]]+WWWW[[#This Row],['#_Non Cluster partner latrines]]))</f>
        <v>0.27075812274368233</v>
      </c>
      <c r="CU320" s="556">
        <f>IF(500*(WWWW[[#This Row],['#_male hygiene promoters]]+WWWW[[#This Row],['#_female hygiene promoters]])&gt;WWWW[[#This Row],[Total PoP ]],WWWW[[#This Row],[Total PoP ]],500*(WWWW[[#This Row],['#_male hygiene promoters]]+WWWW[[#This Row],['#_female hygiene promoters]]))</f>
        <v>11000</v>
      </c>
      <c r="CV32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11375</v>
      </c>
      <c r="CW32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11375</v>
      </c>
      <c r="CX320" s="558">
        <f>IF(WWWW[[#This Row],['# People with access to soap]]&gt;WWWW[[#This Row],['# People with access to Sanity Pads]],WWWW[[#This Row],['# People with access to soap]],WWWW[[#This Row],['# People with access to Sanity Pads]])</f>
        <v>11375</v>
      </c>
      <c r="CY320" s="558">
        <f>IF(WWWW[[#This Row],['# people reached by regular dedicated hygiene promotion_5]]&gt;WWWW[[#This Row],['# People received regular supply of hygiene items_6]],WWWW[[#This Row],['# people reached by regular dedicated hygiene promotion_5]],WWWW[[#This Row],['# People received regular supply of hygiene items_6]])</f>
        <v>11375</v>
      </c>
      <c r="CZ320" s="561">
        <f>IF(WWWW[[#This Row],[HRP3]]/WWWW[[#This Row],[Total PoP ]]&gt;100%,100%,WWWW[[#This Row],[HRP3]]/WWWW[[#This Row],[Total PoP ]])</f>
        <v>1</v>
      </c>
      <c r="DA320" s="560">
        <f>1-WWWW[[#This Row],[Hygiene Coverage%]]</f>
        <v>0</v>
      </c>
      <c r="DB320" s="559">
        <f>WWWW[[#This Row],['# people reached by regular dedicated hygiene promotion_5]]/WWWW[[#This Row],[Total PoP ]]</f>
        <v>0.96703296703296704</v>
      </c>
      <c r="DC320" s="559">
        <f>IF(WWWW[[#This Row],['#_households that received standard amount of soap for this quarter]]/WWWW[[#This Row],[Total HH]]&gt;1,1,WWWW[[#This Row],['#_households that received standard amount of soap for this quarter]]/WWWW[[#This Row],[Total HH]])</f>
        <v>1</v>
      </c>
      <c r="DD320" s="559">
        <f>IF(WWWW[[#This Row],['#_households that received standard amount of sanitary pads for this quarter]]/WWWW[[#This Row],[Total HH]]&gt;1,1,WWWW[[#This Row],['#_households that received standard amount of sanitary pads for this quarter]]/WWWW[[#This Row],[Total HH]])</f>
        <v>1</v>
      </c>
      <c r="DE320" s="558">
        <f>WWWW[[#This Row],['#_Constructed/Existing hand washing stations]]-WWWW[[#This Row],['#_Non-Functional_hand_washing_stations]]</f>
        <v>0</v>
      </c>
      <c r="DF320" s="757">
        <f>IF(WWWW[[#This Row],['# Functional hand washing stations during reporting period]]*20&gt;WWWW[[#This Row],[Total HH]],WWWW[[#This Row],[Total HH]],WWWW[[#This Row],['# Functional hand washing stations during reporting period]]*20)</f>
        <v>0</v>
      </c>
      <c r="DG320" s="556">
        <f>IF(WWWW[[#This Row],[Is sufficient soap available for TLS? (Yes/No)]]="yes",WWWW[[#This Row],['#_Constructed/Existing hand washing stations at TLS]],0)</f>
        <v>0</v>
      </c>
      <c r="DH320" s="556">
        <f>IF(WWWW[[#This Row],['# Functional hand washing stations during reporting period]]*100&gt;WWWW[[#This Row],[Total PoP ]],WWWW[[#This Row],[Total PoP ]],WWWW[[#This Row],['# Functional hand washing stations during reporting period]]*100)</f>
        <v>0</v>
      </c>
      <c r="DI320" s="556" t="str">
        <f>IF(OR(WWWW[[#This Row],['#_students at TLS_CFS]]="",WWWW[[#This Row],['#_students at TLS_CFS]]=0),"No","Yes")</f>
        <v>Yes</v>
      </c>
      <c r="DJ320" s="554" t="str">
        <f>VLOOKUP(WWWW[[#This Row],[Site Name]],SiteDB6[[Site Name]:[CCCM Management]],6,FALSE)</f>
        <v>Yes</v>
      </c>
      <c r="DK320" s="554">
        <f>VLOOKUP(WWWW[[#This Row],[Site Name]],SiteDB6[[Site Name]:[CCCM Focal Agency]],7,FALSE)</f>
        <v>0</v>
      </c>
      <c r="DL320" s="554" t="str">
        <f>VLOOKUP(WWWW[[#This Row],[Site Name]],SiteDB6[[Site Name]:[Location Type 1]],9,FALSE)</f>
        <v>Camp</v>
      </c>
      <c r="DM320" s="554" t="str">
        <f>VLOOKUP(WWWW[[#This Row],[Site Name]],SiteDB6[[Site Name]:[Type of Accommodation]],10,FALSE)</f>
        <v>Planned Camp</v>
      </c>
      <c r="DN320" s="554" t="str">
        <f>VLOOKUP(WWWW[[#This Row],[Site Name]],SiteDB6[[Site Name]:[Ethnic or GCA/NGCA]],11,FALSE)</f>
        <v>Muslim</v>
      </c>
      <c r="DO320" s="554">
        <f>VLOOKUP(WWWW[[#This Row],[Site Name]],SiteDB6[[Site Name]:[Lat]],12,FALSE)</f>
        <v>20.185092000000001</v>
      </c>
      <c r="DP320" s="554">
        <f>VLOOKUP(WWWW[[#This Row],[Site Name]],SiteDB6[[Site Name]:[Long]],13,FALSE)</f>
        <v>92.802295999999998</v>
      </c>
      <c r="DQ320" s="554" t="str">
        <f>VLOOKUP(WWWW[[#This Row],[Site Name]],SiteDB6[[Site Name]:[Pcode]],3,FALSE)</f>
        <v>MMR012CMP116</v>
      </c>
      <c r="DR320" s="563" t="str">
        <f t="shared" si="10"/>
        <v>Covered</v>
      </c>
      <c r="DS320" s="563"/>
    </row>
    <row r="321" spans="1:126">
      <c r="A321" s="552" t="s">
        <v>2518</v>
      </c>
      <c r="B321" s="599" t="s">
        <v>2370</v>
      </c>
      <c r="C321" s="599" t="s">
        <v>2370</v>
      </c>
      <c r="D321" s="584" t="s">
        <v>3073</v>
      </c>
      <c r="E321" s="574" t="s">
        <v>3006</v>
      </c>
      <c r="F321" s="555" t="s">
        <v>313</v>
      </c>
      <c r="G321" s="574" t="str">
        <f>VLOOKUP(WWWW[[#This Row],[Site Name]],SiteDB6[[Site Name]:[Location Type]],8,FALSE)</f>
        <v>Village</v>
      </c>
      <c r="H321" s="555" t="s">
        <v>435</v>
      </c>
      <c r="I321" s="557">
        <v>427</v>
      </c>
      <c r="J321" s="557">
        <v>2427</v>
      </c>
      <c r="K321" s="593"/>
      <c r="L321" s="58">
        <v>44104</v>
      </c>
      <c r="M321" s="557"/>
      <c r="N321" s="557"/>
      <c r="O321" s="557"/>
      <c r="P321" s="557" t="s">
        <v>2934</v>
      </c>
      <c r="Q321" s="556"/>
      <c r="R321" s="557"/>
      <c r="S321" s="557"/>
      <c r="T321" s="557"/>
      <c r="U321" s="557"/>
      <c r="V321" s="557"/>
      <c r="W321" s="557">
        <v>17</v>
      </c>
      <c r="X321" s="557"/>
      <c r="Y321" s="557">
        <v>0</v>
      </c>
      <c r="Z321" s="557">
        <v>0</v>
      </c>
      <c r="AA321" s="557"/>
      <c r="AB321" s="557"/>
      <c r="AC321" s="557"/>
      <c r="AD321" s="557"/>
      <c r="AE321" s="557"/>
      <c r="AF321" s="557"/>
      <c r="AG321" s="557"/>
      <c r="AH321" s="557">
        <v>17</v>
      </c>
      <c r="AI321" s="557"/>
      <c r="AJ321" s="557"/>
      <c r="AK321" s="557"/>
      <c r="AL321" s="557"/>
      <c r="AM321" s="557"/>
      <c r="AN321" s="557"/>
      <c r="AO321" s="563"/>
      <c r="AP321" s="557"/>
      <c r="AQ321" s="557"/>
      <c r="AR321" s="559"/>
      <c r="AS321" s="557"/>
      <c r="AT321" s="557">
        <v>0</v>
      </c>
      <c r="AU321" s="557">
        <v>0</v>
      </c>
      <c r="AV321" s="557"/>
      <c r="AW321" s="557"/>
      <c r="AX321" s="554" t="s">
        <v>43</v>
      </c>
      <c r="AY321" s="563" t="s">
        <v>148</v>
      </c>
      <c r="AZ321" s="557"/>
      <c r="BA321" s="557"/>
      <c r="BB321" s="557"/>
      <c r="BC321" s="554"/>
      <c r="BD321" s="557"/>
      <c r="BE321" s="557"/>
      <c r="BF321" s="557"/>
      <c r="BG321" s="557"/>
      <c r="BH321" s="557"/>
      <c r="BI321" s="557">
        <v>3</v>
      </c>
      <c r="BJ321" s="557">
        <v>1</v>
      </c>
      <c r="BK321" s="557">
        <v>423</v>
      </c>
      <c r="BL321" s="557">
        <v>423</v>
      </c>
      <c r="BM321" s="554"/>
      <c r="BN321" s="558">
        <v>36</v>
      </c>
      <c r="BO321" s="559"/>
      <c r="BP321" s="554"/>
      <c r="BQ321" s="560" t="str">
        <f>IFERROR(WWWW[[#This Row],['#_Water sources treated]]/WWWW[[#This Row],['#_Water sources tested for contamination]],"no test")</f>
        <v>no test</v>
      </c>
      <c r="BR321" s="559" t="str">
        <f>IFERROR(WWWW[[#This Row],['#_Household received remediation action due to contamination]]/WWWW[[#This Row],['#_Household water samples tested for contamination]],"no test")</f>
        <v>no test</v>
      </c>
      <c r="BS321" s="558" t="str">
        <f>IF(AND(WWWW[[#This Row],[% of water sources treated]]="no test",WWWW[[#This Row],[% Household received corrective actions]]="no test"),"No Test","Tested")</f>
        <v>No Test</v>
      </c>
      <c r="BT321" s="558">
        <f>WWWW[[#This Row],['#_Constructed/existing protected hand dug well]]-WWWW[[#This Row],['#_Non-functional protected hand dug well]]</f>
        <v>0</v>
      </c>
      <c r="BU321" s="558">
        <f>(WWWW[[#This Row],['#_Constructed/Existing tube wells/boreholes/handpumps_WASH_agency]]+WWWW[[#This Row],['#_Non-Cluster partner water tube-wells/boreholes/handpumps]])-WWWW[[#This Row],['#_Non-functional tube wells/boreholes/handpumps]]</f>
        <v>17</v>
      </c>
      <c r="BV321" s="558">
        <f>WWWW[[#This Row],['#_Constructed/Existingwater storage tank with gravity fed reticulation system]]-WWWW[[#This Row],['#_Non-functional storage tank gravity fed reticulation system]]</f>
        <v>0</v>
      </c>
      <c r="BW321" s="558">
        <f>WWWW[[#This Row],['#_Water boating or water trucking]]</f>
        <v>0</v>
      </c>
      <c r="BX321" s="558">
        <f>WWWW[[#This Row],['#_Constructed/Existing water distribution system from river or natural spring]]</f>
        <v>0</v>
      </c>
      <c r="BY32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1" s="559">
        <f>IF(WWWW[[#This Row],[Location Type 1]]="Village",WWWW[[#This Row],[Access to safe drinking water for Village]],WWWW[[#This Row],[Access to safe drinking water for Camp]])</f>
        <v>1</v>
      </c>
      <c r="CB321" s="556">
        <f>WWWW[[#This Row],[%Equitable and continuous access to sufficient quantity of safe drinking water]]*WWWW[[#This Row],[Total PoP ]]</f>
        <v>2427</v>
      </c>
      <c r="CC321" s="559">
        <f>IF((WWWW[[#This Row],['#_Constructed/Existing protected/fenced ponds]]*250)/WWWW[[#This Row],[Total PoP ]]&gt;1,1,(WWWW[[#This Row],['#_Constructed/Existing protected/fenced ponds]]*250)/WWWW[[#This Row],[Total PoP ]])</f>
        <v>0</v>
      </c>
      <c r="CD321" s="556">
        <f>WWWW[[#This Row],[% Access to unimproved water points]]*WWWW[[#This Row],[Total PoP ]]</f>
        <v>0</v>
      </c>
      <c r="CE32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CG321" s="556">
        <f>WWWW[[#This Row],[HRP1]]/500</f>
        <v>4.8540000000000001</v>
      </c>
      <c r="CH321" s="561">
        <f>1-WWWW[[#This Row],[% Equitable and continuous access to sufficient quantity of domestic water]]</f>
        <v>0</v>
      </c>
      <c r="CI321" s="556">
        <f>WWWW[[#This Row],[%equitable and continuous access to sufficient quantity of safe drinking and domestic water''s GAP]]*WWWW[[#This Row],[Total PoP ]]</f>
        <v>0</v>
      </c>
      <c r="CJ321" s="558">
        <f>IF(WWWW[[#This Row],[Total required water points]]-WWWW[[#This Row],['#Water points coverage]]&lt;0,0,WWWW[[#This Row],[Total required water points]]-WWWW[[#This Row],['#Water points coverage]])</f>
        <v>0.14599999999999991</v>
      </c>
      <c r="CK321" s="558">
        <f>ROUND(IF(WWWW[[#This Row],[Total PoP ]]&lt;500,1,WWWW[[#This Row],[Total PoP ]]/500),0)</f>
        <v>5</v>
      </c>
      <c r="CL321" s="558">
        <f>(WWWW[[#This Row],['#_Constructed latrines_by_WASHAgencies]]+WWWW[[#This Row],['#_Non Cluster partner latrines]])-WWWW[[#This Row],['#_Non-functional latrines]]</f>
        <v>0</v>
      </c>
      <c r="CM32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1" s="558" t="str">
        <f>IF(WWWW[[#This Row],[Location Type 1]]="Village","NA",IF(WWWW[[#This Row],['#_Constructed/Existing latrines in TLS]]*50&gt;WWWW[[#This Row],['#_students at TLS_CFS]],WWWW[[#This Row],['#_students at TLS_CFS]],(WWWW[[#This Row],['#_Constructed/Existing latrines in TLS]]*50)))</f>
        <v>NA</v>
      </c>
      <c r="CQ321" s="558">
        <f>ROUND(IF(WWWW[[#This Row],[Location Type 1]]="camp",WWWW[[#This Row],[Total PoP ]]/20,IF(WWWW[[#This Row],[Location Type 1]]="Temporary Location",WWWW[[#This Row],[Total PoP ]]/50,(WWWW[[#This Row],[Total PoP ]]/6))),0)</f>
        <v>405</v>
      </c>
      <c r="CR321" s="558">
        <f>IF(WWWW[[#This Row],[Total required Latrines]]-(WWWW[[#This Row],['#_Constructed latrines_by_WASHAgencies]]+WWWW[[#This Row],['#_Non Cluster partner latrines]])&lt;0,0,WWWW[[#This Row],[Total required Latrines]]-(WWWW[[#This Row],['#_Constructed latrines_by_WASHAgencies]]+WWWW[[#This Row],['#_Non Cluster partner latrines]]))</f>
        <v>405</v>
      </c>
      <c r="CS321" s="78">
        <f>1-WWWW[[#This Row],[% people access to functioning Latrine]]</f>
        <v>1</v>
      </c>
      <c r="CT321" s="560">
        <f>IF(OR(WWWW[[#This Row],['#_Non-functional latrines]]="",WWWW[[#This Row],['#_Non-functional latrines]]=0),0,WWWW[[#This Row],['#_Non-functional latrines]]/(WWWW[[#This Row],['#_Constructed latrines_by_WASHAgencies]]+WWWW[[#This Row],['#_Non Cluster partner latrines]]))</f>
        <v>0</v>
      </c>
      <c r="CU321" s="556">
        <f>IF(500*(WWWW[[#This Row],['#_male hygiene promoters]]+WWWW[[#This Row],['#_female hygiene promoters]])&gt;WWWW[[#This Row],[Total PoP ]],WWWW[[#This Row],[Total PoP ]],500*(WWWW[[#This Row],['#_male hygiene promoters]]+WWWW[[#This Row],['#_female hygiene promoters]]))</f>
        <v>2000</v>
      </c>
      <c r="CV32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2115</v>
      </c>
      <c r="CW32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2115</v>
      </c>
      <c r="CX321" s="558">
        <f>IF(WWWW[[#This Row],['# People with access to soap]]&gt;WWWW[[#This Row],['# People with access to Sanity Pads]],WWWW[[#This Row],['# People with access to soap]],WWWW[[#This Row],['# People with access to Sanity Pads]])</f>
        <v>2115</v>
      </c>
      <c r="CY321" s="558">
        <f>IF(WWWW[[#This Row],['# people reached by regular dedicated hygiene promotion_5]]&gt;WWWW[[#This Row],['# People received regular supply of hygiene items_6]],WWWW[[#This Row],['# people reached by regular dedicated hygiene promotion_5]],WWWW[[#This Row],['# People received regular supply of hygiene items_6]])</f>
        <v>2115</v>
      </c>
      <c r="CZ321" s="561">
        <f>IF(WWWW[[#This Row],[HRP3]]/WWWW[[#This Row],[Total PoP ]]&gt;100%,100%,WWWW[[#This Row],[HRP3]]/WWWW[[#This Row],[Total PoP ]])</f>
        <v>0.87144622991347342</v>
      </c>
      <c r="DA321" s="560">
        <f>1-WWWW[[#This Row],[Hygiene Coverage%]]</f>
        <v>0.12855377008652658</v>
      </c>
      <c r="DB321" s="559">
        <f>WWWW[[#This Row],['# people reached by regular dedicated hygiene promotion_5]]/WWWW[[#This Row],[Total PoP ]]</f>
        <v>0.82406262875978575</v>
      </c>
      <c r="DC321" s="559">
        <f>IF(WWWW[[#This Row],['#_households that received standard amount of soap for this quarter]]/WWWW[[#This Row],[Total HH]]&gt;1,1,WWWW[[#This Row],['#_households that received standard amount of soap for this quarter]]/WWWW[[#This Row],[Total HH]])</f>
        <v>0.99063231850117095</v>
      </c>
      <c r="DD321" s="559">
        <f>IF(WWWW[[#This Row],['#_households that received standard amount of sanitary pads for this quarter]]/WWWW[[#This Row],[Total HH]]&gt;1,1,WWWW[[#This Row],['#_households that received standard amount of sanitary pads for this quarter]]/WWWW[[#This Row],[Total HH]])</f>
        <v>0.99063231850117095</v>
      </c>
      <c r="DE321" s="558">
        <f>WWWW[[#This Row],['#_Constructed/Existing hand washing stations]]-WWWW[[#This Row],['#_Non-Functional_hand_washing_stations]]</f>
        <v>0</v>
      </c>
      <c r="DF321" s="757">
        <f>IF(WWWW[[#This Row],['# Functional hand washing stations during reporting period]]*20&gt;WWWW[[#This Row],[Total HH]],WWWW[[#This Row],[Total HH]],WWWW[[#This Row],['# Functional hand washing stations during reporting period]]*20)</f>
        <v>0</v>
      </c>
      <c r="DG321" s="556">
        <f>IF(WWWW[[#This Row],[Is sufficient soap available for TLS? (Yes/No)]]="yes",WWWW[[#This Row],['#_Constructed/Existing hand washing stations at TLS]],0)</f>
        <v>0</v>
      </c>
      <c r="DH321" s="556">
        <f>IF(WWWW[[#This Row],['# Functional hand washing stations during reporting period]]*100&gt;WWWW[[#This Row],[Total PoP ]],WWWW[[#This Row],[Total PoP ]],WWWW[[#This Row],['# Functional hand washing stations during reporting period]]*100)</f>
        <v>0</v>
      </c>
      <c r="DI321" s="556" t="str">
        <f>IF(OR(WWWW[[#This Row],['#_students at TLS_CFS]]="",WWWW[[#This Row],['#_students at TLS_CFS]]=0),"No","Yes")</f>
        <v>No</v>
      </c>
      <c r="DJ321" s="554">
        <f>VLOOKUP(WWWW[[#This Row],[Site Name]],SiteDB6[[Site Name]:[CCCM Management]],6,FALSE)</f>
        <v>0</v>
      </c>
      <c r="DK321" s="554">
        <f>VLOOKUP(WWWW[[#This Row],[Site Name]],SiteDB6[[Site Name]:[CCCM Focal Agency]],7,FALSE)</f>
        <v>0</v>
      </c>
      <c r="DL321" s="554" t="str">
        <f>VLOOKUP(WWWW[[#This Row],[Site Name]],SiteDB6[[Site Name]:[Location Type 1]],9,FALSE)</f>
        <v>Village</v>
      </c>
      <c r="DM321" s="554" t="str">
        <f>VLOOKUP(WWWW[[#This Row],[Site Name]],SiteDB6[[Site Name]:[Type of Accommodation]],10,FALSE)</f>
        <v>Village</v>
      </c>
      <c r="DN321" s="554" t="str">
        <f>VLOOKUP(WWWW[[#This Row],[Site Name]],SiteDB6[[Site Name]:[Ethnic or GCA/NGCA]],11,FALSE)</f>
        <v>Muslim</v>
      </c>
      <c r="DO321" s="554">
        <f>VLOOKUP(WWWW[[#This Row],[Site Name]],SiteDB6[[Site Name]:[Lat]],12,FALSE)</f>
        <v>20.147863431600001</v>
      </c>
      <c r="DP321" s="554">
        <f>VLOOKUP(WWWW[[#This Row],[Site Name]],SiteDB6[[Site Name]:[Long]],13,FALSE)</f>
        <v>92.846768572000002</v>
      </c>
      <c r="DQ321" s="554">
        <f>VLOOKUP(WWWW[[#This Row],[Site Name]],SiteDB6[[Site Name]:[Pcode]],3,FALSE)</f>
        <v>196209</v>
      </c>
      <c r="DR321" s="563" t="str">
        <f t="shared" si="10"/>
        <v>Covered</v>
      </c>
      <c r="DS321" s="563"/>
    </row>
    <row r="322" spans="1:126" ht="27.75" customHeight="1">
      <c r="A322" s="552" t="s">
        <v>2518</v>
      </c>
      <c r="B322" s="552" t="s">
        <v>427</v>
      </c>
      <c r="C322" s="584" t="s">
        <v>427</v>
      </c>
      <c r="D322" s="584" t="s">
        <v>2839</v>
      </c>
      <c r="E322" s="574" t="s">
        <v>3006</v>
      </c>
      <c r="F322" s="555" t="s">
        <v>313</v>
      </c>
      <c r="G322" s="574" t="str">
        <f>VLOOKUP(WWWW[[#This Row],[Site Name]],SiteDB6[[Site Name]:[Location Type]],8,FALSE)</f>
        <v>Camp</v>
      </c>
      <c r="H322" s="584" t="s">
        <v>2375</v>
      </c>
      <c r="I322" s="557">
        <v>400</v>
      </c>
      <c r="J322" s="557">
        <v>2285</v>
      </c>
      <c r="K322" s="566" t="s">
        <v>2840</v>
      </c>
      <c r="L322" s="567" t="s">
        <v>2841</v>
      </c>
      <c r="M322" s="557">
        <v>346</v>
      </c>
      <c r="N322" s="557">
        <v>5</v>
      </c>
      <c r="O322" s="557">
        <v>43</v>
      </c>
      <c r="P322" s="557">
        <v>0</v>
      </c>
      <c r="Q322" s="556" t="s">
        <v>144</v>
      </c>
      <c r="R322" s="557">
        <v>31</v>
      </c>
      <c r="S322" s="557">
        <v>17</v>
      </c>
      <c r="T322" s="557">
        <v>0</v>
      </c>
      <c r="U322" s="557">
        <v>0</v>
      </c>
      <c r="V322" s="557">
        <v>0</v>
      </c>
      <c r="W322" s="557">
        <v>30</v>
      </c>
      <c r="X322" s="557">
        <v>14</v>
      </c>
      <c r="Y322" s="557">
        <v>1</v>
      </c>
      <c r="Z322" s="557">
        <v>29</v>
      </c>
      <c r="AA322" s="557">
        <v>0</v>
      </c>
      <c r="AB322" s="557">
        <v>0</v>
      </c>
      <c r="AC322" s="557">
        <v>0</v>
      </c>
      <c r="AD322" s="557">
        <v>0</v>
      </c>
      <c r="AE322" s="557">
        <v>0</v>
      </c>
      <c r="AF322" s="557">
        <v>0</v>
      </c>
      <c r="AG322" s="557">
        <v>0</v>
      </c>
      <c r="AH322" s="557">
        <v>0</v>
      </c>
      <c r="AI322" s="557">
        <v>30</v>
      </c>
      <c r="AJ322" s="557">
        <v>7</v>
      </c>
      <c r="AK322" s="557">
        <v>70</v>
      </c>
      <c r="AL322" s="557">
        <v>20</v>
      </c>
      <c r="AM322" s="557" t="s">
        <v>2934</v>
      </c>
      <c r="AN322" s="557" t="s">
        <v>2934</v>
      </c>
      <c r="AO322" s="568" t="s">
        <v>2846</v>
      </c>
      <c r="AP322" s="557">
        <v>100</v>
      </c>
      <c r="AQ322" s="557">
        <v>0</v>
      </c>
      <c r="AR322" s="559"/>
      <c r="AS322" s="557">
        <v>58</v>
      </c>
      <c r="AT322" s="557">
        <v>100</v>
      </c>
      <c r="AU322" s="557">
        <v>196</v>
      </c>
      <c r="AV322" s="557">
        <v>3769</v>
      </c>
      <c r="AW322" s="557">
        <v>0</v>
      </c>
      <c r="AX322" s="554" t="s">
        <v>43</v>
      </c>
      <c r="AY322" s="563" t="s">
        <v>148</v>
      </c>
      <c r="AZ322" s="557">
        <v>0</v>
      </c>
      <c r="BA322" s="557">
        <v>0</v>
      </c>
      <c r="BB322" s="557">
        <v>0</v>
      </c>
      <c r="BC322" s="554" t="s">
        <v>2847</v>
      </c>
      <c r="BD322" s="557"/>
      <c r="BE322" s="557"/>
      <c r="BF322" s="557">
        <v>0</v>
      </c>
      <c r="BG322" s="557">
        <v>0</v>
      </c>
      <c r="BH322" s="557">
        <v>0</v>
      </c>
      <c r="BI322" s="557">
        <v>0</v>
      </c>
      <c r="BJ322" s="557">
        <v>7</v>
      </c>
      <c r="BK322" s="557">
        <v>400</v>
      </c>
      <c r="BL322" s="557">
        <v>400</v>
      </c>
      <c r="BM322" s="554" t="s">
        <v>144</v>
      </c>
      <c r="BN322" s="558">
        <v>0</v>
      </c>
      <c r="BO322" s="559">
        <v>0</v>
      </c>
      <c r="BP322" s="554" t="s">
        <v>2848</v>
      </c>
      <c r="BQ322" s="560">
        <f>IFERROR(WWWW[[#This Row],['#_Water sources treated]]/WWWW[[#This Row],['#_Water sources tested for contamination]],"no test")</f>
        <v>0.23333333333333334</v>
      </c>
      <c r="BR322" s="559">
        <f>IFERROR(WWWW[[#This Row],['#_Household received remediation action due to contamination]]/WWWW[[#This Row],['#_Household water samples tested for contamination]],"no test")</f>
        <v>0.2857142857142857</v>
      </c>
      <c r="BS322" s="558" t="str">
        <f>IF(AND(WWWW[[#This Row],[% of water sources treated]]="no test",WWWW[[#This Row],[% Household received corrective actions]]="no test"),"No Test","Tested")</f>
        <v>Tested</v>
      </c>
      <c r="BT322" s="558">
        <f>WWWW[[#This Row],['#_Constructed/existing protected hand dug well]]-WWWW[[#This Row],['#_Non-functional protected hand dug well]]</f>
        <v>0</v>
      </c>
      <c r="BU322" s="558">
        <f>(WWWW[[#This Row],['#_Constructed/Existing tube wells/boreholes/handpumps_WASH_agency]]+WWWW[[#This Row],['#_Non-Cluster partner water tube-wells/boreholes/handpumps]])-WWWW[[#This Row],['#_Non-functional tube wells/boreholes/handpumps]]</f>
        <v>43</v>
      </c>
      <c r="BV322" s="558">
        <f>WWWW[[#This Row],['#_Constructed/Existingwater storage tank with gravity fed reticulation system]]-WWWW[[#This Row],['#_Non-functional storage tank gravity fed reticulation system]]</f>
        <v>0</v>
      </c>
      <c r="BW322" s="558">
        <f>WWWW[[#This Row],['#_Water boating or water trucking]]</f>
        <v>0</v>
      </c>
      <c r="BX322" s="558">
        <f>WWWW[[#This Row],['#_Constructed/Existing water distribution system from river or natural spring]]</f>
        <v>0</v>
      </c>
      <c r="BY32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2" s="559">
        <f>IF(WWWW[[#This Row],[Location Type 1]]="Village",WWWW[[#This Row],[Access to safe drinking water for Village]],WWWW[[#This Row],[Access to safe drinking water for Camp]])</f>
        <v>1</v>
      </c>
      <c r="CB322" s="556">
        <f>WWWW[[#This Row],[%Equitable and continuous access to sufficient quantity of safe drinking water]]*WWWW[[#This Row],[Total PoP ]]</f>
        <v>2285</v>
      </c>
      <c r="CC322" s="559">
        <f>IF((WWWW[[#This Row],['#_Constructed/Existing protected/fenced ponds]]*250)/WWWW[[#This Row],[Total PoP ]]&gt;1,1,(WWWW[[#This Row],['#_Constructed/Existing protected/fenced ponds]]*250)/WWWW[[#This Row],[Total PoP ]])</f>
        <v>0</v>
      </c>
      <c r="CD322" s="556">
        <f>WWWW[[#This Row],[% Access to unimproved water points]]*WWWW[[#This Row],[Total PoP ]]</f>
        <v>0</v>
      </c>
      <c r="CE32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2285</v>
      </c>
      <c r="CG322" s="556">
        <f>WWWW[[#This Row],[HRP1]]/500</f>
        <v>4.57</v>
      </c>
      <c r="CH322" s="561">
        <f>1-WWWW[[#This Row],[% Equitable and continuous access to sufficient quantity of domestic water]]</f>
        <v>0</v>
      </c>
      <c r="CI322" s="556">
        <f>WWWW[[#This Row],[%equitable and continuous access to sufficient quantity of safe drinking and domestic water''s GAP]]*WWWW[[#This Row],[Total PoP ]]</f>
        <v>0</v>
      </c>
      <c r="CJ322" s="558">
        <f>IF(WWWW[[#This Row],[Total required water points]]-WWWW[[#This Row],['#Water points coverage]]&lt;0,0,WWWW[[#This Row],[Total required water points]]-WWWW[[#This Row],['#Water points coverage]])</f>
        <v>0.42999999999999972</v>
      </c>
      <c r="CK322" s="558">
        <f>ROUND(IF(WWWW[[#This Row],[Total PoP ]]&lt;500,1,WWWW[[#This Row],[Total PoP ]]/500),0)</f>
        <v>5</v>
      </c>
      <c r="CL322" s="558">
        <f>(WWWW[[#This Row],['#_Constructed latrines_by_WASHAgencies]]+WWWW[[#This Row],['#_Non Cluster partner latrines]])-WWWW[[#This Row],['#_Non-functional latrines]]</f>
        <v>42</v>
      </c>
      <c r="CM32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0.36761487964989059</v>
      </c>
      <c r="CN32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840</v>
      </c>
      <c r="CO322"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2285</v>
      </c>
      <c r="CP322" s="558">
        <f>IF(WWWW[[#This Row],[Location Type 1]]="Village","NA",IF(WWWW[[#This Row],['#_Constructed/Existing latrines in TLS]]*50&gt;WWWW[[#This Row],['#_students at TLS_CFS]],WWWW[[#This Row],['#_students at TLS_CFS]],(WWWW[[#This Row],['#_Constructed/Existing latrines in TLS]]*50)))</f>
        <v>0</v>
      </c>
      <c r="CQ322" s="558">
        <f>ROUND(IF(WWWW[[#This Row],[Location Type 1]]="camp",WWWW[[#This Row],[Total PoP ]]/20,IF(WWWW[[#This Row],[Location Type 1]]="Temporary Location",WWWW[[#This Row],[Total PoP ]]/50,(WWWW[[#This Row],[Total PoP ]]/6))),0)</f>
        <v>114</v>
      </c>
      <c r="CR322" s="558">
        <f>IF(WWWW[[#This Row],[Total required Latrines]]-(WWWW[[#This Row],['#_Constructed latrines_by_WASHAgencies]]+WWWW[[#This Row],['#_Non Cluster partner latrines]])&lt;0,0,WWWW[[#This Row],[Total required Latrines]]-(WWWW[[#This Row],['#_Constructed latrines_by_WASHAgencies]]+WWWW[[#This Row],['#_Non Cluster partner latrines]]))</f>
        <v>14</v>
      </c>
      <c r="CS322" s="78">
        <f>1-WWWW[[#This Row],[% people access to functioning Latrine]]</f>
        <v>0.63238512035010941</v>
      </c>
      <c r="CT322" s="560">
        <f>IF(OR(WWWW[[#This Row],['#_Non-functional latrines]]="",WWWW[[#This Row],['#_Non-functional latrines]]=0),0,WWWW[[#This Row],['#_Non-functional latrines]]/(WWWW[[#This Row],['#_Constructed latrines_by_WASHAgencies]]+WWWW[[#This Row],['#_Non Cluster partner latrines]]))</f>
        <v>0.57999999999999996</v>
      </c>
      <c r="CU322" s="556">
        <f>IF(500*(WWWW[[#This Row],['#_male hygiene promoters]]+WWWW[[#This Row],['#_female hygiene promoters]])&gt;WWWW[[#This Row],[Total PoP ]],WWWW[[#This Row],[Total PoP ]],500*(WWWW[[#This Row],['#_male hygiene promoters]]+WWWW[[#This Row],['#_female hygiene promoters]]))</f>
        <v>2285</v>
      </c>
      <c r="CV32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2285</v>
      </c>
      <c r="CW32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2285</v>
      </c>
      <c r="CX322" s="558">
        <f>IF(WWWW[[#This Row],['# People with access to soap]]&gt;WWWW[[#This Row],['# People with access to Sanity Pads]],WWWW[[#This Row],['# People with access to soap]],WWWW[[#This Row],['# People with access to Sanity Pads]])</f>
        <v>2285</v>
      </c>
      <c r="CY322" s="558">
        <f>IF(WWWW[[#This Row],['# people reached by regular dedicated hygiene promotion_5]]&gt;WWWW[[#This Row],['# People received regular supply of hygiene items_6]],WWWW[[#This Row],['# people reached by regular dedicated hygiene promotion_5]],WWWW[[#This Row],['# People received regular supply of hygiene items_6]])</f>
        <v>2285</v>
      </c>
      <c r="CZ322" s="561">
        <f>IF(WWWW[[#This Row],[HRP3]]/WWWW[[#This Row],[Total PoP ]]&gt;100%,100%,WWWW[[#This Row],[HRP3]]/WWWW[[#This Row],[Total PoP ]])</f>
        <v>1</v>
      </c>
      <c r="DA322" s="560">
        <f>1-WWWW[[#This Row],[Hygiene Coverage%]]</f>
        <v>0</v>
      </c>
      <c r="DB322" s="559">
        <f>WWWW[[#This Row],['# people reached by regular dedicated hygiene promotion_5]]/WWWW[[#This Row],[Total PoP ]]</f>
        <v>1</v>
      </c>
      <c r="DC322" s="559">
        <f>IF(WWWW[[#This Row],['#_households that received standard amount of soap for this quarter]]/WWWW[[#This Row],[Total HH]]&gt;1,1,WWWW[[#This Row],['#_households that received standard amount of soap for this quarter]]/WWWW[[#This Row],[Total HH]])</f>
        <v>1</v>
      </c>
      <c r="DD322" s="559">
        <f>IF(WWWW[[#This Row],['#_households that received standard amount of sanitary pads for this quarter]]/WWWW[[#This Row],[Total HH]]&gt;1,1,WWWW[[#This Row],['#_households that received standard amount of sanitary pads for this quarter]]/WWWW[[#This Row],[Total HH]])</f>
        <v>1</v>
      </c>
      <c r="DE322" s="558">
        <f>WWWW[[#This Row],['#_Constructed/Existing hand washing stations]]-WWWW[[#This Row],['#_Non-Functional_hand_washing_stations]]</f>
        <v>0</v>
      </c>
      <c r="DF322" s="757">
        <f>IF(WWWW[[#This Row],['# Functional hand washing stations during reporting period]]*20&gt;WWWW[[#This Row],[Total HH]],WWWW[[#This Row],[Total HH]],WWWW[[#This Row],['# Functional hand washing stations during reporting period]]*20)</f>
        <v>0</v>
      </c>
      <c r="DG322" s="556">
        <f>IF(WWWW[[#This Row],[Is sufficient soap available for TLS? (Yes/No)]]="yes",WWWW[[#This Row],['#_Constructed/Existing hand washing stations at TLS]],0)</f>
        <v>0</v>
      </c>
      <c r="DH322" s="556">
        <f>IF(WWWW[[#This Row],['# Functional hand washing stations during reporting period]]*100&gt;WWWW[[#This Row],[Total PoP ]],WWWW[[#This Row],[Total PoP ]],WWWW[[#This Row],['# Functional hand washing stations during reporting period]]*100)</f>
        <v>0</v>
      </c>
      <c r="DI322" s="556" t="str">
        <f>IF(OR(WWWW[[#This Row],['#_students at TLS_CFS]]="",WWWW[[#This Row],['#_students at TLS_CFS]]=0),"No","Yes")</f>
        <v>Yes</v>
      </c>
      <c r="DJ322" s="554">
        <f>VLOOKUP(WWWW[[#This Row],[Site Name]],SiteDB6[[Site Name]:[CCCM Management]],6,FALSE)</f>
        <v>0</v>
      </c>
      <c r="DK322" s="554">
        <f>VLOOKUP(WWWW[[#This Row],[Site Name]],SiteDB6[[Site Name]:[CCCM Focal Agency]],7,FALSE)</f>
        <v>0</v>
      </c>
      <c r="DL322" s="554" t="str">
        <f>VLOOKUP(WWWW[[#This Row],[Site Name]],SiteDB6[[Site Name]:[Location Type 1]],9,FALSE)</f>
        <v>Camp</v>
      </c>
      <c r="DM322" s="554" t="str">
        <f>VLOOKUP(WWWW[[#This Row],[Site Name]],SiteDB6[[Site Name]:[Type of Accommodation]],10,FALSE)</f>
        <v>Planned Camp</v>
      </c>
      <c r="DN322" s="554" t="str">
        <f>VLOOKUP(WWWW[[#This Row],[Site Name]],SiteDB6[[Site Name]:[Ethnic or GCA/NGCA]],11,FALSE)</f>
        <v>Muslim</v>
      </c>
      <c r="DO322" s="554">
        <f>VLOOKUP(WWWW[[#This Row],[Site Name]],SiteDB6[[Site Name]:[Lat]],12,FALSE)</f>
        <v>20.207284999999999</v>
      </c>
      <c r="DP322" s="554">
        <f>VLOOKUP(WWWW[[#This Row],[Site Name]],SiteDB6[[Site Name]:[Long]],13,FALSE)</f>
        <v>92.788177000000005</v>
      </c>
      <c r="DQ322" s="554" t="str">
        <f>VLOOKUP(WWWW[[#This Row],[Site Name]],SiteDB6[[Site Name]:[Pcode]],3,FALSE)</f>
        <v>MMR012CMP045</v>
      </c>
      <c r="DR322" s="563" t="str">
        <f t="shared" si="10"/>
        <v>Covered</v>
      </c>
      <c r="DS322" s="563"/>
    </row>
    <row r="323" spans="1:126">
      <c r="A323" s="552" t="s">
        <v>2518</v>
      </c>
      <c r="B323" s="552" t="s">
        <v>2370</v>
      </c>
      <c r="C323" s="555" t="s">
        <v>2370</v>
      </c>
      <c r="D323" s="555" t="s">
        <v>42</v>
      </c>
      <c r="E323" s="574" t="s">
        <v>3006</v>
      </c>
      <c r="F323" s="555" t="s">
        <v>313</v>
      </c>
      <c r="G323" s="574" t="str">
        <f>VLOOKUP(WWWW[[#This Row],[Site Name]],SiteDB6[[Site Name]:[Location Type]],8,FALSE)</f>
        <v>Village</v>
      </c>
      <c r="H323" s="555" t="s">
        <v>436</v>
      </c>
      <c r="I323" s="557">
        <v>249</v>
      </c>
      <c r="J323" s="557">
        <v>1362</v>
      </c>
      <c r="K323" s="564"/>
      <c r="L323" s="565">
        <v>44104</v>
      </c>
      <c r="M323" s="557"/>
      <c r="N323" s="557"/>
      <c r="O323" s="557"/>
      <c r="P323" s="557" t="s">
        <v>2934</v>
      </c>
      <c r="Q323" s="556"/>
      <c r="R323" s="557"/>
      <c r="S323" s="557"/>
      <c r="T323" s="557"/>
      <c r="U323" s="557"/>
      <c r="V323" s="557"/>
      <c r="W323" s="557">
        <v>28</v>
      </c>
      <c r="X323" s="557"/>
      <c r="Y323" s="557"/>
      <c r="Z323" s="557" t="s">
        <v>2934</v>
      </c>
      <c r="AA323" s="557"/>
      <c r="AB323" s="557"/>
      <c r="AC323" s="557"/>
      <c r="AD323" s="557"/>
      <c r="AE323" s="557"/>
      <c r="AF323" s="557"/>
      <c r="AG323" s="557"/>
      <c r="AH323" s="557">
        <v>28</v>
      </c>
      <c r="AI323" s="557"/>
      <c r="AJ323" s="557"/>
      <c r="AK323" s="557"/>
      <c r="AL323" s="557"/>
      <c r="AM323" s="557"/>
      <c r="AN323" s="557"/>
      <c r="AO323" s="563"/>
      <c r="AP323" s="557"/>
      <c r="AQ323" s="557"/>
      <c r="AR323" s="559"/>
      <c r="AS323" s="557"/>
      <c r="AT323" s="557">
        <v>0</v>
      </c>
      <c r="AU323" s="557">
        <v>0</v>
      </c>
      <c r="AV323" s="557"/>
      <c r="AW323" s="557"/>
      <c r="AX323" s="554" t="s">
        <v>43</v>
      </c>
      <c r="AY323" s="563" t="s">
        <v>148</v>
      </c>
      <c r="AZ323" s="557"/>
      <c r="BA323" s="557"/>
      <c r="BB323" s="557"/>
      <c r="BC323" s="554"/>
      <c r="BD323" s="557"/>
      <c r="BE323" s="557"/>
      <c r="BF323" s="557"/>
      <c r="BG323" s="557"/>
      <c r="BH323" s="557"/>
      <c r="BI323" s="557">
        <v>1</v>
      </c>
      <c r="BJ323" s="557">
        <v>1</v>
      </c>
      <c r="BK323" s="557">
        <v>0</v>
      </c>
      <c r="BL323" s="557">
        <v>0</v>
      </c>
      <c r="BM323" s="554"/>
      <c r="BN323" s="558">
        <v>0</v>
      </c>
      <c r="BO323" s="559"/>
      <c r="BP323" s="554"/>
      <c r="BQ323" s="560" t="str">
        <f>IFERROR(WWWW[[#This Row],['#_Water sources treated]]/WWWW[[#This Row],['#_Water sources tested for contamination]],"no test")</f>
        <v>no test</v>
      </c>
      <c r="BR323" s="559" t="str">
        <f>IFERROR(WWWW[[#This Row],['#_Household received remediation action due to contamination]]/WWWW[[#This Row],['#_Household water samples tested for contamination]],"no test")</f>
        <v>no test</v>
      </c>
      <c r="BS323" s="558" t="str">
        <f>IF(AND(WWWW[[#This Row],[% of water sources treated]]="no test",WWWW[[#This Row],[% Household received corrective actions]]="no test"),"No Test","Tested")</f>
        <v>No Test</v>
      </c>
      <c r="BT323" s="558">
        <f>WWWW[[#This Row],['#_Constructed/existing protected hand dug well]]-WWWW[[#This Row],['#_Non-functional protected hand dug well]]</f>
        <v>0</v>
      </c>
      <c r="BU323" s="558">
        <f>(WWWW[[#This Row],['#_Constructed/Existing tube wells/boreholes/handpumps_WASH_agency]]+WWWW[[#This Row],['#_Non-Cluster partner water tube-wells/boreholes/handpumps]])-WWWW[[#This Row],['#_Non-functional tube wells/boreholes/handpumps]]</f>
        <v>28</v>
      </c>
      <c r="BV323" s="558">
        <f>WWWW[[#This Row],['#_Constructed/Existingwater storage tank with gravity fed reticulation system]]-WWWW[[#This Row],['#_Non-functional storage tank gravity fed reticulation system]]</f>
        <v>0</v>
      </c>
      <c r="BW323" s="558">
        <f>WWWW[[#This Row],['#_Water boating or water trucking]]</f>
        <v>0</v>
      </c>
      <c r="BX323" s="558">
        <f>WWWW[[#This Row],['#_Constructed/Existing water distribution system from river or natural spring]]</f>
        <v>0</v>
      </c>
      <c r="BY32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3" s="559">
        <f>IF(WWWW[[#This Row],[Location Type 1]]="Village",WWWW[[#This Row],[Access to safe drinking water for Village]],WWWW[[#This Row],[Access to safe drinking water for Camp]])</f>
        <v>1</v>
      </c>
      <c r="CB323" s="556">
        <f>WWWW[[#This Row],[%Equitable and continuous access to sufficient quantity of safe drinking water]]*WWWW[[#This Row],[Total PoP ]]</f>
        <v>1362</v>
      </c>
      <c r="CC323" s="559">
        <f>IF((WWWW[[#This Row],['#_Constructed/Existing protected/fenced ponds]]*250)/WWWW[[#This Row],[Total PoP ]]&gt;1,1,(WWWW[[#This Row],['#_Constructed/Existing protected/fenced ponds]]*250)/WWWW[[#This Row],[Total PoP ]])</f>
        <v>0</v>
      </c>
      <c r="CD323" s="556">
        <f>WWWW[[#This Row],[% Access to unimproved water points]]*WWWW[[#This Row],[Total PoP ]]</f>
        <v>0</v>
      </c>
      <c r="CE32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1362</v>
      </c>
      <c r="CG323" s="556">
        <f>WWWW[[#This Row],[HRP1]]/500</f>
        <v>2.7240000000000002</v>
      </c>
      <c r="CH323" s="561">
        <f>1-WWWW[[#This Row],[% Equitable and continuous access to sufficient quantity of domestic water]]</f>
        <v>0</v>
      </c>
      <c r="CI323" s="556">
        <f>WWWW[[#This Row],[%equitable and continuous access to sufficient quantity of safe drinking and domestic water''s GAP]]*WWWW[[#This Row],[Total PoP ]]</f>
        <v>0</v>
      </c>
      <c r="CJ323" s="558">
        <f>IF(WWWW[[#This Row],[Total required water points]]-WWWW[[#This Row],['#Water points coverage]]&lt;0,0,WWWW[[#This Row],[Total required water points]]-WWWW[[#This Row],['#Water points coverage]])</f>
        <v>0.2759999999999998</v>
      </c>
      <c r="CK323" s="558">
        <f>ROUND(IF(WWWW[[#This Row],[Total PoP ]]&lt;500,1,WWWW[[#This Row],[Total PoP ]]/500),0)</f>
        <v>3</v>
      </c>
      <c r="CL323" s="558">
        <f>(WWWW[[#This Row],['#_Constructed latrines_by_WASHAgencies]]+WWWW[[#This Row],['#_Non Cluster partner latrines]])-WWWW[[#This Row],['#_Non-functional latrines]]</f>
        <v>0</v>
      </c>
      <c r="CM32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3" s="558" t="str">
        <f>IF(WWWW[[#This Row],[Location Type 1]]="Village","NA",IF(WWWW[[#This Row],['#_Constructed/Existing latrines in TLS]]*50&gt;WWWW[[#This Row],['#_students at TLS_CFS]],WWWW[[#This Row],['#_students at TLS_CFS]],(WWWW[[#This Row],['#_Constructed/Existing latrines in TLS]]*50)))</f>
        <v>NA</v>
      </c>
      <c r="CQ323" s="558">
        <f>ROUND(IF(WWWW[[#This Row],[Location Type 1]]="camp",WWWW[[#This Row],[Total PoP ]]/20,IF(WWWW[[#This Row],[Location Type 1]]="Temporary Location",WWWW[[#This Row],[Total PoP ]]/50,(WWWW[[#This Row],[Total PoP ]]/6))),0)</f>
        <v>227</v>
      </c>
      <c r="CR323" s="558">
        <f>IF(WWWW[[#This Row],[Total required Latrines]]-(WWWW[[#This Row],['#_Constructed latrines_by_WASHAgencies]]+WWWW[[#This Row],['#_Non Cluster partner latrines]])&lt;0,0,WWWW[[#This Row],[Total required Latrines]]-(WWWW[[#This Row],['#_Constructed latrines_by_WASHAgencies]]+WWWW[[#This Row],['#_Non Cluster partner latrines]]))</f>
        <v>227</v>
      </c>
      <c r="CS323" s="78">
        <f>1-WWWW[[#This Row],[% people access to functioning Latrine]]</f>
        <v>1</v>
      </c>
      <c r="CT323" s="560">
        <f>IF(OR(WWWW[[#This Row],['#_Non-functional latrines]]="",WWWW[[#This Row],['#_Non-functional latrines]]=0),0,WWWW[[#This Row],['#_Non-functional latrines]]/(WWWW[[#This Row],['#_Constructed latrines_by_WASHAgencies]]+WWWW[[#This Row],['#_Non Cluster partner latrines]]))</f>
        <v>0</v>
      </c>
      <c r="CU323" s="556">
        <f>IF(500*(WWWW[[#This Row],['#_male hygiene promoters]]+WWWW[[#This Row],['#_female hygiene promoters]])&gt;WWWW[[#This Row],[Total PoP ]],WWWW[[#This Row],[Total PoP ]],500*(WWWW[[#This Row],['#_male hygiene promoters]]+WWWW[[#This Row],['#_female hygiene promoters]]))</f>
        <v>1000</v>
      </c>
      <c r="CV32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3" s="558">
        <f>IF(WWWW[[#This Row],['# People with access to soap]]&gt;WWWW[[#This Row],['# People with access to Sanity Pads]],WWWW[[#This Row],['# People with access to soap]],WWWW[[#This Row],['# People with access to Sanity Pads]])</f>
        <v>0</v>
      </c>
      <c r="CY323" s="558">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CZ323" s="561">
        <f>IF(WWWW[[#This Row],[HRP3]]/WWWW[[#This Row],[Total PoP ]]&gt;100%,100%,WWWW[[#This Row],[HRP3]]/WWWW[[#This Row],[Total PoP ]])</f>
        <v>0.73421439060205584</v>
      </c>
      <c r="DA323" s="560">
        <f>1-WWWW[[#This Row],[Hygiene Coverage%]]</f>
        <v>0.26578560939794416</v>
      </c>
      <c r="DB323" s="559">
        <f>WWWW[[#This Row],['# people reached by regular dedicated hygiene promotion_5]]/WWWW[[#This Row],[Total PoP ]]</f>
        <v>0.73421439060205584</v>
      </c>
      <c r="DC323" s="559">
        <f>IF(WWWW[[#This Row],['#_households that received standard amount of soap for this quarter]]/WWWW[[#This Row],[Total HH]]&gt;1,1,WWWW[[#This Row],['#_households that received standard amount of soap for this quarter]]/WWWW[[#This Row],[Total HH]])</f>
        <v>0</v>
      </c>
      <c r="DD323" s="559">
        <f>IF(WWWW[[#This Row],['#_households that received standard amount of sanitary pads for this quarter]]/WWWW[[#This Row],[Total HH]]&gt;1,1,WWWW[[#This Row],['#_households that received standard amount of sanitary pads for this quarter]]/WWWW[[#This Row],[Total HH]])</f>
        <v>0</v>
      </c>
      <c r="DE323" s="558">
        <f>WWWW[[#This Row],['#_Constructed/Existing hand washing stations]]-WWWW[[#This Row],['#_Non-Functional_hand_washing_stations]]</f>
        <v>0</v>
      </c>
      <c r="DF323" s="757">
        <f>IF(WWWW[[#This Row],['# Functional hand washing stations during reporting period]]*20&gt;WWWW[[#This Row],[Total HH]],WWWW[[#This Row],[Total HH]],WWWW[[#This Row],['# Functional hand washing stations during reporting period]]*20)</f>
        <v>0</v>
      </c>
      <c r="DG323" s="556">
        <f>IF(WWWW[[#This Row],[Is sufficient soap available for TLS? (Yes/No)]]="yes",WWWW[[#This Row],['#_Constructed/Existing hand washing stations at TLS]],0)</f>
        <v>0</v>
      </c>
      <c r="DH323" s="556">
        <f>IF(WWWW[[#This Row],['# Functional hand washing stations during reporting period]]*100&gt;WWWW[[#This Row],[Total PoP ]],WWWW[[#This Row],[Total PoP ]],WWWW[[#This Row],['# Functional hand washing stations during reporting period]]*100)</f>
        <v>0</v>
      </c>
      <c r="DI323" s="556" t="str">
        <f>IF(OR(WWWW[[#This Row],['#_students at TLS_CFS]]="",WWWW[[#This Row],['#_students at TLS_CFS]]=0),"No","Yes")</f>
        <v>No</v>
      </c>
      <c r="DJ323" s="554">
        <f>VLOOKUP(WWWW[[#This Row],[Site Name]],SiteDB6[[Site Name]:[CCCM Management]],6,FALSE)</f>
        <v>0</v>
      </c>
      <c r="DK323" s="554">
        <f>VLOOKUP(WWWW[[#This Row],[Site Name]],SiteDB6[[Site Name]:[CCCM Focal Agency]],7,FALSE)</f>
        <v>0</v>
      </c>
      <c r="DL323" s="554" t="str">
        <f>VLOOKUP(WWWW[[#This Row],[Site Name]],SiteDB6[[Site Name]:[Location Type 1]],9,FALSE)</f>
        <v>Village</v>
      </c>
      <c r="DM323" s="554" t="str">
        <f>VLOOKUP(WWWW[[#This Row],[Site Name]],SiteDB6[[Site Name]:[Type of Accommodation]],10,FALSE)</f>
        <v>Relocated</v>
      </c>
      <c r="DN323" s="554" t="str">
        <f>VLOOKUP(WWWW[[#This Row],[Site Name]],SiteDB6[[Site Name]:[Ethnic or GCA/NGCA]],11,FALSE)</f>
        <v>Rakhine</v>
      </c>
      <c r="DO323" s="554">
        <f>VLOOKUP(WWWW[[#This Row],[Site Name]],SiteDB6[[Site Name]:[Lat]],12,FALSE)</f>
        <v>20.151471999999998</v>
      </c>
      <c r="DP323" s="554">
        <f>VLOOKUP(WWWW[[#This Row],[Site Name]],SiteDB6[[Site Name]:[Long]],13,FALSE)</f>
        <v>92.887277999999995</v>
      </c>
      <c r="DQ323" s="554" t="str">
        <f>VLOOKUP(WWWW[[#This Row],[Site Name]],SiteDB6[[Site Name]:[Pcode]],3,FALSE)</f>
        <v>MMR012CMP111</v>
      </c>
      <c r="DR323" s="563" t="str">
        <f t="shared" si="10"/>
        <v>Covered</v>
      </c>
      <c r="DS323" s="563"/>
    </row>
    <row r="324" spans="1:126">
      <c r="A324" s="552" t="s">
        <v>2518</v>
      </c>
      <c r="B324" s="552" t="s">
        <v>2368</v>
      </c>
      <c r="C324" s="555" t="s">
        <v>2368</v>
      </c>
      <c r="D324" s="555" t="s">
        <v>42</v>
      </c>
      <c r="E324" s="574" t="s">
        <v>3006</v>
      </c>
      <c r="F324" s="555" t="s">
        <v>313</v>
      </c>
      <c r="G324" s="574" t="str">
        <f>VLOOKUP(WWWW[[#This Row],[Site Name]],SiteDB6[[Site Name]:[Location Type]],8,FALSE)</f>
        <v>Village</v>
      </c>
      <c r="H324" s="555" t="s">
        <v>437</v>
      </c>
      <c r="I324" s="557">
        <v>420</v>
      </c>
      <c r="J324" s="557">
        <v>2179</v>
      </c>
      <c r="K324" s="564"/>
      <c r="L324" s="565">
        <v>44104</v>
      </c>
      <c r="M324" s="557"/>
      <c r="N324" s="557"/>
      <c r="O324" s="557"/>
      <c r="P324" s="557" t="s">
        <v>2934</v>
      </c>
      <c r="Q324" s="556"/>
      <c r="R324" s="557"/>
      <c r="S324" s="557"/>
      <c r="T324" s="557"/>
      <c r="U324" s="557"/>
      <c r="V324" s="557"/>
      <c r="W324" s="557"/>
      <c r="X324" s="557"/>
      <c r="Y324" s="557"/>
      <c r="Z324" s="557" t="s">
        <v>2934</v>
      </c>
      <c r="AA324" s="557"/>
      <c r="AB324" s="557"/>
      <c r="AC324" s="557"/>
      <c r="AD324" s="557"/>
      <c r="AE324" s="557"/>
      <c r="AF324" s="557"/>
      <c r="AG324" s="557"/>
      <c r="AH324" s="557" t="s">
        <v>2934</v>
      </c>
      <c r="AI324" s="557"/>
      <c r="AJ324" s="557"/>
      <c r="AK324" s="557"/>
      <c r="AL324" s="557"/>
      <c r="AM324" s="557"/>
      <c r="AN324" s="557"/>
      <c r="AO324" s="563"/>
      <c r="AP324" s="557"/>
      <c r="AQ324" s="557"/>
      <c r="AR324" s="559"/>
      <c r="AS324" s="557"/>
      <c r="AT324" s="557">
        <v>0</v>
      </c>
      <c r="AU324" s="557">
        <v>0</v>
      </c>
      <c r="AV324" s="557"/>
      <c r="AW324" s="557"/>
      <c r="AX324" s="554" t="s">
        <v>43</v>
      </c>
      <c r="AY324" s="563" t="s">
        <v>148</v>
      </c>
      <c r="AZ324" s="557"/>
      <c r="BA324" s="557"/>
      <c r="BB324" s="557"/>
      <c r="BC324" s="554"/>
      <c r="BD324" s="557"/>
      <c r="BE324" s="557"/>
      <c r="BF324" s="557"/>
      <c r="BG324" s="557"/>
      <c r="BH324" s="557"/>
      <c r="BI324" s="557">
        <v>1</v>
      </c>
      <c r="BJ324" s="557"/>
      <c r="BK324" s="557">
        <v>0</v>
      </c>
      <c r="BL324" s="557">
        <v>0</v>
      </c>
      <c r="BM324" s="554"/>
      <c r="BN324" s="558">
        <v>0</v>
      </c>
      <c r="BO324" s="559"/>
      <c r="BP324" s="554"/>
      <c r="BQ324" s="560" t="str">
        <f>IFERROR(WWWW[[#This Row],['#_Water sources treated]]/WWWW[[#This Row],['#_Water sources tested for contamination]],"no test")</f>
        <v>no test</v>
      </c>
      <c r="BR324" s="559" t="str">
        <f>IFERROR(WWWW[[#This Row],['#_Household received remediation action due to contamination]]/WWWW[[#This Row],['#_Household water samples tested for contamination]],"no test")</f>
        <v>no test</v>
      </c>
      <c r="BS324" s="558" t="str">
        <f>IF(AND(WWWW[[#This Row],[% of water sources treated]]="no test",WWWW[[#This Row],[% Household received corrective actions]]="no test"),"No Test","Tested")</f>
        <v>No Test</v>
      </c>
      <c r="BT324" s="558">
        <f>WWWW[[#This Row],['#_Constructed/existing protected hand dug well]]-WWWW[[#This Row],['#_Non-functional protected hand dug well]]</f>
        <v>0</v>
      </c>
      <c r="BU324" s="558">
        <f>(WWWW[[#This Row],['#_Constructed/Existing tube wells/boreholes/handpumps_WASH_agency]]+WWWW[[#This Row],['#_Non-Cluster partner water tube-wells/boreholes/handpumps]])-WWWW[[#This Row],['#_Non-functional tube wells/boreholes/handpumps]]</f>
        <v>0</v>
      </c>
      <c r="BV324" s="558">
        <f>WWWW[[#This Row],['#_Constructed/Existingwater storage tank with gravity fed reticulation system]]-WWWW[[#This Row],['#_Non-functional storage tank gravity fed reticulation system]]</f>
        <v>0</v>
      </c>
      <c r="BW324" s="558">
        <f>WWWW[[#This Row],['#_Water boating or water trucking]]</f>
        <v>0</v>
      </c>
      <c r="BX324" s="558">
        <f>WWWW[[#This Row],['#_Constructed/Existing water distribution system from river or natural spring]]</f>
        <v>0</v>
      </c>
      <c r="BY32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2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24" s="559">
        <f>IF(WWWW[[#This Row],[Location Type 1]]="Village",WWWW[[#This Row],[Access to safe drinking water for Village]],WWWW[[#This Row],[Access to safe drinking water for Camp]])</f>
        <v>0</v>
      </c>
      <c r="CB324" s="556">
        <f>WWWW[[#This Row],[%Equitable and continuous access to sufficient quantity of safe drinking water]]*WWWW[[#This Row],[Total PoP ]]</f>
        <v>0</v>
      </c>
      <c r="CC324" s="559">
        <f>IF((WWWW[[#This Row],['#_Constructed/Existing protected/fenced ponds]]*250)/WWWW[[#This Row],[Total PoP ]]&gt;1,1,(WWWW[[#This Row],['#_Constructed/Existing protected/fenced ponds]]*250)/WWWW[[#This Row],[Total PoP ]])</f>
        <v>0</v>
      </c>
      <c r="CD324" s="556">
        <f>WWWW[[#This Row],[% Access to unimproved water points]]*WWWW[[#This Row],[Total PoP ]]</f>
        <v>0</v>
      </c>
      <c r="CE32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2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24" s="556">
        <f>WWWW[[#This Row],[HRP1]]/500</f>
        <v>0</v>
      </c>
      <c r="CH324" s="561">
        <f>1-WWWW[[#This Row],[% Equitable and continuous access to sufficient quantity of domestic water]]</f>
        <v>1</v>
      </c>
      <c r="CI324" s="556">
        <f>WWWW[[#This Row],[%equitable and continuous access to sufficient quantity of safe drinking and domestic water''s GAP]]*WWWW[[#This Row],[Total PoP ]]</f>
        <v>2179</v>
      </c>
      <c r="CJ324" s="558">
        <f>IF(WWWW[[#This Row],[Total required water points]]-WWWW[[#This Row],['#Water points coverage]]&lt;0,0,WWWW[[#This Row],[Total required water points]]-WWWW[[#This Row],['#Water points coverage]])</f>
        <v>4</v>
      </c>
      <c r="CK324" s="558">
        <f>ROUND(IF(WWWW[[#This Row],[Total PoP ]]&lt;500,1,WWWW[[#This Row],[Total PoP ]]/500),0)</f>
        <v>4</v>
      </c>
      <c r="CL324" s="558">
        <f>(WWWW[[#This Row],['#_Constructed latrines_by_WASHAgencies]]+WWWW[[#This Row],['#_Non Cluster partner latrines]])-WWWW[[#This Row],['#_Non-functional latrines]]</f>
        <v>0</v>
      </c>
      <c r="CM32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4" s="558" t="str">
        <f>IF(WWWW[[#This Row],[Location Type 1]]="Village","NA",IF(WWWW[[#This Row],['#_Constructed/Existing latrines in TLS]]*50&gt;WWWW[[#This Row],['#_students at TLS_CFS]],WWWW[[#This Row],['#_students at TLS_CFS]],(WWWW[[#This Row],['#_Constructed/Existing latrines in TLS]]*50)))</f>
        <v>NA</v>
      </c>
      <c r="CQ324" s="558">
        <f>ROUND(IF(WWWW[[#This Row],[Location Type 1]]="camp",WWWW[[#This Row],[Total PoP ]]/20,IF(WWWW[[#This Row],[Location Type 1]]="Temporary Location",WWWW[[#This Row],[Total PoP ]]/50,(WWWW[[#This Row],[Total PoP ]]/6))),0)</f>
        <v>363</v>
      </c>
      <c r="CR324" s="558">
        <f>IF(WWWW[[#This Row],[Total required Latrines]]-(WWWW[[#This Row],['#_Constructed latrines_by_WASHAgencies]]+WWWW[[#This Row],['#_Non Cluster partner latrines]])&lt;0,0,WWWW[[#This Row],[Total required Latrines]]-(WWWW[[#This Row],['#_Constructed latrines_by_WASHAgencies]]+WWWW[[#This Row],['#_Non Cluster partner latrines]]))</f>
        <v>363</v>
      </c>
      <c r="CS324" s="78">
        <f>1-WWWW[[#This Row],[% people access to functioning Latrine]]</f>
        <v>1</v>
      </c>
      <c r="CT324" s="560">
        <f>IF(OR(WWWW[[#This Row],['#_Non-functional latrines]]="",WWWW[[#This Row],['#_Non-functional latrines]]=0),0,WWWW[[#This Row],['#_Non-functional latrines]]/(WWWW[[#This Row],['#_Constructed latrines_by_WASHAgencies]]+WWWW[[#This Row],['#_Non Cluster partner latrines]]))</f>
        <v>0</v>
      </c>
      <c r="CU324" s="556">
        <f>IF(500*(WWWW[[#This Row],['#_male hygiene promoters]]+WWWW[[#This Row],['#_female hygiene promoters]])&gt;WWWW[[#This Row],[Total PoP ]],WWWW[[#This Row],[Total PoP ]],500*(WWWW[[#This Row],['#_male hygiene promoters]]+WWWW[[#This Row],['#_female hygiene promoters]]))</f>
        <v>500</v>
      </c>
      <c r="CV32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4" s="558">
        <f>IF(WWWW[[#This Row],['# People with access to soap]]&gt;WWWW[[#This Row],['# People with access to Sanity Pads]],WWWW[[#This Row],['# People with access to soap]],WWWW[[#This Row],['# People with access to Sanity Pads]])</f>
        <v>0</v>
      </c>
      <c r="CY324" s="558">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324" s="561">
        <f>IF(WWWW[[#This Row],[HRP3]]/WWWW[[#This Row],[Total PoP ]]&gt;100%,100%,WWWW[[#This Row],[HRP3]]/WWWW[[#This Row],[Total PoP ]])</f>
        <v>0.22946305644791187</v>
      </c>
      <c r="DA324" s="560">
        <f>1-WWWW[[#This Row],[Hygiene Coverage%]]</f>
        <v>0.77053694355208813</v>
      </c>
      <c r="DB324" s="559">
        <f>WWWW[[#This Row],['# people reached by regular dedicated hygiene promotion_5]]/WWWW[[#This Row],[Total PoP ]]</f>
        <v>0.22946305644791187</v>
      </c>
      <c r="DC324" s="559">
        <f>IF(WWWW[[#This Row],['#_households that received standard amount of soap for this quarter]]/WWWW[[#This Row],[Total HH]]&gt;1,1,WWWW[[#This Row],['#_households that received standard amount of soap for this quarter]]/WWWW[[#This Row],[Total HH]])</f>
        <v>0</v>
      </c>
      <c r="DD324" s="559">
        <f>IF(WWWW[[#This Row],['#_households that received standard amount of sanitary pads for this quarter]]/WWWW[[#This Row],[Total HH]]&gt;1,1,WWWW[[#This Row],['#_households that received standard amount of sanitary pads for this quarter]]/WWWW[[#This Row],[Total HH]])</f>
        <v>0</v>
      </c>
      <c r="DE324" s="558">
        <f>WWWW[[#This Row],['#_Constructed/Existing hand washing stations]]-WWWW[[#This Row],['#_Non-Functional_hand_washing_stations]]</f>
        <v>0</v>
      </c>
      <c r="DF324" s="757">
        <f>IF(WWWW[[#This Row],['# Functional hand washing stations during reporting period]]*20&gt;WWWW[[#This Row],[Total HH]],WWWW[[#This Row],[Total HH]],WWWW[[#This Row],['# Functional hand washing stations during reporting period]]*20)</f>
        <v>0</v>
      </c>
      <c r="DG324" s="556">
        <f>IF(WWWW[[#This Row],[Is sufficient soap available for TLS? (Yes/No)]]="yes",WWWW[[#This Row],['#_Constructed/Existing hand washing stations at TLS]],0)</f>
        <v>0</v>
      </c>
      <c r="DH324" s="556">
        <f>IF(WWWW[[#This Row],['# Functional hand washing stations during reporting period]]*100&gt;WWWW[[#This Row],[Total PoP ]],WWWW[[#This Row],[Total PoP ]],WWWW[[#This Row],['# Functional hand washing stations during reporting period]]*100)</f>
        <v>0</v>
      </c>
      <c r="DI324" s="556" t="str">
        <f>IF(OR(WWWW[[#This Row],['#_students at TLS_CFS]]="",WWWW[[#This Row],['#_students at TLS_CFS]]=0),"No","Yes")</f>
        <v>No</v>
      </c>
      <c r="DJ324" s="554">
        <f>VLOOKUP(WWWW[[#This Row],[Site Name]],SiteDB6[[Site Name]:[CCCM Management]],6,FALSE)</f>
        <v>0</v>
      </c>
      <c r="DK324" s="554">
        <f>VLOOKUP(WWWW[[#This Row],[Site Name]],SiteDB6[[Site Name]:[CCCM Focal Agency]],7,FALSE)</f>
        <v>0</v>
      </c>
      <c r="DL324" s="554" t="str">
        <f>VLOOKUP(WWWW[[#This Row],[Site Name]],SiteDB6[[Site Name]:[Location Type 1]],9,FALSE)</f>
        <v>Village</v>
      </c>
      <c r="DM324" s="554" t="str">
        <f>VLOOKUP(WWWW[[#This Row],[Site Name]],SiteDB6[[Site Name]:[Type of Accommodation]],10,FALSE)</f>
        <v>Relocated</v>
      </c>
      <c r="DN324" s="554" t="str">
        <f>VLOOKUP(WWWW[[#This Row],[Site Name]],SiteDB6[[Site Name]:[Ethnic or GCA/NGCA]],11,FALSE)</f>
        <v>Rakhine</v>
      </c>
      <c r="DO324" s="554">
        <f>VLOOKUP(WWWW[[#This Row],[Site Name]],SiteDB6[[Site Name]:[Lat]],12,FALSE)</f>
        <v>20.151471999999998</v>
      </c>
      <c r="DP324" s="554">
        <f>VLOOKUP(WWWW[[#This Row],[Site Name]],SiteDB6[[Site Name]:[Long]],13,FALSE)</f>
        <v>92.887277999999995</v>
      </c>
      <c r="DQ324" s="554" t="str">
        <f>VLOOKUP(WWWW[[#This Row],[Site Name]],SiteDB6[[Site Name]:[Pcode]],3,FALSE)</f>
        <v>MMR012CMP112</v>
      </c>
      <c r="DR324" s="563" t="str">
        <f t="shared" si="10"/>
        <v>Covered</v>
      </c>
      <c r="DS324" s="563"/>
    </row>
    <row r="325" spans="1:126">
      <c r="A325" s="552" t="s">
        <v>2518</v>
      </c>
      <c r="B325" s="552" t="s">
        <v>3000</v>
      </c>
      <c r="C325" s="584" t="s">
        <v>2368</v>
      </c>
      <c r="D325" s="555" t="s">
        <v>42</v>
      </c>
      <c r="E325" s="574" t="s">
        <v>3006</v>
      </c>
      <c r="F325" s="555" t="s">
        <v>313</v>
      </c>
      <c r="G325" s="574" t="str">
        <f>VLOOKUP(WWWW[[#This Row],[Site Name]],SiteDB6[[Site Name]:[Location Type]],8,FALSE)</f>
        <v>Camp</v>
      </c>
      <c r="H325" s="584" t="s">
        <v>457</v>
      </c>
      <c r="I325" s="557">
        <v>2280</v>
      </c>
      <c r="J325" s="557">
        <v>11564</v>
      </c>
      <c r="K325" s="564"/>
      <c r="L325" s="565">
        <v>44104</v>
      </c>
      <c r="M325" s="557"/>
      <c r="N325" s="557"/>
      <c r="O325" s="557"/>
      <c r="P325" s="557" t="s">
        <v>2934</v>
      </c>
      <c r="Q325" s="556"/>
      <c r="R325" s="557"/>
      <c r="S325" s="557"/>
      <c r="T325" s="557"/>
      <c r="U325" s="557"/>
      <c r="V325" s="557"/>
      <c r="W325" s="557">
        <v>198</v>
      </c>
      <c r="X325" s="557"/>
      <c r="Y325" s="557">
        <v>44</v>
      </c>
      <c r="Z325" s="557">
        <v>44</v>
      </c>
      <c r="AA325" s="557"/>
      <c r="AB325" s="557"/>
      <c r="AC325" s="557"/>
      <c r="AD325" s="557"/>
      <c r="AE325" s="557"/>
      <c r="AF325" s="557"/>
      <c r="AG325" s="557"/>
      <c r="AH325" s="557">
        <v>198</v>
      </c>
      <c r="AI325" s="557">
        <v>149</v>
      </c>
      <c r="AJ325" s="557"/>
      <c r="AK325" s="557">
        <v>103</v>
      </c>
      <c r="AL325" s="557">
        <v>7</v>
      </c>
      <c r="AM325" s="557"/>
      <c r="AN325" s="557"/>
      <c r="AO325" s="563"/>
      <c r="AP325" s="557">
        <v>520</v>
      </c>
      <c r="AQ325" s="557"/>
      <c r="AR325" s="559"/>
      <c r="AS325" s="557">
        <v>62</v>
      </c>
      <c r="AT325" s="557">
        <v>152</v>
      </c>
      <c r="AU325" s="557">
        <v>242</v>
      </c>
      <c r="AV325" s="557"/>
      <c r="AW325" s="557">
        <v>520</v>
      </c>
      <c r="AX325" s="554" t="s">
        <v>43</v>
      </c>
      <c r="AY325" s="563" t="s">
        <v>145</v>
      </c>
      <c r="AZ325" s="557"/>
      <c r="BA325" s="557"/>
      <c r="BB325" s="557"/>
      <c r="BC325" s="554"/>
      <c r="BD325" s="557"/>
      <c r="BE325" s="557"/>
      <c r="BF325" s="557"/>
      <c r="BG325" s="557"/>
      <c r="BH325" s="557"/>
      <c r="BI325" s="557">
        <v>26</v>
      </c>
      <c r="BJ325" s="557"/>
      <c r="BK325" s="557">
        <v>2280</v>
      </c>
      <c r="BL325" s="557">
        <v>2280</v>
      </c>
      <c r="BM325" s="554" t="s">
        <v>43</v>
      </c>
      <c r="BN325" s="558">
        <v>76</v>
      </c>
      <c r="BO325" s="559"/>
      <c r="BP325" s="554"/>
      <c r="BQ325" s="560">
        <f>IFERROR(WWWW[[#This Row],['#_Water sources treated]]/WWWW[[#This Row],['#_Water sources tested for contamination]],"no test")</f>
        <v>0</v>
      </c>
      <c r="BR325" s="559">
        <f>IFERROR(WWWW[[#This Row],['#_Household received remediation action due to contamination]]/WWWW[[#This Row],['#_Household water samples tested for contamination]],"no test")</f>
        <v>6.7961165048543687E-2</v>
      </c>
      <c r="BS325" s="558" t="str">
        <f>IF(AND(WWWW[[#This Row],[% of water sources treated]]="no test",WWWW[[#This Row],[% Household received corrective actions]]="no test"),"No Test","Tested")</f>
        <v>Tested</v>
      </c>
      <c r="BT325" s="558">
        <f>WWWW[[#This Row],['#_Constructed/existing protected hand dug well]]-WWWW[[#This Row],['#_Non-functional protected hand dug well]]</f>
        <v>0</v>
      </c>
      <c r="BU325" s="558">
        <f>(WWWW[[#This Row],['#_Constructed/Existing tube wells/boreholes/handpumps_WASH_agency]]+WWWW[[#This Row],['#_Non-Cluster partner water tube-wells/boreholes/handpumps]])-WWWW[[#This Row],['#_Non-functional tube wells/boreholes/handpumps]]</f>
        <v>154</v>
      </c>
      <c r="BV325" s="558">
        <f>WWWW[[#This Row],['#_Constructed/Existingwater storage tank with gravity fed reticulation system]]-WWWW[[#This Row],['#_Non-functional storage tank gravity fed reticulation system]]</f>
        <v>0</v>
      </c>
      <c r="BW325" s="558">
        <f>WWWW[[#This Row],['#_Water boating or water trucking]]</f>
        <v>0</v>
      </c>
      <c r="BX325" s="558">
        <f>WWWW[[#This Row],['#_Constructed/Existing water distribution system from river or natural spring]]</f>
        <v>0</v>
      </c>
      <c r="BY32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5" s="559">
        <f>IF(WWWW[[#This Row],[Location Type 1]]="Village",WWWW[[#This Row],[Access to safe drinking water for Village]],WWWW[[#This Row],[Access to safe drinking water for Camp]])</f>
        <v>1</v>
      </c>
      <c r="CB325" s="556">
        <f>WWWW[[#This Row],[%Equitable and continuous access to sufficient quantity of safe drinking water]]*WWWW[[#This Row],[Total PoP ]]</f>
        <v>11564</v>
      </c>
      <c r="CC325" s="559">
        <f>IF((WWWW[[#This Row],['#_Constructed/Existing protected/fenced ponds]]*250)/WWWW[[#This Row],[Total PoP ]]&gt;1,1,(WWWW[[#This Row],['#_Constructed/Existing protected/fenced ponds]]*250)/WWWW[[#This Row],[Total PoP ]])</f>
        <v>0</v>
      </c>
      <c r="CD325" s="556">
        <f>WWWW[[#This Row],[% Access to unimproved water points]]*WWWW[[#This Row],[Total PoP ]]</f>
        <v>0</v>
      </c>
      <c r="CE32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11564</v>
      </c>
      <c r="CG325" s="556">
        <f>WWWW[[#This Row],[HRP1]]/500</f>
        <v>23.128</v>
      </c>
      <c r="CH325" s="561">
        <f>1-WWWW[[#This Row],[% Equitable and continuous access to sufficient quantity of domestic water]]</f>
        <v>0</v>
      </c>
      <c r="CI325" s="556">
        <f>WWWW[[#This Row],[%equitable and continuous access to sufficient quantity of safe drinking and domestic water''s GAP]]*WWWW[[#This Row],[Total PoP ]]</f>
        <v>0</v>
      </c>
      <c r="CJ325" s="558">
        <f>IF(WWWW[[#This Row],[Total required water points]]-WWWW[[#This Row],['#Water points coverage]]&lt;0,0,WWWW[[#This Row],[Total required water points]]-WWWW[[#This Row],['#Water points coverage]])</f>
        <v>0</v>
      </c>
      <c r="CK325" s="558">
        <f>ROUND(IF(WWWW[[#This Row],[Total PoP ]]&lt;500,1,WWWW[[#This Row],[Total PoP ]]/500),0)</f>
        <v>23</v>
      </c>
      <c r="CL325" s="558">
        <f>(WWWW[[#This Row],['#_Constructed latrines_by_WASHAgencies]]+WWWW[[#This Row],['#_Non Cluster partner latrines]])-WWWW[[#This Row],['#_Non-functional latrines]]</f>
        <v>458</v>
      </c>
      <c r="CM32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0.7921134555517122</v>
      </c>
      <c r="CN32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9160</v>
      </c>
      <c r="CO325"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4840</v>
      </c>
      <c r="CP325" s="558">
        <f>IF(WWWW[[#This Row],[Location Type 1]]="Village","NA",IF(WWWW[[#This Row],['#_Constructed/Existing latrines in TLS]]*50&gt;WWWW[[#This Row],['#_students at TLS_CFS]],WWWW[[#This Row],['#_students at TLS_CFS]],(WWWW[[#This Row],['#_Constructed/Existing latrines in TLS]]*50)))</f>
        <v>0</v>
      </c>
      <c r="CQ325" s="558">
        <f>ROUND(IF(WWWW[[#This Row],[Location Type 1]]="camp",WWWW[[#This Row],[Total PoP ]]/20,IF(WWWW[[#This Row],[Location Type 1]]="Temporary Location",WWWW[[#This Row],[Total PoP ]]/50,(WWWW[[#This Row],[Total PoP ]]/6))),0)</f>
        <v>578</v>
      </c>
      <c r="CR325" s="558">
        <f>IF(WWWW[[#This Row],[Total required Latrines]]-(WWWW[[#This Row],['#_Constructed latrines_by_WASHAgencies]]+WWWW[[#This Row],['#_Non Cluster partner latrines]])&lt;0,0,WWWW[[#This Row],[Total required Latrines]]-(WWWW[[#This Row],['#_Constructed latrines_by_WASHAgencies]]+WWWW[[#This Row],['#_Non Cluster partner latrines]]))</f>
        <v>58</v>
      </c>
      <c r="CS325" s="78">
        <f>1-WWWW[[#This Row],[% people access to functioning Latrine]]</f>
        <v>0.2078865444482878</v>
      </c>
      <c r="CT325" s="560">
        <f>IF(OR(WWWW[[#This Row],['#_Non-functional latrines]]="",WWWW[[#This Row],['#_Non-functional latrines]]=0),0,WWWW[[#This Row],['#_Non-functional latrines]]/(WWWW[[#This Row],['#_Constructed latrines_by_WASHAgencies]]+WWWW[[#This Row],['#_Non Cluster partner latrines]]))</f>
        <v>0.11923076923076924</v>
      </c>
      <c r="CU325" s="556">
        <f>IF(500*(WWWW[[#This Row],['#_male hygiene promoters]]+WWWW[[#This Row],['#_female hygiene promoters]])&gt;WWWW[[#This Row],[Total PoP ]],WWWW[[#This Row],[Total PoP ]],500*(WWWW[[#This Row],['#_male hygiene promoters]]+WWWW[[#This Row],['#_female hygiene promoters]]))</f>
        <v>11564</v>
      </c>
      <c r="CV32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11564</v>
      </c>
      <c r="CW32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11564</v>
      </c>
      <c r="CX325" s="558">
        <f>IF(WWWW[[#This Row],['# People with access to soap]]&gt;WWWW[[#This Row],['# People with access to Sanity Pads]],WWWW[[#This Row],['# People with access to soap]],WWWW[[#This Row],['# People with access to Sanity Pads]])</f>
        <v>11564</v>
      </c>
      <c r="CY325" s="558">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Z325" s="561">
        <f>IF(WWWW[[#This Row],[HRP3]]/WWWW[[#This Row],[Total PoP ]]&gt;100%,100%,WWWW[[#This Row],[HRP3]]/WWWW[[#This Row],[Total PoP ]])</f>
        <v>1</v>
      </c>
      <c r="DA325" s="560">
        <f>1-WWWW[[#This Row],[Hygiene Coverage%]]</f>
        <v>0</v>
      </c>
      <c r="DB325" s="559">
        <f>WWWW[[#This Row],['# people reached by regular dedicated hygiene promotion_5]]/WWWW[[#This Row],[Total PoP ]]</f>
        <v>1</v>
      </c>
      <c r="DC325" s="559">
        <f>IF(WWWW[[#This Row],['#_households that received standard amount of soap for this quarter]]/WWWW[[#This Row],[Total HH]]&gt;1,1,WWWW[[#This Row],['#_households that received standard amount of soap for this quarter]]/WWWW[[#This Row],[Total HH]])</f>
        <v>1</v>
      </c>
      <c r="DD325" s="559">
        <f>IF(WWWW[[#This Row],['#_households that received standard amount of sanitary pads for this quarter]]/WWWW[[#This Row],[Total HH]]&gt;1,1,WWWW[[#This Row],['#_households that received standard amount of sanitary pads for this quarter]]/WWWW[[#This Row],[Total HH]])</f>
        <v>1</v>
      </c>
      <c r="DE325" s="558">
        <f>WWWW[[#This Row],['#_Constructed/Existing hand washing stations]]-WWWW[[#This Row],['#_Non-Functional_hand_washing_stations]]</f>
        <v>0</v>
      </c>
      <c r="DF325" s="757">
        <f>IF(WWWW[[#This Row],['# Functional hand washing stations during reporting period]]*20&gt;WWWW[[#This Row],[Total HH]],WWWW[[#This Row],[Total HH]],WWWW[[#This Row],['# Functional hand washing stations during reporting period]]*20)</f>
        <v>0</v>
      </c>
      <c r="DG325" s="556">
        <f>IF(WWWW[[#This Row],[Is sufficient soap available for TLS? (Yes/No)]]="yes",WWWW[[#This Row],['#_Constructed/Existing hand washing stations at TLS]],0)</f>
        <v>0</v>
      </c>
      <c r="DH325" s="556">
        <f>IF(WWWW[[#This Row],['# Functional hand washing stations during reporting period]]*100&gt;WWWW[[#This Row],[Total PoP ]],WWWW[[#This Row],[Total PoP ]],WWWW[[#This Row],['# Functional hand washing stations during reporting period]]*100)</f>
        <v>0</v>
      </c>
      <c r="DI325" s="556" t="str">
        <f>IF(OR(WWWW[[#This Row],['#_students at TLS_CFS]]="",WWWW[[#This Row],['#_students at TLS_CFS]]=0),"No","Yes")</f>
        <v>No</v>
      </c>
      <c r="DJ325" s="554" t="str">
        <f>VLOOKUP(WWWW[[#This Row],[Site Name]],SiteDB6[[Site Name]:[CCCM Management]],6,FALSE)</f>
        <v>Yes</v>
      </c>
      <c r="DK325" s="554">
        <f>VLOOKUP(WWWW[[#This Row],[Site Name]],SiteDB6[[Site Name]:[CCCM Focal Agency]],7,FALSE)</f>
        <v>0</v>
      </c>
      <c r="DL325" s="554" t="str">
        <f>VLOOKUP(WWWW[[#This Row],[Site Name]],SiteDB6[[Site Name]:[Location Type 1]],9,FALSE)</f>
        <v>Camp</v>
      </c>
      <c r="DM325" s="554" t="str">
        <f>VLOOKUP(WWWW[[#This Row],[Site Name]],SiteDB6[[Site Name]:[Type of Accommodation]],10,FALSE)</f>
        <v>Planned Camp</v>
      </c>
      <c r="DN325" s="554" t="str">
        <f>VLOOKUP(WWWW[[#This Row],[Site Name]],SiteDB6[[Site Name]:[Ethnic or GCA/NGCA]],11,FALSE)</f>
        <v>Muslim</v>
      </c>
      <c r="DO325" s="554">
        <f>VLOOKUP(WWWW[[#This Row],[Site Name]],SiteDB6[[Site Name]:[Lat]],12,FALSE)</f>
        <v>20.202525000000001</v>
      </c>
      <c r="DP325" s="554">
        <f>VLOOKUP(WWWW[[#This Row],[Site Name]],SiteDB6[[Site Name]:[Long]],13,FALSE)</f>
        <v>92.792479999999998</v>
      </c>
      <c r="DQ325" s="554" t="str">
        <f>VLOOKUP(WWWW[[#This Row],[Site Name]],SiteDB6[[Site Name]:[Pcode]],3,FALSE)</f>
        <v>MMR012CMP045</v>
      </c>
      <c r="DR325" s="563" t="str">
        <f t="shared" ref="DR325:DR344" si="11">IF(C325="none","Notcovered","Covered")</f>
        <v>Covered</v>
      </c>
      <c r="DS325" s="563"/>
    </row>
    <row r="326" spans="1:126">
      <c r="A326" s="552" t="s">
        <v>2518</v>
      </c>
      <c r="B326" s="552" t="s">
        <v>2368</v>
      </c>
      <c r="C326" s="555" t="s">
        <v>2368</v>
      </c>
      <c r="D326" s="555" t="s">
        <v>42</v>
      </c>
      <c r="E326" s="574" t="s">
        <v>3006</v>
      </c>
      <c r="F326" s="555" t="s">
        <v>313</v>
      </c>
      <c r="G326" s="574" t="str">
        <f>VLOOKUP(WWWW[[#This Row],[Site Name]],SiteDB6[[Site Name]:[Location Type]],8,FALSE)</f>
        <v>Village</v>
      </c>
      <c r="H326" s="555" t="s">
        <v>455</v>
      </c>
      <c r="I326" s="557">
        <v>92</v>
      </c>
      <c r="J326" s="557">
        <v>695</v>
      </c>
      <c r="K326" s="564"/>
      <c r="L326" s="565">
        <v>44104</v>
      </c>
      <c r="M326" s="557"/>
      <c r="N326" s="557"/>
      <c r="O326" s="557"/>
      <c r="P326" s="557" t="s">
        <v>2934</v>
      </c>
      <c r="Q326" s="556"/>
      <c r="R326" s="557"/>
      <c r="S326" s="557"/>
      <c r="T326" s="557"/>
      <c r="U326" s="557"/>
      <c r="V326" s="557"/>
      <c r="W326" s="557">
        <v>7</v>
      </c>
      <c r="X326" s="557"/>
      <c r="Y326" s="557"/>
      <c r="Z326" s="557" t="s">
        <v>2934</v>
      </c>
      <c r="AA326" s="557"/>
      <c r="AB326" s="557"/>
      <c r="AC326" s="557"/>
      <c r="AD326" s="557"/>
      <c r="AE326" s="557"/>
      <c r="AF326" s="557"/>
      <c r="AG326" s="557"/>
      <c r="AH326" s="557">
        <v>7</v>
      </c>
      <c r="AI326" s="557">
        <v>13</v>
      </c>
      <c r="AJ326" s="557"/>
      <c r="AK326" s="557">
        <v>11</v>
      </c>
      <c r="AL326" s="557">
        <v>1</v>
      </c>
      <c r="AM326" s="557"/>
      <c r="AN326" s="557"/>
      <c r="AO326" s="563"/>
      <c r="AP326" s="557"/>
      <c r="AQ326" s="557"/>
      <c r="AR326" s="559"/>
      <c r="AS326" s="557"/>
      <c r="AT326" s="557">
        <v>0</v>
      </c>
      <c r="AU326" s="557">
        <v>0</v>
      </c>
      <c r="AV326" s="557"/>
      <c r="AW326" s="557"/>
      <c r="AX326" s="554" t="s">
        <v>43</v>
      </c>
      <c r="AY326" s="563" t="s">
        <v>148</v>
      </c>
      <c r="AZ326" s="557"/>
      <c r="BA326" s="557"/>
      <c r="BB326" s="557"/>
      <c r="BC326" s="554"/>
      <c r="BD326" s="557"/>
      <c r="BE326" s="557"/>
      <c r="BF326" s="557"/>
      <c r="BG326" s="557"/>
      <c r="BH326" s="557"/>
      <c r="BI326" s="557"/>
      <c r="BJ326" s="557"/>
      <c r="BK326" s="557">
        <v>0</v>
      </c>
      <c r="BL326" s="557">
        <v>0</v>
      </c>
      <c r="BM326" s="554"/>
      <c r="BN326" s="558">
        <v>0</v>
      </c>
      <c r="BO326" s="559"/>
      <c r="BP326" s="554"/>
      <c r="BQ326" s="560">
        <f>IFERROR(WWWW[[#This Row],['#_Water sources treated]]/WWWW[[#This Row],['#_Water sources tested for contamination]],"no test")</f>
        <v>0</v>
      </c>
      <c r="BR326" s="559">
        <f>IFERROR(WWWW[[#This Row],['#_Household received remediation action due to contamination]]/WWWW[[#This Row],['#_Household water samples tested for contamination]],"no test")</f>
        <v>9.0909090909090912E-2</v>
      </c>
      <c r="BS326" s="558" t="str">
        <f>IF(AND(WWWW[[#This Row],[% of water sources treated]]="no test",WWWW[[#This Row],[% Household received corrective actions]]="no test"),"No Test","Tested")</f>
        <v>Tested</v>
      </c>
      <c r="BT326" s="558">
        <f>WWWW[[#This Row],['#_Constructed/existing protected hand dug well]]-WWWW[[#This Row],['#_Non-functional protected hand dug well]]</f>
        <v>0</v>
      </c>
      <c r="BU326" s="558">
        <f>(WWWW[[#This Row],['#_Constructed/Existing tube wells/boreholes/handpumps_WASH_agency]]+WWWW[[#This Row],['#_Non-Cluster partner water tube-wells/boreholes/handpumps]])-WWWW[[#This Row],['#_Non-functional tube wells/boreholes/handpumps]]</f>
        <v>7</v>
      </c>
      <c r="BV326" s="558">
        <f>WWWW[[#This Row],['#_Constructed/Existingwater storage tank with gravity fed reticulation system]]-WWWW[[#This Row],['#_Non-functional storage tank gravity fed reticulation system]]</f>
        <v>0</v>
      </c>
      <c r="BW326" s="558">
        <f>WWWW[[#This Row],['#_Water boating or water trucking]]</f>
        <v>0</v>
      </c>
      <c r="BX326" s="558">
        <f>WWWW[[#This Row],['#_Constructed/Existing water distribution system from river or natural spring]]</f>
        <v>0</v>
      </c>
      <c r="BY32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6" s="559">
        <f>IF(WWWW[[#This Row],[Location Type 1]]="Village",WWWW[[#This Row],[Access to safe drinking water for Village]],WWWW[[#This Row],[Access to safe drinking water for Camp]])</f>
        <v>1</v>
      </c>
      <c r="CB326" s="556">
        <f>WWWW[[#This Row],[%Equitable and continuous access to sufficient quantity of safe drinking water]]*WWWW[[#This Row],[Total PoP ]]</f>
        <v>695</v>
      </c>
      <c r="CC326" s="559">
        <f>IF((WWWW[[#This Row],['#_Constructed/Existing protected/fenced ponds]]*250)/WWWW[[#This Row],[Total PoP ]]&gt;1,1,(WWWW[[#This Row],['#_Constructed/Existing protected/fenced ponds]]*250)/WWWW[[#This Row],[Total PoP ]])</f>
        <v>0</v>
      </c>
      <c r="CD326" s="556">
        <f>WWWW[[#This Row],[% Access to unimproved water points]]*WWWW[[#This Row],[Total PoP ]]</f>
        <v>0</v>
      </c>
      <c r="CE32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695</v>
      </c>
      <c r="CG326" s="556">
        <f>WWWW[[#This Row],[HRP1]]/500</f>
        <v>1.39</v>
      </c>
      <c r="CH326" s="561">
        <f>1-WWWW[[#This Row],[% Equitable and continuous access to sufficient quantity of domestic water]]</f>
        <v>0</v>
      </c>
      <c r="CI326" s="556">
        <f>WWWW[[#This Row],[%equitable and continuous access to sufficient quantity of safe drinking and domestic water''s GAP]]*WWWW[[#This Row],[Total PoP ]]</f>
        <v>0</v>
      </c>
      <c r="CJ326" s="558">
        <f>IF(WWWW[[#This Row],[Total required water points]]-WWWW[[#This Row],['#Water points coverage]]&lt;0,0,WWWW[[#This Row],[Total required water points]]-WWWW[[#This Row],['#Water points coverage]])</f>
        <v>0</v>
      </c>
      <c r="CK326" s="558">
        <f>ROUND(IF(WWWW[[#This Row],[Total PoP ]]&lt;500,1,WWWW[[#This Row],[Total PoP ]]/500),0)</f>
        <v>1</v>
      </c>
      <c r="CL326" s="558">
        <f>(WWWW[[#This Row],['#_Constructed latrines_by_WASHAgencies]]+WWWW[[#This Row],['#_Non Cluster partner latrines]])-WWWW[[#This Row],['#_Non-functional latrines]]</f>
        <v>0</v>
      </c>
      <c r="CM32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6" s="558" t="str">
        <f>IF(WWWW[[#This Row],[Location Type 1]]="Village","NA",IF(WWWW[[#This Row],['#_Constructed/Existing latrines in TLS]]*50&gt;WWWW[[#This Row],['#_students at TLS_CFS]],WWWW[[#This Row],['#_students at TLS_CFS]],(WWWW[[#This Row],['#_Constructed/Existing latrines in TLS]]*50)))</f>
        <v>NA</v>
      </c>
      <c r="CQ326" s="558">
        <f>ROUND(IF(WWWW[[#This Row],[Location Type 1]]="camp",WWWW[[#This Row],[Total PoP ]]/20,IF(WWWW[[#This Row],[Location Type 1]]="Temporary Location",WWWW[[#This Row],[Total PoP ]]/50,(WWWW[[#This Row],[Total PoP ]]/6))),0)</f>
        <v>116</v>
      </c>
      <c r="CR326" s="558">
        <f>IF(WWWW[[#This Row],[Total required Latrines]]-(WWWW[[#This Row],['#_Constructed latrines_by_WASHAgencies]]+WWWW[[#This Row],['#_Non Cluster partner latrines]])&lt;0,0,WWWW[[#This Row],[Total required Latrines]]-(WWWW[[#This Row],['#_Constructed latrines_by_WASHAgencies]]+WWWW[[#This Row],['#_Non Cluster partner latrines]]))</f>
        <v>116</v>
      </c>
      <c r="CS326" s="78">
        <f>1-WWWW[[#This Row],[% people access to functioning Latrine]]</f>
        <v>1</v>
      </c>
      <c r="CT326" s="560">
        <f>IF(OR(WWWW[[#This Row],['#_Non-functional latrines]]="",WWWW[[#This Row],['#_Non-functional latrines]]=0),0,WWWW[[#This Row],['#_Non-functional latrines]]/(WWWW[[#This Row],['#_Constructed latrines_by_WASHAgencies]]+WWWW[[#This Row],['#_Non Cluster partner latrines]]))</f>
        <v>0</v>
      </c>
      <c r="CU326" s="556">
        <f>IF(500*(WWWW[[#This Row],['#_male hygiene promoters]]+WWWW[[#This Row],['#_female hygiene promoters]])&gt;WWWW[[#This Row],[Total PoP ]],WWWW[[#This Row],[Total PoP ]],500*(WWWW[[#This Row],['#_male hygiene promoters]]+WWWW[[#This Row],['#_female hygiene promoters]]))</f>
        <v>0</v>
      </c>
      <c r="CV32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6" s="558">
        <f>IF(WWWW[[#This Row],['# People with access to soap]]&gt;WWWW[[#This Row],['# People with access to Sanity Pads]],WWWW[[#This Row],['# People with access to soap]],WWWW[[#This Row],['# People with access to Sanity Pads]])</f>
        <v>0</v>
      </c>
      <c r="CY32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26" s="561">
        <f>IF(WWWW[[#This Row],[HRP3]]/WWWW[[#This Row],[Total PoP ]]&gt;100%,100%,WWWW[[#This Row],[HRP3]]/WWWW[[#This Row],[Total PoP ]])</f>
        <v>0</v>
      </c>
      <c r="DA326" s="560">
        <f>1-WWWW[[#This Row],[Hygiene Coverage%]]</f>
        <v>1</v>
      </c>
      <c r="DB326" s="559">
        <f>WWWW[[#This Row],['# people reached by regular dedicated hygiene promotion_5]]/WWWW[[#This Row],[Total PoP ]]</f>
        <v>0</v>
      </c>
      <c r="DC326" s="559">
        <f>IF(WWWW[[#This Row],['#_households that received standard amount of soap for this quarter]]/WWWW[[#This Row],[Total HH]]&gt;1,1,WWWW[[#This Row],['#_households that received standard amount of soap for this quarter]]/WWWW[[#This Row],[Total HH]])</f>
        <v>0</v>
      </c>
      <c r="DD326" s="559">
        <f>IF(WWWW[[#This Row],['#_households that received standard amount of sanitary pads for this quarter]]/WWWW[[#This Row],[Total HH]]&gt;1,1,WWWW[[#This Row],['#_households that received standard amount of sanitary pads for this quarter]]/WWWW[[#This Row],[Total HH]])</f>
        <v>0</v>
      </c>
      <c r="DE326" s="558">
        <f>WWWW[[#This Row],['#_Constructed/Existing hand washing stations]]-WWWW[[#This Row],['#_Non-Functional_hand_washing_stations]]</f>
        <v>0</v>
      </c>
      <c r="DF326" s="757">
        <f>IF(WWWW[[#This Row],['# Functional hand washing stations during reporting period]]*20&gt;WWWW[[#This Row],[Total HH]],WWWW[[#This Row],[Total HH]],WWWW[[#This Row],['# Functional hand washing stations during reporting period]]*20)</f>
        <v>0</v>
      </c>
      <c r="DG326" s="556">
        <f>IF(WWWW[[#This Row],[Is sufficient soap available for TLS? (Yes/No)]]="yes",WWWW[[#This Row],['#_Constructed/Existing hand washing stations at TLS]],0)</f>
        <v>0</v>
      </c>
      <c r="DH326" s="556">
        <f>IF(WWWW[[#This Row],['# Functional hand washing stations during reporting period]]*100&gt;WWWW[[#This Row],[Total PoP ]],WWWW[[#This Row],[Total PoP ]],WWWW[[#This Row],['# Functional hand washing stations during reporting period]]*100)</f>
        <v>0</v>
      </c>
      <c r="DI326" s="556" t="str">
        <f>IF(OR(WWWW[[#This Row],['#_students at TLS_CFS]]="",WWWW[[#This Row],['#_students at TLS_CFS]]=0),"No","Yes")</f>
        <v>No</v>
      </c>
      <c r="DJ326" s="554">
        <f>VLOOKUP(WWWW[[#This Row],[Site Name]],SiteDB6[[Site Name]:[CCCM Management]],6,FALSE)</f>
        <v>0</v>
      </c>
      <c r="DK326" s="554">
        <f>VLOOKUP(WWWW[[#This Row],[Site Name]],SiteDB6[[Site Name]:[CCCM Focal Agency]],7,FALSE)</f>
        <v>0</v>
      </c>
      <c r="DL326" s="554" t="str">
        <f>VLOOKUP(WWWW[[#This Row],[Site Name]],SiteDB6[[Site Name]:[Location Type 1]],9,FALSE)</f>
        <v>Village</v>
      </c>
      <c r="DM326" s="554" t="str">
        <f>VLOOKUP(WWWW[[#This Row],[Site Name]],SiteDB6[[Site Name]:[Type of Accommodation]],10,FALSE)</f>
        <v>Village</v>
      </c>
      <c r="DN326" s="554">
        <f>VLOOKUP(WWWW[[#This Row],[Site Name]],SiteDB6[[Site Name]:[Ethnic or GCA/NGCA]],11,FALSE)</f>
        <v>0</v>
      </c>
      <c r="DO326" s="554">
        <f>VLOOKUP(WWWW[[#This Row],[Site Name]],SiteDB6[[Site Name]:[Lat]],12,FALSE)</f>
        <v>0</v>
      </c>
      <c r="DP326" s="554">
        <f>VLOOKUP(WWWW[[#This Row],[Site Name]],SiteDB6[[Site Name]:[Long]],13,FALSE)</f>
        <v>0</v>
      </c>
      <c r="DQ326" s="554">
        <f>VLOOKUP(WWWW[[#This Row],[Site Name]],SiteDB6[[Site Name]:[Pcode]],3,FALSE)</f>
        <v>196154</v>
      </c>
      <c r="DR326" s="563" t="str">
        <f t="shared" si="11"/>
        <v>Covered</v>
      </c>
      <c r="DS326" s="563"/>
    </row>
    <row r="327" spans="1:126">
      <c r="A327" s="552" t="s">
        <v>2518</v>
      </c>
      <c r="B327" s="552" t="s">
        <v>2368</v>
      </c>
      <c r="C327" s="555" t="s">
        <v>2368</v>
      </c>
      <c r="D327" s="555" t="s">
        <v>42</v>
      </c>
      <c r="E327" s="574" t="s">
        <v>3006</v>
      </c>
      <c r="F327" s="555" t="s">
        <v>313</v>
      </c>
      <c r="G327" s="574" t="str">
        <f>VLOOKUP(WWWW[[#This Row],[Site Name]],SiteDB6[[Site Name]:[Location Type]],8,FALSE)</f>
        <v>Village</v>
      </c>
      <c r="H327" s="555" t="s">
        <v>451</v>
      </c>
      <c r="I327" s="557">
        <v>235</v>
      </c>
      <c r="J327" s="557">
        <v>1390</v>
      </c>
      <c r="K327" s="564"/>
      <c r="L327" s="565">
        <v>44104</v>
      </c>
      <c r="M327" s="557"/>
      <c r="N327" s="557"/>
      <c r="O327" s="557"/>
      <c r="P327" s="557" t="s">
        <v>2934</v>
      </c>
      <c r="Q327" s="556"/>
      <c r="R327" s="557"/>
      <c r="S327" s="557"/>
      <c r="T327" s="557"/>
      <c r="U327" s="557"/>
      <c r="V327" s="557"/>
      <c r="W327" s="557">
        <v>8</v>
      </c>
      <c r="X327" s="557"/>
      <c r="Y327" s="557"/>
      <c r="Z327" s="557" t="s">
        <v>2934</v>
      </c>
      <c r="AA327" s="557"/>
      <c r="AB327" s="557"/>
      <c r="AC327" s="557"/>
      <c r="AD327" s="557"/>
      <c r="AE327" s="557"/>
      <c r="AF327" s="557"/>
      <c r="AG327" s="557"/>
      <c r="AH327" s="557">
        <v>8</v>
      </c>
      <c r="AI327" s="557">
        <v>12</v>
      </c>
      <c r="AJ327" s="557"/>
      <c r="AK327" s="557">
        <v>14</v>
      </c>
      <c r="AL327" s="557"/>
      <c r="AM327" s="557"/>
      <c r="AN327" s="557"/>
      <c r="AO327" s="563"/>
      <c r="AP327" s="557"/>
      <c r="AQ327" s="557"/>
      <c r="AR327" s="559"/>
      <c r="AS327" s="557"/>
      <c r="AT327" s="557">
        <v>0</v>
      </c>
      <c r="AU327" s="557">
        <v>0</v>
      </c>
      <c r="AV327" s="557"/>
      <c r="AW327" s="557"/>
      <c r="AX327" s="554" t="s">
        <v>43</v>
      </c>
      <c r="AY327" s="563" t="s">
        <v>148</v>
      </c>
      <c r="AZ327" s="557"/>
      <c r="BA327" s="557"/>
      <c r="BB327" s="557"/>
      <c r="BC327" s="554"/>
      <c r="BD327" s="557"/>
      <c r="BE327" s="557"/>
      <c r="BF327" s="557"/>
      <c r="BG327" s="557"/>
      <c r="BH327" s="557"/>
      <c r="BI327" s="557"/>
      <c r="BJ327" s="557"/>
      <c r="BK327" s="557">
        <v>0</v>
      </c>
      <c r="BL327" s="557">
        <v>0</v>
      </c>
      <c r="BM327" s="554"/>
      <c r="BN327" s="558">
        <v>0</v>
      </c>
      <c r="BO327" s="559"/>
      <c r="BP327" s="554"/>
      <c r="BQ327" s="560">
        <f>IFERROR(WWWW[[#This Row],['#_Water sources treated]]/WWWW[[#This Row],['#_Water sources tested for contamination]],"no test")</f>
        <v>0</v>
      </c>
      <c r="BR327" s="559">
        <f>IFERROR(WWWW[[#This Row],['#_Household received remediation action due to contamination]]/WWWW[[#This Row],['#_Household water samples tested for contamination]],"no test")</f>
        <v>0</v>
      </c>
      <c r="BS327" s="558" t="str">
        <f>IF(AND(WWWW[[#This Row],[% of water sources treated]]="no test",WWWW[[#This Row],[% Household received corrective actions]]="no test"),"No Test","Tested")</f>
        <v>Tested</v>
      </c>
      <c r="BT327" s="558">
        <f>WWWW[[#This Row],['#_Constructed/existing protected hand dug well]]-WWWW[[#This Row],['#_Non-functional protected hand dug well]]</f>
        <v>0</v>
      </c>
      <c r="BU327" s="558">
        <f>(WWWW[[#This Row],['#_Constructed/Existing tube wells/boreholes/handpumps_WASH_agency]]+WWWW[[#This Row],['#_Non-Cluster partner water tube-wells/boreholes/handpumps]])-WWWW[[#This Row],['#_Non-functional tube wells/boreholes/handpumps]]</f>
        <v>8</v>
      </c>
      <c r="BV327" s="558">
        <f>WWWW[[#This Row],['#_Constructed/Existingwater storage tank with gravity fed reticulation system]]-WWWW[[#This Row],['#_Non-functional storage tank gravity fed reticulation system]]</f>
        <v>0</v>
      </c>
      <c r="BW327" s="558">
        <f>WWWW[[#This Row],['#_Water boating or water trucking]]</f>
        <v>0</v>
      </c>
      <c r="BX327" s="558">
        <f>WWWW[[#This Row],['#_Constructed/Existing water distribution system from river or natural spring]]</f>
        <v>0</v>
      </c>
      <c r="BY32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7" s="559">
        <f>IF(WWWW[[#This Row],[Location Type 1]]="Village",WWWW[[#This Row],[Access to safe drinking water for Village]],WWWW[[#This Row],[Access to safe drinking water for Camp]])</f>
        <v>1</v>
      </c>
      <c r="CB327" s="556">
        <f>WWWW[[#This Row],[%Equitable and continuous access to sufficient quantity of safe drinking water]]*WWWW[[#This Row],[Total PoP ]]</f>
        <v>1390</v>
      </c>
      <c r="CC327" s="559">
        <f>IF((WWWW[[#This Row],['#_Constructed/Existing protected/fenced ponds]]*250)/WWWW[[#This Row],[Total PoP ]]&gt;1,1,(WWWW[[#This Row],['#_Constructed/Existing protected/fenced ponds]]*250)/WWWW[[#This Row],[Total PoP ]])</f>
        <v>0</v>
      </c>
      <c r="CD327" s="556">
        <f>WWWW[[#This Row],[% Access to unimproved water points]]*WWWW[[#This Row],[Total PoP ]]</f>
        <v>0</v>
      </c>
      <c r="CE32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1390</v>
      </c>
      <c r="CG327" s="556">
        <f>WWWW[[#This Row],[HRP1]]/500</f>
        <v>2.78</v>
      </c>
      <c r="CH327" s="561">
        <f>1-WWWW[[#This Row],[% Equitable and continuous access to sufficient quantity of domestic water]]</f>
        <v>0</v>
      </c>
      <c r="CI327" s="556">
        <f>WWWW[[#This Row],[%equitable and continuous access to sufficient quantity of safe drinking and domestic water''s GAP]]*WWWW[[#This Row],[Total PoP ]]</f>
        <v>0</v>
      </c>
      <c r="CJ327" s="558">
        <f>IF(WWWW[[#This Row],[Total required water points]]-WWWW[[#This Row],['#Water points coverage]]&lt;0,0,WWWW[[#This Row],[Total required water points]]-WWWW[[#This Row],['#Water points coverage]])</f>
        <v>0.2200000000000002</v>
      </c>
      <c r="CK327" s="558">
        <f>ROUND(IF(WWWW[[#This Row],[Total PoP ]]&lt;500,1,WWWW[[#This Row],[Total PoP ]]/500),0)</f>
        <v>3</v>
      </c>
      <c r="CL327" s="558">
        <f>(WWWW[[#This Row],['#_Constructed latrines_by_WASHAgencies]]+WWWW[[#This Row],['#_Non Cluster partner latrines]])-WWWW[[#This Row],['#_Non-functional latrines]]</f>
        <v>0</v>
      </c>
      <c r="CM32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7" s="558" t="str">
        <f>IF(WWWW[[#This Row],[Location Type 1]]="Village","NA",IF(WWWW[[#This Row],['#_Constructed/Existing latrines in TLS]]*50&gt;WWWW[[#This Row],['#_students at TLS_CFS]],WWWW[[#This Row],['#_students at TLS_CFS]],(WWWW[[#This Row],['#_Constructed/Existing latrines in TLS]]*50)))</f>
        <v>NA</v>
      </c>
      <c r="CQ327" s="558">
        <f>ROUND(IF(WWWW[[#This Row],[Location Type 1]]="camp",WWWW[[#This Row],[Total PoP ]]/20,IF(WWWW[[#This Row],[Location Type 1]]="Temporary Location",WWWW[[#This Row],[Total PoP ]]/50,(WWWW[[#This Row],[Total PoP ]]/6))),0)</f>
        <v>232</v>
      </c>
      <c r="CR327" s="558">
        <f>IF(WWWW[[#This Row],[Total required Latrines]]-(WWWW[[#This Row],['#_Constructed latrines_by_WASHAgencies]]+WWWW[[#This Row],['#_Non Cluster partner latrines]])&lt;0,0,WWWW[[#This Row],[Total required Latrines]]-(WWWW[[#This Row],['#_Constructed latrines_by_WASHAgencies]]+WWWW[[#This Row],['#_Non Cluster partner latrines]]))</f>
        <v>232</v>
      </c>
      <c r="CS327" s="78">
        <f>1-WWWW[[#This Row],[% people access to functioning Latrine]]</f>
        <v>1</v>
      </c>
      <c r="CT327" s="560">
        <f>IF(OR(WWWW[[#This Row],['#_Non-functional latrines]]="",WWWW[[#This Row],['#_Non-functional latrines]]=0),0,WWWW[[#This Row],['#_Non-functional latrines]]/(WWWW[[#This Row],['#_Constructed latrines_by_WASHAgencies]]+WWWW[[#This Row],['#_Non Cluster partner latrines]]))</f>
        <v>0</v>
      </c>
      <c r="CU327" s="556">
        <f>IF(500*(WWWW[[#This Row],['#_male hygiene promoters]]+WWWW[[#This Row],['#_female hygiene promoters]])&gt;WWWW[[#This Row],[Total PoP ]],WWWW[[#This Row],[Total PoP ]],500*(WWWW[[#This Row],['#_male hygiene promoters]]+WWWW[[#This Row],['#_female hygiene promoters]]))</f>
        <v>0</v>
      </c>
      <c r="CV32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7" s="558">
        <f>IF(WWWW[[#This Row],['# People with access to soap]]&gt;WWWW[[#This Row],['# People with access to Sanity Pads]],WWWW[[#This Row],['# People with access to soap]],WWWW[[#This Row],['# People with access to Sanity Pads]])</f>
        <v>0</v>
      </c>
      <c r="CY32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27" s="561">
        <f>IF(WWWW[[#This Row],[HRP3]]/WWWW[[#This Row],[Total PoP ]]&gt;100%,100%,WWWW[[#This Row],[HRP3]]/WWWW[[#This Row],[Total PoP ]])</f>
        <v>0</v>
      </c>
      <c r="DA327" s="560">
        <f>1-WWWW[[#This Row],[Hygiene Coverage%]]</f>
        <v>1</v>
      </c>
      <c r="DB327" s="559">
        <f>WWWW[[#This Row],['# people reached by regular dedicated hygiene promotion_5]]/WWWW[[#This Row],[Total PoP ]]</f>
        <v>0</v>
      </c>
      <c r="DC327" s="559">
        <f>IF(WWWW[[#This Row],['#_households that received standard amount of soap for this quarter]]/WWWW[[#This Row],[Total HH]]&gt;1,1,WWWW[[#This Row],['#_households that received standard amount of soap for this quarter]]/WWWW[[#This Row],[Total HH]])</f>
        <v>0</v>
      </c>
      <c r="DD327" s="559">
        <f>IF(WWWW[[#This Row],['#_households that received standard amount of sanitary pads for this quarter]]/WWWW[[#This Row],[Total HH]]&gt;1,1,WWWW[[#This Row],['#_households that received standard amount of sanitary pads for this quarter]]/WWWW[[#This Row],[Total HH]])</f>
        <v>0</v>
      </c>
      <c r="DE327" s="558">
        <f>WWWW[[#This Row],['#_Constructed/Existing hand washing stations]]-WWWW[[#This Row],['#_Non-Functional_hand_washing_stations]]</f>
        <v>0</v>
      </c>
      <c r="DF327" s="757">
        <f>IF(WWWW[[#This Row],['# Functional hand washing stations during reporting period]]*20&gt;WWWW[[#This Row],[Total HH]],WWWW[[#This Row],[Total HH]],WWWW[[#This Row],['# Functional hand washing stations during reporting period]]*20)</f>
        <v>0</v>
      </c>
      <c r="DG327" s="556">
        <f>IF(WWWW[[#This Row],[Is sufficient soap available for TLS? (Yes/No)]]="yes",WWWW[[#This Row],['#_Constructed/Existing hand washing stations at TLS]],0)</f>
        <v>0</v>
      </c>
      <c r="DH327" s="556">
        <f>IF(WWWW[[#This Row],['# Functional hand washing stations during reporting period]]*100&gt;WWWW[[#This Row],[Total PoP ]],WWWW[[#This Row],[Total PoP ]],WWWW[[#This Row],['# Functional hand washing stations during reporting period]]*100)</f>
        <v>0</v>
      </c>
      <c r="DI327" s="556" t="str">
        <f>IF(OR(WWWW[[#This Row],['#_students at TLS_CFS]]="",WWWW[[#This Row],['#_students at TLS_CFS]]=0),"No","Yes")</f>
        <v>No</v>
      </c>
      <c r="DJ327" s="554">
        <f>VLOOKUP(WWWW[[#This Row],[Site Name]],SiteDB6[[Site Name]:[CCCM Management]],6,FALSE)</f>
        <v>0</v>
      </c>
      <c r="DK327" s="554">
        <f>VLOOKUP(WWWW[[#This Row],[Site Name]],SiteDB6[[Site Name]:[CCCM Focal Agency]],7,FALSE)</f>
        <v>0</v>
      </c>
      <c r="DL327" s="554" t="str">
        <f>VLOOKUP(WWWW[[#This Row],[Site Name]],SiteDB6[[Site Name]:[Location Type 1]],9,FALSE)</f>
        <v>Village</v>
      </c>
      <c r="DM327" s="554" t="str">
        <f>VLOOKUP(WWWW[[#This Row],[Site Name]],SiteDB6[[Site Name]:[Type of Accommodation]],10,FALSE)</f>
        <v>Village</v>
      </c>
      <c r="DN327" s="554" t="str">
        <f>VLOOKUP(WWWW[[#This Row],[Site Name]],SiteDB6[[Site Name]:[Ethnic or GCA/NGCA]],11,FALSE)</f>
        <v>Muslim</v>
      </c>
      <c r="DO327" s="554">
        <f>VLOOKUP(WWWW[[#This Row],[Site Name]],SiteDB6[[Site Name]:[Lat]],12,FALSE)</f>
        <v>20.19171906</v>
      </c>
      <c r="DP327" s="554">
        <f>VLOOKUP(WWWW[[#This Row],[Site Name]],SiteDB6[[Site Name]:[Long]],13,FALSE)</f>
        <v>92.808166499999999</v>
      </c>
      <c r="DQ327" s="554">
        <f>VLOOKUP(WWWW[[#This Row],[Site Name]],SiteDB6[[Site Name]:[Pcode]],3,FALSE)</f>
        <v>196155</v>
      </c>
      <c r="DR327" s="563" t="str">
        <f t="shared" si="11"/>
        <v>Covered</v>
      </c>
      <c r="DS327" s="563"/>
    </row>
    <row r="328" spans="1:126">
      <c r="A328" s="552" t="s">
        <v>2518</v>
      </c>
      <c r="B328" s="552" t="s">
        <v>2368</v>
      </c>
      <c r="C328" s="555" t="s">
        <v>2368</v>
      </c>
      <c r="D328" s="555" t="s">
        <v>42</v>
      </c>
      <c r="E328" s="574" t="s">
        <v>3006</v>
      </c>
      <c r="F328" s="555" t="s">
        <v>313</v>
      </c>
      <c r="G328" s="574" t="str">
        <f>VLOOKUP(WWWW[[#This Row],[Site Name]],SiteDB6[[Site Name]:[Location Type]],8,FALSE)</f>
        <v>Village</v>
      </c>
      <c r="H328" s="555" t="s">
        <v>434</v>
      </c>
      <c r="I328" s="557">
        <v>72</v>
      </c>
      <c r="J328" s="557">
        <v>442</v>
      </c>
      <c r="K328" s="564"/>
      <c r="L328" s="565">
        <v>44104</v>
      </c>
      <c r="M328" s="557"/>
      <c r="N328" s="557"/>
      <c r="O328" s="557"/>
      <c r="P328" s="557" t="s">
        <v>2934</v>
      </c>
      <c r="Q328" s="556"/>
      <c r="R328" s="557"/>
      <c r="S328" s="557"/>
      <c r="T328" s="557"/>
      <c r="U328" s="557"/>
      <c r="V328" s="557"/>
      <c r="W328" s="557">
        <v>0</v>
      </c>
      <c r="X328" s="557"/>
      <c r="Y328" s="557"/>
      <c r="Z328" s="557">
        <v>0</v>
      </c>
      <c r="AA328" s="557"/>
      <c r="AB328" s="557"/>
      <c r="AC328" s="557"/>
      <c r="AD328" s="557"/>
      <c r="AE328" s="557"/>
      <c r="AF328" s="557"/>
      <c r="AG328" s="557"/>
      <c r="AH328" s="557">
        <v>0</v>
      </c>
      <c r="AI328" s="557"/>
      <c r="AJ328" s="557"/>
      <c r="AK328" s="557"/>
      <c r="AL328" s="557"/>
      <c r="AM328" s="557"/>
      <c r="AN328" s="557"/>
      <c r="AO328" s="563"/>
      <c r="AP328" s="557"/>
      <c r="AQ328" s="557"/>
      <c r="AR328" s="559"/>
      <c r="AS328" s="557"/>
      <c r="AT328" s="557">
        <v>0</v>
      </c>
      <c r="AU328" s="557">
        <v>0</v>
      </c>
      <c r="AV328" s="557"/>
      <c r="AW328" s="557"/>
      <c r="AX328" s="554" t="s">
        <v>43</v>
      </c>
      <c r="AY328" s="563" t="s">
        <v>148</v>
      </c>
      <c r="AZ328" s="557"/>
      <c r="BA328" s="557"/>
      <c r="BB328" s="557"/>
      <c r="BC328" s="554"/>
      <c r="BD328" s="557"/>
      <c r="BE328" s="557"/>
      <c r="BF328" s="557"/>
      <c r="BG328" s="557"/>
      <c r="BH328" s="557"/>
      <c r="BI328" s="557"/>
      <c r="BJ328" s="557"/>
      <c r="BK328" s="557">
        <v>0</v>
      </c>
      <c r="BL328" s="557">
        <v>0</v>
      </c>
      <c r="BM328" s="554"/>
      <c r="BN328" s="558">
        <v>0</v>
      </c>
      <c r="BO328" s="559"/>
      <c r="BP328" s="554"/>
      <c r="BQ328" s="560" t="str">
        <f>IFERROR(WWWW[[#This Row],['#_Water sources treated]]/WWWW[[#This Row],['#_Water sources tested for contamination]],"no test")</f>
        <v>no test</v>
      </c>
      <c r="BR328" s="559" t="str">
        <f>IFERROR(WWWW[[#This Row],['#_Household received remediation action due to contamination]]/WWWW[[#This Row],['#_Household water samples tested for contamination]],"no test")</f>
        <v>no test</v>
      </c>
      <c r="BS328" s="558" t="str">
        <f>IF(AND(WWWW[[#This Row],[% of water sources treated]]="no test",WWWW[[#This Row],[% Household received corrective actions]]="no test"),"No Test","Tested")</f>
        <v>No Test</v>
      </c>
      <c r="BT328" s="558">
        <f>WWWW[[#This Row],['#_Constructed/existing protected hand dug well]]-WWWW[[#This Row],['#_Non-functional protected hand dug well]]</f>
        <v>0</v>
      </c>
      <c r="BU328" s="558">
        <f>(WWWW[[#This Row],['#_Constructed/Existing tube wells/boreholes/handpumps_WASH_agency]]+WWWW[[#This Row],['#_Non-Cluster partner water tube-wells/boreholes/handpumps]])-WWWW[[#This Row],['#_Non-functional tube wells/boreholes/handpumps]]</f>
        <v>0</v>
      </c>
      <c r="BV328" s="558">
        <f>WWWW[[#This Row],['#_Constructed/Existingwater storage tank with gravity fed reticulation system]]-WWWW[[#This Row],['#_Non-functional storage tank gravity fed reticulation system]]</f>
        <v>0</v>
      </c>
      <c r="BW328" s="558">
        <f>WWWW[[#This Row],['#_Water boating or water trucking]]</f>
        <v>0</v>
      </c>
      <c r="BX328" s="558">
        <f>WWWW[[#This Row],['#_Constructed/Existing water distribution system from river or natural spring]]</f>
        <v>0</v>
      </c>
      <c r="BY32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2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28" s="559">
        <f>IF(WWWW[[#This Row],[Location Type 1]]="Village",WWWW[[#This Row],[Access to safe drinking water for Village]],WWWW[[#This Row],[Access to safe drinking water for Camp]])</f>
        <v>0</v>
      </c>
      <c r="CB328" s="556">
        <f>WWWW[[#This Row],[%Equitable and continuous access to sufficient quantity of safe drinking water]]*WWWW[[#This Row],[Total PoP ]]</f>
        <v>0</v>
      </c>
      <c r="CC328" s="559">
        <f>IF((WWWW[[#This Row],['#_Constructed/Existing protected/fenced ponds]]*250)/WWWW[[#This Row],[Total PoP ]]&gt;1,1,(WWWW[[#This Row],['#_Constructed/Existing protected/fenced ponds]]*250)/WWWW[[#This Row],[Total PoP ]])</f>
        <v>0</v>
      </c>
      <c r="CD328" s="556">
        <f>WWWW[[#This Row],[% Access to unimproved water points]]*WWWW[[#This Row],[Total PoP ]]</f>
        <v>0</v>
      </c>
      <c r="CE32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2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28" s="556">
        <f>WWWW[[#This Row],[HRP1]]/500</f>
        <v>0</v>
      </c>
      <c r="CH328" s="561">
        <f>1-WWWW[[#This Row],[% Equitable and continuous access to sufficient quantity of domestic water]]</f>
        <v>1</v>
      </c>
      <c r="CI328" s="556">
        <f>WWWW[[#This Row],[%equitable and continuous access to sufficient quantity of safe drinking and domestic water''s GAP]]*WWWW[[#This Row],[Total PoP ]]</f>
        <v>442</v>
      </c>
      <c r="CJ328" s="558">
        <f>IF(WWWW[[#This Row],[Total required water points]]-WWWW[[#This Row],['#Water points coverage]]&lt;0,0,WWWW[[#This Row],[Total required water points]]-WWWW[[#This Row],['#Water points coverage]])</f>
        <v>1</v>
      </c>
      <c r="CK328" s="558">
        <f>ROUND(IF(WWWW[[#This Row],[Total PoP ]]&lt;500,1,WWWW[[#This Row],[Total PoP ]]/500),0)</f>
        <v>1</v>
      </c>
      <c r="CL328" s="558">
        <f>(WWWW[[#This Row],['#_Constructed latrines_by_WASHAgencies]]+WWWW[[#This Row],['#_Non Cluster partner latrines]])-WWWW[[#This Row],['#_Non-functional latrines]]</f>
        <v>0</v>
      </c>
      <c r="CM32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8" s="558" t="str">
        <f>IF(WWWW[[#This Row],[Location Type 1]]="Village","NA",IF(WWWW[[#This Row],['#_Constructed/Existing latrines in TLS]]*50&gt;WWWW[[#This Row],['#_students at TLS_CFS]],WWWW[[#This Row],['#_students at TLS_CFS]],(WWWW[[#This Row],['#_Constructed/Existing latrines in TLS]]*50)))</f>
        <v>NA</v>
      </c>
      <c r="CQ328" s="558">
        <f>ROUND(IF(WWWW[[#This Row],[Location Type 1]]="camp",WWWW[[#This Row],[Total PoP ]]/20,IF(WWWW[[#This Row],[Location Type 1]]="Temporary Location",WWWW[[#This Row],[Total PoP ]]/50,(WWWW[[#This Row],[Total PoP ]]/6))),0)</f>
        <v>74</v>
      </c>
      <c r="CR328" s="558">
        <f>IF(WWWW[[#This Row],[Total required Latrines]]-(WWWW[[#This Row],['#_Constructed latrines_by_WASHAgencies]]+WWWW[[#This Row],['#_Non Cluster partner latrines]])&lt;0,0,WWWW[[#This Row],[Total required Latrines]]-(WWWW[[#This Row],['#_Constructed latrines_by_WASHAgencies]]+WWWW[[#This Row],['#_Non Cluster partner latrines]]))</f>
        <v>74</v>
      </c>
      <c r="CS328" s="78">
        <f>1-WWWW[[#This Row],[% people access to functioning Latrine]]</f>
        <v>1</v>
      </c>
      <c r="CT328" s="560">
        <f>IF(OR(WWWW[[#This Row],['#_Non-functional latrines]]="",WWWW[[#This Row],['#_Non-functional latrines]]=0),0,WWWW[[#This Row],['#_Non-functional latrines]]/(WWWW[[#This Row],['#_Constructed latrines_by_WASHAgencies]]+WWWW[[#This Row],['#_Non Cluster partner latrines]]))</f>
        <v>0</v>
      </c>
      <c r="CU328" s="556">
        <f>IF(500*(WWWW[[#This Row],['#_male hygiene promoters]]+WWWW[[#This Row],['#_female hygiene promoters]])&gt;WWWW[[#This Row],[Total PoP ]],WWWW[[#This Row],[Total PoP ]],500*(WWWW[[#This Row],['#_male hygiene promoters]]+WWWW[[#This Row],['#_female hygiene promoters]]))</f>
        <v>0</v>
      </c>
      <c r="CV32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8" s="558">
        <f>IF(WWWW[[#This Row],['# People with access to soap]]&gt;WWWW[[#This Row],['# People with access to Sanity Pads]],WWWW[[#This Row],['# People with access to soap]],WWWW[[#This Row],['# People with access to Sanity Pads]])</f>
        <v>0</v>
      </c>
      <c r="CY32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28" s="561">
        <f>IF(WWWW[[#This Row],[HRP3]]/WWWW[[#This Row],[Total PoP ]]&gt;100%,100%,WWWW[[#This Row],[HRP3]]/WWWW[[#This Row],[Total PoP ]])</f>
        <v>0</v>
      </c>
      <c r="DA328" s="560">
        <f>1-WWWW[[#This Row],[Hygiene Coverage%]]</f>
        <v>1</v>
      </c>
      <c r="DB328" s="559">
        <f>WWWW[[#This Row],['# people reached by regular dedicated hygiene promotion_5]]/WWWW[[#This Row],[Total PoP ]]</f>
        <v>0</v>
      </c>
      <c r="DC328" s="559">
        <f>IF(WWWW[[#This Row],['#_households that received standard amount of soap for this quarter]]/WWWW[[#This Row],[Total HH]]&gt;1,1,WWWW[[#This Row],['#_households that received standard amount of soap for this quarter]]/WWWW[[#This Row],[Total HH]])</f>
        <v>0</v>
      </c>
      <c r="DD328" s="559">
        <f>IF(WWWW[[#This Row],['#_households that received standard amount of sanitary pads for this quarter]]/WWWW[[#This Row],[Total HH]]&gt;1,1,WWWW[[#This Row],['#_households that received standard amount of sanitary pads for this quarter]]/WWWW[[#This Row],[Total HH]])</f>
        <v>0</v>
      </c>
      <c r="DE328" s="558">
        <f>WWWW[[#This Row],['#_Constructed/Existing hand washing stations]]-WWWW[[#This Row],['#_Non-Functional_hand_washing_stations]]</f>
        <v>0</v>
      </c>
      <c r="DF328" s="757">
        <f>IF(WWWW[[#This Row],['# Functional hand washing stations during reporting period]]*20&gt;WWWW[[#This Row],[Total HH]],WWWW[[#This Row],[Total HH]],WWWW[[#This Row],['# Functional hand washing stations during reporting period]]*20)</f>
        <v>0</v>
      </c>
      <c r="DG328" s="556">
        <f>IF(WWWW[[#This Row],[Is sufficient soap available for TLS? (Yes/No)]]="yes",WWWW[[#This Row],['#_Constructed/Existing hand washing stations at TLS]],0)</f>
        <v>0</v>
      </c>
      <c r="DH328" s="556">
        <f>IF(WWWW[[#This Row],['# Functional hand washing stations during reporting period]]*100&gt;WWWW[[#This Row],[Total PoP ]],WWWW[[#This Row],[Total PoP ]],WWWW[[#This Row],['# Functional hand washing stations during reporting period]]*100)</f>
        <v>0</v>
      </c>
      <c r="DI328" s="556" t="str">
        <f>IF(OR(WWWW[[#This Row],['#_students at TLS_CFS]]="",WWWW[[#This Row],['#_students at TLS_CFS]]=0),"No","Yes")</f>
        <v>No</v>
      </c>
      <c r="DJ328" s="554">
        <f>VLOOKUP(WWWW[[#This Row],[Site Name]],SiteDB6[[Site Name]:[CCCM Management]],6,FALSE)</f>
        <v>0</v>
      </c>
      <c r="DK328" s="554">
        <f>VLOOKUP(WWWW[[#This Row],[Site Name]],SiteDB6[[Site Name]:[CCCM Focal Agency]],7,FALSE)</f>
        <v>0</v>
      </c>
      <c r="DL328" s="554" t="str">
        <f>VLOOKUP(WWWW[[#This Row],[Site Name]],SiteDB6[[Site Name]:[Location Type 1]],9,FALSE)</f>
        <v>Village</v>
      </c>
      <c r="DM328" s="554" t="str">
        <f>VLOOKUP(WWWW[[#This Row],[Site Name]],SiteDB6[[Site Name]:[Type of Accommodation]],10,FALSE)</f>
        <v>Relocated</v>
      </c>
      <c r="DN328" s="554" t="str">
        <f>VLOOKUP(WWWW[[#This Row],[Site Name]],SiteDB6[[Site Name]:[Ethnic or GCA/NGCA]],11,FALSE)</f>
        <v>Maramargyi</v>
      </c>
      <c r="DO328" s="554">
        <f>VLOOKUP(WWWW[[#This Row],[Site Name]],SiteDB6[[Site Name]:[Lat]],12,FALSE)</f>
        <v>20.148584</v>
      </c>
      <c r="DP328" s="554">
        <f>VLOOKUP(WWWW[[#This Row],[Site Name]],SiteDB6[[Site Name]:[Long]],13,FALSE)</f>
        <v>92.880319999999998</v>
      </c>
      <c r="DQ328" s="554" t="str">
        <f>VLOOKUP(WWWW[[#This Row],[Site Name]],SiteDB6[[Site Name]:[Pcode]],3,FALSE)</f>
        <v>MMR012CMP056</v>
      </c>
      <c r="DR328" s="563" t="str">
        <f t="shared" si="11"/>
        <v>Covered</v>
      </c>
      <c r="DS328" s="563"/>
    </row>
    <row r="329" spans="1:126">
      <c r="A329" s="552" t="s">
        <v>2518</v>
      </c>
      <c r="B329" s="552" t="s">
        <v>2368</v>
      </c>
      <c r="C329" s="555" t="s">
        <v>2368</v>
      </c>
      <c r="D329" s="555" t="s">
        <v>42</v>
      </c>
      <c r="E329" s="574" t="s">
        <v>3006</v>
      </c>
      <c r="F329" s="555" t="s">
        <v>313</v>
      </c>
      <c r="G329" s="574" t="str">
        <f>VLOOKUP(WWWW[[#This Row],[Site Name]],SiteDB6[[Site Name]:[Location Type]],8,FALSE)</f>
        <v>Village</v>
      </c>
      <c r="H329" s="555" t="s">
        <v>1944</v>
      </c>
      <c r="I329" s="557">
        <v>151</v>
      </c>
      <c r="J329" s="557">
        <v>625</v>
      </c>
      <c r="K329" s="564"/>
      <c r="L329" s="565">
        <v>44104</v>
      </c>
      <c r="M329" s="557"/>
      <c r="N329" s="557"/>
      <c r="O329" s="557"/>
      <c r="P329" s="557" t="s">
        <v>2934</v>
      </c>
      <c r="Q329" s="556"/>
      <c r="R329" s="557"/>
      <c r="S329" s="557"/>
      <c r="T329" s="557"/>
      <c r="U329" s="557"/>
      <c r="V329" s="557"/>
      <c r="W329" s="557">
        <v>6</v>
      </c>
      <c r="X329" s="557"/>
      <c r="Y329" s="557"/>
      <c r="Z329" s="557" t="s">
        <v>2934</v>
      </c>
      <c r="AA329" s="557"/>
      <c r="AB329" s="557"/>
      <c r="AC329" s="557"/>
      <c r="AD329" s="557"/>
      <c r="AE329" s="557"/>
      <c r="AF329" s="557"/>
      <c r="AG329" s="557"/>
      <c r="AH329" s="557">
        <v>6</v>
      </c>
      <c r="AI329" s="557"/>
      <c r="AJ329" s="557"/>
      <c r="AK329" s="557"/>
      <c r="AL329" s="557"/>
      <c r="AM329" s="557"/>
      <c r="AN329" s="557"/>
      <c r="AO329" s="563"/>
      <c r="AP329" s="557"/>
      <c r="AQ329" s="557"/>
      <c r="AR329" s="559"/>
      <c r="AS329" s="557"/>
      <c r="AT329" s="557">
        <v>0</v>
      </c>
      <c r="AU329" s="557">
        <v>0</v>
      </c>
      <c r="AV329" s="557"/>
      <c r="AW329" s="557"/>
      <c r="AX329" s="554" t="s">
        <v>43</v>
      </c>
      <c r="AY329" s="563" t="s">
        <v>148</v>
      </c>
      <c r="AZ329" s="557"/>
      <c r="BA329" s="557"/>
      <c r="BB329" s="557"/>
      <c r="BC329" s="554"/>
      <c r="BD329" s="557"/>
      <c r="BE329" s="557"/>
      <c r="BF329" s="557"/>
      <c r="BG329" s="557"/>
      <c r="BH329" s="557"/>
      <c r="BI329" s="557">
        <v>1</v>
      </c>
      <c r="BJ329" s="557"/>
      <c r="BK329" s="557">
        <v>0</v>
      </c>
      <c r="BL329" s="557">
        <v>0</v>
      </c>
      <c r="BM329" s="554"/>
      <c r="BN329" s="558">
        <v>0</v>
      </c>
      <c r="BO329" s="559"/>
      <c r="BP329" s="554"/>
      <c r="BQ329" s="560" t="str">
        <f>IFERROR(WWWW[[#This Row],['#_Water sources treated]]/WWWW[[#This Row],['#_Water sources tested for contamination]],"no test")</f>
        <v>no test</v>
      </c>
      <c r="BR329" s="559" t="str">
        <f>IFERROR(WWWW[[#This Row],['#_Household received remediation action due to contamination]]/WWWW[[#This Row],['#_Household water samples tested for contamination]],"no test")</f>
        <v>no test</v>
      </c>
      <c r="BS329" s="558" t="str">
        <f>IF(AND(WWWW[[#This Row],[% of water sources treated]]="no test",WWWW[[#This Row],[% Household received corrective actions]]="no test"),"No Test","Tested")</f>
        <v>No Test</v>
      </c>
      <c r="BT329" s="558">
        <f>WWWW[[#This Row],['#_Constructed/existing protected hand dug well]]-WWWW[[#This Row],['#_Non-functional protected hand dug well]]</f>
        <v>0</v>
      </c>
      <c r="BU329" s="558">
        <f>(WWWW[[#This Row],['#_Constructed/Existing tube wells/boreholes/handpumps_WASH_agency]]+WWWW[[#This Row],['#_Non-Cluster partner water tube-wells/boreholes/handpumps]])-WWWW[[#This Row],['#_Non-functional tube wells/boreholes/handpumps]]</f>
        <v>6</v>
      </c>
      <c r="BV329" s="558">
        <f>WWWW[[#This Row],['#_Constructed/Existingwater storage tank with gravity fed reticulation system]]-WWWW[[#This Row],['#_Non-functional storage tank gravity fed reticulation system]]</f>
        <v>0</v>
      </c>
      <c r="BW329" s="558">
        <f>WWWW[[#This Row],['#_Water boating or water trucking]]</f>
        <v>0</v>
      </c>
      <c r="BX329" s="558">
        <f>WWWW[[#This Row],['#_Constructed/Existing water distribution system from river or natural spring]]</f>
        <v>0</v>
      </c>
      <c r="BY32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2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29" s="559">
        <f>IF(WWWW[[#This Row],[Location Type 1]]="Village",WWWW[[#This Row],[Access to safe drinking water for Village]],WWWW[[#This Row],[Access to safe drinking water for Camp]])</f>
        <v>1</v>
      </c>
      <c r="CB329" s="556">
        <f>WWWW[[#This Row],[%Equitable and continuous access to sufficient quantity of safe drinking water]]*WWWW[[#This Row],[Total PoP ]]</f>
        <v>625</v>
      </c>
      <c r="CC329" s="559">
        <f>IF((WWWW[[#This Row],['#_Constructed/Existing protected/fenced ponds]]*250)/WWWW[[#This Row],[Total PoP ]]&gt;1,1,(WWWW[[#This Row],['#_Constructed/Existing protected/fenced ponds]]*250)/WWWW[[#This Row],[Total PoP ]])</f>
        <v>0</v>
      </c>
      <c r="CD329" s="556">
        <f>WWWW[[#This Row],[% Access to unimproved water points]]*WWWW[[#This Row],[Total PoP ]]</f>
        <v>0</v>
      </c>
      <c r="CE32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2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CG329" s="556">
        <f>WWWW[[#This Row],[HRP1]]/500</f>
        <v>1.25</v>
      </c>
      <c r="CH329" s="561">
        <f>1-WWWW[[#This Row],[% Equitable and continuous access to sufficient quantity of domestic water]]</f>
        <v>0</v>
      </c>
      <c r="CI329" s="556">
        <f>WWWW[[#This Row],[%equitable and continuous access to sufficient quantity of safe drinking and domestic water''s GAP]]*WWWW[[#This Row],[Total PoP ]]</f>
        <v>0</v>
      </c>
      <c r="CJ329" s="558">
        <f>IF(WWWW[[#This Row],[Total required water points]]-WWWW[[#This Row],['#Water points coverage]]&lt;0,0,WWWW[[#This Row],[Total required water points]]-WWWW[[#This Row],['#Water points coverage]])</f>
        <v>0</v>
      </c>
      <c r="CK329" s="558">
        <f>ROUND(IF(WWWW[[#This Row],[Total PoP ]]&lt;500,1,WWWW[[#This Row],[Total PoP ]]/500),0)</f>
        <v>1</v>
      </c>
      <c r="CL329" s="558">
        <f>(WWWW[[#This Row],['#_Constructed latrines_by_WASHAgencies]]+WWWW[[#This Row],['#_Non Cluster partner latrines]])-WWWW[[#This Row],['#_Non-functional latrines]]</f>
        <v>0</v>
      </c>
      <c r="CM32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2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2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29" s="558" t="str">
        <f>IF(WWWW[[#This Row],[Location Type 1]]="Village","NA",IF(WWWW[[#This Row],['#_Constructed/Existing latrines in TLS]]*50&gt;WWWW[[#This Row],['#_students at TLS_CFS]],WWWW[[#This Row],['#_students at TLS_CFS]],(WWWW[[#This Row],['#_Constructed/Existing latrines in TLS]]*50)))</f>
        <v>NA</v>
      </c>
      <c r="CQ329" s="558">
        <f>ROUND(IF(WWWW[[#This Row],[Location Type 1]]="camp",WWWW[[#This Row],[Total PoP ]]/20,IF(WWWW[[#This Row],[Location Type 1]]="Temporary Location",WWWW[[#This Row],[Total PoP ]]/50,(WWWW[[#This Row],[Total PoP ]]/6))),0)</f>
        <v>104</v>
      </c>
      <c r="CR329" s="558">
        <f>IF(WWWW[[#This Row],[Total required Latrines]]-(WWWW[[#This Row],['#_Constructed latrines_by_WASHAgencies]]+WWWW[[#This Row],['#_Non Cluster partner latrines]])&lt;0,0,WWWW[[#This Row],[Total required Latrines]]-(WWWW[[#This Row],['#_Constructed latrines_by_WASHAgencies]]+WWWW[[#This Row],['#_Non Cluster partner latrines]]))</f>
        <v>104</v>
      </c>
      <c r="CS329" s="78">
        <f>1-WWWW[[#This Row],[% people access to functioning Latrine]]</f>
        <v>1</v>
      </c>
      <c r="CT329" s="560">
        <f>IF(OR(WWWW[[#This Row],['#_Non-functional latrines]]="",WWWW[[#This Row],['#_Non-functional latrines]]=0),0,WWWW[[#This Row],['#_Non-functional latrines]]/(WWWW[[#This Row],['#_Constructed latrines_by_WASHAgencies]]+WWWW[[#This Row],['#_Non Cluster partner latrines]]))</f>
        <v>0</v>
      </c>
      <c r="CU329" s="556">
        <f>IF(500*(WWWW[[#This Row],['#_male hygiene promoters]]+WWWW[[#This Row],['#_female hygiene promoters]])&gt;WWWW[[#This Row],[Total PoP ]],WWWW[[#This Row],[Total PoP ]],500*(WWWW[[#This Row],['#_male hygiene promoters]]+WWWW[[#This Row],['#_female hygiene promoters]]))</f>
        <v>500</v>
      </c>
      <c r="CV32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2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29" s="558">
        <f>IF(WWWW[[#This Row],['# People with access to soap]]&gt;WWWW[[#This Row],['# People with access to Sanity Pads]],WWWW[[#This Row],['# People with access to soap]],WWWW[[#This Row],['# People with access to Sanity Pads]])</f>
        <v>0</v>
      </c>
      <c r="CY329" s="558">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329" s="561">
        <f>IF(WWWW[[#This Row],[HRP3]]/WWWW[[#This Row],[Total PoP ]]&gt;100%,100%,WWWW[[#This Row],[HRP3]]/WWWW[[#This Row],[Total PoP ]])</f>
        <v>0.8</v>
      </c>
      <c r="DA329" s="560">
        <f>1-WWWW[[#This Row],[Hygiene Coverage%]]</f>
        <v>0.19999999999999996</v>
      </c>
      <c r="DB329" s="559">
        <f>WWWW[[#This Row],['# people reached by regular dedicated hygiene promotion_5]]/WWWW[[#This Row],[Total PoP ]]</f>
        <v>0.8</v>
      </c>
      <c r="DC329" s="559">
        <f>IF(WWWW[[#This Row],['#_households that received standard amount of soap for this quarter]]/WWWW[[#This Row],[Total HH]]&gt;1,1,WWWW[[#This Row],['#_households that received standard amount of soap for this quarter]]/WWWW[[#This Row],[Total HH]])</f>
        <v>0</v>
      </c>
      <c r="DD329" s="559">
        <f>IF(WWWW[[#This Row],['#_households that received standard amount of sanitary pads for this quarter]]/WWWW[[#This Row],[Total HH]]&gt;1,1,WWWW[[#This Row],['#_households that received standard amount of sanitary pads for this quarter]]/WWWW[[#This Row],[Total HH]])</f>
        <v>0</v>
      </c>
      <c r="DE329" s="558">
        <f>WWWW[[#This Row],['#_Constructed/Existing hand washing stations]]-WWWW[[#This Row],['#_Non-Functional_hand_washing_stations]]</f>
        <v>0</v>
      </c>
      <c r="DF329" s="757">
        <f>IF(WWWW[[#This Row],['# Functional hand washing stations during reporting period]]*20&gt;WWWW[[#This Row],[Total HH]],WWWW[[#This Row],[Total HH]],WWWW[[#This Row],['# Functional hand washing stations during reporting period]]*20)</f>
        <v>0</v>
      </c>
      <c r="DG329" s="556">
        <f>IF(WWWW[[#This Row],[Is sufficient soap available for TLS? (Yes/No)]]="yes",WWWW[[#This Row],['#_Constructed/Existing hand washing stations at TLS]],0)</f>
        <v>0</v>
      </c>
      <c r="DH329" s="556">
        <f>IF(WWWW[[#This Row],['# Functional hand washing stations during reporting period]]*100&gt;WWWW[[#This Row],[Total PoP ]],WWWW[[#This Row],[Total PoP ]],WWWW[[#This Row],['# Functional hand washing stations during reporting period]]*100)</f>
        <v>0</v>
      </c>
      <c r="DI329" s="556" t="str">
        <f>IF(OR(WWWW[[#This Row],['#_students at TLS_CFS]]="",WWWW[[#This Row],['#_students at TLS_CFS]]=0),"No","Yes")</f>
        <v>No</v>
      </c>
      <c r="DJ329" s="554">
        <f>VLOOKUP(WWWW[[#This Row],[Site Name]],SiteDB6[[Site Name]:[CCCM Management]],6,FALSE)</f>
        <v>0</v>
      </c>
      <c r="DK329" s="554">
        <f>VLOOKUP(WWWW[[#This Row],[Site Name]],SiteDB6[[Site Name]:[CCCM Focal Agency]],7,FALSE)</f>
        <v>0</v>
      </c>
      <c r="DL329" s="554" t="str">
        <f>VLOOKUP(WWWW[[#This Row],[Site Name]],SiteDB6[[Site Name]:[Location Type 1]],9,FALSE)</f>
        <v>Village</v>
      </c>
      <c r="DM329" s="554" t="str">
        <f>VLOOKUP(WWWW[[#This Row],[Site Name]],SiteDB6[[Site Name]:[Type of Accommodation]],10,FALSE)</f>
        <v>Relocated</v>
      </c>
      <c r="DN329" s="554" t="str">
        <f>VLOOKUP(WWWW[[#This Row],[Site Name]],SiteDB6[[Site Name]:[Ethnic or GCA/NGCA]],11,FALSE)</f>
        <v>Rakhine</v>
      </c>
      <c r="DO329" s="554">
        <f>VLOOKUP(WWWW[[#This Row],[Site Name]],SiteDB6[[Site Name]:[Lat]],12,FALSE)</f>
        <v>20.155805999999998</v>
      </c>
      <c r="DP329" s="554">
        <f>VLOOKUP(WWWW[[#This Row],[Site Name]],SiteDB6[[Site Name]:[Long]],13,FALSE)</f>
        <v>92.879138999999995</v>
      </c>
      <c r="DQ329" s="554" t="str">
        <f>VLOOKUP(WWWW[[#This Row],[Site Name]],SiteDB6[[Site Name]:[Pcode]],3,FALSE)</f>
        <v>MMR012CMP093</v>
      </c>
      <c r="DR329" s="563" t="str">
        <f t="shared" si="11"/>
        <v>Covered</v>
      </c>
      <c r="DS329" s="563"/>
    </row>
    <row r="330" spans="1:126">
      <c r="A330" s="552" t="s">
        <v>2518</v>
      </c>
      <c r="B330" s="552" t="s">
        <v>2370</v>
      </c>
      <c r="C330" s="584" t="s">
        <v>2370</v>
      </c>
      <c r="D330" s="584" t="s">
        <v>42</v>
      </c>
      <c r="E330" s="574" t="s">
        <v>3006</v>
      </c>
      <c r="F330" s="555" t="s">
        <v>313</v>
      </c>
      <c r="G330" s="574" t="str">
        <f>VLOOKUP(WWWW[[#This Row],[Site Name]],SiteDB6[[Site Name]:[Location Type]],8,FALSE)</f>
        <v>Camp</v>
      </c>
      <c r="H330" s="555" t="s">
        <v>440</v>
      </c>
      <c r="I330" s="698">
        <v>1139</v>
      </c>
      <c r="J330" s="557">
        <v>6016</v>
      </c>
      <c r="K330" s="564"/>
      <c r="L330" s="565">
        <v>44104</v>
      </c>
      <c r="M330" s="557"/>
      <c r="N330" s="557"/>
      <c r="O330" s="557"/>
      <c r="P330" s="557" t="s">
        <v>2934</v>
      </c>
      <c r="Q330" s="556"/>
      <c r="R330" s="557"/>
      <c r="S330" s="557"/>
      <c r="T330" s="557"/>
      <c r="U330" s="557"/>
      <c r="V330" s="557"/>
      <c r="W330" s="557">
        <v>47</v>
      </c>
      <c r="X330" s="557"/>
      <c r="Y330" s="557">
        <v>8</v>
      </c>
      <c r="Z330" s="557">
        <v>37</v>
      </c>
      <c r="AA330" s="557"/>
      <c r="AB330" s="557"/>
      <c r="AC330" s="557"/>
      <c r="AD330" s="557"/>
      <c r="AE330" s="557"/>
      <c r="AF330" s="557"/>
      <c r="AG330" s="557"/>
      <c r="AH330" s="557">
        <v>47</v>
      </c>
      <c r="AI330" s="557">
        <v>42</v>
      </c>
      <c r="AJ330" s="557"/>
      <c r="AK330" s="557">
        <v>95</v>
      </c>
      <c r="AL330" s="557">
        <v>4</v>
      </c>
      <c r="AM330" s="557"/>
      <c r="AN330" s="557"/>
      <c r="AO330" s="563"/>
      <c r="AP330" s="557">
        <v>243</v>
      </c>
      <c r="AQ330" s="557"/>
      <c r="AR330" s="559"/>
      <c r="AS330" s="557">
        <v>56</v>
      </c>
      <c r="AT330" s="557">
        <v>106</v>
      </c>
      <c r="AU330" s="557">
        <v>110</v>
      </c>
      <c r="AV330" s="557"/>
      <c r="AW330" s="557">
        <v>243</v>
      </c>
      <c r="AX330" s="554" t="s">
        <v>43</v>
      </c>
      <c r="AY330" s="563" t="s">
        <v>145</v>
      </c>
      <c r="AZ330" s="557"/>
      <c r="BA330" s="557"/>
      <c r="BB330" s="557"/>
      <c r="BC330" s="554"/>
      <c r="BD330" s="557"/>
      <c r="BE330" s="557"/>
      <c r="BF330" s="557"/>
      <c r="BG330" s="557"/>
      <c r="BH330" s="557"/>
      <c r="BI330" s="557">
        <v>9</v>
      </c>
      <c r="BJ330" s="557">
        <v>4</v>
      </c>
      <c r="BK330" s="557">
        <v>1134</v>
      </c>
      <c r="BL330" s="557">
        <v>1134</v>
      </c>
      <c r="BM330" s="554"/>
      <c r="BN330" s="558">
        <v>49</v>
      </c>
      <c r="BO330" s="559"/>
      <c r="BP330" s="554"/>
      <c r="BQ330" s="560">
        <f>IFERROR(WWWW[[#This Row],['#_Water sources treated]]/WWWW[[#This Row],['#_Water sources tested for contamination]],"no test")</f>
        <v>0</v>
      </c>
      <c r="BR330" s="559">
        <f>IFERROR(WWWW[[#This Row],['#_Household received remediation action due to contamination]]/WWWW[[#This Row],['#_Household water samples tested for contamination]],"no test")</f>
        <v>4.2105263157894736E-2</v>
      </c>
      <c r="BS330" s="558" t="str">
        <f>IF(AND(WWWW[[#This Row],[% of water sources treated]]="no test",WWWW[[#This Row],[% Household received corrective actions]]="no test"),"No Test","Tested")</f>
        <v>Tested</v>
      </c>
      <c r="BT330" s="558">
        <f>WWWW[[#This Row],['#_Constructed/existing protected hand dug well]]-WWWW[[#This Row],['#_Non-functional protected hand dug well]]</f>
        <v>0</v>
      </c>
      <c r="BU330" s="558">
        <f>(WWWW[[#This Row],['#_Constructed/Existing tube wells/boreholes/handpumps_WASH_agency]]+WWWW[[#This Row],['#_Non-Cluster partner water tube-wells/boreholes/handpumps]])-WWWW[[#This Row],['#_Non-functional tube wells/boreholes/handpumps]]</f>
        <v>39</v>
      </c>
      <c r="BV330" s="558">
        <f>WWWW[[#This Row],['#_Constructed/Existingwater storage tank with gravity fed reticulation system]]-WWWW[[#This Row],['#_Non-functional storage tank gravity fed reticulation system]]</f>
        <v>0</v>
      </c>
      <c r="BW330" s="558">
        <f>WWWW[[#This Row],['#_Water boating or water trucking]]</f>
        <v>0</v>
      </c>
      <c r="BX330" s="558">
        <f>WWWW[[#This Row],['#_Constructed/Existing water distribution system from river or natural spring]]</f>
        <v>0</v>
      </c>
      <c r="BY33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0" s="559">
        <f>IF(WWWW[[#This Row],[Location Type 1]]="Village",WWWW[[#This Row],[Access to safe drinking water for Village]],WWWW[[#This Row],[Access to safe drinking water for Camp]])</f>
        <v>1</v>
      </c>
      <c r="CB330" s="556">
        <f>WWWW[[#This Row],[%Equitable and continuous access to sufficient quantity of safe drinking water]]*WWWW[[#This Row],[Total PoP ]]</f>
        <v>6016</v>
      </c>
      <c r="CC330" s="559">
        <f>IF((WWWW[[#This Row],['#_Constructed/Existing protected/fenced ponds]]*250)/WWWW[[#This Row],[Total PoP ]]&gt;1,1,(WWWW[[#This Row],['#_Constructed/Existing protected/fenced ponds]]*250)/WWWW[[#This Row],[Total PoP ]])</f>
        <v>0</v>
      </c>
      <c r="CD330" s="556">
        <f>WWWW[[#This Row],[% Access to unimproved water points]]*WWWW[[#This Row],[Total PoP ]]</f>
        <v>0</v>
      </c>
      <c r="CE33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6016</v>
      </c>
      <c r="CG330" s="556">
        <f>WWWW[[#This Row],[HRP1]]/500</f>
        <v>12.032</v>
      </c>
      <c r="CH330" s="561">
        <f>1-WWWW[[#This Row],[% Equitable and continuous access to sufficient quantity of domestic water]]</f>
        <v>0</v>
      </c>
      <c r="CI330" s="556">
        <f>WWWW[[#This Row],[%equitable and continuous access to sufficient quantity of safe drinking and domestic water''s GAP]]*WWWW[[#This Row],[Total PoP ]]</f>
        <v>0</v>
      </c>
      <c r="CJ330" s="558">
        <f>IF(WWWW[[#This Row],[Total required water points]]-WWWW[[#This Row],['#Water points coverage]]&lt;0,0,WWWW[[#This Row],[Total required water points]]-WWWW[[#This Row],['#Water points coverage]])</f>
        <v>0</v>
      </c>
      <c r="CK330" s="558">
        <f>ROUND(IF(WWWW[[#This Row],[Total PoP ]]&lt;500,1,WWWW[[#This Row],[Total PoP ]]/500),0)</f>
        <v>12</v>
      </c>
      <c r="CL330" s="558">
        <f>(WWWW[[#This Row],['#_Constructed latrines_by_WASHAgencies]]+WWWW[[#This Row],['#_Non Cluster partner latrines]])-WWWW[[#This Row],['#_Non-functional latrines]]</f>
        <v>187</v>
      </c>
      <c r="CM33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0.62167553191489366</v>
      </c>
      <c r="CN33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3740</v>
      </c>
      <c r="CO33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2200</v>
      </c>
      <c r="CP330" s="558">
        <f>IF(WWWW[[#This Row],[Location Type 1]]="Village","NA",IF(WWWW[[#This Row],['#_Constructed/Existing latrines in TLS]]*50&gt;WWWW[[#This Row],['#_students at TLS_CFS]],WWWW[[#This Row],['#_students at TLS_CFS]],(WWWW[[#This Row],['#_Constructed/Existing latrines in TLS]]*50)))</f>
        <v>0</v>
      </c>
      <c r="CQ330" s="558">
        <f>ROUND(IF(WWWW[[#This Row],[Location Type 1]]="camp",WWWW[[#This Row],[Total PoP ]]/20,IF(WWWW[[#This Row],[Location Type 1]]="Temporary Location",WWWW[[#This Row],[Total PoP ]]/50,(WWWW[[#This Row],[Total PoP ]]/6))),0)</f>
        <v>301</v>
      </c>
      <c r="CR330" s="558">
        <f>IF(WWWW[[#This Row],[Total required Latrines]]-(WWWW[[#This Row],['#_Constructed latrines_by_WASHAgencies]]+WWWW[[#This Row],['#_Non Cluster partner latrines]])&lt;0,0,WWWW[[#This Row],[Total required Latrines]]-(WWWW[[#This Row],['#_Constructed latrines_by_WASHAgencies]]+WWWW[[#This Row],['#_Non Cluster partner latrines]]))</f>
        <v>58</v>
      </c>
      <c r="CS330" s="78">
        <f>1-WWWW[[#This Row],[% people access to functioning Latrine]]</f>
        <v>0.37832446808510634</v>
      </c>
      <c r="CT330" s="560">
        <f>IF(OR(WWWW[[#This Row],['#_Non-functional latrines]]="",WWWW[[#This Row],['#_Non-functional latrines]]=0),0,WWWW[[#This Row],['#_Non-functional latrines]]/(WWWW[[#This Row],['#_Constructed latrines_by_WASHAgencies]]+WWWW[[#This Row],['#_Non Cluster partner latrines]]))</f>
        <v>0.23045267489711935</v>
      </c>
      <c r="CU330" s="556">
        <f>IF(500*(WWWW[[#This Row],['#_male hygiene promoters]]+WWWW[[#This Row],['#_female hygiene promoters]])&gt;WWWW[[#This Row],[Total PoP ]],WWWW[[#This Row],[Total PoP ]],500*(WWWW[[#This Row],['#_male hygiene promoters]]+WWWW[[#This Row],['#_female hygiene promoters]]))</f>
        <v>6016</v>
      </c>
      <c r="CV33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5670</v>
      </c>
      <c r="CW33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5670</v>
      </c>
      <c r="CX330" s="558">
        <f>IF(WWWW[[#This Row],['# People with access to soap]]&gt;WWWW[[#This Row],['# People with access to Sanity Pads]],WWWW[[#This Row],['# People with access to soap]],WWWW[[#This Row],['# People with access to Sanity Pads]])</f>
        <v>5670</v>
      </c>
      <c r="CY330" s="558">
        <f>IF(WWWW[[#This Row],['# people reached by regular dedicated hygiene promotion_5]]&gt;WWWW[[#This Row],['# People received regular supply of hygiene items_6]],WWWW[[#This Row],['# people reached by regular dedicated hygiene promotion_5]],WWWW[[#This Row],['# People received regular supply of hygiene items_6]])</f>
        <v>6016</v>
      </c>
      <c r="CZ330" s="561">
        <f>IF(WWWW[[#This Row],[HRP3]]/WWWW[[#This Row],[Total PoP ]]&gt;100%,100%,WWWW[[#This Row],[HRP3]]/WWWW[[#This Row],[Total PoP ]])</f>
        <v>1</v>
      </c>
      <c r="DA330" s="560">
        <f>1-WWWW[[#This Row],[Hygiene Coverage%]]</f>
        <v>0</v>
      </c>
      <c r="DB330" s="559">
        <f>WWWW[[#This Row],['# people reached by regular dedicated hygiene promotion_5]]/WWWW[[#This Row],[Total PoP ]]</f>
        <v>1</v>
      </c>
      <c r="DC330" s="559">
        <f>IF(WWWW[[#This Row],['#_households that received standard amount of soap for this quarter]]/WWWW[[#This Row],[Total HH]]&gt;1,1,WWWW[[#This Row],['#_households that received standard amount of soap for this quarter]]/WWWW[[#This Row],[Total HH]])</f>
        <v>0.99561018437225635</v>
      </c>
      <c r="DD330" s="559">
        <f>IF(WWWW[[#This Row],['#_households that received standard amount of sanitary pads for this quarter]]/WWWW[[#This Row],[Total HH]]&gt;1,1,WWWW[[#This Row],['#_households that received standard amount of sanitary pads for this quarter]]/WWWW[[#This Row],[Total HH]])</f>
        <v>0.99561018437225635</v>
      </c>
      <c r="DE330" s="558">
        <f>WWWW[[#This Row],['#_Constructed/Existing hand washing stations]]-WWWW[[#This Row],['#_Non-Functional_hand_washing_stations]]</f>
        <v>0</v>
      </c>
      <c r="DF330" s="757">
        <f>IF(WWWW[[#This Row],['# Functional hand washing stations during reporting period]]*20&gt;WWWW[[#This Row],[Total HH]],WWWW[[#This Row],[Total HH]],WWWW[[#This Row],['# Functional hand washing stations during reporting period]]*20)</f>
        <v>0</v>
      </c>
      <c r="DG330" s="556">
        <f>IF(WWWW[[#This Row],[Is sufficient soap available for TLS? (Yes/No)]]="yes",WWWW[[#This Row],['#_Constructed/Existing hand washing stations at TLS]],0)</f>
        <v>0</v>
      </c>
      <c r="DH330" s="556">
        <f>IF(WWWW[[#This Row],['# Functional hand washing stations during reporting period]]*100&gt;WWWW[[#This Row],[Total PoP ]],WWWW[[#This Row],[Total PoP ]],WWWW[[#This Row],['# Functional hand washing stations during reporting period]]*100)</f>
        <v>0</v>
      </c>
      <c r="DI330" s="556" t="str">
        <f>IF(OR(WWWW[[#This Row],['#_students at TLS_CFS]]="",WWWW[[#This Row],['#_students at TLS_CFS]]=0),"No","Yes")</f>
        <v>No</v>
      </c>
      <c r="DJ330" s="554" t="str">
        <f>VLOOKUP(WWWW[[#This Row],[Site Name]],SiteDB6[[Site Name]:[CCCM Management]],6,FALSE)</f>
        <v>Yes</v>
      </c>
      <c r="DK330" s="554">
        <f>VLOOKUP(WWWW[[#This Row],[Site Name]],SiteDB6[[Site Name]:[CCCM Focal Agency]],7,FALSE)</f>
        <v>0</v>
      </c>
      <c r="DL330" s="554" t="str">
        <f>VLOOKUP(WWWW[[#This Row],[Site Name]],SiteDB6[[Site Name]:[Location Type 1]],9,FALSE)</f>
        <v>Camp</v>
      </c>
      <c r="DM330" s="554" t="str">
        <f>VLOOKUP(WWWW[[#This Row],[Site Name]],SiteDB6[[Site Name]:[Type of Accommodation]],10,FALSE)</f>
        <v>Self Settled Camp</v>
      </c>
      <c r="DN330" s="554" t="str">
        <f>VLOOKUP(WWWW[[#This Row],[Site Name]],SiteDB6[[Site Name]:[Ethnic or GCA/NGCA]],11,FALSE)</f>
        <v>Muslim</v>
      </c>
      <c r="DO330" s="554">
        <f>VLOOKUP(WWWW[[#This Row],[Site Name]],SiteDB6[[Site Name]:[Lat]],12,FALSE)</f>
        <v>20.1585</v>
      </c>
      <c r="DP330" s="554">
        <f>VLOOKUP(WWWW[[#This Row],[Site Name]],SiteDB6[[Site Name]:[Long]],13,FALSE)</f>
        <v>92.839416999999997</v>
      </c>
      <c r="DQ330" s="554" t="str">
        <f>VLOOKUP(WWWW[[#This Row],[Site Name]],SiteDB6[[Site Name]:[Pcode]],3,FALSE)</f>
        <v>MMR012CMP046</v>
      </c>
      <c r="DR330" s="563" t="str">
        <f t="shared" si="11"/>
        <v>Covered</v>
      </c>
      <c r="DS330" s="563"/>
    </row>
    <row r="331" spans="1:126">
      <c r="A331" s="552" t="s">
        <v>2518</v>
      </c>
      <c r="B331" s="552" t="s">
        <v>2370</v>
      </c>
      <c r="C331" s="555" t="s">
        <v>2370</v>
      </c>
      <c r="D331" s="555" t="s">
        <v>42</v>
      </c>
      <c r="E331" s="574" t="s">
        <v>3006</v>
      </c>
      <c r="F331" s="555" t="s">
        <v>313</v>
      </c>
      <c r="G331" s="574" t="str">
        <f>VLOOKUP(WWWW[[#This Row],[Site Name]],SiteDB6[[Site Name]:[Location Type]],8,FALSE)</f>
        <v>Village</v>
      </c>
      <c r="H331" s="555" t="s">
        <v>707</v>
      </c>
      <c r="I331" s="557">
        <v>155</v>
      </c>
      <c r="J331" s="557">
        <v>745</v>
      </c>
      <c r="K331" s="564"/>
      <c r="L331" s="565">
        <v>44104</v>
      </c>
      <c r="M331" s="557"/>
      <c r="N331" s="557"/>
      <c r="O331" s="557"/>
      <c r="P331" s="557" t="s">
        <v>2934</v>
      </c>
      <c r="Q331" s="556"/>
      <c r="R331" s="557"/>
      <c r="S331" s="557"/>
      <c r="T331" s="557"/>
      <c r="U331" s="557"/>
      <c r="V331" s="557"/>
      <c r="W331" s="557">
        <v>9</v>
      </c>
      <c r="X331" s="557"/>
      <c r="Y331" s="557">
        <v>0</v>
      </c>
      <c r="Z331" s="557">
        <v>1</v>
      </c>
      <c r="AA331" s="557"/>
      <c r="AB331" s="557"/>
      <c r="AC331" s="557"/>
      <c r="AD331" s="557"/>
      <c r="AE331" s="557"/>
      <c r="AF331" s="557"/>
      <c r="AG331" s="557"/>
      <c r="AH331" s="557">
        <v>9</v>
      </c>
      <c r="AI331" s="557"/>
      <c r="AJ331" s="557"/>
      <c r="AK331" s="557"/>
      <c r="AL331" s="557"/>
      <c r="AM331" s="557"/>
      <c r="AN331" s="557"/>
      <c r="AO331" s="563"/>
      <c r="AP331" s="557"/>
      <c r="AQ331" s="557"/>
      <c r="AR331" s="559"/>
      <c r="AS331" s="557"/>
      <c r="AT331" s="557">
        <v>0</v>
      </c>
      <c r="AU331" s="557">
        <v>0</v>
      </c>
      <c r="AV331" s="557"/>
      <c r="AW331" s="557"/>
      <c r="AX331" s="554" t="s">
        <v>43</v>
      </c>
      <c r="AY331" s="563" t="s">
        <v>148</v>
      </c>
      <c r="AZ331" s="557"/>
      <c r="BA331" s="557"/>
      <c r="BB331" s="557"/>
      <c r="BC331" s="554"/>
      <c r="BD331" s="557"/>
      <c r="BE331" s="557"/>
      <c r="BF331" s="557"/>
      <c r="BG331" s="557"/>
      <c r="BH331" s="557"/>
      <c r="BI331" s="557">
        <v>2</v>
      </c>
      <c r="BJ331" s="557"/>
      <c r="BK331" s="557">
        <v>0</v>
      </c>
      <c r="BL331" s="557">
        <v>0</v>
      </c>
      <c r="BM331" s="554"/>
      <c r="BN331" s="558">
        <v>0</v>
      </c>
      <c r="BO331" s="559"/>
      <c r="BP331" s="554"/>
      <c r="BQ331" s="560" t="str">
        <f>IFERROR(WWWW[[#This Row],['#_Water sources treated]]/WWWW[[#This Row],['#_Water sources tested for contamination]],"no test")</f>
        <v>no test</v>
      </c>
      <c r="BR331" s="559" t="str">
        <f>IFERROR(WWWW[[#This Row],['#_Household received remediation action due to contamination]]/WWWW[[#This Row],['#_Household water samples tested for contamination]],"no test")</f>
        <v>no test</v>
      </c>
      <c r="BS331" s="558" t="str">
        <f>IF(AND(WWWW[[#This Row],[% of water sources treated]]="no test",WWWW[[#This Row],[% Household received corrective actions]]="no test"),"No Test","Tested")</f>
        <v>No Test</v>
      </c>
      <c r="BT331" s="558">
        <f>WWWW[[#This Row],['#_Constructed/existing protected hand dug well]]-WWWW[[#This Row],['#_Non-functional protected hand dug well]]</f>
        <v>0</v>
      </c>
      <c r="BU331" s="558">
        <f>(WWWW[[#This Row],['#_Constructed/Existing tube wells/boreholes/handpumps_WASH_agency]]+WWWW[[#This Row],['#_Non-Cluster partner water tube-wells/boreholes/handpumps]])-WWWW[[#This Row],['#_Non-functional tube wells/boreholes/handpumps]]</f>
        <v>9</v>
      </c>
      <c r="BV331" s="558">
        <f>WWWW[[#This Row],['#_Constructed/Existingwater storage tank with gravity fed reticulation system]]-WWWW[[#This Row],['#_Non-functional storage tank gravity fed reticulation system]]</f>
        <v>0</v>
      </c>
      <c r="BW331" s="558">
        <f>WWWW[[#This Row],['#_Water boating or water trucking]]</f>
        <v>0</v>
      </c>
      <c r="BX331" s="558">
        <f>WWWW[[#This Row],['#_Constructed/Existing water distribution system from river or natural spring]]</f>
        <v>0</v>
      </c>
      <c r="BY33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1" s="559">
        <f>IF(WWWW[[#This Row],[Location Type 1]]="Village",WWWW[[#This Row],[Access to safe drinking water for Village]],WWWW[[#This Row],[Access to safe drinking water for Camp]])</f>
        <v>1</v>
      </c>
      <c r="CB331" s="556">
        <f>WWWW[[#This Row],[%Equitable and continuous access to sufficient quantity of safe drinking water]]*WWWW[[#This Row],[Total PoP ]]</f>
        <v>745</v>
      </c>
      <c r="CC331" s="559">
        <f>IF((WWWW[[#This Row],['#_Constructed/Existing protected/fenced ponds]]*250)/WWWW[[#This Row],[Total PoP ]]&gt;1,1,(WWWW[[#This Row],['#_Constructed/Existing protected/fenced ponds]]*250)/WWWW[[#This Row],[Total PoP ]])</f>
        <v>0</v>
      </c>
      <c r="CD331" s="556">
        <f>WWWW[[#This Row],[% Access to unimproved water points]]*WWWW[[#This Row],[Total PoP ]]</f>
        <v>0</v>
      </c>
      <c r="CE33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CG331" s="556">
        <f>WWWW[[#This Row],[HRP1]]/500</f>
        <v>1.49</v>
      </c>
      <c r="CH331" s="561">
        <f>1-WWWW[[#This Row],[% Equitable and continuous access to sufficient quantity of domestic water]]</f>
        <v>0</v>
      </c>
      <c r="CI331" s="556">
        <f>WWWW[[#This Row],[%equitable and continuous access to sufficient quantity of safe drinking and domestic water''s GAP]]*WWWW[[#This Row],[Total PoP ]]</f>
        <v>0</v>
      </c>
      <c r="CJ331" s="558">
        <f>IF(WWWW[[#This Row],[Total required water points]]-WWWW[[#This Row],['#Water points coverage]]&lt;0,0,WWWW[[#This Row],[Total required water points]]-WWWW[[#This Row],['#Water points coverage]])</f>
        <v>0</v>
      </c>
      <c r="CK331" s="558">
        <f>ROUND(IF(WWWW[[#This Row],[Total PoP ]]&lt;500,1,WWWW[[#This Row],[Total PoP ]]/500),0)</f>
        <v>1</v>
      </c>
      <c r="CL331" s="558">
        <f>(WWWW[[#This Row],['#_Constructed latrines_by_WASHAgencies]]+WWWW[[#This Row],['#_Non Cluster partner latrines]])-WWWW[[#This Row],['#_Non-functional latrines]]</f>
        <v>0</v>
      </c>
      <c r="CM33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1" s="558" t="str">
        <f>IF(WWWW[[#This Row],[Location Type 1]]="Village","NA",IF(WWWW[[#This Row],['#_Constructed/Existing latrines in TLS]]*50&gt;WWWW[[#This Row],['#_students at TLS_CFS]],WWWW[[#This Row],['#_students at TLS_CFS]],(WWWW[[#This Row],['#_Constructed/Existing latrines in TLS]]*50)))</f>
        <v>NA</v>
      </c>
      <c r="CQ331" s="558">
        <f>ROUND(IF(WWWW[[#This Row],[Location Type 1]]="camp",WWWW[[#This Row],[Total PoP ]]/20,IF(WWWW[[#This Row],[Location Type 1]]="Temporary Location",WWWW[[#This Row],[Total PoP ]]/50,(WWWW[[#This Row],[Total PoP ]]/6))),0)</f>
        <v>124</v>
      </c>
      <c r="CR331" s="558">
        <f>IF(WWWW[[#This Row],[Total required Latrines]]-(WWWW[[#This Row],['#_Constructed latrines_by_WASHAgencies]]+WWWW[[#This Row],['#_Non Cluster partner latrines]])&lt;0,0,WWWW[[#This Row],[Total required Latrines]]-(WWWW[[#This Row],['#_Constructed latrines_by_WASHAgencies]]+WWWW[[#This Row],['#_Non Cluster partner latrines]]))</f>
        <v>124</v>
      </c>
      <c r="CS331" s="78">
        <f>1-WWWW[[#This Row],[% people access to functioning Latrine]]</f>
        <v>1</v>
      </c>
      <c r="CT331" s="560">
        <f>IF(OR(WWWW[[#This Row],['#_Non-functional latrines]]="",WWWW[[#This Row],['#_Non-functional latrines]]=0),0,WWWW[[#This Row],['#_Non-functional latrines]]/(WWWW[[#This Row],['#_Constructed latrines_by_WASHAgencies]]+WWWW[[#This Row],['#_Non Cluster partner latrines]]))</f>
        <v>0</v>
      </c>
      <c r="CU331" s="556">
        <f>IF(500*(WWWW[[#This Row],['#_male hygiene promoters]]+WWWW[[#This Row],['#_female hygiene promoters]])&gt;WWWW[[#This Row],[Total PoP ]],WWWW[[#This Row],[Total PoP ]],500*(WWWW[[#This Row],['#_male hygiene promoters]]+WWWW[[#This Row],['#_female hygiene promoters]]))</f>
        <v>745</v>
      </c>
      <c r="CV33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1" s="558">
        <f>IF(WWWW[[#This Row],['# People with access to soap]]&gt;WWWW[[#This Row],['# People with access to Sanity Pads]],WWWW[[#This Row],['# People with access to soap]],WWWW[[#This Row],['# People with access to Sanity Pads]])</f>
        <v>0</v>
      </c>
      <c r="CY331" s="558">
        <f>IF(WWWW[[#This Row],['# people reached by regular dedicated hygiene promotion_5]]&gt;WWWW[[#This Row],['# People received regular supply of hygiene items_6]],WWWW[[#This Row],['# people reached by regular dedicated hygiene promotion_5]],WWWW[[#This Row],['# People received regular supply of hygiene items_6]])</f>
        <v>745</v>
      </c>
      <c r="CZ331" s="561">
        <f>IF(WWWW[[#This Row],[HRP3]]/WWWW[[#This Row],[Total PoP ]]&gt;100%,100%,WWWW[[#This Row],[HRP3]]/WWWW[[#This Row],[Total PoP ]])</f>
        <v>1</v>
      </c>
      <c r="DA331" s="560">
        <f>1-WWWW[[#This Row],[Hygiene Coverage%]]</f>
        <v>0</v>
      </c>
      <c r="DB331" s="559">
        <f>WWWW[[#This Row],['# people reached by regular dedicated hygiene promotion_5]]/WWWW[[#This Row],[Total PoP ]]</f>
        <v>1</v>
      </c>
      <c r="DC331" s="559">
        <f>IF(WWWW[[#This Row],['#_households that received standard amount of soap for this quarter]]/WWWW[[#This Row],[Total HH]]&gt;1,1,WWWW[[#This Row],['#_households that received standard amount of soap for this quarter]]/WWWW[[#This Row],[Total HH]])</f>
        <v>0</v>
      </c>
      <c r="DD331" s="559">
        <f>IF(WWWW[[#This Row],['#_households that received standard amount of sanitary pads for this quarter]]/WWWW[[#This Row],[Total HH]]&gt;1,1,WWWW[[#This Row],['#_households that received standard amount of sanitary pads for this quarter]]/WWWW[[#This Row],[Total HH]])</f>
        <v>0</v>
      </c>
      <c r="DE331" s="558">
        <f>WWWW[[#This Row],['#_Constructed/Existing hand washing stations]]-WWWW[[#This Row],['#_Non-Functional_hand_washing_stations]]</f>
        <v>0</v>
      </c>
      <c r="DF331" s="757">
        <f>IF(WWWW[[#This Row],['# Functional hand washing stations during reporting period]]*20&gt;WWWW[[#This Row],[Total HH]],WWWW[[#This Row],[Total HH]],WWWW[[#This Row],['# Functional hand washing stations during reporting period]]*20)</f>
        <v>0</v>
      </c>
      <c r="DG331" s="556">
        <f>IF(WWWW[[#This Row],[Is sufficient soap available for TLS? (Yes/No)]]="yes",WWWW[[#This Row],['#_Constructed/Existing hand washing stations at TLS]],0)</f>
        <v>0</v>
      </c>
      <c r="DH331" s="556">
        <f>IF(WWWW[[#This Row],['# Functional hand washing stations during reporting period]]*100&gt;WWWW[[#This Row],[Total PoP ]],WWWW[[#This Row],[Total PoP ]],WWWW[[#This Row],['# Functional hand washing stations during reporting period]]*100)</f>
        <v>0</v>
      </c>
      <c r="DI331" s="556" t="str">
        <f>IF(OR(WWWW[[#This Row],['#_students at TLS_CFS]]="",WWWW[[#This Row],['#_students at TLS_CFS]]=0),"No","Yes")</f>
        <v>No</v>
      </c>
      <c r="DJ331" s="554">
        <f>VLOOKUP(WWWW[[#This Row],[Site Name]],SiteDB6[[Site Name]:[CCCM Management]],6,FALSE)</f>
        <v>0</v>
      </c>
      <c r="DK331" s="554">
        <f>VLOOKUP(WWWW[[#This Row],[Site Name]],SiteDB6[[Site Name]:[CCCM Focal Agency]],7,FALSE)</f>
        <v>0</v>
      </c>
      <c r="DL331" s="554" t="str">
        <f>VLOOKUP(WWWW[[#This Row],[Site Name]],SiteDB6[[Site Name]:[Location Type 1]],9,FALSE)</f>
        <v>Village</v>
      </c>
      <c r="DM331" s="554" t="str">
        <f>VLOOKUP(WWWW[[#This Row],[Site Name]],SiteDB6[[Site Name]:[Type of Accommodation]],10,FALSE)</f>
        <v>Village</v>
      </c>
      <c r="DN331" s="554" t="str">
        <f>VLOOKUP(WWWW[[#This Row],[Site Name]],SiteDB6[[Site Name]:[Ethnic or GCA/NGCA]],11,FALSE)</f>
        <v>Rakhine</v>
      </c>
      <c r="DO331" s="554">
        <f>VLOOKUP(WWWW[[#This Row],[Site Name]],SiteDB6[[Site Name]:[Lat]],12,FALSE)</f>
        <v>20.16259956</v>
      </c>
      <c r="DP331" s="554">
        <f>VLOOKUP(WWWW[[#This Row],[Site Name]],SiteDB6[[Site Name]:[Long]],13,FALSE)</f>
        <v>92.834457400000005</v>
      </c>
      <c r="DQ331" s="554">
        <f>VLOOKUP(WWWW[[#This Row],[Site Name]],SiteDB6[[Site Name]:[Pcode]],3,FALSE)</f>
        <v>196210</v>
      </c>
      <c r="DR331" s="563" t="str">
        <f t="shared" si="11"/>
        <v>Covered</v>
      </c>
      <c r="DS331" s="563"/>
    </row>
    <row r="332" spans="1:126">
      <c r="A332" s="552" t="s">
        <v>2518</v>
      </c>
      <c r="B332" s="552" t="s">
        <v>2370</v>
      </c>
      <c r="C332" s="555" t="s">
        <v>2370</v>
      </c>
      <c r="D332" s="555"/>
      <c r="E332" s="574" t="s">
        <v>3006</v>
      </c>
      <c r="F332" s="555" t="s">
        <v>313</v>
      </c>
      <c r="G332" s="574" t="str">
        <f>VLOOKUP(WWWW[[#This Row],[Site Name]],SiteDB6[[Site Name]:[Location Type]],8,FALSE)</f>
        <v>Village</v>
      </c>
      <c r="H332" s="555" t="s">
        <v>439</v>
      </c>
      <c r="I332" s="557">
        <v>1009</v>
      </c>
      <c r="J332" s="557">
        <v>5579</v>
      </c>
      <c r="K332" s="564"/>
      <c r="L332" s="565"/>
      <c r="M332" s="557"/>
      <c r="N332" s="557"/>
      <c r="O332" s="557"/>
      <c r="P332" s="557" t="s">
        <v>2934</v>
      </c>
      <c r="Q332" s="556"/>
      <c r="R332" s="557"/>
      <c r="S332" s="557"/>
      <c r="T332" s="557"/>
      <c r="U332" s="557"/>
      <c r="V332" s="557"/>
      <c r="W332" s="557">
        <v>16</v>
      </c>
      <c r="X332" s="557"/>
      <c r="Y332" s="557">
        <v>2</v>
      </c>
      <c r="Z332" s="557">
        <v>4</v>
      </c>
      <c r="AA332" s="557"/>
      <c r="AB332" s="557"/>
      <c r="AC332" s="557"/>
      <c r="AD332" s="557"/>
      <c r="AE332" s="557"/>
      <c r="AF332" s="557"/>
      <c r="AG332" s="557"/>
      <c r="AH332" s="557">
        <v>16</v>
      </c>
      <c r="AI332" s="557"/>
      <c r="AJ332" s="557"/>
      <c r="AK332" s="557"/>
      <c r="AL332" s="557"/>
      <c r="AM332" s="557"/>
      <c r="AN332" s="557"/>
      <c r="AO332" s="563"/>
      <c r="AP332" s="557"/>
      <c r="AQ332" s="557"/>
      <c r="AR332" s="559"/>
      <c r="AS332" s="557"/>
      <c r="AT332" s="557">
        <v>0</v>
      </c>
      <c r="AU332" s="557">
        <v>0</v>
      </c>
      <c r="AV332" s="557"/>
      <c r="AW332" s="557"/>
      <c r="AX332" s="554" t="s">
        <v>43</v>
      </c>
      <c r="AY332" s="563" t="s">
        <v>148</v>
      </c>
      <c r="AZ332" s="557"/>
      <c r="BA332" s="557"/>
      <c r="BB332" s="557"/>
      <c r="BC332" s="554"/>
      <c r="BD332" s="557"/>
      <c r="BE332" s="557"/>
      <c r="BF332" s="557"/>
      <c r="BG332" s="557"/>
      <c r="BH332" s="557"/>
      <c r="BI332" s="557">
        <v>4</v>
      </c>
      <c r="BJ332" s="557">
        <v>1</v>
      </c>
      <c r="BK332" s="557">
        <v>757</v>
      </c>
      <c r="BL332" s="557">
        <v>757</v>
      </c>
      <c r="BM332" s="554"/>
      <c r="BN332" s="558">
        <v>0</v>
      </c>
      <c r="BO332" s="559"/>
      <c r="BP332" s="554"/>
      <c r="BQ332" s="560" t="str">
        <f>IFERROR(WWWW[[#This Row],['#_Water sources treated]]/WWWW[[#This Row],['#_Water sources tested for contamination]],"no test")</f>
        <v>no test</v>
      </c>
      <c r="BR332" s="559" t="str">
        <f>IFERROR(WWWW[[#This Row],['#_Household received remediation action due to contamination]]/WWWW[[#This Row],['#_Household water samples tested for contamination]],"no test")</f>
        <v>no test</v>
      </c>
      <c r="BS332" s="558" t="str">
        <f>IF(AND(WWWW[[#This Row],[% of water sources treated]]="no test",WWWW[[#This Row],[% Household received corrective actions]]="no test"),"No Test","Tested")</f>
        <v>No Test</v>
      </c>
      <c r="BT332" s="558">
        <f>WWWW[[#This Row],['#_Constructed/existing protected hand dug well]]-WWWW[[#This Row],['#_Non-functional protected hand dug well]]</f>
        <v>0</v>
      </c>
      <c r="BU332" s="558">
        <f>(WWWW[[#This Row],['#_Constructed/Existing tube wells/boreholes/handpumps_WASH_agency]]+WWWW[[#This Row],['#_Non-Cluster partner water tube-wells/boreholes/handpumps]])-WWWW[[#This Row],['#_Non-functional tube wells/boreholes/handpumps]]</f>
        <v>14</v>
      </c>
      <c r="BV332" s="558">
        <f>WWWW[[#This Row],['#_Constructed/Existingwater storage tank with gravity fed reticulation system]]-WWWW[[#This Row],['#_Non-functional storage tank gravity fed reticulation system]]</f>
        <v>0</v>
      </c>
      <c r="BW332" s="558">
        <f>WWWW[[#This Row],['#_Water boating or water trucking]]</f>
        <v>0</v>
      </c>
      <c r="BX332" s="558">
        <f>WWWW[[#This Row],['#_Constructed/Existing water distribution system from river or natural spring]]</f>
        <v>0</v>
      </c>
      <c r="BY33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0.62735257214554585</v>
      </c>
      <c r="CA332" s="559">
        <f>IF(WWWW[[#This Row],[Location Type 1]]="Village",WWWW[[#This Row],[Access to safe drinking water for Village]],WWWW[[#This Row],[Access to safe drinking water for Camp]])</f>
        <v>0.62735257214554585</v>
      </c>
      <c r="CB332" s="556">
        <f>WWWW[[#This Row],[%Equitable and continuous access to sufficient quantity of safe drinking water]]*WWWW[[#This Row],[Total PoP ]]</f>
        <v>3500.0000000000005</v>
      </c>
      <c r="CC332" s="559">
        <f>IF((WWWW[[#This Row],['#_Constructed/Existing protected/fenced ponds]]*250)/WWWW[[#This Row],[Total PoP ]]&gt;1,1,(WWWW[[#This Row],['#_Constructed/Existing protected/fenced ponds]]*250)/WWWW[[#This Row],[Total PoP ]])</f>
        <v>0</v>
      </c>
      <c r="CD332" s="556">
        <f>WWWW[[#This Row],[% Access to unimproved water points]]*WWWW[[#This Row],[Total PoP ]]</f>
        <v>0</v>
      </c>
      <c r="CE33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0.62735257214554585</v>
      </c>
      <c r="CF33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3500.0000000000005</v>
      </c>
      <c r="CG332" s="556">
        <f>WWWW[[#This Row],[HRP1]]/500</f>
        <v>7.0000000000000009</v>
      </c>
      <c r="CH332" s="561">
        <f>1-WWWW[[#This Row],[% Equitable and continuous access to sufficient quantity of domestic water]]</f>
        <v>0.37264742785445415</v>
      </c>
      <c r="CI332" s="556">
        <f>WWWW[[#This Row],[%equitable and continuous access to sufficient quantity of safe drinking and domestic water''s GAP]]*WWWW[[#This Row],[Total PoP ]]</f>
        <v>2078.9999999999995</v>
      </c>
      <c r="CJ332" s="558">
        <f>IF(WWWW[[#This Row],[Total required water points]]-WWWW[[#This Row],['#Water points coverage]]&lt;0,0,WWWW[[#This Row],[Total required water points]]-WWWW[[#This Row],['#Water points coverage]])</f>
        <v>3.9999999999999991</v>
      </c>
      <c r="CK332" s="558">
        <f>ROUND(IF(WWWW[[#This Row],[Total PoP ]]&lt;500,1,WWWW[[#This Row],[Total PoP ]]/500),0)</f>
        <v>11</v>
      </c>
      <c r="CL332" s="558">
        <f>(WWWW[[#This Row],['#_Constructed latrines_by_WASHAgencies]]+WWWW[[#This Row],['#_Non Cluster partner latrines]])-WWWW[[#This Row],['#_Non-functional latrines]]</f>
        <v>0</v>
      </c>
      <c r="CM33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2" s="558" t="str">
        <f>IF(WWWW[[#This Row],[Location Type 1]]="Village","NA",IF(WWWW[[#This Row],['#_Constructed/Existing latrines in TLS]]*50&gt;WWWW[[#This Row],['#_students at TLS_CFS]],WWWW[[#This Row],['#_students at TLS_CFS]],(WWWW[[#This Row],['#_Constructed/Existing latrines in TLS]]*50)))</f>
        <v>NA</v>
      </c>
      <c r="CQ332" s="558">
        <f>ROUND(IF(WWWW[[#This Row],[Location Type 1]]="camp",WWWW[[#This Row],[Total PoP ]]/20,IF(WWWW[[#This Row],[Location Type 1]]="Temporary Location",WWWW[[#This Row],[Total PoP ]]/50,(WWWW[[#This Row],[Total PoP ]]/6))),0)</f>
        <v>930</v>
      </c>
      <c r="CR332" s="558">
        <f>IF(WWWW[[#This Row],[Total required Latrines]]-(WWWW[[#This Row],['#_Constructed latrines_by_WASHAgencies]]+WWWW[[#This Row],['#_Non Cluster partner latrines]])&lt;0,0,WWWW[[#This Row],[Total required Latrines]]-(WWWW[[#This Row],['#_Constructed latrines_by_WASHAgencies]]+WWWW[[#This Row],['#_Non Cluster partner latrines]]))</f>
        <v>930</v>
      </c>
      <c r="CS332" s="78">
        <f>1-WWWW[[#This Row],[% people access to functioning Latrine]]</f>
        <v>1</v>
      </c>
      <c r="CT332" s="560">
        <f>IF(OR(WWWW[[#This Row],['#_Non-functional latrines]]="",WWWW[[#This Row],['#_Non-functional latrines]]=0),0,WWWW[[#This Row],['#_Non-functional latrines]]/(WWWW[[#This Row],['#_Constructed latrines_by_WASHAgencies]]+WWWW[[#This Row],['#_Non Cluster partner latrines]]))</f>
        <v>0</v>
      </c>
      <c r="CU332" s="556">
        <f>IF(500*(WWWW[[#This Row],['#_male hygiene promoters]]+WWWW[[#This Row],['#_female hygiene promoters]])&gt;WWWW[[#This Row],[Total PoP ]],WWWW[[#This Row],[Total PoP ]],500*(WWWW[[#This Row],['#_male hygiene promoters]]+WWWW[[#This Row],['#_female hygiene promoters]]))</f>
        <v>2500</v>
      </c>
      <c r="CV33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3785</v>
      </c>
      <c r="CW33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3785</v>
      </c>
      <c r="CX332" s="558">
        <f>IF(WWWW[[#This Row],['# People with access to soap]]&gt;WWWW[[#This Row],['# People with access to Sanity Pads]],WWWW[[#This Row],['# People with access to soap]],WWWW[[#This Row],['# People with access to Sanity Pads]])</f>
        <v>3785</v>
      </c>
      <c r="CY332" s="558">
        <f>IF(WWWW[[#This Row],['# people reached by regular dedicated hygiene promotion_5]]&gt;WWWW[[#This Row],['# People received regular supply of hygiene items_6]],WWWW[[#This Row],['# people reached by regular dedicated hygiene promotion_5]],WWWW[[#This Row],['# People received regular supply of hygiene items_6]])</f>
        <v>3785</v>
      </c>
      <c r="CZ332" s="561">
        <f>IF(WWWW[[#This Row],[HRP3]]/WWWW[[#This Row],[Total PoP ]]&gt;100%,100%,WWWW[[#This Row],[HRP3]]/WWWW[[#This Row],[Total PoP ]])</f>
        <v>0.67843699587739736</v>
      </c>
      <c r="DA332" s="560">
        <f>1-WWWW[[#This Row],[Hygiene Coverage%]]</f>
        <v>0.32156300412260264</v>
      </c>
      <c r="DB332" s="559">
        <f>WWWW[[#This Row],['# people reached by regular dedicated hygiene promotion_5]]/WWWW[[#This Row],[Total PoP ]]</f>
        <v>0.44810898010396127</v>
      </c>
      <c r="DC332" s="559">
        <f>IF(WWWW[[#This Row],['#_households that received standard amount of soap for this quarter]]/WWWW[[#This Row],[Total HH]]&gt;1,1,WWWW[[#This Row],['#_households that received standard amount of soap for this quarter]]/WWWW[[#This Row],[Total HH]])</f>
        <v>0.7502477700693756</v>
      </c>
      <c r="DD332" s="559">
        <f>IF(WWWW[[#This Row],['#_households that received standard amount of sanitary pads for this quarter]]/WWWW[[#This Row],[Total HH]]&gt;1,1,WWWW[[#This Row],['#_households that received standard amount of sanitary pads for this quarter]]/WWWW[[#This Row],[Total HH]])</f>
        <v>0.7502477700693756</v>
      </c>
      <c r="DE332" s="558">
        <f>WWWW[[#This Row],['#_Constructed/Existing hand washing stations]]-WWWW[[#This Row],['#_Non-Functional_hand_washing_stations]]</f>
        <v>0</v>
      </c>
      <c r="DF332" s="757">
        <f>IF(WWWW[[#This Row],['# Functional hand washing stations during reporting period]]*20&gt;WWWW[[#This Row],[Total HH]],WWWW[[#This Row],[Total HH]],WWWW[[#This Row],['# Functional hand washing stations during reporting period]]*20)</f>
        <v>0</v>
      </c>
      <c r="DG332" s="556">
        <f>IF(WWWW[[#This Row],[Is sufficient soap available for TLS? (Yes/No)]]="yes",WWWW[[#This Row],['#_Constructed/Existing hand washing stations at TLS]],0)</f>
        <v>0</v>
      </c>
      <c r="DH332" s="556">
        <f>IF(WWWW[[#This Row],['# Functional hand washing stations during reporting period]]*100&gt;WWWW[[#This Row],[Total PoP ]],WWWW[[#This Row],[Total PoP ]],WWWW[[#This Row],['# Functional hand washing stations during reporting period]]*100)</f>
        <v>0</v>
      </c>
      <c r="DI332" s="556" t="str">
        <f>IF(OR(WWWW[[#This Row],['#_students at TLS_CFS]]="",WWWW[[#This Row],['#_students at TLS_CFS]]=0),"No","Yes")</f>
        <v>No</v>
      </c>
      <c r="DJ332" s="554">
        <f>VLOOKUP(WWWW[[#This Row],[Site Name]],SiteDB6[[Site Name]:[CCCM Management]],6,FALSE)</f>
        <v>0</v>
      </c>
      <c r="DK332" s="554">
        <f>VLOOKUP(WWWW[[#This Row],[Site Name]],SiteDB6[[Site Name]:[CCCM Focal Agency]],7,FALSE)</f>
        <v>0</v>
      </c>
      <c r="DL332" s="554" t="str">
        <f>VLOOKUP(WWWW[[#This Row],[Site Name]],SiteDB6[[Site Name]:[Location Type 1]],9,FALSE)</f>
        <v>Village</v>
      </c>
      <c r="DM332" s="554" t="str">
        <f>VLOOKUP(WWWW[[#This Row],[Site Name]],SiteDB6[[Site Name]:[Type of Accommodation]],10,FALSE)</f>
        <v>Village</v>
      </c>
      <c r="DN332" s="554" t="str">
        <f>VLOOKUP(WWWW[[#This Row],[Site Name]],SiteDB6[[Site Name]:[Ethnic or GCA/NGCA]],11,FALSE)</f>
        <v>Muslim</v>
      </c>
      <c r="DO332" s="554">
        <f>VLOOKUP(WWWW[[#This Row],[Site Name]],SiteDB6[[Site Name]:[Lat]],12,FALSE)</f>
        <v>20.15736008</v>
      </c>
      <c r="DP332" s="554">
        <f>VLOOKUP(WWWW[[#This Row],[Site Name]],SiteDB6[[Site Name]:[Long]],13,FALSE)</f>
        <v>92.838653559999997</v>
      </c>
      <c r="DQ332" s="554">
        <f>VLOOKUP(WWWW[[#This Row],[Site Name]],SiteDB6[[Site Name]:[Pcode]],3,FALSE)</f>
        <v>196211</v>
      </c>
      <c r="DR332" s="563" t="str">
        <f t="shared" si="11"/>
        <v>Covered</v>
      </c>
      <c r="DS332" s="563"/>
    </row>
    <row r="333" spans="1:126">
      <c r="A333" s="552" t="s">
        <v>2518</v>
      </c>
      <c r="B333" s="552" t="s">
        <v>2370</v>
      </c>
      <c r="C333" s="555" t="s">
        <v>2370</v>
      </c>
      <c r="D333" s="555"/>
      <c r="E333" s="574" t="s">
        <v>3006</v>
      </c>
      <c r="F333" s="555" t="s">
        <v>313</v>
      </c>
      <c r="G333" s="574" t="str">
        <f>VLOOKUP(WWWW[[#This Row],[Site Name]],SiteDB6[[Site Name]:[Location Type]],8,FALSE)</f>
        <v>Village</v>
      </c>
      <c r="H333" s="555" t="s">
        <v>435</v>
      </c>
      <c r="I333" s="312">
        <v>587</v>
      </c>
      <c r="J333" s="312">
        <v>3558</v>
      </c>
      <c r="K333" s="593"/>
      <c r="L333" s="58"/>
      <c r="M333" s="312"/>
      <c r="N333" s="312"/>
      <c r="O333" s="312"/>
      <c r="P333" s="312"/>
      <c r="Q333" s="585"/>
      <c r="R333" s="312"/>
      <c r="S333" s="312"/>
      <c r="T333" s="312"/>
      <c r="U333" s="312"/>
      <c r="V333" s="312"/>
      <c r="W333" s="312"/>
      <c r="X333" s="312"/>
      <c r="Y333" s="312"/>
      <c r="Z333" s="312"/>
      <c r="AA333" s="312"/>
      <c r="AB333" s="312"/>
      <c r="AC333" s="312"/>
      <c r="AD333" s="312"/>
      <c r="AE333" s="312"/>
      <c r="AF333" s="312"/>
      <c r="AG333" s="312"/>
      <c r="AH333" s="312"/>
      <c r="AI333" s="312"/>
      <c r="AJ333" s="312"/>
      <c r="AK333" s="312"/>
      <c r="AL333" s="312"/>
      <c r="AM333" s="312"/>
      <c r="AN333" s="312"/>
      <c r="AO333" s="586"/>
      <c r="AP333" s="312"/>
      <c r="AQ333" s="312"/>
      <c r="AR333" s="594"/>
      <c r="AS333" s="312"/>
      <c r="AT333" s="312"/>
      <c r="AU333" s="312"/>
      <c r="AV333" s="312"/>
      <c r="AW333" s="312"/>
      <c r="AX333" s="592"/>
      <c r="AY333" s="586"/>
      <c r="AZ333" s="312"/>
      <c r="BA333" s="312"/>
      <c r="BB333" s="312"/>
      <c r="BC333" s="592"/>
      <c r="BD333" s="312"/>
      <c r="BE333" s="312"/>
      <c r="BF333" s="312"/>
      <c r="BG333" s="312"/>
      <c r="BH333" s="312"/>
      <c r="BI333" s="312"/>
      <c r="BJ333" s="312"/>
      <c r="BK333" s="312"/>
      <c r="BL333" s="312"/>
      <c r="BM333" s="592"/>
      <c r="BN333" s="595"/>
      <c r="BO333" s="594"/>
      <c r="BP333" s="592"/>
      <c r="BQ333" s="596" t="str">
        <f>IFERROR(WWWW[[#This Row],['#_Water sources treated]]/WWWW[[#This Row],['#_Water sources tested for contamination]],"no test")</f>
        <v>no test</v>
      </c>
      <c r="BR333" s="594" t="str">
        <f>IFERROR(WWWW[[#This Row],['#_Household received remediation action due to contamination]]/WWWW[[#This Row],['#_Household water samples tested for contamination]],"no test")</f>
        <v>no test</v>
      </c>
      <c r="BS333" s="595" t="str">
        <f>IF(AND(WWWW[[#This Row],[% of water sources treated]]="no test",WWWW[[#This Row],[% Household received corrective actions]]="no test"),"No Test","Tested")</f>
        <v>No Test</v>
      </c>
      <c r="BT333" s="595">
        <f>WWWW[[#This Row],['#_Constructed/existing protected hand dug well]]-WWWW[[#This Row],['#_Non-functional protected hand dug well]]</f>
        <v>0</v>
      </c>
      <c r="BU333" s="595">
        <f>(WWWW[[#This Row],['#_Constructed/Existing tube wells/boreholes/handpumps_WASH_agency]]+WWWW[[#This Row],['#_Non-Cluster partner water tube-wells/boreholes/handpumps]])-WWWW[[#This Row],['#_Non-functional tube wells/boreholes/handpumps]]</f>
        <v>0</v>
      </c>
      <c r="BV333" s="595">
        <f>WWWW[[#This Row],['#_Constructed/Existingwater storage tank with gravity fed reticulation system]]-WWWW[[#This Row],['#_Non-functional storage tank gravity fed reticulation system]]</f>
        <v>0</v>
      </c>
      <c r="BW333" s="595">
        <f>WWWW[[#This Row],['#_Water boating or water trucking]]</f>
        <v>0</v>
      </c>
      <c r="BX333" s="595">
        <f>WWWW[[#This Row],['#_Constructed/Existing water distribution system from river or natural spring]]</f>
        <v>0</v>
      </c>
      <c r="BY333"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3"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3" s="594">
        <f>IF(WWWW[[#This Row],[Location Type 1]]="Village",WWWW[[#This Row],[Access to safe drinking water for Village]],WWWW[[#This Row],[Access to safe drinking water for Camp]])</f>
        <v>0</v>
      </c>
      <c r="CB333" s="585">
        <f>WWWW[[#This Row],[%Equitable and continuous access to sufficient quantity of safe drinking water]]*WWWW[[#This Row],[Total PoP ]]</f>
        <v>0</v>
      </c>
      <c r="CC333" s="594">
        <f>IF((WWWW[[#This Row],['#_Constructed/Existing protected/fenced ponds]]*250)/WWWW[[#This Row],[Total PoP ]]&gt;1,1,(WWWW[[#This Row],['#_Constructed/Existing protected/fenced ponds]]*250)/WWWW[[#This Row],[Total PoP ]])</f>
        <v>0</v>
      </c>
      <c r="CD333" s="585">
        <f>WWWW[[#This Row],[% Access to unimproved water points]]*WWWW[[#This Row],[Total PoP ]]</f>
        <v>0</v>
      </c>
      <c r="CE333"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3"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3" s="585">
        <f>WWWW[[#This Row],[HRP1]]/500</f>
        <v>0</v>
      </c>
      <c r="CH333" s="597">
        <f>1-WWWW[[#This Row],[% Equitable and continuous access to sufficient quantity of domestic water]]</f>
        <v>1</v>
      </c>
      <c r="CI333" s="585">
        <f>WWWW[[#This Row],[%equitable and continuous access to sufficient quantity of safe drinking and domestic water''s GAP]]*WWWW[[#This Row],[Total PoP ]]</f>
        <v>3558</v>
      </c>
      <c r="CJ333" s="595">
        <f>IF(WWWW[[#This Row],[Total required water points]]-WWWW[[#This Row],['#Water points coverage]]&lt;0,0,WWWW[[#This Row],[Total required water points]]-WWWW[[#This Row],['#Water points coverage]])</f>
        <v>7</v>
      </c>
      <c r="CK333" s="595">
        <f>ROUND(IF(WWWW[[#This Row],[Total PoP ]]&lt;500,1,WWWW[[#This Row],[Total PoP ]]/500),0)</f>
        <v>7</v>
      </c>
      <c r="CL333" s="595">
        <f>(WWWW[[#This Row],['#_Constructed latrines_by_WASHAgencies]]+WWWW[[#This Row],['#_Non Cluster partner latrines]])-WWWW[[#This Row],['#_Non-functional latrines]]</f>
        <v>0</v>
      </c>
      <c r="CM33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3"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3"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3" s="595" t="str">
        <f>IF(WWWW[[#This Row],[Location Type 1]]="Village","NA",IF(WWWW[[#This Row],['#_Constructed/Existing latrines in TLS]]*50&gt;WWWW[[#This Row],['#_students at TLS_CFS]],WWWW[[#This Row],['#_students at TLS_CFS]],(WWWW[[#This Row],['#_Constructed/Existing latrines in TLS]]*50)))</f>
        <v>NA</v>
      </c>
      <c r="CQ333" s="595">
        <f>ROUND(IF(WWWW[[#This Row],[Location Type 1]]="camp",WWWW[[#This Row],[Total PoP ]]/20,IF(WWWW[[#This Row],[Location Type 1]]="Temporary Location",WWWW[[#This Row],[Total PoP ]]/50,(WWWW[[#This Row],[Total PoP ]]/6))),0)</f>
        <v>593</v>
      </c>
      <c r="CR333" s="595">
        <f>IF(WWWW[[#This Row],[Total required Latrines]]-(WWWW[[#This Row],['#_Constructed latrines_by_WASHAgencies]]+WWWW[[#This Row],['#_Non Cluster partner latrines]])&lt;0,0,WWWW[[#This Row],[Total required Latrines]]-(WWWW[[#This Row],['#_Constructed latrines_by_WASHAgencies]]+WWWW[[#This Row],['#_Non Cluster partner latrines]]))</f>
        <v>593</v>
      </c>
      <c r="CS333" s="78">
        <f>1-WWWW[[#This Row],[% people access to functioning Latrine]]</f>
        <v>1</v>
      </c>
      <c r="CT333" s="596">
        <f>IF(OR(WWWW[[#This Row],['#_Non-functional latrines]]="",WWWW[[#This Row],['#_Non-functional latrines]]=0),0,WWWW[[#This Row],['#_Non-functional latrines]]/(WWWW[[#This Row],['#_Constructed latrines_by_WASHAgencies]]+WWWW[[#This Row],['#_Non Cluster partner latrines]]))</f>
        <v>0</v>
      </c>
      <c r="CU333" s="585">
        <f>IF(500*(WWWW[[#This Row],['#_male hygiene promoters]]+WWWW[[#This Row],['#_female hygiene promoters]])&gt;WWWW[[#This Row],[Total PoP ]],WWWW[[#This Row],[Total PoP ]],500*(WWWW[[#This Row],['#_male hygiene promoters]]+WWWW[[#This Row],['#_female hygiene promoters]]))</f>
        <v>0</v>
      </c>
      <c r="CV333"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3"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3" s="595">
        <f>IF(WWWW[[#This Row],['# People with access to soap]]&gt;WWWW[[#This Row],['# People with access to Sanity Pads]],WWWW[[#This Row],['# People with access to soap]],WWWW[[#This Row],['# People with access to Sanity Pads]])</f>
        <v>0</v>
      </c>
      <c r="CY333"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3" s="597">
        <f>IF(WWWW[[#This Row],[HRP3]]/WWWW[[#This Row],[Total PoP ]]&gt;100%,100%,WWWW[[#This Row],[HRP3]]/WWWW[[#This Row],[Total PoP ]])</f>
        <v>0</v>
      </c>
      <c r="DA333" s="596">
        <f>1-WWWW[[#This Row],[Hygiene Coverage%]]</f>
        <v>1</v>
      </c>
      <c r="DB333" s="594">
        <f>WWWW[[#This Row],['# people reached by regular dedicated hygiene promotion_5]]/WWWW[[#This Row],[Total PoP ]]</f>
        <v>0</v>
      </c>
      <c r="DC333" s="594">
        <f>IF(WWWW[[#This Row],['#_households that received standard amount of soap for this quarter]]/WWWW[[#This Row],[Total HH]]&gt;1,1,WWWW[[#This Row],['#_households that received standard amount of soap for this quarter]]/WWWW[[#This Row],[Total HH]])</f>
        <v>0</v>
      </c>
      <c r="DD333" s="594">
        <f>IF(WWWW[[#This Row],['#_households that received standard amount of sanitary pads for this quarter]]/WWWW[[#This Row],[Total HH]]&gt;1,1,WWWW[[#This Row],['#_households that received standard amount of sanitary pads for this quarter]]/WWWW[[#This Row],[Total HH]])</f>
        <v>0</v>
      </c>
      <c r="DE333" s="595">
        <f>WWWW[[#This Row],['#_Constructed/Existing hand washing stations]]-WWWW[[#This Row],['#_Non-Functional_hand_washing_stations]]</f>
        <v>0</v>
      </c>
      <c r="DF333" s="757">
        <f>IF(WWWW[[#This Row],['# Functional hand washing stations during reporting period]]*20&gt;WWWW[[#This Row],[Total HH]],WWWW[[#This Row],[Total HH]],WWWW[[#This Row],['# Functional hand washing stations during reporting period]]*20)</f>
        <v>0</v>
      </c>
      <c r="DG333" s="585">
        <f>IF(WWWW[[#This Row],[Is sufficient soap available for TLS? (Yes/No)]]="yes",WWWW[[#This Row],['#_Constructed/Existing hand washing stations at TLS]],0)</f>
        <v>0</v>
      </c>
      <c r="DH333" s="585">
        <f>IF(WWWW[[#This Row],['# Functional hand washing stations during reporting period]]*100&gt;WWWW[[#This Row],[Total PoP ]],WWWW[[#This Row],[Total PoP ]],WWWW[[#This Row],['# Functional hand washing stations during reporting period]]*100)</f>
        <v>0</v>
      </c>
      <c r="DI333" s="585" t="str">
        <f>IF(OR(WWWW[[#This Row],['#_students at TLS_CFS]]="",WWWW[[#This Row],['#_students at TLS_CFS]]=0),"No","Yes")</f>
        <v>No</v>
      </c>
      <c r="DJ333" s="592">
        <f>VLOOKUP(WWWW[[#This Row],[Site Name]],SiteDB6[[Site Name]:[CCCM Management]],6,FALSE)</f>
        <v>0</v>
      </c>
      <c r="DK333" s="592">
        <f>VLOOKUP(WWWW[[#This Row],[Site Name]],SiteDB6[[Site Name]:[CCCM Focal Agency]],7,FALSE)</f>
        <v>0</v>
      </c>
      <c r="DL333" s="592" t="str">
        <f>VLOOKUP(WWWW[[#This Row],[Site Name]],SiteDB6[[Site Name]:[Location Type 1]],9,FALSE)</f>
        <v>Village</v>
      </c>
      <c r="DM333" s="592" t="str">
        <f>VLOOKUP(WWWW[[#This Row],[Site Name]],SiteDB6[[Site Name]:[Type of Accommodation]],10,FALSE)</f>
        <v>Village</v>
      </c>
      <c r="DN333" s="592" t="str">
        <f>VLOOKUP(WWWW[[#This Row],[Site Name]],SiteDB6[[Site Name]:[Ethnic or GCA/NGCA]],11,FALSE)</f>
        <v>Muslim</v>
      </c>
      <c r="DO333" s="592">
        <f>VLOOKUP(WWWW[[#This Row],[Site Name]],SiteDB6[[Site Name]:[Lat]],12,FALSE)</f>
        <v>20.147863431600001</v>
      </c>
      <c r="DP333" s="592">
        <f>VLOOKUP(WWWW[[#This Row],[Site Name]],SiteDB6[[Site Name]:[Long]],13,FALSE)</f>
        <v>92.846768572000002</v>
      </c>
      <c r="DQ333" s="592">
        <f>VLOOKUP(WWWW[[#This Row],[Site Name]],SiteDB6[[Site Name]:[Pcode]],3,FALSE)</f>
        <v>196209</v>
      </c>
      <c r="DR333" s="586" t="str">
        <f t="shared" si="11"/>
        <v>Covered</v>
      </c>
      <c r="DS333" s="586"/>
      <c r="DV333" s="572"/>
    </row>
    <row r="334" spans="1:126">
      <c r="A334" s="552" t="s">
        <v>2518</v>
      </c>
      <c r="B334" s="552" t="s">
        <v>332</v>
      </c>
      <c r="C334" s="555" t="s">
        <v>332</v>
      </c>
      <c r="D334" s="555" t="s">
        <v>345</v>
      </c>
      <c r="E334" s="574" t="s">
        <v>3006</v>
      </c>
      <c r="F334" s="555" t="s">
        <v>313</v>
      </c>
      <c r="G334" s="574" t="str">
        <f>VLOOKUP(WWWW[[#This Row],[Site Name]],SiteDB6[[Site Name]:[Location Type]],8,FALSE)</f>
        <v>Village</v>
      </c>
      <c r="H334" s="555" t="s">
        <v>2311</v>
      </c>
      <c r="I334" s="557">
        <v>452</v>
      </c>
      <c r="J334" s="557">
        <v>1901</v>
      </c>
      <c r="K334" s="564">
        <v>42736</v>
      </c>
      <c r="L334" s="565">
        <v>44551</v>
      </c>
      <c r="M334" s="557"/>
      <c r="N334" s="557"/>
      <c r="O334" s="557"/>
      <c r="P334" s="557"/>
      <c r="Q334" s="556"/>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63"/>
      <c r="AP334" s="557"/>
      <c r="AQ334" s="557"/>
      <c r="AR334" s="559"/>
      <c r="AS334" s="557"/>
      <c r="AT334" s="557"/>
      <c r="AU334" s="557"/>
      <c r="AV334" s="557"/>
      <c r="AW334" s="557"/>
      <c r="AX334" s="554"/>
      <c r="AY334" s="563"/>
      <c r="AZ334" s="557"/>
      <c r="BA334" s="557"/>
      <c r="BB334" s="557"/>
      <c r="BC334" s="554"/>
      <c r="BD334" s="557"/>
      <c r="BE334" s="557"/>
      <c r="BF334" s="557"/>
      <c r="BG334" s="557"/>
      <c r="BH334" s="557"/>
      <c r="BI334" s="557"/>
      <c r="BJ334" s="557"/>
      <c r="BK334" s="557"/>
      <c r="BL334" s="557"/>
      <c r="BM334" s="554"/>
      <c r="BN334" s="558"/>
      <c r="BO334" s="559"/>
      <c r="BP334" s="554"/>
      <c r="BQ334" s="560" t="str">
        <f>IFERROR(WWWW[[#This Row],['#_Water sources treated]]/WWWW[[#This Row],['#_Water sources tested for contamination]],"no test")</f>
        <v>no test</v>
      </c>
      <c r="BR334" s="559" t="str">
        <f>IFERROR(WWWW[[#This Row],['#_Household received remediation action due to contamination]]/WWWW[[#This Row],['#_Household water samples tested for contamination]],"no test")</f>
        <v>no test</v>
      </c>
      <c r="BS334" s="558" t="str">
        <f>IF(AND(WWWW[[#This Row],[% of water sources treated]]="no test",WWWW[[#This Row],[% Household received corrective actions]]="no test"),"No Test","Tested")</f>
        <v>No Test</v>
      </c>
      <c r="BT334" s="558">
        <f>WWWW[[#This Row],['#_Constructed/existing protected hand dug well]]-WWWW[[#This Row],['#_Non-functional protected hand dug well]]</f>
        <v>0</v>
      </c>
      <c r="BU334" s="558">
        <f>(WWWW[[#This Row],['#_Constructed/Existing tube wells/boreholes/handpumps_WASH_agency]]+WWWW[[#This Row],['#_Non-Cluster partner water tube-wells/boreholes/handpumps]])-WWWW[[#This Row],['#_Non-functional tube wells/boreholes/handpumps]]</f>
        <v>0</v>
      </c>
      <c r="BV334" s="558">
        <f>WWWW[[#This Row],['#_Constructed/Existingwater storage tank with gravity fed reticulation system]]-WWWW[[#This Row],['#_Non-functional storage tank gravity fed reticulation system]]</f>
        <v>0</v>
      </c>
      <c r="BW334" s="558">
        <f>WWWW[[#This Row],['#_Water boating or water trucking]]</f>
        <v>0</v>
      </c>
      <c r="BX334" s="558">
        <f>WWWW[[#This Row],['#_Constructed/Existing water distribution system from river or natural spring]]</f>
        <v>0</v>
      </c>
      <c r="BY33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4" s="559">
        <f>IF(WWWW[[#This Row],[Location Type 1]]="Village",WWWW[[#This Row],[Access to safe drinking water for Village]],WWWW[[#This Row],[Access to safe drinking water for Camp]])</f>
        <v>0</v>
      </c>
      <c r="CB334" s="556">
        <f>WWWW[[#This Row],[%Equitable and continuous access to sufficient quantity of safe drinking water]]*WWWW[[#This Row],[Total PoP ]]</f>
        <v>0</v>
      </c>
      <c r="CC334" s="559">
        <f>IF((WWWW[[#This Row],['#_Constructed/Existing protected/fenced ponds]]*250)/WWWW[[#This Row],[Total PoP ]]&gt;1,1,(WWWW[[#This Row],['#_Constructed/Existing protected/fenced ponds]]*250)/WWWW[[#This Row],[Total PoP ]])</f>
        <v>0</v>
      </c>
      <c r="CD334" s="556">
        <f>WWWW[[#This Row],[% Access to unimproved water points]]*WWWW[[#This Row],[Total PoP ]]</f>
        <v>0</v>
      </c>
      <c r="CE33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4" s="556">
        <f>WWWW[[#This Row],[HRP1]]/500</f>
        <v>0</v>
      </c>
      <c r="CH334" s="561">
        <f>1-WWWW[[#This Row],[% Equitable and continuous access to sufficient quantity of domestic water]]</f>
        <v>1</v>
      </c>
      <c r="CI334" s="556">
        <f>WWWW[[#This Row],[%equitable and continuous access to sufficient quantity of safe drinking and domestic water''s GAP]]*WWWW[[#This Row],[Total PoP ]]</f>
        <v>1901</v>
      </c>
      <c r="CJ334" s="558">
        <f>IF(WWWW[[#This Row],[Total required water points]]-WWWW[[#This Row],['#Water points coverage]]&lt;0,0,WWWW[[#This Row],[Total required water points]]-WWWW[[#This Row],['#Water points coverage]])</f>
        <v>4</v>
      </c>
      <c r="CK334" s="558">
        <f>ROUND(IF(WWWW[[#This Row],[Total PoP ]]&lt;500,1,WWWW[[#This Row],[Total PoP ]]/500),0)</f>
        <v>4</v>
      </c>
      <c r="CL334" s="558">
        <f>(WWWW[[#This Row],['#_Constructed latrines_by_WASHAgencies]]+WWWW[[#This Row],['#_Non Cluster partner latrines]])-WWWW[[#This Row],['#_Non-functional latrines]]</f>
        <v>0</v>
      </c>
      <c r="CM33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4" s="558" t="str">
        <f>IF(WWWW[[#This Row],[Location Type 1]]="Village","NA",IF(WWWW[[#This Row],['#_Constructed/Existing latrines in TLS]]*50&gt;WWWW[[#This Row],['#_students at TLS_CFS]],WWWW[[#This Row],['#_students at TLS_CFS]],(WWWW[[#This Row],['#_Constructed/Existing latrines in TLS]]*50)))</f>
        <v>NA</v>
      </c>
      <c r="CQ334" s="558">
        <f>ROUND(IF(WWWW[[#This Row],[Location Type 1]]="camp",WWWW[[#This Row],[Total PoP ]]/20,IF(WWWW[[#This Row],[Location Type 1]]="Temporary Location",WWWW[[#This Row],[Total PoP ]]/50,(WWWW[[#This Row],[Total PoP ]]/6))),0)</f>
        <v>317</v>
      </c>
      <c r="CR334" s="558">
        <f>IF(WWWW[[#This Row],[Total required Latrines]]-(WWWW[[#This Row],['#_Constructed latrines_by_WASHAgencies]]+WWWW[[#This Row],['#_Non Cluster partner latrines]])&lt;0,0,WWWW[[#This Row],[Total required Latrines]]-(WWWW[[#This Row],['#_Constructed latrines_by_WASHAgencies]]+WWWW[[#This Row],['#_Non Cluster partner latrines]]))</f>
        <v>317</v>
      </c>
      <c r="CS334" s="78">
        <f>1-WWWW[[#This Row],[% people access to functioning Latrine]]</f>
        <v>1</v>
      </c>
      <c r="CT334" s="560">
        <f>IF(OR(WWWW[[#This Row],['#_Non-functional latrines]]="",WWWW[[#This Row],['#_Non-functional latrines]]=0),0,WWWW[[#This Row],['#_Non-functional latrines]]/(WWWW[[#This Row],['#_Constructed latrines_by_WASHAgencies]]+WWWW[[#This Row],['#_Non Cluster partner latrines]]))</f>
        <v>0</v>
      </c>
      <c r="CU334" s="556">
        <f>IF(500*(WWWW[[#This Row],['#_male hygiene promoters]]+WWWW[[#This Row],['#_female hygiene promoters]])&gt;WWWW[[#This Row],[Total PoP ]],WWWW[[#This Row],[Total PoP ]],500*(WWWW[[#This Row],['#_male hygiene promoters]]+WWWW[[#This Row],['#_female hygiene promoters]]))</f>
        <v>0</v>
      </c>
      <c r="CV33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4" s="558">
        <f>IF(WWWW[[#This Row],['# People with access to soap]]&gt;WWWW[[#This Row],['# People with access to Sanity Pads]],WWWW[[#This Row],['# People with access to soap]],WWWW[[#This Row],['# People with access to Sanity Pads]])</f>
        <v>0</v>
      </c>
      <c r="CY33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4" s="561">
        <f>IF(WWWW[[#This Row],[HRP3]]/WWWW[[#This Row],[Total PoP ]]&gt;100%,100%,WWWW[[#This Row],[HRP3]]/WWWW[[#This Row],[Total PoP ]])</f>
        <v>0</v>
      </c>
      <c r="DA334" s="560">
        <f>1-WWWW[[#This Row],[Hygiene Coverage%]]</f>
        <v>1</v>
      </c>
      <c r="DB334" s="559">
        <f>WWWW[[#This Row],['# people reached by regular dedicated hygiene promotion_5]]/WWWW[[#This Row],[Total PoP ]]</f>
        <v>0</v>
      </c>
      <c r="DC334" s="559">
        <f>IF(WWWW[[#This Row],['#_households that received standard amount of soap for this quarter]]/WWWW[[#This Row],[Total HH]]&gt;1,1,WWWW[[#This Row],['#_households that received standard amount of soap for this quarter]]/WWWW[[#This Row],[Total HH]])</f>
        <v>0</v>
      </c>
      <c r="DD334" s="559">
        <f>IF(WWWW[[#This Row],['#_households that received standard amount of sanitary pads for this quarter]]/WWWW[[#This Row],[Total HH]]&gt;1,1,WWWW[[#This Row],['#_households that received standard amount of sanitary pads for this quarter]]/WWWW[[#This Row],[Total HH]])</f>
        <v>0</v>
      </c>
      <c r="DE334" s="558">
        <f>WWWW[[#This Row],['#_Constructed/Existing hand washing stations]]-WWWW[[#This Row],['#_Non-Functional_hand_washing_stations]]</f>
        <v>0</v>
      </c>
      <c r="DF334" s="757">
        <f>IF(WWWW[[#This Row],['# Functional hand washing stations during reporting period]]*20&gt;WWWW[[#This Row],[Total HH]],WWWW[[#This Row],[Total HH]],WWWW[[#This Row],['# Functional hand washing stations during reporting period]]*20)</f>
        <v>0</v>
      </c>
      <c r="DG334" s="556">
        <f>IF(WWWW[[#This Row],[Is sufficient soap available for TLS? (Yes/No)]]="yes",WWWW[[#This Row],['#_Constructed/Existing hand washing stations at TLS]],0)</f>
        <v>0</v>
      </c>
      <c r="DH334" s="556">
        <f>IF(WWWW[[#This Row],['# Functional hand washing stations during reporting period]]*100&gt;WWWW[[#This Row],[Total PoP ]],WWWW[[#This Row],[Total PoP ]],WWWW[[#This Row],['# Functional hand washing stations during reporting period]]*100)</f>
        <v>0</v>
      </c>
      <c r="DI334" s="556" t="str">
        <f>IF(OR(WWWW[[#This Row],['#_students at TLS_CFS]]="",WWWW[[#This Row],['#_students at TLS_CFS]]=0),"No","Yes")</f>
        <v>No</v>
      </c>
      <c r="DJ334" s="554">
        <f>VLOOKUP(WWWW[[#This Row],[Site Name]],SiteDB6[[Site Name]:[CCCM Management]],6,FALSE)</f>
        <v>0</v>
      </c>
      <c r="DK334" s="554">
        <f>VLOOKUP(WWWW[[#This Row],[Site Name]],SiteDB6[[Site Name]:[CCCM Focal Agency]],7,FALSE)</f>
        <v>0</v>
      </c>
      <c r="DL334" s="554" t="str">
        <f>VLOOKUP(WWWW[[#This Row],[Site Name]],SiteDB6[[Site Name]:[Location Type 1]],9,FALSE)</f>
        <v>Village</v>
      </c>
      <c r="DM334" s="554" t="str">
        <f>VLOOKUP(WWWW[[#This Row],[Site Name]],SiteDB6[[Site Name]:[Type of Accommodation]],10,FALSE)</f>
        <v>Village</v>
      </c>
      <c r="DN334" s="554">
        <f>VLOOKUP(WWWW[[#This Row],[Site Name]],SiteDB6[[Site Name]:[Ethnic or GCA/NGCA]],11,FALSE)</f>
        <v>0</v>
      </c>
      <c r="DO334" s="554">
        <f>VLOOKUP(WWWW[[#This Row],[Site Name]],SiteDB6[[Site Name]:[Lat]],12,FALSE)</f>
        <v>20.760820389999999</v>
      </c>
      <c r="DP334" s="554">
        <f>VLOOKUP(WWWW[[#This Row],[Site Name]],SiteDB6[[Site Name]:[Long]],13,FALSE)</f>
        <v>92.960083010000005</v>
      </c>
      <c r="DQ334" s="554">
        <f>VLOOKUP(WWWW[[#This Row],[Site Name]],SiteDB6[[Site Name]:[Pcode]],3,FALSE)</f>
        <v>196893</v>
      </c>
      <c r="DR334" s="563" t="str">
        <f t="shared" si="11"/>
        <v>Covered</v>
      </c>
      <c r="DS334" s="563"/>
    </row>
    <row r="335" spans="1:126">
      <c r="A335" s="552" t="s">
        <v>2518</v>
      </c>
      <c r="B335" s="555" t="s">
        <v>2924</v>
      </c>
      <c r="C335" s="555" t="s">
        <v>2924</v>
      </c>
      <c r="D335" s="555" t="s">
        <v>2083</v>
      </c>
      <c r="E335" s="574" t="s">
        <v>3006</v>
      </c>
      <c r="F335" s="555" t="s">
        <v>313</v>
      </c>
      <c r="G335" s="574" t="str">
        <f>VLOOKUP(WWWW[[#This Row],[Site Name]],SiteDB6[[Site Name]:[Location Type]],8,FALSE)</f>
        <v>Camp</v>
      </c>
      <c r="H335" s="555" t="s">
        <v>444</v>
      </c>
      <c r="I335" s="557">
        <v>1013</v>
      </c>
      <c r="J335" s="557">
        <v>5950</v>
      </c>
      <c r="K335" s="564"/>
      <c r="L335" s="565" t="s">
        <v>2084</v>
      </c>
      <c r="M335" s="557"/>
      <c r="N335" s="557"/>
      <c r="O335" s="557"/>
      <c r="P335" s="557" t="s">
        <v>2934</v>
      </c>
      <c r="Q335" s="556"/>
      <c r="R335" s="557"/>
      <c r="S335" s="557"/>
      <c r="T335" s="557"/>
      <c r="U335" s="557"/>
      <c r="V335" s="557"/>
      <c r="W335" s="557">
        <v>93</v>
      </c>
      <c r="X335" s="557"/>
      <c r="Y335" s="557">
        <v>32</v>
      </c>
      <c r="Z335" s="557">
        <v>44</v>
      </c>
      <c r="AA335" s="557"/>
      <c r="AB335" s="557"/>
      <c r="AC335" s="557"/>
      <c r="AD335" s="557"/>
      <c r="AE335" s="557"/>
      <c r="AF335" s="557"/>
      <c r="AG335" s="557"/>
      <c r="AH335" s="557">
        <v>93</v>
      </c>
      <c r="AI335" s="557">
        <v>66</v>
      </c>
      <c r="AJ335" s="557"/>
      <c r="AK335" s="557">
        <v>67</v>
      </c>
      <c r="AL335" s="557"/>
      <c r="AM335" s="557"/>
      <c r="AN335" s="557"/>
      <c r="AO335" s="563"/>
      <c r="AP335" s="557">
        <v>360</v>
      </c>
      <c r="AQ335" s="557"/>
      <c r="AR335" s="559"/>
      <c r="AS335" s="557">
        <v>163</v>
      </c>
      <c r="AT335" s="557">
        <v>35</v>
      </c>
      <c r="AU335" s="557">
        <v>125</v>
      </c>
      <c r="AV335" s="557"/>
      <c r="AW335" s="557">
        <v>360</v>
      </c>
      <c r="AX335" s="554" t="s">
        <v>43</v>
      </c>
      <c r="AY335" s="563" t="s">
        <v>145</v>
      </c>
      <c r="AZ335" s="557"/>
      <c r="BA335" s="557"/>
      <c r="BB335" s="557"/>
      <c r="BC335" s="554"/>
      <c r="BD335" s="557"/>
      <c r="BE335" s="557"/>
      <c r="BF335" s="557"/>
      <c r="BG335" s="557"/>
      <c r="BH335" s="557"/>
      <c r="BI335" s="557">
        <v>12</v>
      </c>
      <c r="BJ335" s="557"/>
      <c r="BK335" s="557">
        <v>1013</v>
      </c>
      <c r="BL335" s="557">
        <v>1013</v>
      </c>
      <c r="BM335" s="554" t="s">
        <v>43</v>
      </c>
      <c r="BN335" s="558">
        <v>65</v>
      </c>
      <c r="BO335" s="559"/>
      <c r="BP335" s="554"/>
      <c r="BQ335" s="560">
        <f>IFERROR(WWWW[[#This Row],['#_Water sources treated]]/WWWW[[#This Row],['#_Water sources tested for contamination]],"no test")</f>
        <v>0</v>
      </c>
      <c r="BR335" s="559">
        <f>IFERROR(WWWW[[#This Row],['#_Household received remediation action due to contamination]]/WWWW[[#This Row],['#_Household water samples tested for contamination]],"no test")</f>
        <v>0</v>
      </c>
      <c r="BS335" s="558" t="str">
        <f>IF(AND(WWWW[[#This Row],[% of water sources treated]]="no test",WWWW[[#This Row],[% Household received corrective actions]]="no test"),"No Test","Tested")</f>
        <v>Tested</v>
      </c>
      <c r="BT335" s="558">
        <f>WWWW[[#This Row],['#_Constructed/existing protected hand dug well]]-WWWW[[#This Row],['#_Non-functional protected hand dug well]]</f>
        <v>0</v>
      </c>
      <c r="BU335" s="558">
        <f>(WWWW[[#This Row],['#_Constructed/Existing tube wells/boreholes/handpumps_WASH_agency]]+WWWW[[#This Row],['#_Non-Cluster partner water tube-wells/boreholes/handpumps]])-WWWW[[#This Row],['#_Non-functional tube wells/boreholes/handpumps]]</f>
        <v>61</v>
      </c>
      <c r="BV335" s="558">
        <f>WWWW[[#This Row],['#_Constructed/Existingwater storage tank with gravity fed reticulation system]]-WWWW[[#This Row],['#_Non-functional storage tank gravity fed reticulation system]]</f>
        <v>0</v>
      </c>
      <c r="BW335" s="558">
        <f>WWWW[[#This Row],['#_Water boating or water trucking]]</f>
        <v>0</v>
      </c>
      <c r="BX335" s="558">
        <f>WWWW[[#This Row],['#_Constructed/Existing water distribution system from river or natural spring]]</f>
        <v>0</v>
      </c>
      <c r="BY33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5" s="559">
        <f>IF(WWWW[[#This Row],[Location Type 1]]="Village",WWWW[[#This Row],[Access to safe drinking water for Village]],WWWW[[#This Row],[Access to safe drinking water for Camp]])</f>
        <v>1</v>
      </c>
      <c r="CB335" s="556">
        <f>WWWW[[#This Row],[%Equitable and continuous access to sufficient quantity of safe drinking water]]*WWWW[[#This Row],[Total PoP ]]</f>
        <v>5950</v>
      </c>
      <c r="CC335" s="559">
        <f>IF((WWWW[[#This Row],['#_Constructed/Existing protected/fenced ponds]]*250)/WWWW[[#This Row],[Total PoP ]]&gt;1,1,(WWWW[[#This Row],['#_Constructed/Existing protected/fenced ponds]]*250)/WWWW[[#This Row],[Total PoP ]])</f>
        <v>0</v>
      </c>
      <c r="CD335" s="556">
        <f>WWWW[[#This Row],[% Access to unimproved water points]]*WWWW[[#This Row],[Total PoP ]]</f>
        <v>0</v>
      </c>
      <c r="CE33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5950</v>
      </c>
      <c r="CG335" s="556">
        <f>WWWW[[#This Row],[HRP1]]/500</f>
        <v>11.9</v>
      </c>
      <c r="CH335" s="561">
        <f>1-WWWW[[#This Row],[% Equitable and continuous access to sufficient quantity of domestic water]]</f>
        <v>0</v>
      </c>
      <c r="CI335" s="556">
        <f>WWWW[[#This Row],[%equitable and continuous access to sufficient quantity of safe drinking and domestic water''s GAP]]*WWWW[[#This Row],[Total PoP ]]</f>
        <v>0</v>
      </c>
      <c r="CJ335" s="558">
        <f>IF(WWWW[[#This Row],[Total required water points]]-WWWW[[#This Row],['#Water points coverage]]&lt;0,0,WWWW[[#This Row],[Total required water points]]-WWWW[[#This Row],['#Water points coverage]])</f>
        <v>9.9999999999999645E-2</v>
      </c>
      <c r="CK335" s="558">
        <f>ROUND(IF(WWWW[[#This Row],[Total PoP ]]&lt;500,1,WWWW[[#This Row],[Total PoP ]]/500),0)</f>
        <v>12</v>
      </c>
      <c r="CL335" s="558">
        <f>(WWWW[[#This Row],['#_Constructed latrines_by_WASHAgencies]]+WWWW[[#This Row],['#_Non Cluster partner latrines]])-WWWW[[#This Row],['#_Non-functional latrines]]</f>
        <v>197</v>
      </c>
      <c r="CM33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0.66218487394957981</v>
      </c>
      <c r="CN33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3940</v>
      </c>
      <c r="CO335"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2500</v>
      </c>
      <c r="CP335" s="558">
        <f>IF(WWWW[[#This Row],[Location Type 1]]="Village","NA",IF(WWWW[[#This Row],['#_Constructed/Existing latrines in TLS]]*50&gt;WWWW[[#This Row],['#_students at TLS_CFS]],WWWW[[#This Row],['#_students at TLS_CFS]],(WWWW[[#This Row],['#_Constructed/Existing latrines in TLS]]*50)))</f>
        <v>0</v>
      </c>
      <c r="CQ335" s="558">
        <f>ROUND(IF(WWWW[[#This Row],[Location Type 1]]="camp",WWWW[[#This Row],[Total PoP ]]/20,IF(WWWW[[#This Row],[Location Type 1]]="Temporary Location",WWWW[[#This Row],[Total PoP ]]/50,(WWWW[[#This Row],[Total PoP ]]/6))),0)</f>
        <v>298</v>
      </c>
      <c r="CR335" s="558">
        <f>IF(WWWW[[#This Row],[Total required Latrines]]-(WWWW[[#This Row],['#_Constructed latrines_by_WASHAgencies]]+WWWW[[#This Row],['#_Non Cluster partner latrines]])&lt;0,0,WWWW[[#This Row],[Total required Latrines]]-(WWWW[[#This Row],['#_Constructed latrines_by_WASHAgencies]]+WWWW[[#This Row],['#_Non Cluster partner latrines]]))</f>
        <v>0</v>
      </c>
      <c r="CS335" s="78">
        <f>1-WWWW[[#This Row],[% people access to functioning Latrine]]</f>
        <v>0.33781512605042019</v>
      </c>
      <c r="CT335" s="560">
        <f>IF(OR(WWWW[[#This Row],['#_Non-functional latrines]]="",WWWW[[#This Row],['#_Non-functional latrines]]=0),0,WWWW[[#This Row],['#_Non-functional latrines]]/(WWWW[[#This Row],['#_Constructed latrines_by_WASHAgencies]]+WWWW[[#This Row],['#_Non Cluster partner latrines]]))</f>
        <v>0.45277777777777778</v>
      </c>
      <c r="CU335" s="556">
        <f>IF(500*(WWWW[[#This Row],['#_male hygiene promoters]]+WWWW[[#This Row],['#_female hygiene promoters]])&gt;WWWW[[#This Row],[Total PoP ]],WWWW[[#This Row],[Total PoP ]],500*(WWWW[[#This Row],['#_male hygiene promoters]]+WWWW[[#This Row],['#_female hygiene promoters]]))</f>
        <v>5950</v>
      </c>
      <c r="CV33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5950</v>
      </c>
      <c r="CW33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5950</v>
      </c>
      <c r="CX335" s="558">
        <f>IF(WWWW[[#This Row],['# People with access to soap]]&gt;WWWW[[#This Row],['# People with access to Sanity Pads]],WWWW[[#This Row],['# People with access to soap]],WWWW[[#This Row],['# People with access to Sanity Pads]])</f>
        <v>5950</v>
      </c>
      <c r="CY335" s="558">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Z335" s="561">
        <f>IF(WWWW[[#This Row],[HRP3]]/WWWW[[#This Row],[Total PoP ]]&gt;100%,100%,WWWW[[#This Row],[HRP3]]/WWWW[[#This Row],[Total PoP ]])</f>
        <v>1</v>
      </c>
      <c r="DA335" s="560">
        <f>1-WWWW[[#This Row],[Hygiene Coverage%]]</f>
        <v>0</v>
      </c>
      <c r="DB335" s="559">
        <f>WWWW[[#This Row],['# people reached by regular dedicated hygiene promotion_5]]/WWWW[[#This Row],[Total PoP ]]</f>
        <v>1</v>
      </c>
      <c r="DC335" s="559">
        <f>IF(WWWW[[#This Row],['#_households that received standard amount of soap for this quarter]]/WWWW[[#This Row],[Total HH]]&gt;1,1,WWWW[[#This Row],['#_households that received standard amount of soap for this quarter]]/WWWW[[#This Row],[Total HH]])</f>
        <v>1</v>
      </c>
      <c r="DD335" s="559">
        <f>IF(WWWW[[#This Row],['#_households that received standard amount of sanitary pads for this quarter]]/WWWW[[#This Row],[Total HH]]&gt;1,1,WWWW[[#This Row],['#_households that received standard amount of sanitary pads for this quarter]]/WWWW[[#This Row],[Total HH]])</f>
        <v>1</v>
      </c>
      <c r="DE335" s="558">
        <f>WWWW[[#This Row],['#_Constructed/Existing hand washing stations]]-WWWW[[#This Row],['#_Non-Functional_hand_washing_stations]]</f>
        <v>0</v>
      </c>
      <c r="DF335" s="757">
        <f>IF(WWWW[[#This Row],['# Functional hand washing stations during reporting period]]*20&gt;WWWW[[#This Row],[Total HH]],WWWW[[#This Row],[Total HH]],WWWW[[#This Row],['# Functional hand washing stations during reporting period]]*20)</f>
        <v>0</v>
      </c>
      <c r="DG335" s="556">
        <f>IF(WWWW[[#This Row],[Is sufficient soap available for TLS? (Yes/No)]]="yes",WWWW[[#This Row],['#_Constructed/Existing hand washing stations at TLS]],0)</f>
        <v>0</v>
      </c>
      <c r="DH335" s="556">
        <f>IF(WWWW[[#This Row],['# Functional hand washing stations during reporting period]]*100&gt;WWWW[[#This Row],[Total PoP ]],WWWW[[#This Row],[Total PoP ]],WWWW[[#This Row],['# Functional hand washing stations during reporting period]]*100)</f>
        <v>0</v>
      </c>
      <c r="DI335" s="556" t="str">
        <f>IF(OR(WWWW[[#This Row],['#_students at TLS_CFS]]="",WWWW[[#This Row],['#_students at TLS_CFS]]=0),"No","Yes")</f>
        <v>No</v>
      </c>
      <c r="DJ335" s="554" t="str">
        <f>VLOOKUP(WWWW[[#This Row],[Site Name]],SiteDB6[[Site Name]:[CCCM Management]],6,FALSE)</f>
        <v>Yes</v>
      </c>
      <c r="DK335" s="554">
        <f>VLOOKUP(WWWW[[#This Row],[Site Name]],SiteDB6[[Site Name]:[CCCM Focal Agency]],7,FALSE)</f>
        <v>0</v>
      </c>
      <c r="DL335" s="554" t="str">
        <f>VLOOKUP(WWWW[[#This Row],[Site Name]],SiteDB6[[Site Name]:[Location Type 1]],9,FALSE)</f>
        <v>Camp</v>
      </c>
      <c r="DM335" s="554" t="str">
        <f>VLOOKUP(WWWW[[#This Row],[Site Name]],SiteDB6[[Site Name]:[Type of Accommodation]],10,FALSE)</f>
        <v>Planned Camp</v>
      </c>
      <c r="DN335" s="554" t="str">
        <f>VLOOKUP(WWWW[[#This Row],[Site Name]],SiteDB6[[Site Name]:[Ethnic or GCA/NGCA]],11,FALSE)</f>
        <v>Muslim</v>
      </c>
      <c r="DO335" s="554">
        <f>VLOOKUP(WWWW[[#This Row],[Site Name]],SiteDB6[[Site Name]:[Lat]],12,FALSE)</f>
        <v>20.179939999999998</v>
      </c>
      <c r="DP335" s="554">
        <f>VLOOKUP(WWWW[[#This Row],[Site Name]],SiteDB6[[Site Name]:[Long]],13,FALSE)</f>
        <v>92.831879000000001</v>
      </c>
      <c r="DQ335" s="554" t="str">
        <f>VLOOKUP(WWWW[[#This Row],[Site Name]],SiteDB6[[Site Name]:[Pcode]],3,FALSE)</f>
        <v>MMR012CMP048</v>
      </c>
      <c r="DR335" s="563" t="str">
        <f t="shared" si="11"/>
        <v>Covered</v>
      </c>
      <c r="DS335" s="563"/>
    </row>
    <row r="336" spans="1:126">
      <c r="A336" s="552" t="s">
        <v>2518</v>
      </c>
      <c r="B336" s="552" t="s">
        <v>3000</v>
      </c>
      <c r="C336" s="555" t="s">
        <v>2368</v>
      </c>
      <c r="D336" s="555" t="s">
        <v>42</v>
      </c>
      <c r="E336" s="574" t="s">
        <v>3006</v>
      </c>
      <c r="F336" s="555" t="s">
        <v>313</v>
      </c>
      <c r="G336" s="574" t="str">
        <f>VLOOKUP(WWWW[[#This Row],[Site Name]],SiteDB6[[Site Name]:[Location Type]],8,FALSE)</f>
        <v>Camp</v>
      </c>
      <c r="H336" s="555" t="s">
        <v>446</v>
      </c>
      <c r="I336" s="557">
        <v>299</v>
      </c>
      <c r="J336" s="557">
        <v>1670</v>
      </c>
      <c r="K336" s="564"/>
      <c r="L336" s="565">
        <v>44104</v>
      </c>
      <c r="M336" s="557"/>
      <c r="N336" s="557"/>
      <c r="O336" s="557"/>
      <c r="P336" s="557" t="s">
        <v>2934</v>
      </c>
      <c r="Q336" s="556"/>
      <c r="R336" s="557"/>
      <c r="S336" s="557"/>
      <c r="T336" s="557"/>
      <c r="U336" s="557"/>
      <c r="V336" s="557"/>
      <c r="W336" s="557">
        <v>70</v>
      </c>
      <c r="X336" s="557"/>
      <c r="Y336" s="557"/>
      <c r="Z336" s="557" t="s">
        <v>2934</v>
      </c>
      <c r="AA336" s="557"/>
      <c r="AB336" s="557"/>
      <c r="AC336" s="557"/>
      <c r="AD336" s="557"/>
      <c r="AE336" s="557"/>
      <c r="AF336" s="557"/>
      <c r="AG336" s="557"/>
      <c r="AH336" s="557">
        <v>70</v>
      </c>
      <c r="AI336" s="557"/>
      <c r="AJ336" s="557"/>
      <c r="AK336" s="557"/>
      <c r="AL336" s="557"/>
      <c r="AM336" s="557"/>
      <c r="AN336" s="557"/>
      <c r="AO336" s="563"/>
      <c r="AP336" s="557"/>
      <c r="AQ336" s="557"/>
      <c r="AR336" s="559"/>
      <c r="AS336" s="557"/>
      <c r="AT336" s="557">
        <v>0</v>
      </c>
      <c r="AU336" s="557">
        <v>0</v>
      </c>
      <c r="AV336" s="557"/>
      <c r="AW336" s="557"/>
      <c r="AX336" s="554" t="s">
        <v>43</v>
      </c>
      <c r="AY336" s="563" t="s">
        <v>148</v>
      </c>
      <c r="AZ336" s="557"/>
      <c r="BA336" s="557"/>
      <c r="BB336" s="557"/>
      <c r="BC336" s="554"/>
      <c r="BD336" s="557"/>
      <c r="BE336" s="557"/>
      <c r="BF336" s="557"/>
      <c r="BG336" s="557"/>
      <c r="BH336" s="557"/>
      <c r="BI336" s="557">
        <v>3</v>
      </c>
      <c r="BJ336" s="557"/>
      <c r="BK336" s="557">
        <v>299</v>
      </c>
      <c r="BL336" s="557">
        <v>299</v>
      </c>
      <c r="BM336" s="554"/>
      <c r="BN336" s="558">
        <v>39</v>
      </c>
      <c r="BO336" s="559"/>
      <c r="BP336" s="554"/>
      <c r="BQ336" s="560" t="str">
        <f>IFERROR(WWWW[[#This Row],['#_Water sources treated]]/WWWW[[#This Row],['#_Water sources tested for contamination]],"no test")</f>
        <v>no test</v>
      </c>
      <c r="BR336" s="559" t="str">
        <f>IFERROR(WWWW[[#This Row],['#_Household received remediation action due to contamination]]/WWWW[[#This Row],['#_Household water samples tested for contamination]],"no test")</f>
        <v>no test</v>
      </c>
      <c r="BS336" s="558" t="str">
        <f>IF(AND(WWWW[[#This Row],[% of water sources treated]]="no test",WWWW[[#This Row],[% Household received corrective actions]]="no test"),"No Test","Tested")</f>
        <v>No Test</v>
      </c>
      <c r="BT336" s="558">
        <f>WWWW[[#This Row],['#_Constructed/existing protected hand dug well]]-WWWW[[#This Row],['#_Non-functional protected hand dug well]]</f>
        <v>0</v>
      </c>
      <c r="BU336" s="558">
        <f>(WWWW[[#This Row],['#_Constructed/Existing tube wells/boreholes/handpumps_WASH_agency]]+WWWW[[#This Row],['#_Non-Cluster partner water tube-wells/boreholes/handpumps]])-WWWW[[#This Row],['#_Non-functional tube wells/boreholes/handpumps]]</f>
        <v>70</v>
      </c>
      <c r="BV336" s="558">
        <f>WWWW[[#This Row],['#_Constructed/Existingwater storage tank with gravity fed reticulation system]]-WWWW[[#This Row],['#_Non-functional storage tank gravity fed reticulation system]]</f>
        <v>0</v>
      </c>
      <c r="BW336" s="558">
        <f>WWWW[[#This Row],['#_Water boating or water trucking]]</f>
        <v>0</v>
      </c>
      <c r="BX336" s="558">
        <f>WWWW[[#This Row],['#_Constructed/Existing water distribution system from river or natural spring]]</f>
        <v>0</v>
      </c>
      <c r="BY33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6" s="559">
        <f>IF(WWWW[[#This Row],[Location Type 1]]="Village",WWWW[[#This Row],[Access to safe drinking water for Village]],WWWW[[#This Row],[Access to safe drinking water for Camp]])</f>
        <v>1</v>
      </c>
      <c r="CB336" s="556">
        <f>WWWW[[#This Row],[%Equitable and continuous access to sufficient quantity of safe drinking water]]*WWWW[[#This Row],[Total PoP ]]</f>
        <v>1670</v>
      </c>
      <c r="CC336" s="559">
        <f>IF((WWWW[[#This Row],['#_Constructed/Existing protected/fenced ponds]]*250)/WWWW[[#This Row],[Total PoP ]]&gt;1,1,(WWWW[[#This Row],['#_Constructed/Existing protected/fenced ponds]]*250)/WWWW[[#This Row],[Total PoP ]])</f>
        <v>0</v>
      </c>
      <c r="CD336" s="556">
        <f>WWWW[[#This Row],[% Access to unimproved water points]]*WWWW[[#This Row],[Total PoP ]]</f>
        <v>0</v>
      </c>
      <c r="CE33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1670</v>
      </c>
      <c r="CG336" s="556">
        <f>WWWW[[#This Row],[HRP1]]/500</f>
        <v>3.34</v>
      </c>
      <c r="CH336" s="561">
        <f>1-WWWW[[#This Row],[% Equitable and continuous access to sufficient quantity of domestic water]]</f>
        <v>0</v>
      </c>
      <c r="CI336" s="556">
        <f>WWWW[[#This Row],[%equitable and continuous access to sufficient quantity of safe drinking and domestic water''s GAP]]*WWWW[[#This Row],[Total PoP ]]</f>
        <v>0</v>
      </c>
      <c r="CJ336" s="558">
        <f>IF(WWWW[[#This Row],[Total required water points]]-WWWW[[#This Row],['#Water points coverage]]&lt;0,0,WWWW[[#This Row],[Total required water points]]-WWWW[[#This Row],['#Water points coverage]])</f>
        <v>0</v>
      </c>
      <c r="CK336" s="558">
        <f>ROUND(IF(WWWW[[#This Row],[Total PoP ]]&lt;500,1,WWWW[[#This Row],[Total PoP ]]/500),0)</f>
        <v>3</v>
      </c>
      <c r="CL336" s="558">
        <f>(WWWW[[#This Row],['#_Constructed latrines_by_WASHAgencies]]+WWWW[[#This Row],['#_Non Cluster partner latrines]])-WWWW[[#This Row],['#_Non-functional latrines]]</f>
        <v>0</v>
      </c>
      <c r="CM33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6"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36" s="558">
        <f>IF(WWWW[[#This Row],[Location Type 1]]="Village","NA",IF(WWWW[[#This Row],['#_Constructed/Existing latrines in TLS]]*50&gt;WWWW[[#This Row],['#_students at TLS_CFS]],WWWW[[#This Row],['#_students at TLS_CFS]],(WWWW[[#This Row],['#_Constructed/Existing latrines in TLS]]*50)))</f>
        <v>0</v>
      </c>
      <c r="CQ336" s="558">
        <f>ROUND(IF(WWWW[[#This Row],[Location Type 1]]="camp",WWWW[[#This Row],[Total PoP ]]/20,IF(WWWW[[#This Row],[Location Type 1]]="Temporary Location",WWWW[[#This Row],[Total PoP ]]/50,(WWWW[[#This Row],[Total PoP ]]/6))),0)</f>
        <v>84</v>
      </c>
      <c r="CR336" s="558">
        <f>IF(WWWW[[#This Row],[Total required Latrines]]-(WWWW[[#This Row],['#_Constructed latrines_by_WASHAgencies]]+WWWW[[#This Row],['#_Non Cluster partner latrines]])&lt;0,0,WWWW[[#This Row],[Total required Latrines]]-(WWWW[[#This Row],['#_Constructed latrines_by_WASHAgencies]]+WWWW[[#This Row],['#_Non Cluster partner latrines]]))</f>
        <v>84</v>
      </c>
      <c r="CS336" s="78">
        <f>1-WWWW[[#This Row],[% people access to functioning Latrine]]</f>
        <v>1</v>
      </c>
      <c r="CT336" s="560">
        <f>IF(OR(WWWW[[#This Row],['#_Non-functional latrines]]="",WWWW[[#This Row],['#_Non-functional latrines]]=0),0,WWWW[[#This Row],['#_Non-functional latrines]]/(WWWW[[#This Row],['#_Constructed latrines_by_WASHAgencies]]+WWWW[[#This Row],['#_Non Cluster partner latrines]]))</f>
        <v>0</v>
      </c>
      <c r="CU336" s="556">
        <f>IF(500*(WWWW[[#This Row],['#_male hygiene promoters]]+WWWW[[#This Row],['#_female hygiene promoters]])&gt;WWWW[[#This Row],[Total PoP ]],WWWW[[#This Row],[Total PoP ]],500*(WWWW[[#This Row],['#_male hygiene promoters]]+WWWW[[#This Row],['#_female hygiene promoters]]))</f>
        <v>1500</v>
      </c>
      <c r="CV33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1670</v>
      </c>
      <c r="CW33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1670</v>
      </c>
      <c r="CX336" s="558">
        <f>IF(WWWW[[#This Row],['# People with access to soap]]&gt;WWWW[[#This Row],['# People with access to Sanity Pads]],WWWW[[#This Row],['# People with access to soap]],WWWW[[#This Row],['# People with access to Sanity Pads]])</f>
        <v>1670</v>
      </c>
      <c r="CY336" s="558">
        <f>IF(WWWW[[#This Row],['# people reached by regular dedicated hygiene promotion_5]]&gt;WWWW[[#This Row],['# People received regular supply of hygiene items_6]],WWWW[[#This Row],['# people reached by regular dedicated hygiene promotion_5]],WWWW[[#This Row],['# People received regular supply of hygiene items_6]])</f>
        <v>1670</v>
      </c>
      <c r="CZ336" s="561">
        <f>IF(WWWW[[#This Row],[HRP3]]/WWWW[[#This Row],[Total PoP ]]&gt;100%,100%,WWWW[[#This Row],[HRP3]]/WWWW[[#This Row],[Total PoP ]])</f>
        <v>1</v>
      </c>
      <c r="DA336" s="560">
        <f>1-WWWW[[#This Row],[Hygiene Coverage%]]</f>
        <v>0</v>
      </c>
      <c r="DB336" s="559">
        <f>WWWW[[#This Row],['# people reached by regular dedicated hygiene promotion_5]]/WWWW[[#This Row],[Total PoP ]]</f>
        <v>0.89820359281437123</v>
      </c>
      <c r="DC336" s="559">
        <f>IF(WWWW[[#This Row],['#_households that received standard amount of soap for this quarter]]/WWWW[[#This Row],[Total HH]]&gt;1,1,WWWW[[#This Row],['#_households that received standard amount of soap for this quarter]]/WWWW[[#This Row],[Total HH]])</f>
        <v>1</v>
      </c>
      <c r="DD336" s="559">
        <f>IF(WWWW[[#This Row],['#_households that received standard amount of sanitary pads for this quarter]]/WWWW[[#This Row],[Total HH]]&gt;1,1,WWWW[[#This Row],['#_households that received standard amount of sanitary pads for this quarter]]/WWWW[[#This Row],[Total HH]])</f>
        <v>1</v>
      </c>
      <c r="DE336" s="558">
        <f>WWWW[[#This Row],['#_Constructed/Existing hand washing stations]]-WWWW[[#This Row],['#_Non-Functional_hand_washing_stations]]</f>
        <v>0</v>
      </c>
      <c r="DF336" s="757">
        <f>IF(WWWW[[#This Row],['# Functional hand washing stations during reporting period]]*20&gt;WWWW[[#This Row],[Total HH]],WWWW[[#This Row],[Total HH]],WWWW[[#This Row],['# Functional hand washing stations during reporting period]]*20)</f>
        <v>0</v>
      </c>
      <c r="DG336" s="556">
        <f>IF(WWWW[[#This Row],[Is sufficient soap available for TLS? (Yes/No)]]="yes",WWWW[[#This Row],['#_Constructed/Existing hand washing stations at TLS]],0)</f>
        <v>0</v>
      </c>
      <c r="DH336" s="556">
        <f>IF(WWWW[[#This Row],['# Functional hand washing stations during reporting period]]*100&gt;WWWW[[#This Row],[Total PoP ]],WWWW[[#This Row],[Total PoP ]],WWWW[[#This Row],['# Functional hand washing stations during reporting period]]*100)</f>
        <v>0</v>
      </c>
      <c r="DI336" s="556" t="str">
        <f>IF(OR(WWWW[[#This Row],['#_students at TLS_CFS]]="",WWWW[[#This Row],['#_students at TLS_CFS]]=0),"No","Yes")</f>
        <v>No</v>
      </c>
      <c r="DJ336" s="554" t="str">
        <f>VLOOKUP(WWWW[[#This Row],[Site Name]],SiteDB6[[Site Name]:[CCCM Management]],6,FALSE)</f>
        <v>Yes</v>
      </c>
      <c r="DK336" s="554">
        <f>VLOOKUP(WWWW[[#This Row],[Site Name]],SiteDB6[[Site Name]:[CCCM Focal Agency]],7,FALSE)</f>
        <v>0</v>
      </c>
      <c r="DL336" s="554" t="str">
        <f>VLOOKUP(WWWW[[#This Row],[Site Name]],SiteDB6[[Site Name]:[Location Type 1]],9,FALSE)</f>
        <v>Camp</v>
      </c>
      <c r="DM336" s="554" t="str">
        <f>VLOOKUP(WWWW[[#This Row],[Site Name]],SiteDB6[[Site Name]:[Type of Accommodation]],10,FALSE)</f>
        <v>Host Families</v>
      </c>
      <c r="DN336" s="554" t="str">
        <f>VLOOKUP(WWWW[[#This Row],[Site Name]],SiteDB6[[Site Name]:[Ethnic or GCA/NGCA]],11,FALSE)</f>
        <v>Muslim</v>
      </c>
      <c r="DO336" s="554">
        <f>VLOOKUP(WWWW[[#This Row],[Site Name]],SiteDB6[[Site Name]:[Lat]],12,FALSE)</f>
        <v>20.181742</v>
      </c>
      <c r="DP336" s="554">
        <f>VLOOKUP(WWWW[[#This Row],[Site Name]],SiteDB6[[Site Name]:[Long]],13,FALSE)</f>
        <v>92.842230000000001</v>
      </c>
      <c r="DQ336" s="554" t="str">
        <f>VLOOKUP(WWWW[[#This Row],[Site Name]],SiteDB6[[Site Name]:[Pcode]],3,FALSE)</f>
        <v>MMR012CMP091</v>
      </c>
      <c r="DR336" s="563" t="str">
        <f t="shared" si="11"/>
        <v>Covered</v>
      </c>
      <c r="DS336" s="563"/>
    </row>
    <row r="337" spans="1:123">
      <c r="A337" s="552" t="s">
        <v>2518</v>
      </c>
      <c r="B337" s="552" t="s">
        <v>2368</v>
      </c>
      <c r="C337" s="555" t="s">
        <v>2368</v>
      </c>
      <c r="D337" s="555" t="s">
        <v>42</v>
      </c>
      <c r="E337" s="574" t="s">
        <v>3006</v>
      </c>
      <c r="F337" s="555" t="s">
        <v>313</v>
      </c>
      <c r="G337" s="574" t="str">
        <f>VLOOKUP(WWWW[[#This Row],[Site Name]],SiteDB6[[Site Name]:[Location Type]],8,FALSE)</f>
        <v>Village</v>
      </c>
      <c r="H337" s="555" t="s">
        <v>452</v>
      </c>
      <c r="I337" s="557">
        <v>17</v>
      </c>
      <c r="J337" s="557">
        <v>74</v>
      </c>
      <c r="K337" s="564"/>
      <c r="L337" s="565">
        <v>44104</v>
      </c>
      <c r="M337" s="557"/>
      <c r="N337" s="557"/>
      <c r="O337" s="557"/>
      <c r="P337" s="557" t="s">
        <v>2934</v>
      </c>
      <c r="Q337" s="556"/>
      <c r="R337" s="557"/>
      <c r="S337" s="557"/>
      <c r="T337" s="557"/>
      <c r="U337" s="557"/>
      <c r="V337" s="557"/>
      <c r="W337" s="557"/>
      <c r="X337" s="557"/>
      <c r="Y337" s="557"/>
      <c r="Z337" s="557" t="s">
        <v>2934</v>
      </c>
      <c r="AA337" s="557"/>
      <c r="AB337" s="557"/>
      <c r="AC337" s="557"/>
      <c r="AD337" s="557"/>
      <c r="AE337" s="557"/>
      <c r="AF337" s="557"/>
      <c r="AG337" s="557"/>
      <c r="AH337" s="557" t="s">
        <v>2934</v>
      </c>
      <c r="AI337" s="557"/>
      <c r="AJ337" s="557"/>
      <c r="AK337" s="557"/>
      <c r="AL337" s="557"/>
      <c r="AM337" s="557"/>
      <c r="AN337" s="557"/>
      <c r="AO337" s="563"/>
      <c r="AP337" s="557"/>
      <c r="AQ337" s="557"/>
      <c r="AR337" s="559"/>
      <c r="AS337" s="557"/>
      <c r="AT337" s="557">
        <v>0</v>
      </c>
      <c r="AU337" s="557">
        <v>0</v>
      </c>
      <c r="AV337" s="557"/>
      <c r="AW337" s="557"/>
      <c r="AX337" s="554" t="s">
        <v>43</v>
      </c>
      <c r="AY337" s="563" t="s">
        <v>148</v>
      </c>
      <c r="AZ337" s="557"/>
      <c r="BA337" s="557"/>
      <c r="BB337" s="557"/>
      <c r="BC337" s="554"/>
      <c r="BD337" s="557"/>
      <c r="BE337" s="557"/>
      <c r="BF337" s="557"/>
      <c r="BG337" s="557"/>
      <c r="BH337" s="557"/>
      <c r="BI337" s="557"/>
      <c r="BJ337" s="557"/>
      <c r="BK337" s="557">
        <v>0</v>
      </c>
      <c r="BL337" s="557">
        <v>0</v>
      </c>
      <c r="BM337" s="554"/>
      <c r="BN337" s="558"/>
      <c r="BO337" s="559"/>
      <c r="BP337" s="554"/>
      <c r="BQ337" s="560" t="str">
        <f>IFERROR(WWWW[[#This Row],['#_Water sources treated]]/WWWW[[#This Row],['#_Water sources tested for contamination]],"no test")</f>
        <v>no test</v>
      </c>
      <c r="BR337" s="559" t="str">
        <f>IFERROR(WWWW[[#This Row],['#_Household received remediation action due to contamination]]/WWWW[[#This Row],['#_Household water samples tested for contamination]],"no test")</f>
        <v>no test</v>
      </c>
      <c r="BS337" s="558" t="str">
        <f>IF(AND(WWWW[[#This Row],[% of water sources treated]]="no test",WWWW[[#This Row],[% Household received corrective actions]]="no test"),"No Test","Tested")</f>
        <v>No Test</v>
      </c>
      <c r="BT337" s="558">
        <f>WWWW[[#This Row],['#_Constructed/existing protected hand dug well]]-WWWW[[#This Row],['#_Non-functional protected hand dug well]]</f>
        <v>0</v>
      </c>
      <c r="BU337" s="558">
        <f>(WWWW[[#This Row],['#_Constructed/Existing tube wells/boreholes/handpumps_WASH_agency]]+WWWW[[#This Row],['#_Non-Cluster partner water tube-wells/boreholes/handpumps]])-WWWW[[#This Row],['#_Non-functional tube wells/boreholes/handpumps]]</f>
        <v>0</v>
      </c>
      <c r="BV337" s="558">
        <f>WWWW[[#This Row],['#_Constructed/Existingwater storage tank with gravity fed reticulation system]]-WWWW[[#This Row],['#_Non-functional storage tank gravity fed reticulation system]]</f>
        <v>0</v>
      </c>
      <c r="BW337" s="558">
        <f>WWWW[[#This Row],['#_Water boating or water trucking]]</f>
        <v>0</v>
      </c>
      <c r="BX337" s="558">
        <f>WWWW[[#This Row],['#_Constructed/Existing water distribution system from river or natural spring]]</f>
        <v>0</v>
      </c>
      <c r="BY33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7" s="559">
        <f>IF(WWWW[[#This Row],[Location Type 1]]="Village",WWWW[[#This Row],[Access to safe drinking water for Village]],WWWW[[#This Row],[Access to safe drinking water for Camp]])</f>
        <v>0</v>
      </c>
      <c r="CB337" s="556">
        <f>WWWW[[#This Row],[%Equitable and continuous access to sufficient quantity of safe drinking water]]*WWWW[[#This Row],[Total PoP ]]</f>
        <v>0</v>
      </c>
      <c r="CC337" s="559">
        <f>IF((WWWW[[#This Row],['#_Constructed/Existing protected/fenced ponds]]*250)/WWWW[[#This Row],[Total PoP ]]&gt;1,1,(WWWW[[#This Row],['#_Constructed/Existing protected/fenced ponds]]*250)/WWWW[[#This Row],[Total PoP ]])</f>
        <v>0</v>
      </c>
      <c r="CD337" s="556">
        <f>WWWW[[#This Row],[% Access to unimproved water points]]*WWWW[[#This Row],[Total PoP ]]</f>
        <v>0</v>
      </c>
      <c r="CE33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7" s="556">
        <f>WWWW[[#This Row],[HRP1]]/500</f>
        <v>0</v>
      </c>
      <c r="CH337" s="561">
        <f>1-WWWW[[#This Row],[% Equitable and continuous access to sufficient quantity of domestic water]]</f>
        <v>1</v>
      </c>
      <c r="CI337" s="556">
        <f>WWWW[[#This Row],[%equitable and continuous access to sufficient quantity of safe drinking and domestic water''s GAP]]*WWWW[[#This Row],[Total PoP ]]</f>
        <v>74</v>
      </c>
      <c r="CJ337" s="558">
        <f>IF(WWWW[[#This Row],[Total required water points]]-WWWW[[#This Row],['#Water points coverage]]&lt;0,0,WWWW[[#This Row],[Total required water points]]-WWWW[[#This Row],['#Water points coverage]])</f>
        <v>1</v>
      </c>
      <c r="CK337" s="558">
        <f>ROUND(IF(WWWW[[#This Row],[Total PoP ]]&lt;500,1,WWWW[[#This Row],[Total PoP ]]/500),0)</f>
        <v>1</v>
      </c>
      <c r="CL337" s="558">
        <f>(WWWW[[#This Row],['#_Constructed latrines_by_WASHAgencies]]+WWWW[[#This Row],['#_Non Cluster partner latrines]])-WWWW[[#This Row],['#_Non-functional latrines]]</f>
        <v>0</v>
      </c>
      <c r="CM33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7" s="558" t="str">
        <f>IF(WWWW[[#This Row],[Location Type 1]]="Village","NA",IF(WWWW[[#This Row],['#_Constructed/Existing latrines in TLS]]*50&gt;WWWW[[#This Row],['#_students at TLS_CFS]],WWWW[[#This Row],['#_students at TLS_CFS]],(WWWW[[#This Row],['#_Constructed/Existing latrines in TLS]]*50)))</f>
        <v>NA</v>
      </c>
      <c r="CQ337" s="558">
        <f>ROUND(IF(WWWW[[#This Row],[Location Type 1]]="camp",WWWW[[#This Row],[Total PoP ]]/20,IF(WWWW[[#This Row],[Location Type 1]]="Temporary Location",WWWW[[#This Row],[Total PoP ]]/50,(WWWW[[#This Row],[Total PoP ]]/6))),0)</f>
        <v>12</v>
      </c>
      <c r="CR337" s="558">
        <f>IF(WWWW[[#This Row],[Total required Latrines]]-(WWWW[[#This Row],['#_Constructed latrines_by_WASHAgencies]]+WWWW[[#This Row],['#_Non Cluster partner latrines]])&lt;0,0,WWWW[[#This Row],[Total required Latrines]]-(WWWW[[#This Row],['#_Constructed latrines_by_WASHAgencies]]+WWWW[[#This Row],['#_Non Cluster partner latrines]]))</f>
        <v>12</v>
      </c>
      <c r="CS337" s="78">
        <f>1-WWWW[[#This Row],[% people access to functioning Latrine]]</f>
        <v>1</v>
      </c>
      <c r="CT337" s="560">
        <f>IF(OR(WWWW[[#This Row],['#_Non-functional latrines]]="",WWWW[[#This Row],['#_Non-functional latrines]]=0),0,WWWW[[#This Row],['#_Non-functional latrines]]/(WWWW[[#This Row],['#_Constructed latrines_by_WASHAgencies]]+WWWW[[#This Row],['#_Non Cluster partner latrines]]))</f>
        <v>0</v>
      </c>
      <c r="CU337" s="556">
        <f>IF(500*(WWWW[[#This Row],['#_male hygiene promoters]]+WWWW[[#This Row],['#_female hygiene promoters]])&gt;WWWW[[#This Row],[Total PoP ]],WWWW[[#This Row],[Total PoP ]],500*(WWWW[[#This Row],['#_male hygiene promoters]]+WWWW[[#This Row],['#_female hygiene promoters]]))</f>
        <v>0</v>
      </c>
      <c r="CV33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3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37" s="558">
        <f>IF(WWWW[[#This Row],['# People with access to soap]]&gt;WWWW[[#This Row],['# People with access to Sanity Pads]],WWWW[[#This Row],['# People with access to soap]],WWWW[[#This Row],['# People with access to Sanity Pads]])</f>
        <v>0</v>
      </c>
      <c r="CY33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37" s="561">
        <f>IF(WWWW[[#This Row],[HRP3]]/WWWW[[#This Row],[Total PoP ]]&gt;100%,100%,WWWW[[#This Row],[HRP3]]/WWWW[[#This Row],[Total PoP ]])</f>
        <v>0</v>
      </c>
      <c r="DA337" s="560">
        <f>1-WWWW[[#This Row],[Hygiene Coverage%]]</f>
        <v>1</v>
      </c>
      <c r="DB337" s="559">
        <f>WWWW[[#This Row],['# people reached by regular dedicated hygiene promotion_5]]/WWWW[[#This Row],[Total PoP ]]</f>
        <v>0</v>
      </c>
      <c r="DC337" s="559">
        <f>IF(WWWW[[#This Row],['#_households that received standard amount of soap for this quarter]]/WWWW[[#This Row],[Total HH]]&gt;1,1,WWWW[[#This Row],['#_households that received standard amount of soap for this quarter]]/WWWW[[#This Row],[Total HH]])</f>
        <v>0</v>
      </c>
      <c r="DD337" s="559">
        <f>IF(WWWW[[#This Row],['#_households that received standard amount of sanitary pads for this quarter]]/WWWW[[#This Row],[Total HH]]&gt;1,1,WWWW[[#This Row],['#_households that received standard amount of sanitary pads for this quarter]]/WWWW[[#This Row],[Total HH]])</f>
        <v>0</v>
      </c>
      <c r="DE337" s="558">
        <f>WWWW[[#This Row],['#_Constructed/Existing hand washing stations]]-WWWW[[#This Row],['#_Non-Functional_hand_washing_stations]]</f>
        <v>0</v>
      </c>
      <c r="DF337" s="757">
        <f>IF(WWWW[[#This Row],['# Functional hand washing stations during reporting period]]*20&gt;WWWW[[#This Row],[Total HH]],WWWW[[#This Row],[Total HH]],WWWW[[#This Row],['# Functional hand washing stations during reporting period]]*20)</f>
        <v>0</v>
      </c>
      <c r="DG337" s="556">
        <f>IF(WWWW[[#This Row],[Is sufficient soap available for TLS? (Yes/No)]]="yes",WWWW[[#This Row],['#_Constructed/Existing hand washing stations at TLS]],0)</f>
        <v>0</v>
      </c>
      <c r="DH337" s="556">
        <f>IF(WWWW[[#This Row],['# Functional hand washing stations during reporting period]]*100&gt;WWWW[[#This Row],[Total PoP ]],WWWW[[#This Row],[Total PoP ]],WWWW[[#This Row],['# Functional hand washing stations during reporting period]]*100)</f>
        <v>0</v>
      </c>
      <c r="DI337" s="556" t="str">
        <f>IF(OR(WWWW[[#This Row],['#_students at TLS_CFS]]="",WWWW[[#This Row],['#_students at TLS_CFS]]=0),"No","Yes")</f>
        <v>No</v>
      </c>
      <c r="DJ337" s="554">
        <f>VLOOKUP(WWWW[[#This Row],[Site Name]],SiteDB6[[Site Name]:[CCCM Management]],6,FALSE)</f>
        <v>0</v>
      </c>
      <c r="DK337" s="554">
        <f>VLOOKUP(WWWW[[#This Row],[Site Name]],SiteDB6[[Site Name]:[CCCM Focal Agency]],7,FALSE)</f>
        <v>0</v>
      </c>
      <c r="DL337" s="554" t="str">
        <f>VLOOKUP(WWWW[[#This Row],[Site Name]],SiteDB6[[Site Name]:[Location Type 1]],9,FALSE)</f>
        <v>Village</v>
      </c>
      <c r="DM337" s="554" t="str">
        <f>VLOOKUP(WWWW[[#This Row],[Site Name]],SiteDB6[[Site Name]:[Type of Accommodation]],10,FALSE)</f>
        <v>Village</v>
      </c>
      <c r="DN337" s="554" t="str">
        <f>VLOOKUP(WWWW[[#This Row],[Site Name]],SiteDB6[[Site Name]:[Ethnic or GCA/NGCA]],11,FALSE)</f>
        <v>Muslim</v>
      </c>
      <c r="DO337" s="554">
        <f>VLOOKUP(WWWW[[#This Row],[Site Name]],SiteDB6[[Site Name]:[Lat]],12,FALSE)</f>
        <v>20.193460460000001</v>
      </c>
      <c r="DP337" s="554">
        <f>VLOOKUP(WWWW[[#This Row],[Site Name]],SiteDB6[[Site Name]:[Long]],13,FALSE)</f>
        <v>92.867782590000004</v>
      </c>
      <c r="DQ337" s="554">
        <f>VLOOKUP(WWWW[[#This Row],[Site Name]],SiteDB6[[Site Name]:[Pcode]],3,FALSE)</f>
        <v>196147</v>
      </c>
      <c r="DR337" s="563" t="str">
        <f t="shared" si="11"/>
        <v>Covered</v>
      </c>
      <c r="DS337" s="563"/>
    </row>
    <row r="338" spans="1:123">
      <c r="A338" s="552" t="s">
        <v>2518</v>
      </c>
      <c r="B338" s="552" t="s">
        <v>416</v>
      </c>
      <c r="C338" s="555" t="s">
        <v>416</v>
      </c>
      <c r="D338" s="555" t="s">
        <v>249</v>
      </c>
      <c r="E338" s="574" t="s">
        <v>3006</v>
      </c>
      <c r="F338" s="555" t="s">
        <v>417</v>
      </c>
      <c r="G338" s="574" t="str">
        <f>VLOOKUP(WWWW[[#This Row],[Site Name]],SiteDB6[[Site Name]:[Location Type]],8,FALSE)</f>
        <v>Camp</v>
      </c>
      <c r="H338" s="555" t="s">
        <v>418</v>
      </c>
      <c r="I338" s="557">
        <v>716</v>
      </c>
      <c r="J338" s="557">
        <v>2920</v>
      </c>
      <c r="K338" s="564"/>
      <c r="L338" s="565">
        <v>43896</v>
      </c>
      <c r="M338" s="557"/>
      <c r="N338" s="557">
        <v>6</v>
      </c>
      <c r="O338" s="557">
        <v>20</v>
      </c>
      <c r="P338" s="557" t="s">
        <v>2934</v>
      </c>
      <c r="Q338" s="556" t="s">
        <v>43</v>
      </c>
      <c r="R338" s="557">
        <v>9</v>
      </c>
      <c r="S338" s="557">
        <v>9</v>
      </c>
      <c r="T338" s="557"/>
      <c r="U338" s="557"/>
      <c r="V338" s="557"/>
      <c r="W338" s="557"/>
      <c r="X338" s="557"/>
      <c r="Y338" s="557"/>
      <c r="Z338" s="557"/>
      <c r="AA338" s="557">
        <v>68</v>
      </c>
      <c r="AB338" s="557">
        <v>0</v>
      </c>
      <c r="AC338" s="557">
        <v>1</v>
      </c>
      <c r="AD338" s="557">
        <v>67160</v>
      </c>
      <c r="AE338" s="557">
        <v>5</v>
      </c>
      <c r="AF338" s="557"/>
      <c r="AG338" s="557"/>
      <c r="AH338" s="557"/>
      <c r="AI338" s="557">
        <v>7</v>
      </c>
      <c r="AJ338" s="557"/>
      <c r="AK338" s="557">
        <v>36</v>
      </c>
      <c r="AL338" s="557"/>
      <c r="AM338" s="557"/>
      <c r="AN338" s="557"/>
      <c r="AO338" s="563"/>
      <c r="AP338" s="557">
        <v>197</v>
      </c>
      <c r="AQ338" s="557"/>
      <c r="AR338" s="559"/>
      <c r="AS338" s="557"/>
      <c r="AT338" s="557">
        <v>1</v>
      </c>
      <c r="AU338" s="557">
        <v>1</v>
      </c>
      <c r="AV338" s="557"/>
      <c r="AW338" s="557"/>
      <c r="AX338" s="554" t="s">
        <v>43</v>
      </c>
      <c r="AY338" s="563" t="s">
        <v>145</v>
      </c>
      <c r="AZ338" s="557"/>
      <c r="BA338" s="557"/>
      <c r="BB338" s="557"/>
      <c r="BC338" s="554"/>
      <c r="BD338" s="557"/>
      <c r="BE338" s="557"/>
      <c r="BF338" s="557"/>
      <c r="BG338" s="557">
        <v>7</v>
      </c>
      <c r="BH338" s="557"/>
      <c r="BI338" s="557">
        <v>3</v>
      </c>
      <c r="BJ338" s="557">
        <v>5</v>
      </c>
      <c r="BK338" s="557">
        <v>716</v>
      </c>
      <c r="BL338" s="557">
        <v>716</v>
      </c>
      <c r="BM338" s="554"/>
      <c r="BN338" s="558"/>
      <c r="BO338" s="559"/>
      <c r="BP338" s="554"/>
      <c r="BQ338" s="560">
        <f>IFERROR(WWWW[[#This Row],['#_Water sources treated]]/WWWW[[#This Row],['#_Water sources tested for contamination]],"no test")</f>
        <v>0</v>
      </c>
      <c r="BR338" s="559">
        <f>IFERROR(WWWW[[#This Row],['#_Household received remediation action due to contamination]]/WWWW[[#This Row],['#_Household water samples tested for contamination]],"no test")</f>
        <v>0</v>
      </c>
      <c r="BS338" s="558" t="str">
        <f>IF(AND(WWWW[[#This Row],[% of water sources treated]]="no test",WWWW[[#This Row],[% Household received corrective actions]]="no test"),"No Test","Tested")</f>
        <v>Tested</v>
      </c>
      <c r="BT338" s="558">
        <f>WWWW[[#This Row],['#_Constructed/existing protected hand dug well]]-WWWW[[#This Row],['#_Non-functional protected hand dug well]]</f>
        <v>0</v>
      </c>
      <c r="BU338" s="558">
        <f>(WWWW[[#This Row],['#_Constructed/Existing tube wells/boreholes/handpumps_WASH_agency]]+WWWW[[#This Row],['#_Non-Cluster partner water tube-wells/boreholes/handpumps]])-WWWW[[#This Row],['#_Non-functional tube wells/boreholes/handpumps]]</f>
        <v>0</v>
      </c>
      <c r="BV338" s="558">
        <f>WWWW[[#This Row],['#_Constructed/Existingwater storage tank with gravity fed reticulation system]]-WWWW[[#This Row],['#_Non-functional storage tank gravity fed reticulation system]]</f>
        <v>68</v>
      </c>
      <c r="BW338" s="558">
        <f>WWWW[[#This Row],['#_Water boating or water trucking]]</f>
        <v>67160</v>
      </c>
      <c r="BX338" s="558">
        <f>WWWW[[#This Row],['#_Constructed/Existing water distribution system from river or natural spring]]</f>
        <v>0</v>
      </c>
      <c r="BY33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3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38" s="559">
        <f>IF(WWWW[[#This Row],[Location Type 1]]="Village",WWWW[[#This Row],[Access to safe drinking water for Village]],WWWW[[#This Row],[Access to safe drinking water for Camp]])</f>
        <v>1</v>
      </c>
      <c r="CB338" s="556">
        <f>WWWW[[#This Row],[%Equitable and continuous access to sufficient quantity of safe drinking water]]*WWWW[[#This Row],[Total PoP ]]</f>
        <v>2920</v>
      </c>
      <c r="CC338" s="559">
        <f>IF((WWWW[[#This Row],['#_Constructed/Existing protected/fenced ponds]]*250)/WWWW[[#This Row],[Total PoP ]]&gt;1,1,(WWWW[[#This Row],['#_Constructed/Existing protected/fenced ponds]]*250)/WWWW[[#This Row],[Total PoP ]])</f>
        <v>0.42808219178082191</v>
      </c>
      <c r="CD338" s="556">
        <f>WWWW[[#This Row],[% Access to unimproved water points]]*WWWW[[#This Row],[Total PoP ]]</f>
        <v>1250</v>
      </c>
      <c r="CE33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3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G338" s="556">
        <f>WWWW[[#This Row],[HRP1]]/500</f>
        <v>5.84</v>
      </c>
      <c r="CH338" s="561">
        <f>1-WWWW[[#This Row],[% Equitable and continuous access to sufficient quantity of domestic water]]</f>
        <v>0</v>
      </c>
      <c r="CI338" s="556">
        <f>WWWW[[#This Row],[%equitable and continuous access to sufficient quantity of safe drinking and domestic water''s GAP]]*WWWW[[#This Row],[Total PoP ]]</f>
        <v>0</v>
      </c>
      <c r="CJ338" s="558">
        <f>IF(WWWW[[#This Row],[Total required water points]]-WWWW[[#This Row],['#Water points coverage]]&lt;0,0,WWWW[[#This Row],[Total required water points]]-WWWW[[#This Row],['#Water points coverage]])</f>
        <v>0.16000000000000014</v>
      </c>
      <c r="CK338" s="558">
        <f>ROUND(IF(WWWW[[#This Row],[Total PoP ]]&lt;500,1,WWWW[[#This Row],[Total PoP ]]/500),0)</f>
        <v>6</v>
      </c>
      <c r="CL338" s="558">
        <f>(WWWW[[#This Row],['#_Constructed latrines_by_WASHAgencies]]+WWWW[[#This Row],['#_Non Cluster partner latrines]])-WWWW[[#This Row],['#_Non-functional latrines]]</f>
        <v>197</v>
      </c>
      <c r="CM33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3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2920</v>
      </c>
      <c r="CO338"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CP338" s="558">
        <f>IF(WWWW[[#This Row],[Location Type 1]]="Village","NA",IF(WWWW[[#This Row],['#_Constructed/Existing latrines in TLS]]*50&gt;WWWW[[#This Row],['#_students at TLS_CFS]],WWWW[[#This Row],['#_students at TLS_CFS]],(WWWW[[#This Row],['#_Constructed/Existing latrines in TLS]]*50)))</f>
        <v>0</v>
      </c>
      <c r="CQ338" s="558">
        <f>ROUND(IF(WWWW[[#This Row],[Location Type 1]]="camp",WWWW[[#This Row],[Total PoP ]]/20,IF(WWWW[[#This Row],[Location Type 1]]="Temporary Location",WWWW[[#This Row],[Total PoP ]]/50,(WWWW[[#This Row],[Total PoP ]]/6))),0)</f>
        <v>146</v>
      </c>
      <c r="CR338" s="558">
        <f>IF(WWWW[[#This Row],[Total required Latrines]]-(WWWW[[#This Row],['#_Constructed latrines_by_WASHAgencies]]+WWWW[[#This Row],['#_Non Cluster partner latrines]])&lt;0,0,WWWW[[#This Row],[Total required Latrines]]-(WWWW[[#This Row],['#_Constructed latrines_by_WASHAgencies]]+WWWW[[#This Row],['#_Non Cluster partner latrines]]))</f>
        <v>0</v>
      </c>
      <c r="CS338" s="78">
        <f>1-WWWW[[#This Row],[% people access to functioning Latrine]]</f>
        <v>0</v>
      </c>
      <c r="CT338" s="560">
        <f>IF(OR(WWWW[[#This Row],['#_Non-functional latrines]]="",WWWW[[#This Row],['#_Non-functional latrines]]=0),0,WWWW[[#This Row],['#_Non-functional latrines]]/(WWWW[[#This Row],['#_Constructed latrines_by_WASHAgencies]]+WWWW[[#This Row],['#_Non Cluster partner latrines]]))</f>
        <v>0</v>
      </c>
      <c r="CU338" s="556">
        <f>IF(500*(WWWW[[#This Row],['#_male hygiene promoters]]+WWWW[[#This Row],['#_female hygiene promoters]])&gt;WWWW[[#This Row],[Total PoP ]],WWWW[[#This Row],[Total PoP ]],500*(WWWW[[#This Row],['#_male hygiene promoters]]+WWWW[[#This Row],['#_female hygiene promoters]]))</f>
        <v>2920</v>
      </c>
      <c r="CV33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2920</v>
      </c>
      <c r="CW33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2920</v>
      </c>
      <c r="CX338" s="558">
        <f>IF(WWWW[[#This Row],['# People with access to soap]]&gt;WWWW[[#This Row],['# People with access to Sanity Pads]],WWWW[[#This Row],['# People with access to soap]],WWWW[[#This Row],['# People with access to Sanity Pads]])</f>
        <v>2920</v>
      </c>
      <c r="CY338" s="558">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CZ338" s="561">
        <f>IF(WWWW[[#This Row],[HRP3]]/WWWW[[#This Row],[Total PoP ]]&gt;100%,100%,WWWW[[#This Row],[HRP3]]/WWWW[[#This Row],[Total PoP ]])</f>
        <v>1</v>
      </c>
      <c r="DA338" s="560">
        <f>1-WWWW[[#This Row],[Hygiene Coverage%]]</f>
        <v>0</v>
      </c>
      <c r="DB338" s="559">
        <f>WWWW[[#This Row],['# people reached by regular dedicated hygiene promotion_5]]/WWWW[[#This Row],[Total PoP ]]</f>
        <v>1</v>
      </c>
      <c r="DC338" s="559">
        <f>IF(WWWW[[#This Row],['#_households that received standard amount of soap for this quarter]]/WWWW[[#This Row],[Total HH]]&gt;1,1,WWWW[[#This Row],['#_households that received standard amount of soap for this quarter]]/WWWW[[#This Row],[Total HH]])</f>
        <v>1</v>
      </c>
      <c r="DD338" s="559">
        <f>IF(WWWW[[#This Row],['#_households that received standard amount of sanitary pads for this quarter]]/WWWW[[#This Row],[Total HH]]&gt;1,1,WWWW[[#This Row],['#_households that received standard amount of sanitary pads for this quarter]]/WWWW[[#This Row],[Total HH]])</f>
        <v>1</v>
      </c>
      <c r="DE338" s="558">
        <f>WWWW[[#This Row],['#_Constructed/Existing hand washing stations]]-WWWW[[#This Row],['#_Non-Functional_hand_washing_stations]]</f>
        <v>0</v>
      </c>
      <c r="DF338" s="757">
        <f>IF(WWWW[[#This Row],['# Functional hand washing stations during reporting period]]*20&gt;WWWW[[#This Row],[Total HH]],WWWW[[#This Row],[Total HH]],WWWW[[#This Row],['# Functional hand washing stations during reporting period]]*20)</f>
        <v>0</v>
      </c>
      <c r="DG338" s="556">
        <f>IF(WWWW[[#This Row],[Is sufficient soap available for TLS? (Yes/No)]]="yes",WWWW[[#This Row],['#_Constructed/Existing hand washing stations at TLS]],0)</f>
        <v>0</v>
      </c>
      <c r="DH338" s="556">
        <f>IF(WWWW[[#This Row],['# Functional hand washing stations during reporting period]]*100&gt;WWWW[[#This Row],[Total PoP ]],WWWW[[#This Row],[Total PoP ]],WWWW[[#This Row],['# Functional hand washing stations during reporting period]]*100)</f>
        <v>0</v>
      </c>
      <c r="DI338" s="556" t="str">
        <f>IF(OR(WWWW[[#This Row],['#_students at TLS_CFS]]="",WWWW[[#This Row],['#_students at TLS_CFS]]=0),"No","Yes")</f>
        <v>No</v>
      </c>
      <c r="DJ338" s="554" t="str">
        <f>VLOOKUP(WWWW[[#This Row],[Site Name]],SiteDB6[[Site Name]:[CCCM Management]],6,FALSE)</f>
        <v>Yes</v>
      </c>
      <c r="DK338" s="554">
        <f>VLOOKUP(WWWW[[#This Row],[Site Name]],SiteDB6[[Site Name]:[CCCM Focal Agency]],7,FALSE)</f>
        <v>0</v>
      </c>
      <c r="DL338" s="554" t="str">
        <f>VLOOKUP(WWWW[[#This Row],[Site Name]],SiteDB6[[Site Name]:[Location Type 1]],9,FALSE)</f>
        <v>Camp</v>
      </c>
      <c r="DM338" s="554" t="str">
        <f>VLOOKUP(WWWW[[#This Row],[Site Name]],SiteDB6[[Site Name]:[Type of Accommodation]],10,FALSE)</f>
        <v>Planned Camp</v>
      </c>
      <c r="DN338" s="554" t="str">
        <f>VLOOKUP(WWWW[[#This Row],[Site Name]],SiteDB6[[Site Name]:[Ethnic or GCA/NGCA]],11,FALSE)</f>
        <v>Muslim</v>
      </c>
      <c r="DO338" s="554">
        <f>VLOOKUP(WWWW[[#This Row],[Site Name]],SiteDB6[[Site Name]:[Lat]],12,FALSE)</f>
        <v>20.037655000000001</v>
      </c>
      <c r="DP338" s="554">
        <f>VLOOKUP(WWWW[[#This Row],[Site Name]],SiteDB6[[Site Name]:[Long]],13,FALSE)</f>
        <v>93.370037999999994</v>
      </c>
      <c r="DQ338" s="554" t="str">
        <f>VLOOKUP(WWWW[[#This Row],[Site Name]],SiteDB6[[Site Name]:[Pcode]],3,FALSE)</f>
        <v>MMR012CMP014</v>
      </c>
      <c r="DR338" s="563" t="str">
        <f t="shared" si="11"/>
        <v>Covered</v>
      </c>
      <c r="DS338" s="563"/>
    </row>
    <row r="339" spans="1:123">
      <c r="A339" s="552" t="s">
        <v>2518</v>
      </c>
      <c r="B339" s="552" t="s">
        <v>416</v>
      </c>
      <c r="C339" s="555" t="s">
        <v>416</v>
      </c>
      <c r="D339" s="555" t="s">
        <v>249</v>
      </c>
      <c r="E339" s="574" t="s">
        <v>3006</v>
      </c>
      <c r="F339" s="555" t="s">
        <v>417</v>
      </c>
      <c r="G339" s="574" t="str">
        <f>VLOOKUP(WWWW[[#This Row],[Site Name]],SiteDB6[[Site Name]:[Location Type]],8,FALSE)</f>
        <v>Village</v>
      </c>
      <c r="H339" s="555" t="s">
        <v>419</v>
      </c>
      <c r="I339" s="557">
        <v>40</v>
      </c>
      <c r="J339" s="557">
        <v>217</v>
      </c>
      <c r="K339" s="564"/>
      <c r="L339" s="565">
        <v>43896</v>
      </c>
      <c r="M339" s="557"/>
      <c r="N339" s="557"/>
      <c r="O339" s="557"/>
      <c r="P339" s="557"/>
      <c r="Q339" s="556" t="s">
        <v>144</v>
      </c>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7"/>
      <c r="AM339" s="557"/>
      <c r="AN339" s="557"/>
      <c r="AO339" s="563"/>
      <c r="AP339" s="557"/>
      <c r="AQ339" s="557"/>
      <c r="AR339" s="559"/>
      <c r="AS339" s="557"/>
      <c r="AT339" s="557"/>
      <c r="AU339" s="557"/>
      <c r="AV339" s="557"/>
      <c r="AW339" s="557"/>
      <c r="AX339" s="554"/>
      <c r="AY339" s="563"/>
      <c r="AZ339" s="557"/>
      <c r="BA339" s="557"/>
      <c r="BB339" s="557"/>
      <c r="BC339" s="554"/>
      <c r="BD339" s="557"/>
      <c r="BE339" s="557"/>
      <c r="BF339" s="557"/>
      <c r="BG339" s="557"/>
      <c r="BH339" s="557"/>
      <c r="BI339" s="557"/>
      <c r="BJ339" s="557">
        <v>2</v>
      </c>
      <c r="BK339" s="557">
        <v>40</v>
      </c>
      <c r="BL339" s="557">
        <v>40</v>
      </c>
      <c r="BM339" s="554"/>
      <c r="BN339" s="558"/>
      <c r="BO339" s="559"/>
      <c r="BP339" s="554"/>
      <c r="BQ339" s="560" t="str">
        <f>IFERROR(WWWW[[#This Row],['#_Water sources treated]]/WWWW[[#This Row],['#_Water sources tested for contamination]],"no test")</f>
        <v>no test</v>
      </c>
      <c r="BR339" s="559" t="str">
        <f>IFERROR(WWWW[[#This Row],['#_Household received remediation action due to contamination]]/WWWW[[#This Row],['#_Household water samples tested for contamination]],"no test")</f>
        <v>no test</v>
      </c>
      <c r="BS339" s="558" t="str">
        <f>IF(AND(WWWW[[#This Row],[% of water sources treated]]="no test",WWWW[[#This Row],[% Household received corrective actions]]="no test"),"No Test","Tested")</f>
        <v>No Test</v>
      </c>
      <c r="BT339" s="558">
        <f>WWWW[[#This Row],['#_Constructed/existing protected hand dug well]]-WWWW[[#This Row],['#_Non-functional protected hand dug well]]</f>
        <v>0</v>
      </c>
      <c r="BU339" s="558">
        <f>(WWWW[[#This Row],['#_Constructed/Existing tube wells/boreholes/handpumps_WASH_agency]]+WWWW[[#This Row],['#_Non-Cluster partner water tube-wells/boreholes/handpumps]])-WWWW[[#This Row],['#_Non-functional tube wells/boreholes/handpumps]]</f>
        <v>0</v>
      </c>
      <c r="BV339" s="558">
        <f>WWWW[[#This Row],['#_Constructed/Existingwater storage tank with gravity fed reticulation system]]-WWWW[[#This Row],['#_Non-functional storage tank gravity fed reticulation system]]</f>
        <v>0</v>
      </c>
      <c r="BW339" s="558">
        <f>WWWW[[#This Row],['#_Water boating or water trucking]]</f>
        <v>0</v>
      </c>
      <c r="BX339" s="558">
        <f>WWWW[[#This Row],['#_Constructed/Existing water distribution system from river or natural spring]]</f>
        <v>0</v>
      </c>
      <c r="BY33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3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39" s="559">
        <f>IF(WWWW[[#This Row],[Location Type 1]]="Village",WWWW[[#This Row],[Access to safe drinking water for Village]],WWWW[[#This Row],[Access to safe drinking water for Camp]])</f>
        <v>0</v>
      </c>
      <c r="CB339" s="556">
        <f>WWWW[[#This Row],[%Equitable and continuous access to sufficient quantity of safe drinking water]]*WWWW[[#This Row],[Total PoP ]]</f>
        <v>0</v>
      </c>
      <c r="CC339" s="559">
        <f>IF((WWWW[[#This Row],['#_Constructed/Existing protected/fenced ponds]]*250)/WWWW[[#This Row],[Total PoP ]]&gt;1,1,(WWWW[[#This Row],['#_Constructed/Existing protected/fenced ponds]]*250)/WWWW[[#This Row],[Total PoP ]])</f>
        <v>0</v>
      </c>
      <c r="CD339" s="556">
        <f>WWWW[[#This Row],[% Access to unimproved water points]]*WWWW[[#This Row],[Total PoP ]]</f>
        <v>0</v>
      </c>
      <c r="CE33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3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39" s="556">
        <f>WWWW[[#This Row],[HRP1]]/500</f>
        <v>0</v>
      </c>
      <c r="CH339" s="561">
        <f>1-WWWW[[#This Row],[% Equitable and continuous access to sufficient quantity of domestic water]]</f>
        <v>1</v>
      </c>
      <c r="CI339" s="556">
        <f>WWWW[[#This Row],[%equitable and continuous access to sufficient quantity of safe drinking and domestic water''s GAP]]*WWWW[[#This Row],[Total PoP ]]</f>
        <v>217</v>
      </c>
      <c r="CJ339" s="558">
        <f>IF(WWWW[[#This Row],[Total required water points]]-WWWW[[#This Row],['#Water points coverage]]&lt;0,0,WWWW[[#This Row],[Total required water points]]-WWWW[[#This Row],['#Water points coverage]])</f>
        <v>1</v>
      </c>
      <c r="CK339" s="558">
        <f>ROUND(IF(WWWW[[#This Row],[Total PoP ]]&lt;500,1,WWWW[[#This Row],[Total PoP ]]/500),0)</f>
        <v>1</v>
      </c>
      <c r="CL339" s="558">
        <f>(WWWW[[#This Row],['#_Constructed latrines_by_WASHAgencies]]+WWWW[[#This Row],['#_Non Cluster partner latrines]])-WWWW[[#This Row],['#_Non-functional latrines]]</f>
        <v>0</v>
      </c>
      <c r="CM33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3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3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39" s="558" t="str">
        <f>IF(WWWW[[#This Row],[Location Type 1]]="Village","NA",IF(WWWW[[#This Row],['#_Constructed/Existing latrines in TLS]]*50&gt;WWWW[[#This Row],['#_students at TLS_CFS]],WWWW[[#This Row],['#_students at TLS_CFS]],(WWWW[[#This Row],['#_Constructed/Existing latrines in TLS]]*50)))</f>
        <v>NA</v>
      </c>
      <c r="CQ339" s="558">
        <f>ROUND(IF(WWWW[[#This Row],[Location Type 1]]="camp",WWWW[[#This Row],[Total PoP ]]/20,IF(WWWW[[#This Row],[Location Type 1]]="Temporary Location",WWWW[[#This Row],[Total PoP ]]/50,(WWWW[[#This Row],[Total PoP ]]/6))),0)</f>
        <v>36</v>
      </c>
      <c r="CR339" s="558">
        <f>IF(WWWW[[#This Row],[Total required Latrines]]-(WWWW[[#This Row],['#_Constructed latrines_by_WASHAgencies]]+WWWW[[#This Row],['#_Non Cluster partner latrines]])&lt;0,0,WWWW[[#This Row],[Total required Latrines]]-(WWWW[[#This Row],['#_Constructed latrines_by_WASHAgencies]]+WWWW[[#This Row],['#_Non Cluster partner latrines]]))</f>
        <v>36</v>
      </c>
      <c r="CS339" s="78">
        <f>1-WWWW[[#This Row],[% people access to functioning Latrine]]</f>
        <v>1</v>
      </c>
      <c r="CT339" s="560">
        <f>IF(OR(WWWW[[#This Row],['#_Non-functional latrines]]="",WWWW[[#This Row],['#_Non-functional latrines]]=0),0,WWWW[[#This Row],['#_Non-functional latrines]]/(WWWW[[#This Row],['#_Constructed latrines_by_WASHAgencies]]+WWWW[[#This Row],['#_Non Cluster partner latrines]]))</f>
        <v>0</v>
      </c>
      <c r="CU339" s="556">
        <f>IF(500*(WWWW[[#This Row],['#_male hygiene promoters]]+WWWW[[#This Row],['#_female hygiene promoters]])&gt;WWWW[[#This Row],[Total PoP ]],WWWW[[#This Row],[Total PoP ]],500*(WWWW[[#This Row],['#_male hygiene promoters]]+WWWW[[#This Row],['#_female hygiene promoters]]))</f>
        <v>217</v>
      </c>
      <c r="CV33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217</v>
      </c>
      <c r="CW33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217</v>
      </c>
      <c r="CX339" s="558">
        <f>IF(WWWW[[#This Row],['# People with access to soap]]&gt;WWWW[[#This Row],['# People with access to Sanity Pads]],WWWW[[#This Row],['# People with access to soap]],WWWW[[#This Row],['# People with access to Sanity Pads]])</f>
        <v>217</v>
      </c>
      <c r="CY339" s="558">
        <f>IF(WWWW[[#This Row],['# people reached by regular dedicated hygiene promotion_5]]&gt;WWWW[[#This Row],['# People received regular supply of hygiene items_6]],WWWW[[#This Row],['# people reached by regular dedicated hygiene promotion_5]],WWWW[[#This Row],['# People received regular supply of hygiene items_6]])</f>
        <v>217</v>
      </c>
      <c r="CZ339" s="561">
        <f>IF(WWWW[[#This Row],[HRP3]]/WWWW[[#This Row],[Total PoP ]]&gt;100%,100%,WWWW[[#This Row],[HRP3]]/WWWW[[#This Row],[Total PoP ]])</f>
        <v>1</v>
      </c>
      <c r="DA339" s="560">
        <f>1-WWWW[[#This Row],[Hygiene Coverage%]]</f>
        <v>0</v>
      </c>
      <c r="DB339" s="559">
        <f>WWWW[[#This Row],['# people reached by regular dedicated hygiene promotion_5]]/WWWW[[#This Row],[Total PoP ]]</f>
        <v>1</v>
      </c>
      <c r="DC339" s="559">
        <f>IF(WWWW[[#This Row],['#_households that received standard amount of soap for this quarter]]/WWWW[[#This Row],[Total HH]]&gt;1,1,WWWW[[#This Row],['#_households that received standard amount of soap for this quarter]]/WWWW[[#This Row],[Total HH]])</f>
        <v>1</v>
      </c>
      <c r="DD339" s="559">
        <f>IF(WWWW[[#This Row],['#_households that received standard amount of sanitary pads for this quarter]]/WWWW[[#This Row],[Total HH]]&gt;1,1,WWWW[[#This Row],['#_households that received standard amount of sanitary pads for this quarter]]/WWWW[[#This Row],[Total HH]])</f>
        <v>1</v>
      </c>
      <c r="DE339" s="558">
        <f>WWWW[[#This Row],['#_Constructed/Existing hand washing stations]]-WWWW[[#This Row],['#_Non-Functional_hand_washing_stations]]</f>
        <v>0</v>
      </c>
      <c r="DF339" s="757">
        <f>IF(WWWW[[#This Row],['# Functional hand washing stations during reporting period]]*20&gt;WWWW[[#This Row],[Total HH]],WWWW[[#This Row],[Total HH]],WWWW[[#This Row],['# Functional hand washing stations during reporting period]]*20)</f>
        <v>0</v>
      </c>
      <c r="DG339" s="556">
        <f>IF(WWWW[[#This Row],[Is sufficient soap available for TLS? (Yes/No)]]="yes",WWWW[[#This Row],['#_Constructed/Existing hand washing stations at TLS]],0)</f>
        <v>0</v>
      </c>
      <c r="DH339" s="556">
        <f>IF(WWWW[[#This Row],['# Functional hand washing stations during reporting period]]*100&gt;WWWW[[#This Row],[Total PoP ]],WWWW[[#This Row],[Total PoP ]],WWWW[[#This Row],['# Functional hand washing stations during reporting period]]*100)</f>
        <v>0</v>
      </c>
      <c r="DI339" s="556" t="str">
        <f>IF(OR(WWWW[[#This Row],['#_students at TLS_CFS]]="",WWWW[[#This Row],['#_students at TLS_CFS]]=0),"No","Yes")</f>
        <v>No</v>
      </c>
      <c r="DJ339" s="554">
        <f>VLOOKUP(WWWW[[#This Row],[Site Name]],SiteDB6[[Site Name]:[CCCM Management]],6,FALSE)</f>
        <v>0</v>
      </c>
      <c r="DK339" s="554">
        <f>VLOOKUP(WWWW[[#This Row],[Site Name]],SiteDB6[[Site Name]:[CCCM Focal Agency]],7,FALSE)</f>
        <v>0</v>
      </c>
      <c r="DL339" s="554" t="str">
        <f>VLOOKUP(WWWW[[#This Row],[Site Name]],SiteDB6[[Site Name]:[Location Type 1]],9,FALSE)</f>
        <v>Village</v>
      </c>
      <c r="DM339" s="554" t="str">
        <f>VLOOKUP(WWWW[[#This Row],[Site Name]],SiteDB6[[Site Name]:[Type of Accommodation]],10,FALSE)</f>
        <v>Relocated</v>
      </c>
      <c r="DN339" s="554" t="str">
        <f>VLOOKUP(WWWW[[#This Row],[Site Name]],SiteDB6[[Site Name]:[Ethnic or GCA/NGCA]],11,FALSE)</f>
        <v>Rakhine</v>
      </c>
      <c r="DO339" s="554">
        <f>VLOOKUP(WWWW[[#This Row],[Site Name]],SiteDB6[[Site Name]:[Lat]],12,FALSE)</f>
        <v>20.041981</v>
      </c>
      <c r="DP339" s="554">
        <f>VLOOKUP(WWWW[[#This Row],[Site Name]],SiteDB6[[Site Name]:[Long]],13,FALSE)</f>
        <v>93.373951000000005</v>
      </c>
      <c r="DQ339" s="554" t="str">
        <f>VLOOKUP(WWWW[[#This Row],[Site Name]],SiteDB6[[Site Name]:[Pcode]],3,FALSE)</f>
        <v>MMR012CMP013</v>
      </c>
      <c r="DR339" s="563" t="str">
        <f t="shared" si="11"/>
        <v>Covered</v>
      </c>
      <c r="DS339" s="563"/>
    </row>
    <row r="340" spans="1:123">
      <c r="A340" s="552" t="s">
        <v>2518</v>
      </c>
      <c r="B340" s="552" t="s">
        <v>284</v>
      </c>
      <c r="C340" s="555" t="s">
        <v>284</v>
      </c>
      <c r="D340" s="555" t="s">
        <v>249</v>
      </c>
      <c r="E340" s="574" t="s">
        <v>3006</v>
      </c>
      <c r="F340" s="555" t="s">
        <v>420</v>
      </c>
      <c r="G340" s="574" t="str">
        <f>VLOOKUP(WWWW[[#This Row],[Site Name]],SiteDB6[[Site Name]:[Location Type]],8,FALSE)</f>
        <v>Camp</v>
      </c>
      <c r="H340" s="555" t="s">
        <v>428</v>
      </c>
      <c r="I340" s="557">
        <v>1320</v>
      </c>
      <c r="J340" s="557">
        <v>6042</v>
      </c>
      <c r="K340" s="564">
        <v>43435</v>
      </c>
      <c r="L340" s="565">
        <v>43799</v>
      </c>
      <c r="M340" s="557"/>
      <c r="N340" s="557"/>
      <c r="O340" s="557">
        <v>121</v>
      </c>
      <c r="P340" s="557" t="s">
        <v>2934</v>
      </c>
      <c r="Q340" s="556" t="s">
        <v>43</v>
      </c>
      <c r="R340" s="557"/>
      <c r="S340" s="557"/>
      <c r="T340" s="557">
        <v>0</v>
      </c>
      <c r="U340" s="557">
        <v>0</v>
      </c>
      <c r="V340" s="557">
        <v>0</v>
      </c>
      <c r="W340" s="557">
        <v>0</v>
      </c>
      <c r="X340" s="557">
        <v>0</v>
      </c>
      <c r="Y340" s="557">
        <v>0</v>
      </c>
      <c r="Z340" s="557">
        <v>0</v>
      </c>
      <c r="AA340" s="557">
        <v>29</v>
      </c>
      <c r="AB340" s="557">
        <v>0</v>
      </c>
      <c r="AC340" s="557">
        <v>29</v>
      </c>
      <c r="AD340" s="557">
        <v>0</v>
      </c>
      <c r="AE340" s="557">
        <v>23</v>
      </c>
      <c r="AF340" s="557">
        <v>0</v>
      </c>
      <c r="AG340" s="557"/>
      <c r="AH340" s="557">
        <v>0</v>
      </c>
      <c r="AI340" s="557">
        <v>1</v>
      </c>
      <c r="AJ340" s="557">
        <v>1</v>
      </c>
      <c r="AK340" s="557">
        <v>16</v>
      </c>
      <c r="AL340" s="557">
        <v>4</v>
      </c>
      <c r="AM340" s="557" t="s">
        <v>2934</v>
      </c>
      <c r="AN340" s="557" t="s">
        <v>2934</v>
      </c>
      <c r="AO340" s="563" t="s">
        <v>2925</v>
      </c>
      <c r="AP340" s="557">
        <v>184</v>
      </c>
      <c r="AQ340" s="557">
        <v>0</v>
      </c>
      <c r="AR340" s="559"/>
      <c r="AS340" s="557">
        <v>45</v>
      </c>
      <c r="AT340" s="557">
        <v>184</v>
      </c>
      <c r="AU340" s="557"/>
      <c r="AV340" s="557"/>
      <c r="AW340" s="557"/>
      <c r="AX340" s="554" t="s">
        <v>43</v>
      </c>
      <c r="AY340" s="563" t="s">
        <v>145</v>
      </c>
      <c r="AZ340" s="557">
        <v>0</v>
      </c>
      <c r="BA340" s="557">
        <v>0</v>
      </c>
      <c r="BB340" s="557"/>
      <c r="BC340" s="554"/>
      <c r="BD340" s="557">
        <v>0</v>
      </c>
      <c r="BE340" s="557">
        <v>0</v>
      </c>
      <c r="BF340" s="557">
        <v>0</v>
      </c>
      <c r="BG340" s="557">
        <v>0</v>
      </c>
      <c r="BH340" s="557">
        <v>0</v>
      </c>
      <c r="BI340" s="557">
        <v>12</v>
      </c>
      <c r="BJ340" s="557">
        <v>7</v>
      </c>
      <c r="BK340" s="557">
        <v>1320</v>
      </c>
      <c r="BL340" s="557">
        <v>1320</v>
      </c>
      <c r="BM340" s="554" t="s">
        <v>144</v>
      </c>
      <c r="BN340" s="558">
        <v>0</v>
      </c>
      <c r="BO340" s="559"/>
      <c r="BP340" s="554" t="s">
        <v>2926</v>
      </c>
      <c r="BQ340" s="560">
        <f>IFERROR(WWWW[[#This Row],['#_Water sources treated]]/WWWW[[#This Row],['#_Water sources tested for contamination]],"no test")</f>
        <v>1</v>
      </c>
      <c r="BR340" s="559">
        <f>IFERROR(WWWW[[#This Row],['#_Household received remediation action due to contamination]]/WWWW[[#This Row],['#_Household water samples tested for contamination]],"no test")</f>
        <v>0.25</v>
      </c>
      <c r="BS340" s="558" t="str">
        <f>IF(AND(WWWW[[#This Row],[% of water sources treated]]="no test",WWWW[[#This Row],[% Household received corrective actions]]="no test"),"No Test","Tested")</f>
        <v>Tested</v>
      </c>
      <c r="BT340" s="558">
        <f>WWWW[[#This Row],['#_Constructed/existing protected hand dug well]]-WWWW[[#This Row],['#_Non-functional protected hand dug well]]</f>
        <v>0</v>
      </c>
      <c r="BU340" s="558">
        <f>(WWWW[[#This Row],['#_Constructed/Existing tube wells/boreholes/handpumps_WASH_agency]]+WWWW[[#This Row],['#_Non-Cluster partner water tube-wells/boreholes/handpumps]])-WWWW[[#This Row],['#_Non-functional tube wells/boreholes/handpumps]]</f>
        <v>0</v>
      </c>
      <c r="BV340" s="558">
        <f>WWWW[[#This Row],['#_Constructed/Existingwater storage tank with gravity fed reticulation system]]-WWWW[[#This Row],['#_Non-functional storage tank gravity fed reticulation system]]</f>
        <v>29</v>
      </c>
      <c r="BW340" s="558">
        <f>WWWW[[#This Row],['#_Water boating or water trucking]]</f>
        <v>0</v>
      </c>
      <c r="BX340" s="558">
        <f>WWWW[[#This Row],['#_Constructed/Existing water distribution system from river or natural spring]]</f>
        <v>0</v>
      </c>
      <c r="BY34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0.31998234580161095</v>
      </c>
      <c r="BZ34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0.31998234580161095</v>
      </c>
      <c r="CA340" s="559">
        <f>IF(WWWW[[#This Row],[Location Type 1]]="Village",WWWW[[#This Row],[Access to safe drinking water for Village]],WWWW[[#This Row],[Access to safe drinking water for Camp]])</f>
        <v>0.31998234580161095</v>
      </c>
      <c r="CB340" s="556">
        <f>WWWW[[#This Row],[%Equitable and continuous access to sufficient quantity of safe drinking water]]*WWWW[[#This Row],[Total PoP ]]</f>
        <v>1933.3333333333333</v>
      </c>
      <c r="CC340" s="559">
        <f>IF((WWWW[[#This Row],['#_Constructed/Existing protected/fenced ponds]]*250)/WWWW[[#This Row],[Total PoP ]]&gt;1,1,(WWWW[[#This Row],['#_Constructed/Existing protected/fenced ponds]]*250)/WWWW[[#This Row],[Total PoP ]])</f>
        <v>0.95167163190996362</v>
      </c>
      <c r="CD340" s="556">
        <f>WWWW[[#This Row],[% Access to unimproved water points]]*WWWW[[#This Row],[Total PoP ]]</f>
        <v>5750</v>
      </c>
      <c r="CE34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6042</v>
      </c>
      <c r="CG340" s="556">
        <f>WWWW[[#This Row],[HRP1]]/500</f>
        <v>12.084</v>
      </c>
      <c r="CH340" s="561">
        <f>1-WWWW[[#This Row],[% Equitable and continuous access to sufficient quantity of domestic water]]</f>
        <v>0</v>
      </c>
      <c r="CI340" s="556">
        <f>WWWW[[#This Row],[%equitable and continuous access to sufficient quantity of safe drinking and domestic water''s GAP]]*WWWW[[#This Row],[Total PoP ]]</f>
        <v>0</v>
      </c>
      <c r="CJ340" s="558">
        <f>IF(WWWW[[#This Row],[Total required water points]]-WWWW[[#This Row],['#Water points coverage]]&lt;0,0,WWWW[[#This Row],[Total required water points]]-WWWW[[#This Row],['#Water points coverage]])</f>
        <v>0</v>
      </c>
      <c r="CK340" s="558">
        <f>ROUND(IF(WWWW[[#This Row],[Total PoP ]]&lt;500,1,WWWW[[#This Row],[Total PoP ]]/500),0)</f>
        <v>12</v>
      </c>
      <c r="CL340" s="558">
        <f>(WWWW[[#This Row],['#_Constructed latrines_by_WASHAgencies]]+WWWW[[#This Row],['#_Non Cluster partner latrines]])-WWWW[[#This Row],['#_Non-functional latrines]]</f>
        <v>139</v>
      </c>
      <c r="CM34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0.46011254551473024</v>
      </c>
      <c r="CN34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2780</v>
      </c>
      <c r="CO34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40" s="558">
        <f>IF(WWWW[[#This Row],[Location Type 1]]="Village","NA",IF(WWWW[[#This Row],['#_Constructed/Existing latrines in TLS]]*50&gt;WWWW[[#This Row],['#_students at TLS_CFS]],WWWW[[#This Row],['#_students at TLS_CFS]],(WWWW[[#This Row],['#_Constructed/Existing latrines in TLS]]*50)))</f>
        <v>0</v>
      </c>
      <c r="CQ340" s="558">
        <f>ROUND(IF(WWWW[[#This Row],[Location Type 1]]="camp",WWWW[[#This Row],[Total PoP ]]/20,IF(WWWW[[#This Row],[Location Type 1]]="Temporary Location",WWWW[[#This Row],[Total PoP ]]/50,(WWWW[[#This Row],[Total PoP ]]/6))),0)</f>
        <v>302</v>
      </c>
      <c r="CR340" s="558">
        <f>IF(WWWW[[#This Row],[Total required Latrines]]-(WWWW[[#This Row],['#_Constructed latrines_by_WASHAgencies]]+WWWW[[#This Row],['#_Non Cluster partner latrines]])&lt;0,0,WWWW[[#This Row],[Total required Latrines]]-(WWWW[[#This Row],['#_Constructed latrines_by_WASHAgencies]]+WWWW[[#This Row],['#_Non Cluster partner latrines]]))</f>
        <v>118</v>
      </c>
      <c r="CS340" s="78">
        <f>1-WWWW[[#This Row],[% people access to functioning Latrine]]</f>
        <v>0.53988745448526976</v>
      </c>
      <c r="CT340" s="560">
        <f>IF(OR(WWWW[[#This Row],['#_Non-functional latrines]]="",WWWW[[#This Row],['#_Non-functional latrines]]=0),0,WWWW[[#This Row],['#_Non-functional latrines]]/(WWWW[[#This Row],['#_Constructed latrines_by_WASHAgencies]]+WWWW[[#This Row],['#_Non Cluster partner latrines]]))</f>
        <v>0.24456521739130435</v>
      </c>
      <c r="CU340" s="556">
        <f>IF(500*(WWWW[[#This Row],['#_male hygiene promoters]]+WWWW[[#This Row],['#_female hygiene promoters]])&gt;WWWW[[#This Row],[Total PoP ]],WWWW[[#This Row],[Total PoP ]],500*(WWWW[[#This Row],['#_male hygiene promoters]]+WWWW[[#This Row],['#_female hygiene promoters]]))</f>
        <v>6042</v>
      </c>
      <c r="CV34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6042</v>
      </c>
      <c r="CW34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6042</v>
      </c>
      <c r="CX340" s="558">
        <f>IF(WWWW[[#This Row],['# People with access to soap]]&gt;WWWW[[#This Row],['# People with access to Sanity Pads]],WWWW[[#This Row],['# People with access to soap]],WWWW[[#This Row],['# People with access to Sanity Pads]])</f>
        <v>6042</v>
      </c>
      <c r="CY340" s="558">
        <f>IF(WWWW[[#This Row],['# people reached by regular dedicated hygiene promotion_5]]&gt;WWWW[[#This Row],['# People received regular supply of hygiene items_6]],WWWW[[#This Row],['# people reached by regular dedicated hygiene promotion_5]],WWWW[[#This Row],['# People received regular supply of hygiene items_6]])</f>
        <v>6042</v>
      </c>
      <c r="CZ340" s="561">
        <f>IF(WWWW[[#This Row],[HRP3]]/WWWW[[#This Row],[Total PoP ]]&gt;100%,100%,WWWW[[#This Row],[HRP3]]/WWWW[[#This Row],[Total PoP ]])</f>
        <v>1</v>
      </c>
      <c r="DA340" s="560">
        <f>1-WWWW[[#This Row],[Hygiene Coverage%]]</f>
        <v>0</v>
      </c>
      <c r="DB340" s="559">
        <f>WWWW[[#This Row],['# people reached by regular dedicated hygiene promotion_5]]/WWWW[[#This Row],[Total PoP ]]</f>
        <v>1</v>
      </c>
      <c r="DC340" s="559">
        <f>IF(WWWW[[#This Row],['#_households that received standard amount of soap for this quarter]]/WWWW[[#This Row],[Total HH]]&gt;1,1,WWWW[[#This Row],['#_households that received standard amount of soap for this quarter]]/WWWW[[#This Row],[Total HH]])</f>
        <v>1</v>
      </c>
      <c r="DD340" s="559">
        <f>IF(WWWW[[#This Row],['#_households that received standard amount of sanitary pads for this quarter]]/WWWW[[#This Row],[Total HH]]&gt;1,1,WWWW[[#This Row],['#_households that received standard amount of sanitary pads for this quarter]]/WWWW[[#This Row],[Total HH]])</f>
        <v>1</v>
      </c>
      <c r="DE340" s="558">
        <f>WWWW[[#This Row],['#_Constructed/Existing hand washing stations]]-WWWW[[#This Row],['#_Non-Functional_hand_washing_stations]]</f>
        <v>0</v>
      </c>
      <c r="DF340" s="757">
        <f>IF(WWWW[[#This Row],['# Functional hand washing stations during reporting period]]*20&gt;WWWW[[#This Row],[Total HH]],WWWW[[#This Row],[Total HH]],WWWW[[#This Row],['# Functional hand washing stations during reporting period]]*20)</f>
        <v>0</v>
      </c>
      <c r="DG340" s="556">
        <f>IF(WWWW[[#This Row],[Is sufficient soap available for TLS? (Yes/No)]]="yes",WWWW[[#This Row],['#_Constructed/Existing hand washing stations at TLS]],0)</f>
        <v>0</v>
      </c>
      <c r="DH340" s="556">
        <f>IF(WWWW[[#This Row],['# Functional hand washing stations during reporting period]]*100&gt;WWWW[[#This Row],[Total PoP ]],WWWW[[#This Row],[Total PoP ]],WWWW[[#This Row],['# Functional hand washing stations during reporting period]]*100)</f>
        <v>0</v>
      </c>
      <c r="DI340" s="556" t="str">
        <f>IF(OR(WWWW[[#This Row],['#_students at TLS_CFS]]="",WWWW[[#This Row],['#_students at TLS_CFS]]=0),"No","Yes")</f>
        <v>No</v>
      </c>
      <c r="DJ340" s="554" t="str">
        <f>VLOOKUP(WWWW[[#This Row],[Site Name]],SiteDB6[[Site Name]:[CCCM Management]],6,FALSE)</f>
        <v>Yes</v>
      </c>
      <c r="DK340" s="554">
        <f>VLOOKUP(WWWW[[#This Row],[Site Name]],SiteDB6[[Site Name]:[CCCM Focal Agency]],7,FALSE)</f>
        <v>0</v>
      </c>
      <c r="DL340" s="554" t="str">
        <f>VLOOKUP(WWWW[[#This Row],[Site Name]],SiteDB6[[Site Name]:[Location Type 1]],9,FALSE)</f>
        <v>Camp</v>
      </c>
      <c r="DM340" s="554" t="str">
        <f>VLOOKUP(WWWW[[#This Row],[Site Name]],SiteDB6[[Site Name]:[Type of Accommodation]],10,FALSE)</f>
        <v>Planned Camp</v>
      </c>
      <c r="DN340" s="554" t="str">
        <f>VLOOKUP(WWWW[[#This Row],[Site Name]],SiteDB6[[Site Name]:[Ethnic or GCA/NGCA]],11,FALSE)</f>
        <v>Muslim</v>
      </c>
      <c r="DO340" s="554">
        <f>VLOOKUP(WWWW[[#This Row],[Site Name]],SiteDB6[[Site Name]:[Lat]],12,FALSE)</f>
        <v>20.090183</v>
      </c>
      <c r="DP340" s="554">
        <f>VLOOKUP(WWWW[[#This Row],[Site Name]],SiteDB6[[Site Name]:[Long]],13,FALSE)</f>
        <v>93.010368999999997</v>
      </c>
      <c r="DQ340" s="554" t="str">
        <f>VLOOKUP(WWWW[[#This Row],[Site Name]],SiteDB6[[Site Name]:[Pcode]],3,FALSE)</f>
        <v>MMR012CMP018</v>
      </c>
      <c r="DR340" s="563" t="str">
        <f t="shared" si="11"/>
        <v>Covered</v>
      </c>
      <c r="DS340" s="563"/>
    </row>
    <row r="341" spans="1:123">
      <c r="A341" s="552" t="s">
        <v>2518</v>
      </c>
      <c r="B341" s="552" t="s">
        <v>284</v>
      </c>
      <c r="C341" s="555" t="s">
        <v>284</v>
      </c>
      <c r="D341" s="555" t="s">
        <v>2354</v>
      </c>
      <c r="E341" s="574" t="s">
        <v>3006</v>
      </c>
      <c r="F341" s="555" t="s">
        <v>420</v>
      </c>
      <c r="G341" s="574" t="str">
        <f>VLOOKUP(WWWW[[#This Row],[Site Name]],SiteDB6[[Site Name]:[Location Type]],8,FALSE)</f>
        <v>Village</v>
      </c>
      <c r="H341" s="555" t="s">
        <v>429</v>
      </c>
      <c r="I341" s="557">
        <v>400</v>
      </c>
      <c r="J341" s="557">
        <v>2050</v>
      </c>
      <c r="K341" s="564" t="s">
        <v>2927</v>
      </c>
      <c r="L341" s="565" t="s">
        <v>2928</v>
      </c>
      <c r="M341" s="557"/>
      <c r="N341" s="557"/>
      <c r="O341" s="557"/>
      <c r="P341" s="557" t="s">
        <v>2934</v>
      </c>
      <c r="Q341" s="556" t="s">
        <v>43</v>
      </c>
      <c r="R341" s="557">
        <v>2</v>
      </c>
      <c r="S341" s="557">
        <v>1</v>
      </c>
      <c r="T341" s="557">
        <v>0</v>
      </c>
      <c r="U341" s="557">
        <v>0</v>
      </c>
      <c r="V341" s="557">
        <v>0</v>
      </c>
      <c r="W341" s="557">
        <v>0</v>
      </c>
      <c r="X341" s="557">
        <v>0</v>
      </c>
      <c r="Y341" s="557">
        <v>0</v>
      </c>
      <c r="Z341" s="557">
        <v>0</v>
      </c>
      <c r="AA341" s="557"/>
      <c r="AB341" s="557"/>
      <c r="AC341" s="557"/>
      <c r="AD341" s="557"/>
      <c r="AE341" s="557">
        <v>3</v>
      </c>
      <c r="AF341" s="557">
        <v>0</v>
      </c>
      <c r="AG341" s="557"/>
      <c r="AH341" s="557">
        <v>0</v>
      </c>
      <c r="AI341" s="557"/>
      <c r="AJ341" s="557"/>
      <c r="AK341" s="557">
        <v>0</v>
      </c>
      <c r="AL341" s="557"/>
      <c r="AM341" s="557" t="s">
        <v>2934</v>
      </c>
      <c r="AN341" s="557" t="s">
        <v>2934</v>
      </c>
      <c r="AO341" s="563" t="s">
        <v>2929</v>
      </c>
      <c r="AP341" s="557">
        <v>400</v>
      </c>
      <c r="AQ341" s="557">
        <v>0</v>
      </c>
      <c r="AR341" s="559"/>
      <c r="AS341" s="557">
        <v>0</v>
      </c>
      <c r="AT341" s="557">
        <v>0</v>
      </c>
      <c r="AU341" s="557"/>
      <c r="AV341" s="557"/>
      <c r="AW341" s="557">
        <v>400</v>
      </c>
      <c r="AX341" s="554" t="s">
        <v>148</v>
      </c>
      <c r="AY341" s="563" t="s">
        <v>148</v>
      </c>
      <c r="AZ341" s="557">
        <v>0</v>
      </c>
      <c r="BA341" s="557">
        <v>0</v>
      </c>
      <c r="BB341" s="557"/>
      <c r="BC341" s="554" t="s">
        <v>2930</v>
      </c>
      <c r="BD341" s="557">
        <v>0</v>
      </c>
      <c r="BE341" s="557">
        <v>0</v>
      </c>
      <c r="BF341" s="557">
        <v>0</v>
      </c>
      <c r="BG341" s="557">
        <v>0</v>
      </c>
      <c r="BH341" s="557">
        <v>0</v>
      </c>
      <c r="BI341" s="557">
        <v>2</v>
      </c>
      <c r="BJ341" s="557">
        <v>1</v>
      </c>
      <c r="BK341" s="557">
        <v>456</v>
      </c>
      <c r="BL341" s="557">
        <v>456</v>
      </c>
      <c r="BM341" s="554" t="s">
        <v>144</v>
      </c>
      <c r="BN341" s="558">
        <v>3</v>
      </c>
      <c r="BO341" s="559"/>
      <c r="BP341" s="554" t="s">
        <v>2926</v>
      </c>
      <c r="BQ341" s="560" t="str">
        <f>IFERROR(WWWW[[#This Row],['#_Water sources treated]]/WWWW[[#This Row],['#_Water sources tested for contamination]],"no test")</f>
        <v>no test</v>
      </c>
      <c r="BR341" s="559" t="str">
        <f>IFERROR(WWWW[[#This Row],['#_Household received remediation action due to contamination]]/WWWW[[#This Row],['#_Household water samples tested for contamination]],"no test")</f>
        <v>no test</v>
      </c>
      <c r="BS341" s="558" t="str">
        <f>IF(AND(WWWW[[#This Row],[% of water sources treated]]="no test",WWWW[[#This Row],[% Household received corrective actions]]="no test"),"No Test","Tested")</f>
        <v>No Test</v>
      </c>
      <c r="BT341" s="558">
        <f>WWWW[[#This Row],['#_Constructed/existing protected hand dug well]]-WWWW[[#This Row],['#_Non-functional protected hand dug well]]</f>
        <v>0</v>
      </c>
      <c r="BU341" s="558">
        <f>(WWWW[[#This Row],['#_Constructed/Existing tube wells/boreholes/handpumps_WASH_agency]]+WWWW[[#This Row],['#_Non-Cluster partner water tube-wells/boreholes/handpumps]])-WWWW[[#This Row],['#_Non-functional tube wells/boreholes/handpumps]]</f>
        <v>0</v>
      </c>
      <c r="BV341" s="558">
        <f>WWWW[[#This Row],['#_Constructed/Existingwater storage tank with gravity fed reticulation system]]-WWWW[[#This Row],['#_Non-functional storage tank gravity fed reticulation system]]</f>
        <v>0</v>
      </c>
      <c r="BW341" s="558">
        <f>WWWW[[#This Row],['#_Water boating or water trucking]]</f>
        <v>0</v>
      </c>
      <c r="BX341" s="558">
        <f>WWWW[[#This Row],['#_Constructed/Existing water distribution system from river or natural spring]]</f>
        <v>0</v>
      </c>
      <c r="BY34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1" s="559">
        <f>IF(WWWW[[#This Row],[Location Type 1]]="Village",WWWW[[#This Row],[Access to safe drinking water for Village]],WWWW[[#This Row],[Access to safe drinking water for Camp]])</f>
        <v>0</v>
      </c>
      <c r="CB341" s="556">
        <f>WWWW[[#This Row],[%Equitable and continuous access to sufficient quantity of safe drinking water]]*WWWW[[#This Row],[Total PoP ]]</f>
        <v>0</v>
      </c>
      <c r="CC341" s="559">
        <f>IF((WWWW[[#This Row],['#_Constructed/Existing protected/fenced ponds]]*250)/WWWW[[#This Row],[Total PoP ]]&gt;1,1,(WWWW[[#This Row],['#_Constructed/Existing protected/fenced ponds]]*250)/WWWW[[#This Row],[Total PoP ]])</f>
        <v>0.36585365853658536</v>
      </c>
      <c r="CD341" s="556">
        <f>WWWW[[#This Row],[% Access to unimproved water points]]*WWWW[[#This Row],[Total PoP ]]</f>
        <v>750</v>
      </c>
      <c r="CE34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0.36585365853658536</v>
      </c>
      <c r="CF34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CG341" s="556">
        <f>WWWW[[#This Row],[HRP1]]/500</f>
        <v>1.5</v>
      </c>
      <c r="CH341" s="561">
        <f>1-WWWW[[#This Row],[% Equitable and continuous access to sufficient quantity of domestic water]]</f>
        <v>0.63414634146341464</v>
      </c>
      <c r="CI341" s="556">
        <f>WWWW[[#This Row],[%equitable and continuous access to sufficient quantity of safe drinking and domestic water''s GAP]]*WWWW[[#This Row],[Total PoP ]]</f>
        <v>1300</v>
      </c>
      <c r="CJ341" s="558">
        <f>IF(WWWW[[#This Row],[Total required water points]]-WWWW[[#This Row],['#Water points coverage]]&lt;0,0,WWWW[[#This Row],[Total required water points]]-WWWW[[#This Row],['#Water points coverage]])</f>
        <v>2.5</v>
      </c>
      <c r="CK341" s="558">
        <f>ROUND(IF(WWWW[[#This Row],[Total PoP ]]&lt;500,1,WWWW[[#This Row],[Total PoP ]]/500),0)</f>
        <v>4</v>
      </c>
      <c r="CL341" s="558">
        <f>(WWWW[[#This Row],['#_Constructed latrines_by_WASHAgencies]]+WWWW[[#This Row],['#_Non Cluster partner latrines]])-WWWW[[#This Row],['#_Non-functional latrines]]</f>
        <v>400</v>
      </c>
      <c r="CM34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4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2050</v>
      </c>
      <c r="CO34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1" s="558" t="str">
        <f>IF(WWWW[[#This Row],[Location Type 1]]="Village","NA",IF(WWWW[[#This Row],['#_Constructed/Existing latrines in TLS]]*50&gt;WWWW[[#This Row],['#_students at TLS_CFS]],WWWW[[#This Row],['#_students at TLS_CFS]],(WWWW[[#This Row],['#_Constructed/Existing latrines in TLS]]*50)))</f>
        <v>NA</v>
      </c>
      <c r="CQ341" s="558">
        <f>ROUND(IF(WWWW[[#This Row],[Location Type 1]]="camp",WWWW[[#This Row],[Total PoP ]]/20,IF(WWWW[[#This Row],[Location Type 1]]="Temporary Location",WWWW[[#This Row],[Total PoP ]]/50,(WWWW[[#This Row],[Total PoP ]]/6))),0)</f>
        <v>342</v>
      </c>
      <c r="CR341" s="558">
        <f>IF(WWWW[[#This Row],[Total required Latrines]]-(WWWW[[#This Row],['#_Constructed latrines_by_WASHAgencies]]+WWWW[[#This Row],['#_Non Cluster partner latrines]])&lt;0,0,WWWW[[#This Row],[Total required Latrines]]-(WWWW[[#This Row],['#_Constructed latrines_by_WASHAgencies]]+WWWW[[#This Row],['#_Non Cluster partner latrines]]))</f>
        <v>0</v>
      </c>
      <c r="CS341" s="78">
        <f>1-WWWW[[#This Row],[% people access to functioning Latrine]]</f>
        <v>0</v>
      </c>
      <c r="CT341" s="560">
        <f>IF(OR(WWWW[[#This Row],['#_Non-functional latrines]]="",WWWW[[#This Row],['#_Non-functional latrines]]=0),0,WWWW[[#This Row],['#_Non-functional latrines]]/(WWWW[[#This Row],['#_Constructed latrines_by_WASHAgencies]]+WWWW[[#This Row],['#_Non Cluster partner latrines]]))</f>
        <v>0</v>
      </c>
      <c r="CU341" s="556">
        <f>IF(500*(WWWW[[#This Row],['#_male hygiene promoters]]+WWWW[[#This Row],['#_female hygiene promoters]])&gt;WWWW[[#This Row],[Total PoP ]],WWWW[[#This Row],[Total PoP ]],500*(WWWW[[#This Row],['#_male hygiene promoters]]+WWWW[[#This Row],['#_female hygiene promoters]]))</f>
        <v>1500</v>
      </c>
      <c r="CV34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2050</v>
      </c>
      <c r="CW34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2050</v>
      </c>
      <c r="CX341" s="558">
        <f>IF(WWWW[[#This Row],['# People with access to soap]]&gt;WWWW[[#This Row],['# People with access to Sanity Pads]],WWWW[[#This Row],['# People with access to soap]],WWWW[[#This Row],['# People with access to Sanity Pads]])</f>
        <v>2050</v>
      </c>
      <c r="CY341" s="558">
        <f>IF(WWWW[[#This Row],['# people reached by regular dedicated hygiene promotion_5]]&gt;WWWW[[#This Row],['# People received regular supply of hygiene items_6]],WWWW[[#This Row],['# people reached by regular dedicated hygiene promotion_5]],WWWW[[#This Row],['# People received regular supply of hygiene items_6]])</f>
        <v>2050</v>
      </c>
      <c r="CZ341" s="561">
        <f>IF(WWWW[[#This Row],[HRP3]]/WWWW[[#This Row],[Total PoP ]]&gt;100%,100%,WWWW[[#This Row],[HRP3]]/WWWW[[#This Row],[Total PoP ]])</f>
        <v>1</v>
      </c>
      <c r="DA341" s="560">
        <f>1-WWWW[[#This Row],[Hygiene Coverage%]]</f>
        <v>0</v>
      </c>
      <c r="DB341" s="559">
        <f>WWWW[[#This Row],['# people reached by regular dedicated hygiene promotion_5]]/WWWW[[#This Row],[Total PoP ]]</f>
        <v>0.73170731707317072</v>
      </c>
      <c r="DC341" s="559">
        <f>IF(WWWW[[#This Row],['#_households that received standard amount of soap for this quarter]]/WWWW[[#This Row],[Total HH]]&gt;1,1,WWWW[[#This Row],['#_households that received standard amount of soap for this quarter]]/WWWW[[#This Row],[Total HH]])</f>
        <v>1</v>
      </c>
      <c r="DD341" s="559">
        <f>IF(WWWW[[#This Row],['#_households that received standard amount of sanitary pads for this quarter]]/WWWW[[#This Row],[Total HH]]&gt;1,1,WWWW[[#This Row],['#_households that received standard amount of sanitary pads for this quarter]]/WWWW[[#This Row],[Total HH]])</f>
        <v>1</v>
      </c>
      <c r="DE341" s="558">
        <f>WWWW[[#This Row],['#_Constructed/Existing hand washing stations]]-WWWW[[#This Row],['#_Non-Functional_hand_washing_stations]]</f>
        <v>0</v>
      </c>
      <c r="DF341" s="757">
        <f>IF(WWWW[[#This Row],['# Functional hand washing stations during reporting period]]*20&gt;WWWW[[#This Row],[Total HH]],WWWW[[#This Row],[Total HH]],WWWW[[#This Row],['# Functional hand washing stations during reporting period]]*20)</f>
        <v>0</v>
      </c>
      <c r="DG341" s="556">
        <f>IF(WWWW[[#This Row],[Is sufficient soap available for TLS? (Yes/No)]]="yes",WWWW[[#This Row],['#_Constructed/Existing hand washing stations at TLS]],0)</f>
        <v>0</v>
      </c>
      <c r="DH341" s="556">
        <f>IF(WWWW[[#This Row],['# Functional hand washing stations during reporting period]]*100&gt;WWWW[[#This Row],[Total PoP ]],WWWW[[#This Row],[Total PoP ]],WWWW[[#This Row],['# Functional hand washing stations during reporting period]]*100)</f>
        <v>0</v>
      </c>
      <c r="DI341" s="556" t="str">
        <f>IF(OR(WWWW[[#This Row],['#_students at TLS_CFS]]="",WWWW[[#This Row],['#_students at TLS_CFS]]=0),"No","Yes")</f>
        <v>No</v>
      </c>
      <c r="DJ341" s="554">
        <f>VLOOKUP(WWWW[[#This Row],[Site Name]],SiteDB6[[Site Name]:[CCCM Management]],6,FALSE)</f>
        <v>0</v>
      </c>
      <c r="DK341" s="554">
        <f>VLOOKUP(WWWW[[#This Row],[Site Name]],SiteDB6[[Site Name]:[CCCM Focal Agency]],7,FALSE)</f>
        <v>0</v>
      </c>
      <c r="DL341" s="554" t="str">
        <f>VLOOKUP(WWWW[[#This Row],[Site Name]],SiteDB6[[Site Name]:[Location Type 1]],9,FALSE)</f>
        <v>Village</v>
      </c>
      <c r="DM341" s="554" t="str">
        <f>VLOOKUP(WWWW[[#This Row],[Site Name]],SiteDB6[[Site Name]:[Type of Accommodation]],10,FALSE)</f>
        <v>Village</v>
      </c>
      <c r="DN341" s="554" t="str">
        <f>VLOOKUP(WWWW[[#This Row],[Site Name]],SiteDB6[[Site Name]:[Ethnic or GCA/NGCA]],11,FALSE)</f>
        <v>Muslim</v>
      </c>
      <c r="DO341" s="554">
        <f>VLOOKUP(WWWW[[#This Row],[Site Name]],SiteDB6[[Site Name]:[Lat]],12,FALSE)</f>
        <v>20.099340439999999</v>
      </c>
      <c r="DP341" s="554">
        <f>VLOOKUP(WWWW[[#This Row],[Site Name]],SiteDB6[[Site Name]:[Long]],13,FALSE)</f>
        <v>92.989143369999994</v>
      </c>
      <c r="DQ341" s="554">
        <f>VLOOKUP(WWWW[[#This Row],[Site Name]],SiteDB6[[Site Name]:[Pcode]],3,FALSE)</f>
        <v>197558</v>
      </c>
      <c r="DR341" s="563" t="str">
        <f t="shared" si="11"/>
        <v>Covered</v>
      </c>
      <c r="DS341" s="563"/>
    </row>
    <row r="342" spans="1:123">
      <c r="A342" s="552" t="s">
        <v>2518</v>
      </c>
      <c r="B342" s="552" t="s">
        <v>284</v>
      </c>
      <c r="C342" s="555" t="s">
        <v>284</v>
      </c>
      <c r="D342" s="555" t="s">
        <v>2354</v>
      </c>
      <c r="E342" s="574" t="s">
        <v>3006</v>
      </c>
      <c r="F342" s="555" t="s">
        <v>420</v>
      </c>
      <c r="G342" s="574" t="str">
        <f>VLOOKUP(WWWW[[#This Row],[Site Name]],SiteDB6[[Site Name]:[Location Type]],8,FALSE)</f>
        <v>Camp</v>
      </c>
      <c r="H342" s="584" t="s">
        <v>424</v>
      </c>
      <c r="I342" s="557">
        <v>1010</v>
      </c>
      <c r="J342" s="557">
        <v>4645</v>
      </c>
      <c r="K342" s="564" t="s">
        <v>2927</v>
      </c>
      <c r="L342" s="565" t="s">
        <v>2928</v>
      </c>
      <c r="M342" s="557"/>
      <c r="N342" s="557"/>
      <c r="O342" s="557"/>
      <c r="P342" s="557" t="s">
        <v>2934</v>
      </c>
      <c r="Q342" s="556" t="s">
        <v>43</v>
      </c>
      <c r="R342" s="557">
        <v>8</v>
      </c>
      <c r="S342" s="557">
        <v>3</v>
      </c>
      <c r="T342" s="557">
        <v>0</v>
      </c>
      <c r="U342" s="557">
        <v>0</v>
      </c>
      <c r="V342" s="557">
        <v>0</v>
      </c>
      <c r="W342" s="557">
        <v>0</v>
      </c>
      <c r="X342" s="557">
        <v>0</v>
      </c>
      <c r="Y342" s="557">
        <v>0</v>
      </c>
      <c r="Z342" s="557">
        <v>0</v>
      </c>
      <c r="AA342" s="557">
        <v>73</v>
      </c>
      <c r="AB342" s="557">
        <v>73</v>
      </c>
      <c r="AC342" s="557"/>
      <c r="AD342" s="557"/>
      <c r="AE342" s="557">
        <v>1</v>
      </c>
      <c r="AF342" s="557">
        <v>0</v>
      </c>
      <c r="AG342" s="557"/>
      <c r="AH342" s="557">
        <v>0</v>
      </c>
      <c r="AI342" s="557"/>
      <c r="AJ342" s="557"/>
      <c r="AK342" s="557">
        <v>19</v>
      </c>
      <c r="AL342" s="557">
        <v>6</v>
      </c>
      <c r="AM342" s="557" t="s">
        <v>2934</v>
      </c>
      <c r="AN342" s="557" t="s">
        <v>2934</v>
      </c>
      <c r="AO342" s="563" t="s">
        <v>2931</v>
      </c>
      <c r="AP342" s="557">
        <v>132</v>
      </c>
      <c r="AQ342" s="557">
        <v>0</v>
      </c>
      <c r="AR342" s="559"/>
      <c r="AS342" s="557">
        <v>43</v>
      </c>
      <c r="AT342" s="557">
        <v>132</v>
      </c>
      <c r="AU342" s="557"/>
      <c r="AV342" s="557"/>
      <c r="AW342" s="557"/>
      <c r="AX342" s="554" t="s">
        <v>43</v>
      </c>
      <c r="AY342" s="563" t="s">
        <v>148</v>
      </c>
      <c r="AZ342" s="557">
        <v>33</v>
      </c>
      <c r="BA342" s="557">
        <v>0</v>
      </c>
      <c r="BB342" s="557"/>
      <c r="BC342" s="554" t="s">
        <v>2932</v>
      </c>
      <c r="BD342" s="557">
        <v>0</v>
      </c>
      <c r="BE342" s="557">
        <v>0</v>
      </c>
      <c r="BF342" s="557">
        <v>0</v>
      </c>
      <c r="BG342" s="557">
        <v>0</v>
      </c>
      <c r="BH342" s="557">
        <v>0</v>
      </c>
      <c r="BI342" s="557">
        <v>6</v>
      </c>
      <c r="BJ342" s="557">
        <v>3</v>
      </c>
      <c r="BK342" s="557">
        <v>1010</v>
      </c>
      <c r="BL342" s="557">
        <v>1010</v>
      </c>
      <c r="BM342" s="554" t="s">
        <v>144</v>
      </c>
      <c r="BN342" s="558">
        <v>48</v>
      </c>
      <c r="BO342" s="559"/>
      <c r="BP342" s="554" t="s">
        <v>2926</v>
      </c>
      <c r="BQ342" s="560" t="str">
        <f>IFERROR(WWWW[[#This Row],['#_Water sources treated]]/WWWW[[#This Row],['#_Water sources tested for contamination]],"no test")</f>
        <v>no test</v>
      </c>
      <c r="BR342" s="559">
        <f>IFERROR(WWWW[[#This Row],['#_Household received remediation action due to contamination]]/WWWW[[#This Row],['#_Household water samples tested for contamination]],"no test")</f>
        <v>0.31578947368421051</v>
      </c>
      <c r="BS342" s="558" t="str">
        <f>IF(AND(WWWW[[#This Row],[% of water sources treated]]="no test",WWWW[[#This Row],[% Household received corrective actions]]="no test"),"No Test","Tested")</f>
        <v>Tested</v>
      </c>
      <c r="BT342" s="558">
        <f>WWWW[[#This Row],['#_Constructed/existing protected hand dug well]]-WWWW[[#This Row],['#_Non-functional protected hand dug well]]</f>
        <v>0</v>
      </c>
      <c r="BU342" s="558">
        <f>(WWWW[[#This Row],['#_Constructed/Existing tube wells/boreholes/handpumps_WASH_agency]]+WWWW[[#This Row],['#_Non-Cluster partner water tube-wells/boreholes/handpumps]])-WWWW[[#This Row],['#_Non-functional tube wells/boreholes/handpumps]]</f>
        <v>0</v>
      </c>
      <c r="BV342" s="558">
        <f>WWWW[[#This Row],['#_Constructed/Existingwater storage tank with gravity fed reticulation system]]-WWWW[[#This Row],['#_Non-functional storage tank gravity fed reticulation system]]</f>
        <v>0</v>
      </c>
      <c r="BW342" s="558">
        <f>WWWW[[#This Row],['#_Water boating or water trucking]]</f>
        <v>0</v>
      </c>
      <c r="BX342" s="558">
        <f>WWWW[[#This Row],['#_Constructed/Existing water distribution system from river or natural spring]]</f>
        <v>0</v>
      </c>
      <c r="BY34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2" s="559">
        <f>IF(WWWW[[#This Row],[Location Type 1]]="Village",WWWW[[#This Row],[Access to safe drinking water for Village]],WWWW[[#This Row],[Access to safe drinking water for Camp]])</f>
        <v>0</v>
      </c>
      <c r="CB342" s="556">
        <f>WWWW[[#This Row],[%Equitable and continuous access to sufficient quantity of safe drinking water]]*WWWW[[#This Row],[Total PoP ]]</f>
        <v>0</v>
      </c>
      <c r="CC342" s="559">
        <f>IF((WWWW[[#This Row],['#_Constructed/Existing protected/fenced ponds]]*250)/WWWW[[#This Row],[Total PoP ]]&gt;1,1,(WWWW[[#This Row],['#_Constructed/Existing protected/fenced ponds]]*250)/WWWW[[#This Row],[Total PoP ]])</f>
        <v>5.3821313240043057E-2</v>
      </c>
      <c r="CD342" s="556">
        <f>WWWW[[#This Row],[% Access to unimproved water points]]*WWWW[[#This Row],[Total PoP ]]</f>
        <v>250</v>
      </c>
      <c r="CE34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5.3821313240043057E-2</v>
      </c>
      <c r="CF34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42" s="556">
        <f>WWWW[[#This Row],[HRP1]]/500</f>
        <v>0.5</v>
      </c>
      <c r="CH342" s="561">
        <f>1-WWWW[[#This Row],[% Equitable and continuous access to sufficient quantity of domestic water]]</f>
        <v>0.94617868675995698</v>
      </c>
      <c r="CI342" s="556">
        <f>WWWW[[#This Row],[%equitable and continuous access to sufficient quantity of safe drinking and domestic water''s GAP]]*WWWW[[#This Row],[Total PoP ]]</f>
        <v>4395</v>
      </c>
      <c r="CJ342" s="558">
        <f>IF(WWWW[[#This Row],[Total required water points]]-WWWW[[#This Row],['#Water points coverage]]&lt;0,0,WWWW[[#This Row],[Total required water points]]-WWWW[[#This Row],['#Water points coverage]])</f>
        <v>8.5</v>
      </c>
      <c r="CK342" s="558">
        <f>ROUND(IF(WWWW[[#This Row],[Total PoP ]]&lt;500,1,WWWW[[#This Row],[Total PoP ]]/500),0)</f>
        <v>9</v>
      </c>
      <c r="CL342" s="558">
        <f>(WWWW[[#This Row],['#_Constructed latrines_by_WASHAgencies]]+WWWW[[#This Row],['#_Non Cluster partner latrines]])-WWWW[[#This Row],['#_Non-functional latrines]]</f>
        <v>89</v>
      </c>
      <c r="CM34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0.38320775026910658</v>
      </c>
      <c r="CN34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1780</v>
      </c>
      <c r="CO342"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42" s="558">
        <f>IF(WWWW[[#This Row],[Location Type 1]]="Village","NA",IF(WWWW[[#This Row],['#_Constructed/Existing latrines in TLS]]*50&gt;WWWW[[#This Row],['#_students at TLS_CFS]],WWWW[[#This Row],['#_students at TLS_CFS]],(WWWW[[#This Row],['#_Constructed/Existing latrines in TLS]]*50)))</f>
        <v>0</v>
      </c>
      <c r="CQ342" s="558">
        <f>ROUND(IF(WWWW[[#This Row],[Location Type 1]]="camp",WWWW[[#This Row],[Total PoP ]]/20,IF(WWWW[[#This Row],[Location Type 1]]="Temporary Location",WWWW[[#This Row],[Total PoP ]]/50,(WWWW[[#This Row],[Total PoP ]]/6))),0)</f>
        <v>232</v>
      </c>
      <c r="CR342" s="558">
        <f>IF(WWWW[[#This Row],[Total required Latrines]]-(WWWW[[#This Row],['#_Constructed latrines_by_WASHAgencies]]+WWWW[[#This Row],['#_Non Cluster partner latrines]])&lt;0,0,WWWW[[#This Row],[Total required Latrines]]-(WWWW[[#This Row],['#_Constructed latrines_by_WASHAgencies]]+WWWW[[#This Row],['#_Non Cluster partner latrines]]))</f>
        <v>100</v>
      </c>
      <c r="CS342" s="78">
        <f>1-WWWW[[#This Row],[% people access to functioning Latrine]]</f>
        <v>0.61679224973089342</v>
      </c>
      <c r="CT342" s="560">
        <f>IF(OR(WWWW[[#This Row],['#_Non-functional latrines]]="",WWWW[[#This Row],['#_Non-functional latrines]]=0),0,WWWW[[#This Row],['#_Non-functional latrines]]/(WWWW[[#This Row],['#_Constructed latrines_by_WASHAgencies]]+WWWW[[#This Row],['#_Non Cluster partner latrines]]))</f>
        <v>0.32575757575757575</v>
      </c>
      <c r="CU342" s="556">
        <f>IF(500*(WWWW[[#This Row],['#_male hygiene promoters]]+WWWW[[#This Row],['#_female hygiene promoters]])&gt;WWWW[[#This Row],[Total PoP ]],WWWW[[#This Row],[Total PoP ]],500*(WWWW[[#This Row],['#_male hygiene promoters]]+WWWW[[#This Row],['#_female hygiene promoters]]))</f>
        <v>4500</v>
      </c>
      <c r="CV34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4645</v>
      </c>
      <c r="CW34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4645</v>
      </c>
      <c r="CX342" s="558">
        <f>IF(WWWW[[#This Row],['# People with access to soap]]&gt;WWWW[[#This Row],['# People with access to Sanity Pads]],WWWW[[#This Row],['# People with access to soap]],WWWW[[#This Row],['# People with access to Sanity Pads]])</f>
        <v>4645</v>
      </c>
      <c r="CY342" s="558">
        <f>IF(WWWW[[#This Row],['# people reached by regular dedicated hygiene promotion_5]]&gt;WWWW[[#This Row],['# People received regular supply of hygiene items_6]],WWWW[[#This Row],['# people reached by regular dedicated hygiene promotion_5]],WWWW[[#This Row],['# People received regular supply of hygiene items_6]])</f>
        <v>4645</v>
      </c>
      <c r="CZ342" s="561">
        <f>IF(WWWW[[#This Row],[HRP3]]/WWWW[[#This Row],[Total PoP ]]&gt;100%,100%,WWWW[[#This Row],[HRP3]]/WWWW[[#This Row],[Total PoP ]])</f>
        <v>1</v>
      </c>
      <c r="DA342" s="560">
        <f>1-WWWW[[#This Row],[Hygiene Coverage%]]</f>
        <v>0</v>
      </c>
      <c r="DB342" s="559">
        <f>WWWW[[#This Row],['# people reached by regular dedicated hygiene promotion_5]]/WWWW[[#This Row],[Total PoP ]]</f>
        <v>0.96878363832077508</v>
      </c>
      <c r="DC342" s="559">
        <f>IF(WWWW[[#This Row],['#_households that received standard amount of soap for this quarter]]/WWWW[[#This Row],[Total HH]]&gt;1,1,WWWW[[#This Row],['#_households that received standard amount of soap for this quarter]]/WWWW[[#This Row],[Total HH]])</f>
        <v>1</v>
      </c>
      <c r="DD342" s="559">
        <f>IF(WWWW[[#This Row],['#_households that received standard amount of sanitary pads for this quarter]]/WWWW[[#This Row],[Total HH]]&gt;1,1,WWWW[[#This Row],['#_households that received standard amount of sanitary pads for this quarter]]/WWWW[[#This Row],[Total HH]])</f>
        <v>1</v>
      </c>
      <c r="DE342" s="558">
        <f>WWWW[[#This Row],['#_Constructed/Existing hand washing stations]]-WWWW[[#This Row],['#_Non-Functional_hand_washing_stations]]</f>
        <v>0</v>
      </c>
      <c r="DF342" s="757">
        <f>IF(WWWW[[#This Row],['# Functional hand washing stations during reporting period]]*20&gt;WWWW[[#This Row],[Total HH]],WWWW[[#This Row],[Total HH]],WWWW[[#This Row],['# Functional hand washing stations during reporting period]]*20)</f>
        <v>0</v>
      </c>
      <c r="DG342" s="556">
        <f>IF(WWWW[[#This Row],[Is sufficient soap available for TLS? (Yes/No)]]="yes",WWWW[[#This Row],['#_Constructed/Existing hand washing stations at TLS]],0)</f>
        <v>0</v>
      </c>
      <c r="DH342" s="556">
        <f>IF(WWWW[[#This Row],['# Functional hand washing stations during reporting period]]*100&gt;WWWW[[#This Row],[Total PoP ]],WWWW[[#This Row],[Total PoP ]],WWWW[[#This Row],['# Functional hand washing stations during reporting period]]*100)</f>
        <v>0</v>
      </c>
      <c r="DI342" s="556" t="str">
        <f>IF(OR(WWWW[[#This Row],['#_students at TLS_CFS]]="",WWWW[[#This Row],['#_students at TLS_CFS]]=0),"No","Yes")</f>
        <v>No</v>
      </c>
      <c r="DJ342" s="554" t="str">
        <f>VLOOKUP(WWWW[[#This Row],[Site Name]],SiteDB6[[Site Name]:[CCCM Management]],6,FALSE)</f>
        <v>Yes</v>
      </c>
      <c r="DK342" s="554">
        <f>VLOOKUP(WWWW[[#This Row],[Site Name]],SiteDB6[[Site Name]:[CCCM Focal Agency]],7,FALSE)</f>
        <v>0</v>
      </c>
      <c r="DL342" s="554" t="str">
        <f>VLOOKUP(WWWW[[#This Row],[Site Name]],SiteDB6[[Site Name]:[Location Type 1]],9,FALSE)</f>
        <v>Camp</v>
      </c>
      <c r="DM342" s="554" t="str">
        <f>VLOOKUP(WWWW[[#This Row],[Site Name]],SiteDB6[[Site Name]:[Type of Accommodation]],10,FALSE)</f>
        <v>Individual House</v>
      </c>
      <c r="DN342" s="554" t="str">
        <f>VLOOKUP(WWWW[[#This Row],[Site Name]],SiteDB6[[Site Name]:[Ethnic or GCA/NGCA]],11,FALSE)</f>
        <v>Muslim</v>
      </c>
      <c r="DO342" s="554">
        <f>VLOOKUP(WWWW[[#This Row],[Site Name]],SiteDB6[[Site Name]:[Lat]],12,FALSE)</f>
        <v>20.073437999999999</v>
      </c>
      <c r="DP342" s="554">
        <f>VLOOKUP(WWWW[[#This Row],[Site Name]],SiteDB6[[Site Name]:[Long]],13,FALSE)</f>
        <v>93.154551999999995</v>
      </c>
      <c r="DQ342" s="554" t="str">
        <f>VLOOKUP(WWWW[[#This Row],[Site Name]],SiteDB6[[Site Name]:[Pcode]],3,FALSE)</f>
        <v>MMR012CMP017</v>
      </c>
      <c r="DR342" s="563" t="str">
        <f t="shared" si="11"/>
        <v>Covered</v>
      </c>
      <c r="DS342" s="563"/>
    </row>
    <row r="343" spans="1:123">
      <c r="A343" s="552" t="s">
        <v>2518</v>
      </c>
      <c r="B343" s="552" t="s">
        <v>284</v>
      </c>
      <c r="C343" s="555" t="s">
        <v>284</v>
      </c>
      <c r="D343" s="555" t="s">
        <v>2354</v>
      </c>
      <c r="E343" s="574" t="s">
        <v>3006</v>
      </c>
      <c r="F343" s="555" t="s">
        <v>420</v>
      </c>
      <c r="G343" s="574" t="str">
        <f>VLOOKUP(WWWW[[#This Row],[Site Name]],SiteDB6[[Site Name]:[Location Type]],8,FALSE)</f>
        <v>Camp</v>
      </c>
      <c r="H343" s="555" t="s">
        <v>425</v>
      </c>
      <c r="I343" s="557">
        <v>905</v>
      </c>
      <c r="J343" s="557">
        <v>4104</v>
      </c>
      <c r="K343" s="564" t="s">
        <v>2927</v>
      </c>
      <c r="L343" s="565" t="s">
        <v>2928</v>
      </c>
      <c r="M343" s="557"/>
      <c r="N343" s="557"/>
      <c r="O343" s="557"/>
      <c r="P343" s="557" t="s">
        <v>2934</v>
      </c>
      <c r="Q343" s="556" t="s">
        <v>43</v>
      </c>
      <c r="R343" s="557">
        <v>11</v>
      </c>
      <c r="S343" s="557">
        <v>2</v>
      </c>
      <c r="T343" s="557">
        <v>0</v>
      </c>
      <c r="U343" s="557">
        <v>0</v>
      </c>
      <c r="V343" s="557">
        <v>0</v>
      </c>
      <c r="W343" s="557">
        <v>0</v>
      </c>
      <c r="X343" s="557">
        <v>0</v>
      </c>
      <c r="Y343" s="557">
        <v>0</v>
      </c>
      <c r="Z343" s="557">
        <v>0</v>
      </c>
      <c r="AA343" s="557">
        <v>62</v>
      </c>
      <c r="AB343" s="557"/>
      <c r="AC343" s="557">
        <v>62</v>
      </c>
      <c r="AD343" s="557"/>
      <c r="AE343" s="557">
        <v>3</v>
      </c>
      <c r="AF343" s="557">
        <v>0</v>
      </c>
      <c r="AG343" s="557"/>
      <c r="AH343" s="557">
        <v>0</v>
      </c>
      <c r="AI343" s="557">
        <v>1</v>
      </c>
      <c r="AJ343" s="557">
        <v>1</v>
      </c>
      <c r="AK343" s="557">
        <v>22</v>
      </c>
      <c r="AL343" s="557">
        <v>7</v>
      </c>
      <c r="AM343" s="557" t="s">
        <v>2934</v>
      </c>
      <c r="AN343" s="557" t="s">
        <v>2934</v>
      </c>
      <c r="AO343" s="563"/>
      <c r="AP343" s="557">
        <v>129</v>
      </c>
      <c r="AQ343" s="557">
        <v>0</v>
      </c>
      <c r="AR343" s="559"/>
      <c r="AS343" s="557">
        <v>5</v>
      </c>
      <c r="AT343" s="557">
        <v>129</v>
      </c>
      <c r="AU343" s="557"/>
      <c r="AV343" s="557"/>
      <c r="AW343" s="557"/>
      <c r="AX343" s="554" t="s">
        <v>43</v>
      </c>
      <c r="AY343" s="563" t="s">
        <v>148</v>
      </c>
      <c r="AZ343" s="557">
        <v>32</v>
      </c>
      <c r="BA343" s="557">
        <v>0</v>
      </c>
      <c r="BB343" s="557"/>
      <c r="BC343" s="554" t="s">
        <v>2933</v>
      </c>
      <c r="BD343" s="557">
        <v>0</v>
      </c>
      <c r="BE343" s="557">
        <v>0</v>
      </c>
      <c r="BF343" s="557">
        <v>0</v>
      </c>
      <c r="BG343" s="557">
        <v>0</v>
      </c>
      <c r="BH343" s="557">
        <v>0</v>
      </c>
      <c r="BI343" s="557">
        <v>7</v>
      </c>
      <c r="BJ343" s="557">
        <v>3</v>
      </c>
      <c r="BK343" s="557">
        <v>905</v>
      </c>
      <c r="BL343" s="557">
        <v>905</v>
      </c>
      <c r="BM343" s="554" t="s">
        <v>144</v>
      </c>
      <c r="BN343" s="558">
        <v>24</v>
      </c>
      <c r="BO343" s="559"/>
      <c r="BP343" s="554" t="s">
        <v>2926</v>
      </c>
      <c r="BQ343" s="560">
        <f>IFERROR(WWWW[[#This Row],['#_Water sources treated]]/WWWW[[#This Row],['#_Water sources tested for contamination]],"no test")</f>
        <v>1</v>
      </c>
      <c r="BR343" s="559">
        <f>IFERROR(WWWW[[#This Row],['#_Household received remediation action due to contamination]]/WWWW[[#This Row],['#_Household water samples tested for contamination]],"no test")</f>
        <v>0.31818181818181818</v>
      </c>
      <c r="BS343" s="558" t="str">
        <f>IF(AND(WWWW[[#This Row],[% of water sources treated]]="no test",WWWW[[#This Row],[% Household received corrective actions]]="no test"),"No Test","Tested")</f>
        <v>Tested</v>
      </c>
      <c r="BT343" s="558">
        <f>WWWW[[#This Row],['#_Constructed/existing protected hand dug well]]-WWWW[[#This Row],['#_Non-functional protected hand dug well]]</f>
        <v>0</v>
      </c>
      <c r="BU343" s="558">
        <f>(WWWW[[#This Row],['#_Constructed/Existing tube wells/boreholes/handpumps_WASH_agency]]+WWWW[[#This Row],['#_Non-Cluster partner water tube-wells/boreholes/handpumps]])-WWWW[[#This Row],['#_Non-functional tube wells/boreholes/handpumps]]</f>
        <v>0</v>
      </c>
      <c r="BV343" s="558">
        <f>WWWW[[#This Row],['#_Constructed/Existingwater storage tank with gravity fed reticulation system]]-WWWW[[#This Row],['#_Non-functional storage tank gravity fed reticulation system]]</f>
        <v>62</v>
      </c>
      <c r="BW343" s="558">
        <f>WWWW[[#This Row],['#_Water boating or water trucking]]</f>
        <v>0</v>
      </c>
      <c r="BX343" s="558">
        <f>WWWW[[#This Row],['#_Constructed/Existing water distribution system from river or natural spring]]</f>
        <v>0</v>
      </c>
      <c r="BY34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34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343" s="559">
        <f>IF(WWWW[[#This Row],[Location Type 1]]="Village",WWWW[[#This Row],[Access to safe drinking water for Village]],WWWW[[#This Row],[Access to safe drinking water for Camp]])</f>
        <v>1</v>
      </c>
      <c r="CB343" s="556">
        <f>WWWW[[#This Row],[%Equitable and continuous access to sufficient quantity of safe drinking water]]*WWWW[[#This Row],[Total PoP ]]</f>
        <v>4104</v>
      </c>
      <c r="CC343" s="559">
        <f>IF((WWWW[[#This Row],['#_Constructed/Existing protected/fenced ponds]]*250)/WWWW[[#This Row],[Total PoP ]]&gt;1,1,(WWWW[[#This Row],['#_Constructed/Existing protected/fenced ponds]]*250)/WWWW[[#This Row],[Total PoP ]])</f>
        <v>0.18274853801169591</v>
      </c>
      <c r="CD343" s="556">
        <f>WWWW[[#This Row],[% Access to unimproved water points]]*WWWW[[#This Row],[Total PoP ]]</f>
        <v>750</v>
      </c>
      <c r="CE34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4104</v>
      </c>
      <c r="CG343" s="556">
        <f>WWWW[[#This Row],[HRP1]]/500</f>
        <v>8.2080000000000002</v>
      </c>
      <c r="CH343" s="561">
        <f>1-WWWW[[#This Row],[% Equitable and continuous access to sufficient quantity of domestic water]]</f>
        <v>0</v>
      </c>
      <c r="CI343" s="556">
        <f>WWWW[[#This Row],[%equitable and continuous access to sufficient quantity of safe drinking and domestic water''s GAP]]*WWWW[[#This Row],[Total PoP ]]</f>
        <v>0</v>
      </c>
      <c r="CJ343" s="558">
        <f>IF(WWWW[[#This Row],[Total required water points]]-WWWW[[#This Row],['#Water points coverage]]&lt;0,0,WWWW[[#This Row],[Total required water points]]-WWWW[[#This Row],['#Water points coverage]])</f>
        <v>0</v>
      </c>
      <c r="CK343" s="558">
        <f>ROUND(IF(WWWW[[#This Row],[Total PoP ]]&lt;500,1,WWWW[[#This Row],[Total PoP ]]/500),0)</f>
        <v>8</v>
      </c>
      <c r="CL343" s="558">
        <f>(WWWW[[#This Row],['#_Constructed latrines_by_WASHAgencies]]+WWWW[[#This Row],['#_Non Cluster partner latrines]])-WWWW[[#This Row],['#_Non-functional latrines]]</f>
        <v>124</v>
      </c>
      <c r="CM34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0.6042884990253411</v>
      </c>
      <c r="CN34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2480</v>
      </c>
      <c r="CO343"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43" s="558">
        <f>IF(WWWW[[#This Row],[Location Type 1]]="Village","NA",IF(WWWW[[#This Row],['#_Constructed/Existing latrines in TLS]]*50&gt;WWWW[[#This Row],['#_students at TLS_CFS]],WWWW[[#This Row],['#_students at TLS_CFS]],(WWWW[[#This Row],['#_Constructed/Existing latrines in TLS]]*50)))</f>
        <v>0</v>
      </c>
      <c r="CQ343" s="558">
        <f>ROUND(IF(WWWW[[#This Row],[Location Type 1]]="camp",WWWW[[#This Row],[Total PoP ]]/20,IF(WWWW[[#This Row],[Location Type 1]]="Temporary Location",WWWW[[#This Row],[Total PoP ]]/50,(WWWW[[#This Row],[Total PoP ]]/6))),0)</f>
        <v>205</v>
      </c>
      <c r="CR343" s="558">
        <f>IF(WWWW[[#This Row],[Total required Latrines]]-(WWWW[[#This Row],['#_Constructed latrines_by_WASHAgencies]]+WWWW[[#This Row],['#_Non Cluster partner latrines]])&lt;0,0,WWWW[[#This Row],[Total required Latrines]]-(WWWW[[#This Row],['#_Constructed latrines_by_WASHAgencies]]+WWWW[[#This Row],['#_Non Cluster partner latrines]]))</f>
        <v>76</v>
      </c>
      <c r="CS343" s="78">
        <f>1-WWWW[[#This Row],[% people access to functioning Latrine]]</f>
        <v>0.3957115009746589</v>
      </c>
      <c r="CT343" s="560">
        <f>IF(OR(WWWW[[#This Row],['#_Non-functional latrines]]="",WWWW[[#This Row],['#_Non-functional latrines]]=0),0,WWWW[[#This Row],['#_Non-functional latrines]]/(WWWW[[#This Row],['#_Constructed latrines_by_WASHAgencies]]+WWWW[[#This Row],['#_Non Cluster partner latrines]]))</f>
        <v>3.875968992248062E-2</v>
      </c>
      <c r="CU343" s="556">
        <f>IF(500*(WWWW[[#This Row],['#_male hygiene promoters]]+WWWW[[#This Row],['#_female hygiene promoters]])&gt;WWWW[[#This Row],[Total PoP ]],WWWW[[#This Row],[Total PoP ]],500*(WWWW[[#This Row],['#_male hygiene promoters]]+WWWW[[#This Row],['#_female hygiene promoters]]))</f>
        <v>4104</v>
      </c>
      <c r="CV34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4104</v>
      </c>
      <c r="CW34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4104</v>
      </c>
      <c r="CX343" s="558">
        <f>IF(WWWW[[#This Row],['# People with access to soap]]&gt;WWWW[[#This Row],['# People with access to Sanity Pads]],WWWW[[#This Row],['# People with access to soap]],WWWW[[#This Row],['# People with access to Sanity Pads]])</f>
        <v>4104</v>
      </c>
      <c r="CY343" s="558">
        <f>IF(WWWW[[#This Row],['# people reached by regular dedicated hygiene promotion_5]]&gt;WWWW[[#This Row],['# People received regular supply of hygiene items_6]],WWWW[[#This Row],['# people reached by regular dedicated hygiene promotion_5]],WWWW[[#This Row],['# People received regular supply of hygiene items_6]])</f>
        <v>4104</v>
      </c>
      <c r="CZ343" s="561">
        <f>IF(WWWW[[#This Row],[HRP3]]/WWWW[[#This Row],[Total PoP ]]&gt;100%,100%,WWWW[[#This Row],[HRP3]]/WWWW[[#This Row],[Total PoP ]])</f>
        <v>1</v>
      </c>
      <c r="DA343" s="560">
        <f>1-WWWW[[#This Row],[Hygiene Coverage%]]</f>
        <v>0</v>
      </c>
      <c r="DB343" s="559">
        <f>WWWW[[#This Row],['# people reached by regular dedicated hygiene promotion_5]]/WWWW[[#This Row],[Total PoP ]]</f>
        <v>1</v>
      </c>
      <c r="DC343" s="559">
        <f>IF(WWWW[[#This Row],['#_households that received standard amount of soap for this quarter]]/WWWW[[#This Row],[Total HH]]&gt;1,1,WWWW[[#This Row],['#_households that received standard amount of soap for this quarter]]/WWWW[[#This Row],[Total HH]])</f>
        <v>1</v>
      </c>
      <c r="DD343" s="559">
        <f>IF(WWWW[[#This Row],['#_households that received standard amount of sanitary pads for this quarter]]/WWWW[[#This Row],[Total HH]]&gt;1,1,WWWW[[#This Row],['#_households that received standard amount of sanitary pads for this quarter]]/WWWW[[#This Row],[Total HH]])</f>
        <v>1</v>
      </c>
      <c r="DE343" s="558">
        <f>WWWW[[#This Row],['#_Constructed/Existing hand washing stations]]-WWWW[[#This Row],['#_Non-Functional_hand_washing_stations]]</f>
        <v>0</v>
      </c>
      <c r="DF343" s="757">
        <f>IF(WWWW[[#This Row],['# Functional hand washing stations during reporting period]]*20&gt;WWWW[[#This Row],[Total HH]],WWWW[[#This Row],[Total HH]],WWWW[[#This Row],['# Functional hand washing stations during reporting period]]*20)</f>
        <v>0</v>
      </c>
      <c r="DG343" s="556">
        <f>IF(WWWW[[#This Row],[Is sufficient soap available for TLS? (Yes/No)]]="yes",WWWW[[#This Row],['#_Constructed/Existing hand washing stations at TLS]],0)</f>
        <v>0</v>
      </c>
      <c r="DH343" s="556">
        <f>IF(WWWW[[#This Row],['# Functional hand washing stations during reporting period]]*100&gt;WWWW[[#This Row],[Total PoP ]],WWWW[[#This Row],[Total PoP ]],WWWW[[#This Row],['# Functional hand washing stations during reporting period]]*100)</f>
        <v>0</v>
      </c>
      <c r="DI343" s="556" t="str">
        <f>IF(OR(WWWW[[#This Row],['#_students at TLS_CFS]]="",WWWW[[#This Row],['#_students at TLS_CFS]]=0),"No","Yes")</f>
        <v>No</v>
      </c>
      <c r="DJ343" s="554" t="str">
        <f>VLOOKUP(WWWW[[#This Row],[Site Name]],SiteDB6[[Site Name]:[CCCM Management]],6,FALSE)</f>
        <v>Yes</v>
      </c>
      <c r="DK343" s="554">
        <f>VLOOKUP(WWWW[[#This Row],[Site Name]],SiteDB6[[Site Name]:[CCCM Focal Agency]],7,FALSE)</f>
        <v>0</v>
      </c>
      <c r="DL343" s="554" t="str">
        <f>VLOOKUP(WWWW[[#This Row],[Site Name]],SiteDB6[[Site Name]:[Location Type 1]],9,FALSE)</f>
        <v>Camp</v>
      </c>
      <c r="DM343" s="554" t="str">
        <f>VLOOKUP(WWWW[[#This Row],[Site Name]],SiteDB6[[Site Name]:[Type of Accommodation]],10,FALSE)</f>
        <v>Planned Camp</v>
      </c>
      <c r="DN343" s="554" t="str">
        <f>VLOOKUP(WWWW[[#This Row],[Site Name]],SiteDB6[[Site Name]:[Ethnic or GCA/NGCA]],11,FALSE)</f>
        <v>Muslim</v>
      </c>
      <c r="DO343" s="554">
        <f>VLOOKUP(WWWW[[#This Row],[Site Name]],SiteDB6[[Site Name]:[Lat]],12,FALSE)</f>
        <v>20.073437999999999</v>
      </c>
      <c r="DP343" s="554">
        <f>VLOOKUP(WWWW[[#This Row],[Site Name]],SiteDB6[[Site Name]:[Long]],13,FALSE)</f>
        <v>93.154551999999995</v>
      </c>
      <c r="DQ343" s="554" t="str">
        <f>VLOOKUP(WWWW[[#This Row],[Site Name]],SiteDB6[[Site Name]:[Pcode]],3,FALSE)</f>
        <v>MMR012CMP017</v>
      </c>
      <c r="DR343" s="563" t="str">
        <f t="shared" si="11"/>
        <v>Covered</v>
      </c>
      <c r="DS343" s="563"/>
    </row>
    <row r="344" spans="1:123">
      <c r="A344" s="552" t="s">
        <v>2518</v>
      </c>
      <c r="B344" s="552" t="s">
        <v>305</v>
      </c>
      <c r="C344" s="555" t="s">
        <v>305</v>
      </c>
      <c r="D344" s="555" t="s">
        <v>345</v>
      </c>
      <c r="E344" s="574" t="s">
        <v>3006</v>
      </c>
      <c r="F344" s="555" t="s">
        <v>420</v>
      </c>
      <c r="G344" s="574" t="str">
        <f>VLOOKUP(WWWW[[#This Row],[Site Name]],SiteDB6[[Site Name]:[Location Type]],8,FALSE)</f>
        <v>Village</v>
      </c>
      <c r="H344" s="555" t="s">
        <v>2823</v>
      </c>
      <c r="I344" s="557">
        <v>142</v>
      </c>
      <c r="J344" s="557">
        <v>582</v>
      </c>
      <c r="K344" s="564">
        <v>43359</v>
      </c>
      <c r="L344" s="565">
        <v>43830</v>
      </c>
      <c r="M344" s="557"/>
      <c r="N344" s="557"/>
      <c r="O344" s="557"/>
      <c r="P344" s="557"/>
      <c r="Q344" s="556"/>
      <c r="R344" s="557"/>
      <c r="S344" s="557"/>
      <c r="T344" s="557"/>
      <c r="U344" s="557"/>
      <c r="V344" s="557"/>
      <c r="W344" s="557"/>
      <c r="X344" s="557"/>
      <c r="Y344" s="557"/>
      <c r="Z344" s="557"/>
      <c r="AA344" s="557"/>
      <c r="AB344" s="557"/>
      <c r="AC344" s="557"/>
      <c r="AD344" s="557"/>
      <c r="AE344" s="557"/>
      <c r="AF344" s="557"/>
      <c r="AG344" s="557"/>
      <c r="AH344" s="557"/>
      <c r="AI344" s="557"/>
      <c r="AJ344" s="557"/>
      <c r="AK344" s="557"/>
      <c r="AL344" s="557"/>
      <c r="AM344" s="557"/>
      <c r="AN344" s="557"/>
      <c r="AO344" s="563"/>
      <c r="AP344" s="557"/>
      <c r="AQ344" s="557"/>
      <c r="AR344" s="559"/>
      <c r="AS344" s="557"/>
      <c r="AT344" s="557"/>
      <c r="AU344" s="557"/>
      <c r="AV344" s="557"/>
      <c r="AW344" s="557"/>
      <c r="AX344" s="554"/>
      <c r="AY344" s="563"/>
      <c r="AZ344" s="557"/>
      <c r="BA344" s="557"/>
      <c r="BB344" s="557"/>
      <c r="BC344" s="554"/>
      <c r="BD344" s="557"/>
      <c r="BE344" s="557"/>
      <c r="BF344" s="557"/>
      <c r="BG344" s="557"/>
      <c r="BH344" s="557"/>
      <c r="BI344" s="557"/>
      <c r="BJ344" s="557"/>
      <c r="BK344" s="557"/>
      <c r="BL344" s="557"/>
      <c r="BM344" s="554"/>
      <c r="BN344" s="558"/>
      <c r="BO344" s="559"/>
      <c r="BP344" s="554"/>
      <c r="BQ344" s="560" t="str">
        <f>IFERROR(WWWW[[#This Row],['#_Water sources treated]]/WWWW[[#This Row],['#_Water sources tested for contamination]],"no test")</f>
        <v>no test</v>
      </c>
      <c r="BR344" s="559" t="str">
        <f>IFERROR(WWWW[[#This Row],['#_Household received remediation action due to contamination]]/WWWW[[#This Row],['#_Household water samples tested for contamination]],"no test")</f>
        <v>no test</v>
      </c>
      <c r="BS344" s="558" t="str">
        <f>IF(AND(WWWW[[#This Row],[% of water sources treated]]="no test",WWWW[[#This Row],[% Household received corrective actions]]="no test"),"No Test","Tested")</f>
        <v>No Test</v>
      </c>
      <c r="BT344" s="558">
        <f>WWWW[[#This Row],['#_Constructed/existing protected hand dug well]]-WWWW[[#This Row],['#_Non-functional protected hand dug well]]</f>
        <v>0</v>
      </c>
      <c r="BU344" s="558">
        <f>(WWWW[[#This Row],['#_Constructed/Existing tube wells/boreholes/handpumps_WASH_agency]]+WWWW[[#This Row],['#_Non-Cluster partner water tube-wells/boreholes/handpumps]])-WWWW[[#This Row],['#_Non-functional tube wells/boreholes/handpumps]]</f>
        <v>0</v>
      </c>
      <c r="BV344" s="558">
        <f>WWWW[[#This Row],['#_Constructed/Existingwater storage tank with gravity fed reticulation system]]-WWWW[[#This Row],['#_Non-functional storage tank gravity fed reticulation system]]</f>
        <v>0</v>
      </c>
      <c r="BW344" s="558">
        <f>WWWW[[#This Row],['#_Water boating or water trucking]]</f>
        <v>0</v>
      </c>
      <c r="BX344" s="558">
        <f>WWWW[[#This Row],['#_Constructed/Existing water distribution system from river or natural spring]]</f>
        <v>0</v>
      </c>
      <c r="BY34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4" s="559">
        <f>IF(WWWW[[#This Row],[Location Type 1]]="Village",WWWW[[#This Row],[Access to safe drinking water for Village]],WWWW[[#This Row],[Access to safe drinking water for Camp]])</f>
        <v>0</v>
      </c>
      <c r="CB344" s="556">
        <f>WWWW[[#This Row],[%Equitable and continuous access to sufficient quantity of safe drinking water]]*WWWW[[#This Row],[Total PoP ]]</f>
        <v>0</v>
      </c>
      <c r="CC344" s="559">
        <f>IF((WWWW[[#This Row],['#_Constructed/Existing protected/fenced ponds]]*250)/WWWW[[#This Row],[Total PoP ]]&gt;1,1,(WWWW[[#This Row],['#_Constructed/Existing protected/fenced ponds]]*250)/WWWW[[#This Row],[Total PoP ]])</f>
        <v>0</v>
      </c>
      <c r="CD344" s="556">
        <f>WWWW[[#This Row],[% Access to unimproved water points]]*WWWW[[#This Row],[Total PoP ]]</f>
        <v>0</v>
      </c>
      <c r="CE34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4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44" s="556">
        <f>WWWW[[#This Row],[HRP1]]/500</f>
        <v>0</v>
      </c>
      <c r="CH344" s="561">
        <f>1-WWWW[[#This Row],[% Equitable and continuous access to sufficient quantity of domestic water]]</f>
        <v>1</v>
      </c>
      <c r="CI344" s="556">
        <f>WWWW[[#This Row],[%equitable and continuous access to sufficient quantity of safe drinking and domestic water''s GAP]]*WWWW[[#This Row],[Total PoP ]]</f>
        <v>582</v>
      </c>
      <c r="CJ344" s="558">
        <f>IF(WWWW[[#This Row],[Total required water points]]-WWWW[[#This Row],['#Water points coverage]]&lt;0,0,WWWW[[#This Row],[Total required water points]]-WWWW[[#This Row],['#Water points coverage]])</f>
        <v>1</v>
      </c>
      <c r="CK344" s="558">
        <f>ROUND(IF(WWWW[[#This Row],[Total PoP ]]&lt;500,1,WWWW[[#This Row],[Total PoP ]]/500),0)</f>
        <v>1</v>
      </c>
      <c r="CL344" s="558">
        <f>(WWWW[[#This Row],['#_Constructed latrines_by_WASHAgencies]]+WWWW[[#This Row],['#_Non Cluster partner latrines]])-WWWW[[#This Row],['#_Non-functional latrines]]</f>
        <v>0</v>
      </c>
      <c r="CM34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4" s="558" t="str">
        <f>IF(WWWW[[#This Row],[Location Type 1]]="Village","NA",IF(WWWW[[#This Row],['#_Constructed/Existing latrines in TLS]]*50&gt;WWWW[[#This Row],['#_students at TLS_CFS]],WWWW[[#This Row],['#_students at TLS_CFS]],(WWWW[[#This Row],['#_Constructed/Existing latrines in TLS]]*50)))</f>
        <v>NA</v>
      </c>
      <c r="CQ344" s="558">
        <f>ROUND(IF(WWWW[[#This Row],[Location Type 1]]="camp",WWWW[[#This Row],[Total PoP ]]/20,IF(WWWW[[#This Row],[Location Type 1]]="Temporary Location",WWWW[[#This Row],[Total PoP ]]/50,(WWWW[[#This Row],[Total PoP ]]/6))),0)</f>
        <v>97</v>
      </c>
      <c r="CR344" s="558">
        <f>IF(WWWW[[#This Row],[Total required Latrines]]-(WWWW[[#This Row],['#_Constructed latrines_by_WASHAgencies]]+WWWW[[#This Row],['#_Non Cluster partner latrines]])&lt;0,0,WWWW[[#This Row],[Total required Latrines]]-(WWWW[[#This Row],['#_Constructed latrines_by_WASHAgencies]]+WWWW[[#This Row],['#_Non Cluster partner latrines]]))</f>
        <v>97</v>
      </c>
      <c r="CS344" s="78">
        <f>1-WWWW[[#This Row],[% people access to functioning Latrine]]</f>
        <v>1</v>
      </c>
      <c r="CT344" s="560">
        <f>IF(OR(WWWW[[#This Row],['#_Non-functional latrines]]="",WWWW[[#This Row],['#_Non-functional latrines]]=0),0,WWWW[[#This Row],['#_Non-functional latrines]]/(WWWW[[#This Row],['#_Constructed latrines_by_WASHAgencies]]+WWWW[[#This Row],['#_Non Cluster partner latrines]]))</f>
        <v>0</v>
      </c>
      <c r="CU344" s="556">
        <f>IF(500*(WWWW[[#This Row],['#_male hygiene promoters]]+WWWW[[#This Row],['#_female hygiene promoters]])&gt;WWWW[[#This Row],[Total PoP ]],WWWW[[#This Row],[Total PoP ]],500*(WWWW[[#This Row],['#_male hygiene promoters]]+WWWW[[#This Row],['#_female hygiene promoters]]))</f>
        <v>0</v>
      </c>
      <c r="CV34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4" s="558">
        <f>IF(WWWW[[#This Row],['# People with access to soap]]&gt;WWWW[[#This Row],['# People with access to Sanity Pads]],WWWW[[#This Row],['# People with access to soap]],WWWW[[#This Row],['# People with access to Sanity Pads]])</f>
        <v>0</v>
      </c>
      <c r="CY34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4" s="561">
        <f>IF(WWWW[[#This Row],[HRP3]]/WWWW[[#This Row],[Total PoP ]]&gt;100%,100%,WWWW[[#This Row],[HRP3]]/WWWW[[#This Row],[Total PoP ]])</f>
        <v>0</v>
      </c>
      <c r="DA344" s="560">
        <f>1-WWWW[[#This Row],[Hygiene Coverage%]]</f>
        <v>1</v>
      </c>
      <c r="DB344" s="559">
        <f>WWWW[[#This Row],['# people reached by regular dedicated hygiene promotion_5]]/WWWW[[#This Row],[Total PoP ]]</f>
        <v>0</v>
      </c>
      <c r="DC344" s="559">
        <f>IF(WWWW[[#This Row],['#_households that received standard amount of soap for this quarter]]/WWWW[[#This Row],[Total HH]]&gt;1,1,WWWW[[#This Row],['#_households that received standard amount of soap for this quarter]]/WWWW[[#This Row],[Total HH]])</f>
        <v>0</v>
      </c>
      <c r="DD344" s="559">
        <f>IF(WWWW[[#This Row],['#_households that received standard amount of sanitary pads for this quarter]]/WWWW[[#This Row],[Total HH]]&gt;1,1,WWWW[[#This Row],['#_households that received standard amount of sanitary pads for this quarter]]/WWWW[[#This Row],[Total HH]])</f>
        <v>0</v>
      </c>
      <c r="DE344" s="558">
        <f>WWWW[[#This Row],['#_Constructed/Existing hand washing stations]]-WWWW[[#This Row],['#_Non-Functional_hand_washing_stations]]</f>
        <v>0</v>
      </c>
      <c r="DF344" s="757">
        <f>IF(WWWW[[#This Row],['# Functional hand washing stations during reporting period]]*20&gt;WWWW[[#This Row],[Total HH]],WWWW[[#This Row],[Total HH]],WWWW[[#This Row],['# Functional hand washing stations during reporting period]]*20)</f>
        <v>0</v>
      </c>
      <c r="DG344" s="556">
        <f>IF(WWWW[[#This Row],[Is sufficient soap available for TLS? (Yes/No)]]="yes",WWWW[[#This Row],['#_Constructed/Existing hand washing stations at TLS]],0)</f>
        <v>0</v>
      </c>
      <c r="DH344" s="556">
        <f>IF(WWWW[[#This Row],['# Functional hand washing stations during reporting period]]*100&gt;WWWW[[#This Row],[Total PoP ]],WWWW[[#This Row],[Total PoP ]],WWWW[[#This Row],['# Functional hand washing stations during reporting period]]*100)</f>
        <v>0</v>
      </c>
      <c r="DI344" s="556" t="str">
        <f>IF(OR(WWWW[[#This Row],['#_students at TLS_CFS]]="",WWWW[[#This Row],['#_students at TLS_CFS]]=0),"No","Yes")</f>
        <v>No</v>
      </c>
      <c r="DJ344" s="554">
        <f>VLOOKUP(WWWW[[#This Row],[Site Name]],SiteDB6[[Site Name]:[CCCM Management]],6,FALSE)</f>
        <v>0</v>
      </c>
      <c r="DK344" s="554">
        <f>VLOOKUP(WWWW[[#This Row],[Site Name]],SiteDB6[[Site Name]:[CCCM Focal Agency]],7,FALSE)</f>
        <v>0</v>
      </c>
      <c r="DL344" s="554" t="str">
        <f>VLOOKUP(WWWW[[#This Row],[Site Name]],SiteDB6[[Site Name]:[Location Type 1]],9,FALSE)</f>
        <v>Village</v>
      </c>
      <c r="DM344" s="554" t="str">
        <f>VLOOKUP(WWWW[[#This Row],[Site Name]],SiteDB6[[Site Name]:[Type of Accommodation]],10,FALSE)</f>
        <v>Village</v>
      </c>
      <c r="DN344" s="554">
        <f>VLOOKUP(WWWW[[#This Row],[Site Name]],SiteDB6[[Site Name]:[Ethnic or GCA/NGCA]],11,FALSE)</f>
        <v>0</v>
      </c>
      <c r="DO344" s="554">
        <f>VLOOKUP(WWWW[[#This Row],[Site Name]],SiteDB6[[Site Name]:[Lat]],12,FALSE)</f>
        <v>20.068620681762699</v>
      </c>
      <c r="DP344" s="554">
        <f>VLOOKUP(WWWW[[#This Row],[Site Name]],SiteDB6[[Site Name]:[Long]],13,FALSE)</f>
        <v>92.934440612792997</v>
      </c>
      <c r="DQ344" s="554">
        <f>VLOOKUP(WWWW[[#This Row],[Site Name]],SiteDB6[[Site Name]:[Pcode]],3,FALSE)</f>
        <v>197574</v>
      </c>
      <c r="DR344" s="563" t="str">
        <f t="shared" si="11"/>
        <v>Covered</v>
      </c>
      <c r="DS344" s="563"/>
    </row>
    <row r="345" spans="1:123">
      <c r="A345" s="552" t="s">
        <v>2518</v>
      </c>
      <c r="B345" s="552" t="s">
        <v>336</v>
      </c>
      <c r="C345" s="555" t="s">
        <v>336</v>
      </c>
      <c r="D345" s="555" t="s">
        <v>352</v>
      </c>
      <c r="E345" s="574" t="s">
        <v>3006</v>
      </c>
      <c r="F345" s="555" t="s">
        <v>320</v>
      </c>
      <c r="G345" s="574" t="str">
        <f>VLOOKUP(WWWW[[#This Row],[Site Name]],SiteDB6[[Site Name]:[Location Type]],8,FALSE)</f>
        <v>Village_Not HRP</v>
      </c>
      <c r="H345" s="555" t="s">
        <v>367</v>
      </c>
      <c r="I345" s="557">
        <v>73</v>
      </c>
      <c r="J345" s="557">
        <v>306</v>
      </c>
      <c r="K345" s="564">
        <v>42887</v>
      </c>
      <c r="L345" s="565">
        <v>43616</v>
      </c>
      <c r="M345" s="557"/>
      <c r="N345" s="557"/>
      <c r="O345" s="557"/>
      <c r="P345" s="557"/>
      <c r="Q345" s="556"/>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7"/>
      <c r="AN345" s="557"/>
      <c r="AO345" s="563"/>
      <c r="AP345" s="557"/>
      <c r="AQ345" s="557"/>
      <c r="AR345" s="559"/>
      <c r="AS345" s="557"/>
      <c r="AT345" s="557"/>
      <c r="AU345" s="557"/>
      <c r="AV345" s="557"/>
      <c r="AW345" s="557"/>
      <c r="AX345" s="554"/>
      <c r="AY345" s="563"/>
      <c r="AZ345" s="557"/>
      <c r="BA345" s="557"/>
      <c r="BB345" s="557"/>
      <c r="BC345" s="554"/>
      <c r="BD345" s="557"/>
      <c r="BE345" s="557"/>
      <c r="BF345" s="557"/>
      <c r="BG345" s="557"/>
      <c r="BH345" s="557"/>
      <c r="BI345" s="557"/>
      <c r="BJ345" s="557"/>
      <c r="BK345" s="557"/>
      <c r="BL345" s="557"/>
      <c r="BM345" s="554"/>
      <c r="BN345" s="558"/>
      <c r="BO345" s="559"/>
      <c r="BP345" s="554"/>
      <c r="BQ345" s="560" t="str">
        <f>IFERROR(WWWW[[#This Row],['#_Water sources treated]]/WWWW[[#This Row],['#_Water sources tested for contamination]],"no test")</f>
        <v>no test</v>
      </c>
      <c r="BR345" s="559" t="str">
        <f>IFERROR(WWWW[[#This Row],['#_Household received remediation action due to contamination]]/WWWW[[#This Row],['#_Household water samples tested for contamination]],"no test")</f>
        <v>no test</v>
      </c>
      <c r="BS345" s="558" t="str">
        <f>IF(AND(WWWW[[#This Row],[% of water sources treated]]="no test",WWWW[[#This Row],[% Household received corrective actions]]="no test"),"No Test","Tested")</f>
        <v>No Test</v>
      </c>
      <c r="BT345" s="558">
        <f>WWWW[[#This Row],['#_Constructed/existing protected hand dug well]]-WWWW[[#This Row],['#_Non-functional protected hand dug well]]</f>
        <v>0</v>
      </c>
      <c r="BU345" s="558">
        <f>(WWWW[[#This Row],['#_Constructed/Existing tube wells/boreholes/handpumps_WASH_agency]]+WWWW[[#This Row],['#_Non-Cluster partner water tube-wells/boreholes/handpumps]])-WWWW[[#This Row],['#_Non-functional tube wells/boreholes/handpumps]]</f>
        <v>0</v>
      </c>
      <c r="BV345" s="558">
        <f>WWWW[[#This Row],['#_Constructed/Existingwater storage tank with gravity fed reticulation system]]-WWWW[[#This Row],['#_Non-functional storage tank gravity fed reticulation system]]</f>
        <v>0</v>
      </c>
      <c r="BW345" s="558">
        <f>WWWW[[#This Row],['#_Water boating or water trucking]]</f>
        <v>0</v>
      </c>
      <c r="BX345" s="558">
        <f>WWWW[[#This Row],['#_Constructed/Existing water distribution system from river or natural spring]]</f>
        <v>0</v>
      </c>
      <c r="BY34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5" s="559">
        <f>IF(WWWW[[#This Row],[Location Type 1]]="Village",WWWW[[#This Row],[Access to safe drinking water for Village]],WWWW[[#This Row],[Access to safe drinking water for Camp]])</f>
        <v>0</v>
      </c>
      <c r="CB345" s="556">
        <f>WWWW[[#This Row],[%Equitable and continuous access to sufficient quantity of safe drinking water]]*WWWW[[#This Row],[Total PoP ]]</f>
        <v>0</v>
      </c>
      <c r="CC345" s="559">
        <f>IF((WWWW[[#This Row],['#_Constructed/Existing protected/fenced ponds]]*250)/WWWW[[#This Row],[Total PoP ]]&gt;1,1,(WWWW[[#This Row],['#_Constructed/Existing protected/fenced ponds]]*250)/WWWW[[#This Row],[Total PoP ]])</f>
        <v>0</v>
      </c>
      <c r="CD345" s="556">
        <f>WWWW[[#This Row],[% Access to unimproved water points]]*WWWW[[#This Row],[Total PoP ]]</f>
        <v>0</v>
      </c>
      <c r="CE34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4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45" s="556">
        <f>WWWW[[#This Row],[HRP1]]/500</f>
        <v>0</v>
      </c>
      <c r="CH345" s="561">
        <f>1-WWWW[[#This Row],[% Equitable and continuous access to sufficient quantity of domestic water]]</f>
        <v>1</v>
      </c>
      <c r="CI345" s="556">
        <f>WWWW[[#This Row],[%equitable and continuous access to sufficient quantity of safe drinking and domestic water''s GAP]]*WWWW[[#This Row],[Total PoP ]]</f>
        <v>306</v>
      </c>
      <c r="CJ345" s="558">
        <f>IF(WWWW[[#This Row],[Total required water points]]-WWWW[[#This Row],['#Water points coverage]]&lt;0,0,WWWW[[#This Row],[Total required water points]]-WWWW[[#This Row],['#Water points coverage]])</f>
        <v>1</v>
      </c>
      <c r="CK345" s="558">
        <f>ROUND(IF(WWWW[[#This Row],[Total PoP ]]&lt;500,1,WWWW[[#This Row],[Total PoP ]]/500),0)</f>
        <v>1</v>
      </c>
      <c r="CL345" s="558">
        <f>(WWWW[[#This Row],['#_Constructed latrines_by_WASHAgencies]]+WWWW[[#This Row],['#_Non Cluster partner latrines]])-WWWW[[#This Row],['#_Non-functional latrines]]</f>
        <v>0</v>
      </c>
      <c r="CM34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5" s="558" t="str">
        <f>IF(WWWW[[#This Row],[Location Type 1]]="Village","NA",IF(WWWW[[#This Row],['#_Constructed/Existing latrines in TLS]]*50&gt;WWWW[[#This Row],['#_students at TLS_CFS]],WWWW[[#This Row],['#_students at TLS_CFS]],(WWWW[[#This Row],['#_Constructed/Existing latrines in TLS]]*50)))</f>
        <v>NA</v>
      </c>
      <c r="CQ345" s="558">
        <f>ROUND(IF(WWWW[[#This Row],[Location Type 1]]="camp",WWWW[[#This Row],[Total PoP ]]/20,IF(WWWW[[#This Row],[Location Type 1]]="Temporary Location",WWWW[[#This Row],[Total PoP ]]/50,(WWWW[[#This Row],[Total PoP ]]/6))),0)</f>
        <v>51</v>
      </c>
      <c r="CR345" s="558">
        <f>IF(WWWW[[#This Row],[Total required Latrines]]-(WWWW[[#This Row],['#_Constructed latrines_by_WASHAgencies]]+WWWW[[#This Row],['#_Non Cluster partner latrines]])&lt;0,0,WWWW[[#This Row],[Total required Latrines]]-(WWWW[[#This Row],['#_Constructed latrines_by_WASHAgencies]]+WWWW[[#This Row],['#_Non Cluster partner latrines]]))</f>
        <v>51</v>
      </c>
      <c r="CS345" s="78">
        <f>1-WWWW[[#This Row],[% people access to functioning Latrine]]</f>
        <v>1</v>
      </c>
      <c r="CT345" s="560">
        <f>IF(OR(WWWW[[#This Row],['#_Non-functional latrines]]="",WWWW[[#This Row],['#_Non-functional latrines]]=0),0,WWWW[[#This Row],['#_Non-functional latrines]]/(WWWW[[#This Row],['#_Constructed latrines_by_WASHAgencies]]+WWWW[[#This Row],['#_Non Cluster partner latrines]]))</f>
        <v>0</v>
      </c>
      <c r="CU345" s="556">
        <f>IF(500*(WWWW[[#This Row],['#_male hygiene promoters]]+WWWW[[#This Row],['#_female hygiene promoters]])&gt;WWWW[[#This Row],[Total PoP ]],WWWW[[#This Row],[Total PoP ]],500*(WWWW[[#This Row],['#_male hygiene promoters]]+WWWW[[#This Row],['#_female hygiene promoters]]))</f>
        <v>0</v>
      </c>
      <c r="CV34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5" s="558">
        <f>IF(WWWW[[#This Row],['# People with access to soap]]&gt;WWWW[[#This Row],['# People with access to Sanity Pads]],WWWW[[#This Row],['# People with access to soap]],WWWW[[#This Row],['# People with access to Sanity Pads]])</f>
        <v>0</v>
      </c>
      <c r="CY34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5" s="561">
        <f>IF(WWWW[[#This Row],[HRP3]]/WWWW[[#This Row],[Total PoP ]]&gt;100%,100%,WWWW[[#This Row],[HRP3]]/WWWW[[#This Row],[Total PoP ]])</f>
        <v>0</v>
      </c>
      <c r="DA345" s="560">
        <f>1-WWWW[[#This Row],[Hygiene Coverage%]]</f>
        <v>1</v>
      </c>
      <c r="DB345" s="559">
        <f>WWWW[[#This Row],['# people reached by regular dedicated hygiene promotion_5]]/WWWW[[#This Row],[Total PoP ]]</f>
        <v>0</v>
      </c>
      <c r="DC345" s="559">
        <f>IF(WWWW[[#This Row],['#_households that received standard amount of soap for this quarter]]/WWWW[[#This Row],[Total HH]]&gt;1,1,WWWW[[#This Row],['#_households that received standard amount of soap for this quarter]]/WWWW[[#This Row],[Total HH]])</f>
        <v>0</v>
      </c>
      <c r="DD345" s="559">
        <f>IF(WWWW[[#This Row],['#_households that received standard amount of sanitary pads for this quarter]]/WWWW[[#This Row],[Total HH]]&gt;1,1,WWWW[[#This Row],['#_households that received standard amount of sanitary pads for this quarter]]/WWWW[[#This Row],[Total HH]])</f>
        <v>0</v>
      </c>
      <c r="DE345" s="558">
        <f>WWWW[[#This Row],['#_Constructed/Existing hand washing stations]]-WWWW[[#This Row],['#_Non-Functional_hand_washing_stations]]</f>
        <v>0</v>
      </c>
      <c r="DF345" s="757">
        <f>IF(WWWW[[#This Row],['# Functional hand washing stations during reporting period]]*20&gt;WWWW[[#This Row],[Total HH]],WWWW[[#This Row],[Total HH]],WWWW[[#This Row],['# Functional hand washing stations during reporting period]]*20)</f>
        <v>0</v>
      </c>
      <c r="DG345" s="556">
        <f>IF(WWWW[[#This Row],[Is sufficient soap available for TLS? (Yes/No)]]="yes",WWWW[[#This Row],['#_Constructed/Existing hand washing stations at TLS]],0)</f>
        <v>0</v>
      </c>
      <c r="DH345" s="556">
        <f>IF(WWWW[[#This Row],['# Functional hand washing stations during reporting period]]*100&gt;WWWW[[#This Row],[Total PoP ]],WWWW[[#This Row],[Total PoP ]],WWWW[[#This Row],['# Functional hand washing stations during reporting period]]*100)</f>
        <v>0</v>
      </c>
      <c r="DI345" s="556" t="str">
        <f>IF(OR(WWWW[[#This Row],['#_students at TLS_CFS]]="",WWWW[[#This Row],['#_students at TLS_CFS]]=0),"No","Yes")</f>
        <v>No</v>
      </c>
      <c r="DJ345" s="554">
        <f>VLOOKUP(WWWW[[#This Row],[Site Name]],SiteDB6[[Site Name]:[CCCM Management]],6,FALSE)</f>
        <v>0</v>
      </c>
      <c r="DK345" s="554">
        <f>VLOOKUP(WWWW[[#This Row],[Site Name]],SiteDB6[[Site Name]:[CCCM Focal Agency]],7,FALSE)</f>
        <v>0</v>
      </c>
      <c r="DL345" s="554" t="str">
        <f>VLOOKUP(WWWW[[#This Row],[Site Name]],SiteDB6[[Site Name]:[Location Type 1]],9,FALSE)</f>
        <v>Village</v>
      </c>
      <c r="DM345" s="554" t="str">
        <f>VLOOKUP(WWWW[[#This Row],[Site Name]],SiteDB6[[Site Name]:[Type of Accommodation]],10,FALSE)</f>
        <v>Village_Not HRP</v>
      </c>
      <c r="DN345" s="554" t="str">
        <f>VLOOKUP(WWWW[[#This Row],[Site Name]],SiteDB6[[Site Name]:[Ethnic or GCA/NGCA]],11,FALSE)</f>
        <v>Rakhine</v>
      </c>
      <c r="DO345" s="554">
        <f>VLOOKUP(WWWW[[#This Row],[Site Name]],SiteDB6[[Site Name]:[Lat]],12,FALSE)</f>
        <v>0</v>
      </c>
      <c r="DP345" s="554">
        <f>VLOOKUP(WWWW[[#This Row],[Site Name]],SiteDB6[[Site Name]:[Long]],13,FALSE)</f>
        <v>0</v>
      </c>
      <c r="DQ345" s="554">
        <f>VLOOKUP(WWWW[[#This Row],[Site Name]],SiteDB6[[Site Name]:[Pcode]],3,FALSE)</f>
        <v>0</v>
      </c>
      <c r="DR345" s="563" t="str">
        <f t="shared" ref="DR345:DR372" si="12">IF(C345="none","Notcovered","Covered")</f>
        <v>Covered</v>
      </c>
      <c r="DS345" s="563"/>
    </row>
    <row r="346" spans="1:123">
      <c r="A346" s="552" t="s">
        <v>2518</v>
      </c>
      <c r="B346" s="552" t="s">
        <v>336</v>
      </c>
      <c r="C346" s="555" t="s">
        <v>336</v>
      </c>
      <c r="D346" s="555" t="s">
        <v>352</v>
      </c>
      <c r="E346" s="574" t="s">
        <v>3006</v>
      </c>
      <c r="F346" s="555" t="s">
        <v>320</v>
      </c>
      <c r="G346" s="574" t="str">
        <f>VLOOKUP(WWWW[[#This Row],[Site Name]],SiteDB6[[Site Name]:[Location Type]],8,FALSE)</f>
        <v>Village_Not HRP</v>
      </c>
      <c r="H346" s="555" t="s">
        <v>2062</v>
      </c>
      <c r="I346" s="557">
        <v>168</v>
      </c>
      <c r="J346" s="557">
        <v>1002</v>
      </c>
      <c r="K346" s="564">
        <v>42887</v>
      </c>
      <c r="L346" s="565">
        <v>43616</v>
      </c>
      <c r="M346" s="557"/>
      <c r="N346" s="557"/>
      <c r="O346" s="557"/>
      <c r="P346" s="557"/>
      <c r="Q346" s="556"/>
      <c r="R346" s="557"/>
      <c r="S346" s="557"/>
      <c r="T346" s="557"/>
      <c r="U346" s="557"/>
      <c r="V346" s="557"/>
      <c r="W346" s="557"/>
      <c r="X346" s="557"/>
      <c r="Y346" s="557"/>
      <c r="Z346" s="557"/>
      <c r="AA346" s="557"/>
      <c r="AB346" s="557"/>
      <c r="AC346" s="557"/>
      <c r="AD346" s="557"/>
      <c r="AE346" s="557">
        <v>2</v>
      </c>
      <c r="AF346" s="557"/>
      <c r="AG346" s="557"/>
      <c r="AH346" s="557"/>
      <c r="AI346" s="557"/>
      <c r="AJ346" s="557"/>
      <c r="AK346" s="557"/>
      <c r="AL346" s="557"/>
      <c r="AM346" s="557"/>
      <c r="AN346" s="557"/>
      <c r="AO346" s="586" t="s">
        <v>2954</v>
      </c>
      <c r="AP346" s="557"/>
      <c r="AQ346" s="557"/>
      <c r="AR346" s="559"/>
      <c r="AS346" s="557"/>
      <c r="AT346" s="557"/>
      <c r="AU346" s="557"/>
      <c r="AV346" s="557"/>
      <c r="AW346" s="557"/>
      <c r="AX346" s="554"/>
      <c r="AY346" s="563"/>
      <c r="AZ346" s="557"/>
      <c r="BA346" s="557"/>
      <c r="BB346" s="557"/>
      <c r="BC346" s="554"/>
      <c r="BD346" s="557"/>
      <c r="BE346" s="557"/>
      <c r="BF346" s="557"/>
      <c r="BG346" s="557"/>
      <c r="BH346" s="557"/>
      <c r="BI346" s="557"/>
      <c r="BJ346" s="557"/>
      <c r="BK346" s="557"/>
      <c r="BL346" s="557"/>
      <c r="BM346" s="554"/>
      <c r="BN346" s="558"/>
      <c r="BO346" s="559"/>
      <c r="BP346" s="554"/>
      <c r="BQ346" s="560" t="str">
        <f>IFERROR(WWWW[[#This Row],['#_Water sources treated]]/WWWW[[#This Row],['#_Water sources tested for contamination]],"no test")</f>
        <v>no test</v>
      </c>
      <c r="BR346" s="559" t="str">
        <f>IFERROR(WWWW[[#This Row],['#_Household received remediation action due to contamination]]/WWWW[[#This Row],['#_Household water samples tested for contamination]],"no test")</f>
        <v>no test</v>
      </c>
      <c r="BS346" s="558" t="str">
        <f>IF(AND(WWWW[[#This Row],[% of water sources treated]]="no test",WWWW[[#This Row],[% Household received corrective actions]]="no test"),"No Test","Tested")</f>
        <v>No Test</v>
      </c>
      <c r="BT346" s="558">
        <f>WWWW[[#This Row],['#_Constructed/existing protected hand dug well]]-WWWW[[#This Row],['#_Non-functional protected hand dug well]]</f>
        <v>0</v>
      </c>
      <c r="BU346" s="558">
        <f>(WWWW[[#This Row],['#_Constructed/Existing tube wells/boreholes/handpumps_WASH_agency]]+WWWW[[#This Row],['#_Non-Cluster partner water tube-wells/boreholes/handpumps]])-WWWW[[#This Row],['#_Non-functional tube wells/boreholes/handpumps]]</f>
        <v>0</v>
      </c>
      <c r="BV346" s="558">
        <f>WWWW[[#This Row],['#_Constructed/Existingwater storage tank with gravity fed reticulation system]]-WWWW[[#This Row],['#_Non-functional storage tank gravity fed reticulation system]]</f>
        <v>0</v>
      </c>
      <c r="BW346" s="558">
        <f>WWWW[[#This Row],['#_Water boating or water trucking]]</f>
        <v>0</v>
      </c>
      <c r="BX346" s="558">
        <f>WWWW[[#This Row],['#_Constructed/Existing water distribution system from river or natural spring]]</f>
        <v>0</v>
      </c>
      <c r="BY34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6" s="559">
        <f>IF(WWWW[[#This Row],[Location Type 1]]="Village",WWWW[[#This Row],[Access to safe drinking water for Village]],WWWW[[#This Row],[Access to safe drinking water for Camp]])</f>
        <v>0</v>
      </c>
      <c r="CB346" s="556">
        <f>WWWW[[#This Row],[%Equitable and continuous access to sufficient quantity of safe drinking water]]*WWWW[[#This Row],[Total PoP ]]</f>
        <v>0</v>
      </c>
      <c r="CC346" s="559">
        <f>IF((WWWW[[#This Row],['#_Constructed/Existing protected/fenced ponds]]*250)/WWWW[[#This Row],[Total PoP ]]&gt;1,1,(WWWW[[#This Row],['#_Constructed/Existing protected/fenced ponds]]*250)/WWWW[[#This Row],[Total PoP ]])</f>
        <v>0.49900199600798401</v>
      </c>
      <c r="CD346" s="556">
        <f>WWWW[[#This Row],[% Access to unimproved water points]]*WWWW[[#This Row],[Total PoP ]]</f>
        <v>500</v>
      </c>
      <c r="CE34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0.49900199600798401</v>
      </c>
      <c r="CF34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46" s="556">
        <f>WWWW[[#This Row],[HRP1]]/500</f>
        <v>1</v>
      </c>
      <c r="CH346" s="561">
        <f>1-WWWW[[#This Row],[% Equitable and continuous access to sufficient quantity of domestic water]]</f>
        <v>0.50099800399201599</v>
      </c>
      <c r="CI346" s="556">
        <f>WWWW[[#This Row],[%equitable and continuous access to sufficient quantity of safe drinking and domestic water''s GAP]]*WWWW[[#This Row],[Total PoP ]]</f>
        <v>502</v>
      </c>
      <c r="CJ346" s="558">
        <f>IF(WWWW[[#This Row],[Total required water points]]-WWWW[[#This Row],['#Water points coverage]]&lt;0,0,WWWW[[#This Row],[Total required water points]]-WWWW[[#This Row],['#Water points coverage]])</f>
        <v>1</v>
      </c>
      <c r="CK346" s="558">
        <f>ROUND(IF(WWWW[[#This Row],[Total PoP ]]&lt;500,1,WWWW[[#This Row],[Total PoP ]]/500),0)</f>
        <v>2</v>
      </c>
      <c r="CL346" s="558">
        <f>(WWWW[[#This Row],['#_Constructed latrines_by_WASHAgencies]]+WWWW[[#This Row],['#_Non Cluster partner latrines]])-WWWW[[#This Row],['#_Non-functional latrines]]</f>
        <v>0</v>
      </c>
      <c r="CM34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6" s="558" t="str">
        <f>IF(WWWW[[#This Row],[Location Type 1]]="Village","NA",IF(WWWW[[#This Row],['#_Constructed/Existing latrines in TLS]]*50&gt;WWWW[[#This Row],['#_students at TLS_CFS]],WWWW[[#This Row],['#_students at TLS_CFS]],(WWWW[[#This Row],['#_Constructed/Existing latrines in TLS]]*50)))</f>
        <v>NA</v>
      </c>
      <c r="CQ346" s="558">
        <f>ROUND(IF(WWWW[[#This Row],[Location Type 1]]="camp",WWWW[[#This Row],[Total PoP ]]/20,IF(WWWW[[#This Row],[Location Type 1]]="Temporary Location",WWWW[[#This Row],[Total PoP ]]/50,(WWWW[[#This Row],[Total PoP ]]/6))),0)</f>
        <v>167</v>
      </c>
      <c r="CR346" s="558">
        <f>IF(WWWW[[#This Row],[Total required Latrines]]-(WWWW[[#This Row],['#_Constructed latrines_by_WASHAgencies]]+WWWW[[#This Row],['#_Non Cluster partner latrines]])&lt;0,0,WWWW[[#This Row],[Total required Latrines]]-(WWWW[[#This Row],['#_Constructed latrines_by_WASHAgencies]]+WWWW[[#This Row],['#_Non Cluster partner latrines]]))</f>
        <v>167</v>
      </c>
      <c r="CS346" s="78">
        <f>1-WWWW[[#This Row],[% people access to functioning Latrine]]</f>
        <v>1</v>
      </c>
      <c r="CT346" s="560">
        <f>IF(OR(WWWW[[#This Row],['#_Non-functional latrines]]="",WWWW[[#This Row],['#_Non-functional latrines]]=0),0,WWWW[[#This Row],['#_Non-functional latrines]]/(WWWW[[#This Row],['#_Constructed latrines_by_WASHAgencies]]+WWWW[[#This Row],['#_Non Cluster partner latrines]]))</f>
        <v>0</v>
      </c>
      <c r="CU346" s="556">
        <f>IF(500*(WWWW[[#This Row],['#_male hygiene promoters]]+WWWW[[#This Row],['#_female hygiene promoters]])&gt;WWWW[[#This Row],[Total PoP ]],WWWW[[#This Row],[Total PoP ]],500*(WWWW[[#This Row],['#_male hygiene promoters]]+WWWW[[#This Row],['#_female hygiene promoters]]))</f>
        <v>0</v>
      </c>
      <c r="CV34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6" s="558">
        <f>IF(WWWW[[#This Row],['# People with access to soap]]&gt;WWWW[[#This Row],['# People with access to Sanity Pads]],WWWW[[#This Row],['# People with access to soap]],WWWW[[#This Row],['# People with access to Sanity Pads]])</f>
        <v>0</v>
      </c>
      <c r="CY34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6" s="561">
        <f>IF(WWWW[[#This Row],[HRP3]]/WWWW[[#This Row],[Total PoP ]]&gt;100%,100%,WWWW[[#This Row],[HRP3]]/WWWW[[#This Row],[Total PoP ]])</f>
        <v>0</v>
      </c>
      <c r="DA346" s="560">
        <f>1-WWWW[[#This Row],[Hygiene Coverage%]]</f>
        <v>1</v>
      </c>
      <c r="DB346" s="559">
        <f>WWWW[[#This Row],['# people reached by regular dedicated hygiene promotion_5]]/WWWW[[#This Row],[Total PoP ]]</f>
        <v>0</v>
      </c>
      <c r="DC346" s="559">
        <f>IF(WWWW[[#This Row],['#_households that received standard amount of soap for this quarter]]/WWWW[[#This Row],[Total HH]]&gt;1,1,WWWW[[#This Row],['#_households that received standard amount of soap for this quarter]]/WWWW[[#This Row],[Total HH]])</f>
        <v>0</v>
      </c>
      <c r="DD346" s="559">
        <f>IF(WWWW[[#This Row],['#_households that received standard amount of sanitary pads for this quarter]]/WWWW[[#This Row],[Total HH]]&gt;1,1,WWWW[[#This Row],['#_households that received standard amount of sanitary pads for this quarter]]/WWWW[[#This Row],[Total HH]])</f>
        <v>0</v>
      </c>
      <c r="DE346" s="558">
        <f>WWWW[[#This Row],['#_Constructed/Existing hand washing stations]]-WWWW[[#This Row],['#_Non-Functional_hand_washing_stations]]</f>
        <v>0</v>
      </c>
      <c r="DF346" s="757">
        <f>IF(WWWW[[#This Row],['# Functional hand washing stations during reporting period]]*20&gt;WWWW[[#This Row],[Total HH]],WWWW[[#This Row],[Total HH]],WWWW[[#This Row],['# Functional hand washing stations during reporting period]]*20)</f>
        <v>0</v>
      </c>
      <c r="DG346" s="556">
        <f>IF(WWWW[[#This Row],[Is sufficient soap available for TLS? (Yes/No)]]="yes",WWWW[[#This Row],['#_Constructed/Existing hand washing stations at TLS]],0)</f>
        <v>0</v>
      </c>
      <c r="DH346" s="556">
        <f>IF(WWWW[[#This Row],['# Functional hand washing stations during reporting period]]*100&gt;WWWW[[#This Row],[Total PoP ]],WWWW[[#This Row],[Total PoP ]],WWWW[[#This Row],['# Functional hand washing stations during reporting period]]*100)</f>
        <v>0</v>
      </c>
      <c r="DI346" s="556" t="str">
        <f>IF(OR(WWWW[[#This Row],['#_students at TLS_CFS]]="",WWWW[[#This Row],['#_students at TLS_CFS]]=0),"No","Yes")</f>
        <v>No</v>
      </c>
      <c r="DJ346" s="554">
        <f>VLOOKUP(WWWW[[#This Row],[Site Name]],SiteDB6[[Site Name]:[CCCM Management]],6,FALSE)</f>
        <v>0</v>
      </c>
      <c r="DK346" s="554">
        <f>VLOOKUP(WWWW[[#This Row],[Site Name]],SiteDB6[[Site Name]:[CCCM Focal Agency]],7,FALSE)</f>
        <v>0</v>
      </c>
      <c r="DL346" s="554" t="str">
        <f>VLOOKUP(WWWW[[#This Row],[Site Name]],SiteDB6[[Site Name]:[Location Type 1]],9,FALSE)</f>
        <v>Village</v>
      </c>
      <c r="DM346" s="554" t="str">
        <f>VLOOKUP(WWWW[[#This Row],[Site Name]],SiteDB6[[Site Name]:[Type of Accommodation]],10,FALSE)</f>
        <v>Village_Not HRP</v>
      </c>
      <c r="DN346" s="554" t="str">
        <f>VLOOKUP(WWWW[[#This Row],[Site Name]],SiteDB6[[Site Name]:[Ethnic or GCA/NGCA]],11,FALSE)</f>
        <v>Muslim</v>
      </c>
      <c r="DO346" s="554">
        <f>VLOOKUP(WWWW[[#This Row],[Site Name]],SiteDB6[[Site Name]:[Lat]],12,FALSE)</f>
        <v>0</v>
      </c>
      <c r="DP346" s="554">
        <f>VLOOKUP(WWWW[[#This Row],[Site Name]],SiteDB6[[Site Name]:[Long]],13,FALSE)</f>
        <v>0</v>
      </c>
      <c r="DQ346" s="554">
        <f>VLOOKUP(WWWW[[#This Row],[Site Name]],SiteDB6[[Site Name]:[Pcode]],3,FALSE)</f>
        <v>196818</v>
      </c>
      <c r="DR346" s="563" t="str">
        <f t="shared" si="12"/>
        <v>Covered</v>
      </c>
      <c r="DS346" s="563"/>
    </row>
    <row r="347" spans="1:123">
      <c r="A347" s="552" t="s">
        <v>2518</v>
      </c>
      <c r="B347" s="552" t="s">
        <v>336</v>
      </c>
      <c r="C347" s="555" t="s">
        <v>336</v>
      </c>
      <c r="D347" s="555" t="s">
        <v>352</v>
      </c>
      <c r="E347" s="574" t="s">
        <v>3006</v>
      </c>
      <c r="F347" s="555" t="s">
        <v>320</v>
      </c>
      <c r="G347" s="574" t="str">
        <f>VLOOKUP(WWWW[[#This Row],[Site Name]],SiteDB6[[Site Name]:[Location Type]],8,FALSE)</f>
        <v>Village_Not HRP</v>
      </c>
      <c r="H347" s="555" t="s">
        <v>2059</v>
      </c>
      <c r="I347" s="557">
        <v>45</v>
      </c>
      <c r="J347" s="557">
        <v>206</v>
      </c>
      <c r="K347" s="564">
        <v>42887</v>
      </c>
      <c r="L347" s="565">
        <v>43616</v>
      </c>
      <c r="M347" s="557"/>
      <c r="N347" s="557"/>
      <c r="O347" s="557"/>
      <c r="P347" s="557"/>
      <c r="Q347" s="556"/>
      <c r="R347" s="557"/>
      <c r="S347" s="557"/>
      <c r="T347" s="557"/>
      <c r="U347" s="557"/>
      <c r="V347" s="557"/>
      <c r="W347" s="557"/>
      <c r="X347" s="557"/>
      <c r="Y347" s="557"/>
      <c r="Z347" s="557"/>
      <c r="AA347" s="557"/>
      <c r="AB347" s="557"/>
      <c r="AC347" s="557"/>
      <c r="AD347" s="557"/>
      <c r="AE347" s="557">
        <v>1</v>
      </c>
      <c r="AF347" s="557"/>
      <c r="AG347" s="557"/>
      <c r="AH347" s="557"/>
      <c r="AI347" s="557"/>
      <c r="AJ347" s="557"/>
      <c r="AK347" s="557"/>
      <c r="AL347" s="557"/>
      <c r="AM347" s="557"/>
      <c r="AN347" s="557"/>
      <c r="AO347" s="586" t="s">
        <v>2954</v>
      </c>
      <c r="AP347" s="557"/>
      <c r="AQ347" s="557"/>
      <c r="AR347" s="559"/>
      <c r="AS347" s="557"/>
      <c r="AT347" s="557"/>
      <c r="AU347" s="557"/>
      <c r="AV347" s="557"/>
      <c r="AW347" s="557"/>
      <c r="AX347" s="554"/>
      <c r="AY347" s="563"/>
      <c r="AZ347" s="557"/>
      <c r="BA347" s="557"/>
      <c r="BB347" s="557"/>
      <c r="BC347" s="554"/>
      <c r="BD347" s="557"/>
      <c r="BE347" s="557"/>
      <c r="BF347" s="557"/>
      <c r="BG347" s="557"/>
      <c r="BH347" s="557"/>
      <c r="BI347" s="557"/>
      <c r="BJ347" s="557"/>
      <c r="BK347" s="557"/>
      <c r="BL347" s="557"/>
      <c r="BM347" s="554"/>
      <c r="BN347" s="558"/>
      <c r="BO347" s="559"/>
      <c r="BP347" s="554"/>
      <c r="BQ347" s="560" t="str">
        <f>IFERROR(WWWW[[#This Row],['#_Water sources treated]]/WWWW[[#This Row],['#_Water sources tested for contamination]],"no test")</f>
        <v>no test</v>
      </c>
      <c r="BR347" s="559" t="str">
        <f>IFERROR(WWWW[[#This Row],['#_Household received remediation action due to contamination]]/WWWW[[#This Row],['#_Household water samples tested for contamination]],"no test")</f>
        <v>no test</v>
      </c>
      <c r="BS347" s="558" t="str">
        <f>IF(AND(WWWW[[#This Row],[% of water sources treated]]="no test",WWWW[[#This Row],[% Household received corrective actions]]="no test"),"No Test","Tested")</f>
        <v>No Test</v>
      </c>
      <c r="BT347" s="558">
        <f>WWWW[[#This Row],['#_Constructed/existing protected hand dug well]]-WWWW[[#This Row],['#_Non-functional protected hand dug well]]</f>
        <v>0</v>
      </c>
      <c r="BU347" s="558">
        <f>(WWWW[[#This Row],['#_Constructed/Existing tube wells/boreholes/handpumps_WASH_agency]]+WWWW[[#This Row],['#_Non-Cluster partner water tube-wells/boreholes/handpumps]])-WWWW[[#This Row],['#_Non-functional tube wells/boreholes/handpumps]]</f>
        <v>0</v>
      </c>
      <c r="BV347" s="558">
        <f>WWWW[[#This Row],['#_Constructed/Existingwater storage tank with gravity fed reticulation system]]-WWWW[[#This Row],['#_Non-functional storage tank gravity fed reticulation system]]</f>
        <v>0</v>
      </c>
      <c r="BW347" s="558">
        <f>WWWW[[#This Row],['#_Water boating or water trucking]]</f>
        <v>0</v>
      </c>
      <c r="BX347" s="558">
        <f>WWWW[[#This Row],['#_Constructed/Existing water distribution system from river or natural spring]]</f>
        <v>0</v>
      </c>
      <c r="BY34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7" s="559">
        <f>IF(WWWW[[#This Row],[Location Type 1]]="Village",WWWW[[#This Row],[Access to safe drinking water for Village]],WWWW[[#This Row],[Access to safe drinking water for Camp]])</f>
        <v>0</v>
      </c>
      <c r="CB347" s="556">
        <f>WWWW[[#This Row],[%Equitable and continuous access to sufficient quantity of safe drinking water]]*WWWW[[#This Row],[Total PoP ]]</f>
        <v>0</v>
      </c>
      <c r="CC347" s="559">
        <f>IF((WWWW[[#This Row],['#_Constructed/Existing protected/fenced ponds]]*250)/WWWW[[#This Row],[Total PoP ]]&gt;1,1,(WWWW[[#This Row],['#_Constructed/Existing protected/fenced ponds]]*250)/WWWW[[#This Row],[Total PoP ]])</f>
        <v>1</v>
      </c>
      <c r="CD347" s="556">
        <f>WWWW[[#This Row],[% Access to unimproved water points]]*WWWW[[#This Row],[Total PoP ]]</f>
        <v>206</v>
      </c>
      <c r="CE34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4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G347" s="556">
        <f>WWWW[[#This Row],[HRP1]]/500</f>
        <v>0.41199999999999998</v>
      </c>
      <c r="CH347" s="561">
        <f>1-WWWW[[#This Row],[% Equitable and continuous access to sufficient quantity of domestic water]]</f>
        <v>0</v>
      </c>
      <c r="CI347" s="556">
        <f>WWWW[[#This Row],[%equitable and continuous access to sufficient quantity of safe drinking and domestic water''s GAP]]*WWWW[[#This Row],[Total PoP ]]</f>
        <v>0</v>
      </c>
      <c r="CJ347" s="558">
        <f>IF(WWWW[[#This Row],[Total required water points]]-WWWW[[#This Row],['#Water points coverage]]&lt;0,0,WWWW[[#This Row],[Total required water points]]-WWWW[[#This Row],['#Water points coverage]])</f>
        <v>0.58800000000000008</v>
      </c>
      <c r="CK347" s="558">
        <f>ROUND(IF(WWWW[[#This Row],[Total PoP ]]&lt;500,1,WWWW[[#This Row],[Total PoP ]]/500),0)</f>
        <v>1</v>
      </c>
      <c r="CL347" s="558">
        <f>(WWWW[[#This Row],['#_Constructed latrines_by_WASHAgencies]]+WWWW[[#This Row],['#_Non Cluster partner latrines]])-WWWW[[#This Row],['#_Non-functional latrines]]</f>
        <v>0</v>
      </c>
      <c r="CM34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7" s="558" t="str">
        <f>IF(WWWW[[#This Row],[Location Type 1]]="Village","NA",IF(WWWW[[#This Row],['#_Constructed/Existing latrines in TLS]]*50&gt;WWWW[[#This Row],['#_students at TLS_CFS]],WWWW[[#This Row],['#_students at TLS_CFS]],(WWWW[[#This Row],['#_Constructed/Existing latrines in TLS]]*50)))</f>
        <v>NA</v>
      </c>
      <c r="CQ347" s="558">
        <f>ROUND(IF(WWWW[[#This Row],[Location Type 1]]="camp",WWWW[[#This Row],[Total PoP ]]/20,IF(WWWW[[#This Row],[Location Type 1]]="Temporary Location",WWWW[[#This Row],[Total PoP ]]/50,(WWWW[[#This Row],[Total PoP ]]/6))),0)</f>
        <v>34</v>
      </c>
      <c r="CR347" s="558">
        <f>IF(WWWW[[#This Row],[Total required Latrines]]-(WWWW[[#This Row],['#_Constructed latrines_by_WASHAgencies]]+WWWW[[#This Row],['#_Non Cluster partner latrines]])&lt;0,0,WWWW[[#This Row],[Total required Latrines]]-(WWWW[[#This Row],['#_Constructed latrines_by_WASHAgencies]]+WWWW[[#This Row],['#_Non Cluster partner latrines]]))</f>
        <v>34</v>
      </c>
      <c r="CS347" s="78">
        <f>1-WWWW[[#This Row],[% people access to functioning Latrine]]</f>
        <v>1</v>
      </c>
      <c r="CT347" s="560">
        <f>IF(OR(WWWW[[#This Row],['#_Non-functional latrines]]="",WWWW[[#This Row],['#_Non-functional latrines]]=0),0,WWWW[[#This Row],['#_Non-functional latrines]]/(WWWW[[#This Row],['#_Constructed latrines_by_WASHAgencies]]+WWWW[[#This Row],['#_Non Cluster partner latrines]]))</f>
        <v>0</v>
      </c>
      <c r="CU347" s="556">
        <f>IF(500*(WWWW[[#This Row],['#_male hygiene promoters]]+WWWW[[#This Row],['#_female hygiene promoters]])&gt;WWWW[[#This Row],[Total PoP ]],WWWW[[#This Row],[Total PoP ]],500*(WWWW[[#This Row],['#_male hygiene promoters]]+WWWW[[#This Row],['#_female hygiene promoters]]))</f>
        <v>0</v>
      </c>
      <c r="CV34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7" s="558">
        <f>IF(WWWW[[#This Row],['# People with access to soap]]&gt;WWWW[[#This Row],['# People with access to Sanity Pads]],WWWW[[#This Row],['# People with access to soap]],WWWW[[#This Row],['# People with access to Sanity Pads]])</f>
        <v>0</v>
      </c>
      <c r="CY34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7" s="561">
        <f>IF(WWWW[[#This Row],[HRP3]]/WWWW[[#This Row],[Total PoP ]]&gt;100%,100%,WWWW[[#This Row],[HRP3]]/WWWW[[#This Row],[Total PoP ]])</f>
        <v>0</v>
      </c>
      <c r="DA347" s="560">
        <f>1-WWWW[[#This Row],[Hygiene Coverage%]]</f>
        <v>1</v>
      </c>
      <c r="DB347" s="559">
        <f>WWWW[[#This Row],['# people reached by regular dedicated hygiene promotion_5]]/WWWW[[#This Row],[Total PoP ]]</f>
        <v>0</v>
      </c>
      <c r="DC347" s="559">
        <f>IF(WWWW[[#This Row],['#_households that received standard amount of soap for this quarter]]/WWWW[[#This Row],[Total HH]]&gt;1,1,WWWW[[#This Row],['#_households that received standard amount of soap for this quarter]]/WWWW[[#This Row],[Total HH]])</f>
        <v>0</v>
      </c>
      <c r="DD347" s="559">
        <f>IF(WWWW[[#This Row],['#_households that received standard amount of sanitary pads for this quarter]]/WWWW[[#This Row],[Total HH]]&gt;1,1,WWWW[[#This Row],['#_households that received standard amount of sanitary pads for this quarter]]/WWWW[[#This Row],[Total HH]])</f>
        <v>0</v>
      </c>
      <c r="DE347" s="558">
        <f>WWWW[[#This Row],['#_Constructed/Existing hand washing stations]]-WWWW[[#This Row],['#_Non-Functional_hand_washing_stations]]</f>
        <v>0</v>
      </c>
      <c r="DF347" s="757">
        <f>IF(WWWW[[#This Row],['# Functional hand washing stations during reporting period]]*20&gt;WWWW[[#This Row],[Total HH]],WWWW[[#This Row],[Total HH]],WWWW[[#This Row],['# Functional hand washing stations during reporting period]]*20)</f>
        <v>0</v>
      </c>
      <c r="DG347" s="556">
        <f>IF(WWWW[[#This Row],[Is sufficient soap available for TLS? (Yes/No)]]="yes",WWWW[[#This Row],['#_Constructed/Existing hand washing stations at TLS]],0)</f>
        <v>0</v>
      </c>
      <c r="DH347" s="556">
        <f>IF(WWWW[[#This Row],['# Functional hand washing stations during reporting period]]*100&gt;WWWW[[#This Row],[Total PoP ]],WWWW[[#This Row],[Total PoP ]],WWWW[[#This Row],['# Functional hand washing stations during reporting period]]*100)</f>
        <v>0</v>
      </c>
      <c r="DI347" s="556" t="str">
        <f>IF(OR(WWWW[[#This Row],['#_students at TLS_CFS]]="",WWWW[[#This Row],['#_students at TLS_CFS]]=0),"No","Yes")</f>
        <v>No</v>
      </c>
      <c r="DJ347" s="554">
        <f>VLOOKUP(WWWW[[#This Row],[Site Name]],SiteDB6[[Site Name]:[CCCM Management]],6,FALSE)</f>
        <v>0</v>
      </c>
      <c r="DK347" s="554">
        <f>VLOOKUP(WWWW[[#This Row],[Site Name]],SiteDB6[[Site Name]:[CCCM Focal Agency]],7,FALSE)</f>
        <v>0</v>
      </c>
      <c r="DL347" s="554" t="str">
        <f>VLOOKUP(WWWW[[#This Row],[Site Name]],SiteDB6[[Site Name]:[Location Type 1]],9,FALSE)</f>
        <v>Village</v>
      </c>
      <c r="DM347" s="554" t="str">
        <f>VLOOKUP(WWWW[[#This Row],[Site Name]],SiteDB6[[Site Name]:[Type of Accommodation]],10,FALSE)</f>
        <v>Village_Not HRP</v>
      </c>
      <c r="DN347" s="554" t="str">
        <f>VLOOKUP(WWWW[[#This Row],[Site Name]],SiteDB6[[Site Name]:[Ethnic or GCA/NGCA]],11,FALSE)</f>
        <v>Rakhine</v>
      </c>
      <c r="DO347" s="554">
        <f>VLOOKUP(WWWW[[#This Row],[Site Name]],SiteDB6[[Site Name]:[Lat]],12,FALSE)</f>
        <v>0</v>
      </c>
      <c r="DP347" s="554">
        <f>VLOOKUP(WWWW[[#This Row],[Site Name]],SiteDB6[[Site Name]:[Long]],13,FALSE)</f>
        <v>0</v>
      </c>
      <c r="DQ347" s="554">
        <f>VLOOKUP(WWWW[[#This Row],[Site Name]],SiteDB6[[Site Name]:[Pcode]],3,FALSE)</f>
        <v>0</v>
      </c>
      <c r="DR347" s="563" t="str">
        <f t="shared" si="12"/>
        <v>Covered</v>
      </c>
      <c r="DS347" s="563"/>
    </row>
    <row r="348" spans="1:123">
      <c r="A348" s="552" t="s">
        <v>2518</v>
      </c>
      <c r="B348" s="552" t="s">
        <v>336</v>
      </c>
      <c r="C348" s="555" t="s">
        <v>336</v>
      </c>
      <c r="D348" s="555" t="s">
        <v>352</v>
      </c>
      <c r="E348" s="574" t="s">
        <v>3006</v>
      </c>
      <c r="F348" s="555" t="s">
        <v>320</v>
      </c>
      <c r="G348" s="574" t="str">
        <f>VLOOKUP(WWWW[[#This Row],[Site Name]],SiteDB6[[Site Name]:[Location Type]],8,FALSE)</f>
        <v>Village_Not HRP</v>
      </c>
      <c r="H348" s="555" t="s">
        <v>656</v>
      </c>
      <c r="I348" s="557">
        <v>513</v>
      </c>
      <c r="J348" s="557">
        <v>3224</v>
      </c>
      <c r="K348" s="564">
        <v>42887</v>
      </c>
      <c r="L348" s="565">
        <v>43616</v>
      </c>
      <c r="M348" s="557"/>
      <c r="N348" s="557"/>
      <c r="O348" s="557"/>
      <c r="P348" s="557"/>
      <c r="Q348" s="556"/>
      <c r="R348" s="557"/>
      <c r="S348" s="557"/>
      <c r="T348" s="557"/>
      <c r="U348" s="557"/>
      <c r="V348" s="557"/>
      <c r="W348" s="557"/>
      <c r="X348" s="557"/>
      <c r="Y348" s="557"/>
      <c r="Z348" s="557"/>
      <c r="AA348" s="557"/>
      <c r="AB348" s="557"/>
      <c r="AC348" s="557"/>
      <c r="AD348" s="557"/>
      <c r="AE348" s="557">
        <v>3</v>
      </c>
      <c r="AF348" s="557"/>
      <c r="AG348" s="557"/>
      <c r="AH348" s="557"/>
      <c r="AI348" s="557"/>
      <c r="AJ348" s="557"/>
      <c r="AK348" s="557"/>
      <c r="AL348" s="557"/>
      <c r="AM348" s="557"/>
      <c r="AN348" s="557"/>
      <c r="AO348" s="586" t="s">
        <v>2954</v>
      </c>
      <c r="AP348" s="557"/>
      <c r="AQ348" s="557"/>
      <c r="AR348" s="559"/>
      <c r="AS348" s="557"/>
      <c r="AT348" s="557"/>
      <c r="AU348" s="557"/>
      <c r="AV348" s="557"/>
      <c r="AW348" s="557"/>
      <c r="AX348" s="554"/>
      <c r="AY348" s="563"/>
      <c r="AZ348" s="557"/>
      <c r="BA348" s="557"/>
      <c r="BB348" s="557"/>
      <c r="BC348" s="554"/>
      <c r="BD348" s="557"/>
      <c r="BE348" s="557"/>
      <c r="BF348" s="557"/>
      <c r="BG348" s="557"/>
      <c r="BH348" s="557"/>
      <c r="BI348" s="557"/>
      <c r="BJ348" s="557"/>
      <c r="BK348" s="557"/>
      <c r="BL348" s="557"/>
      <c r="BM348" s="554"/>
      <c r="BN348" s="558"/>
      <c r="BO348" s="559"/>
      <c r="BP348" s="554"/>
      <c r="BQ348" s="560" t="str">
        <f>IFERROR(WWWW[[#This Row],['#_Water sources treated]]/WWWW[[#This Row],['#_Water sources tested for contamination]],"no test")</f>
        <v>no test</v>
      </c>
      <c r="BR348" s="559" t="str">
        <f>IFERROR(WWWW[[#This Row],['#_Household received remediation action due to contamination]]/WWWW[[#This Row],['#_Household water samples tested for contamination]],"no test")</f>
        <v>no test</v>
      </c>
      <c r="BS348" s="558" t="str">
        <f>IF(AND(WWWW[[#This Row],[% of water sources treated]]="no test",WWWW[[#This Row],[% Household received corrective actions]]="no test"),"No Test","Tested")</f>
        <v>No Test</v>
      </c>
      <c r="BT348" s="558">
        <f>WWWW[[#This Row],['#_Constructed/existing protected hand dug well]]-WWWW[[#This Row],['#_Non-functional protected hand dug well]]</f>
        <v>0</v>
      </c>
      <c r="BU348" s="558">
        <f>(WWWW[[#This Row],['#_Constructed/Existing tube wells/boreholes/handpumps_WASH_agency]]+WWWW[[#This Row],['#_Non-Cluster partner water tube-wells/boreholes/handpumps]])-WWWW[[#This Row],['#_Non-functional tube wells/boreholes/handpumps]]</f>
        <v>0</v>
      </c>
      <c r="BV348" s="558">
        <f>WWWW[[#This Row],['#_Constructed/Existingwater storage tank with gravity fed reticulation system]]-WWWW[[#This Row],['#_Non-functional storage tank gravity fed reticulation system]]</f>
        <v>0</v>
      </c>
      <c r="BW348" s="558">
        <f>WWWW[[#This Row],['#_Water boating or water trucking]]</f>
        <v>0</v>
      </c>
      <c r="BX348" s="558">
        <f>WWWW[[#This Row],['#_Constructed/Existing water distribution system from river or natural spring]]</f>
        <v>0</v>
      </c>
      <c r="BY34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8" s="559">
        <f>IF(WWWW[[#This Row],[Location Type 1]]="Village",WWWW[[#This Row],[Access to safe drinking water for Village]],WWWW[[#This Row],[Access to safe drinking water for Camp]])</f>
        <v>0</v>
      </c>
      <c r="CB348" s="556">
        <f>WWWW[[#This Row],[%Equitable and continuous access to sufficient quantity of safe drinking water]]*WWWW[[#This Row],[Total PoP ]]</f>
        <v>0</v>
      </c>
      <c r="CC348" s="559">
        <f>IF((WWWW[[#This Row],['#_Constructed/Existing protected/fenced ponds]]*250)/WWWW[[#This Row],[Total PoP ]]&gt;1,1,(WWWW[[#This Row],['#_Constructed/Existing protected/fenced ponds]]*250)/WWWW[[#This Row],[Total PoP ]])</f>
        <v>0.2326302729528536</v>
      </c>
      <c r="CD348" s="556">
        <f>WWWW[[#This Row],[% Access to unimproved water points]]*WWWW[[#This Row],[Total PoP ]]</f>
        <v>750</v>
      </c>
      <c r="CE34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0.2326302729528536</v>
      </c>
      <c r="CF34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CG348" s="556">
        <f>WWWW[[#This Row],[HRP1]]/500</f>
        <v>1.5</v>
      </c>
      <c r="CH348" s="561">
        <f>1-WWWW[[#This Row],[% Equitable and continuous access to sufficient quantity of domestic water]]</f>
        <v>0.76736972704714645</v>
      </c>
      <c r="CI348" s="556">
        <f>WWWW[[#This Row],[%equitable and continuous access to sufficient quantity of safe drinking and domestic water''s GAP]]*WWWW[[#This Row],[Total PoP ]]</f>
        <v>2474</v>
      </c>
      <c r="CJ348" s="558">
        <f>IF(WWWW[[#This Row],[Total required water points]]-WWWW[[#This Row],['#Water points coverage]]&lt;0,0,WWWW[[#This Row],[Total required water points]]-WWWW[[#This Row],['#Water points coverage]])</f>
        <v>4.5</v>
      </c>
      <c r="CK348" s="558">
        <f>ROUND(IF(WWWW[[#This Row],[Total PoP ]]&lt;500,1,WWWW[[#This Row],[Total PoP ]]/500),0)</f>
        <v>6</v>
      </c>
      <c r="CL348" s="558">
        <f>(WWWW[[#This Row],['#_Constructed latrines_by_WASHAgencies]]+WWWW[[#This Row],['#_Non Cluster partner latrines]])-WWWW[[#This Row],['#_Non-functional latrines]]</f>
        <v>0</v>
      </c>
      <c r="CM34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8" s="558" t="str">
        <f>IF(WWWW[[#This Row],[Location Type 1]]="Village","NA",IF(WWWW[[#This Row],['#_Constructed/Existing latrines in TLS]]*50&gt;WWWW[[#This Row],['#_students at TLS_CFS]],WWWW[[#This Row],['#_students at TLS_CFS]],(WWWW[[#This Row],['#_Constructed/Existing latrines in TLS]]*50)))</f>
        <v>NA</v>
      </c>
      <c r="CQ348" s="558">
        <f>ROUND(IF(WWWW[[#This Row],[Location Type 1]]="camp",WWWW[[#This Row],[Total PoP ]]/20,IF(WWWW[[#This Row],[Location Type 1]]="Temporary Location",WWWW[[#This Row],[Total PoP ]]/50,(WWWW[[#This Row],[Total PoP ]]/6))),0)</f>
        <v>537</v>
      </c>
      <c r="CR348" s="558">
        <f>IF(WWWW[[#This Row],[Total required Latrines]]-(WWWW[[#This Row],['#_Constructed latrines_by_WASHAgencies]]+WWWW[[#This Row],['#_Non Cluster partner latrines]])&lt;0,0,WWWW[[#This Row],[Total required Latrines]]-(WWWW[[#This Row],['#_Constructed latrines_by_WASHAgencies]]+WWWW[[#This Row],['#_Non Cluster partner latrines]]))</f>
        <v>537</v>
      </c>
      <c r="CS348" s="78">
        <f>1-WWWW[[#This Row],[% people access to functioning Latrine]]</f>
        <v>1</v>
      </c>
      <c r="CT348" s="560">
        <f>IF(OR(WWWW[[#This Row],['#_Non-functional latrines]]="",WWWW[[#This Row],['#_Non-functional latrines]]=0),0,WWWW[[#This Row],['#_Non-functional latrines]]/(WWWW[[#This Row],['#_Constructed latrines_by_WASHAgencies]]+WWWW[[#This Row],['#_Non Cluster partner latrines]]))</f>
        <v>0</v>
      </c>
      <c r="CU348" s="556">
        <f>IF(500*(WWWW[[#This Row],['#_male hygiene promoters]]+WWWW[[#This Row],['#_female hygiene promoters]])&gt;WWWW[[#This Row],[Total PoP ]],WWWW[[#This Row],[Total PoP ]],500*(WWWW[[#This Row],['#_male hygiene promoters]]+WWWW[[#This Row],['#_female hygiene promoters]]))</f>
        <v>0</v>
      </c>
      <c r="CV34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8" s="558">
        <f>IF(WWWW[[#This Row],['# People with access to soap]]&gt;WWWW[[#This Row],['# People with access to Sanity Pads]],WWWW[[#This Row],['# People with access to soap]],WWWW[[#This Row],['# People with access to Sanity Pads]])</f>
        <v>0</v>
      </c>
      <c r="CY34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8" s="561">
        <f>IF(WWWW[[#This Row],[HRP3]]/WWWW[[#This Row],[Total PoP ]]&gt;100%,100%,WWWW[[#This Row],[HRP3]]/WWWW[[#This Row],[Total PoP ]])</f>
        <v>0</v>
      </c>
      <c r="DA348" s="560">
        <f>1-WWWW[[#This Row],[Hygiene Coverage%]]</f>
        <v>1</v>
      </c>
      <c r="DB348" s="559">
        <f>WWWW[[#This Row],['# people reached by regular dedicated hygiene promotion_5]]/WWWW[[#This Row],[Total PoP ]]</f>
        <v>0</v>
      </c>
      <c r="DC348" s="559">
        <f>IF(WWWW[[#This Row],['#_households that received standard amount of soap for this quarter]]/WWWW[[#This Row],[Total HH]]&gt;1,1,WWWW[[#This Row],['#_households that received standard amount of soap for this quarter]]/WWWW[[#This Row],[Total HH]])</f>
        <v>0</v>
      </c>
      <c r="DD348" s="559">
        <f>IF(WWWW[[#This Row],['#_households that received standard amount of sanitary pads for this quarter]]/WWWW[[#This Row],[Total HH]]&gt;1,1,WWWW[[#This Row],['#_households that received standard amount of sanitary pads for this quarter]]/WWWW[[#This Row],[Total HH]])</f>
        <v>0</v>
      </c>
      <c r="DE348" s="558">
        <f>WWWW[[#This Row],['#_Constructed/Existing hand washing stations]]-WWWW[[#This Row],['#_Non-Functional_hand_washing_stations]]</f>
        <v>0</v>
      </c>
      <c r="DF348" s="757">
        <f>IF(WWWW[[#This Row],['# Functional hand washing stations during reporting period]]*20&gt;WWWW[[#This Row],[Total HH]],WWWW[[#This Row],[Total HH]],WWWW[[#This Row],['# Functional hand washing stations during reporting period]]*20)</f>
        <v>0</v>
      </c>
      <c r="DG348" s="556">
        <f>IF(WWWW[[#This Row],[Is sufficient soap available for TLS? (Yes/No)]]="yes",WWWW[[#This Row],['#_Constructed/Existing hand washing stations at TLS]],0)</f>
        <v>0</v>
      </c>
      <c r="DH348" s="556">
        <f>IF(WWWW[[#This Row],['# Functional hand washing stations during reporting period]]*100&gt;WWWW[[#This Row],[Total PoP ]],WWWW[[#This Row],[Total PoP ]],WWWW[[#This Row],['# Functional hand washing stations during reporting period]]*100)</f>
        <v>0</v>
      </c>
      <c r="DI348" s="556" t="str">
        <f>IF(OR(WWWW[[#This Row],['#_students at TLS_CFS]]="",WWWW[[#This Row],['#_students at TLS_CFS]]=0),"No","Yes")</f>
        <v>No</v>
      </c>
      <c r="DJ348" s="554">
        <f>VLOOKUP(WWWW[[#This Row],[Site Name]],SiteDB6[[Site Name]:[CCCM Management]],6,FALSE)</f>
        <v>0</v>
      </c>
      <c r="DK348" s="554">
        <f>VLOOKUP(WWWW[[#This Row],[Site Name]],SiteDB6[[Site Name]:[CCCM Focal Agency]],7,FALSE)</f>
        <v>0</v>
      </c>
      <c r="DL348" s="554" t="str">
        <f>VLOOKUP(WWWW[[#This Row],[Site Name]],SiteDB6[[Site Name]:[Location Type 1]],9,FALSE)</f>
        <v>Village</v>
      </c>
      <c r="DM348" s="554" t="str">
        <f>VLOOKUP(WWWW[[#This Row],[Site Name]],SiteDB6[[Site Name]:[Type of Accommodation]],10,FALSE)</f>
        <v>Village_Not HRP</v>
      </c>
      <c r="DN348" s="554" t="str">
        <f>VLOOKUP(WWWW[[#This Row],[Site Name]],SiteDB6[[Site Name]:[Ethnic or GCA/NGCA]],11,FALSE)</f>
        <v>Muslim</v>
      </c>
      <c r="DO348" s="554">
        <f>VLOOKUP(WWWW[[#This Row],[Site Name]],SiteDB6[[Site Name]:[Lat]],12,FALSE)</f>
        <v>20.864519120000001</v>
      </c>
      <c r="DP348" s="554">
        <f>VLOOKUP(WWWW[[#This Row],[Site Name]],SiteDB6[[Site Name]:[Long]],13,FALSE)</f>
        <v>92.940399170000006</v>
      </c>
      <c r="DQ348" s="554">
        <f>VLOOKUP(WWWW[[#This Row],[Site Name]],SiteDB6[[Site Name]:[Pcode]],3,FALSE)</f>
        <v>196817</v>
      </c>
      <c r="DR348" s="563" t="str">
        <f t="shared" si="12"/>
        <v>Covered</v>
      </c>
      <c r="DS348" s="563"/>
    </row>
    <row r="349" spans="1:123">
      <c r="A349" s="552" t="s">
        <v>2518</v>
      </c>
      <c r="B349" s="552" t="s">
        <v>336</v>
      </c>
      <c r="C349" s="555" t="s">
        <v>336</v>
      </c>
      <c r="D349" s="555" t="s">
        <v>352</v>
      </c>
      <c r="E349" s="574" t="s">
        <v>3006</v>
      </c>
      <c r="F349" s="555" t="s">
        <v>320</v>
      </c>
      <c r="G349" s="574" t="str">
        <f>VLOOKUP(WWWW[[#This Row],[Site Name]],SiteDB6[[Site Name]:[Location Type]],8,FALSE)</f>
        <v>Village_Not HRP</v>
      </c>
      <c r="H349" s="555" t="s">
        <v>708</v>
      </c>
      <c r="I349" s="557">
        <v>454</v>
      </c>
      <c r="J349" s="557">
        <v>3020</v>
      </c>
      <c r="K349" s="564">
        <v>42887</v>
      </c>
      <c r="L349" s="565">
        <v>43616</v>
      </c>
      <c r="M349" s="557"/>
      <c r="N349" s="557"/>
      <c r="O349" s="557"/>
      <c r="P349" s="557"/>
      <c r="Q349" s="556"/>
      <c r="R349" s="557"/>
      <c r="S349" s="557"/>
      <c r="T349" s="557"/>
      <c r="U349" s="557"/>
      <c r="V349" s="557"/>
      <c r="W349" s="557"/>
      <c r="X349" s="557"/>
      <c r="Y349" s="557"/>
      <c r="Z349" s="557"/>
      <c r="AA349" s="557"/>
      <c r="AB349" s="557"/>
      <c r="AC349" s="557"/>
      <c r="AD349" s="557"/>
      <c r="AE349" s="557">
        <v>2</v>
      </c>
      <c r="AF349" s="557"/>
      <c r="AG349" s="557"/>
      <c r="AH349" s="557"/>
      <c r="AI349" s="557"/>
      <c r="AJ349" s="557"/>
      <c r="AK349" s="557"/>
      <c r="AL349" s="557"/>
      <c r="AM349" s="557"/>
      <c r="AN349" s="557"/>
      <c r="AO349" s="586" t="s">
        <v>2954</v>
      </c>
      <c r="AP349" s="557"/>
      <c r="AQ349" s="557"/>
      <c r="AR349" s="559"/>
      <c r="AS349" s="557"/>
      <c r="AT349" s="557"/>
      <c r="AU349" s="557"/>
      <c r="AV349" s="557"/>
      <c r="AW349" s="557"/>
      <c r="AX349" s="554"/>
      <c r="AY349" s="563"/>
      <c r="AZ349" s="557"/>
      <c r="BA349" s="557"/>
      <c r="BB349" s="557"/>
      <c r="BC349" s="554"/>
      <c r="BD349" s="557"/>
      <c r="BE349" s="557"/>
      <c r="BF349" s="557"/>
      <c r="BG349" s="557"/>
      <c r="BH349" s="557"/>
      <c r="BI349" s="557"/>
      <c r="BJ349" s="557"/>
      <c r="BK349" s="557"/>
      <c r="BL349" s="557"/>
      <c r="BM349" s="554"/>
      <c r="BN349" s="558"/>
      <c r="BO349" s="559"/>
      <c r="BP349" s="554"/>
      <c r="BQ349" s="560" t="str">
        <f>IFERROR(WWWW[[#This Row],['#_Water sources treated]]/WWWW[[#This Row],['#_Water sources tested for contamination]],"no test")</f>
        <v>no test</v>
      </c>
      <c r="BR349" s="559" t="str">
        <f>IFERROR(WWWW[[#This Row],['#_Household received remediation action due to contamination]]/WWWW[[#This Row],['#_Household water samples tested for contamination]],"no test")</f>
        <v>no test</v>
      </c>
      <c r="BS349" s="558" t="str">
        <f>IF(AND(WWWW[[#This Row],[% of water sources treated]]="no test",WWWW[[#This Row],[% Household received corrective actions]]="no test"),"No Test","Tested")</f>
        <v>No Test</v>
      </c>
      <c r="BT349" s="558">
        <f>WWWW[[#This Row],['#_Constructed/existing protected hand dug well]]-WWWW[[#This Row],['#_Non-functional protected hand dug well]]</f>
        <v>0</v>
      </c>
      <c r="BU349" s="558">
        <f>(WWWW[[#This Row],['#_Constructed/Existing tube wells/boreholes/handpumps_WASH_agency]]+WWWW[[#This Row],['#_Non-Cluster partner water tube-wells/boreholes/handpumps]])-WWWW[[#This Row],['#_Non-functional tube wells/boreholes/handpumps]]</f>
        <v>0</v>
      </c>
      <c r="BV349" s="558">
        <f>WWWW[[#This Row],['#_Constructed/Existingwater storage tank with gravity fed reticulation system]]-WWWW[[#This Row],['#_Non-functional storage tank gravity fed reticulation system]]</f>
        <v>0</v>
      </c>
      <c r="BW349" s="558">
        <f>WWWW[[#This Row],['#_Water boating or water trucking]]</f>
        <v>0</v>
      </c>
      <c r="BX349" s="558">
        <f>WWWW[[#This Row],['#_Constructed/Existing water distribution system from river or natural spring]]</f>
        <v>0</v>
      </c>
      <c r="BY34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4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49" s="559">
        <f>IF(WWWW[[#This Row],[Location Type 1]]="Village",WWWW[[#This Row],[Access to safe drinking water for Village]],WWWW[[#This Row],[Access to safe drinking water for Camp]])</f>
        <v>0</v>
      </c>
      <c r="CB349" s="556">
        <f>WWWW[[#This Row],[%Equitable and continuous access to sufficient quantity of safe drinking water]]*WWWW[[#This Row],[Total PoP ]]</f>
        <v>0</v>
      </c>
      <c r="CC349" s="559">
        <f>IF((WWWW[[#This Row],['#_Constructed/Existing protected/fenced ponds]]*250)/WWWW[[#This Row],[Total PoP ]]&gt;1,1,(WWWW[[#This Row],['#_Constructed/Existing protected/fenced ponds]]*250)/WWWW[[#This Row],[Total PoP ]])</f>
        <v>0.16556291390728478</v>
      </c>
      <c r="CD349" s="556">
        <f>WWWW[[#This Row],[% Access to unimproved water points]]*WWWW[[#This Row],[Total PoP ]]</f>
        <v>500.00000000000006</v>
      </c>
      <c r="CE34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0.16556291390728478</v>
      </c>
      <c r="CF34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G349" s="556">
        <f>WWWW[[#This Row],[HRP1]]/500</f>
        <v>1.0000000000000002</v>
      </c>
      <c r="CH349" s="561">
        <f>1-WWWW[[#This Row],[% Equitable and continuous access to sufficient quantity of domestic water]]</f>
        <v>0.83443708609271527</v>
      </c>
      <c r="CI349" s="556">
        <f>WWWW[[#This Row],[%equitable and continuous access to sufficient quantity of safe drinking and domestic water''s GAP]]*WWWW[[#This Row],[Total PoP ]]</f>
        <v>2520</v>
      </c>
      <c r="CJ349" s="558">
        <f>IF(WWWW[[#This Row],[Total required water points]]-WWWW[[#This Row],['#Water points coverage]]&lt;0,0,WWWW[[#This Row],[Total required water points]]-WWWW[[#This Row],['#Water points coverage]])</f>
        <v>5</v>
      </c>
      <c r="CK349" s="558">
        <f>ROUND(IF(WWWW[[#This Row],[Total PoP ]]&lt;500,1,WWWW[[#This Row],[Total PoP ]]/500),0)</f>
        <v>6</v>
      </c>
      <c r="CL349" s="558">
        <f>(WWWW[[#This Row],['#_Constructed latrines_by_WASHAgencies]]+WWWW[[#This Row],['#_Non Cluster partner latrines]])-WWWW[[#This Row],['#_Non-functional latrines]]</f>
        <v>0</v>
      </c>
      <c r="CM34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4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4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49" s="558" t="str">
        <f>IF(WWWW[[#This Row],[Location Type 1]]="Village","NA",IF(WWWW[[#This Row],['#_Constructed/Existing latrines in TLS]]*50&gt;WWWW[[#This Row],['#_students at TLS_CFS]],WWWW[[#This Row],['#_students at TLS_CFS]],(WWWW[[#This Row],['#_Constructed/Existing latrines in TLS]]*50)))</f>
        <v>NA</v>
      </c>
      <c r="CQ349" s="558">
        <f>ROUND(IF(WWWW[[#This Row],[Location Type 1]]="camp",WWWW[[#This Row],[Total PoP ]]/20,IF(WWWW[[#This Row],[Location Type 1]]="Temporary Location",WWWW[[#This Row],[Total PoP ]]/50,(WWWW[[#This Row],[Total PoP ]]/6))),0)</f>
        <v>503</v>
      </c>
      <c r="CR349" s="558">
        <f>IF(WWWW[[#This Row],[Total required Latrines]]-(WWWW[[#This Row],['#_Constructed latrines_by_WASHAgencies]]+WWWW[[#This Row],['#_Non Cluster partner latrines]])&lt;0,0,WWWW[[#This Row],[Total required Latrines]]-(WWWW[[#This Row],['#_Constructed latrines_by_WASHAgencies]]+WWWW[[#This Row],['#_Non Cluster partner latrines]]))</f>
        <v>503</v>
      </c>
      <c r="CS349" s="78">
        <f>1-WWWW[[#This Row],[% people access to functioning Latrine]]</f>
        <v>1</v>
      </c>
      <c r="CT349" s="560">
        <f>IF(OR(WWWW[[#This Row],['#_Non-functional latrines]]="",WWWW[[#This Row],['#_Non-functional latrines]]=0),0,WWWW[[#This Row],['#_Non-functional latrines]]/(WWWW[[#This Row],['#_Constructed latrines_by_WASHAgencies]]+WWWW[[#This Row],['#_Non Cluster partner latrines]]))</f>
        <v>0</v>
      </c>
      <c r="CU349" s="556">
        <f>IF(500*(WWWW[[#This Row],['#_male hygiene promoters]]+WWWW[[#This Row],['#_female hygiene promoters]])&gt;WWWW[[#This Row],[Total PoP ]],WWWW[[#This Row],[Total PoP ]],500*(WWWW[[#This Row],['#_male hygiene promoters]]+WWWW[[#This Row],['#_female hygiene promoters]]))</f>
        <v>0</v>
      </c>
      <c r="CV34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4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49" s="558">
        <f>IF(WWWW[[#This Row],['# People with access to soap]]&gt;WWWW[[#This Row],['# People with access to Sanity Pads]],WWWW[[#This Row],['# People with access to soap]],WWWW[[#This Row],['# People with access to Sanity Pads]])</f>
        <v>0</v>
      </c>
      <c r="CY34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49" s="561">
        <f>IF(WWWW[[#This Row],[HRP3]]/WWWW[[#This Row],[Total PoP ]]&gt;100%,100%,WWWW[[#This Row],[HRP3]]/WWWW[[#This Row],[Total PoP ]])</f>
        <v>0</v>
      </c>
      <c r="DA349" s="560">
        <f>1-WWWW[[#This Row],[Hygiene Coverage%]]</f>
        <v>1</v>
      </c>
      <c r="DB349" s="559">
        <f>WWWW[[#This Row],['# people reached by regular dedicated hygiene promotion_5]]/WWWW[[#This Row],[Total PoP ]]</f>
        <v>0</v>
      </c>
      <c r="DC349" s="559">
        <f>IF(WWWW[[#This Row],['#_households that received standard amount of soap for this quarter]]/WWWW[[#This Row],[Total HH]]&gt;1,1,WWWW[[#This Row],['#_households that received standard amount of soap for this quarter]]/WWWW[[#This Row],[Total HH]])</f>
        <v>0</v>
      </c>
      <c r="DD349" s="559">
        <f>IF(WWWW[[#This Row],['#_households that received standard amount of sanitary pads for this quarter]]/WWWW[[#This Row],[Total HH]]&gt;1,1,WWWW[[#This Row],['#_households that received standard amount of sanitary pads for this quarter]]/WWWW[[#This Row],[Total HH]])</f>
        <v>0</v>
      </c>
      <c r="DE349" s="558">
        <f>WWWW[[#This Row],['#_Constructed/Existing hand washing stations]]-WWWW[[#This Row],['#_Non-Functional_hand_washing_stations]]</f>
        <v>0</v>
      </c>
      <c r="DF349" s="757">
        <f>IF(WWWW[[#This Row],['# Functional hand washing stations during reporting period]]*20&gt;WWWW[[#This Row],[Total HH]],WWWW[[#This Row],[Total HH]],WWWW[[#This Row],['# Functional hand washing stations during reporting period]]*20)</f>
        <v>0</v>
      </c>
      <c r="DG349" s="556">
        <f>IF(WWWW[[#This Row],[Is sufficient soap available for TLS? (Yes/No)]]="yes",WWWW[[#This Row],['#_Constructed/Existing hand washing stations at TLS]],0)</f>
        <v>0</v>
      </c>
      <c r="DH349" s="556">
        <f>IF(WWWW[[#This Row],['# Functional hand washing stations during reporting period]]*100&gt;WWWW[[#This Row],[Total PoP ]],WWWW[[#This Row],[Total PoP ]],WWWW[[#This Row],['# Functional hand washing stations during reporting period]]*100)</f>
        <v>0</v>
      </c>
      <c r="DI349" s="556" t="str">
        <f>IF(OR(WWWW[[#This Row],['#_students at TLS_CFS]]="",WWWW[[#This Row],['#_students at TLS_CFS]]=0),"No","Yes")</f>
        <v>No</v>
      </c>
      <c r="DJ349" s="554">
        <f>VLOOKUP(WWWW[[#This Row],[Site Name]],SiteDB6[[Site Name]:[CCCM Management]],6,FALSE)</f>
        <v>0</v>
      </c>
      <c r="DK349" s="554">
        <f>VLOOKUP(WWWW[[#This Row],[Site Name]],SiteDB6[[Site Name]:[CCCM Focal Agency]],7,FALSE)</f>
        <v>0</v>
      </c>
      <c r="DL349" s="554" t="str">
        <f>VLOOKUP(WWWW[[#This Row],[Site Name]],SiteDB6[[Site Name]:[Location Type 1]],9,FALSE)</f>
        <v>Village</v>
      </c>
      <c r="DM349" s="554" t="str">
        <f>VLOOKUP(WWWW[[#This Row],[Site Name]],SiteDB6[[Site Name]:[Type of Accommodation]],10,FALSE)</f>
        <v>Village_Not HRP</v>
      </c>
      <c r="DN349" s="554" t="str">
        <f>VLOOKUP(WWWW[[#This Row],[Site Name]],SiteDB6[[Site Name]:[Ethnic or GCA/NGCA]],11,FALSE)</f>
        <v>Muslim</v>
      </c>
      <c r="DO349" s="554">
        <f>VLOOKUP(WWWW[[#This Row],[Site Name]],SiteDB6[[Site Name]:[Lat]],12,FALSE)</f>
        <v>20.85956955</v>
      </c>
      <c r="DP349" s="554">
        <f>VLOOKUP(WWWW[[#This Row],[Site Name]],SiteDB6[[Site Name]:[Long]],13,FALSE)</f>
        <v>92.941146849999996</v>
      </c>
      <c r="DQ349" s="554">
        <f>VLOOKUP(WWWW[[#This Row],[Site Name]],SiteDB6[[Site Name]:[Pcode]],3,FALSE)</f>
        <v>196823</v>
      </c>
      <c r="DR349" s="563" t="str">
        <f t="shared" si="12"/>
        <v>Covered</v>
      </c>
      <c r="DS349" s="563"/>
    </row>
    <row r="350" spans="1:123">
      <c r="A350" s="552" t="s">
        <v>2518</v>
      </c>
      <c r="B350" s="552" t="s">
        <v>336</v>
      </c>
      <c r="C350" s="555" t="s">
        <v>336</v>
      </c>
      <c r="D350" s="555" t="s">
        <v>352</v>
      </c>
      <c r="E350" s="574" t="s">
        <v>3006</v>
      </c>
      <c r="F350" s="555" t="s">
        <v>320</v>
      </c>
      <c r="G350" s="574" t="str">
        <f>VLOOKUP(WWWW[[#This Row],[Site Name]],SiteDB6[[Site Name]:[Location Type]],8,FALSE)</f>
        <v>Village_Not HRP</v>
      </c>
      <c r="H350" s="555" t="s">
        <v>671</v>
      </c>
      <c r="I350" s="557">
        <v>170</v>
      </c>
      <c r="J350" s="557">
        <v>825</v>
      </c>
      <c r="K350" s="564">
        <v>42887</v>
      </c>
      <c r="L350" s="565">
        <v>43616</v>
      </c>
      <c r="M350" s="557"/>
      <c r="N350" s="557"/>
      <c r="O350" s="557"/>
      <c r="P350" s="557"/>
      <c r="Q350" s="556"/>
      <c r="R350" s="557"/>
      <c r="S350" s="557"/>
      <c r="T350" s="557"/>
      <c r="U350" s="557"/>
      <c r="V350" s="557"/>
      <c r="W350" s="557"/>
      <c r="X350" s="557"/>
      <c r="Y350" s="557"/>
      <c r="Z350" s="557"/>
      <c r="AA350" s="557"/>
      <c r="AB350" s="557"/>
      <c r="AC350" s="557"/>
      <c r="AD350" s="557"/>
      <c r="AE350" s="557">
        <v>1</v>
      </c>
      <c r="AF350" s="557"/>
      <c r="AG350" s="557"/>
      <c r="AH350" s="557"/>
      <c r="AI350" s="557"/>
      <c r="AJ350" s="557"/>
      <c r="AK350" s="557"/>
      <c r="AL350" s="557"/>
      <c r="AM350" s="557"/>
      <c r="AN350" s="557"/>
      <c r="AO350" s="586" t="s">
        <v>2954</v>
      </c>
      <c r="AP350" s="557"/>
      <c r="AQ350" s="557"/>
      <c r="AR350" s="559"/>
      <c r="AS350" s="557"/>
      <c r="AT350" s="557"/>
      <c r="AU350" s="557"/>
      <c r="AV350" s="557"/>
      <c r="AW350" s="557"/>
      <c r="AX350" s="554"/>
      <c r="AY350" s="563"/>
      <c r="AZ350" s="557"/>
      <c r="BA350" s="557"/>
      <c r="BB350" s="557"/>
      <c r="BC350" s="554"/>
      <c r="BD350" s="557"/>
      <c r="BE350" s="557"/>
      <c r="BF350" s="557"/>
      <c r="BG350" s="557"/>
      <c r="BH350" s="557"/>
      <c r="BI350" s="557"/>
      <c r="BJ350" s="557"/>
      <c r="BK350" s="557"/>
      <c r="BL350" s="557"/>
      <c r="BM350" s="554"/>
      <c r="BN350" s="558"/>
      <c r="BO350" s="559"/>
      <c r="BP350" s="554"/>
      <c r="BQ350" s="560" t="str">
        <f>IFERROR(WWWW[[#This Row],['#_Water sources treated]]/WWWW[[#This Row],['#_Water sources tested for contamination]],"no test")</f>
        <v>no test</v>
      </c>
      <c r="BR350" s="559" t="str">
        <f>IFERROR(WWWW[[#This Row],['#_Household received remediation action due to contamination]]/WWWW[[#This Row],['#_Household water samples tested for contamination]],"no test")</f>
        <v>no test</v>
      </c>
      <c r="BS350" s="558" t="str">
        <f>IF(AND(WWWW[[#This Row],[% of water sources treated]]="no test",WWWW[[#This Row],[% Household received corrective actions]]="no test"),"No Test","Tested")</f>
        <v>No Test</v>
      </c>
      <c r="BT350" s="558">
        <f>WWWW[[#This Row],['#_Constructed/existing protected hand dug well]]-WWWW[[#This Row],['#_Non-functional protected hand dug well]]</f>
        <v>0</v>
      </c>
      <c r="BU350" s="558">
        <f>(WWWW[[#This Row],['#_Constructed/Existing tube wells/boreholes/handpumps_WASH_agency]]+WWWW[[#This Row],['#_Non-Cluster partner water tube-wells/boreholes/handpumps]])-WWWW[[#This Row],['#_Non-functional tube wells/boreholes/handpumps]]</f>
        <v>0</v>
      </c>
      <c r="BV350" s="558">
        <f>WWWW[[#This Row],['#_Constructed/Existingwater storage tank with gravity fed reticulation system]]-WWWW[[#This Row],['#_Non-functional storage tank gravity fed reticulation system]]</f>
        <v>0</v>
      </c>
      <c r="BW350" s="558">
        <f>WWWW[[#This Row],['#_Water boating or water trucking]]</f>
        <v>0</v>
      </c>
      <c r="BX350" s="558">
        <f>WWWW[[#This Row],['#_Constructed/Existing water distribution system from river or natural spring]]</f>
        <v>0</v>
      </c>
      <c r="BY35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0" s="559">
        <f>IF(WWWW[[#This Row],[Location Type 1]]="Village",WWWW[[#This Row],[Access to safe drinking water for Village]],WWWW[[#This Row],[Access to safe drinking water for Camp]])</f>
        <v>0</v>
      </c>
      <c r="CB350" s="556">
        <f>WWWW[[#This Row],[%Equitable and continuous access to sufficient quantity of safe drinking water]]*WWWW[[#This Row],[Total PoP ]]</f>
        <v>0</v>
      </c>
      <c r="CC350" s="559">
        <f>IF((WWWW[[#This Row],['#_Constructed/Existing protected/fenced ponds]]*250)/WWWW[[#This Row],[Total PoP ]]&gt;1,1,(WWWW[[#This Row],['#_Constructed/Existing protected/fenced ponds]]*250)/WWWW[[#This Row],[Total PoP ]])</f>
        <v>0.30303030303030304</v>
      </c>
      <c r="CD350" s="556">
        <f>WWWW[[#This Row],[% Access to unimproved water points]]*WWWW[[#This Row],[Total PoP ]]</f>
        <v>250</v>
      </c>
      <c r="CE35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0.30303030303030304</v>
      </c>
      <c r="CF35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50" s="556">
        <f>WWWW[[#This Row],[HRP1]]/500</f>
        <v>0.5</v>
      </c>
      <c r="CH350" s="561">
        <f>1-WWWW[[#This Row],[% Equitable and continuous access to sufficient quantity of domestic water]]</f>
        <v>0.69696969696969702</v>
      </c>
      <c r="CI350" s="556">
        <f>WWWW[[#This Row],[%equitable and continuous access to sufficient quantity of safe drinking and domestic water''s GAP]]*WWWW[[#This Row],[Total PoP ]]</f>
        <v>575</v>
      </c>
      <c r="CJ350" s="558">
        <f>IF(WWWW[[#This Row],[Total required water points]]-WWWW[[#This Row],['#Water points coverage]]&lt;0,0,WWWW[[#This Row],[Total required water points]]-WWWW[[#This Row],['#Water points coverage]])</f>
        <v>1.5</v>
      </c>
      <c r="CK350" s="558">
        <f>ROUND(IF(WWWW[[#This Row],[Total PoP ]]&lt;500,1,WWWW[[#This Row],[Total PoP ]]/500),0)</f>
        <v>2</v>
      </c>
      <c r="CL350" s="558">
        <f>(WWWW[[#This Row],['#_Constructed latrines_by_WASHAgencies]]+WWWW[[#This Row],['#_Non Cluster partner latrines]])-WWWW[[#This Row],['#_Non-functional latrines]]</f>
        <v>0</v>
      </c>
      <c r="CM35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0" s="558" t="str">
        <f>IF(WWWW[[#This Row],[Location Type 1]]="Village","NA",IF(WWWW[[#This Row],['#_Constructed/Existing latrines in TLS]]*50&gt;WWWW[[#This Row],['#_students at TLS_CFS]],WWWW[[#This Row],['#_students at TLS_CFS]],(WWWW[[#This Row],['#_Constructed/Existing latrines in TLS]]*50)))</f>
        <v>NA</v>
      </c>
      <c r="CQ350" s="558">
        <f>ROUND(IF(WWWW[[#This Row],[Location Type 1]]="camp",WWWW[[#This Row],[Total PoP ]]/20,IF(WWWW[[#This Row],[Location Type 1]]="Temporary Location",WWWW[[#This Row],[Total PoP ]]/50,(WWWW[[#This Row],[Total PoP ]]/6))),0)</f>
        <v>138</v>
      </c>
      <c r="CR350" s="558">
        <f>IF(WWWW[[#This Row],[Total required Latrines]]-(WWWW[[#This Row],['#_Constructed latrines_by_WASHAgencies]]+WWWW[[#This Row],['#_Non Cluster partner latrines]])&lt;0,0,WWWW[[#This Row],[Total required Latrines]]-(WWWW[[#This Row],['#_Constructed latrines_by_WASHAgencies]]+WWWW[[#This Row],['#_Non Cluster partner latrines]]))</f>
        <v>138</v>
      </c>
      <c r="CS350" s="78">
        <f>1-WWWW[[#This Row],[% people access to functioning Latrine]]</f>
        <v>1</v>
      </c>
      <c r="CT350" s="560">
        <f>IF(OR(WWWW[[#This Row],['#_Non-functional latrines]]="",WWWW[[#This Row],['#_Non-functional latrines]]=0),0,WWWW[[#This Row],['#_Non-functional latrines]]/(WWWW[[#This Row],['#_Constructed latrines_by_WASHAgencies]]+WWWW[[#This Row],['#_Non Cluster partner latrines]]))</f>
        <v>0</v>
      </c>
      <c r="CU350" s="556">
        <f>IF(500*(WWWW[[#This Row],['#_male hygiene promoters]]+WWWW[[#This Row],['#_female hygiene promoters]])&gt;WWWW[[#This Row],[Total PoP ]],WWWW[[#This Row],[Total PoP ]],500*(WWWW[[#This Row],['#_male hygiene promoters]]+WWWW[[#This Row],['#_female hygiene promoters]]))</f>
        <v>0</v>
      </c>
      <c r="CV35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0" s="558">
        <f>IF(WWWW[[#This Row],['# People with access to soap]]&gt;WWWW[[#This Row],['# People with access to Sanity Pads]],WWWW[[#This Row],['# People with access to soap]],WWWW[[#This Row],['# People with access to Sanity Pads]])</f>
        <v>0</v>
      </c>
      <c r="CY35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0" s="561">
        <f>IF(WWWW[[#This Row],[HRP3]]/WWWW[[#This Row],[Total PoP ]]&gt;100%,100%,WWWW[[#This Row],[HRP3]]/WWWW[[#This Row],[Total PoP ]])</f>
        <v>0</v>
      </c>
      <c r="DA350" s="560">
        <f>1-WWWW[[#This Row],[Hygiene Coverage%]]</f>
        <v>1</v>
      </c>
      <c r="DB350" s="559">
        <f>WWWW[[#This Row],['# people reached by regular dedicated hygiene promotion_5]]/WWWW[[#This Row],[Total PoP ]]</f>
        <v>0</v>
      </c>
      <c r="DC350" s="559">
        <f>IF(WWWW[[#This Row],['#_households that received standard amount of soap for this quarter]]/WWWW[[#This Row],[Total HH]]&gt;1,1,WWWW[[#This Row],['#_households that received standard amount of soap for this quarter]]/WWWW[[#This Row],[Total HH]])</f>
        <v>0</v>
      </c>
      <c r="DD350" s="559">
        <f>IF(WWWW[[#This Row],['#_households that received standard amount of sanitary pads for this quarter]]/WWWW[[#This Row],[Total HH]]&gt;1,1,WWWW[[#This Row],['#_households that received standard amount of sanitary pads for this quarter]]/WWWW[[#This Row],[Total HH]])</f>
        <v>0</v>
      </c>
      <c r="DE350" s="558">
        <f>WWWW[[#This Row],['#_Constructed/Existing hand washing stations]]-WWWW[[#This Row],['#_Non-Functional_hand_washing_stations]]</f>
        <v>0</v>
      </c>
      <c r="DF350" s="757">
        <f>IF(WWWW[[#This Row],['# Functional hand washing stations during reporting period]]*20&gt;WWWW[[#This Row],[Total HH]],WWWW[[#This Row],[Total HH]],WWWW[[#This Row],['# Functional hand washing stations during reporting period]]*20)</f>
        <v>0</v>
      </c>
      <c r="DG350" s="556">
        <f>IF(WWWW[[#This Row],[Is sufficient soap available for TLS? (Yes/No)]]="yes",WWWW[[#This Row],['#_Constructed/Existing hand washing stations at TLS]],0)</f>
        <v>0</v>
      </c>
      <c r="DH350" s="556">
        <f>IF(WWWW[[#This Row],['# Functional hand washing stations during reporting period]]*100&gt;WWWW[[#This Row],[Total PoP ]],WWWW[[#This Row],[Total PoP ]],WWWW[[#This Row],['# Functional hand washing stations during reporting period]]*100)</f>
        <v>0</v>
      </c>
      <c r="DI350" s="556" t="str">
        <f>IF(OR(WWWW[[#This Row],['#_students at TLS_CFS]]="",WWWW[[#This Row],['#_students at TLS_CFS]]=0),"No","Yes")</f>
        <v>No</v>
      </c>
      <c r="DJ350" s="554">
        <f>VLOOKUP(WWWW[[#This Row],[Site Name]],SiteDB6[[Site Name]:[CCCM Management]],6,FALSE)</f>
        <v>0</v>
      </c>
      <c r="DK350" s="554">
        <f>VLOOKUP(WWWW[[#This Row],[Site Name]],SiteDB6[[Site Name]:[CCCM Focal Agency]],7,FALSE)</f>
        <v>0</v>
      </c>
      <c r="DL350" s="554" t="str">
        <f>VLOOKUP(WWWW[[#This Row],[Site Name]],SiteDB6[[Site Name]:[Location Type 1]],9,FALSE)</f>
        <v>Village</v>
      </c>
      <c r="DM350" s="554" t="str">
        <f>VLOOKUP(WWWW[[#This Row],[Site Name]],SiteDB6[[Site Name]:[Type of Accommodation]],10,FALSE)</f>
        <v>Village_Not HRP</v>
      </c>
      <c r="DN350" s="554" t="str">
        <f>VLOOKUP(WWWW[[#This Row],[Site Name]],SiteDB6[[Site Name]:[Ethnic or GCA/NGCA]],11,FALSE)</f>
        <v>Rakhine</v>
      </c>
      <c r="DO350" s="554">
        <f>VLOOKUP(WWWW[[#This Row],[Site Name]],SiteDB6[[Site Name]:[Lat]],12,FALSE)</f>
        <v>20.894269940000001</v>
      </c>
      <c r="DP350" s="554">
        <f>VLOOKUP(WWWW[[#This Row],[Site Name]],SiteDB6[[Site Name]:[Long]],13,FALSE)</f>
        <v>92.920730590000005</v>
      </c>
      <c r="DQ350" s="554">
        <f>VLOOKUP(WWWW[[#This Row],[Site Name]],SiteDB6[[Site Name]:[Pcode]],3,FALSE)</f>
        <v>196814</v>
      </c>
      <c r="DR350" s="563" t="str">
        <f t="shared" si="12"/>
        <v>Covered</v>
      </c>
      <c r="DS350" s="563"/>
    </row>
    <row r="351" spans="1:123">
      <c r="A351" s="552" t="s">
        <v>2518</v>
      </c>
      <c r="B351" s="552" t="s">
        <v>336</v>
      </c>
      <c r="C351" s="555" t="s">
        <v>336</v>
      </c>
      <c r="D351" s="555" t="s">
        <v>352</v>
      </c>
      <c r="E351" s="574" t="s">
        <v>3006</v>
      </c>
      <c r="F351" s="555" t="s">
        <v>320</v>
      </c>
      <c r="G351" s="574" t="str">
        <f>VLOOKUP(WWWW[[#This Row],[Site Name]],SiteDB6[[Site Name]:[Location Type]],8,FALSE)</f>
        <v>Village_Not HRP</v>
      </c>
      <c r="H351" s="555" t="s">
        <v>354</v>
      </c>
      <c r="I351" s="557">
        <v>144</v>
      </c>
      <c r="J351" s="557">
        <v>792</v>
      </c>
      <c r="K351" s="564">
        <v>42887</v>
      </c>
      <c r="L351" s="565">
        <v>43616</v>
      </c>
      <c r="M351" s="557"/>
      <c r="N351" s="557"/>
      <c r="O351" s="557"/>
      <c r="P351" s="557"/>
      <c r="Q351" s="556"/>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63"/>
      <c r="AP351" s="557"/>
      <c r="AQ351" s="557"/>
      <c r="AR351" s="559"/>
      <c r="AS351" s="557"/>
      <c r="AT351" s="557"/>
      <c r="AU351" s="557"/>
      <c r="AV351" s="557"/>
      <c r="AW351" s="557"/>
      <c r="AX351" s="554"/>
      <c r="AY351" s="563"/>
      <c r="AZ351" s="557"/>
      <c r="BA351" s="557"/>
      <c r="BB351" s="557"/>
      <c r="BC351" s="554"/>
      <c r="BD351" s="557"/>
      <c r="BE351" s="557"/>
      <c r="BF351" s="557"/>
      <c r="BG351" s="557"/>
      <c r="BH351" s="557"/>
      <c r="BI351" s="557"/>
      <c r="BJ351" s="557"/>
      <c r="BK351" s="557"/>
      <c r="BL351" s="557"/>
      <c r="BM351" s="554"/>
      <c r="BN351" s="558"/>
      <c r="BO351" s="559"/>
      <c r="BP351" s="554"/>
      <c r="BQ351" s="560" t="str">
        <f>IFERROR(WWWW[[#This Row],['#_Water sources treated]]/WWWW[[#This Row],['#_Water sources tested for contamination]],"no test")</f>
        <v>no test</v>
      </c>
      <c r="BR351" s="559" t="str">
        <f>IFERROR(WWWW[[#This Row],['#_Household received remediation action due to contamination]]/WWWW[[#This Row],['#_Household water samples tested for contamination]],"no test")</f>
        <v>no test</v>
      </c>
      <c r="BS351" s="558" t="str">
        <f>IF(AND(WWWW[[#This Row],[% of water sources treated]]="no test",WWWW[[#This Row],[% Household received corrective actions]]="no test"),"No Test","Tested")</f>
        <v>No Test</v>
      </c>
      <c r="BT351" s="558">
        <f>WWWW[[#This Row],['#_Constructed/existing protected hand dug well]]-WWWW[[#This Row],['#_Non-functional protected hand dug well]]</f>
        <v>0</v>
      </c>
      <c r="BU351" s="558">
        <f>(WWWW[[#This Row],['#_Constructed/Existing tube wells/boreholes/handpumps_WASH_agency]]+WWWW[[#This Row],['#_Non-Cluster partner water tube-wells/boreholes/handpumps]])-WWWW[[#This Row],['#_Non-functional tube wells/boreholes/handpumps]]</f>
        <v>0</v>
      </c>
      <c r="BV351" s="558">
        <f>WWWW[[#This Row],['#_Constructed/Existingwater storage tank with gravity fed reticulation system]]-WWWW[[#This Row],['#_Non-functional storage tank gravity fed reticulation system]]</f>
        <v>0</v>
      </c>
      <c r="BW351" s="558">
        <f>WWWW[[#This Row],['#_Water boating or water trucking]]</f>
        <v>0</v>
      </c>
      <c r="BX351" s="558">
        <f>WWWW[[#This Row],['#_Constructed/Existing water distribution system from river or natural spring]]</f>
        <v>0</v>
      </c>
      <c r="BY35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1" s="559">
        <f>IF(WWWW[[#This Row],[Location Type 1]]="Village",WWWW[[#This Row],[Access to safe drinking water for Village]],WWWW[[#This Row],[Access to safe drinking water for Camp]])</f>
        <v>0</v>
      </c>
      <c r="CB351" s="556">
        <f>WWWW[[#This Row],[%Equitable and continuous access to sufficient quantity of safe drinking water]]*WWWW[[#This Row],[Total PoP ]]</f>
        <v>0</v>
      </c>
      <c r="CC351" s="559">
        <f>IF((WWWW[[#This Row],['#_Constructed/Existing protected/fenced ponds]]*250)/WWWW[[#This Row],[Total PoP ]]&gt;1,1,(WWWW[[#This Row],['#_Constructed/Existing protected/fenced ponds]]*250)/WWWW[[#This Row],[Total PoP ]])</f>
        <v>0</v>
      </c>
      <c r="CD351" s="556">
        <f>WWWW[[#This Row],[% Access to unimproved water points]]*WWWW[[#This Row],[Total PoP ]]</f>
        <v>0</v>
      </c>
      <c r="CE35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1" s="556">
        <f>WWWW[[#This Row],[HRP1]]/500</f>
        <v>0</v>
      </c>
      <c r="CH351" s="561">
        <f>1-WWWW[[#This Row],[% Equitable and continuous access to sufficient quantity of domestic water]]</f>
        <v>1</v>
      </c>
      <c r="CI351" s="556">
        <f>WWWW[[#This Row],[%equitable and continuous access to sufficient quantity of safe drinking and domestic water''s GAP]]*WWWW[[#This Row],[Total PoP ]]</f>
        <v>792</v>
      </c>
      <c r="CJ351" s="558">
        <f>IF(WWWW[[#This Row],[Total required water points]]-WWWW[[#This Row],['#Water points coverage]]&lt;0,0,WWWW[[#This Row],[Total required water points]]-WWWW[[#This Row],['#Water points coverage]])</f>
        <v>2</v>
      </c>
      <c r="CK351" s="558">
        <f>ROUND(IF(WWWW[[#This Row],[Total PoP ]]&lt;500,1,WWWW[[#This Row],[Total PoP ]]/500),0)</f>
        <v>2</v>
      </c>
      <c r="CL351" s="558">
        <f>(WWWW[[#This Row],['#_Constructed latrines_by_WASHAgencies]]+WWWW[[#This Row],['#_Non Cluster partner latrines]])-WWWW[[#This Row],['#_Non-functional latrines]]</f>
        <v>0</v>
      </c>
      <c r="CM35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1" s="558" t="str">
        <f>IF(WWWW[[#This Row],[Location Type 1]]="Village","NA",IF(WWWW[[#This Row],['#_Constructed/Existing latrines in TLS]]*50&gt;WWWW[[#This Row],['#_students at TLS_CFS]],WWWW[[#This Row],['#_students at TLS_CFS]],(WWWW[[#This Row],['#_Constructed/Existing latrines in TLS]]*50)))</f>
        <v>NA</v>
      </c>
      <c r="CQ351" s="558">
        <f>ROUND(IF(WWWW[[#This Row],[Location Type 1]]="camp",WWWW[[#This Row],[Total PoP ]]/20,IF(WWWW[[#This Row],[Location Type 1]]="Temporary Location",WWWW[[#This Row],[Total PoP ]]/50,(WWWW[[#This Row],[Total PoP ]]/6))),0)</f>
        <v>132</v>
      </c>
      <c r="CR351" s="558">
        <f>IF(WWWW[[#This Row],[Total required Latrines]]-(WWWW[[#This Row],['#_Constructed latrines_by_WASHAgencies]]+WWWW[[#This Row],['#_Non Cluster partner latrines]])&lt;0,0,WWWW[[#This Row],[Total required Latrines]]-(WWWW[[#This Row],['#_Constructed latrines_by_WASHAgencies]]+WWWW[[#This Row],['#_Non Cluster partner latrines]]))</f>
        <v>132</v>
      </c>
      <c r="CS351" s="78">
        <f>1-WWWW[[#This Row],[% people access to functioning Latrine]]</f>
        <v>1</v>
      </c>
      <c r="CT351" s="560">
        <f>IF(OR(WWWW[[#This Row],['#_Non-functional latrines]]="",WWWW[[#This Row],['#_Non-functional latrines]]=0),0,WWWW[[#This Row],['#_Non-functional latrines]]/(WWWW[[#This Row],['#_Constructed latrines_by_WASHAgencies]]+WWWW[[#This Row],['#_Non Cluster partner latrines]]))</f>
        <v>0</v>
      </c>
      <c r="CU351" s="556">
        <f>IF(500*(WWWW[[#This Row],['#_male hygiene promoters]]+WWWW[[#This Row],['#_female hygiene promoters]])&gt;WWWW[[#This Row],[Total PoP ]],WWWW[[#This Row],[Total PoP ]],500*(WWWW[[#This Row],['#_male hygiene promoters]]+WWWW[[#This Row],['#_female hygiene promoters]]))</f>
        <v>0</v>
      </c>
      <c r="CV35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1" s="558">
        <f>IF(WWWW[[#This Row],['# People with access to soap]]&gt;WWWW[[#This Row],['# People with access to Sanity Pads]],WWWW[[#This Row],['# People with access to soap]],WWWW[[#This Row],['# People with access to Sanity Pads]])</f>
        <v>0</v>
      </c>
      <c r="CY35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1" s="561">
        <f>IF(WWWW[[#This Row],[HRP3]]/WWWW[[#This Row],[Total PoP ]]&gt;100%,100%,WWWW[[#This Row],[HRP3]]/WWWW[[#This Row],[Total PoP ]])</f>
        <v>0</v>
      </c>
      <c r="DA351" s="560">
        <f>1-WWWW[[#This Row],[Hygiene Coverage%]]</f>
        <v>1</v>
      </c>
      <c r="DB351" s="559">
        <f>WWWW[[#This Row],['# people reached by regular dedicated hygiene promotion_5]]/WWWW[[#This Row],[Total PoP ]]</f>
        <v>0</v>
      </c>
      <c r="DC351" s="559">
        <f>IF(WWWW[[#This Row],['#_households that received standard amount of soap for this quarter]]/WWWW[[#This Row],[Total HH]]&gt;1,1,WWWW[[#This Row],['#_households that received standard amount of soap for this quarter]]/WWWW[[#This Row],[Total HH]])</f>
        <v>0</v>
      </c>
      <c r="DD351" s="559">
        <f>IF(WWWW[[#This Row],['#_households that received standard amount of sanitary pads for this quarter]]/WWWW[[#This Row],[Total HH]]&gt;1,1,WWWW[[#This Row],['#_households that received standard amount of sanitary pads for this quarter]]/WWWW[[#This Row],[Total HH]])</f>
        <v>0</v>
      </c>
      <c r="DE351" s="558">
        <f>WWWW[[#This Row],['#_Constructed/Existing hand washing stations]]-WWWW[[#This Row],['#_Non-Functional_hand_washing_stations]]</f>
        <v>0</v>
      </c>
      <c r="DF351" s="757">
        <f>IF(WWWW[[#This Row],['# Functional hand washing stations during reporting period]]*20&gt;WWWW[[#This Row],[Total HH]],WWWW[[#This Row],[Total HH]],WWWW[[#This Row],['# Functional hand washing stations during reporting period]]*20)</f>
        <v>0</v>
      </c>
      <c r="DG351" s="556">
        <f>IF(WWWW[[#This Row],[Is sufficient soap available for TLS? (Yes/No)]]="yes",WWWW[[#This Row],['#_Constructed/Existing hand washing stations at TLS]],0)</f>
        <v>0</v>
      </c>
      <c r="DH351" s="556">
        <f>IF(WWWW[[#This Row],['# Functional hand washing stations during reporting period]]*100&gt;WWWW[[#This Row],[Total PoP ]],WWWW[[#This Row],[Total PoP ]],WWWW[[#This Row],['# Functional hand washing stations during reporting period]]*100)</f>
        <v>0</v>
      </c>
      <c r="DI351" s="556" t="str">
        <f>IF(OR(WWWW[[#This Row],['#_students at TLS_CFS]]="",WWWW[[#This Row],['#_students at TLS_CFS]]=0),"No","Yes")</f>
        <v>No</v>
      </c>
      <c r="DJ351" s="554">
        <f>VLOOKUP(WWWW[[#This Row],[Site Name]],SiteDB6[[Site Name]:[CCCM Management]],6,FALSE)</f>
        <v>0</v>
      </c>
      <c r="DK351" s="554">
        <f>VLOOKUP(WWWW[[#This Row],[Site Name]],SiteDB6[[Site Name]:[CCCM Focal Agency]],7,FALSE)</f>
        <v>0</v>
      </c>
      <c r="DL351" s="554" t="str">
        <f>VLOOKUP(WWWW[[#This Row],[Site Name]],SiteDB6[[Site Name]:[Location Type 1]],9,FALSE)</f>
        <v>Village</v>
      </c>
      <c r="DM351" s="554" t="str">
        <f>VLOOKUP(WWWW[[#This Row],[Site Name]],SiteDB6[[Site Name]:[Type of Accommodation]],10,FALSE)</f>
        <v>Village_Not HRP</v>
      </c>
      <c r="DN351" s="554" t="str">
        <f>VLOOKUP(WWWW[[#This Row],[Site Name]],SiteDB6[[Site Name]:[Ethnic or GCA/NGCA]],11,FALSE)</f>
        <v>Dinet</v>
      </c>
      <c r="DO351" s="554">
        <f>VLOOKUP(WWWW[[#This Row],[Site Name]],SiteDB6[[Site Name]:[Lat]],12,FALSE)</f>
        <v>0</v>
      </c>
      <c r="DP351" s="554">
        <f>VLOOKUP(WWWW[[#This Row],[Site Name]],SiteDB6[[Site Name]:[Long]],13,FALSE)</f>
        <v>0</v>
      </c>
      <c r="DQ351" s="554">
        <f>VLOOKUP(WWWW[[#This Row],[Site Name]],SiteDB6[[Site Name]:[Pcode]],3,FALSE)</f>
        <v>196815</v>
      </c>
      <c r="DR351" s="563" t="str">
        <f t="shared" si="12"/>
        <v>Covered</v>
      </c>
      <c r="DS351" s="563"/>
    </row>
    <row r="352" spans="1:123">
      <c r="A352" s="552" t="s">
        <v>2518</v>
      </c>
      <c r="B352" s="552" t="s">
        <v>336</v>
      </c>
      <c r="C352" s="555" t="s">
        <v>336</v>
      </c>
      <c r="D352" s="555" t="s">
        <v>352</v>
      </c>
      <c r="E352" s="574" t="s">
        <v>3006</v>
      </c>
      <c r="F352" s="555" t="s">
        <v>320</v>
      </c>
      <c r="G352" s="574" t="str">
        <f>VLOOKUP(WWWW[[#This Row],[Site Name]],SiteDB6[[Site Name]:[Location Type]],8,FALSE)</f>
        <v>Village_Not HRP</v>
      </c>
      <c r="H352" s="555" t="s">
        <v>672</v>
      </c>
      <c r="I352" s="557">
        <v>50</v>
      </c>
      <c r="J352" s="557">
        <v>207</v>
      </c>
      <c r="K352" s="564">
        <v>42887</v>
      </c>
      <c r="L352" s="565">
        <v>43616</v>
      </c>
      <c r="M352" s="557"/>
      <c r="N352" s="557"/>
      <c r="O352" s="557"/>
      <c r="P352" s="557"/>
      <c r="Q352" s="556"/>
      <c r="R352" s="557"/>
      <c r="S352" s="557"/>
      <c r="T352" s="557"/>
      <c r="U352" s="557"/>
      <c r="V352" s="557"/>
      <c r="W352" s="557"/>
      <c r="X352" s="557"/>
      <c r="Y352" s="557"/>
      <c r="Z352" s="557"/>
      <c r="AA352" s="557"/>
      <c r="AB352" s="557"/>
      <c r="AC352" s="557"/>
      <c r="AD352" s="557"/>
      <c r="AE352" s="557">
        <v>2</v>
      </c>
      <c r="AF352" s="557"/>
      <c r="AG352" s="557"/>
      <c r="AH352" s="557"/>
      <c r="AI352" s="557"/>
      <c r="AJ352" s="557"/>
      <c r="AK352" s="557"/>
      <c r="AL352" s="557"/>
      <c r="AM352" s="557"/>
      <c r="AN352" s="557"/>
      <c r="AO352" s="586" t="s">
        <v>2954</v>
      </c>
      <c r="AP352" s="557"/>
      <c r="AQ352" s="557"/>
      <c r="AR352" s="559"/>
      <c r="AS352" s="557"/>
      <c r="AT352" s="557"/>
      <c r="AU352" s="557"/>
      <c r="AV352" s="557"/>
      <c r="AW352" s="557"/>
      <c r="AX352" s="554"/>
      <c r="AY352" s="563"/>
      <c r="AZ352" s="557"/>
      <c r="BA352" s="557"/>
      <c r="BB352" s="557"/>
      <c r="BC352" s="554"/>
      <c r="BD352" s="557"/>
      <c r="BE352" s="557"/>
      <c r="BF352" s="557"/>
      <c r="BG352" s="557"/>
      <c r="BH352" s="557"/>
      <c r="BI352" s="557"/>
      <c r="BJ352" s="557"/>
      <c r="BK352" s="557"/>
      <c r="BL352" s="557"/>
      <c r="BM352" s="554"/>
      <c r="BN352" s="558"/>
      <c r="BO352" s="559"/>
      <c r="BP352" s="554"/>
      <c r="BQ352" s="560" t="str">
        <f>IFERROR(WWWW[[#This Row],['#_Water sources treated]]/WWWW[[#This Row],['#_Water sources tested for contamination]],"no test")</f>
        <v>no test</v>
      </c>
      <c r="BR352" s="559" t="str">
        <f>IFERROR(WWWW[[#This Row],['#_Household received remediation action due to contamination]]/WWWW[[#This Row],['#_Household water samples tested for contamination]],"no test")</f>
        <v>no test</v>
      </c>
      <c r="BS352" s="558" t="str">
        <f>IF(AND(WWWW[[#This Row],[% of water sources treated]]="no test",WWWW[[#This Row],[% Household received corrective actions]]="no test"),"No Test","Tested")</f>
        <v>No Test</v>
      </c>
      <c r="BT352" s="558">
        <f>WWWW[[#This Row],['#_Constructed/existing protected hand dug well]]-WWWW[[#This Row],['#_Non-functional protected hand dug well]]</f>
        <v>0</v>
      </c>
      <c r="BU352" s="558">
        <f>(WWWW[[#This Row],['#_Constructed/Existing tube wells/boreholes/handpumps_WASH_agency]]+WWWW[[#This Row],['#_Non-Cluster partner water tube-wells/boreholes/handpumps]])-WWWW[[#This Row],['#_Non-functional tube wells/boreholes/handpumps]]</f>
        <v>0</v>
      </c>
      <c r="BV352" s="558">
        <f>WWWW[[#This Row],['#_Constructed/Existingwater storage tank with gravity fed reticulation system]]-WWWW[[#This Row],['#_Non-functional storage tank gravity fed reticulation system]]</f>
        <v>0</v>
      </c>
      <c r="BW352" s="558">
        <f>WWWW[[#This Row],['#_Water boating or water trucking]]</f>
        <v>0</v>
      </c>
      <c r="BX352" s="558">
        <f>WWWW[[#This Row],['#_Constructed/Existing water distribution system from river or natural spring]]</f>
        <v>0</v>
      </c>
      <c r="BY35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2" s="559">
        <f>IF(WWWW[[#This Row],[Location Type 1]]="Village",WWWW[[#This Row],[Access to safe drinking water for Village]],WWWW[[#This Row],[Access to safe drinking water for Camp]])</f>
        <v>0</v>
      </c>
      <c r="CB352" s="556">
        <f>WWWW[[#This Row],[%Equitable and continuous access to sufficient quantity of safe drinking water]]*WWWW[[#This Row],[Total PoP ]]</f>
        <v>0</v>
      </c>
      <c r="CC352" s="559">
        <f>IF((WWWW[[#This Row],['#_Constructed/Existing protected/fenced ponds]]*250)/WWWW[[#This Row],[Total PoP ]]&gt;1,1,(WWWW[[#This Row],['#_Constructed/Existing protected/fenced ponds]]*250)/WWWW[[#This Row],[Total PoP ]])</f>
        <v>1</v>
      </c>
      <c r="CD352" s="556">
        <f>WWWW[[#This Row],[% Access to unimproved water points]]*WWWW[[#This Row],[Total PoP ]]</f>
        <v>207</v>
      </c>
      <c r="CE35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5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CG352" s="556">
        <f>WWWW[[#This Row],[HRP1]]/500</f>
        <v>0.41399999999999998</v>
      </c>
      <c r="CH352" s="561">
        <f>1-WWWW[[#This Row],[% Equitable and continuous access to sufficient quantity of domestic water]]</f>
        <v>0</v>
      </c>
      <c r="CI352" s="556">
        <f>WWWW[[#This Row],[%equitable and continuous access to sufficient quantity of safe drinking and domestic water''s GAP]]*WWWW[[#This Row],[Total PoP ]]</f>
        <v>0</v>
      </c>
      <c r="CJ352" s="558">
        <f>IF(WWWW[[#This Row],[Total required water points]]-WWWW[[#This Row],['#Water points coverage]]&lt;0,0,WWWW[[#This Row],[Total required water points]]-WWWW[[#This Row],['#Water points coverage]])</f>
        <v>0.58600000000000008</v>
      </c>
      <c r="CK352" s="558">
        <f>ROUND(IF(WWWW[[#This Row],[Total PoP ]]&lt;500,1,WWWW[[#This Row],[Total PoP ]]/500),0)</f>
        <v>1</v>
      </c>
      <c r="CL352" s="558">
        <f>(WWWW[[#This Row],['#_Constructed latrines_by_WASHAgencies]]+WWWW[[#This Row],['#_Non Cluster partner latrines]])-WWWW[[#This Row],['#_Non-functional latrines]]</f>
        <v>0</v>
      </c>
      <c r="CM35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2" s="558" t="str">
        <f>IF(WWWW[[#This Row],[Location Type 1]]="Village","NA",IF(WWWW[[#This Row],['#_Constructed/Existing latrines in TLS]]*50&gt;WWWW[[#This Row],['#_students at TLS_CFS]],WWWW[[#This Row],['#_students at TLS_CFS]],(WWWW[[#This Row],['#_Constructed/Existing latrines in TLS]]*50)))</f>
        <v>NA</v>
      </c>
      <c r="CQ352" s="558">
        <f>ROUND(IF(WWWW[[#This Row],[Location Type 1]]="camp",WWWW[[#This Row],[Total PoP ]]/20,IF(WWWW[[#This Row],[Location Type 1]]="Temporary Location",WWWW[[#This Row],[Total PoP ]]/50,(WWWW[[#This Row],[Total PoP ]]/6))),0)</f>
        <v>35</v>
      </c>
      <c r="CR352" s="558">
        <f>IF(WWWW[[#This Row],[Total required Latrines]]-(WWWW[[#This Row],['#_Constructed latrines_by_WASHAgencies]]+WWWW[[#This Row],['#_Non Cluster partner latrines]])&lt;0,0,WWWW[[#This Row],[Total required Latrines]]-(WWWW[[#This Row],['#_Constructed latrines_by_WASHAgencies]]+WWWW[[#This Row],['#_Non Cluster partner latrines]]))</f>
        <v>35</v>
      </c>
      <c r="CS352" s="78">
        <f>1-WWWW[[#This Row],[% people access to functioning Latrine]]</f>
        <v>1</v>
      </c>
      <c r="CT352" s="560">
        <f>IF(OR(WWWW[[#This Row],['#_Non-functional latrines]]="",WWWW[[#This Row],['#_Non-functional latrines]]=0),0,WWWW[[#This Row],['#_Non-functional latrines]]/(WWWW[[#This Row],['#_Constructed latrines_by_WASHAgencies]]+WWWW[[#This Row],['#_Non Cluster partner latrines]]))</f>
        <v>0</v>
      </c>
      <c r="CU352" s="556">
        <f>IF(500*(WWWW[[#This Row],['#_male hygiene promoters]]+WWWW[[#This Row],['#_female hygiene promoters]])&gt;WWWW[[#This Row],[Total PoP ]],WWWW[[#This Row],[Total PoP ]],500*(WWWW[[#This Row],['#_male hygiene promoters]]+WWWW[[#This Row],['#_female hygiene promoters]]))</f>
        <v>0</v>
      </c>
      <c r="CV35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2" s="558">
        <f>IF(WWWW[[#This Row],['# People with access to soap]]&gt;WWWW[[#This Row],['# People with access to Sanity Pads]],WWWW[[#This Row],['# People with access to soap]],WWWW[[#This Row],['# People with access to Sanity Pads]])</f>
        <v>0</v>
      </c>
      <c r="CY35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2" s="561">
        <f>IF(WWWW[[#This Row],[HRP3]]/WWWW[[#This Row],[Total PoP ]]&gt;100%,100%,WWWW[[#This Row],[HRP3]]/WWWW[[#This Row],[Total PoP ]])</f>
        <v>0</v>
      </c>
      <c r="DA352" s="560">
        <f>1-WWWW[[#This Row],[Hygiene Coverage%]]</f>
        <v>1</v>
      </c>
      <c r="DB352" s="559">
        <f>WWWW[[#This Row],['# people reached by regular dedicated hygiene promotion_5]]/WWWW[[#This Row],[Total PoP ]]</f>
        <v>0</v>
      </c>
      <c r="DC352" s="559">
        <f>IF(WWWW[[#This Row],['#_households that received standard amount of soap for this quarter]]/WWWW[[#This Row],[Total HH]]&gt;1,1,WWWW[[#This Row],['#_households that received standard amount of soap for this quarter]]/WWWW[[#This Row],[Total HH]])</f>
        <v>0</v>
      </c>
      <c r="DD352" s="559">
        <f>IF(WWWW[[#This Row],['#_households that received standard amount of sanitary pads for this quarter]]/WWWW[[#This Row],[Total HH]]&gt;1,1,WWWW[[#This Row],['#_households that received standard amount of sanitary pads for this quarter]]/WWWW[[#This Row],[Total HH]])</f>
        <v>0</v>
      </c>
      <c r="DE352" s="558">
        <f>WWWW[[#This Row],['#_Constructed/Existing hand washing stations]]-WWWW[[#This Row],['#_Non-Functional_hand_washing_stations]]</f>
        <v>0</v>
      </c>
      <c r="DF352" s="757">
        <f>IF(WWWW[[#This Row],['# Functional hand washing stations during reporting period]]*20&gt;WWWW[[#This Row],[Total HH]],WWWW[[#This Row],[Total HH]],WWWW[[#This Row],['# Functional hand washing stations during reporting period]]*20)</f>
        <v>0</v>
      </c>
      <c r="DG352" s="556">
        <f>IF(WWWW[[#This Row],[Is sufficient soap available for TLS? (Yes/No)]]="yes",WWWW[[#This Row],['#_Constructed/Existing hand washing stations at TLS]],0)</f>
        <v>0</v>
      </c>
      <c r="DH352" s="556">
        <f>IF(WWWW[[#This Row],['# Functional hand washing stations during reporting period]]*100&gt;WWWW[[#This Row],[Total PoP ]],WWWW[[#This Row],[Total PoP ]],WWWW[[#This Row],['# Functional hand washing stations during reporting period]]*100)</f>
        <v>0</v>
      </c>
      <c r="DI352" s="556" t="str">
        <f>IF(OR(WWWW[[#This Row],['#_students at TLS_CFS]]="",WWWW[[#This Row],['#_students at TLS_CFS]]=0),"No","Yes")</f>
        <v>No</v>
      </c>
      <c r="DJ352" s="554">
        <f>VLOOKUP(WWWW[[#This Row],[Site Name]],SiteDB6[[Site Name]:[CCCM Management]],6,FALSE)</f>
        <v>0</v>
      </c>
      <c r="DK352" s="554">
        <f>VLOOKUP(WWWW[[#This Row],[Site Name]],SiteDB6[[Site Name]:[CCCM Focal Agency]],7,FALSE)</f>
        <v>0</v>
      </c>
      <c r="DL352" s="554" t="str">
        <f>VLOOKUP(WWWW[[#This Row],[Site Name]],SiteDB6[[Site Name]:[Location Type 1]],9,FALSE)</f>
        <v>Village</v>
      </c>
      <c r="DM352" s="554" t="str">
        <f>VLOOKUP(WWWW[[#This Row],[Site Name]],SiteDB6[[Site Name]:[Type of Accommodation]],10,FALSE)</f>
        <v>Village_Not HRP</v>
      </c>
      <c r="DN352" s="554" t="str">
        <f>VLOOKUP(WWWW[[#This Row],[Site Name]],SiteDB6[[Site Name]:[Ethnic or GCA/NGCA]],11,FALSE)</f>
        <v>Mro</v>
      </c>
      <c r="DO352" s="554">
        <f>VLOOKUP(WWWW[[#This Row],[Site Name]],SiteDB6[[Site Name]:[Lat]],12,FALSE)</f>
        <v>20.895059589999999</v>
      </c>
      <c r="DP352" s="554">
        <f>VLOOKUP(WWWW[[#This Row],[Site Name]],SiteDB6[[Site Name]:[Long]],13,FALSE)</f>
        <v>92.90735626</v>
      </c>
      <c r="DQ352" s="554">
        <f>VLOOKUP(WWWW[[#This Row],[Site Name]],SiteDB6[[Site Name]:[Pcode]],3,FALSE)</f>
        <v>196807</v>
      </c>
      <c r="DR352" s="563" t="str">
        <f t="shared" si="12"/>
        <v>Covered</v>
      </c>
      <c r="DS352" s="563"/>
    </row>
    <row r="353" spans="1:123">
      <c r="A353" s="552" t="s">
        <v>2518</v>
      </c>
      <c r="B353" s="552" t="s">
        <v>336</v>
      </c>
      <c r="C353" s="555" t="s">
        <v>336</v>
      </c>
      <c r="D353" s="555" t="s">
        <v>352</v>
      </c>
      <c r="E353" s="574" t="s">
        <v>3006</v>
      </c>
      <c r="F353" s="555" t="s">
        <v>320</v>
      </c>
      <c r="G353" s="574" t="str">
        <f>VLOOKUP(WWWW[[#This Row],[Site Name]],SiteDB6[[Site Name]:[Location Type]],8,FALSE)</f>
        <v>Village_Not HRP</v>
      </c>
      <c r="H353" s="555" t="s">
        <v>710</v>
      </c>
      <c r="I353" s="557">
        <v>90</v>
      </c>
      <c r="J353" s="557">
        <v>375</v>
      </c>
      <c r="K353" s="564">
        <v>42887</v>
      </c>
      <c r="L353" s="565">
        <v>43616</v>
      </c>
      <c r="M353" s="557"/>
      <c r="N353" s="557"/>
      <c r="O353" s="557"/>
      <c r="P353" s="557"/>
      <c r="Q353" s="556"/>
      <c r="R353" s="557"/>
      <c r="S353" s="557"/>
      <c r="T353" s="557"/>
      <c r="U353" s="557"/>
      <c r="V353" s="557"/>
      <c r="W353" s="557"/>
      <c r="X353" s="557"/>
      <c r="Y353" s="557"/>
      <c r="Z353" s="557"/>
      <c r="AA353" s="557"/>
      <c r="AB353" s="557"/>
      <c r="AC353" s="557"/>
      <c r="AD353" s="557"/>
      <c r="AE353" s="557">
        <v>1</v>
      </c>
      <c r="AF353" s="557"/>
      <c r="AG353" s="557"/>
      <c r="AH353" s="557"/>
      <c r="AI353" s="557"/>
      <c r="AJ353" s="557"/>
      <c r="AK353" s="557"/>
      <c r="AL353" s="557"/>
      <c r="AM353" s="557"/>
      <c r="AN353" s="557"/>
      <c r="AO353" s="586" t="s">
        <v>2954</v>
      </c>
      <c r="AP353" s="557"/>
      <c r="AQ353" s="557"/>
      <c r="AR353" s="559"/>
      <c r="AS353" s="557"/>
      <c r="AT353" s="557"/>
      <c r="AU353" s="557"/>
      <c r="AV353" s="557"/>
      <c r="AW353" s="557"/>
      <c r="AX353" s="554"/>
      <c r="AY353" s="563"/>
      <c r="AZ353" s="557"/>
      <c r="BA353" s="557"/>
      <c r="BB353" s="557"/>
      <c r="BC353" s="554"/>
      <c r="BD353" s="557"/>
      <c r="BE353" s="557"/>
      <c r="BF353" s="557"/>
      <c r="BG353" s="557"/>
      <c r="BH353" s="557"/>
      <c r="BI353" s="557"/>
      <c r="BJ353" s="557"/>
      <c r="BK353" s="557"/>
      <c r="BL353" s="557"/>
      <c r="BM353" s="554"/>
      <c r="BN353" s="558"/>
      <c r="BO353" s="559"/>
      <c r="BP353" s="554"/>
      <c r="BQ353" s="560" t="str">
        <f>IFERROR(WWWW[[#This Row],['#_Water sources treated]]/WWWW[[#This Row],['#_Water sources tested for contamination]],"no test")</f>
        <v>no test</v>
      </c>
      <c r="BR353" s="559" t="str">
        <f>IFERROR(WWWW[[#This Row],['#_Household received remediation action due to contamination]]/WWWW[[#This Row],['#_Household water samples tested for contamination]],"no test")</f>
        <v>no test</v>
      </c>
      <c r="BS353" s="558" t="str">
        <f>IF(AND(WWWW[[#This Row],[% of water sources treated]]="no test",WWWW[[#This Row],[% Household received corrective actions]]="no test"),"No Test","Tested")</f>
        <v>No Test</v>
      </c>
      <c r="BT353" s="558">
        <f>WWWW[[#This Row],['#_Constructed/existing protected hand dug well]]-WWWW[[#This Row],['#_Non-functional protected hand dug well]]</f>
        <v>0</v>
      </c>
      <c r="BU353" s="558">
        <f>(WWWW[[#This Row],['#_Constructed/Existing tube wells/boreholes/handpumps_WASH_agency]]+WWWW[[#This Row],['#_Non-Cluster partner water tube-wells/boreholes/handpumps]])-WWWW[[#This Row],['#_Non-functional tube wells/boreholes/handpumps]]</f>
        <v>0</v>
      </c>
      <c r="BV353" s="558">
        <f>WWWW[[#This Row],['#_Constructed/Existingwater storage tank with gravity fed reticulation system]]-WWWW[[#This Row],['#_Non-functional storage tank gravity fed reticulation system]]</f>
        <v>0</v>
      </c>
      <c r="BW353" s="558">
        <f>WWWW[[#This Row],['#_Water boating or water trucking]]</f>
        <v>0</v>
      </c>
      <c r="BX353" s="558">
        <f>WWWW[[#This Row],['#_Constructed/Existing water distribution system from river or natural spring]]</f>
        <v>0</v>
      </c>
      <c r="BY35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3" s="559">
        <f>IF(WWWW[[#This Row],[Location Type 1]]="Village",WWWW[[#This Row],[Access to safe drinking water for Village]],WWWW[[#This Row],[Access to safe drinking water for Camp]])</f>
        <v>0</v>
      </c>
      <c r="CB353" s="556">
        <f>WWWW[[#This Row],[%Equitable and continuous access to sufficient quantity of safe drinking water]]*WWWW[[#This Row],[Total PoP ]]</f>
        <v>0</v>
      </c>
      <c r="CC353" s="559">
        <f>IF((WWWW[[#This Row],['#_Constructed/Existing protected/fenced ponds]]*250)/WWWW[[#This Row],[Total PoP ]]&gt;1,1,(WWWW[[#This Row],['#_Constructed/Existing protected/fenced ponds]]*250)/WWWW[[#This Row],[Total PoP ]])</f>
        <v>0.66666666666666663</v>
      </c>
      <c r="CD353" s="556">
        <f>WWWW[[#This Row],[% Access to unimproved water points]]*WWWW[[#This Row],[Total PoP ]]</f>
        <v>250</v>
      </c>
      <c r="CE35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0.66666666666666663</v>
      </c>
      <c r="CF35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53" s="556">
        <f>WWWW[[#This Row],[HRP1]]/500</f>
        <v>0.5</v>
      </c>
      <c r="CH353" s="561">
        <f>1-WWWW[[#This Row],[% Equitable and continuous access to sufficient quantity of domestic water]]</f>
        <v>0.33333333333333337</v>
      </c>
      <c r="CI353" s="556">
        <f>WWWW[[#This Row],[%equitable and continuous access to sufficient quantity of safe drinking and domestic water''s GAP]]*WWWW[[#This Row],[Total PoP ]]</f>
        <v>125.00000000000001</v>
      </c>
      <c r="CJ353" s="558">
        <f>IF(WWWW[[#This Row],[Total required water points]]-WWWW[[#This Row],['#Water points coverage]]&lt;0,0,WWWW[[#This Row],[Total required water points]]-WWWW[[#This Row],['#Water points coverage]])</f>
        <v>0.5</v>
      </c>
      <c r="CK353" s="558">
        <f>ROUND(IF(WWWW[[#This Row],[Total PoP ]]&lt;500,1,WWWW[[#This Row],[Total PoP ]]/500),0)</f>
        <v>1</v>
      </c>
      <c r="CL353" s="558">
        <f>(WWWW[[#This Row],['#_Constructed latrines_by_WASHAgencies]]+WWWW[[#This Row],['#_Non Cluster partner latrines]])-WWWW[[#This Row],['#_Non-functional latrines]]</f>
        <v>0</v>
      </c>
      <c r="CM35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3" s="558" t="str">
        <f>IF(WWWW[[#This Row],[Location Type 1]]="Village","NA",IF(WWWW[[#This Row],['#_Constructed/Existing latrines in TLS]]*50&gt;WWWW[[#This Row],['#_students at TLS_CFS]],WWWW[[#This Row],['#_students at TLS_CFS]],(WWWW[[#This Row],['#_Constructed/Existing latrines in TLS]]*50)))</f>
        <v>NA</v>
      </c>
      <c r="CQ353" s="558">
        <f>ROUND(IF(WWWW[[#This Row],[Location Type 1]]="camp",WWWW[[#This Row],[Total PoP ]]/20,IF(WWWW[[#This Row],[Location Type 1]]="Temporary Location",WWWW[[#This Row],[Total PoP ]]/50,(WWWW[[#This Row],[Total PoP ]]/6))),0)</f>
        <v>63</v>
      </c>
      <c r="CR353" s="558">
        <f>IF(WWWW[[#This Row],[Total required Latrines]]-(WWWW[[#This Row],['#_Constructed latrines_by_WASHAgencies]]+WWWW[[#This Row],['#_Non Cluster partner latrines]])&lt;0,0,WWWW[[#This Row],[Total required Latrines]]-(WWWW[[#This Row],['#_Constructed latrines_by_WASHAgencies]]+WWWW[[#This Row],['#_Non Cluster partner latrines]]))</f>
        <v>63</v>
      </c>
      <c r="CS353" s="78">
        <f>1-WWWW[[#This Row],[% people access to functioning Latrine]]</f>
        <v>1</v>
      </c>
      <c r="CT353" s="560">
        <f>IF(OR(WWWW[[#This Row],['#_Non-functional latrines]]="",WWWW[[#This Row],['#_Non-functional latrines]]=0),0,WWWW[[#This Row],['#_Non-functional latrines]]/(WWWW[[#This Row],['#_Constructed latrines_by_WASHAgencies]]+WWWW[[#This Row],['#_Non Cluster partner latrines]]))</f>
        <v>0</v>
      </c>
      <c r="CU353" s="556">
        <f>IF(500*(WWWW[[#This Row],['#_male hygiene promoters]]+WWWW[[#This Row],['#_female hygiene promoters]])&gt;WWWW[[#This Row],[Total PoP ]],WWWW[[#This Row],[Total PoP ]],500*(WWWW[[#This Row],['#_male hygiene promoters]]+WWWW[[#This Row],['#_female hygiene promoters]]))</f>
        <v>0</v>
      </c>
      <c r="CV35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3" s="558">
        <f>IF(WWWW[[#This Row],['# People with access to soap]]&gt;WWWW[[#This Row],['# People with access to Sanity Pads]],WWWW[[#This Row],['# People with access to soap]],WWWW[[#This Row],['# People with access to Sanity Pads]])</f>
        <v>0</v>
      </c>
      <c r="CY35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3" s="561">
        <f>IF(WWWW[[#This Row],[HRP3]]/WWWW[[#This Row],[Total PoP ]]&gt;100%,100%,WWWW[[#This Row],[HRP3]]/WWWW[[#This Row],[Total PoP ]])</f>
        <v>0</v>
      </c>
      <c r="DA353" s="560">
        <f>1-WWWW[[#This Row],[Hygiene Coverage%]]</f>
        <v>1</v>
      </c>
      <c r="DB353" s="559">
        <f>WWWW[[#This Row],['# people reached by regular dedicated hygiene promotion_5]]/WWWW[[#This Row],[Total PoP ]]</f>
        <v>0</v>
      </c>
      <c r="DC353" s="559">
        <f>IF(WWWW[[#This Row],['#_households that received standard amount of soap for this quarter]]/WWWW[[#This Row],[Total HH]]&gt;1,1,WWWW[[#This Row],['#_households that received standard amount of soap for this quarter]]/WWWW[[#This Row],[Total HH]])</f>
        <v>0</v>
      </c>
      <c r="DD353" s="559">
        <f>IF(WWWW[[#This Row],['#_households that received standard amount of sanitary pads for this quarter]]/WWWW[[#This Row],[Total HH]]&gt;1,1,WWWW[[#This Row],['#_households that received standard amount of sanitary pads for this quarter]]/WWWW[[#This Row],[Total HH]])</f>
        <v>0</v>
      </c>
      <c r="DE353" s="558">
        <f>WWWW[[#This Row],['#_Constructed/Existing hand washing stations]]-WWWW[[#This Row],['#_Non-Functional_hand_washing_stations]]</f>
        <v>0</v>
      </c>
      <c r="DF353" s="757">
        <f>IF(WWWW[[#This Row],['# Functional hand washing stations during reporting period]]*20&gt;WWWW[[#This Row],[Total HH]],WWWW[[#This Row],[Total HH]],WWWW[[#This Row],['# Functional hand washing stations during reporting period]]*20)</f>
        <v>0</v>
      </c>
      <c r="DG353" s="556">
        <f>IF(WWWW[[#This Row],[Is sufficient soap available for TLS? (Yes/No)]]="yes",WWWW[[#This Row],['#_Constructed/Existing hand washing stations at TLS]],0)</f>
        <v>0</v>
      </c>
      <c r="DH353" s="556">
        <f>IF(WWWW[[#This Row],['# Functional hand washing stations during reporting period]]*100&gt;WWWW[[#This Row],[Total PoP ]],WWWW[[#This Row],[Total PoP ]],WWWW[[#This Row],['# Functional hand washing stations during reporting period]]*100)</f>
        <v>0</v>
      </c>
      <c r="DI353" s="556" t="str">
        <f>IF(OR(WWWW[[#This Row],['#_students at TLS_CFS]]="",WWWW[[#This Row],['#_students at TLS_CFS]]=0),"No","Yes")</f>
        <v>No</v>
      </c>
      <c r="DJ353" s="554">
        <f>VLOOKUP(WWWW[[#This Row],[Site Name]],SiteDB6[[Site Name]:[CCCM Management]],6,FALSE)</f>
        <v>0</v>
      </c>
      <c r="DK353" s="554">
        <f>VLOOKUP(WWWW[[#This Row],[Site Name]],SiteDB6[[Site Name]:[CCCM Focal Agency]],7,FALSE)</f>
        <v>0</v>
      </c>
      <c r="DL353" s="554" t="str">
        <f>VLOOKUP(WWWW[[#This Row],[Site Name]],SiteDB6[[Site Name]:[Location Type 1]],9,FALSE)</f>
        <v>Village</v>
      </c>
      <c r="DM353" s="554" t="str">
        <f>VLOOKUP(WWWW[[#This Row],[Site Name]],SiteDB6[[Site Name]:[Type of Accommodation]],10,FALSE)</f>
        <v>Village_Not HRP</v>
      </c>
      <c r="DN353" s="554" t="str">
        <f>VLOOKUP(WWWW[[#This Row],[Site Name]],SiteDB6[[Site Name]:[Ethnic or GCA/NGCA]],11,FALSE)</f>
        <v>Rakhine</v>
      </c>
      <c r="DO353" s="554">
        <f>VLOOKUP(WWWW[[#This Row],[Site Name]],SiteDB6[[Site Name]:[Lat]],12,FALSE)</f>
        <v>20.803710939999998</v>
      </c>
      <c r="DP353" s="554">
        <f>VLOOKUP(WWWW[[#This Row],[Site Name]],SiteDB6[[Site Name]:[Long]],13,FALSE)</f>
        <v>92.946136469999999</v>
      </c>
      <c r="DQ353" s="554">
        <f>VLOOKUP(WWWW[[#This Row],[Site Name]],SiteDB6[[Site Name]:[Pcode]],3,FALSE)</f>
        <v>196886</v>
      </c>
      <c r="DR353" s="563" t="str">
        <f t="shared" si="12"/>
        <v>Covered</v>
      </c>
      <c r="DS353" s="563"/>
    </row>
    <row r="354" spans="1:123">
      <c r="A354" s="552" t="s">
        <v>2518</v>
      </c>
      <c r="B354" s="552" t="s">
        <v>336</v>
      </c>
      <c r="C354" s="555" t="s">
        <v>336</v>
      </c>
      <c r="D354" s="555" t="s">
        <v>352</v>
      </c>
      <c r="E354" s="574" t="s">
        <v>3006</v>
      </c>
      <c r="F354" s="555" t="s">
        <v>320</v>
      </c>
      <c r="G354" s="574" t="str">
        <f>VLOOKUP(WWWW[[#This Row],[Site Name]],SiteDB6[[Site Name]:[Location Type]],8,FALSE)</f>
        <v>Village_Not HRP</v>
      </c>
      <c r="H354" s="555" t="s">
        <v>953</v>
      </c>
      <c r="I354" s="557">
        <v>173</v>
      </c>
      <c r="J354" s="557">
        <v>867</v>
      </c>
      <c r="K354" s="564">
        <v>42887</v>
      </c>
      <c r="L354" s="565">
        <v>43616</v>
      </c>
      <c r="M354" s="557"/>
      <c r="N354" s="557"/>
      <c r="O354" s="557"/>
      <c r="P354" s="557"/>
      <c r="Q354" s="556"/>
      <c r="R354" s="557"/>
      <c r="S354" s="557"/>
      <c r="T354" s="557"/>
      <c r="U354" s="557"/>
      <c r="V354" s="557"/>
      <c r="W354" s="557"/>
      <c r="X354" s="557"/>
      <c r="Y354" s="557"/>
      <c r="Z354" s="557"/>
      <c r="AA354" s="557"/>
      <c r="AB354" s="557"/>
      <c r="AC354" s="557"/>
      <c r="AD354" s="557"/>
      <c r="AE354" s="557">
        <v>2</v>
      </c>
      <c r="AF354" s="557"/>
      <c r="AG354" s="557"/>
      <c r="AH354" s="557"/>
      <c r="AI354" s="557"/>
      <c r="AJ354" s="557"/>
      <c r="AK354" s="557"/>
      <c r="AL354" s="557"/>
      <c r="AM354" s="557"/>
      <c r="AN354" s="557"/>
      <c r="AO354" s="586" t="s">
        <v>2954</v>
      </c>
      <c r="AP354" s="557"/>
      <c r="AQ354" s="557"/>
      <c r="AR354" s="559"/>
      <c r="AS354" s="557"/>
      <c r="AT354" s="557"/>
      <c r="AU354" s="557"/>
      <c r="AV354" s="557"/>
      <c r="AW354" s="557"/>
      <c r="AX354" s="554"/>
      <c r="AY354" s="563"/>
      <c r="AZ354" s="557"/>
      <c r="BA354" s="557"/>
      <c r="BB354" s="557"/>
      <c r="BC354" s="554"/>
      <c r="BD354" s="557"/>
      <c r="BE354" s="557"/>
      <c r="BF354" s="557"/>
      <c r="BG354" s="557"/>
      <c r="BH354" s="557"/>
      <c r="BI354" s="557"/>
      <c r="BJ354" s="557"/>
      <c r="BK354" s="557"/>
      <c r="BL354" s="557"/>
      <c r="BM354" s="554"/>
      <c r="BN354" s="558"/>
      <c r="BO354" s="559"/>
      <c r="BP354" s="554"/>
      <c r="BQ354" s="560" t="str">
        <f>IFERROR(WWWW[[#This Row],['#_Water sources treated]]/WWWW[[#This Row],['#_Water sources tested for contamination]],"no test")</f>
        <v>no test</v>
      </c>
      <c r="BR354" s="559" t="str">
        <f>IFERROR(WWWW[[#This Row],['#_Household received remediation action due to contamination]]/WWWW[[#This Row],['#_Household water samples tested for contamination]],"no test")</f>
        <v>no test</v>
      </c>
      <c r="BS354" s="558" t="str">
        <f>IF(AND(WWWW[[#This Row],[% of water sources treated]]="no test",WWWW[[#This Row],[% Household received corrective actions]]="no test"),"No Test","Tested")</f>
        <v>No Test</v>
      </c>
      <c r="BT354" s="558">
        <f>WWWW[[#This Row],['#_Constructed/existing protected hand dug well]]-WWWW[[#This Row],['#_Non-functional protected hand dug well]]</f>
        <v>0</v>
      </c>
      <c r="BU354" s="558">
        <f>(WWWW[[#This Row],['#_Constructed/Existing tube wells/boreholes/handpumps_WASH_agency]]+WWWW[[#This Row],['#_Non-Cluster partner water tube-wells/boreholes/handpumps]])-WWWW[[#This Row],['#_Non-functional tube wells/boreholes/handpumps]]</f>
        <v>0</v>
      </c>
      <c r="BV354" s="558">
        <f>WWWW[[#This Row],['#_Constructed/Existingwater storage tank with gravity fed reticulation system]]-WWWW[[#This Row],['#_Non-functional storage tank gravity fed reticulation system]]</f>
        <v>0</v>
      </c>
      <c r="BW354" s="558">
        <f>WWWW[[#This Row],['#_Water boating or water trucking]]</f>
        <v>0</v>
      </c>
      <c r="BX354" s="558">
        <f>WWWW[[#This Row],['#_Constructed/Existing water distribution system from river or natural spring]]</f>
        <v>0</v>
      </c>
      <c r="BY35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4" s="559">
        <f>IF(WWWW[[#This Row],[Location Type 1]]="Village",WWWW[[#This Row],[Access to safe drinking water for Village]],WWWW[[#This Row],[Access to safe drinking water for Camp]])</f>
        <v>0</v>
      </c>
      <c r="CB354" s="556">
        <f>WWWW[[#This Row],[%Equitable and continuous access to sufficient quantity of safe drinking water]]*WWWW[[#This Row],[Total PoP ]]</f>
        <v>0</v>
      </c>
      <c r="CC354" s="559">
        <f>IF((WWWW[[#This Row],['#_Constructed/Existing protected/fenced ponds]]*250)/WWWW[[#This Row],[Total PoP ]]&gt;1,1,(WWWW[[#This Row],['#_Constructed/Existing protected/fenced ponds]]*250)/WWWW[[#This Row],[Total PoP ]])</f>
        <v>0.57670126874279126</v>
      </c>
      <c r="CD354" s="556">
        <f>WWWW[[#This Row],[% Access to unimproved water points]]*WWWW[[#This Row],[Total PoP ]]</f>
        <v>500</v>
      </c>
      <c r="CE35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0.57670126874279126</v>
      </c>
      <c r="CF35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54" s="556">
        <f>WWWW[[#This Row],[HRP1]]/500</f>
        <v>1</v>
      </c>
      <c r="CH354" s="561">
        <f>1-WWWW[[#This Row],[% Equitable and continuous access to sufficient quantity of domestic water]]</f>
        <v>0.42329873125720874</v>
      </c>
      <c r="CI354" s="556">
        <f>WWWW[[#This Row],[%equitable and continuous access to sufficient quantity of safe drinking and domestic water''s GAP]]*WWWW[[#This Row],[Total PoP ]]</f>
        <v>367</v>
      </c>
      <c r="CJ354" s="558">
        <f>IF(WWWW[[#This Row],[Total required water points]]-WWWW[[#This Row],['#Water points coverage]]&lt;0,0,WWWW[[#This Row],[Total required water points]]-WWWW[[#This Row],['#Water points coverage]])</f>
        <v>1</v>
      </c>
      <c r="CK354" s="558">
        <f>ROUND(IF(WWWW[[#This Row],[Total PoP ]]&lt;500,1,WWWW[[#This Row],[Total PoP ]]/500),0)</f>
        <v>2</v>
      </c>
      <c r="CL354" s="558">
        <f>(WWWW[[#This Row],['#_Constructed latrines_by_WASHAgencies]]+WWWW[[#This Row],['#_Non Cluster partner latrines]])-WWWW[[#This Row],['#_Non-functional latrines]]</f>
        <v>0</v>
      </c>
      <c r="CM35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4" s="558" t="str">
        <f>IF(WWWW[[#This Row],[Location Type 1]]="Village","NA",IF(WWWW[[#This Row],['#_Constructed/Existing latrines in TLS]]*50&gt;WWWW[[#This Row],['#_students at TLS_CFS]],WWWW[[#This Row],['#_students at TLS_CFS]],(WWWW[[#This Row],['#_Constructed/Existing latrines in TLS]]*50)))</f>
        <v>NA</v>
      </c>
      <c r="CQ354" s="558">
        <f>ROUND(IF(WWWW[[#This Row],[Location Type 1]]="camp",WWWW[[#This Row],[Total PoP ]]/20,IF(WWWW[[#This Row],[Location Type 1]]="Temporary Location",WWWW[[#This Row],[Total PoP ]]/50,(WWWW[[#This Row],[Total PoP ]]/6))),0)</f>
        <v>145</v>
      </c>
      <c r="CR354" s="558">
        <f>IF(WWWW[[#This Row],[Total required Latrines]]-(WWWW[[#This Row],['#_Constructed latrines_by_WASHAgencies]]+WWWW[[#This Row],['#_Non Cluster partner latrines]])&lt;0,0,WWWW[[#This Row],[Total required Latrines]]-(WWWW[[#This Row],['#_Constructed latrines_by_WASHAgencies]]+WWWW[[#This Row],['#_Non Cluster partner latrines]]))</f>
        <v>145</v>
      </c>
      <c r="CS354" s="78">
        <f>1-WWWW[[#This Row],[% people access to functioning Latrine]]</f>
        <v>1</v>
      </c>
      <c r="CT354" s="560">
        <f>IF(OR(WWWW[[#This Row],['#_Non-functional latrines]]="",WWWW[[#This Row],['#_Non-functional latrines]]=0),0,WWWW[[#This Row],['#_Non-functional latrines]]/(WWWW[[#This Row],['#_Constructed latrines_by_WASHAgencies]]+WWWW[[#This Row],['#_Non Cluster partner latrines]]))</f>
        <v>0</v>
      </c>
      <c r="CU354" s="556">
        <f>IF(500*(WWWW[[#This Row],['#_male hygiene promoters]]+WWWW[[#This Row],['#_female hygiene promoters]])&gt;WWWW[[#This Row],[Total PoP ]],WWWW[[#This Row],[Total PoP ]],500*(WWWW[[#This Row],['#_male hygiene promoters]]+WWWW[[#This Row],['#_female hygiene promoters]]))</f>
        <v>0</v>
      </c>
      <c r="CV35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4" s="558">
        <f>IF(WWWW[[#This Row],['# People with access to soap]]&gt;WWWW[[#This Row],['# People with access to Sanity Pads]],WWWW[[#This Row],['# People with access to soap]],WWWW[[#This Row],['# People with access to Sanity Pads]])</f>
        <v>0</v>
      </c>
      <c r="CY35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4" s="561">
        <f>IF(WWWW[[#This Row],[HRP3]]/WWWW[[#This Row],[Total PoP ]]&gt;100%,100%,WWWW[[#This Row],[HRP3]]/WWWW[[#This Row],[Total PoP ]])</f>
        <v>0</v>
      </c>
      <c r="DA354" s="560">
        <f>1-WWWW[[#This Row],[Hygiene Coverage%]]</f>
        <v>1</v>
      </c>
      <c r="DB354" s="559">
        <f>WWWW[[#This Row],['# people reached by regular dedicated hygiene promotion_5]]/WWWW[[#This Row],[Total PoP ]]</f>
        <v>0</v>
      </c>
      <c r="DC354" s="559">
        <f>IF(WWWW[[#This Row],['#_households that received standard amount of soap for this quarter]]/WWWW[[#This Row],[Total HH]]&gt;1,1,WWWW[[#This Row],['#_households that received standard amount of soap for this quarter]]/WWWW[[#This Row],[Total HH]])</f>
        <v>0</v>
      </c>
      <c r="DD354" s="559">
        <f>IF(WWWW[[#This Row],['#_households that received standard amount of sanitary pads for this quarter]]/WWWW[[#This Row],[Total HH]]&gt;1,1,WWWW[[#This Row],['#_households that received standard amount of sanitary pads for this quarter]]/WWWW[[#This Row],[Total HH]])</f>
        <v>0</v>
      </c>
      <c r="DE354" s="558">
        <f>WWWW[[#This Row],['#_Constructed/Existing hand washing stations]]-WWWW[[#This Row],['#_Non-Functional_hand_washing_stations]]</f>
        <v>0</v>
      </c>
      <c r="DF354" s="757">
        <f>IF(WWWW[[#This Row],['# Functional hand washing stations during reporting period]]*20&gt;WWWW[[#This Row],[Total HH]],WWWW[[#This Row],[Total HH]],WWWW[[#This Row],['# Functional hand washing stations during reporting period]]*20)</f>
        <v>0</v>
      </c>
      <c r="DG354" s="556">
        <f>IF(WWWW[[#This Row],[Is sufficient soap available for TLS? (Yes/No)]]="yes",WWWW[[#This Row],['#_Constructed/Existing hand washing stations at TLS]],0)</f>
        <v>0</v>
      </c>
      <c r="DH354" s="556">
        <f>IF(WWWW[[#This Row],['# Functional hand washing stations during reporting period]]*100&gt;WWWW[[#This Row],[Total PoP ]],WWWW[[#This Row],[Total PoP ]],WWWW[[#This Row],['# Functional hand washing stations during reporting period]]*100)</f>
        <v>0</v>
      </c>
      <c r="DI354" s="556" t="str">
        <f>IF(OR(WWWW[[#This Row],['#_students at TLS_CFS]]="",WWWW[[#This Row],['#_students at TLS_CFS]]=0),"No","Yes")</f>
        <v>No</v>
      </c>
      <c r="DJ354" s="554">
        <f>VLOOKUP(WWWW[[#This Row],[Site Name]],SiteDB6[[Site Name]:[CCCM Management]],6,FALSE)</f>
        <v>0</v>
      </c>
      <c r="DK354" s="554">
        <f>VLOOKUP(WWWW[[#This Row],[Site Name]],SiteDB6[[Site Name]:[CCCM Focal Agency]],7,FALSE)</f>
        <v>0</v>
      </c>
      <c r="DL354" s="554" t="str">
        <f>VLOOKUP(WWWW[[#This Row],[Site Name]],SiteDB6[[Site Name]:[Location Type 1]],9,FALSE)</f>
        <v>Village</v>
      </c>
      <c r="DM354" s="554" t="str">
        <f>VLOOKUP(WWWW[[#This Row],[Site Name]],SiteDB6[[Site Name]:[Type of Accommodation]],10,FALSE)</f>
        <v>Village_Not HRP</v>
      </c>
      <c r="DN354" s="554">
        <f>VLOOKUP(WWWW[[#This Row],[Site Name]],SiteDB6[[Site Name]:[Ethnic or GCA/NGCA]],11,FALSE)</f>
        <v>0</v>
      </c>
      <c r="DO354" s="554">
        <f>VLOOKUP(WWWW[[#This Row],[Site Name]],SiteDB6[[Site Name]:[Lat]],12,FALSE)</f>
        <v>20.80635071</v>
      </c>
      <c r="DP354" s="554">
        <f>VLOOKUP(WWWW[[#This Row],[Site Name]],SiteDB6[[Site Name]:[Long]],13,FALSE)</f>
        <v>92.948310849999999</v>
      </c>
      <c r="DQ354" s="554">
        <f>VLOOKUP(WWWW[[#This Row],[Site Name]],SiteDB6[[Site Name]:[Pcode]],3,FALSE)</f>
        <v>196885</v>
      </c>
      <c r="DR354" s="563" t="str">
        <f t="shared" si="12"/>
        <v>Covered</v>
      </c>
      <c r="DS354" s="563"/>
    </row>
    <row r="355" spans="1:123">
      <c r="A355" s="552" t="s">
        <v>2518</v>
      </c>
      <c r="B355" s="552" t="s">
        <v>336</v>
      </c>
      <c r="C355" s="555" t="s">
        <v>336</v>
      </c>
      <c r="D355" s="555" t="s">
        <v>352</v>
      </c>
      <c r="E355" s="574" t="s">
        <v>3006</v>
      </c>
      <c r="F355" s="555" t="s">
        <v>320</v>
      </c>
      <c r="G355" s="574" t="str">
        <f>VLOOKUP(WWWW[[#This Row],[Site Name]],SiteDB6[[Site Name]:[Location Type]],8,FALSE)</f>
        <v>Village_Not HRP</v>
      </c>
      <c r="H355" s="555" t="s">
        <v>648</v>
      </c>
      <c r="I355" s="557">
        <v>98</v>
      </c>
      <c r="J355" s="557">
        <v>418</v>
      </c>
      <c r="K355" s="564">
        <v>42887</v>
      </c>
      <c r="L355" s="565">
        <v>43616</v>
      </c>
      <c r="M355" s="557"/>
      <c r="N355" s="557"/>
      <c r="O355" s="557"/>
      <c r="P355" s="557"/>
      <c r="Q355" s="556"/>
      <c r="R355" s="557"/>
      <c r="S355" s="557"/>
      <c r="T355" s="557"/>
      <c r="U355" s="557"/>
      <c r="V355" s="557"/>
      <c r="W355" s="557"/>
      <c r="X355" s="557"/>
      <c r="Y355" s="557"/>
      <c r="Z355" s="557"/>
      <c r="AA355" s="557"/>
      <c r="AB355" s="557"/>
      <c r="AC355" s="557"/>
      <c r="AD355" s="557"/>
      <c r="AE355" s="557"/>
      <c r="AF355" s="557"/>
      <c r="AG355" s="557"/>
      <c r="AH355" s="557"/>
      <c r="AI355" s="557"/>
      <c r="AJ355" s="557"/>
      <c r="AK355" s="557"/>
      <c r="AL355" s="557"/>
      <c r="AM355" s="557"/>
      <c r="AN355" s="557"/>
      <c r="AO355" s="563"/>
      <c r="AP355" s="557"/>
      <c r="AQ355" s="557"/>
      <c r="AR355" s="559"/>
      <c r="AS355" s="557"/>
      <c r="AT355" s="557"/>
      <c r="AU355" s="557"/>
      <c r="AV355" s="557"/>
      <c r="AW355" s="557"/>
      <c r="AX355" s="554"/>
      <c r="AY355" s="563"/>
      <c r="AZ355" s="557"/>
      <c r="BA355" s="557"/>
      <c r="BB355" s="557"/>
      <c r="BC355" s="554"/>
      <c r="BD355" s="557"/>
      <c r="BE355" s="557"/>
      <c r="BF355" s="557"/>
      <c r="BG355" s="557"/>
      <c r="BH355" s="557"/>
      <c r="BI355" s="557"/>
      <c r="BJ355" s="557"/>
      <c r="BK355" s="557"/>
      <c r="BL355" s="557"/>
      <c r="BM355" s="554"/>
      <c r="BN355" s="558"/>
      <c r="BO355" s="559"/>
      <c r="BP355" s="554"/>
      <c r="BQ355" s="560" t="str">
        <f>IFERROR(WWWW[[#This Row],['#_Water sources treated]]/WWWW[[#This Row],['#_Water sources tested for contamination]],"no test")</f>
        <v>no test</v>
      </c>
      <c r="BR355" s="559" t="str">
        <f>IFERROR(WWWW[[#This Row],['#_Household received remediation action due to contamination]]/WWWW[[#This Row],['#_Household water samples tested for contamination]],"no test")</f>
        <v>no test</v>
      </c>
      <c r="BS355" s="558" t="str">
        <f>IF(AND(WWWW[[#This Row],[% of water sources treated]]="no test",WWWW[[#This Row],[% Household received corrective actions]]="no test"),"No Test","Tested")</f>
        <v>No Test</v>
      </c>
      <c r="BT355" s="558">
        <f>WWWW[[#This Row],['#_Constructed/existing protected hand dug well]]-WWWW[[#This Row],['#_Non-functional protected hand dug well]]</f>
        <v>0</v>
      </c>
      <c r="BU355" s="558">
        <f>(WWWW[[#This Row],['#_Constructed/Existing tube wells/boreholes/handpumps_WASH_agency]]+WWWW[[#This Row],['#_Non-Cluster partner water tube-wells/boreholes/handpumps]])-WWWW[[#This Row],['#_Non-functional tube wells/boreholes/handpumps]]</f>
        <v>0</v>
      </c>
      <c r="BV355" s="558">
        <f>WWWW[[#This Row],['#_Constructed/Existingwater storage tank with gravity fed reticulation system]]-WWWW[[#This Row],['#_Non-functional storage tank gravity fed reticulation system]]</f>
        <v>0</v>
      </c>
      <c r="BW355" s="558">
        <f>WWWW[[#This Row],['#_Water boating or water trucking]]</f>
        <v>0</v>
      </c>
      <c r="BX355" s="558">
        <f>WWWW[[#This Row],['#_Constructed/Existing water distribution system from river or natural spring]]</f>
        <v>0</v>
      </c>
      <c r="BY35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5" s="559">
        <f>IF(WWWW[[#This Row],[Location Type 1]]="Village",WWWW[[#This Row],[Access to safe drinking water for Village]],WWWW[[#This Row],[Access to safe drinking water for Camp]])</f>
        <v>0</v>
      </c>
      <c r="CB355" s="556">
        <f>WWWW[[#This Row],[%Equitable and continuous access to sufficient quantity of safe drinking water]]*WWWW[[#This Row],[Total PoP ]]</f>
        <v>0</v>
      </c>
      <c r="CC355" s="559">
        <f>IF((WWWW[[#This Row],['#_Constructed/Existing protected/fenced ponds]]*250)/WWWW[[#This Row],[Total PoP ]]&gt;1,1,(WWWW[[#This Row],['#_Constructed/Existing protected/fenced ponds]]*250)/WWWW[[#This Row],[Total PoP ]])</f>
        <v>0</v>
      </c>
      <c r="CD355" s="556">
        <f>WWWW[[#This Row],[% Access to unimproved water points]]*WWWW[[#This Row],[Total PoP ]]</f>
        <v>0</v>
      </c>
      <c r="CE35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5" s="556">
        <f>WWWW[[#This Row],[HRP1]]/500</f>
        <v>0</v>
      </c>
      <c r="CH355" s="561">
        <f>1-WWWW[[#This Row],[% Equitable and continuous access to sufficient quantity of domestic water]]</f>
        <v>1</v>
      </c>
      <c r="CI355" s="556">
        <f>WWWW[[#This Row],[%equitable and continuous access to sufficient quantity of safe drinking and domestic water''s GAP]]*WWWW[[#This Row],[Total PoP ]]</f>
        <v>418</v>
      </c>
      <c r="CJ355" s="558">
        <f>IF(WWWW[[#This Row],[Total required water points]]-WWWW[[#This Row],['#Water points coverage]]&lt;0,0,WWWW[[#This Row],[Total required water points]]-WWWW[[#This Row],['#Water points coverage]])</f>
        <v>1</v>
      </c>
      <c r="CK355" s="558">
        <f>ROUND(IF(WWWW[[#This Row],[Total PoP ]]&lt;500,1,WWWW[[#This Row],[Total PoP ]]/500),0)</f>
        <v>1</v>
      </c>
      <c r="CL355" s="558">
        <f>(WWWW[[#This Row],['#_Constructed latrines_by_WASHAgencies]]+WWWW[[#This Row],['#_Non Cluster partner latrines]])-WWWW[[#This Row],['#_Non-functional latrines]]</f>
        <v>0</v>
      </c>
      <c r="CM35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5" s="558" t="str">
        <f>IF(WWWW[[#This Row],[Location Type 1]]="Village","NA",IF(WWWW[[#This Row],['#_Constructed/Existing latrines in TLS]]*50&gt;WWWW[[#This Row],['#_students at TLS_CFS]],WWWW[[#This Row],['#_students at TLS_CFS]],(WWWW[[#This Row],['#_Constructed/Existing latrines in TLS]]*50)))</f>
        <v>NA</v>
      </c>
      <c r="CQ355" s="558">
        <f>ROUND(IF(WWWW[[#This Row],[Location Type 1]]="camp",WWWW[[#This Row],[Total PoP ]]/20,IF(WWWW[[#This Row],[Location Type 1]]="Temporary Location",WWWW[[#This Row],[Total PoP ]]/50,(WWWW[[#This Row],[Total PoP ]]/6))),0)</f>
        <v>70</v>
      </c>
      <c r="CR355" s="558">
        <f>IF(WWWW[[#This Row],[Total required Latrines]]-(WWWW[[#This Row],['#_Constructed latrines_by_WASHAgencies]]+WWWW[[#This Row],['#_Non Cluster partner latrines]])&lt;0,0,WWWW[[#This Row],[Total required Latrines]]-(WWWW[[#This Row],['#_Constructed latrines_by_WASHAgencies]]+WWWW[[#This Row],['#_Non Cluster partner latrines]]))</f>
        <v>70</v>
      </c>
      <c r="CS355" s="78">
        <f>1-WWWW[[#This Row],[% people access to functioning Latrine]]</f>
        <v>1</v>
      </c>
      <c r="CT355" s="560">
        <f>IF(OR(WWWW[[#This Row],['#_Non-functional latrines]]="",WWWW[[#This Row],['#_Non-functional latrines]]=0),0,WWWW[[#This Row],['#_Non-functional latrines]]/(WWWW[[#This Row],['#_Constructed latrines_by_WASHAgencies]]+WWWW[[#This Row],['#_Non Cluster partner latrines]]))</f>
        <v>0</v>
      </c>
      <c r="CU355" s="556">
        <f>IF(500*(WWWW[[#This Row],['#_male hygiene promoters]]+WWWW[[#This Row],['#_female hygiene promoters]])&gt;WWWW[[#This Row],[Total PoP ]],WWWW[[#This Row],[Total PoP ]],500*(WWWW[[#This Row],['#_male hygiene promoters]]+WWWW[[#This Row],['#_female hygiene promoters]]))</f>
        <v>0</v>
      </c>
      <c r="CV35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5" s="558">
        <f>IF(WWWW[[#This Row],['# People with access to soap]]&gt;WWWW[[#This Row],['# People with access to Sanity Pads]],WWWW[[#This Row],['# People with access to soap]],WWWW[[#This Row],['# People with access to Sanity Pads]])</f>
        <v>0</v>
      </c>
      <c r="CY35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5" s="561">
        <f>IF(WWWW[[#This Row],[HRP3]]/WWWW[[#This Row],[Total PoP ]]&gt;100%,100%,WWWW[[#This Row],[HRP3]]/WWWW[[#This Row],[Total PoP ]])</f>
        <v>0</v>
      </c>
      <c r="DA355" s="560">
        <f>1-WWWW[[#This Row],[Hygiene Coverage%]]</f>
        <v>1</v>
      </c>
      <c r="DB355" s="559">
        <f>WWWW[[#This Row],['# people reached by regular dedicated hygiene promotion_5]]/WWWW[[#This Row],[Total PoP ]]</f>
        <v>0</v>
      </c>
      <c r="DC355" s="559">
        <f>IF(WWWW[[#This Row],['#_households that received standard amount of soap for this quarter]]/WWWW[[#This Row],[Total HH]]&gt;1,1,WWWW[[#This Row],['#_households that received standard amount of soap for this quarter]]/WWWW[[#This Row],[Total HH]])</f>
        <v>0</v>
      </c>
      <c r="DD355" s="559">
        <f>IF(WWWW[[#This Row],['#_households that received standard amount of sanitary pads for this quarter]]/WWWW[[#This Row],[Total HH]]&gt;1,1,WWWW[[#This Row],['#_households that received standard amount of sanitary pads for this quarter]]/WWWW[[#This Row],[Total HH]])</f>
        <v>0</v>
      </c>
      <c r="DE355" s="558">
        <f>WWWW[[#This Row],['#_Constructed/Existing hand washing stations]]-WWWW[[#This Row],['#_Non-Functional_hand_washing_stations]]</f>
        <v>0</v>
      </c>
      <c r="DF355" s="757">
        <f>IF(WWWW[[#This Row],['# Functional hand washing stations during reporting period]]*20&gt;WWWW[[#This Row],[Total HH]],WWWW[[#This Row],[Total HH]],WWWW[[#This Row],['# Functional hand washing stations during reporting period]]*20)</f>
        <v>0</v>
      </c>
      <c r="DG355" s="556">
        <f>IF(WWWW[[#This Row],[Is sufficient soap available for TLS? (Yes/No)]]="yes",WWWW[[#This Row],['#_Constructed/Existing hand washing stations at TLS]],0)</f>
        <v>0</v>
      </c>
      <c r="DH355" s="556">
        <f>IF(WWWW[[#This Row],['# Functional hand washing stations during reporting period]]*100&gt;WWWW[[#This Row],[Total PoP ]],WWWW[[#This Row],[Total PoP ]],WWWW[[#This Row],['# Functional hand washing stations during reporting period]]*100)</f>
        <v>0</v>
      </c>
      <c r="DI355" s="556" t="str">
        <f>IF(OR(WWWW[[#This Row],['#_students at TLS_CFS]]="",WWWW[[#This Row],['#_students at TLS_CFS]]=0),"No","Yes")</f>
        <v>No</v>
      </c>
      <c r="DJ355" s="554">
        <f>VLOOKUP(WWWW[[#This Row],[Site Name]],SiteDB6[[Site Name]:[CCCM Management]],6,FALSE)</f>
        <v>0</v>
      </c>
      <c r="DK355" s="554">
        <f>VLOOKUP(WWWW[[#This Row],[Site Name]],SiteDB6[[Site Name]:[CCCM Focal Agency]],7,FALSE)</f>
        <v>0</v>
      </c>
      <c r="DL355" s="554" t="str">
        <f>VLOOKUP(WWWW[[#This Row],[Site Name]],SiteDB6[[Site Name]:[Location Type 1]],9,FALSE)</f>
        <v>Village</v>
      </c>
      <c r="DM355" s="554" t="str">
        <f>VLOOKUP(WWWW[[#This Row],[Site Name]],SiteDB6[[Site Name]:[Type of Accommodation]],10,FALSE)</f>
        <v>Village_Not HRP</v>
      </c>
      <c r="DN355" s="554" t="str">
        <f>VLOOKUP(WWWW[[#This Row],[Site Name]],SiteDB6[[Site Name]:[Ethnic or GCA/NGCA]],11,FALSE)</f>
        <v>Mro</v>
      </c>
      <c r="DO355" s="554">
        <f>VLOOKUP(WWWW[[#This Row],[Site Name]],SiteDB6[[Site Name]:[Lat]],12,FALSE)</f>
        <v>20.831729889999998</v>
      </c>
      <c r="DP355" s="554">
        <f>VLOOKUP(WWWW[[#This Row],[Site Name]],SiteDB6[[Site Name]:[Long]],13,FALSE)</f>
        <v>92.919639590000003</v>
      </c>
      <c r="DQ355" s="554">
        <f>VLOOKUP(WWWW[[#This Row],[Site Name]],SiteDB6[[Site Name]:[Pcode]],3,FALSE)</f>
        <v>196880</v>
      </c>
      <c r="DR355" s="563" t="str">
        <f t="shared" si="12"/>
        <v>Covered</v>
      </c>
      <c r="DS355" s="563"/>
    </row>
    <row r="356" spans="1:123">
      <c r="A356" s="552" t="s">
        <v>2518</v>
      </c>
      <c r="B356" s="552" t="s">
        <v>336</v>
      </c>
      <c r="C356" s="555" t="s">
        <v>336</v>
      </c>
      <c r="D356" s="555" t="s">
        <v>352</v>
      </c>
      <c r="E356" s="574" t="s">
        <v>3006</v>
      </c>
      <c r="F356" s="555" t="s">
        <v>320</v>
      </c>
      <c r="G356" s="574" t="str">
        <f>VLOOKUP(WWWW[[#This Row],[Site Name]],SiteDB6[[Site Name]:[Location Type]],8,FALSE)</f>
        <v>Village_Not HRP</v>
      </c>
      <c r="H356" s="555" t="s">
        <v>351</v>
      </c>
      <c r="I356" s="557">
        <v>47</v>
      </c>
      <c r="J356" s="557">
        <v>203</v>
      </c>
      <c r="K356" s="564">
        <v>42887</v>
      </c>
      <c r="L356" s="565">
        <v>43616</v>
      </c>
      <c r="M356" s="557"/>
      <c r="N356" s="557"/>
      <c r="O356" s="557"/>
      <c r="P356" s="557"/>
      <c r="Q356" s="556"/>
      <c r="R356" s="557"/>
      <c r="S356" s="557"/>
      <c r="T356" s="557"/>
      <c r="U356" s="557"/>
      <c r="V356" s="557"/>
      <c r="W356" s="557"/>
      <c r="X356" s="557"/>
      <c r="Y356" s="557"/>
      <c r="Z356" s="557"/>
      <c r="AA356" s="557"/>
      <c r="AB356" s="557"/>
      <c r="AC356" s="557"/>
      <c r="AD356" s="557"/>
      <c r="AE356" s="557"/>
      <c r="AF356" s="557"/>
      <c r="AG356" s="557"/>
      <c r="AH356" s="557"/>
      <c r="AI356" s="557"/>
      <c r="AJ356" s="557"/>
      <c r="AK356" s="557"/>
      <c r="AL356" s="557"/>
      <c r="AM356" s="557"/>
      <c r="AN356" s="557"/>
      <c r="AO356" s="563"/>
      <c r="AP356" s="557"/>
      <c r="AQ356" s="557"/>
      <c r="AR356" s="559"/>
      <c r="AS356" s="557"/>
      <c r="AT356" s="557"/>
      <c r="AU356" s="557"/>
      <c r="AV356" s="557"/>
      <c r="AW356" s="557"/>
      <c r="AX356" s="554"/>
      <c r="AY356" s="563"/>
      <c r="AZ356" s="557"/>
      <c r="BA356" s="557"/>
      <c r="BB356" s="557"/>
      <c r="BC356" s="554"/>
      <c r="BD356" s="557"/>
      <c r="BE356" s="557"/>
      <c r="BF356" s="557"/>
      <c r="BG356" s="557"/>
      <c r="BH356" s="557"/>
      <c r="BI356" s="557"/>
      <c r="BJ356" s="557"/>
      <c r="BK356" s="557"/>
      <c r="BL356" s="557"/>
      <c r="BM356" s="554"/>
      <c r="BN356" s="558"/>
      <c r="BO356" s="559"/>
      <c r="BP356" s="554"/>
      <c r="BQ356" s="560" t="str">
        <f>IFERROR(WWWW[[#This Row],['#_Water sources treated]]/WWWW[[#This Row],['#_Water sources tested for contamination]],"no test")</f>
        <v>no test</v>
      </c>
      <c r="BR356" s="559" t="str">
        <f>IFERROR(WWWW[[#This Row],['#_Household received remediation action due to contamination]]/WWWW[[#This Row],['#_Household water samples tested for contamination]],"no test")</f>
        <v>no test</v>
      </c>
      <c r="BS356" s="558" t="str">
        <f>IF(AND(WWWW[[#This Row],[% of water sources treated]]="no test",WWWW[[#This Row],[% Household received corrective actions]]="no test"),"No Test","Tested")</f>
        <v>No Test</v>
      </c>
      <c r="BT356" s="558">
        <f>WWWW[[#This Row],['#_Constructed/existing protected hand dug well]]-WWWW[[#This Row],['#_Non-functional protected hand dug well]]</f>
        <v>0</v>
      </c>
      <c r="BU356" s="558">
        <f>(WWWW[[#This Row],['#_Constructed/Existing tube wells/boreholes/handpumps_WASH_agency]]+WWWW[[#This Row],['#_Non-Cluster partner water tube-wells/boreholes/handpumps]])-WWWW[[#This Row],['#_Non-functional tube wells/boreholes/handpumps]]</f>
        <v>0</v>
      </c>
      <c r="BV356" s="558">
        <f>WWWW[[#This Row],['#_Constructed/Existingwater storage tank with gravity fed reticulation system]]-WWWW[[#This Row],['#_Non-functional storage tank gravity fed reticulation system]]</f>
        <v>0</v>
      </c>
      <c r="BW356" s="558">
        <f>WWWW[[#This Row],['#_Water boating or water trucking]]</f>
        <v>0</v>
      </c>
      <c r="BX356" s="558">
        <f>WWWW[[#This Row],['#_Constructed/Existing water distribution system from river or natural spring]]</f>
        <v>0</v>
      </c>
      <c r="BY35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6" s="559">
        <f>IF(WWWW[[#This Row],[Location Type 1]]="Village",WWWW[[#This Row],[Access to safe drinking water for Village]],WWWW[[#This Row],[Access to safe drinking water for Camp]])</f>
        <v>0</v>
      </c>
      <c r="CB356" s="556">
        <f>WWWW[[#This Row],[%Equitable and continuous access to sufficient quantity of safe drinking water]]*WWWW[[#This Row],[Total PoP ]]</f>
        <v>0</v>
      </c>
      <c r="CC356" s="559">
        <f>IF((WWWW[[#This Row],['#_Constructed/Existing protected/fenced ponds]]*250)/WWWW[[#This Row],[Total PoP ]]&gt;1,1,(WWWW[[#This Row],['#_Constructed/Existing protected/fenced ponds]]*250)/WWWW[[#This Row],[Total PoP ]])</f>
        <v>0</v>
      </c>
      <c r="CD356" s="556">
        <f>WWWW[[#This Row],[% Access to unimproved water points]]*WWWW[[#This Row],[Total PoP ]]</f>
        <v>0</v>
      </c>
      <c r="CE35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6" s="556">
        <f>WWWW[[#This Row],[HRP1]]/500</f>
        <v>0</v>
      </c>
      <c r="CH356" s="561">
        <f>1-WWWW[[#This Row],[% Equitable and continuous access to sufficient quantity of domestic water]]</f>
        <v>1</v>
      </c>
      <c r="CI356" s="556">
        <f>WWWW[[#This Row],[%equitable and continuous access to sufficient quantity of safe drinking and domestic water''s GAP]]*WWWW[[#This Row],[Total PoP ]]</f>
        <v>203</v>
      </c>
      <c r="CJ356" s="558">
        <f>IF(WWWW[[#This Row],[Total required water points]]-WWWW[[#This Row],['#Water points coverage]]&lt;0,0,WWWW[[#This Row],[Total required water points]]-WWWW[[#This Row],['#Water points coverage]])</f>
        <v>1</v>
      </c>
      <c r="CK356" s="558">
        <f>ROUND(IF(WWWW[[#This Row],[Total PoP ]]&lt;500,1,WWWW[[#This Row],[Total PoP ]]/500),0)</f>
        <v>1</v>
      </c>
      <c r="CL356" s="558">
        <f>(WWWW[[#This Row],['#_Constructed latrines_by_WASHAgencies]]+WWWW[[#This Row],['#_Non Cluster partner latrines]])-WWWW[[#This Row],['#_Non-functional latrines]]</f>
        <v>0</v>
      </c>
      <c r="CM35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6" s="558" t="str">
        <f>IF(WWWW[[#This Row],[Location Type 1]]="Village","NA",IF(WWWW[[#This Row],['#_Constructed/Existing latrines in TLS]]*50&gt;WWWW[[#This Row],['#_students at TLS_CFS]],WWWW[[#This Row],['#_students at TLS_CFS]],(WWWW[[#This Row],['#_Constructed/Existing latrines in TLS]]*50)))</f>
        <v>NA</v>
      </c>
      <c r="CQ356" s="558">
        <f>ROUND(IF(WWWW[[#This Row],[Location Type 1]]="camp",WWWW[[#This Row],[Total PoP ]]/20,IF(WWWW[[#This Row],[Location Type 1]]="Temporary Location",WWWW[[#This Row],[Total PoP ]]/50,(WWWW[[#This Row],[Total PoP ]]/6))),0)</f>
        <v>34</v>
      </c>
      <c r="CR356" s="558">
        <f>IF(WWWW[[#This Row],[Total required Latrines]]-(WWWW[[#This Row],['#_Constructed latrines_by_WASHAgencies]]+WWWW[[#This Row],['#_Non Cluster partner latrines]])&lt;0,0,WWWW[[#This Row],[Total required Latrines]]-(WWWW[[#This Row],['#_Constructed latrines_by_WASHAgencies]]+WWWW[[#This Row],['#_Non Cluster partner latrines]]))</f>
        <v>34</v>
      </c>
      <c r="CS356" s="78">
        <f>1-WWWW[[#This Row],[% people access to functioning Latrine]]</f>
        <v>1</v>
      </c>
      <c r="CT356" s="560">
        <f>IF(OR(WWWW[[#This Row],['#_Non-functional latrines]]="",WWWW[[#This Row],['#_Non-functional latrines]]=0),0,WWWW[[#This Row],['#_Non-functional latrines]]/(WWWW[[#This Row],['#_Constructed latrines_by_WASHAgencies]]+WWWW[[#This Row],['#_Non Cluster partner latrines]]))</f>
        <v>0</v>
      </c>
      <c r="CU356" s="556">
        <f>IF(500*(WWWW[[#This Row],['#_male hygiene promoters]]+WWWW[[#This Row],['#_female hygiene promoters]])&gt;WWWW[[#This Row],[Total PoP ]],WWWW[[#This Row],[Total PoP ]],500*(WWWW[[#This Row],['#_male hygiene promoters]]+WWWW[[#This Row],['#_female hygiene promoters]]))</f>
        <v>0</v>
      </c>
      <c r="CV35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6" s="558">
        <f>IF(WWWW[[#This Row],['# People with access to soap]]&gt;WWWW[[#This Row],['# People with access to Sanity Pads]],WWWW[[#This Row],['# People with access to soap]],WWWW[[#This Row],['# People with access to Sanity Pads]])</f>
        <v>0</v>
      </c>
      <c r="CY35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6" s="561">
        <f>IF(WWWW[[#This Row],[HRP3]]/WWWW[[#This Row],[Total PoP ]]&gt;100%,100%,WWWW[[#This Row],[HRP3]]/WWWW[[#This Row],[Total PoP ]])</f>
        <v>0</v>
      </c>
      <c r="DA356" s="560">
        <f>1-WWWW[[#This Row],[Hygiene Coverage%]]</f>
        <v>1</v>
      </c>
      <c r="DB356" s="559">
        <f>WWWW[[#This Row],['# people reached by regular dedicated hygiene promotion_5]]/WWWW[[#This Row],[Total PoP ]]</f>
        <v>0</v>
      </c>
      <c r="DC356" s="559">
        <f>IF(WWWW[[#This Row],['#_households that received standard amount of soap for this quarter]]/WWWW[[#This Row],[Total HH]]&gt;1,1,WWWW[[#This Row],['#_households that received standard amount of soap for this quarter]]/WWWW[[#This Row],[Total HH]])</f>
        <v>0</v>
      </c>
      <c r="DD356" s="559">
        <f>IF(WWWW[[#This Row],['#_households that received standard amount of sanitary pads for this quarter]]/WWWW[[#This Row],[Total HH]]&gt;1,1,WWWW[[#This Row],['#_households that received standard amount of sanitary pads for this quarter]]/WWWW[[#This Row],[Total HH]])</f>
        <v>0</v>
      </c>
      <c r="DE356" s="558">
        <f>WWWW[[#This Row],['#_Constructed/Existing hand washing stations]]-WWWW[[#This Row],['#_Non-Functional_hand_washing_stations]]</f>
        <v>0</v>
      </c>
      <c r="DF356" s="757">
        <f>IF(WWWW[[#This Row],['# Functional hand washing stations during reporting period]]*20&gt;WWWW[[#This Row],[Total HH]],WWWW[[#This Row],[Total HH]],WWWW[[#This Row],['# Functional hand washing stations during reporting period]]*20)</f>
        <v>0</v>
      </c>
      <c r="DG356" s="556">
        <f>IF(WWWW[[#This Row],[Is sufficient soap available for TLS? (Yes/No)]]="yes",WWWW[[#This Row],['#_Constructed/Existing hand washing stations at TLS]],0)</f>
        <v>0</v>
      </c>
      <c r="DH356" s="556">
        <f>IF(WWWW[[#This Row],['# Functional hand washing stations during reporting period]]*100&gt;WWWW[[#This Row],[Total PoP ]],WWWW[[#This Row],[Total PoP ]],WWWW[[#This Row],['# Functional hand washing stations during reporting period]]*100)</f>
        <v>0</v>
      </c>
      <c r="DI356" s="556" t="str">
        <f>IF(OR(WWWW[[#This Row],['#_students at TLS_CFS]]="",WWWW[[#This Row],['#_students at TLS_CFS]]=0),"No","Yes")</f>
        <v>No</v>
      </c>
      <c r="DJ356" s="554">
        <f>VLOOKUP(WWWW[[#This Row],[Site Name]],SiteDB6[[Site Name]:[CCCM Management]],6,FALSE)</f>
        <v>0</v>
      </c>
      <c r="DK356" s="554">
        <f>VLOOKUP(WWWW[[#This Row],[Site Name]],SiteDB6[[Site Name]:[CCCM Focal Agency]],7,FALSE)</f>
        <v>0</v>
      </c>
      <c r="DL356" s="554" t="str">
        <f>VLOOKUP(WWWW[[#This Row],[Site Name]],SiteDB6[[Site Name]:[Location Type 1]],9,FALSE)</f>
        <v>Village</v>
      </c>
      <c r="DM356" s="554" t="str">
        <f>VLOOKUP(WWWW[[#This Row],[Site Name]],SiteDB6[[Site Name]:[Type of Accommodation]],10,FALSE)</f>
        <v>Village_Not HRP</v>
      </c>
      <c r="DN356" s="554" t="str">
        <f>VLOOKUP(WWWW[[#This Row],[Site Name]],SiteDB6[[Site Name]:[Ethnic or GCA/NGCA]],11,FALSE)</f>
        <v>Mro</v>
      </c>
      <c r="DO356" s="554">
        <f>VLOOKUP(WWWW[[#This Row],[Site Name]],SiteDB6[[Site Name]:[Lat]],12,FALSE)</f>
        <v>0</v>
      </c>
      <c r="DP356" s="554">
        <f>VLOOKUP(WWWW[[#This Row],[Site Name]],SiteDB6[[Site Name]:[Long]],13,FALSE)</f>
        <v>0</v>
      </c>
      <c r="DQ356" s="554">
        <f>VLOOKUP(WWWW[[#This Row],[Site Name]],SiteDB6[[Site Name]:[Pcode]],3,FALSE)</f>
        <v>0</v>
      </c>
      <c r="DR356" s="563" t="str">
        <f t="shared" si="12"/>
        <v>Covered</v>
      </c>
      <c r="DS356" s="563"/>
    </row>
    <row r="357" spans="1:123">
      <c r="A357" s="552" t="s">
        <v>2518</v>
      </c>
      <c r="B357" s="552" t="s">
        <v>336</v>
      </c>
      <c r="C357" s="555" t="s">
        <v>336</v>
      </c>
      <c r="D357" s="555" t="s">
        <v>352</v>
      </c>
      <c r="E357" s="574" t="s">
        <v>3006</v>
      </c>
      <c r="F357" s="555" t="s">
        <v>320</v>
      </c>
      <c r="G357" s="574" t="str">
        <f>VLOOKUP(WWWW[[#This Row],[Site Name]],SiteDB6[[Site Name]:[Location Type]],8,FALSE)</f>
        <v>Village_Not HRP</v>
      </c>
      <c r="H357" s="555" t="s">
        <v>634</v>
      </c>
      <c r="I357" s="557">
        <v>131</v>
      </c>
      <c r="J357" s="557">
        <v>631</v>
      </c>
      <c r="K357" s="564">
        <v>42887</v>
      </c>
      <c r="L357" s="565">
        <v>43616</v>
      </c>
      <c r="M357" s="557"/>
      <c r="N357" s="557"/>
      <c r="O357" s="557"/>
      <c r="P357" s="557"/>
      <c r="Q357" s="556"/>
      <c r="R357" s="557"/>
      <c r="S357" s="557"/>
      <c r="T357" s="557"/>
      <c r="U357" s="557"/>
      <c r="V357" s="557"/>
      <c r="W357" s="557"/>
      <c r="X357" s="557"/>
      <c r="Y357" s="557"/>
      <c r="Z357" s="557"/>
      <c r="AA357" s="557"/>
      <c r="AB357" s="557"/>
      <c r="AC357" s="557"/>
      <c r="AD357" s="557"/>
      <c r="AE357" s="557">
        <v>1</v>
      </c>
      <c r="AF357" s="557"/>
      <c r="AG357" s="557"/>
      <c r="AH357" s="557"/>
      <c r="AI357" s="557"/>
      <c r="AJ357" s="557"/>
      <c r="AK357" s="557"/>
      <c r="AL357" s="557"/>
      <c r="AM357" s="557"/>
      <c r="AN357" s="557"/>
      <c r="AO357" s="586" t="s">
        <v>2954</v>
      </c>
      <c r="AP357" s="557"/>
      <c r="AQ357" s="557"/>
      <c r="AR357" s="559"/>
      <c r="AS357" s="557"/>
      <c r="AT357" s="557"/>
      <c r="AU357" s="557"/>
      <c r="AV357" s="557"/>
      <c r="AW357" s="557"/>
      <c r="AX357" s="554"/>
      <c r="AY357" s="563"/>
      <c r="AZ357" s="557"/>
      <c r="BA357" s="557"/>
      <c r="BB357" s="557"/>
      <c r="BC357" s="554"/>
      <c r="BD357" s="557"/>
      <c r="BE357" s="557"/>
      <c r="BF357" s="557"/>
      <c r="BG357" s="557"/>
      <c r="BH357" s="557"/>
      <c r="BI357" s="557"/>
      <c r="BJ357" s="557"/>
      <c r="BK357" s="557"/>
      <c r="BL357" s="557"/>
      <c r="BM357" s="554"/>
      <c r="BN357" s="558"/>
      <c r="BO357" s="559"/>
      <c r="BP357" s="554"/>
      <c r="BQ357" s="560" t="str">
        <f>IFERROR(WWWW[[#This Row],['#_Water sources treated]]/WWWW[[#This Row],['#_Water sources tested for contamination]],"no test")</f>
        <v>no test</v>
      </c>
      <c r="BR357" s="559" t="str">
        <f>IFERROR(WWWW[[#This Row],['#_Household received remediation action due to contamination]]/WWWW[[#This Row],['#_Household water samples tested for contamination]],"no test")</f>
        <v>no test</v>
      </c>
      <c r="BS357" s="558" t="str">
        <f>IF(AND(WWWW[[#This Row],[% of water sources treated]]="no test",WWWW[[#This Row],[% Household received corrective actions]]="no test"),"No Test","Tested")</f>
        <v>No Test</v>
      </c>
      <c r="BT357" s="558">
        <f>WWWW[[#This Row],['#_Constructed/existing protected hand dug well]]-WWWW[[#This Row],['#_Non-functional protected hand dug well]]</f>
        <v>0</v>
      </c>
      <c r="BU357" s="558">
        <f>(WWWW[[#This Row],['#_Constructed/Existing tube wells/boreholes/handpumps_WASH_agency]]+WWWW[[#This Row],['#_Non-Cluster partner water tube-wells/boreholes/handpumps]])-WWWW[[#This Row],['#_Non-functional tube wells/boreholes/handpumps]]</f>
        <v>0</v>
      </c>
      <c r="BV357" s="558">
        <f>WWWW[[#This Row],['#_Constructed/Existingwater storage tank with gravity fed reticulation system]]-WWWW[[#This Row],['#_Non-functional storage tank gravity fed reticulation system]]</f>
        <v>0</v>
      </c>
      <c r="BW357" s="558">
        <f>WWWW[[#This Row],['#_Water boating or water trucking]]</f>
        <v>0</v>
      </c>
      <c r="BX357" s="558">
        <f>WWWW[[#This Row],['#_Constructed/Existing water distribution system from river or natural spring]]</f>
        <v>0</v>
      </c>
      <c r="BY35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7" s="559">
        <f>IF(WWWW[[#This Row],[Location Type 1]]="Village",WWWW[[#This Row],[Access to safe drinking water for Village]],WWWW[[#This Row],[Access to safe drinking water for Camp]])</f>
        <v>0</v>
      </c>
      <c r="CB357" s="556">
        <f>WWWW[[#This Row],[%Equitable and continuous access to sufficient quantity of safe drinking water]]*WWWW[[#This Row],[Total PoP ]]</f>
        <v>0</v>
      </c>
      <c r="CC357" s="559">
        <f>IF((WWWW[[#This Row],['#_Constructed/Existing protected/fenced ponds]]*250)/WWWW[[#This Row],[Total PoP ]]&gt;1,1,(WWWW[[#This Row],['#_Constructed/Existing protected/fenced ponds]]*250)/WWWW[[#This Row],[Total PoP ]])</f>
        <v>0.39619651347068147</v>
      </c>
      <c r="CD357" s="556">
        <f>WWWW[[#This Row],[% Access to unimproved water points]]*WWWW[[#This Row],[Total PoP ]]</f>
        <v>250</v>
      </c>
      <c r="CE35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0.39619651347068147</v>
      </c>
      <c r="CF35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G357" s="556">
        <f>WWWW[[#This Row],[HRP1]]/500</f>
        <v>0.5</v>
      </c>
      <c r="CH357" s="561">
        <f>1-WWWW[[#This Row],[% Equitable and continuous access to sufficient quantity of domestic water]]</f>
        <v>0.60380348652931848</v>
      </c>
      <c r="CI357" s="556">
        <f>WWWW[[#This Row],[%equitable and continuous access to sufficient quantity of safe drinking and domestic water''s GAP]]*WWWW[[#This Row],[Total PoP ]]</f>
        <v>380.99999999999994</v>
      </c>
      <c r="CJ357" s="558">
        <f>IF(WWWW[[#This Row],[Total required water points]]-WWWW[[#This Row],['#Water points coverage]]&lt;0,0,WWWW[[#This Row],[Total required water points]]-WWWW[[#This Row],['#Water points coverage]])</f>
        <v>0.5</v>
      </c>
      <c r="CK357" s="558">
        <f>ROUND(IF(WWWW[[#This Row],[Total PoP ]]&lt;500,1,WWWW[[#This Row],[Total PoP ]]/500),0)</f>
        <v>1</v>
      </c>
      <c r="CL357" s="558">
        <f>(WWWW[[#This Row],['#_Constructed latrines_by_WASHAgencies]]+WWWW[[#This Row],['#_Non Cluster partner latrines]])-WWWW[[#This Row],['#_Non-functional latrines]]</f>
        <v>0</v>
      </c>
      <c r="CM35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7" s="558" t="str">
        <f>IF(WWWW[[#This Row],[Location Type 1]]="Village","NA",IF(WWWW[[#This Row],['#_Constructed/Existing latrines in TLS]]*50&gt;WWWW[[#This Row],['#_students at TLS_CFS]],WWWW[[#This Row],['#_students at TLS_CFS]],(WWWW[[#This Row],['#_Constructed/Existing latrines in TLS]]*50)))</f>
        <v>NA</v>
      </c>
      <c r="CQ357" s="558">
        <f>ROUND(IF(WWWW[[#This Row],[Location Type 1]]="camp",WWWW[[#This Row],[Total PoP ]]/20,IF(WWWW[[#This Row],[Location Type 1]]="Temporary Location",WWWW[[#This Row],[Total PoP ]]/50,(WWWW[[#This Row],[Total PoP ]]/6))),0)</f>
        <v>105</v>
      </c>
      <c r="CR357" s="558">
        <f>IF(WWWW[[#This Row],[Total required Latrines]]-(WWWW[[#This Row],['#_Constructed latrines_by_WASHAgencies]]+WWWW[[#This Row],['#_Non Cluster partner latrines]])&lt;0,0,WWWW[[#This Row],[Total required Latrines]]-(WWWW[[#This Row],['#_Constructed latrines_by_WASHAgencies]]+WWWW[[#This Row],['#_Non Cluster partner latrines]]))</f>
        <v>105</v>
      </c>
      <c r="CS357" s="78">
        <f>1-WWWW[[#This Row],[% people access to functioning Latrine]]</f>
        <v>1</v>
      </c>
      <c r="CT357" s="560">
        <f>IF(OR(WWWW[[#This Row],['#_Non-functional latrines]]="",WWWW[[#This Row],['#_Non-functional latrines]]=0),0,WWWW[[#This Row],['#_Non-functional latrines]]/(WWWW[[#This Row],['#_Constructed latrines_by_WASHAgencies]]+WWWW[[#This Row],['#_Non Cluster partner latrines]]))</f>
        <v>0</v>
      </c>
      <c r="CU357" s="556">
        <f>IF(500*(WWWW[[#This Row],['#_male hygiene promoters]]+WWWW[[#This Row],['#_female hygiene promoters]])&gt;WWWW[[#This Row],[Total PoP ]],WWWW[[#This Row],[Total PoP ]],500*(WWWW[[#This Row],['#_male hygiene promoters]]+WWWW[[#This Row],['#_female hygiene promoters]]))</f>
        <v>0</v>
      </c>
      <c r="CV35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7" s="558">
        <f>IF(WWWW[[#This Row],['# People with access to soap]]&gt;WWWW[[#This Row],['# People with access to Sanity Pads]],WWWW[[#This Row],['# People with access to soap]],WWWW[[#This Row],['# People with access to Sanity Pads]])</f>
        <v>0</v>
      </c>
      <c r="CY35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7" s="561">
        <f>IF(WWWW[[#This Row],[HRP3]]/WWWW[[#This Row],[Total PoP ]]&gt;100%,100%,WWWW[[#This Row],[HRP3]]/WWWW[[#This Row],[Total PoP ]])</f>
        <v>0</v>
      </c>
      <c r="DA357" s="560">
        <f>1-WWWW[[#This Row],[Hygiene Coverage%]]</f>
        <v>1</v>
      </c>
      <c r="DB357" s="559">
        <f>WWWW[[#This Row],['# people reached by regular dedicated hygiene promotion_5]]/WWWW[[#This Row],[Total PoP ]]</f>
        <v>0</v>
      </c>
      <c r="DC357" s="559">
        <f>IF(WWWW[[#This Row],['#_households that received standard amount of soap for this quarter]]/WWWW[[#This Row],[Total HH]]&gt;1,1,WWWW[[#This Row],['#_households that received standard amount of soap for this quarter]]/WWWW[[#This Row],[Total HH]])</f>
        <v>0</v>
      </c>
      <c r="DD357" s="559">
        <f>IF(WWWW[[#This Row],['#_households that received standard amount of sanitary pads for this quarter]]/WWWW[[#This Row],[Total HH]]&gt;1,1,WWWW[[#This Row],['#_households that received standard amount of sanitary pads for this quarter]]/WWWW[[#This Row],[Total HH]])</f>
        <v>0</v>
      </c>
      <c r="DE357" s="558">
        <f>WWWW[[#This Row],['#_Constructed/Existing hand washing stations]]-WWWW[[#This Row],['#_Non-Functional_hand_washing_stations]]</f>
        <v>0</v>
      </c>
      <c r="DF357" s="757">
        <f>IF(WWWW[[#This Row],['# Functional hand washing stations during reporting period]]*20&gt;WWWW[[#This Row],[Total HH]],WWWW[[#This Row],[Total HH]],WWWW[[#This Row],['# Functional hand washing stations during reporting period]]*20)</f>
        <v>0</v>
      </c>
      <c r="DG357" s="556">
        <f>IF(WWWW[[#This Row],[Is sufficient soap available for TLS? (Yes/No)]]="yes",WWWW[[#This Row],['#_Constructed/Existing hand washing stations at TLS]],0)</f>
        <v>0</v>
      </c>
      <c r="DH357" s="556">
        <f>IF(WWWW[[#This Row],['# Functional hand washing stations during reporting period]]*100&gt;WWWW[[#This Row],[Total PoP ]],WWWW[[#This Row],[Total PoP ]],WWWW[[#This Row],['# Functional hand washing stations during reporting period]]*100)</f>
        <v>0</v>
      </c>
      <c r="DI357" s="556" t="str">
        <f>IF(OR(WWWW[[#This Row],['#_students at TLS_CFS]]="",WWWW[[#This Row],['#_students at TLS_CFS]]=0),"No","Yes")</f>
        <v>No</v>
      </c>
      <c r="DJ357" s="554">
        <f>VLOOKUP(WWWW[[#This Row],[Site Name]],SiteDB6[[Site Name]:[CCCM Management]],6,FALSE)</f>
        <v>0</v>
      </c>
      <c r="DK357" s="554">
        <f>VLOOKUP(WWWW[[#This Row],[Site Name]],SiteDB6[[Site Name]:[CCCM Focal Agency]],7,FALSE)</f>
        <v>0</v>
      </c>
      <c r="DL357" s="554" t="str">
        <f>VLOOKUP(WWWW[[#This Row],[Site Name]],SiteDB6[[Site Name]:[Location Type 1]],9,FALSE)</f>
        <v>Village</v>
      </c>
      <c r="DM357" s="554" t="str">
        <f>VLOOKUP(WWWW[[#This Row],[Site Name]],SiteDB6[[Site Name]:[Type of Accommodation]],10,FALSE)</f>
        <v>Village_Not HRP</v>
      </c>
      <c r="DN357" s="554" t="str">
        <f>VLOOKUP(WWWW[[#This Row],[Site Name]],SiteDB6[[Site Name]:[Ethnic or GCA/NGCA]],11,FALSE)</f>
        <v>Mro</v>
      </c>
      <c r="DO357" s="554">
        <f>VLOOKUP(WWWW[[#This Row],[Site Name]],SiteDB6[[Site Name]:[Lat]],12,FALSE)</f>
        <v>20.809240339999999</v>
      </c>
      <c r="DP357" s="554">
        <f>VLOOKUP(WWWW[[#This Row],[Site Name]],SiteDB6[[Site Name]:[Long]],13,FALSE)</f>
        <v>92.923919679999997</v>
      </c>
      <c r="DQ357" s="554">
        <f>VLOOKUP(WWWW[[#This Row],[Site Name]],SiteDB6[[Site Name]:[Pcode]],3,FALSE)</f>
        <v>196881</v>
      </c>
      <c r="DR357" s="563" t="str">
        <f t="shared" si="12"/>
        <v>Covered</v>
      </c>
      <c r="DS357" s="563"/>
    </row>
    <row r="358" spans="1:123">
      <c r="A358" s="552" t="s">
        <v>2518</v>
      </c>
      <c r="B358" s="552" t="s">
        <v>336</v>
      </c>
      <c r="C358" s="555" t="s">
        <v>336</v>
      </c>
      <c r="D358" s="555" t="s">
        <v>352</v>
      </c>
      <c r="E358" s="574" t="s">
        <v>3006</v>
      </c>
      <c r="F358" s="555" t="s">
        <v>320</v>
      </c>
      <c r="G358" s="574" t="str">
        <f>VLOOKUP(WWWW[[#This Row],[Site Name]],SiteDB6[[Site Name]:[Location Type]],8,FALSE)</f>
        <v>Village_Not HRP</v>
      </c>
      <c r="H358" s="555" t="s">
        <v>633</v>
      </c>
      <c r="I358" s="557">
        <v>42</v>
      </c>
      <c r="J358" s="557">
        <v>184</v>
      </c>
      <c r="K358" s="564">
        <v>42887</v>
      </c>
      <c r="L358" s="565">
        <v>43616</v>
      </c>
      <c r="M358" s="557"/>
      <c r="N358" s="557"/>
      <c r="O358" s="557"/>
      <c r="P358" s="557"/>
      <c r="Q358" s="556"/>
      <c r="R358" s="557"/>
      <c r="S358" s="557"/>
      <c r="T358" s="557"/>
      <c r="U358" s="557"/>
      <c r="V358" s="557"/>
      <c r="W358" s="557"/>
      <c r="X358" s="557"/>
      <c r="Y358" s="557"/>
      <c r="Z358" s="557"/>
      <c r="AA358" s="557"/>
      <c r="AB358" s="557"/>
      <c r="AC358" s="557"/>
      <c r="AD358" s="557"/>
      <c r="AE358" s="557">
        <v>1</v>
      </c>
      <c r="AF358" s="557"/>
      <c r="AG358" s="557"/>
      <c r="AH358" s="557"/>
      <c r="AI358" s="557"/>
      <c r="AJ358" s="557"/>
      <c r="AK358" s="557"/>
      <c r="AL358" s="557"/>
      <c r="AM358" s="557"/>
      <c r="AN358" s="557"/>
      <c r="AO358" s="586" t="s">
        <v>2954</v>
      </c>
      <c r="AP358" s="557"/>
      <c r="AQ358" s="557"/>
      <c r="AR358" s="559"/>
      <c r="AS358" s="557"/>
      <c r="AT358" s="557"/>
      <c r="AU358" s="557"/>
      <c r="AV358" s="557"/>
      <c r="AW358" s="557"/>
      <c r="AX358" s="554"/>
      <c r="AY358" s="563"/>
      <c r="AZ358" s="557"/>
      <c r="BA358" s="557"/>
      <c r="BB358" s="557"/>
      <c r="BC358" s="554"/>
      <c r="BD358" s="557"/>
      <c r="BE358" s="557"/>
      <c r="BF358" s="557"/>
      <c r="BG358" s="557"/>
      <c r="BH358" s="557"/>
      <c r="BI358" s="557"/>
      <c r="BJ358" s="557"/>
      <c r="BK358" s="557"/>
      <c r="BL358" s="557"/>
      <c r="BM358" s="554"/>
      <c r="BN358" s="558"/>
      <c r="BO358" s="559"/>
      <c r="BP358" s="554"/>
      <c r="BQ358" s="560" t="str">
        <f>IFERROR(WWWW[[#This Row],['#_Water sources treated]]/WWWW[[#This Row],['#_Water sources tested for contamination]],"no test")</f>
        <v>no test</v>
      </c>
      <c r="BR358" s="559" t="str">
        <f>IFERROR(WWWW[[#This Row],['#_Household received remediation action due to contamination]]/WWWW[[#This Row],['#_Household water samples tested for contamination]],"no test")</f>
        <v>no test</v>
      </c>
      <c r="BS358" s="558" t="str">
        <f>IF(AND(WWWW[[#This Row],[% of water sources treated]]="no test",WWWW[[#This Row],[% Household received corrective actions]]="no test"),"No Test","Tested")</f>
        <v>No Test</v>
      </c>
      <c r="BT358" s="558">
        <f>WWWW[[#This Row],['#_Constructed/existing protected hand dug well]]-WWWW[[#This Row],['#_Non-functional protected hand dug well]]</f>
        <v>0</v>
      </c>
      <c r="BU358" s="558">
        <f>(WWWW[[#This Row],['#_Constructed/Existing tube wells/boreholes/handpumps_WASH_agency]]+WWWW[[#This Row],['#_Non-Cluster partner water tube-wells/boreholes/handpumps]])-WWWW[[#This Row],['#_Non-functional tube wells/boreholes/handpumps]]</f>
        <v>0</v>
      </c>
      <c r="BV358" s="558">
        <f>WWWW[[#This Row],['#_Constructed/Existingwater storage tank with gravity fed reticulation system]]-WWWW[[#This Row],['#_Non-functional storage tank gravity fed reticulation system]]</f>
        <v>0</v>
      </c>
      <c r="BW358" s="558">
        <f>WWWW[[#This Row],['#_Water boating or water trucking]]</f>
        <v>0</v>
      </c>
      <c r="BX358" s="558">
        <f>WWWW[[#This Row],['#_Constructed/Existing water distribution system from river or natural spring]]</f>
        <v>0</v>
      </c>
      <c r="BY35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8" s="559">
        <f>IF(WWWW[[#This Row],[Location Type 1]]="Village",WWWW[[#This Row],[Access to safe drinking water for Village]],WWWW[[#This Row],[Access to safe drinking water for Camp]])</f>
        <v>0</v>
      </c>
      <c r="CB358" s="556">
        <f>WWWW[[#This Row],[%Equitable and continuous access to sufficient quantity of safe drinking water]]*WWWW[[#This Row],[Total PoP ]]</f>
        <v>0</v>
      </c>
      <c r="CC358" s="559">
        <f>IF((WWWW[[#This Row],['#_Constructed/Existing protected/fenced ponds]]*250)/WWWW[[#This Row],[Total PoP ]]&gt;1,1,(WWWW[[#This Row],['#_Constructed/Existing protected/fenced ponds]]*250)/WWWW[[#This Row],[Total PoP ]])</f>
        <v>1</v>
      </c>
      <c r="CD358" s="556">
        <f>WWWW[[#This Row],[% Access to unimproved water points]]*WWWW[[#This Row],[Total PoP ]]</f>
        <v>184</v>
      </c>
      <c r="CE35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5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CG358" s="556">
        <f>WWWW[[#This Row],[HRP1]]/500</f>
        <v>0.36799999999999999</v>
      </c>
      <c r="CH358" s="561">
        <f>1-WWWW[[#This Row],[% Equitable and continuous access to sufficient quantity of domestic water]]</f>
        <v>0</v>
      </c>
      <c r="CI358" s="556">
        <f>WWWW[[#This Row],[%equitable and continuous access to sufficient quantity of safe drinking and domestic water''s GAP]]*WWWW[[#This Row],[Total PoP ]]</f>
        <v>0</v>
      </c>
      <c r="CJ358" s="558">
        <f>IF(WWWW[[#This Row],[Total required water points]]-WWWW[[#This Row],['#Water points coverage]]&lt;0,0,WWWW[[#This Row],[Total required water points]]-WWWW[[#This Row],['#Water points coverage]])</f>
        <v>0.63200000000000001</v>
      </c>
      <c r="CK358" s="558">
        <f>ROUND(IF(WWWW[[#This Row],[Total PoP ]]&lt;500,1,WWWW[[#This Row],[Total PoP ]]/500),0)</f>
        <v>1</v>
      </c>
      <c r="CL358" s="558">
        <f>(WWWW[[#This Row],['#_Constructed latrines_by_WASHAgencies]]+WWWW[[#This Row],['#_Non Cluster partner latrines]])-WWWW[[#This Row],['#_Non-functional latrines]]</f>
        <v>0</v>
      </c>
      <c r="CM35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8" s="558" t="str">
        <f>IF(WWWW[[#This Row],[Location Type 1]]="Village","NA",IF(WWWW[[#This Row],['#_Constructed/Existing latrines in TLS]]*50&gt;WWWW[[#This Row],['#_students at TLS_CFS]],WWWW[[#This Row],['#_students at TLS_CFS]],(WWWW[[#This Row],['#_Constructed/Existing latrines in TLS]]*50)))</f>
        <v>NA</v>
      </c>
      <c r="CQ358" s="558">
        <f>ROUND(IF(WWWW[[#This Row],[Location Type 1]]="camp",WWWW[[#This Row],[Total PoP ]]/20,IF(WWWW[[#This Row],[Location Type 1]]="Temporary Location",WWWW[[#This Row],[Total PoP ]]/50,(WWWW[[#This Row],[Total PoP ]]/6))),0)</f>
        <v>31</v>
      </c>
      <c r="CR358" s="558">
        <f>IF(WWWW[[#This Row],[Total required Latrines]]-(WWWW[[#This Row],['#_Constructed latrines_by_WASHAgencies]]+WWWW[[#This Row],['#_Non Cluster partner latrines]])&lt;0,0,WWWW[[#This Row],[Total required Latrines]]-(WWWW[[#This Row],['#_Constructed latrines_by_WASHAgencies]]+WWWW[[#This Row],['#_Non Cluster partner latrines]]))</f>
        <v>31</v>
      </c>
      <c r="CS358" s="78">
        <f>1-WWWW[[#This Row],[% people access to functioning Latrine]]</f>
        <v>1</v>
      </c>
      <c r="CT358" s="560">
        <f>IF(OR(WWWW[[#This Row],['#_Non-functional latrines]]="",WWWW[[#This Row],['#_Non-functional latrines]]=0),0,WWWW[[#This Row],['#_Non-functional latrines]]/(WWWW[[#This Row],['#_Constructed latrines_by_WASHAgencies]]+WWWW[[#This Row],['#_Non Cluster partner latrines]]))</f>
        <v>0</v>
      </c>
      <c r="CU358" s="556">
        <f>IF(500*(WWWW[[#This Row],['#_male hygiene promoters]]+WWWW[[#This Row],['#_female hygiene promoters]])&gt;WWWW[[#This Row],[Total PoP ]],WWWW[[#This Row],[Total PoP ]],500*(WWWW[[#This Row],['#_male hygiene promoters]]+WWWW[[#This Row],['#_female hygiene promoters]]))</f>
        <v>0</v>
      </c>
      <c r="CV35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8" s="558">
        <f>IF(WWWW[[#This Row],['# People with access to soap]]&gt;WWWW[[#This Row],['# People with access to Sanity Pads]],WWWW[[#This Row],['# People with access to soap]],WWWW[[#This Row],['# People with access to Sanity Pads]])</f>
        <v>0</v>
      </c>
      <c r="CY35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8" s="561">
        <f>IF(WWWW[[#This Row],[HRP3]]/WWWW[[#This Row],[Total PoP ]]&gt;100%,100%,WWWW[[#This Row],[HRP3]]/WWWW[[#This Row],[Total PoP ]])</f>
        <v>0</v>
      </c>
      <c r="DA358" s="560">
        <f>1-WWWW[[#This Row],[Hygiene Coverage%]]</f>
        <v>1</v>
      </c>
      <c r="DB358" s="559">
        <f>WWWW[[#This Row],['# people reached by regular dedicated hygiene promotion_5]]/WWWW[[#This Row],[Total PoP ]]</f>
        <v>0</v>
      </c>
      <c r="DC358" s="559">
        <f>IF(WWWW[[#This Row],['#_households that received standard amount of soap for this quarter]]/WWWW[[#This Row],[Total HH]]&gt;1,1,WWWW[[#This Row],['#_households that received standard amount of soap for this quarter]]/WWWW[[#This Row],[Total HH]])</f>
        <v>0</v>
      </c>
      <c r="DD358" s="559">
        <f>IF(WWWW[[#This Row],['#_households that received standard amount of sanitary pads for this quarter]]/WWWW[[#This Row],[Total HH]]&gt;1,1,WWWW[[#This Row],['#_households that received standard amount of sanitary pads for this quarter]]/WWWW[[#This Row],[Total HH]])</f>
        <v>0</v>
      </c>
      <c r="DE358" s="558">
        <f>WWWW[[#This Row],['#_Constructed/Existing hand washing stations]]-WWWW[[#This Row],['#_Non-Functional_hand_washing_stations]]</f>
        <v>0</v>
      </c>
      <c r="DF358" s="757">
        <f>IF(WWWW[[#This Row],['# Functional hand washing stations during reporting period]]*20&gt;WWWW[[#This Row],[Total HH]],WWWW[[#This Row],[Total HH]],WWWW[[#This Row],['# Functional hand washing stations during reporting period]]*20)</f>
        <v>0</v>
      </c>
      <c r="DG358" s="556">
        <f>IF(WWWW[[#This Row],[Is sufficient soap available for TLS? (Yes/No)]]="yes",WWWW[[#This Row],['#_Constructed/Existing hand washing stations at TLS]],0)</f>
        <v>0</v>
      </c>
      <c r="DH358" s="556">
        <f>IF(WWWW[[#This Row],['# Functional hand washing stations during reporting period]]*100&gt;WWWW[[#This Row],[Total PoP ]],WWWW[[#This Row],[Total PoP ]],WWWW[[#This Row],['# Functional hand washing stations during reporting period]]*100)</f>
        <v>0</v>
      </c>
      <c r="DI358" s="556" t="str">
        <f>IF(OR(WWWW[[#This Row],['#_students at TLS_CFS]]="",WWWW[[#This Row],['#_students at TLS_CFS]]=0),"No","Yes")</f>
        <v>No</v>
      </c>
      <c r="DJ358" s="554">
        <f>VLOOKUP(WWWW[[#This Row],[Site Name]],SiteDB6[[Site Name]:[CCCM Management]],6,FALSE)</f>
        <v>0</v>
      </c>
      <c r="DK358" s="554">
        <f>VLOOKUP(WWWW[[#This Row],[Site Name]],SiteDB6[[Site Name]:[CCCM Focal Agency]],7,FALSE)</f>
        <v>0</v>
      </c>
      <c r="DL358" s="554" t="str">
        <f>VLOOKUP(WWWW[[#This Row],[Site Name]],SiteDB6[[Site Name]:[Location Type 1]],9,FALSE)</f>
        <v>Village</v>
      </c>
      <c r="DM358" s="554" t="str">
        <f>VLOOKUP(WWWW[[#This Row],[Site Name]],SiteDB6[[Site Name]:[Type of Accommodation]],10,FALSE)</f>
        <v>Village_Not HRP</v>
      </c>
      <c r="DN358" s="554" t="str">
        <f>VLOOKUP(WWWW[[#This Row],[Site Name]],SiteDB6[[Site Name]:[Ethnic or GCA/NGCA]],11,FALSE)</f>
        <v>Mro</v>
      </c>
      <c r="DO358" s="554">
        <f>VLOOKUP(WWWW[[#This Row],[Site Name]],SiteDB6[[Site Name]:[Lat]],12,FALSE)</f>
        <v>20.807970050000002</v>
      </c>
      <c r="DP358" s="554">
        <f>VLOOKUP(WWWW[[#This Row],[Site Name]],SiteDB6[[Site Name]:[Long]],13,FALSE)</f>
        <v>92.929046630000002</v>
      </c>
      <c r="DQ358" s="554">
        <f>VLOOKUP(WWWW[[#This Row],[Site Name]],SiteDB6[[Site Name]:[Pcode]],3,FALSE)</f>
        <v>196882</v>
      </c>
      <c r="DR358" s="563" t="str">
        <f t="shared" si="12"/>
        <v>Covered</v>
      </c>
      <c r="DS358" s="563"/>
    </row>
    <row r="359" spans="1:123">
      <c r="A359" s="552" t="s">
        <v>2518</v>
      </c>
      <c r="B359" s="552" t="s">
        <v>336</v>
      </c>
      <c r="C359" s="555" t="s">
        <v>336</v>
      </c>
      <c r="D359" s="555" t="s">
        <v>352</v>
      </c>
      <c r="E359" s="574" t="s">
        <v>3006</v>
      </c>
      <c r="F359" s="555" t="s">
        <v>320</v>
      </c>
      <c r="G359" s="574" t="str">
        <f>VLOOKUP(WWWW[[#This Row],[Site Name]],SiteDB6[[Site Name]:[Location Type]],8,FALSE)</f>
        <v>Village_Not HRP</v>
      </c>
      <c r="H359" s="555" t="s">
        <v>625</v>
      </c>
      <c r="I359" s="557">
        <v>73</v>
      </c>
      <c r="J359" s="557">
        <v>343</v>
      </c>
      <c r="K359" s="564">
        <v>42887</v>
      </c>
      <c r="L359" s="565">
        <v>43616</v>
      </c>
      <c r="M359" s="557"/>
      <c r="N359" s="557"/>
      <c r="O359" s="557"/>
      <c r="P359" s="557"/>
      <c r="Q359" s="556"/>
      <c r="R359" s="557"/>
      <c r="S359" s="557"/>
      <c r="T359" s="557"/>
      <c r="U359" s="557"/>
      <c r="V359" s="557"/>
      <c r="W359" s="557"/>
      <c r="X359" s="557"/>
      <c r="Y359" s="557"/>
      <c r="Z359" s="557"/>
      <c r="AA359" s="557"/>
      <c r="AB359" s="557"/>
      <c r="AC359" s="557"/>
      <c r="AD359" s="557"/>
      <c r="AE359" s="557"/>
      <c r="AF359" s="557"/>
      <c r="AG359" s="557"/>
      <c r="AH359" s="557"/>
      <c r="AI359" s="557"/>
      <c r="AJ359" s="557"/>
      <c r="AK359" s="557"/>
      <c r="AL359" s="557"/>
      <c r="AM359" s="557"/>
      <c r="AN359" s="557"/>
      <c r="AO359" s="563"/>
      <c r="AP359" s="557"/>
      <c r="AQ359" s="557"/>
      <c r="AR359" s="559"/>
      <c r="AS359" s="557"/>
      <c r="AT359" s="557"/>
      <c r="AU359" s="557"/>
      <c r="AV359" s="557"/>
      <c r="AW359" s="557"/>
      <c r="AX359" s="554"/>
      <c r="AY359" s="563"/>
      <c r="AZ359" s="557"/>
      <c r="BA359" s="557"/>
      <c r="BB359" s="557"/>
      <c r="BC359" s="554"/>
      <c r="BD359" s="557"/>
      <c r="BE359" s="557"/>
      <c r="BF359" s="557"/>
      <c r="BG359" s="557"/>
      <c r="BH359" s="557"/>
      <c r="BI359" s="557"/>
      <c r="BJ359" s="557"/>
      <c r="BK359" s="557"/>
      <c r="BL359" s="557"/>
      <c r="BM359" s="554"/>
      <c r="BN359" s="558"/>
      <c r="BO359" s="559"/>
      <c r="BP359" s="554"/>
      <c r="BQ359" s="560" t="str">
        <f>IFERROR(WWWW[[#This Row],['#_Water sources treated]]/WWWW[[#This Row],['#_Water sources tested for contamination]],"no test")</f>
        <v>no test</v>
      </c>
      <c r="BR359" s="559" t="str">
        <f>IFERROR(WWWW[[#This Row],['#_Household received remediation action due to contamination]]/WWWW[[#This Row],['#_Household water samples tested for contamination]],"no test")</f>
        <v>no test</v>
      </c>
      <c r="BS359" s="558" t="str">
        <f>IF(AND(WWWW[[#This Row],[% of water sources treated]]="no test",WWWW[[#This Row],[% Household received corrective actions]]="no test"),"No Test","Tested")</f>
        <v>No Test</v>
      </c>
      <c r="BT359" s="558">
        <f>WWWW[[#This Row],['#_Constructed/existing protected hand dug well]]-WWWW[[#This Row],['#_Non-functional protected hand dug well]]</f>
        <v>0</v>
      </c>
      <c r="BU359" s="558">
        <f>(WWWW[[#This Row],['#_Constructed/Existing tube wells/boreholes/handpumps_WASH_agency]]+WWWW[[#This Row],['#_Non-Cluster partner water tube-wells/boreholes/handpumps]])-WWWW[[#This Row],['#_Non-functional tube wells/boreholes/handpumps]]</f>
        <v>0</v>
      </c>
      <c r="BV359" s="558">
        <f>WWWW[[#This Row],['#_Constructed/Existingwater storage tank with gravity fed reticulation system]]-WWWW[[#This Row],['#_Non-functional storage tank gravity fed reticulation system]]</f>
        <v>0</v>
      </c>
      <c r="BW359" s="558">
        <f>WWWW[[#This Row],['#_Water boating or water trucking]]</f>
        <v>0</v>
      </c>
      <c r="BX359" s="558">
        <f>WWWW[[#This Row],['#_Constructed/Existing water distribution system from river or natural spring]]</f>
        <v>0</v>
      </c>
      <c r="BY35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5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59" s="559">
        <f>IF(WWWW[[#This Row],[Location Type 1]]="Village",WWWW[[#This Row],[Access to safe drinking water for Village]],WWWW[[#This Row],[Access to safe drinking water for Camp]])</f>
        <v>0</v>
      </c>
      <c r="CB359" s="556">
        <f>WWWW[[#This Row],[%Equitable and continuous access to sufficient quantity of safe drinking water]]*WWWW[[#This Row],[Total PoP ]]</f>
        <v>0</v>
      </c>
      <c r="CC359" s="559">
        <f>IF((WWWW[[#This Row],['#_Constructed/Existing protected/fenced ponds]]*250)/WWWW[[#This Row],[Total PoP ]]&gt;1,1,(WWWW[[#This Row],['#_Constructed/Existing protected/fenced ponds]]*250)/WWWW[[#This Row],[Total PoP ]])</f>
        <v>0</v>
      </c>
      <c r="CD359" s="556">
        <f>WWWW[[#This Row],[% Access to unimproved water points]]*WWWW[[#This Row],[Total PoP ]]</f>
        <v>0</v>
      </c>
      <c r="CE35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5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59" s="556">
        <f>WWWW[[#This Row],[HRP1]]/500</f>
        <v>0</v>
      </c>
      <c r="CH359" s="561">
        <f>1-WWWW[[#This Row],[% Equitable and continuous access to sufficient quantity of domestic water]]</f>
        <v>1</v>
      </c>
      <c r="CI359" s="556">
        <f>WWWW[[#This Row],[%equitable and continuous access to sufficient quantity of safe drinking and domestic water''s GAP]]*WWWW[[#This Row],[Total PoP ]]</f>
        <v>343</v>
      </c>
      <c r="CJ359" s="558">
        <f>IF(WWWW[[#This Row],[Total required water points]]-WWWW[[#This Row],['#Water points coverage]]&lt;0,0,WWWW[[#This Row],[Total required water points]]-WWWW[[#This Row],['#Water points coverage]])</f>
        <v>1</v>
      </c>
      <c r="CK359" s="558">
        <f>ROUND(IF(WWWW[[#This Row],[Total PoP ]]&lt;500,1,WWWW[[#This Row],[Total PoP ]]/500),0)</f>
        <v>1</v>
      </c>
      <c r="CL359" s="558">
        <f>(WWWW[[#This Row],['#_Constructed latrines_by_WASHAgencies]]+WWWW[[#This Row],['#_Non Cluster partner latrines]])-WWWW[[#This Row],['#_Non-functional latrines]]</f>
        <v>0</v>
      </c>
      <c r="CM35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5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5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59" s="558" t="str">
        <f>IF(WWWW[[#This Row],[Location Type 1]]="Village","NA",IF(WWWW[[#This Row],['#_Constructed/Existing latrines in TLS]]*50&gt;WWWW[[#This Row],['#_students at TLS_CFS]],WWWW[[#This Row],['#_students at TLS_CFS]],(WWWW[[#This Row],['#_Constructed/Existing latrines in TLS]]*50)))</f>
        <v>NA</v>
      </c>
      <c r="CQ359" s="558">
        <f>ROUND(IF(WWWW[[#This Row],[Location Type 1]]="camp",WWWW[[#This Row],[Total PoP ]]/20,IF(WWWW[[#This Row],[Location Type 1]]="Temporary Location",WWWW[[#This Row],[Total PoP ]]/50,(WWWW[[#This Row],[Total PoP ]]/6))),0)</f>
        <v>57</v>
      </c>
      <c r="CR359" s="558">
        <f>IF(WWWW[[#This Row],[Total required Latrines]]-(WWWW[[#This Row],['#_Constructed latrines_by_WASHAgencies]]+WWWW[[#This Row],['#_Non Cluster partner latrines]])&lt;0,0,WWWW[[#This Row],[Total required Latrines]]-(WWWW[[#This Row],['#_Constructed latrines_by_WASHAgencies]]+WWWW[[#This Row],['#_Non Cluster partner latrines]]))</f>
        <v>57</v>
      </c>
      <c r="CS359" s="78">
        <f>1-WWWW[[#This Row],[% people access to functioning Latrine]]</f>
        <v>1</v>
      </c>
      <c r="CT359" s="560">
        <f>IF(OR(WWWW[[#This Row],['#_Non-functional latrines]]="",WWWW[[#This Row],['#_Non-functional latrines]]=0),0,WWWW[[#This Row],['#_Non-functional latrines]]/(WWWW[[#This Row],['#_Constructed latrines_by_WASHAgencies]]+WWWW[[#This Row],['#_Non Cluster partner latrines]]))</f>
        <v>0</v>
      </c>
      <c r="CU359" s="556">
        <f>IF(500*(WWWW[[#This Row],['#_male hygiene promoters]]+WWWW[[#This Row],['#_female hygiene promoters]])&gt;WWWW[[#This Row],[Total PoP ]],WWWW[[#This Row],[Total PoP ]],500*(WWWW[[#This Row],['#_male hygiene promoters]]+WWWW[[#This Row],['#_female hygiene promoters]]))</f>
        <v>0</v>
      </c>
      <c r="CV35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5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59" s="558">
        <f>IF(WWWW[[#This Row],['# People with access to soap]]&gt;WWWW[[#This Row],['# People with access to Sanity Pads]],WWWW[[#This Row],['# People with access to soap]],WWWW[[#This Row],['# People with access to Sanity Pads]])</f>
        <v>0</v>
      </c>
      <c r="CY35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59" s="561">
        <f>IF(WWWW[[#This Row],[HRP3]]/WWWW[[#This Row],[Total PoP ]]&gt;100%,100%,WWWW[[#This Row],[HRP3]]/WWWW[[#This Row],[Total PoP ]])</f>
        <v>0</v>
      </c>
      <c r="DA359" s="560">
        <f>1-WWWW[[#This Row],[Hygiene Coverage%]]</f>
        <v>1</v>
      </c>
      <c r="DB359" s="559">
        <f>WWWW[[#This Row],['# people reached by regular dedicated hygiene promotion_5]]/WWWW[[#This Row],[Total PoP ]]</f>
        <v>0</v>
      </c>
      <c r="DC359" s="559">
        <f>IF(WWWW[[#This Row],['#_households that received standard amount of soap for this quarter]]/WWWW[[#This Row],[Total HH]]&gt;1,1,WWWW[[#This Row],['#_households that received standard amount of soap for this quarter]]/WWWW[[#This Row],[Total HH]])</f>
        <v>0</v>
      </c>
      <c r="DD359" s="559">
        <f>IF(WWWW[[#This Row],['#_households that received standard amount of sanitary pads for this quarter]]/WWWW[[#This Row],[Total HH]]&gt;1,1,WWWW[[#This Row],['#_households that received standard amount of sanitary pads for this quarter]]/WWWW[[#This Row],[Total HH]])</f>
        <v>0</v>
      </c>
      <c r="DE359" s="558">
        <f>WWWW[[#This Row],['#_Constructed/Existing hand washing stations]]-WWWW[[#This Row],['#_Non-Functional_hand_washing_stations]]</f>
        <v>0</v>
      </c>
      <c r="DF359" s="757">
        <f>IF(WWWW[[#This Row],['# Functional hand washing stations during reporting period]]*20&gt;WWWW[[#This Row],[Total HH]],WWWW[[#This Row],[Total HH]],WWWW[[#This Row],['# Functional hand washing stations during reporting period]]*20)</f>
        <v>0</v>
      </c>
      <c r="DG359" s="556">
        <f>IF(WWWW[[#This Row],[Is sufficient soap available for TLS? (Yes/No)]]="yes",WWWW[[#This Row],['#_Constructed/Existing hand washing stations at TLS]],0)</f>
        <v>0</v>
      </c>
      <c r="DH359" s="556">
        <f>IF(WWWW[[#This Row],['# Functional hand washing stations during reporting period]]*100&gt;WWWW[[#This Row],[Total PoP ]],WWWW[[#This Row],[Total PoP ]],WWWW[[#This Row],['# Functional hand washing stations during reporting period]]*100)</f>
        <v>0</v>
      </c>
      <c r="DI359" s="556" t="str">
        <f>IF(OR(WWWW[[#This Row],['#_students at TLS_CFS]]="",WWWW[[#This Row],['#_students at TLS_CFS]]=0),"No","Yes")</f>
        <v>No</v>
      </c>
      <c r="DJ359" s="554">
        <f>VLOOKUP(WWWW[[#This Row],[Site Name]],SiteDB6[[Site Name]:[CCCM Management]],6,FALSE)</f>
        <v>0</v>
      </c>
      <c r="DK359" s="554">
        <f>VLOOKUP(WWWW[[#This Row],[Site Name]],SiteDB6[[Site Name]:[CCCM Focal Agency]],7,FALSE)</f>
        <v>0</v>
      </c>
      <c r="DL359" s="554" t="str">
        <f>VLOOKUP(WWWW[[#This Row],[Site Name]],SiteDB6[[Site Name]:[Location Type 1]],9,FALSE)</f>
        <v>Village</v>
      </c>
      <c r="DM359" s="554" t="str">
        <f>VLOOKUP(WWWW[[#This Row],[Site Name]],SiteDB6[[Site Name]:[Type of Accommodation]],10,FALSE)</f>
        <v>Village_Not HRP</v>
      </c>
      <c r="DN359" s="554" t="str">
        <f>VLOOKUP(WWWW[[#This Row],[Site Name]],SiteDB6[[Site Name]:[Ethnic or GCA/NGCA]],11,FALSE)</f>
        <v>Mro</v>
      </c>
      <c r="DO359" s="554">
        <f>VLOOKUP(WWWW[[#This Row],[Site Name]],SiteDB6[[Site Name]:[Lat]],12,FALSE)</f>
        <v>20.803529739999998</v>
      </c>
      <c r="DP359" s="554">
        <f>VLOOKUP(WWWW[[#This Row],[Site Name]],SiteDB6[[Site Name]:[Long]],13,FALSE)</f>
        <v>92.929466250000004</v>
      </c>
      <c r="DQ359" s="554">
        <f>VLOOKUP(WWWW[[#This Row],[Site Name]],SiteDB6[[Site Name]:[Pcode]],3,FALSE)</f>
        <v>196883</v>
      </c>
      <c r="DR359" s="563" t="str">
        <f t="shared" si="12"/>
        <v>Covered</v>
      </c>
      <c r="DS359" s="563"/>
    </row>
    <row r="360" spans="1:123">
      <c r="A360" s="552" t="s">
        <v>2518</v>
      </c>
      <c r="B360" s="552" t="s">
        <v>336</v>
      </c>
      <c r="C360" s="555" t="s">
        <v>336</v>
      </c>
      <c r="D360" s="555" t="s">
        <v>352</v>
      </c>
      <c r="E360" s="574" t="s">
        <v>3006</v>
      </c>
      <c r="F360" s="555" t="s">
        <v>320</v>
      </c>
      <c r="G360" s="574" t="str">
        <f>VLOOKUP(WWWW[[#This Row],[Site Name]],SiteDB6[[Site Name]:[Location Type]],8,FALSE)</f>
        <v>Village</v>
      </c>
      <c r="H360" s="555" t="s">
        <v>654</v>
      </c>
      <c r="I360" s="557">
        <v>93</v>
      </c>
      <c r="J360" s="557">
        <v>415</v>
      </c>
      <c r="K360" s="564">
        <v>42887</v>
      </c>
      <c r="L360" s="565">
        <v>43616</v>
      </c>
      <c r="M360" s="557"/>
      <c r="N360" s="557"/>
      <c r="O360" s="557"/>
      <c r="P360" s="557"/>
      <c r="Q360" s="556"/>
      <c r="R360" s="557"/>
      <c r="S360" s="557"/>
      <c r="T360" s="557"/>
      <c r="U360" s="557"/>
      <c r="V360" s="557"/>
      <c r="W360" s="557"/>
      <c r="X360" s="557"/>
      <c r="Y360" s="557"/>
      <c r="Z360" s="557"/>
      <c r="AA360" s="557"/>
      <c r="AB360" s="557"/>
      <c r="AC360" s="557"/>
      <c r="AD360" s="557"/>
      <c r="AE360" s="557">
        <v>2</v>
      </c>
      <c r="AF360" s="557"/>
      <c r="AG360" s="557"/>
      <c r="AH360" s="557"/>
      <c r="AI360" s="557"/>
      <c r="AJ360" s="557"/>
      <c r="AK360" s="557"/>
      <c r="AL360" s="557"/>
      <c r="AM360" s="557"/>
      <c r="AN360" s="557"/>
      <c r="AO360" s="586" t="s">
        <v>2954</v>
      </c>
      <c r="AP360" s="557"/>
      <c r="AQ360" s="557"/>
      <c r="AR360" s="559"/>
      <c r="AS360" s="557"/>
      <c r="AT360" s="557"/>
      <c r="AU360" s="557"/>
      <c r="AV360" s="557"/>
      <c r="AW360" s="557"/>
      <c r="AX360" s="554"/>
      <c r="AY360" s="563"/>
      <c r="AZ360" s="557"/>
      <c r="BA360" s="557"/>
      <c r="BB360" s="557"/>
      <c r="BC360" s="554"/>
      <c r="BD360" s="557"/>
      <c r="BE360" s="557"/>
      <c r="BF360" s="557"/>
      <c r="BG360" s="557"/>
      <c r="BH360" s="557"/>
      <c r="BI360" s="557"/>
      <c r="BJ360" s="557"/>
      <c r="BK360" s="557"/>
      <c r="BL360" s="557"/>
      <c r="BM360" s="554"/>
      <c r="BN360" s="558"/>
      <c r="BO360" s="559"/>
      <c r="BP360" s="554"/>
      <c r="BQ360" s="560" t="str">
        <f>IFERROR(WWWW[[#This Row],['#_Water sources treated]]/WWWW[[#This Row],['#_Water sources tested for contamination]],"no test")</f>
        <v>no test</v>
      </c>
      <c r="BR360" s="559" t="str">
        <f>IFERROR(WWWW[[#This Row],['#_Household received remediation action due to contamination]]/WWWW[[#This Row],['#_Household water samples tested for contamination]],"no test")</f>
        <v>no test</v>
      </c>
      <c r="BS360" s="558" t="str">
        <f>IF(AND(WWWW[[#This Row],[% of water sources treated]]="no test",WWWW[[#This Row],[% Household received corrective actions]]="no test"),"No Test","Tested")</f>
        <v>No Test</v>
      </c>
      <c r="BT360" s="558">
        <f>WWWW[[#This Row],['#_Constructed/existing protected hand dug well]]-WWWW[[#This Row],['#_Non-functional protected hand dug well]]</f>
        <v>0</v>
      </c>
      <c r="BU360" s="558">
        <f>(WWWW[[#This Row],['#_Constructed/Existing tube wells/boreholes/handpumps_WASH_agency]]+WWWW[[#This Row],['#_Non-Cluster partner water tube-wells/boreholes/handpumps]])-WWWW[[#This Row],['#_Non-functional tube wells/boreholes/handpumps]]</f>
        <v>0</v>
      </c>
      <c r="BV360" s="558">
        <f>WWWW[[#This Row],['#_Constructed/Existingwater storage tank with gravity fed reticulation system]]-WWWW[[#This Row],['#_Non-functional storage tank gravity fed reticulation system]]</f>
        <v>0</v>
      </c>
      <c r="BW360" s="558">
        <f>WWWW[[#This Row],['#_Water boating or water trucking]]</f>
        <v>0</v>
      </c>
      <c r="BX360" s="558">
        <f>WWWW[[#This Row],['#_Constructed/Existing water distribution system from river or natural spring]]</f>
        <v>0</v>
      </c>
      <c r="BY36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0" s="559">
        <f>IF(WWWW[[#This Row],[Location Type 1]]="Village",WWWW[[#This Row],[Access to safe drinking water for Village]],WWWW[[#This Row],[Access to safe drinking water for Camp]])</f>
        <v>0</v>
      </c>
      <c r="CB360" s="556">
        <f>WWWW[[#This Row],[%Equitable and continuous access to sufficient quantity of safe drinking water]]*WWWW[[#This Row],[Total PoP ]]</f>
        <v>0</v>
      </c>
      <c r="CC360" s="559">
        <f>IF((WWWW[[#This Row],['#_Constructed/Existing protected/fenced ponds]]*250)/WWWW[[#This Row],[Total PoP ]]&gt;1,1,(WWWW[[#This Row],['#_Constructed/Existing protected/fenced ponds]]*250)/WWWW[[#This Row],[Total PoP ]])</f>
        <v>1</v>
      </c>
      <c r="CD360" s="556">
        <f>WWWW[[#This Row],[% Access to unimproved water points]]*WWWW[[#This Row],[Total PoP ]]</f>
        <v>415</v>
      </c>
      <c r="CE36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415</v>
      </c>
      <c r="CG360" s="556">
        <f>WWWW[[#This Row],[HRP1]]/500</f>
        <v>0.83</v>
      </c>
      <c r="CH360" s="561">
        <f>1-WWWW[[#This Row],[% Equitable and continuous access to sufficient quantity of domestic water]]</f>
        <v>0</v>
      </c>
      <c r="CI360" s="556">
        <f>WWWW[[#This Row],[%equitable and continuous access to sufficient quantity of safe drinking and domestic water''s GAP]]*WWWW[[#This Row],[Total PoP ]]</f>
        <v>0</v>
      </c>
      <c r="CJ360" s="558">
        <f>IF(WWWW[[#This Row],[Total required water points]]-WWWW[[#This Row],['#Water points coverage]]&lt;0,0,WWWW[[#This Row],[Total required water points]]-WWWW[[#This Row],['#Water points coverage]])</f>
        <v>0.17000000000000004</v>
      </c>
      <c r="CK360" s="558">
        <f>ROUND(IF(WWWW[[#This Row],[Total PoP ]]&lt;500,1,WWWW[[#This Row],[Total PoP ]]/500),0)</f>
        <v>1</v>
      </c>
      <c r="CL360" s="558">
        <f>(WWWW[[#This Row],['#_Constructed latrines_by_WASHAgencies]]+WWWW[[#This Row],['#_Non Cluster partner latrines]])-WWWW[[#This Row],['#_Non-functional latrines]]</f>
        <v>0</v>
      </c>
      <c r="CM36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0" s="558" t="str">
        <f>IF(WWWW[[#This Row],[Location Type 1]]="Village","NA",IF(WWWW[[#This Row],['#_Constructed/Existing latrines in TLS]]*50&gt;WWWW[[#This Row],['#_students at TLS_CFS]],WWWW[[#This Row],['#_students at TLS_CFS]],(WWWW[[#This Row],['#_Constructed/Existing latrines in TLS]]*50)))</f>
        <v>NA</v>
      </c>
      <c r="CQ360" s="558">
        <f>ROUND(IF(WWWW[[#This Row],[Location Type 1]]="camp",WWWW[[#This Row],[Total PoP ]]/20,IF(WWWW[[#This Row],[Location Type 1]]="Temporary Location",WWWW[[#This Row],[Total PoP ]]/50,(WWWW[[#This Row],[Total PoP ]]/6))),0)</f>
        <v>69</v>
      </c>
      <c r="CR360" s="558">
        <f>IF(WWWW[[#This Row],[Total required Latrines]]-(WWWW[[#This Row],['#_Constructed latrines_by_WASHAgencies]]+WWWW[[#This Row],['#_Non Cluster partner latrines]])&lt;0,0,WWWW[[#This Row],[Total required Latrines]]-(WWWW[[#This Row],['#_Constructed latrines_by_WASHAgencies]]+WWWW[[#This Row],['#_Non Cluster partner latrines]]))</f>
        <v>69</v>
      </c>
      <c r="CS360" s="78">
        <f>1-WWWW[[#This Row],[% people access to functioning Latrine]]</f>
        <v>1</v>
      </c>
      <c r="CT360" s="560">
        <f>IF(OR(WWWW[[#This Row],['#_Non-functional latrines]]="",WWWW[[#This Row],['#_Non-functional latrines]]=0),0,WWWW[[#This Row],['#_Non-functional latrines]]/(WWWW[[#This Row],['#_Constructed latrines_by_WASHAgencies]]+WWWW[[#This Row],['#_Non Cluster partner latrines]]))</f>
        <v>0</v>
      </c>
      <c r="CU360" s="556">
        <f>IF(500*(WWWW[[#This Row],['#_male hygiene promoters]]+WWWW[[#This Row],['#_female hygiene promoters]])&gt;WWWW[[#This Row],[Total PoP ]],WWWW[[#This Row],[Total PoP ]],500*(WWWW[[#This Row],['#_male hygiene promoters]]+WWWW[[#This Row],['#_female hygiene promoters]]))</f>
        <v>0</v>
      </c>
      <c r="CV36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0" s="558">
        <f>IF(WWWW[[#This Row],['# People with access to soap]]&gt;WWWW[[#This Row],['# People with access to Sanity Pads]],WWWW[[#This Row],['# People with access to soap]],WWWW[[#This Row],['# People with access to Sanity Pads]])</f>
        <v>0</v>
      </c>
      <c r="CY36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0" s="561">
        <f>IF(WWWW[[#This Row],[HRP3]]/WWWW[[#This Row],[Total PoP ]]&gt;100%,100%,WWWW[[#This Row],[HRP3]]/WWWW[[#This Row],[Total PoP ]])</f>
        <v>0</v>
      </c>
      <c r="DA360" s="560">
        <f>1-WWWW[[#This Row],[Hygiene Coverage%]]</f>
        <v>1</v>
      </c>
      <c r="DB360" s="559">
        <f>WWWW[[#This Row],['# people reached by regular dedicated hygiene promotion_5]]/WWWW[[#This Row],[Total PoP ]]</f>
        <v>0</v>
      </c>
      <c r="DC360" s="559">
        <f>IF(WWWW[[#This Row],['#_households that received standard amount of soap for this quarter]]/WWWW[[#This Row],[Total HH]]&gt;1,1,WWWW[[#This Row],['#_households that received standard amount of soap for this quarter]]/WWWW[[#This Row],[Total HH]])</f>
        <v>0</v>
      </c>
      <c r="DD360" s="559">
        <f>IF(WWWW[[#This Row],['#_households that received standard amount of sanitary pads for this quarter]]/WWWW[[#This Row],[Total HH]]&gt;1,1,WWWW[[#This Row],['#_households that received standard amount of sanitary pads for this quarter]]/WWWW[[#This Row],[Total HH]])</f>
        <v>0</v>
      </c>
      <c r="DE360" s="558">
        <f>WWWW[[#This Row],['#_Constructed/Existing hand washing stations]]-WWWW[[#This Row],['#_Non-Functional_hand_washing_stations]]</f>
        <v>0</v>
      </c>
      <c r="DF360" s="757">
        <f>IF(WWWW[[#This Row],['# Functional hand washing stations during reporting period]]*20&gt;WWWW[[#This Row],[Total HH]],WWWW[[#This Row],[Total HH]],WWWW[[#This Row],['# Functional hand washing stations during reporting period]]*20)</f>
        <v>0</v>
      </c>
      <c r="DG360" s="556">
        <f>IF(WWWW[[#This Row],[Is sufficient soap available for TLS? (Yes/No)]]="yes",WWWW[[#This Row],['#_Constructed/Existing hand washing stations at TLS]],0)</f>
        <v>0</v>
      </c>
      <c r="DH360" s="556">
        <f>IF(WWWW[[#This Row],['# Functional hand washing stations during reporting period]]*100&gt;WWWW[[#This Row],[Total PoP ]],WWWW[[#This Row],[Total PoP ]],WWWW[[#This Row],['# Functional hand washing stations during reporting period]]*100)</f>
        <v>0</v>
      </c>
      <c r="DI360" s="556" t="str">
        <f>IF(OR(WWWW[[#This Row],['#_students at TLS_CFS]]="",WWWW[[#This Row],['#_students at TLS_CFS]]=0),"No","Yes")</f>
        <v>No</v>
      </c>
      <c r="DJ360" s="554">
        <f>VLOOKUP(WWWW[[#This Row],[Site Name]],SiteDB6[[Site Name]:[CCCM Management]],6,FALSE)</f>
        <v>0</v>
      </c>
      <c r="DK360" s="554">
        <f>VLOOKUP(WWWW[[#This Row],[Site Name]],SiteDB6[[Site Name]:[CCCM Focal Agency]],7,FALSE)</f>
        <v>0</v>
      </c>
      <c r="DL360" s="554" t="str">
        <f>VLOOKUP(WWWW[[#This Row],[Site Name]],SiteDB6[[Site Name]:[Location Type 1]],9,FALSE)</f>
        <v>Village</v>
      </c>
      <c r="DM360" s="554" t="str">
        <f>VLOOKUP(WWWW[[#This Row],[Site Name]],SiteDB6[[Site Name]:[Type of Accommodation]],10,FALSE)</f>
        <v>Village</v>
      </c>
      <c r="DN360" s="554" t="str">
        <f>VLOOKUP(WWWW[[#This Row],[Site Name]],SiteDB6[[Site Name]:[Ethnic or GCA/NGCA]],11,FALSE)</f>
        <v>Mro</v>
      </c>
      <c r="DO360" s="554">
        <f>VLOOKUP(WWWW[[#This Row],[Site Name]],SiteDB6[[Site Name]:[Lat]],12,FALSE)</f>
        <v>20.855012890000001</v>
      </c>
      <c r="DP360" s="554">
        <f>VLOOKUP(WWWW[[#This Row],[Site Name]],SiteDB6[[Site Name]:[Long]],13,FALSE)</f>
        <v>92.91</v>
      </c>
      <c r="DQ360" s="554">
        <f>VLOOKUP(WWWW[[#This Row],[Site Name]],SiteDB6[[Site Name]:[Pcode]],3,FALSE)</f>
        <v>196824</v>
      </c>
      <c r="DR360" s="563" t="str">
        <f t="shared" si="12"/>
        <v>Covered</v>
      </c>
      <c r="DS360" s="563"/>
    </row>
    <row r="361" spans="1:123">
      <c r="A361" s="552" t="s">
        <v>2518</v>
      </c>
      <c r="B361" s="552" t="s">
        <v>336</v>
      </c>
      <c r="C361" s="555" t="s">
        <v>336</v>
      </c>
      <c r="D361" s="555" t="s">
        <v>352</v>
      </c>
      <c r="E361" s="574" t="s">
        <v>3006</v>
      </c>
      <c r="F361" s="555" t="s">
        <v>320</v>
      </c>
      <c r="G361" s="574" t="str">
        <f>VLOOKUP(WWWW[[#This Row],[Site Name]],SiteDB6[[Site Name]:[Location Type]],8,FALSE)</f>
        <v>Village_Not HRP</v>
      </c>
      <c r="H361" s="555" t="s">
        <v>653</v>
      </c>
      <c r="I361" s="557">
        <v>73</v>
      </c>
      <c r="J361" s="557">
        <v>397</v>
      </c>
      <c r="K361" s="564">
        <v>42887</v>
      </c>
      <c r="L361" s="565">
        <v>43616</v>
      </c>
      <c r="M361" s="557"/>
      <c r="N361" s="557"/>
      <c r="O361" s="557"/>
      <c r="P361" s="557"/>
      <c r="Q361" s="556"/>
      <c r="R361" s="557"/>
      <c r="S361" s="557"/>
      <c r="T361" s="557"/>
      <c r="U361" s="557"/>
      <c r="V361" s="557"/>
      <c r="W361" s="557"/>
      <c r="X361" s="557"/>
      <c r="Y361" s="557"/>
      <c r="Z361" s="557"/>
      <c r="AA361" s="557"/>
      <c r="AB361" s="557"/>
      <c r="AC361" s="557"/>
      <c r="AD361" s="557"/>
      <c r="AE361" s="557">
        <v>1</v>
      </c>
      <c r="AF361" s="557"/>
      <c r="AG361" s="557"/>
      <c r="AH361" s="557"/>
      <c r="AI361" s="557"/>
      <c r="AJ361" s="557"/>
      <c r="AK361" s="557"/>
      <c r="AL361" s="557"/>
      <c r="AM361" s="557"/>
      <c r="AN361" s="557"/>
      <c r="AO361" s="586" t="s">
        <v>2954</v>
      </c>
      <c r="AP361" s="557"/>
      <c r="AQ361" s="557"/>
      <c r="AR361" s="559"/>
      <c r="AS361" s="557"/>
      <c r="AT361" s="557"/>
      <c r="AU361" s="557"/>
      <c r="AV361" s="557"/>
      <c r="AW361" s="557"/>
      <c r="AX361" s="554"/>
      <c r="AY361" s="563"/>
      <c r="AZ361" s="557"/>
      <c r="BA361" s="557"/>
      <c r="BB361" s="557"/>
      <c r="BC361" s="554"/>
      <c r="BD361" s="557"/>
      <c r="BE361" s="557"/>
      <c r="BF361" s="557"/>
      <c r="BG361" s="557"/>
      <c r="BH361" s="557"/>
      <c r="BI361" s="557"/>
      <c r="BJ361" s="557"/>
      <c r="BK361" s="557"/>
      <c r="BL361" s="557"/>
      <c r="BM361" s="554"/>
      <c r="BN361" s="558"/>
      <c r="BO361" s="559"/>
      <c r="BP361" s="554"/>
      <c r="BQ361" s="560" t="str">
        <f>IFERROR(WWWW[[#This Row],['#_Water sources treated]]/WWWW[[#This Row],['#_Water sources tested for contamination]],"no test")</f>
        <v>no test</v>
      </c>
      <c r="BR361" s="559" t="str">
        <f>IFERROR(WWWW[[#This Row],['#_Household received remediation action due to contamination]]/WWWW[[#This Row],['#_Household water samples tested for contamination]],"no test")</f>
        <v>no test</v>
      </c>
      <c r="BS361" s="558" t="str">
        <f>IF(AND(WWWW[[#This Row],[% of water sources treated]]="no test",WWWW[[#This Row],[% Household received corrective actions]]="no test"),"No Test","Tested")</f>
        <v>No Test</v>
      </c>
      <c r="BT361" s="558">
        <f>WWWW[[#This Row],['#_Constructed/existing protected hand dug well]]-WWWW[[#This Row],['#_Non-functional protected hand dug well]]</f>
        <v>0</v>
      </c>
      <c r="BU361" s="558">
        <f>(WWWW[[#This Row],['#_Constructed/Existing tube wells/boreholes/handpumps_WASH_agency]]+WWWW[[#This Row],['#_Non-Cluster partner water tube-wells/boreholes/handpumps]])-WWWW[[#This Row],['#_Non-functional tube wells/boreholes/handpumps]]</f>
        <v>0</v>
      </c>
      <c r="BV361" s="558">
        <f>WWWW[[#This Row],['#_Constructed/Existingwater storage tank with gravity fed reticulation system]]-WWWW[[#This Row],['#_Non-functional storage tank gravity fed reticulation system]]</f>
        <v>0</v>
      </c>
      <c r="BW361" s="558">
        <f>WWWW[[#This Row],['#_Water boating or water trucking]]</f>
        <v>0</v>
      </c>
      <c r="BX361" s="558">
        <f>WWWW[[#This Row],['#_Constructed/Existing water distribution system from river or natural spring]]</f>
        <v>0</v>
      </c>
      <c r="BY36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1" s="559">
        <f>IF(WWWW[[#This Row],[Location Type 1]]="Village",WWWW[[#This Row],[Access to safe drinking water for Village]],WWWW[[#This Row],[Access to safe drinking water for Camp]])</f>
        <v>0</v>
      </c>
      <c r="CB361" s="556">
        <f>WWWW[[#This Row],[%Equitable and continuous access to sufficient quantity of safe drinking water]]*WWWW[[#This Row],[Total PoP ]]</f>
        <v>0</v>
      </c>
      <c r="CC361" s="559">
        <f>IF((WWWW[[#This Row],['#_Constructed/Existing protected/fenced ponds]]*250)/WWWW[[#This Row],[Total PoP ]]&gt;1,1,(WWWW[[#This Row],['#_Constructed/Existing protected/fenced ponds]]*250)/WWWW[[#This Row],[Total PoP ]])</f>
        <v>0.62972292191435764</v>
      </c>
      <c r="CD361" s="556">
        <f>WWWW[[#This Row],[% Access to unimproved water points]]*WWWW[[#This Row],[Total PoP ]]</f>
        <v>249.99999999999997</v>
      </c>
      <c r="CE36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0.62972292191435764</v>
      </c>
      <c r="CF36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249.99999999999997</v>
      </c>
      <c r="CG361" s="556">
        <f>WWWW[[#This Row],[HRP1]]/500</f>
        <v>0.49999999999999994</v>
      </c>
      <c r="CH361" s="561">
        <f>1-WWWW[[#This Row],[% Equitable and continuous access to sufficient quantity of domestic water]]</f>
        <v>0.37027707808564236</v>
      </c>
      <c r="CI361" s="556">
        <f>WWWW[[#This Row],[%equitable and continuous access to sufficient quantity of safe drinking and domestic water''s GAP]]*WWWW[[#This Row],[Total PoP ]]</f>
        <v>147.00000000000003</v>
      </c>
      <c r="CJ361" s="558">
        <f>IF(WWWW[[#This Row],[Total required water points]]-WWWW[[#This Row],['#Water points coverage]]&lt;0,0,WWWW[[#This Row],[Total required water points]]-WWWW[[#This Row],['#Water points coverage]])</f>
        <v>0.5</v>
      </c>
      <c r="CK361" s="558">
        <f>ROUND(IF(WWWW[[#This Row],[Total PoP ]]&lt;500,1,WWWW[[#This Row],[Total PoP ]]/500),0)</f>
        <v>1</v>
      </c>
      <c r="CL361" s="558">
        <f>(WWWW[[#This Row],['#_Constructed latrines_by_WASHAgencies]]+WWWW[[#This Row],['#_Non Cluster partner latrines]])-WWWW[[#This Row],['#_Non-functional latrines]]</f>
        <v>0</v>
      </c>
      <c r="CM36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1" s="558" t="str">
        <f>IF(WWWW[[#This Row],[Location Type 1]]="Village","NA",IF(WWWW[[#This Row],['#_Constructed/Existing latrines in TLS]]*50&gt;WWWW[[#This Row],['#_students at TLS_CFS]],WWWW[[#This Row],['#_students at TLS_CFS]],(WWWW[[#This Row],['#_Constructed/Existing latrines in TLS]]*50)))</f>
        <v>NA</v>
      </c>
      <c r="CQ361" s="558">
        <f>ROUND(IF(WWWW[[#This Row],[Location Type 1]]="camp",WWWW[[#This Row],[Total PoP ]]/20,IF(WWWW[[#This Row],[Location Type 1]]="Temporary Location",WWWW[[#This Row],[Total PoP ]]/50,(WWWW[[#This Row],[Total PoP ]]/6))),0)</f>
        <v>66</v>
      </c>
      <c r="CR361" s="558">
        <f>IF(WWWW[[#This Row],[Total required Latrines]]-(WWWW[[#This Row],['#_Constructed latrines_by_WASHAgencies]]+WWWW[[#This Row],['#_Non Cluster partner latrines]])&lt;0,0,WWWW[[#This Row],[Total required Latrines]]-(WWWW[[#This Row],['#_Constructed latrines_by_WASHAgencies]]+WWWW[[#This Row],['#_Non Cluster partner latrines]]))</f>
        <v>66</v>
      </c>
      <c r="CS361" s="78">
        <f>1-WWWW[[#This Row],[% people access to functioning Latrine]]</f>
        <v>1</v>
      </c>
      <c r="CT361" s="560">
        <f>IF(OR(WWWW[[#This Row],['#_Non-functional latrines]]="",WWWW[[#This Row],['#_Non-functional latrines]]=0),0,WWWW[[#This Row],['#_Non-functional latrines]]/(WWWW[[#This Row],['#_Constructed latrines_by_WASHAgencies]]+WWWW[[#This Row],['#_Non Cluster partner latrines]]))</f>
        <v>0</v>
      </c>
      <c r="CU361" s="556">
        <f>IF(500*(WWWW[[#This Row],['#_male hygiene promoters]]+WWWW[[#This Row],['#_female hygiene promoters]])&gt;WWWW[[#This Row],[Total PoP ]],WWWW[[#This Row],[Total PoP ]],500*(WWWW[[#This Row],['#_male hygiene promoters]]+WWWW[[#This Row],['#_female hygiene promoters]]))</f>
        <v>0</v>
      </c>
      <c r="CV36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1" s="558">
        <f>IF(WWWW[[#This Row],['# People with access to soap]]&gt;WWWW[[#This Row],['# People with access to Sanity Pads]],WWWW[[#This Row],['# People with access to soap]],WWWW[[#This Row],['# People with access to Sanity Pads]])</f>
        <v>0</v>
      </c>
      <c r="CY36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1" s="561">
        <f>IF(WWWW[[#This Row],[HRP3]]/WWWW[[#This Row],[Total PoP ]]&gt;100%,100%,WWWW[[#This Row],[HRP3]]/WWWW[[#This Row],[Total PoP ]])</f>
        <v>0</v>
      </c>
      <c r="DA361" s="560">
        <f>1-WWWW[[#This Row],[Hygiene Coverage%]]</f>
        <v>1</v>
      </c>
      <c r="DB361" s="559">
        <f>WWWW[[#This Row],['# people reached by regular dedicated hygiene promotion_5]]/WWWW[[#This Row],[Total PoP ]]</f>
        <v>0</v>
      </c>
      <c r="DC361" s="559">
        <f>IF(WWWW[[#This Row],['#_households that received standard amount of soap for this quarter]]/WWWW[[#This Row],[Total HH]]&gt;1,1,WWWW[[#This Row],['#_households that received standard amount of soap for this quarter]]/WWWW[[#This Row],[Total HH]])</f>
        <v>0</v>
      </c>
      <c r="DD361" s="559">
        <f>IF(WWWW[[#This Row],['#_households that received standard amount of sanitary pads for this quarter]]/WWWW[[#This Row],[Total HH]]&gt;1,1,WWWW[[#This Row],['#_households that received standard amount of sanitary pads for this quarter]]/WWWW[[#This Row],[Total HH]])</f>
        <v>0</v>
      </c>
      <c r="DE361" s="558">
        <f>WWWW[[#This Row],['#_Constructed/Existing hand washing stations]]-WWWW[[#This Row],['#_Non-Functional_hand_washing_stations]]</f>
        <v>0</v>
      </c>
      <c r="DF361" s="757">
        <f>IF(WWWW[[#This Row],['# Functional hand washing stations during reporting period]]*20&gt;WWWW[[#This Row],[Total HH]],WWWW[[#This Row],[Total HH]],WWWW[[#This Row],['# Functional hand washing stations during reporting period]]*20)</f>
        <v>0</v>
      </c>
      <c r="DG361" s="556">
        <f>IF(WWWW[[#This Row],[Is sufficient soap available for TLS? (Yes/No)]]="yes",WWWW[[#This Row],['#_Constructed/Existing hand washing stations at TLS]],0)</f>
        <v>0</v>
      </c>
      <c r="DH361" s="556">
        <f>IF(WWWW[[#This Row],['# Functional hand washing stations during reporting period]]*100&gt;WWWW[[#This Row],[Total PoP ]],WWWW[[#This Row],[Total PoP ]],WWWW[[#This Row],['# Functional hand washing stations during reporting period]]*100)</f>
        <v>0</v>
      </c>
      <c r="DI361" s="556" t="str">
        <f>IF(OR(WWWW[[#This Row],['#_students at TLS_CFS]]="",WWWW[[#This Row],['#_students at TLS_CFS]]=0),"No","Yes")</f>
        <v>No</v>
      </c>
      <c r="DJ361" s="554">
        <f>VLOOKUP(WWWW[[#This Row],[Site Name]],SiteDB6[[Site Name]:[CCCM Management]],6,FALSE)</f>
        <v>0</v>
      </c>
      <c r="DK361" s="554">
        <f>VLOOKUP(WWWW[[#This Row],[Site Name]],SiteDB6[[Site Name]:[CCCM Focal Agency]],7,FALSE)</f>
        <v>0</v>
      </c>
      <c r="DL361" s="554" t="str">
        <f>VLOOKUP(WWWW[[#This Row],[Site Name]],SiteDB6[[Site Name]:[Location Type 1]],9,FALSE)</f>
        <v>Village</v>
      </c>
      <c r="DM361" s="554" t="str">
        <f>VLOOKUP(WWWW[[#This Row],[Site Name]],SiteDB6[[Site Name]:[Type of Accommodation]],10,FALSE)</f>
        <v>Village_Not HRP</v>
      </c>
      <c r="DN361" s="554" t="str">
        <f>VLOOKUP(WWWW[[#This Row],[Site Name]],SiteDB6[[Site Name]:[Ethnic or GCA/NGCA]],11,FALSE)</f>
        <v>Mro</v>
      </c>
      <c r="DO361" s="554">
        <f>VLOOKUP(WWWW[[#This Row],[Site Name]],SiteDB6[[Site Name]:[Lat]],12,FALSE)</f>
        <v>20.851089479999999</v>
      </c>
      <c r="DP361" s="554">
        <f>VLOOKUP(WWWW[[#This Row],[Site Name]],SiteDB6[[Site Name]:[Long]],13,FALSE)</f>
        <v>92.916893009999995</v>
      </c>
      <c r="DQ361" s="554">
        <f>VLOOKUP(WWWW[[#This Row],[Site Name]],SiteDB6[[Site Name]:[Pcode]],3,FALSE)</f>
        <v>196825</v>
      </c>
      <c r="DR361" s="563" t="str">
        <f t="shared" si="12"/>
        <v>Covered</v>
      </c>
      <c r="DS361" s="563"/>
    </row>
    <row r="362" spans="1:123">
      <c r="A362" s="552" t="s">
        <v>2518</v>
      </c>
      <c r="B362" s="552" t="s">
        <v>336</v>
      </c>
      <c r="C362" s="555" t="s">
        <v>336</v>
      </c>
      <c r="D362" s="555" t="s">
        <v>352</v>
      </c>
      <c r="E362" s="574" t="s">
        <v>3006</v>
      </c>
      <c r="F362" s="555" t="s">
        <v>320</v>
      </c>
      <c r="G362" s="574" t="str">
        <f>VLOOKUP(WWWW[[#This Row],[Site Name]],SiteDB6[[Site Name]:[Location Type]],8,FALSE)</f>
        <v>Village_Not HRP</v>
      </c>
      <c r="H362" s="555" t="s">
        <v>712</v>
      </c>
      <c r="I362" s="557">
        <v>138</v>
      </c>
      <c r="J362" s="557">
        <v>609</v>
      </c>
      <c r="K362" s="564">
        <v>42887</v>
      </c>
      <c r="L362" s="565">
        <v>43616</v>
      </c>
      <c r="M362" s="557"/>
      <c r="N362" s="557"/>
      <c r="O362" s="557"/>
      <c r="P362" s="557"/>
      <c r="Q362" s="556"/>
      <c r="R362" s="557"/>
      <c r="S362" s="557"/>
      <c r="T362" s="557"/>
      <c r="U362" s="557"/>
      <c r="V362" s="557"/>
      <c r="W362" s="557"/>
      <c r="X362" s="557"/>
      <c r="Y362" s="557"/>
      <c r="Z362" s="557"/>
      <c r="AA362" s="557"/>
      <c r="AB362" s="557"/>
      <c r="AC362" s="557"/>
      <c r="AD362" s="557"/>
      <c r="AE362" s="557">
        <v>3</v>
      </c>
      <c r="AF362" s="557"/>
      <c r="AG362" s="557"/>
      <c r="AH362" s="557"/>
      <c r="AI362" s="557"/>
      <c r="AJ362" s="557"/>
      <c r="AK362" s="557"/>
      <c r="AL362" s="557"/>
      <c r="AM362" s="557"/>
      <c r="AN362" s="557"/>
      <c r="AO362" s="586" t="s">
        <v>2954</v>
      </c>
      <c r="AP362" s="557"/>
      <c r="AQ362" s="557"/>
      <c r="AR362" s="559"/>
      <c r="AS362" s="557"/>
      <c r="AT362" s="557"/>
      <c r="AU362" s="557"/>
      <c r="AV362" s="557"/>
      <c r="AW362" s="557"/>
      <c r="AX362" s="554"/>
      <c r="AY362" s="563"/>
      <c r="AZ362" s="557"/>
      <c r="BA362" s="557"/>
      <c r="BB362" s="557"/>
      <c r="BC362" s="554"/>
      <c r="BD362" s="557"/>
      <c r="BE362" s="557"/>
      <c r="BF362" s="557"/>
      <c r="BG362" s="557"/>
      <c r="BH362" s="557"/>
      <c r="BI362" s="557"/>
      <c r="BJ362" s="557"/>
      <c r="BK362" s="557"/>
      <c r="BL362" s="557"/>
      <c r="BM362" s="554"/>
      <c r="BN362" s="558"/>
      <c r="BO362" s="559"/>
      <c r="BP362" s="554"/>
      <c r="BQ362" s="560" t="str">
        <f>IFERROR(WWWW[[#This Row],['#_Water sources treated]]/WWWW[[#This Row],['#_Water sources tested for contamination]],"no test")</f>
        <v>no test</v>
      </c>
      <c r="BR362" s="559" t="str">
        <f>IFERROR(WWWW[[#This Row],['#_Household received remediation action due to contamination]]/WWWW[[#This Row],['#_Household water samples tested for contamination]],"no test")</f>
        <v>no test</v>
      </c>
      <c r="BS362" s="558" t="str">
        <f>IF(AND(WWWW[[#This Row],[% of water sources treated]]="no test",WWWW[[#This Row],[% Household received corrective actions]]="no test"),"No Test","Tested")</f>
        <v>No Test</v>
      </c>
      <c r="BT362" s="558">
        <f>WWWW[[#This Row],['#_Constructed/existing protected hand dug well]]-WWWW[[#This Row],['#_Non-functional protected hand dug well]]</f>
        <v>0</v>
      </c>
      <c r="BU362" s="558">
        <f>(WWWW[[#This Row],['#_Constructed/Existing tube wells/boreholes/handpumps_WASH_agency]]+WWWW[[#This Row],['#_Non-Cluster partner water tube-wells/boreholes/handpumps]])-WWWW[[#This Row],['#_Non-functional tube wells/boreholes/handpumps]]</f>
        <v>0</v>
      </c>
      <c r="BV362" s="558">
        <f>WWWW[[#This Row],['#_Constructed/Existingwater storage tank with gravity fed reticulation system]]-WWWW[[#This Row],['#_Non-functional storage tank gravity fed reticulation system]]</f>
        <v>0</v>
      </c>
      <c r="BW362" s="558">
        <f>WWWW[[#This Row],['#_Water boating or water trucking]]</f>
        <v>0</v>
      </c>
      <c r="BX362" s="558">
        <f>WWWW[[#This Row],['#_Constructed/Existing water distribution system from river or natural spring]]</f>
        <v>0</v>
      </c>
      <c r="BY36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2" s="559">
        <f>IF(WWWW[[#This Row],[Location Type 1]]="Village",WWWW[[#This Row],[Access to safe drinking water for Village]],WWWW[[#This Row],[Access to safe drinking water for Camp]])</f>
        <v>0</v>
      </c>
      <c r="CB362" s="556">
        <f>WWWW[[#This Row],[%Equitable and continuous access to sufficient quantity of safe drinking water]]*WWWW[[#This Row],[Total PoP ]]</f>
        <v>0</v>
      </c>
      <c r="CC362" s="559">
        <f>IF((WWWW[[#This Row],['#_Constructed/Existing protected/fenced ponds]]*250)/WWWW[[#This Row],[Total PoP ]]&gt;1,1,(WWWW[[#This Row],['#_Constructed/Existing protected/fenced ponds]]*250)/WWWW[[#This Row],[Total PoP ]])</f>
        <v>1</v>
      </c>
      <c r="CD362" s="556">
        <f>WWWW[[#This Row],[% Access to unimproved water points]]*WWWW[[#This Row],[Total PoP ]]</f>
        <v>609</v>
      </c>
      <c r="CE36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609</v>
      </c>
      <c r="CG362" s="556">
        <f>WWWW[[#This Row],[HRP1]]/500</f>
        <v>1.218</v>
      </c>
      <c r="CH362" s="561">
        <f>1-WWWW[[#This Row],[% Equitable and continuous access to sufficient quantity of domestic water]]</f>
        <v>0</v>
      </c>
      <c r="CI362" s="556">
        <f>WWWW[[#This Row],[%equitable and continuous access to sufficient quantity of safe drinking and domestic water''s GAP]]*WWWW[[#This Row],[Total PoP ]]</f>
        <v>0</v>
      </c>
      <c r="CJ362" s="558">
        <f>IF(WWWW[[#This Row],[Total required water points]]-WWWW[[#This Row],['#Water points coverage]]&lt;0,0,WWWW[[#This Row],[Total required water points]]-WWWW[[#This Row],['#Water points coverage]])</f>
        <v>0</v>
      </c>
      <c r="CK362" s="558">
        <f>ROUND(IF(WWWW[[#This Row],[Total PoP ]]&lt;500,1,WWWW[[#This Row],[Total PoP ]]/500),0)</f>
        <v>1</v>
      </c>
      <c r="CL362" s="558">
        <f>(WWWW[[#This Row],['#_Constructed latrines_by_WASHAgencies]]+WWWW[[#This Row],['#_Non Cluster partner latrines]])-WWWW[[#This Row],['#_Non-functional latrines]]</f>
        <v>0</v>
      </c>
      <c r="CM36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2" s="558" t="str">
        <f>IF(WWWW[[#This Row],[Location Type 1]]="Village","NA",IF(WWWW[[#This Row],['#_Constructed/Existing latrines in TLS]]*50&gt;WWWW[[#This Row],['#_students at TLS_CFS]],WWWW[[#This Row],['#_students at TLS_CFS]],(WWWW[[#This Row],['#_Constructed/Existing latrines in TLS]]*50)))</f>
        <v>NA</v>
      </c>
      <c r="CQ362" s="558">
        <f>ROUND(IF(WWWW[[#This Row],[Location Type 1]]="camp",WWWW[[#This Row],[Total PoP ]]/20,IF(WWWW[[#This Row],[Location Type 1]]="Temporary Location",WWWW[[#This Row],[Total PoP ]]/50,(WWWW[[#This Row],[Total PoP ]]/6))),0)</f>
        <v>102</v>
      </c>
      <c r="CR362" s="558">
        <f>IF(WWWW[[#This Row],[Total required Latrines]]-(WWWW[[#This Row],['#_Constructed latrines_by_WASHAgencies]]+WWWW[[#This Row],['#_Non Cluster partner latrines]])&lt;0,0,WWWW[[#This Row],[Total required Latrines]]-(WWWW[[#This Row],['#_Constructed latrines_by_WASHAgencies]]+WWWW[[#This Row],['#_Non Cluster partner latrines]]))</f>
        <v>102</v>
      </c>
      <c r="CS362" s="78">
        <f>1-WWWW[[#This Row],[% people access to functioning Latrine]]</f>
        <v>1</v>
      </c>
      <c r="CT362" s="560">
        <f>IF(OR(WWWW[[#This Row],['#_Non-functional latrines]]="",WWWW[[#This Row],['#_Non-functional latrines]]=0),0,WWWW[[#This Row],['#_Non-functional latrines]]/(WWWW[[#This Row],['#_Constructed latrines_by_WASHAgencies]]+WWWW[[#This Row],['#_Non Cluster partner latrines]]))</f>
        <v>0</v>
      </c>
      <c r="CU362" s="556">
        <f>IF(500*(WWWW[[#This Row],['#_male hygiene promoters]]+WWWW[[#This Row],['#_female hygiene promoters]])&gt;WWWW[[#This Row],[Total PoP ]],WWWW[[#This Row],[Total PoP ]],500*(WWWW[[#This Row],['#_male hygiene promoters]]+WWWW[[#This Row],['#_female hygiene promoters]]))</f>
        <v>0</v>
      </c>
      <c r="CV36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2" s="558">
        <f>IF(WWWW[[#This Row],['# People with access to soap]]&gt;WWWW[[#This Row],['# People with access to Sanity Pads]],WWWW[[#This Row],['# People with access to soap]],WWWW[[#This Row],['# People with access to Sanity Pads]])</f>
        <v>0</v>
      </c>
      <c r="CY36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2" s="561">
        <f>IF(WWWW[[#This Row],[HRP3]]/WWWW[[#This Row],[Total PoP ]]&gt;100%,100%,WWWW[[#This Row],[HRP3]]/WWWW[[#This Row],[Total PoP ]])</f>
        <v>0</v>
      </c>
      <c r="DA362" s="560">
        <f>1-WWWW[[#This Row],[Hygiene Coverage%]]</f>
        <v>1</v>
      </c>
      <c r="DB362" s="559">
        <f>WWWW[[#This Row],['# people reached by regular dedicated hygiene promotion_5]]/WWWW[[#This Row],[Total PoP ]]</f>
        <v>0</v>
      </c>
      <c r="DC362" s="559">
        <f>IF(WWWW[[#This Row],['#_households that received standard amount of soap for this quarter]]/WWWW[[#This Row],[Total HH]]&gt;1,1,WWWW[[#This Row],['#_households that received standard amount of soap for this quarter]]/WWWW[[#This Row],[Total HH]])</f>
        <v>0</v>
      </c>
      <c r="DD362" s="559">
        <f>IF(WWWW[[#This Row],['#_households that received standard amount of sanitary pads for this quarter]]/WWWW[[#This Row],[Total HH]]&gt;1,1,WWWW[[#This Row],['#_households that received standard amount of sanitary pads for this quarter]]/WWWW[[#This Row],[Total HH]])</f>
        <v>0</v>
      </c>
      <c r="DE362" s="558">
        <f>WWWW[[#This Row],['#_Constructed/Existing hand washing stations]]-WWWW[[#This Row],['#_Non-Functional_hand_washing_stations]]</f>
        <v>0</v>
      </c>
      <c r="DF362" s="757">
        <f>IF(WWWW[[#This Row],['# Functional hand washing stations during reporting period]]*20&gt;WWWW[[#This Row],[Total HH]],WWWW[[#This Row],[Total HH]],WWWW[[#This Row],['# Functional hand washing stations during reporting period]]*20)</f>
        <v>0</v>
      </c>
      <c r="DG362" s="556">
        <f>IF(WWWW[[#This Row],[Is sufficient soap available for TLS? (Yes/No)]]="yes",WWWW[[#This Row],['#_Constructed/Existing hand washing stations at TLS]],0)</f>
        <v>0</v>
      </c>
      <c r="DH362" s="556">
        <f>IF(WWWW[[#This Row],['# Functional hand washing stations during reporting period]]*100&gt;WWWW[[#This Row],[Total PoP ]],WWWW[[#This Row],[Total PoP ]],WWWW[[#This Row],['# Functional hand washing stations during reporting period]]*100)</f>
        <v>0</v>
      </c>
      <c r="DI362" s="556" t="str">
        <f>IF(OR(WWWW[[#This Row],['#_students at TLS_CFS]]="",WWWW[[#This Row],['#_students at TLS_CFS]]=0),"No","Yes")</f>
        <v>No</v>
      </c>
      <c r="DJ362" s="554">
        <f>VLOOKUP(WWWW[[#This Row],[Site Name]],SiteDB6[[Site Name]:[CCCM Management]],6,FALSE)</f>
        <v>0</v>
      </c>
      <c r="DK362" s="554">
        <f>VLOOKUP(WWWW[[#This Row],[Site Name]],SiteDB6[[Site Name]:[CCCM Focal Agency]],7,FALSE)</f>
        <v>0</v>
      </c>
      <c r="DL362" s="554" t="str">
        <f>VLOOKUP(WWWW[[#This Row],[Site Name]],SiteDB6[[Site Name]:[Location Type 1]],9,FALSE)</f>
        <v>Village</v>
      </c>
      <c r="DM362" s="554" t="str">
        <f>VLOOKUP(WWWW[[#This Row],[Site Name]],SiteDB6[[Site Name]:[Type of Accommodation]],10,FALSE)</f>
        <v>Village_Not HRP</v>
      </c>
      <c r="DN362" s="554" t="str">
        <f>VLOOKUP(WWWW[[#This Row],[Site Name]],SiteDB6[[Site Name]:[Ethnic or GCA/NGCA]],11,FALSE)</f>
        <v>Rakhine</v>
      </c>
      <c r="DO362" s="554">
        <f>VLOOKUP(WWWW[[#This Row],[Site Name]],SiteDB6[[Site Name]:[Lat]],12,FALSE)</f>
        <v>20.67705917</v>
      </c>
      <c r="DP362" s="554">
        <f>VLOOKUP(WWWW[[#This Row],[Site Name]],SiteDB6[[Site Name]:[Long]],13,FALSE)</f>
        <v>92.953247070000003</v>
      </c>
      <c r="DQ362" s="554">
        <f>VLOOKUP(WWWW[[#This Row],[Site Name]],SiteDB6[[Site Name]:[Pcode]],3,FALSE)</f>
        <v>196929</v>
      </c>
      <c r="DR362" s="563" t="str">
        <f t="shared" si="12"/>
        <v>Covered</v>
      </c>
      <c r="DS362" s="563"/>
    </row>
    <row r="363" spans="1:123">
      <c r="A363" s="552" t="s">
        <v>2518</v>
      </c>
      <c r="B363" s="552" t="s">
        <v>336</v>
      </c>
      <c r="C363" s="555" t="s">
        <v>336</v>
      </c>
      <c r="D363" s="555" t="s">
        <v>352</v>
      </c>
      <c r="E363" s="574" t="s">
        <v>3006</v>
      </c>
      <c r="F363" s="555" t="s">
        <v>320</v>
      </c>
      <c r="G363" s="574" t="str">
        <f>VLOOKUP(WWWW[[#This Row],[Site Name]],SiteDB6[[Site Name]:[Location Type]],8,FALSE)</f>
        <v>Village_Not HRP</v>
      </c>
      <c r="H363" s="555" t="s">
        <v>554</v>
      </c>
      <c r="I363" s="557">
        <v>76</v>
      </c>
      <c r="J363" s="557">
        <v>394</v>
      </c>
      <c r="K363" s="564">
        <v>42887</v>
      </c>
      <c r="L363" s="565">
        <v>43616</v>
      </c>
      <c r="M363" s="557"/>
      <c r="N363" s="557"/>
      <c r="O363" s="557"/>
      <c r="P363" s="557"/>
      <c r="Q363" s="556"/>
      <c r="R363" s="557"/>
      <c r="S363" s="557"/>
      <c r="T363" s="557"/>
      <c r="U363" s="557"/>
      <c r="V363" s="557"/>
      <c r="W363" s="557"/>
      <c r="X363" s="557"/>
      <c r="Y363" s="557"/>
      <c r="Z363" s="557"/>
      <c r="AA363" s="557"/>
      <c r="AB363" s="557"/>
      <c r="AC363" s="557"/>
      <c r="AD363" s="557"/>
      <c r="AE363" s="557">
        <v>2</v>
      </c>
      <c r="AF363" s="557"/>
      <c r="AG363" s="557"/>
      <c r="AH363" s="557"/>
      <c r="AI363" s="557"/>
      <c r="AJ363" s="557"/>
      <c r="AK363" s="557"/>
      <c r="AL363" s="557"/>
      <c r="AM363" s="557"/>
      <c r="AN363" s="557"/>
      <c r="AO363" s="586" t="s">
        <v>2954</v>
      </c>
      <c r="AP363" s="557"/>
      <c r="AQ363" s="557"/>
      <c r="AR363" s="559"/>
      <c r="AS363" s="557"/>
      <c r="AT363" s="557"/>
      <c r="AU363" s="557"/>
      <c r="AV363" s="557"/>
      <c r="AW363" s="557"/>
      <c r="AX363" s="554"/>
      <c r="AY363" s="563"/>
      <c r="AZ363" s="557"/>
      <c r="BA363" s="557"/>
      <c r="BB363" s="557"/>
      <c r="BC363" s="554"/>
      <c r="BD363" s="557"/>
      <c r="BE363" s="557"/>
      <c r="BF363" s="557"/>
      <c r="BG363" s="557"/>
      <c r="BH363" s="557"/>
      <c r="BI363" s="557"/>
      <c r="BJ363" s="557"/>
      <c r="BK363" s="557"/>
      <c r="BL363" s="557"/>
      <c r="BM363" s="554"/>
      <c r="BN363" s="558"/>
      <c r="BO363" s="559"/>
      <c r="BP363" s="554"/>
      <c r="BQ363" s="560" t="str">
        <f>IFERROR(WWWW[[#This Row],['#_Water sources treated]]/WWWW[[#This Row],['#_Water sources tested for contamination]],"no test")</f>
        <v>no test</v>
      </c>
      <c r="BR363" s="559" t="str">
        <f>IFERROR(WWWW[[#This Row],['#_Household received remediation action due to contamination]]/WWWW[[#This Row],['#_Household water samples tested for contamination]],"no test")</f>
        <v>no test</v>
      </c>
      <c r="BS363" s="558" t="str">
        <f>IF(AND(WWWW[[#This Row],[% of water sources treated]]="no test",WWWW[[#This Row],[% Household received corrective actions]]="no test"),"No Test","Tested")</f>
        <v>No Test</v>
      </c>
      <c r="BT363" s="558">
        <f>WWWW[[#This Row],['#_Constructed/existing protected hand dug well]]-WWWW[[#This Row],['#_Non-functional protected hand dug well]]</f>
        <v>0</v>
      </c>
      <c r="BU363" s="558">
        <f>(WWWW[[#This Row],['#_Constructed/Existing tube wells/boreholes/handpumps_WASH_agency]]+WWWW[[#This Row],['#_Non-Cluster partner water tube-wells/boreholes/handpumps]])-WWWW[[#This Row],['#_Non-functional tube wells/boreholes/handpumps]]</f>
        <v>0</v>
      </c>
      <c r="BV363" s="558">
        <f>WWWW[[#This Row],['#_Constructed/Existingwater storage tank with gravity fed reticulation system]]-WWWW[[#This Row],['#_Non-functional storage tank gravity fed reticulation system]]</f>
        <v>0</v>
      </c>
      <c r="BW363" s="558">
        <f>WWWW[[#This Row],['#_Water boating or water trucking]]</f>
        <v>0</v>
      </c>
      <c r="BX363" s="558">
        <f>WWWW[[#This Row],['#_Constructed/Existing water distribution system from river or natural spring]]</f>
        <v>0</v>
      </c>
      <c r="BY36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3" s="559">
        <f>IF(WWWW[[#This Row],[Location Type 1]]="Village",WWWW[[#This Row],[Access to safe drinking water for Village]],WWWW[[#This Row],[Access to safe drinking water for Camp]])</f>
        <v>0</v>
      </c>
      <c r="CB363" s="556">
        <f>WWWW[[#This Row],[%Equitable and continuous access to sufficient quantity of safe drinking water]]*WWWW[[#This Row],[Total PoP ]]</f>
        <v>0</v>
      </c>
      <c r="CC363" s="559">
        <f>IF((WWWW[[#This Row],['#_Constructed/Existing protected/fenced ponds]]*250)/WWWW[[#This Row],[Total PoP ]]&gt;1,1,(WWWW[[#This Row],['#_Constructed/Existing protected/fenced ponds]]*250)/WWWW[[#This Row],[Total PoP ]])</f>
        <v>1</v>
      </c>
      <c r="CD363" s="556">
        <f>WWWW[[#This Row],[% Access to unimproved water points]]*WWWW[[#This Row],[Total PoP ]]</f>
        <v>394</v>
      </c>
      <c r="CE36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v>
      </c>
      <c r="CG363" s="556">
        <f>WWWW[[#This Row],[HRP1]]/500</f>
        <v>0.78800000000000003</v>
      </c>
      <c r="CH363" s="561">
        <f>1-WWWW[[#This Row],[% Equitable and continuous access to sufficient quantity of domestic water]]</f>
        <v>0</v>
      </c>
      <c r="CI363" s="556">
        <f>WWWW[[#This Row],[%equitable and continuous access to sufficient quantity of safe drinking and domestic water''s GAP]]*WWWW[[#This Row],[Total PoP ]]</f>
        <v>0</v>
      </c>
      <c r="CJ363" s="558">
        <f>IF(WWWW[[#This Row],[Total required water points]]-WWWW[[#This Row],['#Water points coverage]]&lt;0,0,WWWW[[#This Row],[Total required water points]]-WWWW[[#This Row],['#Water points coverage]])</f>
        <v>0.21199999999999997</v>
      </c>
      <c r="CK363" s="558">
        <f>ROUND(IF(WWWW[[#This Row],[Total PoP ]]&lt;500,1,WWWW[[#This Row],[Total PoP ]]/500),0)</f>
        <v>1</v>
      </c>
      <c r="CL363" s="558">
        <f>(WWWW[[#This Row],['#_Constructed latrines_by_WASHAgencies]]+WWWW[[#This Row],['#_Non Cluster partner latrines]])-WWWW[[#This Row],['#_Non-functional latrines]]</f>
        <v>0</v>
      </c>
      <c r="CM36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3" s="558" t="str">
        <f>IF(WWWW[[#This Row],[Location Type 1]]="Village","NA",IF(WWWW[[#This Row],['#_Constructed/Existing latrines in TLS]]*50&gt;WWWW[[#This Row],['#_students at TLS_CFS]],WWWW[[#This Row],['#_students at TLS_CFS]],(WWWW[[#This Row],['#_Constructed/Existing latrines in TLS]]*50)))</f>
        <v>NA</v>
      </c>
      <c r="CQ363" s="558">
        <f>ROUND(IF(WWWW[[#This Row],[Location Type 1]]="camp",WWWW[[#This Row],[Total PoP ]]/20,IF(WWWW[[#This Row],[Location Type 1]]="Temporary Location",WWWW[[#This Row],[Total PoP ]]/50,(WWWW[[#This Row],[Total PoP ]]/6))),0)</f>
        <v>66</v>
      </c>
      <c r="CR363" s="558">
        <f>IF(WWWW[[#This Row],[Total required Latrines]]-(WWWW[[#This Row],['#_Constructed latrines_by_WASHAgencies]]+WWWW[[#This Row],['#_Non Cluster partner latrines]])&lt;0,0,WWWW[[#This Row],[Total required Latrines]]-(WWWW[[#This Row],['#_Constructed latrines_by_WASHAgencies]]+WWWW[[#This Row],['#_Non Cluster partner latrines]]))</f>
        <v>66</v>
      </c>
      <c r="CS363" s="78">
        <f>1-WWWW[[#This Row],[% people access to functioning Latrine]]</f>
        <v>1</v>
      </c>
      <c r="CT363" s="560">
        <f>IF(OR(WWWW[[#This Row],['#_Non-functional latrines]]="",WWWW[[#This Row],['#_Non-functional latrines]]=0),0,WWWW[[#This Row],['#_Non-functional latrines]]/(WWWW[[#This Row],['#_Constructed latrines_by_WASHAgencies]]+WWWW[[#This Row],['#_Non Cluster partner latrines]]))</f>
        <v>0</v>
      </c>
      <c r="CU363" s="556">
        <f>IF(500*(WWWW[[#This Row],['#_male hygiene promoters]]+WWWW[[#This Row],['#_female hygiene promoters]])&gt;WWWW[[#This Row],[Total PoP ]],WWWW[[#This Row],[Total PoP ]],500*(WWWW[[#This Row],['#_male hygiene promoters]]+WWWW[[#This Row],['#_female hygiene promoters]]))</f>
        <v>0</v>
      </c>
      <c r="CV36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3" s="558">
        <f>IF(WWWW[[#This Row],['# People with access to soap]]&gt;WWWW[[#This Row],['# People with access to Sanity Pads]],WWWW[[#This Row],['# People with access to soap]],WWWW[[#This Row],['# People with access to Sanity Pads]])</f>
        <v>0</v>
      </c>
      <c r="CY36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3" s="561">
        <f>IF(WWWW[[#This Row],[HRP3]]/WWWW[[#This Row],[Total PoP ]]&gt;100%,100%,WWWW[[#This Row],[HRP3]]/WWWW[[#This Row],[Total PoP ]])</f>
        <v>0</v>
      </c>
      <c r="DA363" s="560">
        <f>1-WWWW[[#This Row],[Hygiene Coverage%]]</f>
        <v>1</v>
      </c>
      <c r="DB363" s="559">
        <f>WWWW[[#This Row],['# people reached by regular dedicated hygiene promotion_5]]/WWWW[[#This Row],[Total PoP ]]</f>
        <v>0</v>
      </c>
      <c r="DC363" s="559">
        <f>IF(WWWW[[#This Row],['#_households that received standard amount of soap for this quarter]]/WWWW[[#This Row],[Total HH]]&gt;1,1,WWWW[[#This Row],['#_households that received standard amount of soap for this quarter]]/WWWW[[#This Row],[Total HH]])</f>
        <v>0</v>
      </c>
      <c r="DD363" s="559">
        <f>IF(WWWW[[#This Row],['#_households that received standard amount of sanitary pads for this quarter]]/WWWW[[#This Row],[Total HH]]&gt;1,1,WWWW[[#This Row],['#_households that received standard amount of sanitary pads for this quarter]]/WWWW[[#This Row],[Total HH]])</f>
        <v>0</v>
      </c>
      <c r="DE363" s="558">
        <f>WWWW[[#This Row],['#_Constructed/Existing hand washing stations]]-WWWW[[#This Row],['#_Non-Functional_hand_washing_stations]]</f>
        <v>0</v>
      </c>
      <c r="DF363" s="757">
        <f>IF(WWWW[[#This Row],['# Functional hand washing stations during reporting period]]*20&gt;WWWW[[#This Row],[Total HH]],WWWW[[#This Row],[Total HH]],WWWW[[#This Row],['# Functional hand washing stations during reporting period]]*20)</f>
        <v>0</v>
      </c>
      <c r="DG363" s="556">
        <f>IF(WWWW[[#This Row],[Is sufficient soap available for TLS? (Yes/No)]]="yes",WWWW[[#This Row],['#_Constructed/Existing hand washing stations at TLS]],0)</f>
        <v>0</v>
      </c>
      <c r="DH363" s="556">
        <f>IF(WWWW[[#This Row],['# Functional hand washing stations during reporting period]]*100&gt;WWWW[[#This Row],[Total PoP ]],WWWW[[#This Row],[Total PoP ]],WWWW[[#This Row],['# Functional hand washing stations during reporting period]]*100)</f>
        <v>0</v>
      </c>
      <c r="DI363" s="556" t="str">
        <f>IF(OR(WWWW[[#This Row],['#_students at TLS_CFS]]="",WWWW[[#This Row],['#_students at TLS_CFS]]=0),"No","Yes")</f>
        <v>No</v>
      </c>
      <c r="DJ363" s="554">
        <f>VLOOKUP(WWWW[[#This Row],[Site Name]],SiteDB6[[Site Name]:[CCCM Management]],6,FALSE)</f>
        <v>0</v>
      </c>
      <c r="DK363" s="554">
        <f>VLOOKUP(WWWW[[#This Row],[Site Name]],SiteDB6[[Site Name]:[CCCM Focal Agency]],7,FALSE)</f>
        <v>0</v>
      </c>
      <c r="DL363" s="554" t="str">
        <f>VLOOKUP(WWWW[[#This Row],[Site Name]],SiteDB6[[Site Name]:[Location Type 1]],9,FALSE)</f>
        <v>Village</v>
      </c>
      <c r="DM363" s="554" t="str">
        <f>VLOOKUP(WWWW[[#This Row],[Site Name]],SiteDB6[[Site Name]:[Type of Accommodation]],10,FALSE)</f>
        <v>Village_Not HRP</v>
      </c>
      <c r="DN363" s="554" t="str">
        <f>VLOOKUP(WWWW[[#This Row],[Site Name]],SiteDB6[[Site Name]:[Ethnic or GCA/NGCA]],11,FALSE)</f>
        <v>Rakhine, Mro, Khami</v>
      </c>
      <c r="DO363" s="554">
        <f>VLOOKUP(WWWW[[#This Row],[Site Name]],SiteDB6[[Site Name]:[Lat]],12,FALSE)</f>
        <v>20.681715010000001</v>
      </c>
      <c r="DP363" s="554">
        <f>VLOOKUP(WWWW[[#This Row],[Site Name]],SiteDB6[[Site Name]:[Long]],13,FALSE)</f>
        <v>92.94140625</v>
      </c>
      <c r="DQ363" s="554">
        <f>VLOOKUP(WWWW[[#This Row],[Site Name]],SiteDB6[[Site Name]:[Pcode]],3,FALSE)</f>
        <v>196930</v>
      </c>
      <c r="DR363" s="563" t="str">
        <f t="shared" si="12"/>
        <v>Covered</v>
      </c>
      <c r="DS363" s="563"/>
    </row>
    <row r="364" spans="1:123">
      <c r="A364" s="552" t="s">
        <v>2518</v>
      </c>
      <c r="B364" s="552" t="s">
        <v>336</v>
      </c>
      <c r="C364" s="555" t="s">
        <v>336</v>
      </c>
      <c r="D364" s="555" t="s">
        <v>352</v>
      </c>
      <c r="E364" s="574" t="s">
        <v>3006</v>
      </c>
      <c r="F364" s="555" t="s">
        <v>320</v>
      </c>
      <c r="G364" s="574" t="str">
        <f>VLOOKUP(WWWW[[#This Row],[Site Name]],SiteDB6[[Site Name]:[Location Type]],8,FALSE)</f>
        <v>Village_Not HRP</v>
      </c>
      <c r="H364" s="555" t="s">
        <v>709</v>
      </c>
      <c r="I364" s="557">
        <v>185</v>
      </c>
      <c r="J364" s="557">
        <v>915</v>
      </c>
      <c r="K364" s="564">
        <v>42887</v>
      </c>
      <c r="L364" s="565">
        <v>43616</v>
      </c>
      <c r="M364" s="557"/>
      <c r="N364" s="557"/>
      <c r="O364" s="557"/>
      <c r="P364" s="557"/>
      <c r="Q364" s="556"/>
      <c r="R364" s="557"/>
      <c r="S364" s="557"/>
      <c r="T364" s="557"/>
      <c r="U364" s="557"/>
      <c r="V364" s="557"/>
      <c r="W364" s="557"/>
      <c r="X364" s="557"/>
      <c r="Y364" s="557"/>
      <c r="Z364" s="557"/>
      <c r="AA364" s="557"/>
      <c r="AB364" s="557"/>
      <c r="AC364" s="557"/>
      <c r="AD364" s="557"/>
      <c r="AE364" s="557">
        <v>3</v>
      </c>
      <c r="AF364" s="557"/>
      <c r="AG364" s="557"/>
      <c r="AH364" s="557"/>
      <c r="AI364" s="557"/>
      <c r="AJ364" s="557"/>
      <c r="AK364" s="557"/>
      <c r="AL364" s="557"/>
      <c r="AM364" s="557"/>
      <c r="AN364" s="557"/>
      <c r="AO364" s="586" t="s">
        <v>2954</v>
      </c>
      <c r="AP364" s="557"/>
      <c r="AQ364" s="557"/>
      <c r="AR364" s="559"/>
      <c r="AS364" s="557"/>
      <c r="AT364" s="557"/>
      <c r="AU364" s="557"/>
      <c r="AV364" s="557"/>
      <c r="AW364" s="557"/>
      <c r="AX364" s="554"/>
      <c r="AY364" s="563"/>
      <c r="AZ364" s="557"/>
      <c r="BA364" s="557"/>
      <c r="BB364" s="557"/>
      <c r="BC364" s="554"/>
      <c r="BD364" s="557"/>
      <c r="BE364" s="557"/>
      <c r="BF364" s="557"/>
      <c r="BG364" s="557"/>
      <c r="BH364" s="557"/>
      <c r="BI364" s="557"/>
      <c r="BJ364" s="557"/>
      <c r="BK364" s="557"/>
      <c r="BL364" s="557"/>
      <c r="BM364" s="554"/>
      <c r="BN364" s="558"/>
      <c r="BO364" s="559"/>
      <c r="BP364" s="554"/>
      <c r="BQ364" s="560" t="str">
        <f>IFERROR(WWWW[[#This Row],['#_Water sources treated]]/WWWW[[#This Row],['#_Water sources tested for contamination]],"no test")</f>
        <v>no test</v>
      </c>
      <c r="BR364" s="559" t="str">
        <f>IFERROR(WWWW[[#This Row],['#_Household received remediation action due to contamination]]/WWWW[[#This Row],['#_Household water samples tested for contamination]],"no test")</f>
        <v>no test</v>
      </c>
      <c r="BS364" s="558" t="str">
        <f>IF(AND(WWWW[[#This Row],[% of water sources treated]]="no test",WWWW[[#This Row],[% Household received corrective actions]]="no test"),"No Test","Tested")</f>
        <v>No Test</v>
      </c>
      <c r="BT364" s="558">
        <f>WWWW[[#This Row],['#_Constructed/existing protected hand dug well]]-WWWW[[#This Row],['#_Non-functional protected hand dug well]]</f>
        <v>0</v>
      </c>
      <c r="BU364" s="558">
        <f>(WWWW[[#This Row],['#_Constructed/Existing tube wells/boreholes/handpumps_WASH_agency]]+WWWW[[#This Row],['#_Non-Cluster partner water tube-wells/boreholes/handpumps]])-WWWW[[#This Row],['#_Non-functional tube wells/boreholes/handpumps]]</f>
        <v>0</v>
      </c>
      <c r="BV364" s="558">
        <f>WWWW[[#This Row],['#_Constructed/Existingwater storage tank with gravity fed reticulation system]]-WWWW[[#This Row],['#_Non-functional storage tank gravity fed reticulation system]]</f>
        <v>0</v>
      </c>
      <c r="BW364" s="558">
        <f>WWWW[[#This Row],['#_Water boating or water trucking]]</f>
        <v>0</v>
      </c>
      <c r="BX364" s="558">
        <f>WWWW[[#This Row],['#_Constructed/Existing water distribution system from river or natural spring]]</f>
        <v>0</v>
      </c>
      <c r="BY36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4" s="559">
        <f>IF(WWWW[[#This Row],[Location Type 1]]="Village",WWWW[[#This Row],[Access to safe drinking water for Village]],WWWW[[#This Row],[Access to safe drinking water for Camp]])</f>
        <v>0</v>
      </c>
      <c r="CB364" s="556">
        <f>WWWW[[#This Row],[%Equitable and continuous access to sufficient quantity of safe drinking water]]*WWWW[[#This Row],[Total PoP ]]</f>
        <v>0</v>
      </c>
      <c r="CC364" s="559">
        <f>IF((WWWW[[#This Row],['#_Constructed/Existing protected/fenced ponds]]*250)/WWWW[[#This Row],[Total PoP ]]&gt;1,1,(WWWW[[#This Row],['#_Constructed/Existing protected/fenced ponds]]*250)/WWWW[[#This Row],[Total PoP ]])</f>
        <v>0.81967213114754101</v>
      </c>
      <c r="CD364" s="556">
        <f>WWWW[[#This Row],[% Access to unimproved water points]]*WWWW[[#This Row],[Total PoP ]]</f>
        <v>750</v>
      </c>
      <c r="CE36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0.81967213114754101</v>
      </c>
      <c r="CF36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CG364" s="556">
        <f>WWWW[[#This Row],[HRP1]]/500</f>
        <v>1.5</v>
      </c>
      <c r="CH364" s="561">
        <f>1-WWWW[[#This Row],[% Equitable and continuous access to sufficient quantity of domestic water]]</f>
        <v>0.18032786885245899</v>
      </c>
      <c r="CI364" s="556">
        <f>WWWW[[#This Row],[%equitable and continuous access to sufficient quantity of safe drinking and domestic water''s GAP]]*WWWW[[#This Row],[Total PoP ]]</f>
        <v>164.99999999999997</v>
      </c>
      <c r="CJ364" s="558">
        <f>IF(WWWW[[#This Row],[Total required water points]]-WWWW[[#This Row],['#Water points coverage]]&lt;0,0,WWWW[[#This Row],[Total required water points]]-WWWW[[#This Row],['#Water points coverage]])</f>
        <v>0.5</v>
      </c>
      <c r="CK364" s="558">
        <f>ROUND(IF(WWWW[[#This Row],[Total PoP ]]&lt;500,1,WWWW[[#This Row],[Total PoP ]]/500),0)</f>
        <v>2</v>
      </c>
      <c r="CL364" s="558">
        <f>(WWWW[[#This Row],['#_Constructed latrines_by_WASHAgencies]]+WWWW[[#This Row],['#_Non Cluster partner latrines]])-WWWW[[#This Row],['#_Non-functional latrines]]</f>
        <v>0</v>
      </c>
      <c r="CM36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4" s="558" t="str">
        <f>IF(WWWW[[#This Row],[Location Type 1]]="Village","NA",IF(WWWW[[#This Row],['#_Constructed/Existing latrines in TLS]]*50&gt;WWWW[[#This Row],['#_students at TLS_CFS]],WWWW[[#This Row],['#_students at TLS_CFS]],(WWWW[[#This Row],['#_Constructed/Existing latrines in TLS]]*50)))</f>
        <v>NA</v>
      </c>
      <c r="CQ364" s="558">
        <f>ROUND(IF(WWWW[[#This Row],[Location Type 1]]="camp",WWWW[[#This Row],[Total PoP ]]/20,IF(WWWW[[#This Row],[Location Type 1]]="Temporary Location",WWWW[[#This Row],[Total PoP ]]/50,(WWWW[[#This Row],[Total PoP ]]/6))),0)</f>
        <v>153</v>
      </c>
      <c r="CR364" s="558">
        <f>IF(WWWW[[#This Row],[Total required Latrines]]-(WWWW[[#This Row],['#_Constructed latrines_by_WASHAgencies]]+WWWW[[#This Row],['#_Non Cluster partner latrines]])&lt;0,0,WWWW[[#This Row],[Total required Latrines]]-(WWWW[[#This Row],['#_Constructed latrines_by_WASHAgencies]]+WWWW[[#This Row],['#_Non Cluster partner latrines]]))</f>
        <v>153</v>
      </c>
      <c r="CS364" s="78">
        <f>1-WWWW[[#This Row],[% people access to functioning Latrine]]</f>
        <v>1</v>
      </c>
      <c r="CT364" s="560">
        <f>IF(OR(WWWW[[#This Row],['#_Non-functional latrines]]="",WWWW[[#This Row],['#_Non-functional latrines]]=0),0,WWWW[[#This Row],['#_Non-functional latrines]]/(WWWW[[#This Row],['#_Constructed latrines_by_WASHAgencies]]+WWWW[[#This Row],['#_Non Cluster partner latrines]]))</f>
        <v>0</v>
      </c>
      <c r="CU364" s="556">
        <f>IF(500*(WWWW[[#This Row],['#_male hygiene promoters]]+WWWW[[#This Row],['#_female hygiene promoters]])&gt;WWWW[[#This Row],[Total PoP ]],WWWW[[#This Row],[Total PoP ]],500*(WWWW[[#This Row],['#_male hygiene promoters]]+WWWW[[#This Row],['#_female hygiene promoters]]))</f>
        <v>0</v>
      </c>
      <c r="CV36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4" s="558">
        <f>IF(WWWW[[#This Row],['# People with access to soap]]&gt;WWWW[[#This Row],['# People with access to Sanity Pads]],WWWW[[#This Row],['# People with access to soap]],WWWW[[#This Row],['# People with access to Sanity Pads]])</f>
        <v>0</v>
      </c>
      <c r="CY36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4" s="561">
        <f>IF(WWWW[[#This Row],[HRP3]]/WWWW[[#This Row],[Total PoP ]]&gt;100%,100%,WWWW[[#This Row],[HRP3]]/WWWW[[#This Row],[Total PoP ]])</f>
        <v>0</v>
      </c>
      <c r="DA364" s="560">
        <f>1-WWWW[[#This Row],[Hygiene Coverage%]]</f>
        <v>1</v>
      </c>
      <c r="DB364" s="559">
        <f>WWWW[[#This Row],['# people reached by regular dedicated hygiene promotion_5]]/WWWW[[#This Row],[Total PoP ]]</f>
        <v>0</v>
      </c>
      <c r="DC364" s="559">
        <f>IF(WWWW[[#This Row],['#_households that received standard amount of soap for this quarter]]/WWWW[[#This Row],[Total HH]]&gt;1,1,WWWW[[#This Row],['#_households that received standard amount of soap for this quarter]]/WWWW[[#This Row],[Total HH]])</f>
        <v>0</v>
      </c>
      <c r="DD364" s="559">
        <f>IF(WWWW[[#This Row],['#_households that received standard amount of sanitary pads for this quarter]]/WWWW[[#This Row],[Total HH]]&gt;1,1,WWWW[[#This Row],['#_households that received standard amount of sanitary pads for this quarter]]/WWWW[[#This Row],[Total HH]])</f>
        <v>0</v>
      </c>
      <c r="DE364" s="558">
        <f>WWWW[[#This Row],['#_Constructed/Existing hand washing stations]]-WWWW[[#This Row],['#_Non-Functional_hand_washing_stations]]</f>
        <v>0</v>
      </c>
      <c r="DF364" s="757">
        <f>IF(WWWW[[#This Row],['# Functional hand washing stations during reporting period]]*20&gt;WWWW[[#This Row],[Total HH]],WWWW[[#This Row],[Total HH]],WWWW[[#This Row],['# Functional hand washing stations during reporting period]]*20)</f>
        <v>0</v>
      </c>
      <c r="DG364" s="556">
        <f>IF(WWWW[[#This Row],[Is sufficient soap available for TLS? (Yes/No)]]="yes",WWWW[[#This Row],['#_Constructed/Existing hand washing stations at TLS]],0)</f>
        <v>0</v>
      </c>
      <c r="DH364" s="556">
        <f>IF(WWWW[[#This Row],['# Functional hand washing stations during reporting period]]*100&gt;WWWW[[#This Row],[Total PoP ]],WWWW[[#This Row],[Total PoP ]],WWWW[[#This Row],['# Functional hand washing stations during reporting period]]*100)</f>
        <v>0</v>
      </c>
      <c r="DI364" s="556" t="str">
        <f>IF(OR(WWWW[[#This Row],['#_students at TLS_CFS]]="",WWWW[[#This Row],['#_students at TLS_CFS]]=0),"No","Yes")</f>
        <v>No</v>
      </c>
      <c r="DJ364" s="554">
        <f>VLOOKUP(WWWW[[#This Row],[Site Name]],SiteDB6[[Site Name]:[CCCM Management]],6,FALSE)</f>
        <v>0</v>
      </c>
      <c r="DK364" s="554">
        <f>VLOOKUP(WWWW[[#This Row],[Site Name]],SiteDB6[[Site Name]:[CCCM Focal Agency]],7,FALSE)</f>
        <v>0</v>
      </c>
      <c r="DL364" s="554" t="str">
        <f>VLOOKUP(WWWW[[#This Row],[Site Name]],SiteDB6[[Site Name]:[Location Type 1]],9,FALSE)</f>
        <v>village</v>
      </c>
      <c r="DM364" s="554" t="str">
        <f>VLOOKUP(WWWW[[#This Row],[Site Name]],SiteDB6[[Site Name]:[Type of Accommodation]],10,FALSE)</f>
        <v>Village_Not HRP</v>
      </c>
      <c r="DN364" s="554" t="str">
        <f>VLOOKUP(WWWW[[#This Row],[Site Name]],SiteDB6[[Site Name]:[Ethnic or GCA/NGCA]],11,FALSE)</f>
        <v>Rakhine</v>
      </c>
      <c r="DO364" s="554">
        <f>VLOOKUP(WWWW[[#This Row],[Site Name]],SiteDB6[[Site Name]:[Lat]],12,FALSE)</f>
        <v>20.786739350000001</v>
      </c>
      <c r="DP364" s="554">
        <f>VLOOKUP(WWWW[[#This Row],[Site Name]],SiteDB6[[Site Name]:[Long]],13,FALSE)</f>
        <v>92.944313050000005</v>
      </c>
      <c r="DQ364" s="554">
        <f>VLOOKUP(WWWW[[#This Row],[Site Name]],SiteDB6[[Site Name]:[Pcode]],3,FALSE)</f>
        <v>196884</v>
      </c>
      <c r="DR364" s="563" t="str">
        <f t="shared" si="12"/>
        <v>Covered</v>
      </c>
      <c r="DS364" s="563"/>
    </row>
    <row r="365" spans="1:123">
      <c r="A365" s="552" t="s">
        <v>2518</v>
      </c>
      <c r="B365" s="552" t="s">
        <v>336</v>
      </c>
      <c r="C365" s="555" t="s">
        <v>336</v>
      </c>
      <c r="D365" s="555" t="s">
        <v>352</v>
      </c>
      <c r="E365" s="574" t="s">
        <v>3006</v>
      </c>
      <c r="F365" s="555" t="s">
        <v>320</v>
      </c>
      <c r="G365" s="574" t="str">
        <f>VLOOKUP(WWWW[[#This Row],[Site Name]],SiteDB6[[Site Name]:[Location Type]],8,FALSE)</f>
        <v>Village_Not HRP</v>
      </c>
      <c r="H365" s="555" t="s">
        <v>573</v>
      </c>
      <c r="I365" s="557">
        <v>293</v>
      </c>
      <c r="J365" s="557">
        <v>1503</v>
      </c>
      <c r="K365" s="564">
        <v>42887</v>
      </c>
      <c r="L365" s="565">
        <v>43616</v>
      </c>
      <c r="M365" s="557"/>
      <c r="N365" s="557"/>
      <c r="O365" s="557"/>
      <c r="P365" s="557"/>
      <c r="Q365" s="556"/>
      <c r="R365" s="557"/>
      <c r="S365" s="557"/>
      <c r="T365" s="557"/>
      <c r="U365" s="557"/>
      <c r="V365" s="557"/>
      <c r="W365" s="557"/>
      <c r="X365" s="557"/>
      <c r="Y365" s="557"/>
      <c r="Z365" s="557"/>
      <c r="AA365" s="557"/>
      <c r="AB365" s="557"/>
      <c r="AC365" s="557"/>
      <c r="AD365" s="557"/>
      <c r="AE365" s="557">
        <v>4</v>
      </c>
      <c r="AF365" s="557"/>
      <c r="AG365" s="557"/>
      <c r="AH365" s="557"/>
      <c r="AI365" s="557"/>
      <c r="AJ365" s="557"/>
      <c r="AK365" s="557"/>
      <c r="AL365" s="557"/>
      <c r="AM365" s="557"/>
      <c r="AN365" s="557"/>
      <c r="AO365" s="586" t="s">
        <v>2954</v>
      </c>
      <c r="AP365" s="557"/>
      <c r="AQ365" s="557"/>
      <c r="AR365" s="559"/>
      <c r="AS365" s="557"/>
      <c r="AT365" s="557"/>
      <c r="AU365" s="557"/>
      <c r="AV365" s="557"/>
      <c r="AW365" s="557"/>
      <c r="AX365" s="554"/>
      <c r="AY365" s="563"/>
      <c r="AZ365" s="557"/>
      <c r="BA365" s="557"/>
      <c r="BB365" s="557"/>
      <c r="BC365" s="554"/>
      <c r="BD365" s="557"/>
      <c r="BE365" s="557"/>
      <c r="BF365" s="557"/>
      <c r="BG365" s="557"/>
      <c r="BH365" s="557"/>
      <c r="BI365" s="557"/>
      <c r="BJ365" s="557"/>
      <c r="BK365" s="557"/>
      <c r="BL365" s="557"/>
      <c r="BM365" s="554"/>
      <c r="BN365" s="558"/>
      <c r="BO365" s="559"/>
      <c r="BP365" s="554"/>
      <c r="BQ365" s="560" t="str">
        <f>IFERROR(WWWW[[#This Row],['#_Water sources treated]]/WWWW[[#This Row],['#_Water sources tested for contamination]],"no test")</f>
        <v>no test</v>
      </c>
      <c r="BR365" s="559" t="str">
        <f>IFERROR(WWWW[[#This Row],['#_Household received remediation action due to contamination]]/WWWW[[#This Row],['#_Household water samples tested for contamination]],"no test")</f>
        <v>no test</v>
      </c>
      <c r="BS365" s="558" t="str">
        <f>IF(AND(WWWW[[#This Row],[% of water sources treated]]="no test",WWWW[[#This Row],[% Household received corrective actions]]="no test"),"No Test","Tested")</f>
        <v>No Test</v>
      </c>
      <c r="BT365" s="558">
        <f>WWWW[[#This Row],['#_Constructed/existing protected hand dug well]]-WWWW[[#This Row],['#_Non-functional protected hand dug well]]</f>
        <v>0</v>
      </c>
      <c r="BU365" s="558">
        <f>(WWWW[[#This Row],['#_Constructed/Existing tube wells/boreholes/handpumps_WASH_agency]]+WWWW[[#This Row],['#_Non-Cluster partner water tube-wells/boreholes/handpumps]])-WWWW[[#This Row],['#_Non-functional tube wells/boreholes/handpumps]]</f>
        <v>0</v>
      </c>
      <c r="BV365" s="558">
        <f>WWWW[[#This Row],['#_Constructed/Existingwater storage tank with gravity fed reticulation system]]-WWWW[[#This Row],['#_Non-functional storage tank gravity fed reticulation system]]</f>
        <v>0</v>
      </c>
      <c r="BW365" s="558">
        <f>WWWW[[#This Row],['#_Water boating or water trucking]]</f>
        <v>0</v>
      </c>
      <c r="BX365" s="558">
        <f>WWWW[[#This Row],['#_Constructed/Existing water distribution system from river or natural spring]]</f>
        <v>0</v>
      </c>
      <c r="BY36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5" s="559">
        <f>IF(WWWW[[#This Row],[Location Type 1]]="Village",WWWW[[#This Row],[Access to safe drinking water for Village]],WWWW[[#This Row],[Access to safe drinking water for Camp]])</f>
        <v>0</v>
      </c>
      <c r="CB365" s="556">
        <f>WWWW[[#This Row],[%Equitable and continuous access to sufficient quantity of safe drinking water]]*WWWW[[#This Row],[Total PoP ]]</f>
        <v>0</v>
      </c>
      <c r="CC365" s="559">
        <f>IF((WWWW[[#This Row],['#_Constructed/Existing protected/fenced ponds]]*250)/WWWW[[#This Row],[Total PoP ]]&gt;1,1,(WWWW[[#This Row],['#_Constructed/Existing protected/fenced ponds]]*250)/WWWW[[#This Row],[Total PoP ]])</f>
        <v>0.66533599467731208</v>
      </c>
      <c r="CD365" s="556">
        <f>WWWW[[#This Row],[% Access to unimproved water points]]*WWWW[[#This Row],[Total PoP ]]</f>
        <v>1000.0000000000001</v>
      </c>
      <c r="CE36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0.66533599467731208</v>
      </c>
      <c r="CF36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1000.0000000000001</v>
      </c>
      <c r="CG365" s="556">
        <f>WWWW[[#This Row],[HRP1]]/500</f>
        <v>2.0000000000000004</v>
      </c>
      <c r="CH365" s="561">
        <f>1-WWWW[[#This Row],[% Equitable and continuous access to sufficient quantity of domestic water]]</f>
        <v>0.33466400532268792</v>
      </c>
      <c r="CI365" s="556">
        <f>WWWW[[#This Row],[%equitable and continuous access to sufficient quantity of safe drinking and domestic water''s GAP]]*WWWW[[#This Row],[Total PoP ]]</f>
        <v>502.99999999999994</v>
      </c>
      <c r="CJ365" s="558">
        <f>IF(WWWW[[#This Row],[Total required water points]]-WWWW[[#This Row],['#Water points coverage]]&lt;0,0,WWWW[[#This Row],[Total required water points]]-WWWW[[#This Row],['#Water points coverage]])</f>
        <v>0.99999999999999956</v>
      </c>
      <c r="CK365" s="558">
        <f>ROUND(IF(WWWW[[#This Row],[Total PoP ]]&lt;500,1,WWWW[[#This Row],[Total PoP ]]/500),0)</f>
        <v>3</v>
      </c>
      <c r="CL365" s="558">
        <f>(WWWW[[#This Row],['#_Constructed latrines_by_WASHAgencies]]+WWWW[[#This Row],['#_Non Cluster partner latrines]])-WWWW[[#This Row],['#_Non-functional latrines]]</f>
        <v>0</v>
      </c>
      <c r="CM36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5" s="558" t="str">
        <f>IF(WWWW[[#This Row],[Location Type 1]]="Village","NA",IF(WWWW[[#This Row],['#_Constructed/Existing latrines in TLS]]*50&gt;WWWW[[#This Row],['#_students at TLS_CFS]],WWWW[[#This Row],['#_students at TLS_CFS]],(WWWW[[#This Row],['#_Constructed/Existing latrines in TLS]]*50)))</f>
        <v>NA</v>
      </c>
      <c r="CQ365" s="558">
        <f>ROUND(IF(WWWW[[#This Row],[Location Type 1]]="camp",WWWW[[#This Row],[Total PoP ]]/20,IF(WWWW[[#This Row],[Location Type 1]]="Temporary Location",WWWW[[#This Row],[Total PoP ]]/50,(WWWW[[#This Row],[Total PoP ]]/6))),0)</f>
        <v>251</v>
      </c>
      <c r="CR365" s="558">
        <f>IF(WWWW[[#This Row],[Total required Latrines]]-(WWWW[[#This Row],['#_Constructed latrines_by_WASHAgencies]]+WWWW[[#This Row],['#_Non Cluster partner latrines]])&lt;0,0,WWWW[[#This Row],[Total required Latrines]]-(WWWW[[#This Row],['#_Constructed latrines_by_WASHAgencies]]+WWWW[[#This Row],['#_Non Cluster partner latrines]]))</f>
        <v>251</v>
      </c>
      <c r="CS365" s="78">
        <f>1-WWWW[[#This Row],[% people access to functioning Latrine]]</f>
        <v>1</v>
      </c>
      <c r="CT365" s="560">
        <f>IF(OR(WWWW[[#This Row],['#_Non-functional latrines]]="",WWWW[[#This Row],['#_Non-functional latrines]]=0),0,WWWW[[#This Row],['#_Non-functional latrines]]/(WWWW[[#This Row],['#_Constructed latrines_by_WASHAgencies]]+WWWW[[#This Row],['#_Non Cluster partner latrines]]))</f>
        <v>0</v>
      </c>
      <c r="CU365" s="556">
        <f>IF(500*(WWWW[[#This Row],['#_male hygiene promoters]]+WWWW[[#This Row],['#_female hygiene promoters]])&gt;WWWW[[#This Row],[Total PoP ]],WWWW[[#This Row],[Total PoP ]],500*(WWWW[[#This Row],['#_male hygiene promoters]]+WWWW[[#This Row],['#_female hygiene promoters]]))</f>
        <v>0</v>
      </c>
      <c r="CV36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5" s="558">
        <f>IF(WWWW[[#This Row],['# People with access to soap]]&gt;WWWW[[#This Row],['# People with access to Sanity Pads]],WWWW[[#This Row],['# People with access to soap]],WWWW[[#This Row],['# People with access to Sanity Pads]])</f>
        <v>0</v>
      </c>
      <c r="CY36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5" s="561">
        <f>IF(WWWW[[#This Row],[HRP3]]/WWWW[[#This Row],[Total PoP ]]&gt;100%,100%,WWWW[[#This Row],[HRP3]]/WWWW[[#This Row],[Total PoP ]])</f>
        <v>0</v>
      </c>
      <c r="DA365" s="560">
        <f>1-WWWW[[#This Row],[Hygiene Coverage%]]</f>
        <v>1</v>
      </c>
      <c r="DB365" s="559">
        <f>WWWW[[#This Row],['# people reached by regular dedicated hygiene promotion_5]]/WWWW[[#This Row],[Total PoP ]]</f>
        <v>0</v>
      </c>
      <c r="DC365" s="559">
        <f>IF(WWWW[[#This Row],['#_households that received standard amount of soap for this quarter]]/WWWW[[#This Row],[Total HH]]&gt;1,1,WWWW[[#This Row],['#_households that received standard amount of soap for this quarter]]/WWWW[[#This Row],[Total HH]])</f>
        <v>0</v>
      </c>
      <c r="DD365" s="559">
        <f>IF(WWWW[[#This Row],['#_households that received standard amount of sanitary pads for this quarter]]/WWWW[[#This Row],[Total HH]]&gt;1,1,WWWW[[#This Row],['#_households that received standard amount of sanitary pads for this quarter]]/WWWW[[#This Row],[Total HH]])</f>
        <v>0</v>
      </c>
      <c r="DE365" s="558">
        <f>WWWW[[#This Row],['#_Constructed/Existing hand washing stations]]-WWWW[[#This Row],['#_Non-Functional_hand_washing_stations]]</f>
        <v>0</v>
      </c>
      <c r="DF365" s="757">
        <f>IF(WWWW[[#This Row],['# Functional hand washing stations during reporting period]]*20&gt;WWWW[[#This Row],[Total HH]],WWWW[[#This Row],[Total HH]],WWWW[[#This Row],['# Functional hand washing stations during reporting period]]*20)</f>
        <v>0</v>
      </c>
      <c r="DG365" s="556">
        <f>IF(WWWW[[#This Row],[Is sufficient soap available for TLS? (Yes/No)]]="yes",WWWW[[#This Row],['#_Constructed/Existing hand washing stations at TLS]],0)</f>
        <v>0</v>
      </c>
      <c r="DH365" s="556">
        <f>IF(WWWW[[#This Row],['# Functional hand washing stations during reporting period]]*100&gt;WWWW[[#This Row],[Total PoP ]],WWWW[[#This Row],[Total PoP ]],WWWW[[#This Row],['# Functional hand washing stations during reporting period]]*100)</f>
        <v>0</v>
      </c>
      <c r="DI365" s="556" t="str">
        <f>IF(OR(WWWW[[#This Row],['#_students at TLS_CFS]]="",WWWW[[#This Row],['#_students at TLS_CFS]]=0),"No","Yes")</f>
        <v>No</v>
      </c>
      <c r="DJ365" s="554">
        <f>VLOOKUP(WWWW[[#This Row],[Site Name]],SiteDB6[[Site Name]:[CCCM Management]],6,FALSE)</f>
        <v>0</v>
      </c>
      <c r="DK365" s="554">
        <f>VLOOKUP(WWWW[[#This Row],[Site Name]],SiteDB6[[Site Name]:[CCCM Focal Agency]],7,FALSE)</f>
        <v>0</v>
      </c>
      <c r="DL365" s="554" t="str">
        <f>VLOOKUP(WWWW[[#This Row],[Site Name]],SiteDB6[[Site Name]:[Location Type 1]],9,FALSE)</f>
        <v>Village</v>
      </c>
      <c r="DM365" s="554" t="str">
        <f>VLOOKUP(WWWW[[#This Row],[Site Name]],SiteDB6[[Site Name]:[Type of Accommodation]],10,FALSE)</f>
        <v>Village_Not HRP</v>
      </c>
      <c r="DN365" s="554" t="str">
        <f>VLOOKUP(WWWW[[#This Row],[Site Name]],SiteDB6[[Site Name]:[Ethnic or GCA/NGCA]],11,FALSE)</f>
        <v>Rakhine</v>
      </c>
      <c r="DO365" s="554">
        <f>VLOOKUP(WWWW[[#This Row],[Site Name]],SiteDB6[[Site Name]:[Lat]],12,FALSE)</f>
        <v>20.71134949</v>
      </c>
      <c r="DP365" s="554">
        <f>VLOOKUP(WWWW[[#This Row],[Site Name]],SiteDB6[[Site Name]:[Long]],13,FALSE)</f>
        <v>92.980506899999995</v>
      </c>
      <c r="DQ365" s="554">
        <f>VLOOKUP(WWWW[[#This Row],[Site Name]],SiteDB6[[Site Name]:[Pcode]],3,FALSE)</f>
        <v>196944</v>
      </c>
      <c r="DR365" s="563" t="str">
        <f t="shared" si="12"/>
        <v>Covered</v>
      </c>
      <c r="DS365" s="563"/>
    </row>
    <row r="366" spans="1:123">
      <c r="A366" s="552" t="s">
        <v>2518</v>
      </c>
      <c r="B366" s="552" t="s">
        <v>336</v>
      </c>
      <c r="C366" s="555" t="s">
        <v>336</v>
      </c>
      <c r="D366" s="555" t="s">
        <v>352</v>
      </c>
      <c r="E366" s="574" t="s">
        <v>3006</v>
      </c>
      <c r="F366" s="555" t="s">
        <v>320</v>
      </c>
      <c r="G366" s="574" t="str">
        <f>VLOOKUP(WWWW[[#This Row],[Site Name]],SiteDB6[[Site Name]:[Location Type]],8,FALSE)</f>
        <v>Village_Not HRP</v>
      </c>
      <c r="H366" s="555" t="s">
        <v>614</v>
      </c>
      <c r="I366" s="557">
        <v>122</v>
      </c>
      <c r="J366" s="557">
        <v>486</v>
      </c>
      <c r="K366" s="564">
        <v>42887</v>
      </c>
      <c r="L366" s="565">
        <v>43616</v>
      </c>
      <c r="M366" s="557"/>
      <c r="N366" s="557"/>
      <c r="O366" s="557"/>
      <c r="P366" s="557"/>
      <c r="Q366" s="556"/>
      <c r="R366" s="557"/>
      <c r="S366" s="557"/>
      <c r="T366" s="557"/>
      <c r="U366" s="557"/>
      <c r="V366" s="557"/>
      <c r="W366" s="557"/>
      <c r="X366" s="557"/>
      <c r="Y366" s="557"/>
      <c r="Z366" s="557"/>
      <c r="AA366" s="557"/>
      <c r="AB366" s="557"/>
      <c r="AC366" s="557"/>
      <c r="AD366" s="557"/>
      <c r="AE366" s="557">
        <v>3</v>
      </c>
      <c r="AF366" s="557"/>
      <c r="AG366" s="557"/>
      <c r="AH366" s="557"/>
      <c r="AI366" s="557"/>
      <c r="AJ366" s="557"/>
      <c r="AK366" s="557"/>
      <c r="AL366" s="557"/>
      <c r="AM366" s="557"/>
      <c r="AN366" s="557"/>
      <c r="AO366" s="586" t="s">
        <v>2954</v>
      </c>
      <c r="AP366" s="557"/>
      <c r="AQ366" s="557"/>
      <c r="AR366" s="559"/>
      <c r="AS366" s="557"/>
      <c r="AT366" s="557"/>
      <c r="AU366" s="557"/>
      <c r="AV366" s="557"/>
      <c r="AW366" s="557"/>
      <c r="AX366" s="554"/>
      <c r="AY366" s="563"/>
      <c r="AZ366" s="557"/>
      <c r="BA366" s="557"/>
      <c r="BB366" s="557"/>
      <c r="BC366" s="554"/>
      <c r="BD366" s="557"/>
      <c r="BE366" s="557"/>
      <c r="BF366" s="557"/>
      <c r="BG366" s="557"/>
      <c r="BH366" s="557"/>
      <c r="BI366" s="557"/>
      <c r="BJ366" s="557"/>
      <c r="BK366" s="557"/>
      <c r="BL366" s="557"/>
      <c r="BM366" s="554"/>
      <c r="BN366" s="558"/>
      <c r="BO366" s="559"/>
      <c r="BP366" s="554"/>
      <c r="BQ366" s="560" t="str">
        <f>IFERROR(WWWW[[#This Row],['#_Water sources treated]]/WWWW[[#This Row],['#_Water sources tested for contamination]],"no test")</f>
        <v>no test</v>
      </c>
      <c r="BR366" s="559" t="str">
        <f>IFERROR(WWWW[[#This Row],['#_Household received remediation action due to contamination]]/WWWW[[#This Row],['#_Household water samples tested for contamination]],"no test")</f>
        <v>no test</v>
      </c>
      <c r="BS366" s="558" t="str">
        <f>IF(AND(WWWW[[#This Row],[% of water sources treated]]="no test",WWWW[[#This Row],[% Household received corrective actions]]="no test"),"No Test","Tested")</f>
        <v>No Test</v>
      </c>
      <c r="BT366" s="558">
        <f>WWWW[[#This Row],['#_Constructed/existing protected hand dug well]]-WWWW[[#This Row],['#_Non-functional protected hand dug well]]</f>
        <v>0</v>
      </c>
      <c r="BU366" s="558">
        <f>(WWWW[[#This Row],['#_Constructed/Existing tube wells/boreholes/handpumps_WASH_agency]]+WWWW[[#This Row],['#_Non-Cluster partner water tube-wells/boreholes/handpumps]])-WWWW[[#This Row],['#_Non-functional tube wells/boreholes/handpumps]]</f>
        <v>0</v>
      </c>
      <c r="BV366" s="558">
        <f>WWWW[[#This Row],['#_Constructed/Existingwater storage tank with gravity fed reticulation system]]-WWWW[[#This Row],['#_Non-functional storage tank gravity fed reticulation system]]</f>
        <v>0</v>
      </c>
      <c r="BW366" s="558">
        <f>WWWW[[#This Row],['#_Water boating or water trucking]]</f>
        <v>0</v>
      </c>
      <c r="BX366" s="558">
        <f>WWWW[[#This Row],['#_Constructed/Existing water distribution system from river or natural spring]]</f>
        <v>0</v>
      </c>
      <c r="BY36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6" s="559">
        <f>IF(WWWW[[#This Row],[Location Type 1]]="Village",WWWW[[#This Row],[Access to safe drinking water for Village]],WWWW[[#This Row],[Access to safe drinking water for Camp]])</f>
        <v>0</v>
      </c>
      <c r="CB366" s="556">
        <f>WWWW[[#This Row],[%Equitable and continuous access to sufficient quantity of safe drinking water]]*WWWW[[#This Row],[Total PoP ]]</f>
        <v>0</v>
      </c>
      <c r="CC366" s="559">
        <f>IF((WWWW[[#This Row],['#_Constructed/Existing protected/fenced ponds]]*250)/WWWW[[#This Row],[Total PoP ]]&gt;1,1,(WWWW[[#This Row],['#_Constructed/Existing protected/fenced ponds]]*250)/WWWW[[#This Row],[Total PoP ]])</f>
        <v>1</v>
      </c>
      <c r="CD366" s="556">
        <f>WWWW[[#This Row],[% Access to unimproved water points]]*WWWW[[#This Row],[Total PoP ]]</f>
        <v>486</v>
      </c>
      <c r="CE36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36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486</v>
      </c>
      <c r="CG366" s="556">
        <f>WWWW[[#This Row],[HRP1]]/500</f>
        <v>0.97199999999999998</v>
      </c>
      <c r="CH366" s="561">
        <f>1-WWWW[[#This Row],[% Equitable and continuous access to sufficient quantity of domestic water]]</f>
        <v>0</v>
      </c>
      <c r="CI366" s="556">
        <f>WWWW[[#This Row],[%equitable and continuous access to sufficient quantity of safe drinking and domestic water''s GAP]]*WWWW[[#This Row],[Total PoP ]]</f>
        <v>0</v>
      </c>
      <c r="CJ366" s="558">
        <f>IF(WWWW[[#This Row],[Total required water points]]-WWWW[[#This Row],['#Water points coverage]]&lt;0,0,WWWW[[#This Row],[Total required water points]]-WWWW[[#This Row],['#Water points coverage]])</f>
        <v>2.8000000000000025E-2</v>
      </c>
      <c r="CK366" s="558">
        <f>ROUND(IF(WWWW[[#This Row],[Total PoP ]]&lt;500,1,WWWW[[#This Row],[Total PoP ]]/500),0)</f>
        <v>1</v>
      </c>
      <c r="CL366" s="558">
        <f>(WWWW[[#This Row],['#_Constructed latrines_by_WASHAgencies]]+WWWW[[#This Row],['#_Non Cluster partner latrines]])-WWWW[[#This Row],['#_Non-functional latrines]]</f>
        <v>0</v>
      </c>
      <c r="CM36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6" s="558" t="str">
        <f>IF(WWWW[[#This Row],[Location Type 1]]="Village","NA",IF(WWWW[[#This Row],['#_Constructed/Existing latrines in TLS]]*50&gt;WWWW[[#This Row],['#_students at TLS_CFS]],WWWW[[#This Row],['#_students at TLS_CFS]],(WWWW[[#This Row],['#_Constructed/Existing latrines in TLS]]*50)))</f>
        <v>NA</v>
      </c>
      <c r="CQ366" s="558">
        <f>ROUND(IF(WWWW[[#This Row],[Location Type 1]]="camp",WWWW[[#This Row],[Total PoP ]]/20,IF(WWWW[[#This Row],[Location Type 1]]="Temporary Location",WWWW[[#This Row],[Total PoP ]]/50,(WWWW[[#This Row],[Total PoP ]]/6))),0)</f>
        <v>81</v>
      </c>
      <c r="CR366" s="558">
        <f>IF(WWWW[[#This Row],[Total required Latrines]]-(WWWW[[#This Row],['#_Constructed latrines_by_WASHAgencies]]+WWWW[[#This Row],['#_Non Cluster partner latrines]])&lt;0,0,WWWW[[#This Row],[Total required Latrines]]-(WWWW[[#This Row],['#_Constructed latrines_by_WASHAgencies]]+WWWW[[#This Row],['#_Non Cluster partner latrines]]))</f>
        <v>81</v>
      </c>
      <c r="CS366" s="78">
        <f>1-WWWW[[#This Row],[% people access to functioning Latrine]]</f>
        <v>1</v>
      </c>
      <c r="CT366" s="560">
        <f>IF(OR(WWWW[[#This Row],['#_Non-functional latrines]]="",WWWW[[#This Row],['#_Non-functional latrines]]=0),0,WWWW[[#This Row],['#_Non-functional latrines]]/(WWWW[[#This Row],['#_Constructed latrines_by_WASHAgencies]]+WWWW[[#This Row],['#_Non Cluster partner latrines]]))</f>
        <v>0</v>
      </c>
      <c r="CU366" s="556">
        <f>IF(500*(WWWW[[#This Row],['#_male hygiene promoters]]+WWWW[[#This Row],['#_female hygiene promoters]])&gt;WWWW[[#This Row],[Total PoP ]],WWWW[[#This Row],[Total PoP ]],500*(WWWW[[#This Row],['#_male hygiene promoters]]+WWWW[[#This Row],['#_female hygiene promoters]]))</f>
        <v>0</v>
      </c>
      <c r="CV36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6" s="558">
        <f>IF(WWWW[[#This Row],['# People with access to soap]]&gt;WWWW[[#This Row],['# People with access to Sanity Pads]],WWWW[[#This Row],['# People with access to soap]],WWWW[[#This Row],['# People with access to Sanity Pads]])</f>
        <v>0</v>
      </c>
      <c r="CY36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6" s="561">
        <f>IF(WWWW[[#This Row],[HRP3]]/WWWW[[#This Row],[Total PoP ]]&gt;100%,100%,WWWW[[#This Row],[HRP3]]/WWWW[[#This Row],[Total PoP ]])</f>
        <v>0</v>
      </c>
      <c r="DA366" s="560">
        <f>1-WWWW[[#This Row],[Hygiene Coverage%]]</f>
        <v>1</v>
      </c>
      <c r="DB366" s="559">
        <f>WWWW[[#This Row],['# people reached by regular dedicated hygiene promotion_5]]/WWWW[[#This Row],[Total PoP ]]</f>
        <v>0</v>
      </c>
      <c r="DC366" s="559">
        <f>IF(WWWW[[#This Row],['#_households that received standard amount of soap for this quarter]]/WWWW[[#This Row],[Total HH]]&gt;1,1,WWWW[[#This Row],['#_households that received standard amount of soap for this quarter]]/WWWW[[#This Row],[Total HH]])</f>
        <v>0</v>
      </c>
      <c r="DD366" s="559">
        <f>IF(WWWW[[#This Row],['#_households that received standard amount of sanitary pads for this quarter]]/WWWW[[#This Row],[Total HH]]&gt;1,1,WWWW[[#This Row],['#_households that received standard amount of sanitary pads for this quarter]]/WWWW[[#This Row],[Total HH]])</f>
        <v>0</v>
      </c>
      <c r="DE366" s="558">
        <f>WWWW[[#This Row],['#_Constructed/Existing hand washing stations]]-WWWW[[#This Row],['#_Non-Functional_hand_washing_stations]]</f>
        <v>0</v>
      </c>
      <c r="DF366" s="757">
        <f>IF(WWWW[[#This Row],['# Functional hand washing stations during reporting period]]*20&gt;WWWW[[#This Row],[Total HH]],WWWW[[#This Row],[Total HH]],WWWW[[#This Row],['# Functional hand washing stations during reporting period]]*20)</f>
        <v>0</v>
      </c>
      <c r="DG366" s="556">
        <f>IF(WWWW[[#This Row],[Is sufficient soap available for TLS? (Yes/No)]]="yes",WWWW[[#This Row],['#_Constructed/Existing hand washing stations at TLS]],0)</f>
        <v>0</v>
      </c>
      <c r="DH366" s="556">
        <f>IF(WWWW[[#This Row],['# Functional hand washing stations during reporting period]]*100&gt;WWWW[[#This Row],[Total PoP ]],WWWW[[#This Row],[Total PoP ]],WWWW[[#This Row],['# Functional hand washing stations during reporting period]]*100)</f>
        <v>0</v>
      </c>
      <c r="DI366" s="556" t="str">
        <f>IF(OR(WWWW[[#This Row],['#_students at TLS_CFS]]="",WWWW[[#This Row],['#_students at TLS_CFS]]=0),"No","Yes")</f>
        <v>No</v>
      </c>
      <c r="DJ366" s="554">
        <f>VLOOKUP(WWWW[[#This Row],[Site Name]],SiteDB6[[Site Name]:[CCCM Management]],6,FALSE)</f>
        <v>0</v>
      </c>
      <c r="DK366" s="554">
        <f>VLOOKUP(WWWW[[#This Row],[Site Name]],SiteDB6[[Site Name]:[CCCM Focal Agency]],7,FALSE)</f>
        <v>0</v>
      </c>
      <c r="DL366" s="554" t="str">
        <f>VLOOKUP(WWWW[[#This Row],[Site Name]],SiteDB6[[Site Name]:[Location Type 1]],9,FALSE)</f>
        <v>Village</v>
      </c>
      <c r="DM366" s="554" t="str">
        <f>VLOOKUP(WWWW[[#This Row],[Site Name]],SiteDB6[[Site Name]:[Type of Accommodation]],10,FALSE)</f>
        <v>Village_Not HRP</v>
      </c>
      <c r="DN366" s="554" t="str">
        <f>VLOOKUP(WWWW[[#This Row],[Site Name]],SiteDB6[[Site Name]:[Ethnic or GCA/NGCA]],11,FALSE)</f>
        <v>Mro</v>
      </c>
      <c r="DO366" s="554">
        <f>VLOOKUP(WWWW[[#This Row],[Site Name]],SiteDB6[[Site Name]:[Lat]],12,FALSE)</f>
        <v>20.785770419999999</v>
      </c>
      <c r="DP366" s="554">
        <f>VLOOKUP(WWWW[[#This Row],[Site Name]],SiteDB6[[Site Name]:[Long]],13,FALSE)</f>
        <v>92.931426999999999</v>
      </c>
      <c r="DQ366" s="554">
        <f>VLOOKUP(WWWW[[#This Row],[Site Name]],SiteDB6[[Site Name]:[Pcode]],3,FALSE)</f>
        <v>196887</v>
      </c>
      <c r="DR366" s="563" t="str">
        <f t="shared" si="12"/>
        <v>Covered</v>
      </c>
      <c r="DS366" s="563"/>
    </row>
    <row r="367" spans="1:123">
      <c r="A367" s="552" t="s">
        <v>2518</v>
      </c>
      <c r="B367" s="552" t="s">
        <v>336</v>
      </c>
      <c r="C367" s="555" t="s">
        <v>336</v>
      </c>
      <c r="D367" s="555" t="s">
        <v>352</v>
      </c>
      <c r="E367" s="574" t="s">
        <v>3006</v>
      </c>
      <c r="F367" s="555" t="s">
        <v>320</v>
      </c>
      <c r="G367" s="574" t="str">
        <f>VLOOKUP(WWWW[[#This Row],[Site Name]],SiteDB6[[Site Name]:[Location Type]],8,FALSE)</f>
        <v>Village</v>
      </c>
      <c r="H367" s="555" t="s">
        <v>565</v>
      </c>
      <c r="I367" s="557">
        <v>326</v>
      </c>
      <c r="J367" s="557">
        <v>1786</v>
      </c>
      <c r="K367" s="564">
        <v>42887</v>
      </c>
      <c r="L367" s="565">
        <v>43616</v>
      </c>
      <c r="M367" s="557"/>
      <c r="N367" s="557"/>
      <c r="O367" s="557"/>
      <c r="P367" s="557"/>
      <c r="Q367" s="556"/>
      <c r="R367" s="557"/>
      <c r="S367" s="557"/>
      <c r="T367" s="557"/>
      <c r="U367" s="557"/>
      <c r="V367" s="557"/>
      <c r="W367" s="557"/>
      <c r="X367" s="557"/>
      <c r="Y367" s="557"/>
      <c r="Z367" s="557"/>
      <c r="AA367" s="557"/>
      <c r="AB367" s="557"/>
      <c r="AC367" s="557"/>
      <c r="AD367" s="557"/>
      <c r="AE367" s="557">
        <v>2</v>
      </c>
      <c r="AF367" s="557"/>
      <c r="AG367" s="557"/>
      <c r="AH367" s="557"/>
      <c r="AI367" s="557"/>
      <c r="AJ367" s="557"/>
      <c r="AK367" s="557"/>
      <c r="AL367" s="557"/>
      <c r="AM367" s="557"/>
      <c r="AN367" s="557"/>
      <c r="AO367" s="586" t="s">
        <v>2954</v>
      </c>
      <c r="AP367" s="557"/>
      <c r="AQ367" s="557"/>
      <c r="AR367" s="559"/>
      <c r="AS367" s="557"/>
      <c r="AT367" s="557"/>
      <c r="AU367" s="557"/>
      <c r="AV367" s="557"/>
      <c r="AW367" s="557"/>
      <c r="AX367" s="554"/>
      <c r="AY367" s="563"/>
      <c r="AZ367" s="557"/>
      <c r="BA367" s="557"/>
      <c r="BB367" s="557"/>
      <c r="BC367" s="554"/>
      <c r="BD367" s="557"/>
      <c r="BE367" s="557"/>
      <c r="BF367" s="557"/>
      <c r="BG367" s="557"/>
      <c r="BH367" s="557"/>
      <c r="BI367" s="557"/>
      <c r="BJ367" s="557"/>
      <c r="BK367" s="557"/>
      <c r="BL367" s="557"/>
      <c r="BM367" s="554"/>
      <c r="BN367" s="558"/>
      <c r="BO367" s="559"/>
      <c r="BP367" s="554"/>
      <c r="BQ367" s="560" t="str">
        <f>IFERROR(WWWW[[#This Row],['#_Water sources treated]]/WWWW[[#This Row],['#_Water sources tested for contamination]],"no test")</f>
        <v>no test</v>
      </c>
      <c r="BR367" s="559" t="str">
        <f>IFERROR(WWWW[[#This Row],['#_Household received remediation action due to contamination]]/WWWW[[#This Row],['#_Household water samples tested for contamination]],"no test")</f>
        <v>no test</v>
      </c>
      <c r="BS367" s="558" t="str">
        <f>IF(AND(WWWW[[#This Row],[% of water sources treated]]="no test",WWWW[[#This Row],[% Household received corrective actions]]="no test"),"No Test","Tested")</f>
        <v>No Test</v>
      </c>
      <c r="BT367" s="558">
        <f>WWWW[[#This Row],['#_Constructed/existing protected hand dug well]]-WWWW[[#This Row],['#_Non-functional protected hand dug well]]</f>
        <v>0</v>
      </c>
      <c r="BU367" s="558">
        <f>(WWWW[[#This Row],['#_Constructed/Existing tube wells/boreholes/handpumps_WASH_agency]]+WWWW[[#This Row],['#_Non-Cluster partner water tube-wells/boreholes/handpumps]])-WWWW[[#This Row],['#_Non-functional tube wells/boreholes/handpumps]]</f>
        <v>0</v>
      </c>
      <c r="BV367" s="558">
        <f>WWWW[[#This Row],['#_Constructed/Existingwater storage tank with gravity fed reticulation system]]-WWWW[[#This Row],['#_Non-functional storage tank gravity fed reticulation system]]</f>
        <v>0</v>
      </c>
      <c r="BW367" s="558">
        <f>WWWW[[#This Row],['#_Water boating or water trucking]]</f>
        <v>0</v>
      </c>
      <c r="BX367" s="558">
        <f>WWWW[[#This Row],['#_Constructed/Existing water distribution system from river or natural spring]]</f>
        <v>0</v>
      </c>
      <c r="BY36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7" s="559">
        <f>IF(WWWW[[#This Row],[Location Type 1]]="Village",WWWW[[#This Row],[Access to safe drinking water for Village]],WWWW[[#This Row],[Access to safe drinking water for Camp]])</f>
        <v>0</v>
      </c>
      <c r="CB367" s="556">
        <f>WWWW[[#This Row],[%Equitable and continuous access to sufficient quantity of safe drinking water]]*WWWW[[#This Row],[Total PoP ]]</f>
        <v>0</v>
      </c>
      <c r="CC367" s="559">
        <f>IF((WWWW[[#This Row],['#_Constructed/Existing protected/fenced ponds]]*250)/WWWW[[#This Row],[Total PoP ]]&gt;1,1,(WWWW[[#This Row],['#_Constructed/Existing protected/fenced ponds]]*250)/WWWW[[#This Row],[Total PoP ]])</f>
        <v>0.27995520716685329</v>
      </c>
      <c r="CD367" s="556">
        <f>WWWW[[#This Row],[% Access to unimproved water points]]*WWWW[[#This Row],[Total PoP ]]</f>
        <v>500</v>
      </c>
      <c r="CE36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0.27995520716685329</v>
      </c>
      <c r="CF36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67" s="556">
        <f>WWWW[[#This Row],[HRP1]]/500</f>
        <v>1</v>
      </c>
      <c r="CH367" s="561">
        <f>1-WWWW[[#This Row],[% Equitable and continuous access to sufficient quantity of domestic water]]</f>
        <v>0.72004479283314671</v>
      </c>
      <c r="CI367" s="556">
        <f>WWWW[[#This Row],[%equitable and continuous access to sufficient quantity of safe drinking and domestic water''s GAP]]*WWWW[[#This Row],[Total PoP ]]</f>
        <v>1286</v>
      </c>
      <c r="CJ367" s="558">
        <f>IF(WWWW[[#This Row],[Total required water points]]-WWWW[[#This Row],['#Water points coverage]]&lt;0,0,WWWW[[#This Row],[Total required water points]]-WWWW[[#This Row],['#Water points coverage]])</f>
        <v>3</v>
      </c>
      <c r="CK367" s="558">
        <f>ROUND(IF(WWWW[[#This Row],[Total PoP ]]&lt;500,1,WWWW[[#This Row],[Total PoP ]]/500),0)</f>
        <v>4</v>
      </c>
      <c r="CL367" s="558">
        <f>(WWWW[[#This Row],['#_Constructed latrines_by_WASHAgencies]]+WWWW[[#This Row],['#_Non Cluster partner latrines]])-WWWW[[#This Row],['#_Non-functional latrines]]</f>
        <v>0</v>
      </c>
      <c r="CM36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7" s="558" t="str">
        <f>IF(WWWW[[#This Row],[Location Type 1]]="Village","NA",IF(WWWW[[#This Row],['#_Constructed/Existing latrines in TLS]]*50&gt;WWWW[[#This Row],['#_students at TLS_CFS]],WWWW[[#This Row],['#_students at TLS_CFS]],(WWWW[[#This Row],['#_Constructed/Existing latrines in TLS]]*50)))</f>
        <v>NA</v>
      </c>
      <c r="CQ367" s="558">
        <f>ROUND(IF(WWWW[[#This Row],[Location Type 1]]="camp",WWWW[[#This Row],[Total PoP ]]/20,IF(WWWW[[#This Row],[Location Type 1]]="Temporary Location",WWWW[[#This Row],[Total PoP ]]/50,(WWWW[[#This Row],[Total PoP ]]/6))),0)</f>
        <v>298</v>
      </c>
      <c r="CR367" s="558">
        <f>IF(WWWW[[#This Row],[Total required Latrines]]-(WWWW[[#This Row],['#_Constructed latrines_by_WASHAgencies]]+WWWW[[#This Row],['#_Non Cluster partner latrines]])&lt;0,0,WWWW[[#This Row],[Total required Latrines]]-(WWWW[[#This Row],['#_Constructed latrines_by_WASHAgencies]]+WWWW[[#This Row],['#_Non Cluster partner latrines]]))</f>
        <v>298</v>
      </c>
      <c r="CS367" s="78">
        <f>1-WWWW[[#This Row],[% people access to functioning Latrine]]</f>
        <v>1</v>
      </c>
      <c r="CT367" s="560">
        <f>IF(OR(WWWW[[#This Row],['#_Non-functional latrines]]="",WWWW[[#This Row],['#_Non-functional latrines]]=0),0,WWWW[[#This Row],['#_Non-functional latrines]]/(WWWW[[#This Row],['#_Constructed latrines_by_WASHAgencies]]+WWWW[[#This Row],['#_Non Cluster partner latrines]]))</f>
        <v>0</v>
      </c>
      <c r="CU367" s="556">
        <f>IF(500*(WWWW[[#This Row],['#_male hygiene promoters]]+WWWW[[#This Row],['#_female hygiene promoters]])&gt;WWWW[[#This Row],[Total PoP ]],WWWW[[#This Row],[Total PoP ]],500*(WWWW[[#This Row],['#_male hygiene promoters]]+WWWW[[#This Row],['#_female hygiene promoters]]))</f>
        <v>0</v>
      </c>
      <c r="CV36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7" s="558">
        <f>IF(WWWW[[#This Row],['# People with access to soap]]&gt;WWWW[[#This Row],['# People with access to Sanity Pads]],WWWW[[#This Row],['# People with access to soap]],WWWW[[#This Row],['# People with access to Sanity Pads]])</f>
        <v>0</v>
      </c>
      <c r="CY36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7" s="561">
        <f>IF(WWWW[[#This Row],[HRP3]]/WWWW[[#This Row],[Total PoP ]]&gt;100%,100%,WWWW[[#This Row],[HRP3]]/WWWW[[#This Row],[Total PoP ]])</f>
        <v>0</v>
      </c>
      <c r="DA367" s="560">
        <f>1-WWWW[[#This Row],[Hygiene Coverage%]]</f>
        <v>1</v>
      </c>
      <c r="DB367" s="559">
        <f>WWWW[[#This Row],['# people reached by regular dedicated hygiene promotion_5]]/WWWW[[#This Row],[Total PoP ]]</f>
        <v>0</v>
      </c>
      <c r="DC367" s="559">
        <f>IF(WWWW[[#This Row],['#_households that received standard amount of soap for this quarter]]/WWWW[[#This Row],[Total HH]]&gt;1,1,WWWW[[#This Row],['#_households that received standard amount of soap for this quarter]]/WWWW[[#This Row],[Total HH]])</f>
        <v>0</v>
      </c>
      <c r="DD367" s="559">
        <f>IF(WWWW[[#This Row],['#_households that received standard amount of sanitary pads for this quarter]]/WWWW[[#This Row],[Total HH]]&gt;1,1,WWWW[[#This Row],['#_households that received standard amount of sanitary pads for this quarter]]/WWWW[[#This Row],[Total HH]])</f>
        <v>0</v>
      </c>
      <c r="DE367" s="558">
        <f>WWWW[[#This Row],['#_Constructed/Existing hand washing stations]]-WWWW[[#This Row],['#_Non-Functional_hand_washing_stations]]</f>
        <v>0</v>
      </c>
      <c r="DF367" s="757">
        <f>IF(WWWW[[#This Row],['# Functional hand washing stations during reporting period]]*20&gt;WWWW[[#This Row],[Total HH]],WWWW[[#This Row],[Total HH]],WWWW[[#This Row],['# Functional hand washing stations during reporting period]]*20)</f>
        <v>0</v>
      </c>
      <c r="DG367" s="556">
        <f>IF(WWWW[[#This Row],[Is sufficient soap available for TLS? (Yes/No)]]="yes",WWWW[[#This Row],['#_Constructed/Existing hand washing stations at TLS]],0)</f>
        <v>0</v>
      </c>
      <c r="DH367" s="556">
        <f>IF(WWWW[[#This Row],['# Functional hand washing stations during reporting period]]*100&gt;WWWW[[#This Row],[Total PoP ]],WWWW[[#This Row],[Total PoP ]],WWWW[[#This Row],['# Functional hand washing stations during reporting period]]*100)</f>
        <v>0</v>
      </c>
      <c r="DI367" s="556" t="str">
        <f>IF(OR(WWWW[[#This Row],['#_students at TLS_CFS]]="",WWWW[[#This Row],['#_students at TLS_CFS]]=0),"No","Yes")</f>
        <v>No</v>
      </c>
      <c r="DJ367" s="554">
        <f>VLOOKUP(WWWW[[#This Row],[Site Name]],SiteDB6[[Site Name]:[CCCM Management]],6,FALSE)</f>
        <v>0</v>
      </c>
      <c r="DK367" s="554">
        <f>VLOOKUP(WWWW[[#This Row],[Site Name]],SiteDB6[[Site Name]:[CCCM Focal Agency]],7,FALSE)</f>
        <v>0</v>
      </c>
      <c r="DL367" s="554" t="str">
        <f>VLOOKUP(WWWW[[#This Row],[Site Name]],SiteDB6[[Site Name]:[Location Type 1]],9,FALSE)</f>
        <v>Village</v>
      </c>
      <c r="DM367" s="554" t="str">
        <f>VLOOKUP(WWWW[[#This Row],[Site Name]],SiteDB6[[Site Name]:[Type of Accommodation]],10,FALSE)</f>
        <v>Returned</v>
      </c>
      <c r="DN367" s="554" t="str">
        <f>VLOOKUP(WWWW[[#This Row],[Site Name]],SiteDB6[[Site Name]:[Ethnic or GCA/NGCA]],11,FALSE)</f>
        <v>Muslim</v>
      </c>
      <c r="DO367" s="554" t="str">
        <f>VLOOKUP(WWWW[[#This Row],[Site Name]],SiteDB6[[Site Name]:[Lat]],12,FALSE)</f>
        <v xml:space="preserve">WASH - resettled, relocated, surrounding communities &amp; host communities </v>
      </c>
      <c r="DP367" s="554">
        <f>VLOOKUP(WWWW[[#This Row],[Site Name]],SiteDB6[[Site Name]:[Long]],13,FALSE)</f>
        <v>93.009900000000002</v>
      </c>
      <c r="DQ367" s="554" t="str">
        <f>VLOOKUP(WWWW[[#This Row],[Site Name]],SiteDB6[[Site Name]:[Pcode]],3,FALSE)</f>
        <v>MMR012CMP026</v>
      </c>
      <c r="DR367" s="563" t="str">
        <f t="shared" si="12"/>
        <v>Covered</v>
      </c>
      <c r="DS367" s="563"/>
    </row>
    <row r="368" spans="1:123">
      <c r="A368" s="552" t="s">
        <v>2518</v>
      </c>
      <c r="B368" s="552" t="s">
        <v>336</v>
      </c>
      <c r="C368" s="555" t="s">
        <v>336</v>
      </c>
      <c r="D368" s="555" t="s">
        <v>352</v>
      </c>
      <c r="E368" s="574" t="s">
        <v>3006</v>
      </c>
      <c r="F368" s="555" t="s">
        <v>320</v>
      </c>
      <c r="G368" s="574" t="str">
        <f>VLOOKUP(WWWW[[#This Row],[Site Name]],SiteDB6[[Site Name]:[Location Type]],8,FALSE)</f>
        <v>Village_Not HRP</v>
      </c>
      <c r="H368" s="555" t="s">
        <v>570</v>
      </c>
      <c r="I368" s="557">
        <v>361</v>
      </c>
      <c r="J368" s="557">
        <v>1669</v>
      </c>
      <c r="K368" s="564">
        <v>42887</v>
      </c>
      <c r="L368" s="565">
        <v>43616</v>
      </c>
      <c r="M368" s="557"/>
      <c r="N368" s="557"/>
      <c r="O368" s="557"/>
      <c r="P368" s="557"/>
      <c r="Q368" s="556"/>
      <c r="R368" s="557"/>
      <c r="S368" s="557"/>
      <c r="T368" s="557"/>
      <c r="U368" s="557"/>
      <c r="V368" s="557"/>
      <c r="W368" s="557"/>
      <c r="X368" s="557"/>
      <c r="Y368" s="557"/>
      <c r="Z368" s="557"/>
      <c r="AA368" s="557"/>
      <c r="AB368" s="557"/>
      <c r="AC368" s="557"/>
      <c r="AD368" s="557"/>
      <c r="AE368" s="557">
        <v>2</v>
      </c>
      <c r="AF368" s="557"/>
      <c r="AG368" s="557"/>
      <c r="AH368" s="557"/>
      <c r="AI368" s="557"/>
      <c r="AJ368" s="557"/>
      <c r="AK368" s="557"/>
      <c r="AL368" s="557"/>
      <c r="AM368" s="557"/>
      <c r="AN368" s="557"/>
      <c r="AO368" s="586" t="s">
        <v>2954</v>
      </c>
      <c r="AP368" s="557"/>
      <c r="AQ368" s="557"/>
      <c r="AR368" s="559"/>
      <c r="AS368" s="557"/>
      <c r="AT368" s="557"/>
      <c r="AU368" s="557"/>
      <c r="AV368" s="557"/>
      <c r="AW368" s="557"/>
      <c r="AX368" s="554"/>
      <c r="AY368" s="563"/>
      <c r="AZ368" s="557"/>
      <c r="BA368" s="557"/>
      <c r="BB368" s="557"/>
      <c r="BC368" s="554"/>
      <c r="BD368" s="557"/>
      <c r="BE368" s="557"/>
      <c r="BF368" s="557"/>
      <c r="BG368" s="557"/>
      <c r="BH368" s="557"/>
      <c r="BI368" s="557"/>
      <c r="BJ368" s="557"/>
      <c r="BK368" s="557"/>
      <c r="BL368" s="557"/>
      <c r="BM368" s="554"/>
      <c r="BN368" s="558"/>
      <c r="BO368" s="559"/>
      <c r="BP368" s="554"/>
      <c r="BQ368" s="560" t="str">
        <f>IFERROR(WWWW[[#This Row],['#_Water sources treated]]/WWWW[[#This Row],['#_Water sources tested for contamination]],"no test")</f>
        <v>no test</v>
      </c>
      <c r="BR368" s="559" t="str">
        <f>IFERROR(WWWW[[#This Row],['#_Household received remediation action due to contamination]]/WWWW[[#This Row],['#_Household water samples tested for contamination]],"no test")</f>
        <v>no test</v>
      </c>
      <c r="BS368" s="558" t="str">
        <f>IF(AND(WWWW[[#This Row],[% of water sources treated]]="no test",WWWW[[#This Row],[% Household received corrective actions]]="no test"),"No Test","Tested")</f>
        <v>No Test</v>
      </c>
      <c r="BT368" s="558">
        <f>WWWW[[#This Row],['#_Constructed/existing protected hand dug well]]-WWWW[[#This Row],['#_Non-functional protected hand dug well]]</f>
        <v>0</v>
      </c>
      <c r="BU368" s="558">
        <f>(WWWW[[#This Row],['#_Constructed/Existing tube wells/boreholes/handpumps_WASH_agency]]+WWWW[[#This Row],['#_Non-Cluster partner water tube-wells/boreholes/handpumps]])-WWWW[[#This Row],['#_Non-functional tube wells/boreholes/handpumps]]</f>
        <v>0</v>
      </c>
      <c r="BV368" s="558">
        <f>WWWW[[#This Row],['#_Constructed/Existingwater storage tank with gravity fed reticulation system]]-WWWW[[#This Row],['#_Non-functional storage tank gravity fed reticulation system]]</f>
        <v>0</v>
      </c>
      <c r="BW368" s="558">
        <f>WWWW[[#This Row],['#_Water boating or water trucking]]</f>
        <v>0</v>
      </c>
      <c r="BX368" s="558">
        <f>WWWW[[#This Row],['#_Constructed/Existing water distribution system from river or natural spring]]</f>
        <v>0</v>
      </c>
      <c r="BY36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8" s="559">
        <f>IF(WWWW[[#This Row],[Location Type 1]]="Village",WWWW[[#This Row],[Access to safe drinking water for Village]],WWWW[[#This Row],[Access to safe drinking water for Camp]])</f>
        <v>0</v>
      </c>
      <c r="CB368" s="556">
        <f>WWWW[[#This Row],[%Equitable and continuous access to sufficient quantity of safe drinking water]]*WWWW[[#This Row],[Total PoP ]]</f>
        <v>0</v>
      </c>
      <c r="CC368" s="559">
        <f>IF((WWWW[[#This Row],['#_Constructed/Existing protected/fenced ponds]]*250)/WWWW[[#This Row],[Total PoP ]]&gt;1,1,(WWWW[[#This Row],['#_Constructed/Existing protected/fenced ponds]]*250)/WWWW[[#This Row],[Total PoP ]])</f>
        <v>0.29958058717795089</v>
      </c>
      <c r="CD368" s="556">
        <f>WWWW[[#This Row],[% Access to unimproved water points]]*WWWW[[#This Row],[Total PoP ]]</f>
        <v>500</v>
      </c>
      <c r="CE36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0.29958058717795089</v>
      </c>
      <c r="CF36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368" s="556">
        <f>WWWW[[#This Row],[HRP1]]/500</f>
        <v>1</v>
      </c>
      <c r="CH368" s="561">
        <f>1-WWWW[[#This Row],[% Equitable and continuous access to sufficient quantity of domestic water]]</f>
        <v>0.70041941282204911</v>
      </c>
      <c r="CI368" s="556">
        <f>WWWW[[#This Row],[%equitable and continuous access to sufficient quantity of safe drinking and domestic water''s GAP]]*WWWW[[#This Row],[Total PoP ]]</f>
        <v>1169</v>
      </c>
      <c r="CJ368" s="558">
        <f>IF(WWWW[[#This Row],[Total required water points]]-WWWW[[#This Row],['#Water points coverage]]&lt;0,0,WWWW[[#This Row],[Total required water points]]-WWWW[[#This Row],['#Water points coverage]])</f>
        <v>2</v>
      </c>
      <c r="CK368" s="558">
        <f>ROUND(IF(WWWW[[#This Row],[Total PoP ]]&lt;500,1,WWWW[[#This Row],[Total PoP ]]/500),0)</f>
        <v>3</v>
      </c>
      <c r="CL368" s="558">
        <f>(WWWW[[#This Row],['#_Constructed latrines_by_WASHAgencies]]+WWWW[[#This Row],['#_Non Cluster partner latrines]])-WWWW[[#This Row],['#_Non-functional latrines]]</f>
        <v>0</v>
      </c>
      <c r="CM36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8"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8" s="558" t="str">
        <f>IF(WWWW[[#This Row],[Location Type 1]]="Village","NA",IF(WWWW[[#This Row],['#_Constructed/Existing latrines in TLS]]*50&gt;WWWW[[#This Row],['#_students at TLS_CFS]],WWWW[[#This Row],['#_students at TLS_CFS]],(WWWW[[#This Row],['#_Constructed/Existing latrines in TLS]]*50)))</f>
        <v>NA</v>
      </c>
      <c r="CQ368" s="558">
        <f>ROUND(IF(WWWW[[#This Row],[Location Type 1]]="camp",WWWW[[#This Row],[Total PoP ]]/20,IF(WWWW[[#This Row],[Location Type 1]]="Temporary Location",WWWW[[#This Row],[Total PoP ]]/50,(WWWW[[#This Row],[Total PoP ]]/6))),0)</f>
        <v>278</v>
      </c>
      <c r="CR368" s="558">
        <f>IF(WWWW[[#This Row],[Total required Latrines]]-(WWWW[[#This Row],['#_Constructed latrines_by_WASHAgencies]]+WWWW[[#This Row],['#_Non Cluster partner latrines]])&lt;0,0,WWWW[[#This Row],[Total required Latrines]]-(WWWW[[#This Row],['#_Constructed latrines_by_WASHAgencies]]+WWWW[[#This Row],['#_Non Cluster partner latrines]]))</f>
        <v>278</v>
      </c>
      <c r="CS368" s="78">
        <f>1-WWWW[[#This Row],[% people access to functioning Latrine]]</f>
        <v>1</v>
      </c>
      <c r="CT368" s="560">
        <f>IF(OR(WWWW[[#This Row],['#_Non-functional latrines]]="",WWWW[[#This Row],['#_Non-functional latrines]]=0),0,WWWW[[#This Row],['#_Non-functional latrines]]/(WWWW[[#This Row],['#_Constructed latrines_by_WASHAgencies]]+WWWW[[#This Row],['#_Non Cluster partner latrines]]))</f>
        <v>0</v>
      </c>
      <c r="CU368" s="556">
        <f>IF(500*(WWWW[[#This Row],['#_male hygiene promoters]]+WWWW[[#This Row],['#_female hygiene promoters]])&gt;WWWW[[#This Row],[Total PoP ]],WWWW[[#This Row],[Total PoP ]],500*(WWWW[[#This Row],['#_male hygiene promoters]]+WWWW[[#This Row],['#_female hygiene promoters]]))</f>
        <v>0</v>
      </c>
      <c r="CV36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8" s="558">
        <f>IF(WWWW[[#This Row],['# People with access to soap]]&gt;WWWW[[#This Row],['# People with access to Sanity Pads]],WWWW[[#This Row],['# People with access to soap]],WWWW[[#This Row],['# People with access to Sanity Pads]])</f>
        <v>0</v>
      </c>
      <c r="CY36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8" s="561">
        <f>IF(WWWW[[#This Row],[HRP3]]/WWWW[[#This Row],[Total PoP ]]&gt;100%,100%,WWWW[[#This Row],[HRP3]]/WWWW[[#This Row],[Total PoP ]])</f>
        <v>0</v>
      </c>
      <c r="DA368" s="560">
        <f>1-WWWW[[#This Row],[Hygiene Coverage%]]</f>
        <v>1</v>
      </c>
      <c r="DB368" s="559">
        <f>WWWW[[#This Row],['# people reached by regular dedicated hygiene promotion_5]]/WWWW[[#This Row],[Total PoP ]]</f>
        <v>0</v>
      </c>
      <c r="DC368" s="559">
        <f>IF(WWWW[[#This Row],['#_households that received standard amount of soap for this quarter]]/WWWW[[#This Row],[Total HH]]&gt;1,1,WWWW[[#This Row],['#_households that received standard amount of soap for this quarter]]/WWWW[[#This Row],[Total HH]])</f>
        <v>0</v>
      </c>
      <c r="DD368" s="559">
        <f>IF(WWWW[[#This Row],['#_households that received standard amount of sanitary pads for this quarter]]/WWWW[[#This Row],[Total HH]]&gt;1,1,WWWW[[#This Row],['#_households that received standard amount of sanitary pads for this quarter]]/WWWW[[#This Row],[Total HH]])</f>
        <v>0</v>
      </c>
      <c r="DE368" s="558">
        <f>WWWW[[#This Row],['#_Constructed/Existing hand washing stations]]-WWWW[[#This Row],['#_Non-Functional_hand_washing_stations]]</f>
        <v>0</v>
      </c>
      <c r="DF368" s="757">
        <f>IF(WWWW[[#This Row],['# Functional hand washing stations during reporting period]]*20&gt;WWWW[[#This Row],[Total HH]],WWWW[[#This Row],[Total HH]],WWWW[[#This Row],['# Functional hand washing stations during reporting period]]*20)</f>
        <v>0</v>
      </c>
      <c r="DG368" s="556">
        <f>IF(WWWW[[#This Row],[Is sufficient soap available for TLS? (Yes/No)]]="yes",WWWW[[#This Row],['#_Constructed/Existing hand washing stations at TLS]],0)</f>
        <v>0</v>
      </c>
      <c r="DH368" s="556">
        <f>IF(WWWW[[#This Row],['# Functional hand washing stations during reporting period]]*100&gt;WWWW[[#This Row],[Total PoP ]],WWWW[[#This Row],[Total PoP ]],WWWW[[#This Row],['# Functional hand washing stations during reporting period]]*100)</f>
        <v>0</v>
      </c>
      <c r="DI368" s="556" t="str">
        <f>IF(OR(WWWW[[#This Row],['#_students at TLS_CFS]]="",WWWW[[#This Row],['#_students at TLS_CFS]]=0),"No","Yes")</f>
        <v>No</v>
      </c>
      <c r="DJ368" s="554">
        <f>VLOOKUP(WWWW[[#This Row],[Site Name]],SiteDB6[[Site Name]:[CCCM Management]],6,FALSE)</f>
        <v>0</v>
      </c>
      <c r="DK368" s="554">
        <f>VLOOKUP(WWWW[[#This Row],[Site Name]],SiteDB6[[Site Name]:[CCCM Focal Agency]],7,FALSE)</f>
        <v>0</v>
      </c>
      <c r="DL368" s="554" t="str">
        <f>VLOOKUP(WWWW[[#This Row],[Site Name]],SiteDB6[[Site Name]:[Location Type 1]],9,FALSE)</f>
        <v>Village</v>
      </c>
      <c r="DM368" s="554" t="str">
        <f>VLOOKUP(WWWW[[#This Row],[Site Name]],SiteDB6[[Site Name]:[Type of Accommodation]],10,FALSE)</f>
        <v>Village_Not HRP</v>
      </c>
      <c r="DN368" s="554" t="str">
        <f>VLOOKUP(WWWW[[#This Row],[Site Name]],SiteDB6[[Site Name]:[Ethnic or GCA/NGCA]],11,FALSE)</f>
        <v>Rakhine</v>
      </c>
      <c r="DO368" s="554">
        <f>VLOOKUP(WWWW[[#This Row],[Site Name]],SiteDB6[[Site Name]:[Lat]],12,FALSE)</f>
        <v>20.705930710000001</v>
      </c>
      <c r="DP368" s="554">
        <f>VLOOKUP(WWWW[[#This Row],[Site Name]],SiteDB6[[Site Name]:[Long]],13,FALSE)</f>
        <v>93.001953130000004</v>
      </c>
      <c r="DQ368" s="554">
        <f>VLOOKUP(WWWW[[#This Row],[Site Name]],SiteDB6[[Site Name]:[Pcode]],3,FALSE)</f>
        <v>196943</v>
      </c>
      <c r="DR368" s="563" t="str">
        <f t="shared" si="12"/>
        <v>Covered</v>
      </c>
      <c r="DS368" s="563"/>
    </row>
    <row r="369" spans="1:126">
      <c r="A369" s="552" t="s">
        <v>2518</v>
      </c>
      <c r="B369" s="552" t="s">
        <v>336</v>
      </c>
      <c r="C369" s="555" t="s">
        <v>336</v>
      </c>
      <c r="D369" s="555" t="s">
        <v>307</v>
      </c>
      <c r="E369" s="574" t="s">
        <v>3006</v>
      </c>
      <c r="F369" s="555" t="s">
        <v>320</v>
      </c>
      <c r="G369" s="574" t="str">
        <f>VLOOKUP(WWWW[[#This Row],[Site Name]],SiteDB6[[Site Name]:[Location Type]],8,FALSE)</f>
        <v>Village</v>
      </c>
      <c r="H369" s="555" t="s">
        <v>2307</v>
      </c>
      <c r="I369" s="557">
        <v>128</v>
      </c>
      <c r="J369" s="557">
        <v>770</v>
      </c>
      <c r="K369" s="564">
        <v>43374</v>
      </c>
      <c r="L369" s="565">
        <v>43738</v>
      </c>
      <c r="M369" s="557"/>
      <c r="N369" s="557"/>
      <c r="O369" s="557"/>
      <c r="P369" s="557"/>
      <c r="Q369" s="556"/>
      <c r="R369" s="557"/>
      <c r="S369" s="557"/>
      <c r="T369" s="557"/>
      <c r="U369" s="557"/>
      <c r="V369" s="557"/>
      <c r="W369" s="557"/>
      <c r="X369" s="557"/>
      <c r="Y369" s="557"/>
      <c r="Z369" s="557"/>
      <c r="AA369" s="557"/>
      <c r="AB369" s="557"/>
      <c r="AC369" s="557"/>
      <c r="AD369" s="557"/>
      <c r="AE369" s="557"/>
      <c r="AF369" s="557"/>
      <c r="AG369" s="557"/>
      <c r="AH369" s="557"/>
      <c r="AI369" s="557"/>
      <c r="AJ369" s="557"/>
      <c r="AK369" s="557"/>
      <c r="AL369" s="557"/>
      <c r="AM369" s="557"/>
      <c r="AN369" s="557"/>
      <c r="AO369" s="563"/>
      <c r="AP369" s="557"/>
      <c r="AQ369" s="557"/>
      <c r="AR369" s="559"/>
      <c r="AS369" s="557"/>
      <c r="AT369" s="557"/>
      <c r="AU369" s="557"/>
      <c r="AV369" s="557"/>
      <c r="AW369" s="557"/>
      <c r="AX369" s="554"/>
      <c r="AY369" s="563"/>
      <c r="AZ369" s="557"/>
      <c r="BA369" s="557"/>
      <c r="BB369" s="557"/>
      <c r="BC369" s="554"/>
      <c r="BD369" s="557"/>
      <c r="BE369" s="557"/>
      <c r="BF369" s="557"/>
      <c r="BG369" s="557"/>
      <c r="BH369" s="557"/>
      <c r="BI369" s="557"/>
      <c r="BJ369" s="557"/>
      <c r="BK369" s="557"/>
      <c r="BL369" s="557"/>
      <c r="BM369" s="554"/>
      <c r="BN369" s="558"/>
      <c r="BO369" s="559"/>
      <c r="BP369" s="554"/>
      <c r="BQ369" s="560" t="str">
        <f>IFERROR(WWWW[[#This Row],['#_Water sources treated]]/WWWW[[#This Row],['#_Water sources tested for contamination]],"no test")</f>
        <v>no test</v>
      </c>
      <c r="BR369" s="559" t="str">
        <f>IFERROR(WWWW[[#This Row],['#_Household received remediation action due to contamination]]/WWWW[[#This Row],['#_Household water samples tested for contamination]],"no test")</f>
        <v>no test</v>
      </c>
      <c r="BS369" s="558" t="str">
        <f>IF(AND(WWWW[[#This Row],[% of water sources treated]]="no test",WWWW[[#This Row],[% Household received corrective actions]]="no test"),"No Test","Tested")</f>
        <v>No Test</v>
      </c>
      <c r="BT369" s="558">
        <f>WWWW[[#This Row],['#_Constructed/existing protected hand dug well]]-WWWW[[#This Row],['#_Non-functional protected hand dug well]]</f>
        <v>0</v>
      </c>
      <c r="BU369" s="558">
        <f>(WWWW[[#This Row],['#_Constructed/Existing tube wells/boreholes/handpumps_WASH_agency]]+WWWW[[#This Row],['#_Non-Cluster partner water tube-wells/boreholes/handpumps]])-WWWW[[#This Row],['#_Non-functional tube wells/boreholes/handpumps]]</f>
        <v>0</v>
      </c>
      <c r="BV369" s="558">
        <f>WWWW[[#This Row],['#_Constructed/Existingwater storage tank with gravity fed reticulation system]]-WWWW[[#This Row],['#_Non-functional storage tank gravity fed reticulation system]]</f>
        <v>0</v>
      </c>
      <c r="BW369" s="558">
        <f>WWWW[[#This Row],['#_Water boating or water trucking]]</f>
        <v>0</v>
      </c>
      <c r="BX369" s="558">
        <f>WWWW[[#This Row],['#_Constructed/Existing water distribution system from river or natural spring]]</f>
        <v>0</v>
      </c>
      <c r="BY36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6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69" s="559">
        <f>IF(WWWW[[#This Row],[Location Type 1]]="Village",WWWW[[#This Row],[Access to safe drinking water for Village]],WWWW[[#This Row],[Access to safe drinking water for Camp]])</f>
        <v>0</v>
      </c>
      <c r="CB369" s="556">
        <f>WWWW[[#This Row],[%Equitable and continuous access to sufficient quantity of safe drinking water]]*WWWW[[#This Row],[Total PoP ]]</f>
        <v>0</v>
      </c>
      <c r="CC369" s="559">
        <f>IF((WWWW[[#This Row],['#_Constructed/Existing protected/fenced ponds]]*250)/WWWW[[#This Row],[Total PoP ]]&gt;1,1,(WWWW[[#This Row],['#_Constructed/Existing protected/fenced ponds]]*250)/WWWW[[#This Row],[Total PoP ]])</f>
        <v>0</v>
      </c>
      <c r="CD369" s="556">
        <f>WWWW[[#This Row],[% Access to unimproved water points]]*WWWW[[#This Row],[Total PoP ]]</f>
        <v>0</v>
      </c>
      <c r="CE36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6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69" s="556">
        <f>WWWW[[#This Row],[HRP1]]/500</f>
        <v>0</v>
      </c>
      <c r="CH369" s="561">
        <f>1-WWWW[[#This Row],[% Equitable and continuous access to sufficient quantity of domestic water]]</f>
        <v>1</v>
      </c>
      <c r="CI369" s="556">
        <f>WWWW[[#This Row],[%equitable and continuous access to sufficient quantity of safe drinking and domestic water''s GAP]]*WWWW[[#This Row],[Total PoP ]]</f>
        <v>770</v>
      </c>
      <c r="CJ369" s="558">
        <f>IF(WWWW[[#This Row],[Total required water points]]-WWWW[[#This Row],['#Water points coverage]]&lt;0,0,WWWW[[#This Row],[Total required water points]]-WWWW[[#This Row],['#Water points coverage]])</f>
        <v>2</v>
      </c>
      <c r="CK369" s="558">
        <f>ROUND(IF(WWWW[[#This Row],[Total PoP ]]&lt;500,1,WWWW[[#This Row],[Total PoP ]]/500),0)</f>
        <v>2</v>
      </c>
      <c r="CL369" s="558">
        <f>(WWWW[[#This Row],['#_Constructed latrines_by_WASHAgencies]]+WWWW[[#This Row],['#_Non Cluster partner latrines]])-WWWW[[#This Row],['#_Non-functional latrines]]</f>
        <v>0</v>
      </c>
      <c r="CM36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6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69"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69" s="558" t="str">
        <f>IF(WWWW[[#This Row],[Location Type 1]]="Village","NA",IF(WWWW[[#This Row],['#_Constructed/Existing latrines in TLS]]*50&gt;WWWW[[#This Row],['#_students at TLS_CFS]],WWWW[[#This Row],['#_students at TLS_CFS]],(WWWW[[#This Row],['#_Constructed/Existing latrines in TLS]]*50)))</f>
        <v>NA</v>
      </c>
      <c r="CQ369" s="558">
        <f>ROUND(IF(WWWW[[#This Row],[Location Type 1]]="camp",WWWW[[#This Row],[Total PoP ]]/20,IF(WWWW[[#This Row],[Location Type 1]]="Temporary Location",WWWW[[#This Row],[Total PoP ]]/50,(WWWW[[#This Row],[Total PoP ]]/6))),0)</f>
        <v>128</v>
      </c>
      <c r="CR369" s="558">
        <f>IF(WWWW[[#This Row],[Total required Latrines]]-(WWWW[[#This Row],['#_Constructed latrines_by_WASHAgencies]]+WWWW[[#This Row],['#_Non Cluster partner latrines]])&lt;0,0,WWWW[[#This Row],[Total required Latrines]]-(WWWW[[#This Row],['#_Constructed latrines_by_WASHAgencies]]+WWWW[[#This Row],['#_Non Cluster partner latrines]]))</f>
        <v>128</v>
      </c>
      <c r="CS369" s="78">
        <f>1-WWWW[[#This Row],[% people access to functioning Latrine]]</f>
        <v>1</v>
      </c>
      <c r="CT369" s="560">
        <f>IF(OR(WWWW[[#This Row],['#_Non-functional latrines]]="",WWWW[[#This Row],['#_Non-functional latrines]]=0),0,WWWW[[#This Row],['#_Non-functional latrines]]/(WWWW[[#This Row],['#_Constructed latrines_by_WASHAgencies]]+WWWW[[#This Row],['#_Non Cluster partner latrines]]))</f>
        <v>0</v>
      </c>
      <c r="CU369" s="556">
        <f>IF(500*(WWWW[[#This Row],['#_male hygiene promoters]]+WWWW[[#This Row],['#_female hygiene promoters]])&gt;WWWW[[#This Row],[Total PoP ]],WWWW[[#This Row],[Total PoP ]],500*(WWWW[[#This Row],['#_male hygiene promoters]]+WWWW[[#This Row],['#_female hygiene promoters]]))</f>
        <v>0</v>
      </c>
      <c r="CV36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6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69" s="558">
        <f>IF(WWWW[[#This Row],['# People with access to soap]]&gt;WWWW[[#This Row],['# People with access to Sanity Pads]],WWWW[[#This Row],['# People with access to soap]],WWWW[[#This Row],['# People with access to Sanity Pads]])</f>
        <v>0</v>
      </c>
      <c r="CY36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69" s="561">
        <f>IF(WWWW[[#This Row],[HRP3]]/WWWW[[#This Row],[Total PoP ]]&gt;100%,100%,WWWW[[#This Row],[HRP3]]/WWWW[[#This Row],[Total PoP ]])</f>
        <v>0</v>
      </c>
      <c r="DA369" s="560">
        <f>1-WWWW[[#This Row],[Hygiene Coverage%]]</f>
        <v>1</v>
      </c>
      <c r="DB369" s="559">
        <f>WWWW[[#This Row],['# people reached by regular dedicated hygiene promotion_5]]/WWWW[[#This Row],[Total PoP ]]</f>
        <v>0</v>
      </c>
      <c r="DC369" s="559">
        <f>IF(WWWW[[#This Row],['#_households that received standard amount of soap for this quarter]]/WWWW[[#This Row],[Total HH]]&gt;1,1,WWWW[[#This Row],['#_households that received standard amount of soap for this quarter]]/WWWW[[#This Row],[Total HH]])</f>
        <v>0</v>
      </c>
      <c r="DD369" s="559">
        <f>IF(WWWW[[#This Row],['#_households that received standard amount of sanitary pads for this quarter]]/WWWW[[#This Row],[Total HH]]&gt;1,1,WWWW[[#This Row],['#_households that received standard amount of sanitary pads for this quarter]]/WWWW[[#This Row],[Total HH]])</f>
        <v>0</v>
      </c>
      <c r="DE369" s="558">
        <f>WWWW[[#This Row],['#_Constructed/Existing hand washing stations]]-WWWW[[#This Row],['#_Non-Functional_hand_washing_stations]]</f>
        <v>0</v>
      </c>
      <c r="DF369" s="757">
        <f>IF(WWWW[[#This Row],['# Functional hand washing stations during reporting period]]*20&gt;WWWW[[#This Row],[Total HH]],WWWW[[#This Row],[Total HH]],WWWW[[#This Row],['# Functional hand washing stations during reporting period]]*20)</f>
        <v>0</v>
      </c>
      <c r="DG369" s="556">
        <f>IF(WWWW[[#This Row],[Is sufficient soap available for TLS? (Yes/No)]]="yes",WWWW[[#This Row],['#_Constructed/Existing hand washing stations at TLS]],0)</f>
        <v>0</v>
      </c>
      <c r="DH369" s="556">
        <f>IF(WWWW[[#This Row],['# Functional hand washing stations during reporting period]]*100&gt;WWWW[[#This Row],[Total PoP ]],WWWW[[#This Row],[Total PoP ]],WWWW[[#This Row],['# Functional hand washing stations during reporting period]]*100)</f>
        <v>0</v>
      </c>
      <c r="DI369" s="556" t="str">
        <f>IF(OR(WWWW[[#This Row],['#_students at TLS_CFS]]="",WWWW[[#This Row],['#_students at TLS_CFS]]=0),"No","Yes")</f>
        <v>No</v>
      </c>
      <c r="DJ369" s="554">
        <f>VLOOKUP(WWWW[[#This Row],[Site Name]],SiteDB6[[Site Name]:[CCCM Management]],6,FALSE)</f>
        <v>0</v>
      </c>
      <c r="DK369" s="554">
        <f>VLOOKUP(WWWW[[#This Row],[Site Name]],SiteDB6[[Site Name]:[CCCM Focal Agency]],7,FALSE)</f>
        <v>0</v>
      </c>
      <c r="DL369" s="554" t="str">
        <f>VLOOKUP(WWWW[[#This Row],[Site Name]],SiteDB6[[Site Name]:[Location Type 1]],9,FALSE)</f>
        <v>Village</v>
      </c>
      <c r="DM369" s="554" t="str">
        <f>VLOOKUP(WWWW[[#This Row],[Site Name]],SiteDB6[[Site Name]:[Type of Accommodation]],10,FALSE)</f>
        <v>Village</v>
      </c>
      <c r="DN369" s="554">
        <f>VLOOKUP(WWWW[[#This Row],[Site Name]],SiteDB6[[Site Name]:[Ethnic or GCA/NGCA]],11,FALSE)</f>
        <v>0</v>
      </c>
      <c r="DO369" s="554">
        <f>VLOOKUP(WWWW[[#This Row],[Site Name]],SiteDB6[[Site Name]:[Lat]],12,FALSE)</f>
        <v>20.727590559999999</v>
      </c>
      <c r="DP369" s="554">
        <f>VLOOKUP(WWWW[[#This Row],[Site Name]],SiteDB6[[Site Name]:[Long]],13,FALSE)</f>
        <v>92.969352720000003</v>
      </c>
      <c r="DQ369" s="554">
        <f>VLOOKUP(WWWW[[#This Row],[Site Name]],SiteDB6[[Site Name]:[Pcode]],3,FALSE)</f>
        <v>196816</v>
      </c>
      <c r="DR369" s="563" t="str">
        <f t="shared" si="12"/>
        <v>Covered</v>
      </c>
      <c r="DS369" s="563"/>
    </row>
    <row r="370" spans="1:126">
      <c r="A370" s="552" t="s">
        <v>2518</v>
      </c>
      <c r="B370" s="552" t="s">
        <v>336</v>
      </c>
      <c r="C370" s="555" t="s">
        <v>336</v>
      </c>
      <c r="D370" s="555" t="s">
        <v>307</v>
      </c>
      <c r="E370" s="574" t="s">
        <v>3006</v>
      </c>
      <c r="F370" s="555" t="s">
        <v>320</v>
      </c>
      <c r="G370" s="574" t="str">
        <f>VLOOKUP(WWWW[[#This Row],[Site Name]],SiteDB6[[Site Name]:[Location Type]],8,FALSE)</f>
        <v>Village</v>
      </c>
      <c r="H370" s="555" t="s">
        <v>2306</v>
      </c>
      <c r="I370" s="557">
        <v>120</v>
      </c>
      <c r="J370" s="557">
        <v>531</v>
      </c>
      <c r="K370" s="564">
        <v>43374</v>
      </c>
      <c r="L370" s="565">
        <v>43738</v>
      </c>
      <c r="M370" s="557"/>
      <c r="N370" s="557"/>
      <c r="O370" s="557"/>
      <c r="P370" s="557"/>
      <c r="Q370" s="556"/>
      <c r="R370" s="557"/>
      <c r="S370" s="557"/>
      <c r="T370" s="557"/>
      <c r="U370" s="557"/>
      <c r="V370" s="557"/>
      <c r="W370" s="557"/>
      <c r="X370" s="557"/>
      <c r="Y370" s="557"/>
      <c r="Z370" s="557"/>
      <c r="AA370" s="557"/>
      <c r="AB370" s="557"/>
      <c r="AC370" s="557"/>
      <c r="AD370" s="557"/>
      <c r="AE370" s="557"/>
      <c r="AF370" s="557"/>
      <c r="AG370" s="557"/>
      <c r="AH370" s="557"/>
      <c r="AI370" s="557"/>
      <c r="AJ370" s="557"/>
      <c r="AK370" s="557"/>
      <c r="AL370" s="557"/>
      <c r="AM370" s="557"/>
      <c r="AN370" s="557"/>
      <c r="AO370" s="563"/>
      <c r="AP370" s="557"/>
      <c r="AQ370" s="557"/>
      <c r="AR370" s="559"/>
      <c r="AS370" s="557"/>
      <c r="AT370" s="557"/>
      <c r="AU370" s="557"/>
      <c r="AV370" s="557"/>
      <c r="AW370" s="557"/>
      <c r="AX370" s="554"/>
      <c r="AY370" s="563"/>
      <c r="AZ370" s="557"/>
      <c r="BA370" s="557"/>
      <c r="BB370" s="557"/>
      <c r="BC370" s="554"/>
      <c r="BD370" s="557"/>
      <c r="BE370" s="557"/>
      <c r="BF370" s="557"/>
      <c r="BG370" s="557"/>
      <c r="BH370" s="557"/>
      <c r="BI370" s="557"/>
      <c r="BJ370" s="557"/>
      <c r="BK370" s="557"/>
      <c r="BL370" s="557"/>
      <c r="BM370" s="554"/>
      <c r="BN370" s="558"/>
      <c r="BO370" s="559"/>
      <c r="BP370" s="554"/>
      <c r="BQ370" s="560" t="str">
        <f>IFERROR(WWWW[[#This Row],['#_Water sources treated]]/WWWW[[#This Row],['#_Water sources tested for contamination]],"no test")</f>
        <v>no test</v>
      </c>
      <c r="BR370" s="559" t="str">
        <f>IFERROR(WWWW[[#This Row],['#_Household received remediation action due to contamination]]/WWWW[[#This Row],['#_Household water samples tested for contamination]],"no test")</f>
        <v>no test</v>
      </c>
      <c r="BS370" s="558" t="str">
        <f>IF(AND(WWWW[[#This Row],[% of water sources treated]]="no test",WWWW[[#This Row],[% Household received corrective actions]]="no test"),"No Test","Tested")</f>
        <v>No Test</v>
      </c>
      <c r="BT370" s="558">
        <f>WWWW[[#This Row],['#_Constructed/existing protected hand dug well]]-WWWW[[#This Row],['#_Non-functional protected hand dug well]]</f>
        <v>0</v>
      </c>
      <c r="BU370" s="558">
        <f>(WWWW[[#This Row],['#_Constructed/Existing tube wells/boreholes/handpumps_WASH_agency]]+WWWW[[#This Row],['#_Non-Cluster partner water tube-wells/boreholes/handpumps]])-WWWW[[#This Row],['#_Non-functional tube wells/boreholes/handpumps]]</f>
        <v>0</v>
      </c>
      <c r="BV370" s="558">
        <f>WWWW[[#This Row],['#_Constructed/Existingwater storage tank with gravity fed reticulation system]]-WWWW[[#This Row],['#_Non-functional storage tank gravity fed reticulation system]]</f>
        <v>0</v>
      </c>
      <c r="BW370" s="558">
        <f>WWWW[[#This Row],['#_Water boating or water trucking]]</f>
        <v>0</v>
      </c>
      <c r="BX370" s="558">
        <f>WWWW[[#This Row],['#_Constructed/Existing water distribution system from river or natural spring]]</f>
        <v>0</v>
      </c>
      <c r="BY37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0" s="559">
        <f>IF(WWWW[[#This Row],[Location Type 1]]="Village",WWWW[[#This Row],[Access to safe drinking water for Village]],WWWW[[#This Row],[Access to safe drinking water for Camp]])</f>
        <v>0</v>
      </c>
      <c r="CB370" s="556">
        <f>WWWW[[#This Row],[%Equitable and continuous access to sufficient quantity of safe drinking water]]*WWWW[[#This Row],[Total PoP ]]</f>
        <v>0</v>
      </c>
      <c r="CC370" s="559">
        <f>IF((WWWW[[#This Row],['#_Constructed/Existing protected/fenced ponds]]*250)/WWWW[[#This Row],[Total PoP ]]&gt;1,1,(WWWW[[#This Row],['#_Constructed/Existing protected/fenced ponds]]*250)/WWWW[[#This Row],[Total PoP ]])</f>
        <v>0</v>
      </c>
      <c r="CD370" s="556">
        <f>WWWW[[#This Row],[% Access to unimproved water points]]*WWWW[[#This Row],[Total PoP ]]</f>
        <v>0</v>
      </c>
      <c r="CE37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0" s="556">
        <f>WWWW[[#This Row],[HRP1]]/500</f>
        <v>0</v>
      </c>
      <c r="CH370" s="561">
        <f>1-WWWW[[#This Row],[% Equitable and continuous access to sufficient quantity of domestic water]]</f>
        <v>1</v>
      </c>
      <c r="CI370" s="556">
        <f>WWWW[[#This Row],[%equitable and continuous access to sufficient quantity of safe drinking and domestic water''s GAP]]*WWWW[[#This Row],[Total PoP ]]</f>
        <v>531</v>
      </c>
      <c r="CJ370" s="558">
        <f>IF(WWWW[[#This Row],[Total required water points]]-WWWW[[#This Row],['#Water points coverage]]&lt;0,0,WWWW[[#This Row],[Total required water points]]-WWWW[[#This Row],['#Water points coverage]])</f>
        <v>1</v>
      </c>
      <c r="CK370" s="558">
        <f>ROUND(IF(WWWW[[#This Row],[Total PoP ]]&lt;500,1,WWWW[[#This Row],[Total PoP ]]/500),0)</f>
        <v>1</v>
      </c>
      <c r="CL370" s="558">
        <f>(WWWW[[#This Row],['#_Constructed latrines_by_WASHAgencies]]+WWWW[[#This Row],['#_Non Cluster partner latrines]])-WWWW[[#This Row],['#_Non-functional latrines]]</f>
        <v>0</v>
      </c>
      <c r="CM37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0"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0" s="558" t="str">
        <f>IF(WWWW[[#This Row],[Location Type 1]]="Village","NA",IF(WWWW[[#This Row],['#_Constructed/Existing latrines in TLS]]*50&gt;WWWW[[#This Row],['#_students at TLS_CFS]],WWWW[[#This Row],['#_students at TLS_CFS]],(WWWW[[#This Row],['#_Constructed/Existing latrines in TLS]]*50)))</f>
        <v>NA</v>
      </c>
      <c r="CQ370" s="558">
        <f>ROUND(IF(WWWW[[#This Row],[Location Type 1]]="camp",WWWW[[#This Row],[Total PoP ]]/20,IF(WWWW[[#This Row],[Location Type 1]]="Temporary Location",WWWW[[#This Row],[Total PoP ]]/50,(WWWW[[#This Row],[Total PoP ]]/6))),0)</f>
        <v>89</v>
      </c>
      <c r="CR370" s="558">
        <f>IF(WWWW[[#This Row],[Total required Latrines]]-(WWWW[[#This Row],['#_Constructed latrines_by_WASHAgencies]]+WWWW[[#This Row],['#_Non Cluster partner latrines]])&lt;0,0,WWWW[[#This Row],[Total required Latrines]]-(WWWW[[#This Row],['#_Constructed latrines_by_WASHAgencies]]+WWWW[[#This Row],['#_Non Cluster partner latrines]]))</f>
        <v>89</v>
      </c>
      <c r="CS370" s="78">
        <f>1-WWWW[[#This Row],[% people access to functioning Latrine]]</f>
        <v>1</v>
      </c>
      <c r="CT370" s="560">
        <f>IF(OR(WWWW[[#This Row],['#_Non-functional latrines]]="",WWWW[[#This Row],['#_Non-functional latrines]]=0),0,WWWW[[#This Row],['#_Non-functional latrines]]/(WWWW[[#This Row],['#_Constructed latrines_by_WASHAgencies]]+WWWW[[#This Row],['#_Non Cluster partner latrines]]))</f>
        <v>0</v>
      </c>
      <c r="CU370" s="556">
        <f>IF(500*(WWWW[[#This Row],['#_male hygiene promoters]]+WWWW[[#This Row],['#_female hygiene promoters]])&gt;WWWW[[#This Row],[Total PoP ]],WWWW[[#This Row],[Total PoP ]],500*(WWWW[[#This Row],['#_male hygiene promoters]]+WWWW[[#This Row],['#_female hygiene promoters]]))</f>
        <v>0</v>
      </c>
      <c r="CV37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0" s="558">
        <f>IF(WWWW[[#This Row],['# People with access to soap]]&gt;WWWW[[#This Row],['# People with access to Sanity Pads]],WWWW[[#This Row],['# People with access to soap]],WWWW[[#This Row],['# People with access to Sanity Pads]])</f>
        <v>0</v>
      </c>
      <c r="CY37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0" s="561">
        <f>IF(WWWW[[#This Row],[HRP3]]/WWWW[[#This Row],[Total PoP ]]&gt;100%,100%,WWWW[[#This Row],[HRP3]]/WWWW[[#This Row],[Total PoP ]])</f>
        <v>0</v>
      </c>
      <c r="DA370" s="560">
        <f>1-WWWW[[#This Row],[Hygiene Coverage%]]</f>
        <v>1</v>
      </c>
      <c r="DB370" s="559">
        <f>WWWW[[#This Row],['# people reached by regular dedicated hygiene promotion_5]]/WWWW[[#This Row],[Total PoP ]]</f>
        <v>0</v>
      </c>
      <c r="DC370" s="559">
        <f>IF(WWWW[[#This Row],['#_households that received standard amount of soap for this quarter]]/WWWW[[#This Row],[Total HH]]&gt;1,1,WWWW[[#This Row],['#_households that received standard amount of soap for this quarter]]/WWWW[[#This Row],[Total HH]])</f>
        <v>0</v>
      </c>
      <c r="DD370" s="559">
        <f>IF(WWWW[[#This Row],['#_households that received standard amount of sanitary pads for this quarter]]/WWWW[[#This Row],[Total HH]]&gt;1,1,WWWW[[#This Row],['#_households that received standard amount of sanitary pads for this quarter]]/WWWW[[#This Row],[Total HH]])</f>
        <v>0</v>
      </c>
      <c r="DE370" s="558">
        <f>WWWW[[#This Row],['#_Constructed/Existing hand washing stations]]-WWWW[[#This Row],['#_Non-Functional_hand_washing_stations]]</f>
        <v>0</v>
      </c>
      <c r="DF370" s="757">
        <f>IF(WWWW[[#This Row],['# Functional hand washing stations during reporting period]]*20&gt;WWWW[[#This Row],[Total HH]],WWWW[[#This Row],[Total HH]],WWWW[[#This Row],['# Functional hand washing stations during reporting period]]*20)</f>
        <v>0</v>
      </c>
      <c r="DG370" s="556">
        <f>IF(WWWW[[#This Row],[Is sufficient soap available for TLS? (Yes/No)]]="yes",WWWW[[#This Row],['#_Constructed/Existing hand washing stations at TLS]],0)</f>
        <v>0</v>
      </c>
      <c r="DH370" s="556">
        <f>IF(WWWW[[#This Row],['# Functional hand washing stations during reporting period]]*100&gt;WWWW[[#This Row],[Total PoP ]],WWWW[[#This Row],[Total PoP ]],WWWW[[#This Row],['# Functional hand washing stations during reporting period]]*100)</f>
        <v>0</v>
      </c>
      <c r="DI370" s="556" t="str">
        <f>IF(OR(WWWW[[#This Row],['#_students at TLS_CFS]]="",WWWW[[#This Row],['#_students at TLS_CFS]]=0),"No","Yes")</f>
        <v>No</v>
      </c>
      <c r="DJ370" s="554">
        <f>VLOOKUP(WWWW[[#This Row],[Site Name]],SiteDB6[[Site Name]:[CCCM Management]],6,FALSE)</f>
        <v>0</v>
      </c>
      <c r="DK370" s="554">
        <f>VLOOKUP(WWWW[[#This Row],[Site Name]],SiteDB6[[Site Name]:[CCCM Focal Agency]],7,FALSE)</f>
        <v>0</v>
      </c>
      <c r="DL370" s="554" t="str">
        <f>VLOOKUP(WWWW[[#This Row],[Site Name]],SiteDB6[[Site Name]:[Location Type 1]],9,FALSE)</f>
        <v>Village</v>
      </c>
      <c r="DM370" s="554" t="str">
        <f>VLOOKUP(WWWW[[#This Row],[Site Name]],SiteDB6[[Site Name]:[Type of Accommodation]],10,FALSE)</f>
        <v>Village</v>
      </c>
      <c r="DN370" s="554">
        <f>VLOOKUP(WWWW[[#This Row],[Site Name]],SiteDB6[[Site Name]:[Ethnic or GCA/NGCA]],11,FALSE)</f>
        <v>0</v>
      </c>
      <c r="DO370" s="554">
        <f>VLOOKUP(WWWW[[#This Row],[Site Name]],SiteDB6[[Site Name]:[Lat]],12,FALSE)</f>
        <v>20.896429059999999</v>
      </c>
      <c r="DP370" s="554">
        <f>VLOOKUP(WWWW[[#This Row],[Site Name]],SiteDB6[[Site Name]:[Long]],13,FALSE)</f>
        <v>92.940193179999994</v>
      </c>
      <c r="DQ370" s="554">
        <f>VLOOKUP(WWWW[[#This Row],[Site Name]],SiteDB6[[Site Name]:[Pcode]],3,FALSE)</f>
        <v>196804</v>
      </c>
      <c r="DR370" s="563" t="str">
        <f t="shared" si="12"/>
        <v>Covered</v>
      </c>
      <c r="DS370" s="563"/>
    </row>
    <row r="371" spans="1:126">
      <c r="A371" s="552" t="s">
        <v>2518</v>
      </c>
      <c r="B371" s="552" t="s">
        <v>336</v>
      </c>
      <c r="C371" s="555" t="s">
        <v>336</v>
      </c>
      <c r="D371" s="555" t="s">
        <v>307</v>
      </c>
      <c r="E371" s="574" t="s">
        <v>3006</v>
      </c>
      <c r="F371" s="555" t="s">
        <v>320</v>
      </c>
      <c r="G371" s="574" t="str">
        <f>VLOOKUP(WWWW[[#This Row],[Site Name]],SiteDB6[[Site Name]:[Location Type]],8,FALSE)</f>
        <v>Village</v>
      </c>
      <c r="H371" s="555" t="s">
        <v>2299</v>
      </c>
      <c r="I371" s="557">
        <v>116</v>
      </c>
      <c r="J371" s="557">
        <v>667</v>
      </c>
      <c r="K371" s="564">
        <v>43374</v>
      </c>
      <c r="L371" s="565">
        <v>43738</v>
      </c>
      <c r="M371" s="557"/>
      <c r="N371" s="557"/>
      <c r="O371" s="557"/>
      <c r="P371" s="557"/>
      <c r="Q371" s="556"/>
      <c r="R371" s="557"/>
      <c r="S371" s="557"/>
      <c r="T371" s="557"/>
      <c r="U371" s="557"/>
      <c r="V371" s="557"/>
      <c r="W371" s="557"/>
      <c r="X371" s="557"/>
      <c r="Y371" s="557"/>
      <c r="Z371" s="557"/>
      <c r="AA371" s="557"/>
      <c r="AB371" s="557"/>
      <c r="AC371" s="557"/>
      <c r="AD371" s="557"/>
      <c r="AE371" s="557"/>
      <c r="AF371" s="557"/>
      <c r="AG371" s="557"/>
      <c r="AH371" s="557"/>
      <c r="AI371" s="557"/>
      <c r="AJ371" s="557"/>
      <c r="AK371" s="557"/>
      <c r="AL371" s="557"/>
      <c r="AM371" s="557"/>
      <c r="AN371" s="557"/>
      <c r="AO371" s="563"/>
      <c r="AP371" s="557"/>
      <c r="AQ371" s="557"/>
      <c r="AR371" s="559"/>
      <c r="AS371" s="557"/>
      <c r="AT371" s="557"/>
      <c r="AU371" s="557"/>
      <c r="AV371" s="557"/>
      <c r="AW371" s="557"/>
      <c r="AX371" s="554"/>
      <c r="AY371" s="563"/>
      <c r="AZ371" s="557"/>
      <c r="BA371" s="557"/>
      <c r="BB371" s="557"/>
      <c r="BC371" s="554"/>
      <c r="BD371" s="557"/>
      <c r="BE371" s="557"/>
      <c r="BF371" s="557"/>
      <c r="BG371" s="557"/>
      <c r="BH371" s="557"/>
      <c r="BI371" s="557"/>
      <c r="BJ371" s="557"/>
      <c r="BK371" s="557"/>
      <c r="BL371" s="557"/>
      <c r="BM371" s="554"/>
      <c r="BN371" s="558"/>
      <c r="BO371" s="559"/>
      <c r="BP371" s="554"/>
      <c r="BQ371" s="560" t="str">
        <f>IFERROR(WWWW[[#This Row],['#_Water sources treated]]/WWWW[[#This Row],['#_Water sources tested for contamination]],"no test")</f>
        <v>no test</v>
      </c>
      <c r="BR371" s="559" t="str">
        <f>IFERROR(WWWW[[#This Row],['#_Household received remediation action due to contamination]]/WWWW[[#This Row],['#_Household water samples tested for contamination]],"no test")</f>
        <v>no test</v>
      </c>
      <c r="BS371" s="558" t="str">
        <f>IF(AND(WWWW[[#This Row],[% of water sources treated]]="no test",WWWW[[#This Row],[% Household received corrective actions]]="no test"),"No Test","Tested")</f>
        <v>No Test</v>
      </c>
      <c r="BT371" s="558">
        <f>WWWW[[#This Row],['#_Constructed/existing protected hand dug well]]-WWWW[[#This Row],['#_Non-functional protected hand dug well]]</f>
        <v>0</v>
      </c>
      <c r="BU371" s="558">
        <f>(WWWW[[#This Row],['#_Constructed/Existing tube wells/boreholes/handpumps_WASH_agency]]+WWWW[[#This Row],['#_Non-Cluster partner water tube-wells/boreholes/handpumps]])-WWWW[[#This Row],['#_Non-functional tube wells/boreholes/handpumps]]</f>
        <v>0</v>
      </c>
      <c r="BV371" s="558">
        <f>WWWW[[#This Row],['#_Constructed/Existingwater storage tank with gravity fed reticulation system]]-WWWW[[#This Row],['#_Non-functional storage tank gravity fed reticulation system]]</f>
        <v>0</v>
      </c>
      <c r="BW371" s="558">
        <f>WWWW[[#This Row],['#_Water boating or water trucking]]</f>
        <v>0</v>
      </c>
      <c r="BX371" s="558">
        <f>WWWW[[#This Row],['#_Constructed/Existing water distribution system from river or natural spring]]</f>
        <v>0</v>
      </c>
      <c r="BY37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1" s="559">
        <f>IF(WWWW[[#This Row],[Location Type 1]]="Village",WWWW[[#This Row],[Access to safe drinking water for Village]],WWWW[[#This Row],[Access to safe drinking water for Camp]])</f>
        <v>0</v>
      </c>
      <c r="CB371" s="556">
        <f>WWWW[[#This Row],[%Equitable and continuous access to sufficient quantity of safe drinking water]]*WWWW[[#This Row],[Total PoP ]]</f>
        <v>0</v>
      </c>
      <c r="CC371" s="559">
        <f>IF((WWWW[[#This Row],['#_Constructed/Existing protected/fenced ponds]]*250)/WWWW[[#This Row],[Total PoP ]]&gt;1,1,(WWWW[[#This Row],['#_Constructed/Existing protected/fenced ponds]]*250)/WWWW[[#This Row],[Total PoP ]])</f>
        <v>0</v>
      </c>
      <c r="CD371" s="556">
        <f>WWWW[[#This Row],[% Access to unimproved water points]]*WWWW[[#This Row],[Total PoP ]]</f>
        <v>0</v>
      </c>
      <c r="CE37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1" s="556">
        <f>WWWW[[#This Row],[HRP1]]/500</f>
        <v>0</v>
      </c>
      <c r="CH371" s="561">
        <f>1-WWWW[[#This Row],[% Equitable and continuous access to sufficient quantity of domestic water]]</f>
        <v>1</v>
      </c>
      <c r="CI371" s="556">
        <f>WWWW[[#This Row],[%equitable and continuous access to sufficient quantity of safe drinking and domestic water''s GAP]]*WWWW[[#This Row],[Total PoP ]]</f>
        <v>667</v>
      </c>
      <c r="CJ371" s="558">
        <f>IF(WWWW[[#This Row],[Total required water points]]-WWWW[[#This Row],['#Water points coverage]]&lt;0,0,WWWW[[#This Row],[Total required water points]]-WWWW[[#This Row],['#Water points coverage]])</f>
        <v>1</v>
      </c>
      <c r="CK371" s="558">
        <f>ROUND(IF(WWWW[[#This Row],[Total PoP ]]&lt;500,1,WWWW[[#This Row],[Total PoP ]]/500),0)</f>
        <v>1</v>
      </c>
      <c r="CL371" s="558">
        <f>(WWWW[[#This Row],['#_Constructed latrines_by_WASHAgencies]]+WWWW[[#This Row],['#_Non Cluster partner latrines]])-WWWW[[#This Row],['#_Non-functional latrines]]</f>
        <v>0</v>
      </c>
      <c r="CM37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1"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1" s="558" t="str">
        <f>IF(WWWW[[#This Row],[Location Type 1]]="Village","NA",IF(WWWW[[#This Row],['#_Constructed/Existing latrines in TLS]]*50&gt;WWWW[[#This Row],['#_students at TLS_CFS]],WWWW[[#This Row],['#_students at TLS_CFS]],(WWWW[[#This Row],['#_Constructed/Existing latrines in TLS]]*50)))</f>
        <v>NA</v>
      </c>
      <c r="CQ371" s="558">
        <f>ROUND(IF(WWWW[[#This Row],[Location Type 1]]="camp",WWWW[[#This Row],[Total PoP ]]/20,IF(WWWW[[#This Row],[Location Type 1]]="Temporary Location",WWWW[[#This Row],[Total PoP ]]/50,(WWWW[[#This Row],[Total PoP ]]/6))),0)</f>
        <v>111</v>
      </c>
      <c r="CR371" s="558">
        <f>IF(WWWW[[#This Row],[Total required Latrines]]-(WWWW[[#This Row],['#_Constructed latrines_by_WASHAgencies]]+WWWW[[#This Row],['#_Non Cluster partner latrines]])&lt;0,0,WWWW[[#This Row],[Total required Latrines]]-(WWWW[[#This Row],['#_Constructed latrines_by_WASHAgencies]]+WWWW[[#This Row],['#_Non Cluster partner latrines]]))</f>
        <v>111</v>
      </c>
      <c r="CS371" s="78">
        <f>1-WWWW[[#This Row],[% people access to functioning Latrine]]</f>
        <v>1</v>
      </c>
      <c r="CT371" s="560">
        <f>IF(OR(WWWW[[#This Row],['#_Non-functional latrines]]="",WWWW[[#This Row],['#_Non-functional latrines]]=0),0,WWWW[[#This Row],['#_Non-functional latrines]]/(WWWW[[#This Row],['#_Constructed latrines_by_WASHAgencies]]+WWWW[[#This Row],['#_Non Cluster partner latrines]]))</f>
        <v>0</v>
      </c>
      <c r="CU371" s="556">
        <f>IF(500*(WWWW[[#This Row],['#_male hygiene promoters]]+WWWW[[#This Row],['#_female hygiene promoters]])&gt;WWWW[[#This Row],[Total PoP ]],WWWW[[#This Row],[Total PoP ]],500*(WWWW[[#This Row],['#_male hygiene promoters]]+WWWW[[#This Row],['#_female hygiene promoters]]))</f>
        <v>0</v>
      </c>
      <c r="CV37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1" s="558">
        <f>IF(WWWW[[#This Row],['# People with access to soap]]&gt;WWWW[[#This Row],['# People with access to Sanity Pads]],WWWW[[#This Row],['# People with access to soap]],WWWW[[#This Row],['# People with access to Sanity Pads]])</f>
        <v>0</v>
      </c>
      <c r="CY371"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1" s="561">
        <f>IF(WWWW[[#This Row],[HRP3]]/WWWW[[#This Row],[Total PoP ]]&gt;100%,100%,WWWW[[#This Row],[HRP3]]/WWWW[[#This Row],[Total PoP ]])</f>
        <v>0</v>
      </c>
      <c r="DA371" s="560">
        <f>1-WWWW[[#This Row],[Hygiene Coverage%]]</f>
        <v>1</v>
      </c>
      <c r="DB371" s="559">
        <f>WWWW[[#This Row],['# people reached by regular dedicated hygiene promotion_5]]/WWWW[[#This Row],[Total PoP ]]</f>
        <v>0</v>
      </c>
      <c r="DC371" s="559">
        <f>IF(WWWW[[#This Row],['#_households that received standard amount of soap for this quarter]]/WWWW[[#This Row],[Total HH]]&gt;1,1,WWWW[[#This Row],['#_households that received standard amount of soap for this quarter]]/WWWW[[#This Row],[Total HH]])</f>
        <v>0</v>
      </c>
      <c r="DD371" s="559">
        <f>IF(WWWW[[#This Row],['#_households that received standard amount of sanitary pads for this quarter]]/WWWW[[#This Row],[Total HH]]&gt;1,1,WWWW[[#This Row],['#_households that received standard amount of sanitary pads for this quarter]]/WWWW[[#This Row],[Total HH]])</f>
        <v>0</v>
      </c>
      <c r="DE371" s="558">
        <f>WWWW[[#This Row],['#_Constructed/Existing hand washing stations]]-WWWW[[#This Row],['#_Non-Functional_hand_washing_stations]]</f>
        <v>0</v>
      </c>
      <c r="DF371" s="757">
        <f>IF(WWWW[[#This Row],['# Functional hand washing stations during reporting period]]*20&gt;WWWW[[#This Row],[Total HH]],WWWW[[#This Row],[Total HH]],WWWW[[#This Row],['# Functional hand washing stations during reporting period]]*20)</f>
        <v>0</v>
      </c>
      <c r="DG371" s="556">
        <f>IF(WWWW[[#This Row],[Is sufficient soap available for TLS? (Yes/No)]]="yes",WWWW[[#This Row],['#_Constructed/Existing hand washing stations at TLS]],0)</f>
        <v>0</v>
      </c>
      <c r="DH371" s="556">
        <f>IF(WWWW[[#This Row],['# Functional hand washing stations during reporting period]]*100&gt;WWWW[[#This Row],[Total PoP ]],WWWW[[#This Row],[Total PoP ]],WWWW[[#This Row],['# Functional hand washing stations during reporting period]]*100)</f>
        <v>0</v>
      </c>
      <c r="DI371" s="556" t="str">
        <f>IF(OR(WWWW[[#This Row],['#_students at TLS_CFS]]="",WWWW[[#This Row],['#_students at TLS_CFS]]=0),"No","Yes")</f>
        <v>No</v>
      </c>
      <c r="DJ371" s="554">
        <f>VLOOKUP(WWWW[[#This Row],[Site Name]],SiteDB6[[Site Name]:[CCCM Management]],6,FALSE)</f>
        <v>0</v>
      </c>
      <c r="DK371" s="554">
        <f>VLOOKUP(WWWW[[#This Row],[Site Name]],SiteDB6[[Site Name]:[CCCM Focal Agency]],7,FALSE)</f>
        <v>0</v>
      </c>
      <c r="DL371" s="554" t="str">
        <f>VLOOKUP(WWWW[[#This Row],[Site Name]],SiteDB6[[Site Name]:[Location Type 1]],9,FALSE)</f>
        <v>Village</v>
      </c>
      <c r="DM371" s="554" t="str">
        <f>VLOOKUP(WWWW[[#This Row],[Site Name]],SiteDB6[[Site Name]:[Type of Accommodation]],10,FALSE)</f>
        <v>Village</v>
      </c>
      <c r="DN371" s="554">
        <f>VLOOKUP(WWWW[[#This Row],[Site Name]],SiteDB6[[Site Name]:[Ethnic or GCA/NGCA]],11,FALSE)</f>
        <v>0</v>
      </c>
      <c r="DO371" s="554">
        <f>VLOOKUP(WWWW[[#This Row],[Site Name]],SiteDB6[[Site Name]:[Lat]],12,FALSE)</f>
        <v>20.889249800000002</v>
      </c>
      <c r="DP371" s="554">
        <f>VLOOKUP(WWWW[[#This Row],[Site Name]],SiteDB6[[Site Name]:[Long]],13,FALSE)</f>
        <v>92.939201350000005</v>
      </c>
      <c r="DQ371" s="554">
        <f>VLOOKUP(WWWW[[#This Row],[Site Name]],SiteDB6[[Site Name]:[Pcode]],3,FALSE)</f>
        <v>0</v>
      </c>
      <c r="DR371" s="563" t="str">
        <f t="shared" si="12"/>
        <v>Covered</v>
      </c>
      <c r="DS371" s="563"/>
    </row>
    <row r="372" spans="1:126">
      <c r="A372" s="552" t="s">
        <v>2518</v>
      </c>
      <c r="B372" s="552" t="s">
        <v>336</v>
      </c>
      <c r="C372" s="555" t="s">
        <v>336</v>
      </c>
      <c r="D372" s="555" t="s">
        <v>307</v>
      </c>
      <c r="E372" s="574" t="s">
        <v>3006</v>
      </c>
      <c r="F372" s="555" t="s">
        <v>320</v>
      </c>
      <c r="G372" s="574" t="str">
        <f>VLOOKUP(WWWW[[#This Row],[Site Name]],SiteDB6[[Site Name]:[Location Type]],8,FALSE)</f>
        <v>Village</v>
      </c>
      <c r="H372" s="555" t="s">
        <v>591</v>
      </c>
      <c r="I372" s="557">
        <v>173</v>
      </c>
      <c r="J372" s="557">
        <v>1090</v>
      </c>
      <c r="K372" s="564">
        <v>43374</v>
      </c>
      <c r="L372" s="565">
        <v>43738</v>
      </c>
      <c r="M372" s="557"/>
      <c r="N372" s="557"/>
      <c r="O372" s="557"/>
      <c r="P372" s="557"/>
      <c r="Q372" s="556"/>
      <c r="R372" s="557"/>
      <c r="S372" s="557"/>
      <c r="T372" s="557"/>
      <c r="U372" s="557"/>
      <c r="V372" s="557"/>
      <c r="W372" s="557"/>
      <c r="X372" s="557"/>
      <c r="Y372" s="557"/>
      <c r="Z372" s="557"/>
      <c r="AA372" s="557"/>
      <c r="AB372" s="557"/>
      <c r="AC372" s="557"/>
      <c r="AD372" s="557"/>
      <c r="AE372" s="557"/>
      <c r="AF372" s="557"/>
      <c r="AG372" s="557"/>
      <c r="AH372" s="557"/>
      <c r="AI372" s="557"/>
      <c r="AJ372" s="557"/>
      <c r="AK372" s="557"/>
      <c r="AL372" s="557"/>
      <c r="AM372" s="557"/>
      <c r="AN372" s="557"/>
      <c r="AO372" s="563"/>
      <c r="AP372" s="557"/>
      <c r="AQ372" s="557"/>
      <c r="AR372" s="559"/>
      <c r="AS372" s="557"/>
      <c r="AT372" s="557"/>
      <c r="AU372" s="557"/>
      <c r="AV372" s="557"/>
      <c r="AW372" s="557"/>
      <c r="AX372" s="554"/>
      <c r="AY372" s="563"/>
      <c r="AZ372" s="557"/>
      <c r="BA372" s="557"/>
      <c r="BB372" s="557"/>
      <c r="BC372" s="554"/>
      <c r="BD372" s="557"/>
      <c r="BE372" s="557"/>
      <c r="BF372" s="557"/>
      <c r="BG372" s="557"/>
      <c r="BH372" s="557"/>
      <c r="BI372" s="557"/>
      <c r="BJ372" s="557"/>
      <c r="BK372" s="557"/>
      <c r="BL372" s="557"/>
      <c r="BM372" s="554"/>
      <c r="BN372" s="558"/>
      <c r="BO372" s="559"/>
      <c r="BP372" s="554"/>
      <c r="BQ372" s="560" t="str">
        <f>IFERROR(WWWW[[#This Row],['#_Water sources treated]]/WWWW[[#This Row],['#_Water sources tested for contamination]],"no test")</f>
        <v>no test</v>
      </c>
      <c r="BR372" s="559" t="str">
        <f>IFERROR(WWWW[[#This Row],['#_Household received remediation action due to contamination]]/WWWW[[#This Row],['#_Household water samples tested for contamination]],"no test")</f>
        <v>no test</v>
      </c>
      <c r="BS372" s="558" t="str">
        <f>IF(AND(WWWW[[#This Row],[% of water sources treated]]="no test",WWWW[[#This Row],[% Household received corrective actions]]="no test"),"No Test","Tested")</f>
        <v>No Test</v>
      </c>
      <c r="BT372" s="558">
        <f>WWWW[[#This Row],['#_Constructed/existing protected hand dug well]]-WWWW[[#This Row],['#_Non-functional protected hand dug well]]</f>
        <v>0</v>
      </c>
      <c r="BU372" s="558">
        <f>(WWWW[[#This Row],['#_Constructed/Existing tube wells/boreholes/handpumps_WASH_agency]]+WWWW[[#This Row],['#_Non-Cluster partner water tube-wells/boreholes/handpumps]])-WWWW[[#This Row],['#_Non-functional tube wells/boreholes/handpumps]]</f>
        <v>0</v>
      </c>
      <c r="BV372" s="558">
        <f>WWWW[[#This Row],['#_Constructed/Existingwater storage tank with gravity fed reticulation system]]-WWWW[[#This Row],['#_Non-functional storage tank gravity fed reticulation system]]</f>
        <v>0</v>
      </c>
      <c r="BW372" s="558">
        <f>WWWW[[#This Row],['#_Water boating or water trucking]]</f>
        <v>0</v>
      </c>
      <c r="BX372" s="558">
        <f>WWWW[[#This Row],['#_Constructed/Existing water distribution system from river or natural spring]]</f>
        <v>0</v>
      </c>
      <c r="BY37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2" s="559">
        <f>IF(WWWW[[#This Row],[Location Type 1]]="Village",WWWW[[#This Row],[Access to safe drinking water for Village]],WWWW[[#This Row],[Access to safe drinking water for Camp]])</f>
        <v>0</v>
      </c>
      <c r="CB372" s="556">
        <f>WWWW[[#This Row],[%Equitable and continuous access to sufficient quantity of safe drinking water]]*WWWW[[#This Row],[Total PoP ]]</f>
        <v>0</v>
      </c>
      <c r="CC372" s="559">
        <f>IF((WWWW[[#This Row],['#_Constructed/Existing protected/fenced ponds]]*250)/WWWW[[#This Row],[Total PoP ]]&gt;1,1,(WWWW[[#This Row],['#_Constructed/Existing protected/fenced ponds]]*250)/WWWW[[#This Row],[Total PoP ]])</f>
        <v>0</v>
      </c>
      <c r="CD372" s="556">
        <f>WWWW[[#This Row],[% Access to unimproved water points]]*WWWW[[#This Row],[Total PoP ]]</f>
        <v>0</v>
      </c>
      <c r="CE37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2" s="556">
        <f>WWWW[[#This Row],[HRP1]]/500</f>
        <v>0</v>
      </c>
      <c r="CH372" s="561">
        <f>1-WWWW[[#This Row],[% Equitable and continuous access to sufficient quantity of domestic water]]</f>
        <v>1</v>
      </c>
      <c r="CI372" s="556">
        <f>WWWW[[#This Row],[%equitable and continuous access to sufficient quantity of safe drinking and domestic water''s GAP]]*WWWW[[#This Row],[Total PoP ]]</f>
        <v>1090</v>
      </c>
      <c r="CJ372" s="558">
        <f>IF(WWWW[[#This Row],[Total required water points]]-WWWW[[#This Row],['#Water points coverage]]&lt;0,0,WWWW[[#This Row],[Total required water points]]-WWWW[[#This Row],['#Water points coverage]])</f>
        <v>2</v>
      </c>
      <c r="CK372" s="558">
        <f>ROUND(IF(WWWW[[#This Row],[Total PoP ]]&lt;500,1,WWWW[[#This Row],[Total PoP ]]/500),0)</f>
        <v>2</v>
      </c>
      <c r="CL372" s="558">
        <f>(WWWW[[#This Row],['#_Constructed latrines_by_WASHAgencies]]+WWWW[[#This Row],['#_Non Cluster partner latrines]])-WWWW[[#This Row],['#_Non-functional latrines]]</f>
        <v>0</v>
      </c>
      <c r="CM37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2"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2" s="558" t="str">
        <f>IF(WWWW[[#This Row],[Location Type 1]]="Village","NA",IF(WWWW[[#This Row],['#_Constructed/Existing latrines in TLS]]*50&gt;WWWW[[#This Row],['#_students at TLS_CFS]],WWWW[[#This Row],['#_students at TLS_CFS]],(WWWW[[#This Row],['#_Constructed/Existing latrines in TLS]]*50)))</f>
        <v>NA</v>
      </c>
      <c r="CQ372" s="558">
        <f>ROUND(IF(WWWW[[#This Row],[Location Type 1]]="camp",WWWW[[#This Row],[Total PoP ]]/20,IF(WWWW[[#This Row],[Location Type 1]]="Temporary Location",WWWW[[#This Row],[Total PoP ]]/50,(WWWW[[#This Row],[Total PoP ]]/6))),0)</f>
        <v>182</v>
      </c>
      <c r="CR372" s="558">
        <f>IF(WWWW[[#This Row],[Total required Latrines]]-(WWWW[[#This Row],['#_Constructed latrines_by_WASHAgencies]]+WWWW[[#This Row],['#_Non Cluster partner latrines]])&lt;0,0,WWWW[[#This Row],[Total required Latrines]]-(WWWW[[#This Row],['#_Constructed latrines_by_WASHAgencies]]+WWWW[[#This Row],['#_Non Cluster partner latrines]]))</f>
        <v>182</v>
      </c>
      <c r="CS372" s="78">
        <f>1-WWWW[[#This Row],[% people access to functioning Latrine]]</f>
        <v>1</v>
      </c>
      <c r="CT372" s="560">
        <f>IF(OR(WWWW[[#This Row],['#_Non-functional latrines]]="",WWWW[[#This Row],['#_Non-functional latrines]]=0),0,WWWW[[#This Row],['#_Non-functional latrines]]/(WWWW[[#This Row],['#_Constructed latrines_by_WASHAgencies]]+WWWW[[#This Row],['#_Non Cluster partner latrines]]))</f>
        <v>0</v>
      </c>
      <c r="CU372" s="556">
        <f>IF(500*(WWWW[[#This Row],['#_male hygiene promoters]]+WWWW[[#This Row],['#_female hygiene promoters]])&gt;WWWW[[#This Row],[Total PoP ]],WWWW[[#This Row],[Total PoP ]],500*(WWWW[[#This Row],['#_male hygiene promoters]]+WWWW[[#This Row],['#_female hygiene promoters]]))</f>
        <v>0</v>
      </c>
      <c r="CV37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2" s="558">
        <f>IF(WWWW[[#This Row],['# People with access to soap]]&gt;WWWW[[#This Row],['# People with access to Sanity Pads]],WWWW[[#This Row],['# People with access to soap]],WWWW[[#This Row],['# People with access to Sanity Pads]])</f>
        <v>0</v>
      </c>
      <c r="CY37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2" s="561">
        <f>IF(WWWW[[#This Row],[HRP3]]/WWWW[[#This Row],[Total PoP ]]&gt;100%,100%,WWWW[[#This Row],[HRP3]]/WWWW[[#This Row],[Total PoP ]])</f>
        <v>0</v>
      </c>
      <c r="DA372" s="560">
        <f>1-WWWW[[#This Row],[Hygiene Coverage%]]</f>
        <v>1</v>
      </c>
      <c r="DB372" s="559">
        <f>WWWW[[#This Row],['# people reached by regular dedicated hygiene promotion_5]]/WWWW[[#This Row],[Total PoP ]]</f>
        <v>0</v>
      </c>
      <c r="DC372" s="559">
        <f>IF(WWWW[[#This Row],['#_households that received standard amount of soap for this quarter]]/WWWW[[#This Row],[Total HH]]&gt;1,1,WWWW[[#This Row],['#_households that received standard amount of soap for this quarter]]/WWWW[[#This Row],[Total HH]])</f>
        <v>0</v>
      </c>
      <c r="DD372" s="559">
        <f>IF(WWWW[[#This Row],['#_households that received standard amount of sanitary pads for this quarter]]/WWWW[[#This Row],[Total HH]]&gt;1,1,WWWW[[#This Row],['#_households that received standard amount of sanitary pads for this quarter]]/WWWW[[#This Row],[Total HH]])</f>
        <v>0</v>
      </c>
      <c r="DE372" s="558">
        <f>WWWW[[#This Row],['#_Constructed/Existing hand washing stations]]-WWWW[[#This Row],['#_Non-Functional_hand_washing_stations]]</f>
        <v>0</v>
      </c>
      <c r="DF372" s="757">
        <f>IF(WWWW[[#This Row],['# Functional hand washing stations during reporting period]]*20&gt;WWWW[[#This Row],[Total HH]],WWWW[[#This Row],[Total HH]],WWWW[[#This Row],['# Functional hand washing stations during reporting period]]*20)</f>
        <v>0</v>
      </c>
      <c r="DG372" s="556">
        <f>IF(WWWW[[#This Row],[Is sufficient soap available for TLS? (Yes/No)]]="yes",WWWW[[#This Row],['#_Constructed/Existing hand washing stations at TLS]],0)</f>
        <v>0</v>
      </c>
      <c r="DH372" s="556">
        <f>IF(WWWW[[#This Row],['# Functional hand washing stations during reporting period]]*100&gt;WWWW[[#This Row],[Total PoP ]],WWWW[[#This Row],[Total PoP ]],WWWW[[#This Row],['# Functional hand washing stations during reporting period]]*100)</f>
        <v>0</v>
      </c>
      <c r="DI372" s="556" t="str">
        <f>IF(OR(WWWW[[#This Row],['#_students at TLS_CFS]]="",WWWW[[#This Row],['#_students at TLS_CFS]]=0),"No","Yes")</f>
        <v>No</v>
      </c>
      <c r="DJ372" s="554">
        <f>VLOOKUP(WWWW[[#This Row],[Site Name]],SiteDB6[[Site Name]:[CCCM Management]],6,FALSE)</f>
        <v>0</v>
      </c>
      <c r="DK372" s="554">
        <f>VLOOKUP(WWWW[[#This Row],[Site Name]],SiteDB6[[Site Name]:[CCCM Focal Agency]],7,FALSE)</f>
        <v>0</v>
      </c>
      <c r="DL372" s="554" t="str">
        <f>VLOOKUP(WWWW[[#This Row],[Site Name]],SiteDB6[[Site Name]:[Location Type 1]],9,FALSE)</f>
        <v>Village</v>
      </c>
      <c r="DM372" s="554" t="str">
        <f>VLOOKUP(WWWW[[#This Row],[Site Name]],SiteDB6[[Site Name]:[Type of Accommodation]],10,FALSE)</f>
        <v>Returned</v>
      </c>
      <c r="DN372" s="554" t="str">
        <f>VLOOKUP(WWWW[[#This Row],[Site Name]],SiteDB6[[Site Name]:[Ethnic or GCA/NGCA]],11,FALSE)</f>
        <v>Muslim</v>
      </c>
      <c r="DO372" s="554">
        <f>VLOOKUP(WWWW[[#This Row],[Site Name]],SiteDB6[[Site Name]:[Lat]],12,FALSE)</f>
        <v>20.727589999999999</v>
      </c>
      <c r="DP372" s="554">
        <f>VLOOKUP(WWWW[[#This Row],[Site Name]],SiteDB6[[Site Name]:[Long]],13,FALSE)</f>
        <v>92.969350000000006</v>
      </c>
      <c r="DQ372" s="554" t="str">
        <f>VLOOKUP(WWWW[[#This Row],[Site Name]],SiteDB6[[Site Name]:[Pcode]],3,FALSE)</f>
        <v>MMR012CMP028</v>
      </c>
      <c r="DR372" s="563" t="str">
        <f t="shared" si="12"/>
        <v>Covered</v>
      </c>
      <c r="DS372" s="563"/>
    </row>
    <row r="373" spans="1:126">
      <c r="A373" s="552" t="s">
        <v>2518</v>
      </c>
      <c r="B373" s="552" t="s">
        <v>336</v>
      </c>
      <c r="C373" s="555" t="s">
        <v>336</v>
      </c>
      <c r="D373" s="555" t="s">
        <v>307</v>
      </c>
      <c r="E373" s="574" t="s">
        <v>3006</v>
      </c>
      <c r="F373" s="555" t="s">
        <v>320</v>
      </c>
      <c r="G373" s="574" t="str">
        <f>VLOOKUP(WWWW[[#This Row],[Site Name]],SiteDB6[[Site Name]:[Location Type]],8,FALSE)</f>
        <v>Village</v>
      </c>
      <c r="H373" s="555" t="s">
        <v>2308</v>
      </c>
      <c r="I373" s="557">
        <v>174</v>
      </c>
      <c r="J373" s="557">
        <v>665</v>
      </c>
      <c r="K373" s="564">
        <v>43374</v>
      </c>
      <c r="L373" s="565">
        <v>43738</v>
      </c>
      <c r="M373" s="557"/>
      <c r="N373" s="557"/>
      <c r="O373" s="557"/>
      <c r="P373" s="557"/>
      <c r="Q373" s="556"/>
      <c r="R373" s="557"/>
      <c r="S373" s="557"/>
      <c r="T373" s="557"/>
      <c r="U373" s="557"/>
      <c r="V373" s="557"/>
      <c r="W373" s="557"/>
      <c r="X373" s="557"/>
      <c r="Y373" s="557"/>
      <c r="Z373" s="557"/>
      <c r="AA373" s="557"/>
      <c r="AB373" s="557"/>
      <c r="AC373" s="557"/>
      <c r="AD373" s="557"/>
      <c r="AE373" s="557"/>
      <c r="AF373" s="557"/>
      <c r="AG373" s="557"/>
      <c r="AH373" s="557"/>
      <c r="AI373" s="557"/>
      <c r="AJ373" s="557"/>
      <c r="AK373" s="557"/>
      <c r="AL373" s="557"/>
      <c r="AM373" s="557"/>
      <c r="AN373" s="557"/>
      <c r="AO373" s="563"/>
      <c r="AP373" s="557"/>
      <c r="AQ373" s="557"/>
      <c r="AR373" s="559"/>
      <c r="AS373" s="557"/>
      <c r="AT373" s="557"/>
      <c r="AU373" s="557"/>
      <c r="AV373" s="557"/>
      <c r="AW373" s="557"/>
      <c r="AX373" s="554"/>
      <c r="AY373" s="563"/>
      <c r="AZ373" s="557"/>
      <c r="BA373" s="557"/>
      <c r="BB373" s="557"/>
      <c r="BC373" s="554"/>
      <c r="BD373" s="557"/>
      <c r="BE373" s="557"/>
      <c r="BF373" s="557"/>
      <c r="BG373" s="557"/>
      <c r="BH373" s="557"/>
      <c r="BI373" s="557"/>
      <c r="BJ373" s="557"/>
      <c r="BK373" s="557"/>
      <c r="BL373" s="557"/>
      <c r="BM373" s="554"/>
      <c r="BN373" s="558"/>
      <c r="BO373" s="559"/>
      <c r="BP373" s="554"/>
      <c r="BQ373" s="560" t="str">
        <f>IFERROR(WWWW[[#This Row],['#_Water sources treated]]/WWWW[[#This Row],['#_Water sources tested for contamination]],"no test")</f>
        <v>no test</v>
      </c>
      <c r="BR373" s="559" t="str">
        <f>IFERROR(WWWW[[#This Row],['#_Household received remediation action due to contamination]]/WWWW[[#This Row],['#_Household water samples tested for contamination]],"no test")</f>
        <v>no test</v>
      </c>
      <c r="BS373" s="558" t="str">
        <f>IF(AND(WWWW[[#This Row],[% of water sources treated]]="no test",WWWW[[#This Row],[% Household received corrective actions]]="no test"),"No Test","Tested")</f>
        <v>No Test</v>
      </c>
      <c r="BT373" s="558">
        <f>WWWW[[#This Row],['#_Constructed/existing protected hand dug well]]-WWWW[[#This Row],['#_Non-functional protected hand dug well]]</f>
        <v>0</v>
      </c>
      <c r="BU373" s="558">
        <f>(WWWW[[#This Row],['#_Constructed/Existing tube wells/boreholes/handpumps_WASH_agency]]+WWWW[[#This Row],['#_Non-Cluster partner water tube-wells/boreholes/handpumps]])-WWWW[[#This Row],['#_Non-functional tube wells/boreholes/handpumps]]</f>
        <v>0</v>
      </c>
      <c r="BV373" s="558">
        <f>WWWW[[#This Row],['#_Constructed/Existingwater storage tank with gravity fed reticulation system]]-WWWW[[#This Row],['#_Non-functional storage tank gravity fed reticulation system]]</f>
        <v>0</v>
      </c>
      <c r="BW373" s="558">
        <f>WWWW[[#This Row],['#_Water boating or water trucking]]</f>
        <v>0</v>
      </c>
      <c r="BX373" s="558">
        <f>WWWW[[#This Row],['#_Constructed/Existing water distribution system from river or natural spring]]</f>
        <v>0</v>
      </c>
      <c r="BY37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3" s="559">
        <f>IF(WWWW[[#This Row],[Location Type 1]]="Village",WWWW[[#This Row],[Access to safe drinking water for Village]],WWWW[[#This Row],[Access to safe drinking water for Camp]])</f>
        <v>0</v>
      </c>
      <c r="CB373" s="556">
        <f>WWWW[[#This Row],[%Equitable and continuous access to sufficient quantity of safe drinking water]]*WWWW[[#This Row],[Total PoP ]]</f>
        <v>0</v>
      </c>
      <c r="CC373" s="559">
        <f>IF((WWWW[[#This Row],['#_Constructed/Existing protected/fenced ponds]]*250)/WWWW[[#This Row],[Total PoP ]]&gt;1,1,(WWWW[[#This Row],['#_Constructed/Existing protected/fenced ponds]]*250)/WWWW[[#This Row],[Total PoP ]])</f>
        <v>0</v>
      </c>
      <c r="CD373" s="556">
        <f>WWWW[[#This Row],[% Access to unimproved water points]]*WWWW[[#This Row],[Total PoP ]]</f>
        <v>0</v>
      </c>
      <c r="CE37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3" s="556">
        <f>WWWW[[#This Row],[HRP1]]/500</f>
        <v>0</v>
      </c>
      <c r="CH373" s="561">
        <f>1-WWWW[[#This Row],[% Equitable and continuous access to sufficient quantity of domestic water]]</f>
        <v>1</v>
      </c>
      <c r="CI373" s="556">
        <f>WWWW[[#This Row],[%equitable and continuous access to sufficient quantity of safe drinking and domestic water''s GAP]]*WWWW[[#This Row],[Total PoP ]]</f>
        <v>665</v>
      </c>
      <c r="CJ373" s="558">
        <f>IF(WWWW[[#This Row],[Total required water points]]-WWWW[[#This Row],['#Water points coverage]]&lt;0,0,WWWW[[#This Row],[Total required water points]]-WWWW[[#This Row],['#Water points coverage]])</f>
        <v>1</v>
      </c>
      <c r="CK373" s="558">
        <f>ROUND(IF(WWWW[[#This Row],[Total PoP ]]&lt;500,1,WWWW[[#This Row],[Total PoP ]]/500),0)</f>
        <v>1</v>
      </c>
      <c r="CL373" s="558">
        <f>(WWWW[[#This Row],['#_Constructed latrines_by_WASHAgencies]]+WWWW[[#This Row],['#_Non Cluster partner latrines]])-WWWW[[#This Row],['#_Non-functional latrines]]</f>
        <v>0</v>
      </c>
      <c r="CM37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3"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3" s="558" t="str">
        <f>IF(WWWW[[#This Row],[Location Type 1]]="Village","NA",IF(WWWW[[#This Row],['#_Constructed/Existing latrines in TLS]]*50&gt;WWWW[[#This Row],['#_students at TLS_CFS]],WWWW[[#This Row],['#_students at TLS_CFS]],(WWWW[[#This Row],['#_Constructed/Existing latrines in TLS]]*50)))</f>
        <v>NA</v>
      </c>
      <c r="CQ373" s="558">
        <f>ROUND(IF(WWWW[[#This Row],[Location Type 1]]="camp",WWWW[[#This Row],[Total PoP ]]/20,IF(WWWW[[#This Row],[Location Type 1]]="Temporary Location",WWWW[[#This Row],[Total PoP ]]/50,(WWWW[[#This Row],[Total PoP ]]/6))),0)</f>
        <v>111</v>
      </c>
      <c r="CR373" s="558">
        <f>IF(WWWW[[#This Row],[Total required Latrines]]-(WWWW[[#This Row],['#_Constructed latrines_by_WASHAgencies]]+WWWW[[#This Row],['#_Non Cluster partner latrines]])&lt;0,0,WWWW[[#This Row],[Total required Latrines]]-(WWWW[[#This Row],['#_Constructed latrines_by_WASHAgencies]]+WWWW[[#This Row],['#_Non Cluster partner latrines]]))</f>
        <v>111</v>
      </c>
      <c r="CS373" s="78">
        <f>1-WWWW[[#This Row],[% people access to functioning Latrine]]</f>
        <v>1</v>
      </c>
      <c r="CT373" s="560">
        <f>IF(OR(WWWW[[#This Row],['#_Non-functional latrines]]="",WWWW[[#This Row],['#_Non-functional latrines]]=0),0,WWWW[[#This Row],['#_Non-functional latrines]]/(WWWW[[#This Row],['#_Constructed latrines_by_WASHAgencies]]+WWWW[[#This Row],['#_Non Cluster partner latrines]]))</f>
        <v>0</v>
      </c>
      <c r="CU373" s="556">
        <f>IF(500*(WWWW[[#This Row],['#_male hygiene promoters]]+WWWW[[#This Row],['#_female hygiene promoters]])&gt;WWWW[[#This Row],[Total PoP ]],WWWW[[#This Row],[Total PoP ]],500*(WWWW[[#This Row],['#_male hygiene promoters]]+WWWW[[#This Row],['#_female hygiene promoters]]))</f>
        <v>0</v>
      </c>
      <c r="CV37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3" s="558">
        <f>IF(WWWW[[#This Row],['# People with access to soap]]&gt;WWWW[[#This Row],['# People with access to Sanity Pads]],WWWW[[#This Row],['# People with access to soap]],WWWW[[#This Row],['# People with access to Sanity Pads]])</f>
        <v>0</v>
      </c>
      <c r="CY37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3" s="561">
        <f>IF(WWWW[[#This Row],[HRP3]]/WWWW[[#This Row],[Total PoP ]]&gt;100%,100%,WWWW[[#This Row],[HRP3]]/WWWW[[#This Row],[Total PoP ]])</f>
        <v>0</v>
      </c>
      <c r="DA373" s="560">
        <f>1-WWWW[[#This Row],[Hygiene Coverage%]]</f>
        <v>1</v>
      </c>
      <c r="DB373" s="559">
        <f>WWWW[[#This Row],['# people reached by regular dedicated hygiene promotion_5]]/WWWW[[#This Row],[Total PoP ]]</f>
        <v>0</v>
      </c>
      <c r="DC373" s="559">
        <f>IF(WWWW[[#This Row],['#_households that received standard amount of soap for this quarter]]/WWWW[[#This Row],[Total HH]]&gt;1,1,WWWW[[#This Row],['#_households that received standard amount of soap for this quarter]]/WWWW[[#This Row],[Total HH]])</f>
        <v>0</v>
      </c>
      <c r="DD373" s="559">
        <f>IF(WWWW[[#This Row],['#_households that received standard amount of sanitary pads for this quarter]]/WWWW[[#This Row],[Total HH]]&gt;1,1,WWWW[[#This Row],['#_households that received standard amount of sanitary pads for this quarter]]/WWWW[[#This Row],[Total HH]])</f>
        <v>0</v>
      </c>
      <c r="DE373" s="558">
        <f>WWWW[[#This Row],['#_Constructed/Existing hand washing stations]]-WWWW[[#This Row],['#_Non-Functional_hand_washing_stations]]</f>
        <v>0</v>
      </c>
      <c r="DF373" s="757">
        <f>IF(WWWW[[#This Row],['# Functional hand washing stations during reporting period]]*20&gt;WWWW[[#This Row],[Total HH]],WWWW[[#This Row],[Total HH]],WWWW[[#This Row],['# Functional hand washing stations during reporting period]]*20)</f>
        <v>0</v>
      </c>
      <c r="DG373" s="556">
        <f>IF(WWWW[[#This Row],[Is sufficient soap available for TLS? (Yes/No)]]="yes",WWWW[[#This Row],['#_Constructed/Existing hand washing stations at TLS]],0)</f>
        <v>0</v>
      </c>
      <c r="DH373" s="556">
        <f>IF(WWWW[[#This Row],['# Functional hand washing stations during reporting period]]*100&gt;WWWW[[#This Row],[Total PoP ]],WWWW[[#This Row],[Total PoP ]],WWWW[[#This Row],['# Functional hand washing stations during reporting period]]*100)</f>
        <v>0</v>
      </c>
      <c r="DI373" s="556" t="str">
        <f>IF(OR(WWWW[[#This Row],['#_students at TLS_CFS]]="",WWWW[[#This Row],['#_students at TLS_CFS]]=0),"No","Yes")</f>
        <v>No</v>
      </c>
      <c r="DJ373" s="554">
        <f>VLOOKUP(WWWW[[#This Row],[Site Name]],SiteDB6[[Site Name]:[CCCM Management]],6,FALSE)</f>
        <v>0</v>
      </c>
      <c r="DK373" s="554">
        <f>VLOOKUP(WWWW[[#This Row],[Site Name]],SiteDB6[[Site Name]:[CCCM Focal Agency]],7,FALSE)</f>
        <v>0</v>
      </c>
      <c r="DL373" s="554" t="str">
        <f>VLOOKUP(WWWW[[#This Row],[Site Name]],SiteDB6[[Site Name]:[Location Type 1]],9,FALSE)</f>
        <v>Village</v>
      </c>
      <c r="DM373" s="554" t="str">
        <f>VLOOKUP(WWWW[[#This Row],[Site Name]],SiteDB6[[Site Name]:[Type of Accommodation]],10,FALSE)</f>
        <v>Village</v>
      </c>
      <c r="DN373" s="554">
        <f>VLOOKUP(WWWW[[#This Row],[Site Name]],SiteDB6[[Site Name]:[Ethnic or GCA/NGCA]],11,FALSE)</f>
        <v>0</v>
      </c>
      <c r="DO373" s="554">
        <f>VLOOKUP(WWWW[[#This Row],[Site Name]],SiteDB6[[Site Name]:[Lat]],12,FALSE)</f>
        <v>20.883239750000001</v>
      </c>
      <c r="DP373" s="554">
        <f>VLOOKUP(WWWW[[#This Row],[Site Name]],SiteDB6[[Site Name]:[Long]],13,FALSE)</f>
        <v>92.936859130000002</v>
      </c>
      <c r="DQ373" s="554">
        <f>VLOOKUP(WWWW[[#This Row],[Site Name]],SiteDB6[[Site Name]:[Pcode]],3,FALSE)</f>
        <v>196813</v>
      </c>
      <c r="DR373" s="563" t="str">
        <f t="shared" ref="DR373:DR436" si="13">IF(C373="none","Notcovered","Covered")</f>
        <v>Covered</v>
      </c>
      <c r="DS373" s="563"/>
    </row>
    <row r="374" spans="1:126">
      <c r="A374" s="552" t="s">
        <v>2518</v>
      </c>
      <c r="B374" s="552" t="s">
        <v>336</v>
      </c>
      <c r="C374" s="555" t="s">
        <v>336</v>
      </c>
      <c r="D374" s="555" t="s">
        <v>307</v>
      </c>
      <c r="E374" s="574" t="s">
        <v>3006</v>
      </c>
      <c r="F374" s="555" t="s">
        <v>320</v>
      </c>
      <c r="G374" s="574" t="str">
        <f>VLOOKUP(WWWW[[#This Row],[Site Name]],SiteDB6[[Site Name]:[Location Type]],8,FALSE)</f>
        <v>Village</v>
      </c>
      <c r="H374" s="555" t="s">
        <v>2310</v>
      </c>
      <c r="I374" s="557">
        <v>82</v>
      </c>
      <c r="J374" s="557">
        <v>304</v>
      </c>
      <c r="K374" s="564">
        <v>43374</v>
      </c>
      <c r="L374" s="565">
        <v>43738</v>
      </c>
      <c r="M374" s="557"/>
      <c r="N374" s="557"/>
      <c r="O374" s="557"/>
      <c r="P374" s="557"/>
      <c r="Q374" s="556"/>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7"/>
      <c r="AN374" s="557"/>
      <c r="AO374" s="563"/>
      <c r="AP374" s="557"/>
      <c r="AQ374" s="557"/>
      <c r="AR374" s="559"/>
      <c r="AS374" s="557"/>
      <c r="AT374" s="557"/>
      <c r="AU374" s="557"/>
      <c r="AV374" s="557"/>
      <c r="AW374" s="557"/>
      <c r="AX374" s="554"/>
      <c r="AY374" s="563"/>
      <c r="AZ374" s="557"/>
      <c r="BA374" s="557"/>
      <c r="BB374" s="557"/>
      <c r="BC374" s="554"/>
      <c r="BD374" s="557"/>
      <c r="BE374" s="557"/>
      <c r="BF374" s="557"/>
      <c r="BG374" s="557"/>
      <c r="BH374" s="557"/>
      <c r="BI374" s="557"/>
      <c r="BJ374" s="557"/>
      <c r="BK374" s="557"/>
      <c r="BL374" s="557"/>
      <c r="BM374" s="554"/>
      <c r="BN374" s="558"/>
      <c r="BO374" s="559"/>
      <c r="BP374" s="554"/>
      <c r="BQ374" s="560" t="str">
        <f>IFERROR(WWWW[[#This Row],['#_Water sources treated]]/WWWW[[#This Row],['#_Water sources tested for contamination]],"no test")</f>
        <v>no test</v>
      </c>
      <c r="BR374" s="559" t="str">
        <f>IFERROR(WWWW[[#This Row],['#_Household received remediation action due to contamination]]/WWWW[[#This Row],['#_Household water samples tested for contamination]],"no test")</f>
        <v>no test</v>
      </c>
      <c r="BS374" s="558" t="str">
        <f>IF(AND(WWWW[[#This Row],[% of water sources treated]]="no test",WWWW[[#This Row],[% Household received corrective actions]]="no test"),"No Test","Tested")</f>
        <v>No Test</v>
      </c>
      <c r="BT374" s="558">
        <f>WWWW[[#This Row],['#_Constructed/existing protected hand dug well]]-WWWW[[#This Row],['#_Non-functional protected hand dug well]]</f>
        <v>0</v>
      </c>
      <c r="BU374" s="558">
        <f>(WWWW[[#This Row],['#_Constructed/Existing tube wells/boreholes/handpumps_WASH_agency]]+WWWW[[#This Row],['#_Non-Cluster partner water tube-wells/boreholes/handpumps]])-WWWW[[#This Row],['#_Non-functional tube wells/boreholes/handpumps]]</f>
        <v>0</v>
      </c>
      <c r="BV374" s="558">
        <f>WWWW[[#This Row],['#_Constructed/Existingwater storage tank with gravity fed reticulation system]]-WWWW[[#This Row],['#_Non-functional storage tank gravity fed reticulation system]]</f>
        <v>0</v>
      </c>
      <c r="BW374" s="558">
        <f>WWWW[[#This Row],['#_Water boating or water trucking]]</f>
        <v>0</v>
      </c>
      <c r="BX374" s="558">
        <f>WWWW[[#This Row],['#_Constructed/Existing water distribution system from river or natural spring]]</f>
        <v>0</v>
      </c>
      <c r="BY37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4" s="559">
        <f>IF(WWWW[[#This Row],[Location Type 1]]="Village",WWWW[[#This Row],[Access to safe drinking water for Village]],WWWW[[#This Row],[Access to safe drinking water for Camp]])</f>
        <v>0</v>
      </c>
      <c r="CB374" s="556">
        <f>WWWW[[#This Row],[%Equitable and continuous access to sufficient quantity of safe drinking water]]*WWWW[[#This Row],[Total PoP ]]</f>
        <v>0</v>
      </c>
      <c r="CC374" s="559">
        <f>IF((WWWW[[#This Row],['#_Constructed/Existing protected/fenced ponds]]*250)/WWWW[[#This Row],[Total PoP ]]&gt;1,1,(WWWW[[#This Row],['#_Constructed/Existing protected/fenced ponds]]*250)/WWWW[[#This Row],[Total PoP ]])</f>
        <v>0</v>
      </c>
      <c r="CD374" s="556">
        <f>WWWW[[#This Row],[% Access to unimproved water points]]*WWWW[[#This Row],[Total PoP ]]</f>
        <v>0</v>
      </c>
      <c r="CE37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4" s="556">
        <f>WWWW[[#This Row],[HRP1]]/500</f>
        <v>0</v>
      </c>
      <c r="CH374" s="561">
        <f>1-WWWW[[#This Row],[% Equitable and continuous access to sufficient quantity of domestic water]]</f>
        <v>1</v>
      </c>
      <c r="CI374" s="556">
        <f>WWWW[[#This Row],[%equitable and continuous access to sufficient quantity of safe drinking and domestic water''s GAP]]*WWWW[[#This Row],[Total PoP ]]</f>
        <v>304</v>
      </c>
      <c r="CJ374" s="558">
        <f>IF(WWWW[[#This Row],[Total required water points]]-WWWW[[#This Row],['#Water points coverage]]&lt;0,0,WWWW[[#This Row],[Total required water points]]-WWWW[[#This Row],['#Water points coverage]])</f>
        <v>1</v>
      </c>
      <c r="CK374" s="558">
        <f>ROUND(IF(WWWW[[#This Row],[Total PoP ]]&lt;500,1,WWWW[[#This Row],[Total PoP ]]/500),0)</f>
        <v>1</v>
      </c>
      <c r="CL374" s="558">
        <f>(WWWW[[#This Row],['#_Constructed latrines_by_WASHAgencies]]+WWWW[[#This Row],['#_Non Cluster partner latrines]])-WWWW[[#This Row],['#_Non-functional latrines]]</f>
        <v>0</v>
      </c>
      <c r="CM37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4"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4" s="558" t="str">
        <f>IF(WWWW[[#This Row],[Location Type 1]]="Village","NA",IF(WWWW[[#This Row],['#_Constructed/Existing latrines in TLS]]*50&gt;WWWW[[#This Row],['#_students at TLS_CFS]],WWWW[[#This Row],['#_students at TLS_CFS]],(WWWW[[#This Row],['#_Constructed/Existing latrines in TLS]]*50)))</f>
        <v>NA</v>
      </c>
      <c r="CQ374" s="558">
        <f>ROUND(IF(WWWW[[#This Row],[Location Type 1]]="camp",WWWW[[#This Row],[Total PoP ]]/20,IF(WWWW[[#This Row],[Location Type 1]]="Temporary Location",WWWW[[#This Row],[Total PoP ]]/50,(WWWW[[#This Row],[Total PoP ]]/6))),0)</f>
        <v>51</v>
      </c>
      <c r="CR374" s="558">
        <f>IF(WWWW[[#This Row],[Total required Latrines]]-(WWWW[[#This Row],['#_Constructed latrines_by_WASHAgencies]]+WWWW[[#This Row],['#_Non Cluster partner latrines]])&lt;0,0,WWWW[[#This Row],[Total required Latrines]]-(WWWW[[#This Row],['#_Constructed latrines_by_WASHAgencies]]+WWWW[[#This Row],['#_Non Cluster partner latrines]]))</f>
        <v>51</v>
      </c>
      <c r="CS374" s="78">
        <f>1-WWWW[[#This Row],[% people access to functioning Latrine]]</f>
        <v>1</v>
      </c>
      <c r="CT374" s="560">
        <f>IF(OR(WWWW[[#This Row],['#_Non-functional latrines]]="",WWWW[[#This Row],['#_Non-functional latrines]]=0),0,WWWW[[#This Row],['#_Non-functional latrines]]/(WWWW[[#This Row],['#_Constructed latrines_by_WASHAgencies]]+WWWW[[#This Row],['#_Non Cluster partner latrines]]))</f>
        <v>0</v>
      </c>
      <c r="CU374" s="556">
        <f>IF(500*(WWWW[[#This Row],['#_male hygiene promoters]]+WWWW[[#This Row],['#_female hygiene promoters]])&gt;WWWW[[#This Row],[Total PoP ]],WWWW[[#This Row],[Total PoP ]],500*(WWWW[[#This Row],['#_male hygiene promoters]]+WWWW[[#This Row],['#_female hygiene promoters]]))</f>
        <v>0</v>
      </c>
      <c r="CV37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4" s="558">
        <f>IF(WWWW[[#This Row],['# People with access to soap]]&gt;WWWW[[#This Row],['# People with access to Sanity Pads]],WWWW[[#This Row],['# People with access to soap]],WWWW[[#This Row],['# People with access to Sanity Pads]])</f>
        <v>0</v>
      </c>
      <c r="CY37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4" s="561">
        <f>IF(WWWW[[#This Row],[HRP3]]/WWWW[[#This Row],[Total PoP ]]&gt;100%,100%,WWWW[[#This Row],[HRP3]]/WWWW[[#This Row],[Total PoP ]])</f>
        <v>0</v>
      </c>
      <c r="DA374" s="560">
        <f>1-WWWW[[#This Row],[Hygiene Coverage%]]</f>
        <v>1</v>
      </c>
      <c r="DB374" s="559">
        <f>WWWW[[#This Row],['# people reached by regular dedicated hygiene promotion_5]]/WWWW[[#This Row],[Total PoP ]]</f>
        <v>0</v>
      </c>
      <c r="DC374" s="559">
        <f>IF(WWWW[[#This Row],['#_households that received standard amount of soap for this quarter]]/WWWW[[#This Row],[Total HH]]&gt;1,1,WWWW[[#This Row],['#_households that received standard amount of soap for this quarter]]/WWWW[[#This Row],[Total HH]])</f>
        <v>0</v>
      </c>
      <c r="DD374" s="559">
        <f>IF(WWWW[[#This Row],['#_households that received standard amount of sanitary pads for this quarter]]/WWWW[[#This Row],[Total HH]]&gt;1,1,WWWW[[#This Row],['#_households that received standard amount of sanitary pads for this quarter]]/WWWW[[#This Row],[Total HH]])</f>
        <v>0</v>
      </c>
      <c r="DE374" s="558">
        <f>WWWW[[#This Row],['#_Constructed/Existing hand washing stations]]-WWWW[[#This Row],['#_Non-Functional_hand_washing_stations]]</f>
        <v>0</v>
      </c>
      <c r="DF374" s="757">
        <f>IF(WWWW[[#This Row],['# Functional hand washing stations during reporting period]]*20&gt;WWWW[[#This Row],[Total HH]],WWWW[[#This Row],[Total HH]],WWWW[[#This Row],['# Functional hand washing stations during reporting period]]*20)</f>
        <v>0</v>
      </c>
      <c r="DG374" s="556">
        <f>IF(WWWW[[#This Row],[Is sufficient soap available for TLS? (Yes/No)]]="yes",WWWW[[#This Row],['#_Constructed/Existing hand washing stations at TLS]],0)</f>
        <v>0</v>
      </c>
      <c r="DH374" s="556">
        <f>IF(WWWW[[#This Row],['# Functional hand washing stations during reporting period]]*100&gt;WWWW[[#This Row],[Total PoP ]],WWWW[[#This Row],[Total PoP ]],WWWW[[#This Row],['# Functional hand washing stations during reporting period]]*100)</f>
        <v>0</v>
      </c>
      <c r="DI374" s="556" t="str">
        <f>IF(OR(WWWW[[#This Row],['#_students at TLS_CFS]]="",WWWW[[#This Row],['#_students at TLS_CFS]]=0),"No","Yes")</f>
        <v>No</v>
      </c>
      <c r="DJ374" s="554">
        <f>VLOOKUP(WWWW[[#This Row],[Site Name]],SiteDB6[[Site Name]:[CCCM Management]],6,FALSE)</f>
        <v>0</v>
      </c>
      <c r="DK374" s="554">
        <f>VLOOKUP(WWWW[[#This Row],[Site Name]],SiteDB6[[Site Name]:[CCCM Focal Agency]],7,FALSE)</f>
        <v>0</v>
      </c>
      <c r="DL374" s="554" t="str">
        <f>VLOOKUP(WWWW[[#This Row],[Site Name]],SiteDB6[[Site Name]:[Location Type 1]],9,FALSE)</f>
        <v>Village</v>
      </c>
      <c r="DM374" s="554" t="str">
        <f>VLOOKUP(WWWW[[#This Row],[Site Name]],SiteDB6[[Site Name]:[Type of Accommodation]],10,FALSE)</f>
        <v>Village</v>
      </c>
      <c r="DN374" s="554">
        <f>VLOOKUP(WWWW[[#This Row],[Site Name]],SiteDB6[[Site Name]:[Ethnic or GCA/NGCA]],11,FALSE)</f>
        <v>0</v>
      </c>
      <c r="DO374" s="554">
        <f>VLOOKUP(WWWW[[#This Row],[Site Name]],SiteDB6[[Site Name]:[Lat]],12,FALSE)</f>
        <v>20.932960510000001</v>
      </c>
      <c r="DP374" s="554">
        <f>VLOOKUP(WWWW[[#This Row],[Site Name]],SiteDB6[[Site Name]:[Long]],13,FALSE)</f>
        <v>92.930267330000007</v>
      </c>
      <c r="DQ374" s="554">
        <f>VLOOKUP(WWWW[[#This Row],[Site Name]],SiteDB6[[Site Name]:[Pcode]],3,FALSE)</f>
        <v>196755</v>
      </c>
      <c r="DR374" s="563" t="str">
        <f t="shared" si="13"/>
        <v>Covered</v>
      </c>
      <c r="DS374" s="563"/>
    </row>
    <row r="375" spans="1:126">
      <c r="A375" s="552" t="s">
        <v>2518</v>
      </c>
      <c r="B375" s="552" t="s">
        <v>336</v>
      </c>
      <c r="C375" s="555" t="s">
        <v>336</v>
      </c>
      <c r="D375" s="555" t="s">
        <v>307</v>
      </c>
      <c r="E375" s="574" t="s">
        <v>3006</v>
      </c>
      <c r="F375" s="555" t="s">
        <v>320</v>
      </c>
      <c r="G375" s="574" t="str">
        <f>VLOOKUP(WWWW[[#This Row],[Site Name]],SiteDB6[[Site Name]:[Location Type]],8,FALSE)</f>
        <v>Village</v>
      </c>
      <c r="H375" s="555" t="s">
        <v>2309</v>
      </c>
      <c r="I375" s="557">
        <v>71</v>
      </c>
      <c r="J375" s="557">
        <v>292</v>
      </c>
      <c r="K375" s="564">
        <v>43374</v>
      </c>
      <c r="L375" s="565">
        <v>43738</v>
      </c>
      <c r="M375" s="557"/>
      <c r="N375" s="557"/>
      <c r="O375" s="557"/>
      <c r="P375" s="557"/>
      <c r="Q375" s="556"/>
      <c r="R375" s="557"/>
      <c r="S375" s="557"/>
      <c r="T375" s="557"/>
      <c r="U375" s="557"/>
      <c r="V375" s="557"/>
      <c r="W375" s="557"/>
      <c r="X375" s="557"/>
      <c r="Y375" s="557"/>
      <c r="Z375" s="557"/>
      <c r="AA375" s="557"/>
      <c r="AB375" s="557"/>
      <c r="AC375" s="557"/>
      <c r="AD375" s="557"/>
      <c r="AE375" s="557"/>
      <c r="AF375" s="557"/>
      <c r="AG375" s="557"/>
      <c r="AH375" s="557"/>
      <c r="AI375" s="557"/>
      <c r="AJ375" s="557"/>
      <c r="AK375" s="557"/>
      <c r="AL375" s="557"/>
      <c r="AM375" s="557"/>
      <c r="AN375" s="557"/>
      <c r="AO375" s="563"/>
      <c r="AP375" s="557"/>
      <c r="AQ375" s="557"/>
      <c r="AR375" s="559"/>
      <c r="AS375" s="557"/>
      <c r="AT375" s="557"/>
      <c r="AU375" s="557"/>
      <c r="AV375" s="557"/>
      <c r="AW375" s="557"/>
      <c r="AX375" s="554"/>
      <c r="AY375" s="563"/>
      <c r="AZ375" s="557"/>
      <c r="BA375" s="557"/>
      <c r="BB375" s="557"/>
      <c r="BC375" s="554"/>
      <c r="BD375" s="557"/>
      <c r="BE375" s="557"/>
      <c r="BF375" s="557"/>
      <c r="BG375" s="557"/>
      <c r="BH375" s="557"/>
      <c r="BI375" s="557"/>
      <c r="BJ375" s="557"/>
      <c r="BK375" s="557"/>
      <c r="BL375" s="557"/>
      <c r="BM375" s="554"/>
      <c r="BN375" s="558"/>
      <c r="BO375" s="559"/>
      <c r="BP375" s="554"/>
      <c r="BQ375" s="560" t="str">
        <f>IFERROR(WWWW[[#This Row],['#_Water sources treated]]/WWWW[[#This Row],['#_Water sources tested for contamination]],"no test")</f>
        <v>no test</v>
      </c>
      <c r="BR375" s="559" t="str">
        <f>IFERROR(WWWW[[#This Row],['#_Household received remediation action due to contamination]]/WWWW[[#This Row],['#_Household water samples tested for contamination]],"no test")</f>
        <v>no test</v>
      </c>
      <c r="BS375" s="558" t="str">
        <f>IF(AND(WWWW[[#This Row],[% of water sources treated]]="no test",WWWW[[#This Row],[% Household received corrective actions]]="no test"),"No Test","Tested")</f>
        <v>No Test</v>
      </c>
      <c r="BT375" s="558">
        <f>WWWW[[#This Row],['#_Constructed/existing protected hand dug well]]-WWWW[[#This Row],['#_Non-functional protected hand dug well]]</f>
        <v>0</v>
      </c>
      <c r="BU375" s="558">
        <f>(WWWW[[#This Row],['#_Constructed/Existing tube wells/boreholes/handpumps_WASH_agency]]+WWWW[[#This Row],['#_Non-Cluster partner water tube-wells/boreholes/handpumps]])-WWWW[[#This Row],['#_Non-functional tube wells/boreholes/handpumps]]</f>
        <v>0</v>
      </c>
      <c r="BV375" s="558">
        <f>WWWW[[#This Row],['#_Constructed/Existingwater storage tank with gravity fed reticulation system]]-WWWW[[#This Row],['#_Non-functional storage tank gravity fed reticulation system]]</f>
        <v>0</v>
      </c>
      <c r="BW375" s="558">
        <f>WWWW[[#This Row],['#_Water boating or water trucking]]</f>
        <v>0</v>
      </c>
      <c r="BX375" s="558">
        <f>WWWW[[#This Row],['#_Constructed/Existing water distribution system from river or natural spring]]</f>
        <v>0</v>
      </c>
      <c r="BY37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5" s="559">
        <f>IF(WWWW[[#This Row],[Location Type 1]]="Village",WWWW[[#This Row],[Access to safe drinking water for Village]],WWWW[[#This Row],[Access to safe drinking water for Camp]])</f>
        <v>0</v>
      </c>
      <c r="CB375" s="556">
        <f>WWWW[[#This Row],[%Equitable and continuous access to sufficient quantity of safe drinking water]]*WWWW[[#This Row],[Total PoP ]]</f>
        <v>0</v>
      </c>
      <c r="CC375" s="559">
        <f>IF((WWWW[[#This Row],['#_Constructed/Existing protected/fenced ponds]]*250)/WWWW[[#This Row],[Total PoP ]]&gt;1,1,(WWWW[[#This Row],['#_Constructed/Existing protected/fenced ponds]]*250)/WWWW[[#This Row],[Total PoP ]])</f>
        <v>0</v>
      </c>
      <c r="CD375" s="556">
        <f>WWWW[[#This Row],[% Access to unimproved water points]]*WWWW[[#This Row],[Total PoP ]]</f>
        <v>0</v>
      </c>
      <c r="CE37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5" s="556">
        <f>WWWW[[#This Row],[HRP1]]/500</f>
        <v>0</v>
      </c>
      <c r="CH375" s="561">
        <f>1-WWWW[[#This Row],[% Equitable and continuous access to sufficient quantity of domestic water]]</f>
        <v>1</v>
      </c>
      <c r="CI375" s="556">
        <f>WWWW[[#This Row],[%equitable and continuous access to sufficient quantity of safe drinking and domestic water''s GAP]]*WWWW[[#This Row],[Total PoP ]]</f>
        <v>292</v>
      </c>
      <c r="CJ375" s="558">
        <f>IF(WWWW[[#This Row],[Total required water points]]-WWWW[[#This Row],['#Water points coverage]]&lt;0,0,WWWW[[#This Row],[Total required water points]]-WWWW[[#This Row],['#Water points coverage]])</f>
        <v>1</v>
      </c>
      <c r="CK375" s="558">
        <f>ROUND(IF(WWWW[[#This Row],[Total PoP ]]&lt;500,1,WWWW[[#This Row],[Total PoP ]]/500),0)</f>
        <v>1</v>
      </c>
      <c r="CL375" s="558">
        <f>(WWWW[[#This Row],['#_Constructed latrines_by_WASHAgencies]]+WWWW[[#This Row],['#_Non Cluster partner latrines]])-WWWW[[#This Row],['#_Non-functional latrines]]</f>
        <v>0</v>
      </c>
      <c r="CM37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5"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5" s="558" t="str">
        <f>IF(WWWW[[#This Row],[Location Type 1]]="Village","NA",IF(WWWW[[#This Row],['#_Constructed/Existing latrines in TLS]]*50&gt;WWWW[[#This Row],['#_students at TLS_CFS]],WWWW[[#This Row],['#_students at TLS_CFS]],(WWWW[[#This Row],['#_Constructed/Existing latrines in TLS]]*50)))</f>
        <v>NA</v>
      </c>
      <c r="CQ375" s="558">
        <f>ROUND(IF(WWWW[[#This Row],[Location Type 1]]="camp",WWWW[[#This Row],[Total PoP ]]/20,IF(WWWW[[#This Row],[Location Type 1]]="Temporary Location",WWWW[[#This Row],[Total PoP ]]/50,(WWWW[[#This Row],[Total PoP ]]/6))),0)</f>
        <v>49</v>
      </c>
      <c r="CR375" s="558">
        <f>IF(WWWW[[#This Row],[Total required Latrines]]-(WWWW[[#This Row],['#_Constructed latrines_by_WASHAgencies]]+WWWW[[#This Row],['#_Non Cluster partner latrines]])&lt;0,0,WWWW[[#This Row],[Total required Latrines]]-(WWWW[[#This Row],['#_Constructed latrines_by_WASHAgencies]]+WWWW[[#This Row],['#_Non Cluster partner latrines]]))</f>
        <v>49</v>
      </c>
      <c r="CS375" s="78">
        <f>1-WWWW[[#This Row],[% people access to functioning Latrine]]</f>
        <v>1</v>
      </c>
      <c r="CT375" s="560">
        <f>IF(OR(WWWW[[#This Row],['#_Non-functional latrines]]="",WWWW[[#This Row],['#_Non-functional latrines]]=0),0,WWWW[[#This Row],['#_Non-functional latrines]]/(WWWW[[#This Row],['#_Constructed latrines_by_WASHAgencies]]+WWWW[[#This Row],['#_Non Cluster partner latrines]]))</f>
        <v>0</v>
      </c>
      <c r="CU375" s="556">
        <f>IF(500*(WWWW[[#This Row],['#_male hygiene promoters]]+WWWW[[#This Row],['#_female hygiene promoters]])&gt;WWWW[[#This Row],[Total PoP ]],WWWW[[#This Row],[Total PoP ]],500*(WWWW[[#This Row],['#_male hygiene promoters]]+WWWW[[#This Row],['#_female hygiene promoters]]))</f>
        <v>0</v>
      </c>
      <c r="CV37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5" s="558">
        <f>IF(WWWW[[#This Row],['# People with access to soap]]&gt;WWWW[[#This Row],['# People with access to Sanity Pads]],WWWW[[#This Row],['# People with access to soap]],WWWW[[#This Row],['# People with access to Sanity Pads]])</f>
        <v>0</v>
      </c>
      <c r="CY37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5" s="561">
        <f>IF(WWWW[[#This Row],[HRP3]]/WWWW[[#This Row],[Total PoP ]]&gt;100%,100%,WWWW[[#This Row],[HRP3]]/WWWW[[#This Row],[Total PoP ]])</f>
        <v>0</v>
      </c>
      <c r="DA375" s="560">
        <f>1-WWWW[[#This Row],[Hygiene Coverage%]]</f>
        <v>1</v>
      </c>
      <c r="DB375" s="559">
        <f>WWWW[[#This Row],['# people reached by regular dedicated hygiene promotion_5]]/WWWW[[#This Row],[Total PoP ]]</f>
        <v>0</v>
      </c>
      <c r="DC375" s="559">
        <f>IF(WWWW[[#This Row],['#_households that received standard amount of soap for this quarter]]/WWWW[[#This Row],[Total HH]]&gt;1,1,WWWW[[#This Row],['#_households that received standard amount of soap for this quarter]]/WWWW[[#This Row],[Total HH]])</f>
        <v>0</v>
      </c>
      <c r="DD375" s="559">
        <f>IF(WWWW[[#This Row],['#_households that received standard amount of sanitary pads for this quarter]]/WWWW[[#This Row],[Total HH]]&gt;1,1,WWWW[[#This Row],['#_households that received standard amount of sanitary pads for this quarter]]/WWWW[[#This Row],[Total HH]])</f>
        <v>0</v>
      </c>
      <c r="DE375" s="558">
        <f>WWWW[[#This Row],['#_Constructed/Existing hand washing stations]]-WWWW[[#This Row],['#_Non-Functional_hand_washing_stations]]</f>
        <v>0</v>
      </c>
      <c r="DF375" s="757">
        <f>IF(WWWW[[#This Row],['# Functional hand washing stations during reporting period]]*20&gt;WWWW[[#This Row],[Total HH]],WWWW[[#This Row],[Total HH]],WWWW[[#This Row],['# Functional hand washing stations during reporting period]]*20)</f>
        <v>0</v>
      </c>
      <c r="DG375" s="556">
        <f>IF(WWWW[[#This Row],[Is sufficient soap available for TLS? (Yes/No)]]="yes",WWWW[[#This Row],['#_Constructed/Existing hand washing stations at TLS]],0)</f>
        <v>0</v>
      </c>
      <c r="DH375" s="556">
        <f>IF(WWWW[[#This Row],['# Functional hand washing stations during reporting period]]*100&gt;WWWW[[#This Row],[Total PoP ]],WWWW[[#This Row],[Total PoP ]],WWWW[[#This Row],['# Functional hand washing stations during reporting period]]*100)</f>
        <v>0</v>
      </c>
      <c r="DI375" s="556" t="str">
        <f>IF(OR(WWWW[[#This Row],['#_students at TLS_CFS]]="",WWWW[[#This Row],['#_students at TLS_CFS]]=0),"No","Yes")</f>
        <v>No</v>
      </c>
      <c r="DJ375" s="554">
        <f>VLOOKUP(WWWW[[#This Row],[Site Name]],SiteDB6[[Site Name]:[CCCM Management]],6,FALSE)</f>
        <v>0</v>
      </c>
      <c r="DK375" s="554">
        <f>VLOOKUP(WWWW[[#This Row],[Site Name]],SiteDB6[[Site Name]:[CCCM Focal Agency]],7,FALSE)</f>
        <v>0</v>
      </c>
      <c r="DL375" s="554" t="str">
        <f>VLOOKUP(WWWW[[#This Row],[Site Name]],SiteDB6[[Site Name]:[Location Type 1]],9,FALSE)</f>
        <v>Village</v>
      </c>
      <c r="DM375" s="554" t="str">
        <f>VLOOKUP(WWWW[[#This Row],[Site Name]],SiteDB6[[Site Name]:[Type of Accommodation]],10,FALSE)</f>
        <v>Village</v>
      </c>
      <c r="DN375" s="554">
        <f>VLOOKUP(WWWW[[#This Row],[Site Name]],SiteDB6[[Site Name]:[Ethnic or GCA/NGCA]],11,FALSE)</f>
        <v>0</v>
      </c>
      <c r="DO375" s="554">
        <f>VLOOKUP(WWWW[[#This Row],[Site Name]],SiteDB6[[Site Name]:[Lat]],12,FALSE)</f>
        <v>0</v>
      </c>
      <c r="DP375" s="554">
        <f>VLOOKUP(WWWW[[#This Row],[Site Name]],SiteDB6[[Site Name]:[Long]],13,FALSE)</f>
        <v>0</v>
      </c>
      <c r="DQ375" s="554">
        <f>VLOOKUP(WWWW[[#This Row],[Site Name]],SiteDB6[[Site Name]:[Pcode]],3,FALSE)</f>
        <v>220647</v>
      </c>
      <c r="DR375" s="563" t="str">
        <f t="shared" si="13"/>
        <v>Covered</v>
      </c>
      <c r="DS375" s="563"/>
    </row>
    <row r="376" spans="1:126">
      <c r="A376" s="552" t="s">
        <v>2518</v>
      </c>
      <c r="B376" s="552" t="s">
        <v>336</v>
      </c>
      <c r="C376" s="555" t="s">
        <v>336</v>
      </c>
      <c r="D376" s="555" t="s">
        <v>307</v>
      </c>
      <c r="E376" s="574" t="s">
        <v>3006</v>
      </c>
      <c r="F376" s="555" t="s">
        <v>320</v>
      </c>
      <c r="G376" s="574" t="str">
        <f>VLOOKUP(WWWW[[#This Row],[Site Name]],SiteDB6[[Site Name]:[Location Type]],8,FALSE)</f>
        <v>Village</v>
      </c>
      <c r="H376" s="555" t="s">
        <v>2311</v>
      </c>
      <c r="I376" s="557">
        <v>156</v>
      </c>
      <c r="J376" s="557">
        <v>677</v>
      </c>
      <c r="K376" s="564">
        <v>43374</v>
      </c>
      <c r="L376" s="565">
        <v>43738</v>
      </c>
      <c r="M376" s="557"/>
      <c r="N376" s="557"/>
      <c r="O376" s="557"/>
      <c r="P376" s="557"/>
      <c r="Q376" s="556"/>
      <c r="R376" s="557"/>
      <c r="S376" s="557"/>
      <c r="T376" s="557"/>
      <c r="U376" s="557"/>
      <c r="V376" s="557"/>
      <c r="W376" s="557"/>
      <c r="X376" s="557"/>
      <c r="Y376" s="557"/>
      <c r="Z376" s="557"/>
      <c r="AA376" s="557"/>
      <c r="AB376" s="557"/>
      <c r="AC376" s="557"/>
      <c r="AD376" s="557"/>
      <c r="AE376" s="557"/>
      <c r="AF376" s="557"/>
      <c r="AG376" s="557"/>
      <c r="AH376" s="557"/>
      <c r="AI376" s="557"/>
      <c r="AJ376" s="557"/>
      <c r="AK376" s="557"/>
      <c r="AL376" s="557"/>
      <c r="AM376" s="557"/>
      <c r="AN376" s="557"/>
      <c r="AO376" s="563"/>
      <c r="AP376" s="557"/>
      <c r="AQ376" s="557"/>
      <c r="AR376" s="559"/>
      <c r="AS376" s="557"/>
      <c r="AT376" s="557"/>
      <c r="AU376" s="557"/>
      <c r="AV376" s="557"/>
      <c r="AW376" s="557"/>
      <c r="AX376" s="554"/>
      <c r="AY376" s="563"/>
      <c r="AZ376" s="557"/>
      <c r="BA376" s="557"/>
      <c r="BB376" s="557"/>
      <c r="BC376" s="554"/>
      <c r="BD376" s="557"/>
      <c r="BE376" s="557"/>
      <c r="BF376" s="557"/>
      <c r="BG376" s="557"/>
      <c r="BH376" s="557"/>
      <c r="BI376" s="557"/>
      <c r="BJ376" s="557"/>
      <c r="BK376" s="557"/>
      <c r="BL376" s="557"/>
      <c r="BM376" s="554"/>
      <c r="BN376" s="558"/>
      <c r="BO376" s="559"/>
      <c r="BP376" s="554"/>
      <c r="BQ376" s="560" t="str">
        <f>IFERROR(WWWW[[#This Row],['#_Water sources treated]]/WWWW[[#This Row],['#_Water sources tested for contamination]],"no test")</f>
        <v>no test</v>
      </c>
      <c r="BR376" s="559" t="str">
        <f>IFERROR(WWWW[[#This Row],['#_Household received remediation action due to contamination]]/WWWW[[#This Row],['#_Household water samples tested for contamination]],"no test")</f>
        <v>no test</v>
      </c>
      <c r="BS376" s="558" t="str">
        <f>IF(AND(WWWW[[#This Row],[% of water sources treated]]="no test",WWWW[[#This Row],[% Household received corrective actions]]="no test"),"No Test","Tested")</f>
        <v>No Test</v>
      </c>
      <c r="BT376" s="558">
        <f>WWWW[[#This Row],['#_Constructed/existing protected hand dug well]]-WWWW[[#This Row],['#_Non-functional protected hand dug well]]</f>
        <v>0</v>
      </c>
      <c r="BU376" s="558">
        <f>(WWWW[[#This Row],['#_Constructed/Existing tube wells/boreholes/handpumps_WASH_agency]]+WWWW[[#This Row],['#_Non-Cluster partner water tube-wells/boreholes/handpumps]])-WWWW[[#This Row],['#_Non-functional tube wells/boreholes/handpumps]]</f>
        <v>0</v>
      </c>
      <c r="BV376" s="558">
        <f>WWWW[[#This Row],['#_Constructed/Existingwater storage tank with gravity fed reticulation system]]-WWWW[[#This Row],['#_Non-functional storage tank gravity fed reticulation system]]</f>
        <v>0</v>
      </c>
      <c r="BW376" s="558">
        <f>WWWW[[#This Row],['#_Water boating or water trucking]]</f>
        <v>0</v>
      </c>
      <c r="BX376" s="558">
        <f>WWWW[[#This Row],['#_Constructed/Existing water distribution system from river or natural spring]]</f>
        <v>0</v>
      </c>
      <c r="BY37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6" s="559">
        <f>IF(WWWW[[#This Row],[Location Type 1]]="Village",WWWW[[#This Row],[Access to safe drinking water for Village]],WWWW[[#This Row],[Access to safe drinking water for Camp]])</f>
        <v>0</v>
      </c>
      <c r="CB376" s="556">
        <f>WWWW[[#This Row],[%Equitable and continuous access to sufficient quantity of safe drinking water]]*WWWW[[#This Row],[Total PoP ]]</f>
        <v>0</v>
      </c>
      <c r="CC376" s="559">
        <f>IF((WWWW[[#This Row],['#_Constructed/Existing protected/fenced ponds]]*250)/WWWW[[#This Row],[Total PoP ]]&gt;1,1,(WWWW[[#This Row],['#_Constructed/Existing protected/fenced ponds]]*250)/WWWW[[#This Row],[Total PoP ]])</f>
        <v>0</v>
      </c>
      <c r="CD376" s="556">
        <f>WWWW[[#This Row],[% Access to unimproved water points]]*WWWW[[#This Row],[Total PoP ]]</f>
        <v>0</v>
      </c>
      <c r="CE37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6" s="556">
        <f>WWWW[[#This Row],[HRP1]]/500</f>
        <v>0</v>
      </c>
      <c r="CH376" s="561">
        <f>1-WWWW[[#This Row],[% Equitable and continuous access to sufficient quantity of domestic water]]</f>
        <v>1</v>
      </c>
      <c r="CI376" s="556">
        <f>WWWW[[#This Row],[%equitable and continuous access to sufficient quantity of safe drinking and domestic water''s GAP]]*WWWW[[#This Row],[Total PoP ]]</f>
        <v>677</v>
      </c>
      <c r="CJ376" s="558">
        <f>IF(WWWW[[#This Row],[Total required water points]]-WWWW[[#This Row],['#Water points coverage]]&lt;0,0,WWWW[[#This Row],[Total required water points]]-WWWW[[#This Row],['#Water points coverage]])</f>
        <v>1</v>
      </c>
      <c r="CK376" s="558">
        <f>ROUND(IF(WWWW[[#This Row],[Total PoP ]]&lt;500,1,WWWW[[#This Row],[Total PoP ]]/500),0)</f>
        <v>1</v>
      </c>
      <c r="CL376" s="558">
        <f>(WWWW[[#This Row],['#_Constructed latrines_by_WASHAgencies]]+WWWW[[#This Row],['#_Non Cluster partner latrines]])-WWWW[[#This Row],['#_Non-functional latrines]]</f>
        <v>0</v>
      </c>
      <c r="CM37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6"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6" s="558" t="str">
        <f>IF(WWWW[[#This Row],[Location Type 1]]="Village","NA",IF(WWWW[[#This Row],['#_Constructed/Existing latrines in TLS]]*50&gt;WWWW[[#This Row],['#_students at TLS_CFS]],WWWW[[#This Row],['#_students at TLS_CFS]],(WWWW[[#This Row],['#_Constructed/Existing latrines in TLS]]*50)))</f>
        <v>NA</v>
      </c>
      <c r="CQ376" s="558">
        <f>ROUND(IF(WWWW[[#This Row],[Location Type 1]]="camp",WWWW[[#This Row],[Total PoP ]]/20,IF(WWWW[[#This Row],[Location Type 1]]="Temporary Location",WWWW[[#This Row],[Total PoP ]]/50,(WWWW[[#This Row],[Total PoP ]]/6))),0)</f>
        <v>113</v>
      </c>
      <c r="CR376" s="558">
        <f>IF(WWWW[[#This Row],[Total required Latrines]]-(WWWW[[#This Row],['#_Constructed latrines_by_WASHAgencies]]+WWWW[[#This Row],['#_Non Cluster partner latrines]])&lt;0,0,WWWW[[#This Row],[Total required Latrines]]-(WWWW[[#This Row],['#_Constructed latrines_by_WASHAgencies]]+WWWW[[#This Row],['#_Non Cluster partner latrines]]))</f>
        <v>113</v>
      </c>
      <c r="CS376" s="78">
        <f>1-WWWW[[#This Row],[% people access to functioning Latrine]]</f>
        <v>1</v>
      </c>
      <c r="CT376" s="560">
        <f>IF(OR(WWWW[[#This Row],['#_Non-functional latrines]]="",WWWW[[#This Row],['#_Non-functional latrines]]=0),0,WWWW[[#This Row],['#_Non-functional latrines]]/(WWWW[[#This Row],['#_Constructed latrines_by_WASHAgencies]]+WWWW[[#This Row],['#_Non Cluster partner latrines]]))</f>
        <v>0</v>
      </c>
      <c r="CU376" s="556">
        <f>IF(500*(WWWW[[#This Row],['#_male hygiene promoters]]+WWWW[[#This Row],['#_female hygiene promoters]])&gt;WWWW[[#This Row],[Total PoP ]],WWWW[[#This Row],[Total PoP ]],500*(WWWW[[#This Row],['#_male hygiene promoters]]+WWWW[[#This Row],['#_female hygiene promoters]]))</f>
        <v>0</v>
      </c>
      <c r="CV37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6" s="558">
        <f>IF(WWWW[[#This Row],['# People with access to soap]]&gt;WWWW[[#This Row],['# People with access to Sanity Pads]],WWWW[[#This Row],['# People with access to soap]],WWWW[[#This Row],['# People with access to Sanity Pads]])</f>
        <v>0</v>
      </c>
      <c r="CY37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6" s="561">
        <f>IF(WWWW[[#This Row],[HRP3]]/WWWW[[#This Row],[Total PoP ]]&gt;100%,100%,WWWW[[#This Row],[HRP3]]/WWWW[[#This Row],[Total PoP ]])</f>
        <v>0</v>
      </c>
      <c r="DA376" s="560">
        <f>1-WWWW[[#This Row],[Hygiene Coverage%]]</f>
        <v>1</v>
      </c>
      <c r="DB376" s="559">
        <f>WWWW[[#This Row],['# people reached by regular dedicated hygiene promotion_5]]/WWWW[[#This Row],[Total PoP ]]</f>
        <v>0</v>
      </c>
      <c r="DC376" s="559">
        <f>IF(WWWW[[#This Row],['#_households that received standard amount of soap for this quarter]]/WWWW[[#This Row],[Total HH]]&gt;1,1,WWWW[[#This Row],['#_households that received standard amount of soap for this quarter]]/WWWW[[#This Row],[Total HH]])</f>
        <v>0</v>
      </c>
      <c r="DD376" s="559">
        <f>IF(WWWW[[#This Row],['#_households that received standard amount of sanitary pads for this quarter]]/WWWW[[#This Row],[Total HH]]&gt;1,1,WWWW[[#This Row],['#_households that received standard amount of sanitary pads for this quarter]]/WWWW[[#This Row],[Total HH]])</f>
        <v>0</v>
      </c>
      <c r="DE376" s="558">
        <f>WWWW[[#This Row],['#_Constructed/Existing hand washing stations]]-WWWW[[#This Row],['#_Non-Functional_hand_washing_stations]]</f>
        <v>0</v>
      </c>
      <c r="DF376" s="757">
        <f>IF(WWWW[[#This Row],['# Functional hand washing stations during reporting period]]*20&gt;WWWW[[#This Row],[Total HH]],WWWW[[#This Row],[Total HH]],WWWW[[#This Row],['# Functional hand washing stations during reporting period]]*20)</f>
        <v>0</v>
      </c>
      <c r="DG376" s="556">
        <f>IF(WWWW[[#This Row],[Is sufficient soap available for TLS? (Yes/No)]]="yes",WWWW[[#This Row],['#_Constructed/Existing hand washing stations at TLS]],0)</f>
        <v>0</v>
      </c>
      <c r="DH376" s="556">
        <f>IF(WWWW[[#This Row],['# Functional hand washing stations during reporting period]]*100&gt;WWWW[[#This Row],[Total PoP ]],WWWW[[#This Row],[Total PoP ]],WWWW[[#This Row],['# Functional hand washing stations during reporting period]]*100)</f>
        <v>0</v>
      </c>
      <c r="DI376" s="556" t="str">
        <f>IF(OR(WWWW[[#This Row],['#_students at TLS_CFS]]="",WWWW[[#This Row],['#_students at TLS_CFS]]=0),"No","Yes")</f>
        <v>No</v>
      </c>
      <c r="DJ376" s="554">
        <f>VLOOKUP(WWWW[[#This Row],[Site Name]],SiteDB6[[Site Name]:[CCCM Management]],6,FALSE)</f>
        <v>0</v>
      </c>
      <c r="DK376" s="554">
        <f>VLOOKUP(WWWW[[#This Row],[Site Name]],SiteDB6[[Site Name]:[CCCM Focal Agency]],7,FALSE)</f>
        <v>0</v>
      </c>
      <c r="DL376" s="554" t="str">
        <f>VLOOKUP(WWWW[[#This Row],[Site Name]],SiteDB6[[Site Name]:[Location Type 1]],9,FALSE)</f>
        <v>Village</v>
      </c>
      <c r="DM376" s="554" t="str">
        <f>VLOOKUP(WWWW[[#This Row],[Site Name]],SiteDB6[[Site Name]:[Type of Accommodation]],10,FALSE)</f>
        <v>Village</v>
      </c>
      <c r="DN376" s="554">
        <f>VLOOKUP(WWWW[[#This Row],[Site Name]],SiteDB6[[Site Name]:[Ethnic or GCA/NGCA]],11,FALSE)</f>
        <v>0</v>
      </c>
      <c r="DO376" s="554">
        <f>VLOOKUP(WWWW[[#This Row],[Site Name]],SiteDB6[[Site Name]:[Lat]],12,FALSE)</f>
        <v>20.760820389999999</v>
      </c>
      <c r="DP376" s="554">
        <f>VLOOKUP(WWWW[[#This Row],[Site Name]],SiteDB6[[Site Name]:[Long]],13,FALSE)</f>
        <v>92.960083010000005</v>
      </c>
      <c r="DQ376" s="554">
        <f>VLOOKUP(WWWW[[#This Row],[Site Name]],SiteDB6[[Site Name]:[Pcode]],3,FALSE)</f>
        <v>196893</v>
      </c>
      <c r="DR376" s="563" t="str">
        <f t="shared" si="13"/>
        <v>Covered</v>
      </c>
      <c r="DS376" s="563"/>
    </row>
    <row r="377" spans="1:126">
      <c r="A377" s="552" t="s">
        <v>2518</v>
      </c>
      <c r="B377" s="552" t="s">
        <v>336</v>
      </c>
      <c r="C377" s="555" t="s">
        <v>336</v>
      </c>
      <c r="D377" s="555" t="s">
        <v>307</v>
      </c>
      <c r="E377" s="574" t="s">
        <v>3006</v>
      </c>
      <c r="F377" s="555" t="s">
        <v>320</v>
      </c>
      <c r="G377" s="574" t="str">
        <f>VLOOKUP(WWWW[[#This Row],[Site Name]],SiteDB6[[Site Name]:[Location Type]],8,FALSE)</f>
        <v>Village</v>
      </c>
      <c r="H377" s="555" t="s">
        <v>2312</v>
      </c>
      <c r="I377" s="557">
        <v>286</v>
      </c>
      <c r="J377" s="557">
        <v>1372</v>
      </c>
      <c r="K377" s="564">
        <v>43374</v>
      </c>
      <c r="L377" s="565">
        <v>43738</v>
      </c>
      <c r="M377" s="557"/>
      <c r="N377" s="557"/>
      <c r="O377" s="557"/>
      <c r="P377" s="557"/>
      <c r="Q377" s="556"/>
      <c r="R377" s="557"/>
      <c r="S377" s="557"/>
      <c r="T377" s="557"/>
      <c r="U377" s="557"/>
      <c r="V377" s="557"/>
      <c r="W377" s="557"/>
      <c r="X377" s="557"/>
      <c r="Y377" s="557"/>
      <c r="Z377" s="557"/>
      <c r="AA377" s="557"/>
      <c r="AB377" s="557"/>
      <c r="AC377" s="557"/>
      <c r="AD377" s="557"/>
      <c r="AE377" s="557"/>
      <c r="AF377" s="557"/>
      <c r="AG377" s="557"/>
      <c r="AH377" s="557"/>
      <c r="AI377" s="557"/>
      <c r="AJ377" s="557"/>
      <c r="AK377" s="557"/>
      <c r="AL377" s="557"/>
      <c r="AM377" s="557"/>
      <c r="AN377" s="557"/>
      <c r="AO377" s="563"/>
      <c r="AP377" s="557"/>
      <c r="AQ377" s="557"/>
      <c r="AR377" s="559"/>
      <c r="AS377" s="557"/>
      <c r="AT377" s="557"/>
      <c r="AU377" s="557"/>
      <c r="AV377" s="557"/>
      <c r="AW377" s="557"/>
      <c r="AX377" s="554"/>
      <c r="AY377" s="563"/>
      <c r="AZ377" s="557"/>
      <c r="BA377" s="557"/>
      <c r="BB377" s="557"/>
      <c r="BC377" s="554"/>
      <c r="BD377" s="557"/>
      <c r="BE377" s="557"/>
      <c r="BF377" s="557"/>
      <c r="BG377" s="557"/>
      <c r="BH377" s="557"/>
      <c r="BI377" s="557"/>
      <c r="BJ377" s="557"/>
      <c r="BK377" s="557"/>
      <c r="BL377" s="557"/>
      <c r="BM377" s="554"/>
      <c r="BN377" s="558"/>
      <c r="BO377" s="559"/>
      <c r="BP377" s="554"/>
      <c r="BQ377" s="560" t="str">
        <f>IFERROR(WWWW[[#This Row],['#_Water sources treated]]/WWWW[[#This Row],['#_Water sources tested for contamination]],"no test")</f>
        <v>no test</v>
      </c>
      <c r="BR377" s="559" t="str">
        <f>IFERROR(WWWW[[#This Row],['#_Household received remediation action due to contamination]]/WWWW[[#This Row],['#_Household water samples tested for contamination]],"no test")</f>
        <v>no test</v>
      </c>
      <c r="BS377" s="558" t="str">
        <f>IF(AND(WWWW[[#This Row],[% of water sources treated]]="no test",WWWW[[#This Row],[% Household received corrective actions]]="no test"),"No Test","Tested")</f>
        <v>No Test</v>
      </c>
      <c r="BT377" s="558">
        <f>WWWW[[#This Row],['#_Constructed/existing protected hand dug well]]-WWWW[[#This Row],['#_Non-functional protected hand dug well]]</f>
        <v>0</v>
      </c>
      <c r="BU377" s="558">
        <f>(WWWW[[#This Row],['#_Constructed/Existing tube wells/boreholes/handpumps_WASH_agency]]+WWWW[[#This Row],['#_Non-Cluster partner water tube-wells/boreholes/handpumps]])-WWWW[[#This Row],['#_Non-functional tube wells/boreholes/handpumps]]</f>
        <v>0</v>
      </c>
      <c r="BV377" s="558">
        <f>WWWW[[#This Row],['#_Constructed/Existingwater storage tank with gravity fed reticulation system]]-WWWW[[#This Row],['#_Non-functional storage tank gravity fed reticulation system]]</f>
        <v>0</v>
      </c>
      <c r="BW377" s="558">
        <f>WWWW[[#This Row],['#_Water boating or water trucking]]</f>
        <v>0</v>
      </c>
      <c r="BX377" s="558">
        <f>WWWW[[#This Row],['#_Constructed/Existing water distribution system from river or natural spring]]</f>
        <v>0</v>
      </c>
      <c r="BY37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7" s="559">
        <f>IF(WWWW[[#This Row],[Location Type 1]]="Village",WWWW[[#This Row],[Access to safe drinking water for Village]],WWWW[[#This Row],[Access to safe drinking water for Camp]])</f>
        <v>0</v>
      </c>
      <c r="CB377" s="556">
        <f>WWWW[[#This Row],[%Equitable and continuous access to sufficient quantity of safe drinking water]]*WWWW[[#This Row],[Total PoP ]]</f>
        <v>0</v>
      </c>
      <c r="CC377" s="559">
        <f>IF((WWWW[[#This Row],['#_Constructed/Existing protected/fenced ponds]]*250)/WWWW[[#This Row],[Total PoP ]]&gt;1,1,(WWWW[[#This Row],['#_Constructed/Existing protected/fenced ponds]]*250)/WWWW[[#This Row],[Total PoP ]])</f>
        <v>0</v>
      </c>
      <c r="CD377" s="556">
        <f>WWWW[[#This Row],[% Access to unimproved water points]]*WWWW[[#This Row],[Total PoP ]]</f>
        <v>0</v>
      </c>
      <c r="CE37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7" s="556">
        <f>WWWW[[#This Row],[HRP1]]/500</f>
        <v>0</v>
      </c>
      <c r="CH377" s="561">
        <f>1-WWWW[[#This Row],[% Equitable and continuous access to sufficient quantity of domestic water]]</f>
        <v>1</v>
      </c>
      <c r="CI377" s="556">
        <f>WWWW[[#This Row],[%equitable and continuous access to sufficient quantity of safe drinking and domestic water''s GAP]]*WWWW[[#This Row],[Total PoP ]]</f>
        <v>1372</v>
      </c>
      <c r="CJ377" s="558">
        <f>IF(WWWW[[#This Row],[Total required water points]]-WWWW[[#This Row],['#Water points coverage]]&lt;0,0,WWWW[[#This Row],[Total required water points]]-WWWW[[#This Row],['#Water points coverage]])</f>
        <v>3</v>
      </c>
      <c r="CK377" s="558">
        <f>ROUND(IF(WWWW[[#This Row],[Total PoP ]]&lt;500,1,WWWW[[#This Row],[Total PoP ]]/500),0)</f>
        <v>3</v>
      </c>
      <c r="CL377" s="558">
        <f>(WWWW[[#This Row],['#_Constructed latrines_by_WASHAgencies]]+WWWW[[#This Row],['#_Non Cluster partner latrines]])-WWWW[[#This Row],['#_Non-functional latrines]]</f>
        <v>0</v>
      </c>
      <c r="CM37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7" s="5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7" s="558" t="str">
        <f>IF(WWWW[[#This Row],[Location Type 1]]="Village","NA",IF(WWWW[[#This Row],['#_Constructed/Existing latrines in TLS]]*50&gt;WWWW[[#This Row],['#_students at TLS_CFS]],WWWW[[#This Row],['#_students at TLS_CFS]],(WWWW[[#This Row],['#_Constructed/Existing latrines in TLS]]*50)))</f>
        <v>NA</v>
      </c>
      <c r="CQ377" s="558">
        <f>ROUND(IF(WWWW[[#This Row],[Location Type 1]]="camp",WWWW[[#This Row],[Total PoP ]]/20,IF(WWWW[[#This Row],[Location Type 1]]="Temporary Location",WWWW[[#This Row],[Total PoP ]]/50,(WWWW[[#This Row],[Total PoP ]]/6))),0)</f>
        <v>229</v>
      </c>
      <c r="CR377" s="558">
        <f>IF(WWWW[[#This Row],[Total required Latrines]]-(WWWW[[#This Row],['#_Constructed latrines_by_WASHAgencies]]+WWWW[[#This Row],['#_Non Cluster partner latrines]])&lt;0,0,WWWW[[#This Row],[Total required Latrines]]-(WWWW[[#This Row],['#_Constructed latrines_by_WASHAgencies]]+WWWW[[#This Row],['#_Non Cluster partner latrines]]))</f>
        <v>229</v>
      </c>
      <c r="CS377" s="78">
        <f>1-WWWW[[#This Row],[% people access to functioning Latrine]]</f>
        <v>1</v>
      </c>
      <c r="CT377" s="560">
        <f>IF(OR(WWWW[[#This Row],['#_Non-functional latrines]]="",WWWW[[#This Row],['#_Non-functional latrines]]=0),0,WWWW[[#This Row],['#_Non-functional latrines]]/(WWWW[[#This Row],['#_Constructed latrines_by_WASHAgencies]]+WWWW[[#This Row],['#_Non Cluster partner latrines]]))</f>
        <v>0</v>
      </c>
      <c r="CU377" s="556">
        <f>IF(500*(WWWW[[#This Row],['#_male hygiene promoters]]+WWWW[[#This Row],['#_female hygiene promoters]])&gt;WWWW[[#This Row],[Total PoP ]],WWWW[[#This Row],[Total PoP ]],500*(WWWW[[#This Row],['#_male hygiene promoters]]+WWWW[[#This Row],['#_female hygiene promoters]]))</f>
        <v>0</v>
      </c>
      <c r="CV37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7" s="558">
        <f>IF(WWWW[[#This Row],['# People with access to soap]]&gt;WWWW[[#This Row],['# People with access to Sanity Pads]],WWWW[[#This Row],['# People with access to soap]],WWWW[[#This Row],['# People with access to Sanity Pads]])</f>
        <v>0</v>
      </c>
      <c r="CY37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7" s="561">
        <f>IF(WWWW[[#This Row],[HRP3]]/WWWW[[#This Row],[Total PoP ]]&gt;100%,100%,WWWW[[#This Row],[HRP3]]/WWWW[[#This Row],[Total PoP ]])</f>
        <v>0</v>
      </c>
      <c r="DA377" s="560">
        <f>1-WWWW[[#This Row],[Hygiene Coverage%]]</f>
        <v>1</v>
      </c>
      <c r="DB377" s="559">
        <f>WWWW[[#This Row],['# people reached by regular dedicated hygiene promotion_5]]/WWWW[[#This Row],[Total PoP ]]</f>
        <v>0</v>
      </c>
      <c r="DC377" s="559">
        <f>IF(WWWW[[#This Row],['#_households that received standard amount of soap for this quarter]]/WWWW[[#This Row],[Total HH]]&gt;1,1,WWWW[[#This Row],['#_households that received standard amount of soap for this quarter]]/WWWW[[#This Row],[Total HH]])</f>
        <v>0</v>
      </c>
      <c r="DD377" s="559">
        <f>IF(WWWW[[#This Row],['#_households that received standard amount of sanitary pads for this quarter]]/WWWW[[#This Row],[Total HH]]&gt;1,1,WWWW[[#This Row],['#_households that received standard amount of sanitary pads for this quarter]]/WWWW[[#This Row],[Total HH]])</f>
        <v>0</v>
      </c>
      <c r="DE377" s="558">
        <f>WWWW[[#This Row],['#_Constructed/Existing hand washing stations]]-WWWW[[#This Row],['#_Non-Functional_hand_washing_stations]]</f>
        <v>0</v>
      </c>
      <c r="DF377" s="757">
        <f>IF(WWWW[[#This Row],['# Functional hand washing stations during reporting period]]*20&gt;WWWW[[#This Row],[Total HH]],WWWW[[#This Row],[Total HH]],WWWW[[#This Row],['# Functional hand washing stations during reporting period]]*20)</f>
        <v>0</v>
      </c>
      <c r="DG377" s="556">
        <f>IF(WWWW[[#This Row],[Is sufficient soap available for TLS? (Yes/No)]]="yes",WWWW[[#This Row],['#_Constructed/Existing hand washing stations at TLS]],0)</f>
        <v>0</v>
      </c>
      <c r="DH377" s="556">
        <f>IF(WWWW[[#This Row],['# Functional hand washing stations during reporting period]]*100&gt;WWWW[[#This Row],[Total PoP ]],WWWW[[#This Row],[Total PoP ]],WWWW[[#This Row],['# Functional hand washing stations during reporting period]]*100)</f>
        <v>0</v>
      </c>
      <c r="DI377" s="556" t="str">
        <f>IF(OR(WWWW[[#This Row],['#_students at TLS_CFS]]="",WWWW[[#This Row],['#_students at TLS_CFS]]=0),"No","Yes")</f>
        <v>No</v>
      </c>
      <c r="DJ377" s="554">
        <f>VLOOKUP(WWWW[[#This Row],[Site Name]],SiteDB6[[Site Name]:[CCCM Management]],6,FALSE)</f>
        <v>0</v>
      </c>
      <c r="DK377" s="554">
        <f>VLOOKUP(WWWW[[#This Row],[Site Name]],SiteDB6[[Site Name]:[CCCM Focal Agency]],7,FALSE)</f>
        <v>0</v>
      </c>
      <c r="DL377" s="554" t="str">
        <f>VLOOKUP(WWWW[[#This Row],[Site Name]],SiteDB6[[Site Name]:[Location Type 1]],9,FALSE)</f>
        <v>Village</v>
      </c>
      <c r="DM377" s="554" t="str">
        <f>VLOOKUP(WWWW[[#This Row],[Site Name]],SiteDB6[[Site Name]:[Type of Accommodation]],10,FALSE)</f>
        <v>Village</v>
      </c>
      <c r="DN377" s="554">
        <f>VLOOKUP(WWWW[[#This Row],[Site Name]],SiteDB6[[Site Name]:[Ethnic or GCA/NGCA]],11,FALSE)</f>
        <v>0</v>
      </c>
      <c r="DO377" s="554">
        <f>VLOOKUP(WWWW[[#This Row],[Site Name]],SiteDB6[[Site Name]:[Lat]],12,FALSE)</f>
        <v>20.785549159999999</v>
      </c>
      <c r="DP377" s="554">
        <f>VLOOKUP(WWWW[[#This Row],[Site Name]],SiteDB6[[Site Name]:[Long]],13,FALSE)</f>
        <v>92.971076969999999</v>
      </c>
      <c r="DQ377" s="554">
        <f>VLOOKUP(WWWW[[#This Row],[Site Name]],SiteDB6[[Site Name]:[Pcode]],3,FALSE)</f>
        <v>196889</v>
      </c>
      <c r="DR377" s="563" t="str">
        <f t="shared" si="13"/>
        <v>Covered</v>
      </c>
      <c r="DS377" s="563"/>
    </row>
    <row r="378" spans="1:126">
      <c r="A378" s="552" t="s">
        <v>2518</v>
      </c>
      <c r="B378" s="599" t="s">
        <v>317</v>
      </c>
      <c r="C378" s="599" t="s">
        <v>317</v>
      </c>
      <c r="D378" s="584"/>
      <c r="E378" s="574" t="s">
        <v>3006</v>
      </c>
      <c r="F378" s="584" t="s">
        <v>320</v>
      </c>
      <c r="G378" s="581" t="str">
        <f>VLOOKUP(WWWW[[#This Row],[Site Name]],SiteDB6[[Site Name]:[Location Type]],8,FALSE)</f>
        <v>Village</v>
      </c>
      <c r="H378" s="584" t="s">
        <v>584</v>
      </c>
      <c r="I378" s="312">
        <v>92</v>
      </c>
      <c r="J378" s="312">
        <v>559</v>
      </c>
      <c r="K378" s="593"/>
      <c r="L378" s="58"/>
      <c r="M378" s="312"/>
      <c r="N378" s="312"/>
      <c r="O378" s="312"/>
      <c r="P378" s="312"/>
      <c r="Q378" s="585"/>
      <c r="R378" s="312"/>
      <c r="S378" s="312"/>
      <c r="T378" s="312"/>
      <c r="U378" s="312"/>
      <c r="V378" s="312"/>
      <c r="W378" s="312"/>
      <c r="X378" s="312"/>
      <c r="Y378" s="312"/>
      <c r="Z378" s="312"/>
      <c r="AA378" s="312"/>
      <c r="AB378" s="312"/>
      <c r="AC378" s="312"/>
      <c r="AD378" s="312"/>
      <c r="AE378" s="312"/>
      <c r="AF378" s="312"/>
      <c r="AG378" s="312"/>
      <c r="AH378" s="312"/>
      <c r="AI378" s="312"/>
      <c r="AJ378" s="312"/>
      <c r="AK378" s="312"/>
      <c r="AL378" s="312"/>
      <c r="AM378" s="312"/>
      <c r="AN378" s="312"/>
      <c r="AO378" s="586"/>
      <c r="AP378" s="312"/>
      <c r="AQ378" s="312"/>
      <c r="AR378" s="594"/>
      <c r="AS378" s="312"/>
      <c r="AT378" s="312"/>
      <c r="AU378" s="312"/>
      <c r="AV378" s="312"/>
      <c r="AW378" s="312"/>
      <c r="AX378" s="592"/>
      <c r="AY378" s="586"/>
      <c r="AZ378" s="312"/>
      <c r="BA378" s="312"/>
      <c r="BB378" s="312"/>
      <c r="BC378" s="592"/>
      <c r="BD378" s="312"/>
      <c r="BE378" s="312"/>
      <c r="BF378" s="312"/>
      <c r="BG378" s="312"/>
      <c r="BH378" s="312"/>
      <c r="BI378" s="312"/>
      <c r="BJ378" s="312"/>
      <c r="BK378" s="312"/>
      <c r="BL378" s="312"/>
      <c r="BM378" s="592"/>
      <c r="BN378" s="595"/>
      <c r="BO378" s="594"/>
      <c r="BP378" s="592"/>
      <c r="BQ378" s="596" t="str">
        <f>IFERROR(WWWW[[#This Row],['#_Water sources treated]]/WWWW[[#This Row],['#_Water sources tested for contamination]],"no test")</f>
        <v>no test</v>
      </c>
      <c r="BR378" s="594" t="str">
        <f>IFERROR(WWWW[[#This Row],['#_Household received remediation action due to contamination]]/WWWW[[#This Row],['#_Household water samples tested for contamination]],"no test")</f>
        <v>no test</v>
      </c>
      <c r="BS378" s="595" t="str">
        <f>IF(AND(WWWW[[#This Row],[% of water sources treated]]="no test",WWWW[[#This Row],[% Household received corrective actions]]="no test"),"No Test","Tested")</f>
        <v>No Test</v>
      </c>
      <c r="BT378" s="595">
        <f>WWWW[[#This Row],['#_Constructed/existing protected hand dug well]]-WWWW[[#This Row],['#_Non-functional protected hand dug well]]</f>
        <v>0</v>
      </c>
      <c r="BU378" s="595">
        <f>(WWWW[[#This Row],['#_Constructed/Existing tube wells/boreholes/handpumps_WASH_agency]]+WWWW[[#This Row],['#_Non-Cluster partner water tube-wells/boreholes/handpumps]])-WWWW[[#This Row],['#_Non-functional tube wells/boreholes/handpumps]]</f>
        <v>0</v>
      </c>
      <c r="BV378" s="595">
        <f>WWWW[[#This Row],['#_Constructed/Existingwater storage tank with gravity fed reticulation system]]-WWWW[[#This Row],['#_Non-functional storage tank gravity fed reticulation system]]</f>
        <v>0</v>
      </c>
      <c r="BW378" s="595">
        <f>WWWW[[#This Row],['#_Water boating or water trucking]]</f>
        <v>0</v>
      </c>
      <c r="BX378" s="595">
        <f>WWWW[[#This Row],['#_Constructed/Existing water distribution system from river or natural spring]]</f>
        <v>0</v>
      </c>
      <c r="BY378"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8"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8" s="594">
        <f>IF(WWWW[[#This Row],[Location Type 1]]="Village",WWWW[[#This Row],[Access to safe drinking water for Village]],WWWW[[#This Row],[Access to safe drinking water for Camp]])</f>
        <v>0</v>
      </c>
      <c r="CB378" s="585">
        <f>WWWW[[#This Row],[%Equitable and continuous access to sufficient quantity of safe drinking water]]*WWWW[[#This Row],[Total PoP ]]</f>
        <v>0</v>
      </c>
      <c r="CC378" s="594">
        <f>IF((WWWW[[#This Row],['#_Constructed/Existing protected/fenced ponds]]*250)/WWWW[[#This Row],[Total PoP ]]&gt;1,1,(WWWW[[#This Row],['#_Constructed/Existing protected/fenced ponds]]*250)/WWWW[[#This Row],[Total PoP ]])</f>
        <v>0</v>
      </c>
      <c r="CD378" s="585">
        <f>WWWW[[#This Row],[% Access to unimproved water points]]*WWWW[[#This Row],[Total PoP ]]</f>
        <v>0</v>
      </c>
      <c r="CE378"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8"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8" s="585">
        <f>WWWW[[#This Row],[HRP1]]/500</f>
        <v>0</v>
      </c>
      <c r="CH378" s="597">
        <f>1-WWWW[[#This Row],[% Equitable and continuous access to sufficient quantity of domestic water]]</f>
        <v>1</v>
      </c>
      <c r="CI378" s="585">
        <f>WWWW[[#This Row],[%equitable and continuous access to sufficient quantity of safe drinking and domestic water''s GAP]]*WWWW[[#This Row],[Total PoP ]]</f>
        <v>559</v>
      </c>
      <c r="CJ378" s="595">
        <f>IF(WWWW[[#This Row],[Total required water points]]-WWWW[[#This Row],['#Water points coverage]]&lt;0,0,WWWW[[#This Row],[Total required water points]]-WWWW[[#This Row],['#Water points coverage]])</f>
        <v>1</v>
      </c>
      <c r="CK378" s="595">
        <f>ROUND(IF(WWWW[[#This Row],[Total PoP ]]&lt;500,1,WWWW[[#This Row],[Total PoP ]]/500),0)</f>
        <v>1</v>
      </c>
      <c r="CL378" s="595">
        <f>(WWWW[[#This Row],['#_Constructed latrines_by_WASHAgencies]]+WWWW[[#This Row],['#_Non Cluster partner latrines]])-WWWW[[#This Row],['#_Non-functional latrines]]</f>
        <v>0</v>
      </c>
      <c r="CM378"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8"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8"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8" s="595" t="str">
        <f>IF(WWWW[[#This Row],[Location Type 1]]="Village","NA",IF(WWWW[[#This Row],['#_Constructed/Existing latrines in TLS]]*50&gt;WWWW[[#This Row],['#_students at TLS_CFS]],WWWW[[#This Row],['#_students at TLS_CFS]],(WWWW[[#This Row],['#_Constructed/Existing latrines in TLS]]*50)))</f>
        <v>NA</v>
      </c>
      <c r="CQ378" s="595">
        <f>ROUND(IF(WWWW[[#This Row],[Location Type 1]]="camp",WWWW[[#This Row],[Total PoP ]]/20,IF(WWWW[[#This Row],[Location Type 1]]="Temporary Location",WWWW[[#This Row],[Total PoP ]]/50,(WWWW[[#This Row],[Total PoP ]]/6))),0)</f>
        <v>93</v>
      </c>
      <c r="CR378" s="595">
        <f>IF(WWWW[[#This Row],[Total required Latrines]]-(WWWW[[#This Row],['#_Constructed latrines_by_WASHAgencies]]+WWWW[[#This Row],['#_Non Cluster partner latrines]])&lt;0,0,WWWW[[#This Row],[Total required Latrines]]-(WWWW[[#This Row],['#_Constructed latrines_by_WASHAgencies]]+WWWW[[#This Row],['#_Non Cluster partner latrines]]))</f>
        <v>93</v>
      </c>
      <c r="CS378" s="78">
        <f>1-WWWW[[#This Row],[% people access to functioning Latrine]]</f>
        <v>1</v>
      </c>
      <c r="CT378" s="596">
        <f>IF(OR(WWWW[[#This Row],['#_Non-functional latrines]]="",WWWW[[#This Row],['#_Non-functional latrines]]=0),0,WWWW[[#This Row],['#_Non-functional latrines]]/(WWWW[[#This Row],['#_Constructed latrines_by_WASHAgencies]]+WWWW[[#This Row],['#_Non Cluster partner latrines]]))</f>
        <v>0</v>
      </c>
      <c r="CU378" s="585">
        <f>IF(500*(WWWW[[#This Row],['#_male hygiene promoters]]+WWWW[[#This Row],['#_female hygiene promoters]])&gt;WWWW[[#This Row],[Total PoP ]],WWWW[[#This Row],[Total PoP ]],500*(WWWW[[#This Row],['#_male hygiene promoters]]+WWWW[[#This Row],['#_female hygiene promoters]]))</f>
        <v>0</v>
      </c>
      <c r="CV378"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8"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8" s="595">
        <f>IF(WWWW[[#This Row],['# People with access to soap]]&gt;WWWW[[#This Row],['# People with access to Sanity Pads]],WWWW[[#This Row],['# People with access to soap]],WWWW[[#This Row],['# People with access to Sanity Pads]])</f>
        <v>0</v>
      </c>
      <c r="CY378"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8" s="597">
        <f>IF(WWWW[[#This Row],[HRP3]]/WWWW[[#This Row],[Total PoP ]]&gt;100%,100%,WWWW[[#This Row],[HRP3]]/WWWW[[#This Row],[Total PoP ]])</f>
        <v>0</v>
      </c>
      <c r="DA378" s="596">
        <f>1-WWWW[[#This Row],[Hygiene Coverage%]]</f>
        <v>1</v>
      </c>
      <c r="DB378" s="594">
        <f>WWWW[[#This Row],['# people reached by regular dedicated hygiene promotion_5]]/WWWW[[#This Row],[Total PoP ]]</f>
        <v>0</v>
      </c>
      <c r="DC378" s="594">
        <f>IF(WWWW[[#This Row],['#_households that received standard amount of soap for this quarter]]/WWWW[[#This Row],[Total HH]]&gt;1,1,WWWW[[#This Row],['#_households that received standard amount of soap for this quarter]]/WWWW[[#This Row],[Total HH]])</f>
        <v>0</v>
      </c>
      <c r="DD378" s="594">
        <f>IF(WWWW[[#This Row],['#_households that received standard amount of sanitary pads for this quarter]]/WWWW[[#This Row],[Total HH]]&gt;1,1,WWWW[[#This Row],['#_households that received standard amount of sanitary pads for this quarter]]/WWWW[[#This Row],[Total HH]])</f>
        <v>0</v>
      </c>
      <c r="DE378" s="595">
        <f>WWWW[[#This Row],['#_Constructed/Existing hand washing stations]]-WWWW[[#This Row],['#_Non-Functional_hand_washing_stations]]</f>
        <v>0</v>
      </c>
      <c r="DF378" s="757">
        <f>IF(WWWW[[#This Row],['# Functional hand washing stations during reporting period]]*20&gt;WWWW[[#This Row],[Total HH]],WWWW[[#This Row],[Total HH]],WWWW[[#This Row],['# Functional hand washing stations during reporting period]]*20)</f>
        <v>0</v>
      </c>
      <c r="DG378" s="585">
        <f>IF(WWWW[[#This Row],[Is sufficient soap available for TLS? (Yes/No)]]="yes",WWWW[[#This Row],['#_Constructed/Existing hand washing stations at TLS]],0)</f>
        <v>0</v>
      </c>
      <c r="DH378" s="585">
        <f>IF(WWWW[[#This Row],['# Functional hand washing stations during reporting period]]*100&gt;WWWW[[#This Row],[Total PoP ]],WWWW[[#This Row],[Total PoP ]],WWWW[[#This Row],['# Functional hand washing stations during reporting period]]*100)</f>
        <v>0</v>
      </c>
      <c r="DI378" s="585" t="str">
        <f>IF(OR(WWWW[[#This Row],['#_students at TLS_CFS]]="",WWWW[[#This Row],['#_students at TLS_CFS]]=0),"No","Yes")</f>
        <v>No</v>
      </c>
      <c r="DJ378" s="592">
        <f>VLOOKUP(WWWW[[#This Row],[Site Name]],SiteDB6[[Site Name]:[CCCM Management]],6,FALSE)</f>
        <v>0</v>
      </c>
      <c r="DK378" s="592">
        <f>VLOOKUP(WWWW[[#This Row],[Site Name]],SiteDB6[[Site Name]:[CCCM Focal Agency]],7,FALSE)</f>
        <v>0</v>
      </c>
      <c r="DL378" s="592" t="str">
        <f>VLOOKUP(WWWW[[#This Row],[Site Name]],SiteDB6[[Site Name]:[Location Type 1]],9,FALSE)</f>
        <v>Village</v>
      </c>
      <c r="DM378" s="592" t="str">
        <f>VLOOKUP(WWWW[[#This Row],[Site Name]],SiteDB6[[Site Name]:[Type of Accommodation]],10,FALSE)</f>
        <v>Returned</v>
      </c>
      <c r="DN378" s="592" t="str">
        <f>VLOOKUP(WWWW[[#This Row],[Site Name]],SiteDB6[[Site Name]:[Ethnic or GCA/NGCA]],11,FALSE)</f>
        <v>Rakhine</v>
      </c>
      <c r="DO378" s="592">
        <f>VLOOKUP(WWWW[[#This Row],[Site Name]],SiteDB6[[Site Name]:[Lat]],12,FALSE)</f>
        <v>20.720213000000001</v>
      </c>
      <c r="DP378" s="592">
        <f>VLOOKUP(WWWW[[#This Row],[Site Name]],SiteDB6[[Site Name]:[Long]],13,FALSE)</f>
        <v>92.961841000000007</v>
      </c>
      <c r="DQ378" s="592" t="str">
        <f>VLOOKUP(WWWW[[#This Row],[Site Name]],SiteDB6[[Site Name]:[Pcode]],3,FALSE)</f>
        <v>MMR012CMP024</v>
      </c>
      <c r="DR378" s="586" t="str">
        <f t="shared" si="13"/>
        <v>Notcovered</v>
      </c>
      <c r="DS378" s="586"/>
      <c r="DV378" s="572"/>
    </row>
    <row r="379" spans="1:126">
      <c r="A379" s="552" t="s">
        <v>2518</v>
      </c>
      <c r="B379" s="599" t="s">
        <v>317</v>
      </c>
      <c r="C379" s="599" t="s">
        <v>317</v>
      </c>
      <c r="D379" s="584"/>
      <c r="E379" s="574" t="s">
        <v>3006</v>
      </c>
      <c r="F379" s="584" t="s">
        <v>320</v>
      </c>
      <c r="G379" s="581" t="str">
        <f>VLOOKUP(WWWW[[#This Row],[Site Name]],SiteDB6[[Site Name]:[Location Type]],8,FALSE)</f>
        <v>Village</v>
      </c>
      <c r="H379" s="584" t="s">
        <v>574</v>
      </c>
      <c r="I379" s="312">
        <v>116</v>
      </c>
      <c r="J379" s="312">
        <v>802</v>
      </c>
      <c r="K379" s="593"/>
      <c r="L379" s="58"/>
      <c r="M379" s="312"/>
      <c r="N379" s="312"/>
      <c r="O379" s="312"/>
      <c r="P379" s="312"/>
      <c r="Q379" s="585"/>
      <c r="R379" s="312"/>
      <c r="S379" s="312"/>
      <c r="T379" s="312"/>
      <c r="U379" s="312"/>
      <c r="V379" s="312"/>
      <c r="W379" s="312"/>
      <c r="X379" s="312"/>
      <c r="Y379" s="312"/>
      <c r="Z379" s="312"/>
      <c r="AA379" s="312"/>
      <c r="AB379" s="312"/>
      <c r="AC379" s="312"/>
      <c r="AD379" s="312"/>
      <c r="AE379" s="312"/>
      <c r="AF379" s="312"/>
      <c r="AG379" s="312"/>
      <c r="AH379" s="312"/>
      <c r="AI379" s="312"/>
      <c r="AJ379" s="312"/>
      <c r="AK379" s="312"/>
      <c r="AL379" s="312"/>
      <c r="AM379" s="312"/>
      <c r="AN379" s="312"/>
      <c r="AO379" s="586"/>
      <c r="AP379" s="312"/>
      <c r="AQ379" s="312"/>
      <c r="AR379" s="594"/>
      <c r="AS379" s="312"/>
      <c r="AT379" s="312"/>
      <c r="AU379" s="312"/>
      <c r="AV379" s="312"/>
      <c r="AW379" s="312"/>
      <c r="AX379" s="592"/>
      <c r="AY379" s="586"/>
      <c r="AZ379" s="312"/>
      <c r="BA379" s="312"/>
      <c r="BB379" s="312"/>
      <c r="BC379" s="592"/>
      <c r="BD379" s="312"/>
      <c r="BE379" s="312"/>
      <c r="BF379" s="312"/>
      <c r="BG379" s="312"/>
      <c r="BH379" s="312"/>
      <c r="BI379" s="312"/>
      <c r="BJ379" s="312"/>
      <c r="BK379" s="312"/>
      <c r="BL379" s="312"/>
      <c r="BM379" s="592"/>
      <c r="BN379" s="595"/>
      <c r="BO379" s="594"/>
      <c r="BP379" s="592"/>
      <c r="BQ379" s="596" t="str">
        <f>IFERROR(WWWW[[#This Row],['#_Water sources treated]]/WWWW[[#This Row],['#_Water sources tested for contamination]],"no test")</f>
        <v>no test</v>
      </c>
      <c r="BR379" s="594" t="str">
        <f>IFERROR(WWWW[[#This Row],['#_Household received remediation action due to contamination]]/WWWW[[#This Row],['#_Household water samples tested for contamination]],"no test")</f>
        <v>no test</v>
      </c>
      <c r="BS379" s="595" t="str">
        <f>IF(AND(WWWW[[#This Row],[% of water sources treated]]="no test",WWWW[[#This Row],[% Household received corrective actions]]="no test"),"No Test","Tested")</f>
        <v>No Test</v>
      </c>
      <c r="BT379" s="595">
        <f>WWWW[[#This Row],['#_Constructed/existing protected hand dug well]]-WWWW[[#This Row],['#_Non-functional protected hand dug well]]</f>
        <v>0</v>
      </c>
      <c r="BU379" s="595">
        <f>(WWWW[[#This Row],['#_Constructed/Existing tube wells/boreholes/handpumps_WASH_agency]]+WWWW[[#This Row],['#_Non-Cluster partner water tube-wells/boreholes/handpumps]])-WWWW[[#This Row],['#_Non-functional tube wells/boreholes/handpumps]]</f>
        <v>0</v>
      </c>
      <c r="BV379" s="595">
        <f>WWWW[[#This Row],['#_Constructed/Existingwater storage tank with gravity fed reticulation system]]-WWWW[[#This Row],['#_Non-functional storage tank gravity fed reticulation system]]</f>
        <v>0</v>
      </c>
      <c r="BW379" s="595">
        <f>WWWW[[#This Row],['#_Water boating or water trucking]]</f>
        <v>0</v>
      </c>
      <c r="BX379" s="595">
        <f>WWWW[[#This Row],['#_Constructed/Existing water distribution system from river or natural spring]]</f>
        <v>0</v>
      </c>
      <c r="BY379"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79"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79" s="594">
        <f>IF(WWWW[[#This Row],[Location Type 1]]="Village",WWWW[[#This Row],[Access to safe drinking water for Village]],WWWW[[#This Row],[Access to safe drinking water for Camp]])</f>
        <v>0</v>
      </c>
      <c r="CB379" s="585">
        <f>WWWW[[#This Row],[%Equitable and continuous access to sufficient quantity of safe drinking water]]*WWWW[[#This Row],[Total PoP ]]</f>
        <v>0</v>
      </c>
      <c r="CC379" s="594">
        <f>IF((WWWW[[#This Row],['#_Constructed/Existing protected/fenced ponds]]*250)/WWWW[[#This Row],[Total PoP ]]&gt;1,1,(WWWW[[#This Row],['#_Constructed/Existing protected/fenced ponds]]*250)/WWWW[[#This Row],[Total PoP ]])</f>
        <v>0</v>
      </c>
      <c r="CD379" s="585">
        <f>WWWW[[#This Row],[% Access to unimproved water points]]*WWWW[[#This Row],[Total PoP ]]</f>
        <v>0</v>
      </c>
      <c r="CE379"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79"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79" s="585">
        <f>WWWW[[#This Row],[HRP1]]/500</f>
        <v>0</v>
      </c>
      <c r="CH379" s="597">
        <f>1-WWWW[[#This Row],[% Equitable and continuous access to sufficient quantity of domestic water]]</f>
        <v>1</v>
      </c>
      <c r="CI379" s="585">
        <f>WWWW[[#This Row],[%equitable and continuous access to sufficient quantity of safe drinking and domestic water''s GAP]]*WWWW[[#This Row],[Total PoP ]]</f>
        <v>802</v>
      </c>
      <c r="CJ379" s="595">
        <f>IF(WWWW[[#This Row],[Total required water points]]-WWWW[[#This Row],['#Water points coverage]]&lt;0,0,WWWW[[#This Row],[Total required water points]]-WWWW[[#This Row],['#Water points coverage]])</f>
        <v>2</v>
      </c>
      <c r="CK379" s="595">
        <f>ROUND(IF(WWWW[[#This Row],[Total PoP ]]&lt;500,1,WWWW[[#This Row],[Total PoP ]]/500),0)</f>
        <v>2</v>
      </c>
      <c r="CL379" s="595">
        <f>(WWWW[[#This Row],['#_Constructed latrines_by_WASHAgencies]]+WWWW[[#This Row],['#_Non Cluster partner latrines]])-WWWW[[#This Row],['#_Non-functional latrines]]</f>
        <v>0</v>
      </c>
      <c r="CM379"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79"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79"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79" s="595" t="str">
        <f>IF(WWWW[[#This Row],[Location Type 1]]="Village","NA",IF(WWWW[[#This Row],['#_Constructed/Existing latrines in TLS]]*50&gt;WWWW[[#This Row],['#_students at TLS_CFS]],WWWW[[#This Row],['#_students at TLS_CFS]],(WWWW[[#This Row],['#_Constructed/Existing latrines in TLS]]*50)))</f>
        <v>NA</v>
      </c>
      <c r="CQ379" s="595">
        <f>ROUND(IF(WWWW[[#This Row],[Location Type 1]]="camp",WWWW[[#This Row],[Total PoP ]]/20,IF(WWWW[[#This Row],[Location Type 1]]="Temporary Location",WWWW[[#This Row],[Total PoP ]]/50,(WWWW[[#This Row],[Total PoP ]]/6))),0)</f>
        <v>134</v>
      </c>
      <c r="CR379" s="595">
        <f>IF(WWWW[[#This Row],[Total required Latrines]]-(WWWW[[#This Row],['#_Constructed latrines_by_WASHAgencies]]+WWWW[[#This Row],['#_Non Cluster partner latrines]])&lt;0,0,WWWW[[#This Row],[Total required Latrines]]-(WWWW[[#This Row],['#_Constructed latrines_by_WASHAgencies]]+WWWW[[#This Row],['#_Non Cluster partner latrines]]))</f>
        <v>134</v>
      </c>
      <c r="CS379" s="78">
        <f>1-WWWW[[#This Row],[% people access to functioning Latrine]]</f>
        <v>1</v>
      </c>
      <c r="CT379" s="596">
        <f>IF(OR(WWWW[[#This Row],['#_Non-functional latrines]]="",WWWW[[#This Row],['#_Non-functional latrines]]=0),0,WWWW[[#This Row],['#_Non-functional latrines]]/(WWWW[[#This Row],['#_Constructed latrines_by_WASHAgencies]]+WWWW[[#This Row],['#_Non Cluster partner latrines]]))</f>
        <v>0</v>
      </c>
      <c r="CU379" s="585">
        <f>IF(500*(WWWW[[#This Row],['#_male hygiene promoters]]+WWWW[[#This Row],['#_female hygiene promoters]])&gt;WWWW[[#This Row],[Total PoP ]],WWWW[[#This Row],[Total PoP ]],500*(WWWW[[#This Row],['#_male hygiene promoters]]+WWWW[[#This Row],['#_female hygiene promoters]]))</f>
        <v>0</v>
      </c>
      <c r="CV379"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79"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79" s="595">
        <f>IF(WWWW[[#This Row],['# People with access to soap]]&gt;WWWW[[#This Row],['# People with access to Sanity Pads]],WWWW[[#This Row],['# People with access to soap]],WWWW[[#This Row],['# People with access to Sanity Pads]])</f>
        <v>0</v>
      </c>
      <c r="CY379"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79" s="597">
        <f>IF(WWWW[[#This Row],[HRP3]]/WWWW[[#This Row],[Total PoP ]]&gt;100%,100%,WWWW[[#This Row],[HRP3]]/WWWW[[#This Row],[Total PoP ]])</f>
        <v>0</v>
      </c>
      <c r="DA379" s="596">
        <f>1-WWWW[[#This Row],[Hygiene Coverage%]]</f>
        <v>1</v>
      </c>
      <c r="DB379" s="594">
        <f>WWWW[[#This Row],['# people reached by regular dedicated hygiene promotion_5]]/WWWW[[#This Row],[Total PoP ]]</f>
        <v>0</v>
      </c>
      <c r="DC379" s="594">
        <f>IF(WWWW[[#This Row],['#_households that received standard amount of soap for this quarter]]/WWWW[[#This Row],[Total HH]]&gt;1,1,WWWW[[#This Row],['#_households that received standard amount of soap for this quarter]]/WWWW[[#This Row],[Total HH]])</f>
        <v>0</v>
      </c>
      <c r="DD379" s="594">
        <f>IF(WWWW[[#This Row],['#_households that received standard amount of sanitary pads for this quarter]]/WWWW[[#This Row],[Total HH]]&gt;1,1,WWWW[[#This Row],['#_households that received standard amount of sanitary pads for this quarter]]/WWWW[[#This Row],[Total HH]])</f>
        <v>0</v>
      </c>
      <c r="DE379" s="595">
        <f>WWWW[[#This Row],['#_Constructed/Existing hand washing stations]]-WWWW[[#This Row],['#_Non-Functional_hand_washing_stations]]</f>
        <v>0</v>
      </c>
      <c r="DF379" s="757">
        <f>IF(WWWW[[#This Row],['# Functional hand washing stations during reporting period]]*20&gt;WWWW[[#This Row],[Total HH]],WWWW[[#This Row],[Total HH]],WWWW[[#This Row],['# Functional hand washing stations during reporting period]]*20)</f>
        <v>0</v>
      </c>
      <c r="DG379" s="585">
        <f>IF(WWWW[[#This Row],[Is sufficient soap available for TLS? (Yes/No)]]="yes",WWWW[[#This Row],['#_Constructed/Existing hand washing stations at TLS]],0)</f>
        <v>0</v>
      </c>
      <c r="DH379" s="585">
        <f>IF(WWWW[[#This Row],['# Functional hand washing stations during reporting period]]*100&gt;WWWW[[#This Row],[Total PoP ]],WWWW[[#This Row],[Total PoP ]],WWWW[[#This Row],['# Functional hand washing stations during reporting period]]*100)</f>
        <v>0</v>
      </c>
      <c r="DI379" s="585" t="str">
        <f>IF(OR(WWWW[[#This Row],['#_students at TLS_CFS]]="",WWWW[[#This Row],['#_students at TLS_CFS]]=0),"No","Yes")</f>
        <v>No</v>
      </c>
      <c r="DJ379" s="592">
        <f>VLOOKUP(WWWW[[#This Row],[Site Name]],SiteDB6[[Site Name]:[CCCM Management]],6,FALSE)</f>
        <v>0</v>
      </c>
      <c r="DK379" s="592">
        <f>VLOOKUP(WWWW[[#This Row],[Site Name]],SiteDB6[[Site Name]:[CCCM Focal Agency]],7,FALSE)</f>
        <v>0</v>
      </c>
      <c r="DL379" s="592" t="str">
        <f>VLOOKUP(WWWW[[#This Row],[Site Name]],SiteDB6[[Site Name]:[Location Type 1]],9,FALSE)</f>
        <v>Village</v>
      </c>
      <c r="DM379" s="592" t="str">
        <f>VLOOKUP(WWWW[[#This Row],[Site Name]],SiteDB6[[Site Name]:[Type of Accommodation]],10,FALSE)</f>
        <v>Returned</v>
      </c>
      <c r="DN379" s="592" t="str">
        <f>VLOOKUP(WWWW[[#This Row],[Site Name]],SiteDB6[[Site Name]:[Ethnic or GCA/NGCA]],11,FALSE)</f>
        <v>Muslim</v>
      </c>
      <c r="DO379" s="592">
        <f>VLOOKUP(WWWW[[#This Row],[Site Name]],SiteDB6[[Site Name]:[Lat]],12,FALSE)</f>
        <v>20.713259999999998</v>
      </c>
      <c r="DP379" s="592">
        <f>VLOOKUP(WWWW[[#This Row],[Site Name]],SiteDB6[[Site Name]:[Long]],13,FALSE)</f>
        <v>93.014089999999996</v>
      </c>
      <c r="DQ379" s="592" t="str">
        <f>VLOOKUP(WWWW[[#This Row],[Site Name]],SiteDB6[[Site Name]:[Pcode]],3,FALSE)</f>
        <v>MMR012CMP027</v>
      </c>
      <c r="DR379" s="586" t="str">
        <f t="shared" si="13"/>
        <v>Notcovered</v>
      </c>
      <c r="DS379" s="586"/>
      <c r="DV379" s="572"/>
    </row>
    <row r="380" spans="1:126">
      <c r="A380" s="552" t="s">
        <v>2518</v>
      </c>
      <c r="B380" s="599" t="s">
        <v>317</v>
      </c>
      <c r="C380" s="599" t="s">
        <v>317</v>
      </c>
      <c r="D380" s="584"/>
      <c r="E380" s="574" t="s">
        <v>3006</v>
      </c>
      <c r="F380" s="584" t="s">
        <v>320</v>
      </c>
      <c r="G380" s="581" t="str">
        <f>VLOOKUP(WWWW[[#This Row],[Site Name]],SiteDB6[[Site Name]:[Location Type]],8,FALSE)</f>
        <v>Village</v>
      </c>
      <c r="H380" s="584" t="s">
        <v>663</v>
      </c>
      <c r="I380" s="312">
        <v>97</v>
      </c>
      <c r="J380" s="312">
        <v>557</v>
      </c>
      <c r="K380" s="593"/>
      <c r="L380" s="58"/>
      <c r="M380" s="312"/>
      <c r="N380" s="312"/>
      <c r="O380" s="312"/>
      <c r="P380" s="312"/>
      <c r="Q380" s="585"/>
      <c r="R380" s="312"/>
      <c r="S380" s="312"/>
      <c r="T380" s="312"/>
      <c r="U380" s="312"/>
      <c r="V380" s="312"/>
      <c r="W380" s="312"/>
      <c r="X380" s="312"/>
      <c r="Y380" s="312"/>
      <c r="Z380" s="312"/>
      <c r="AA380" s="312"/>
      <c r="AB380" s="312"/>
      <c r="AC380" s="312"/>
      <c r="AD380" s="312"/>
      <c r="AE380" s="312"/>
      <c r="AF380" s="312"/>
      <c r="AG380" s="312"/>
      <c r="AH380" s="312"/>
      <c r="AI380" s="312"/>
      <c r="AJ380" s="312"/>
      <c r="AK380" s="312"/>
      <c r="AL380" s="312"/>
      <c r="AM380" s="312"/>
      <c r="AN380" s="312"/>
      <c r="AO380" s="586"/>
      <c r="AP380" s="312"/>
      <c r="AQ380" s="312"/>
      <c r="AR380" s="594"/>
      <c r="AS380" s="312"/>
      <c r="AT380" s="312"/>
      <c r="AU380" s="312"/>
      <c r="AV380" s="312"/>
      <c r="AW380" s="312"/>
      <c r="AX380" s="592"/>
      <c r="AY380" s="586"/>
      <c r="AZ380" s="312"/>
      <c r="BA380" s="312"/>
      <c r="BB380" s="312"/>
      <c r="BC380" s="592"/>
      <c r="BD380" s="312"/>
      <c r="BE380" s="312"/>
      <c r="BF380" s="312"/>
      <c r="BG380" s="312"/>
      <c r="BH380" s="312"/>
      <c r="BI380" s="312"/>
      <c r="BJ380" s="312"/>
      <c r="BK380" s="312"/>
      <c r="BL380" s="312"/>
      <c r="BM380" s="592"/>
      <c r="BN380" s="595"/>
      <c r="BO380" s="594"/>
      <c r="BP380" s="592"/>
      <c r="BQ380" s="596" t="str">
        <f>IFERROR(WWWW[[#This Row],['#_Water sources treated]]/WWWW[[#This Row],['#_Water sources tested for contamination]],"no test")</f>
        <v>no test</v>
      </c>
      <c r="BR380" s="594" t="str">
        <f>IFERROR(WWWW[[#This Row],['#_Household received remediation action due to contamination]]/WWWW[[#This Row],['#_Household water samples tested for contamination]],"no test")</f>
        <v>no test</v>
      </c>
      <c r="BS380" s="595" t="str">
        <f>IF(AND(WWWW[[#This Row],[% of water sources treated]]="no test",WWWW[[#This Row],[% Household received corrective actions]]="no test"),"No Test","Tested")</f>
        <v>No Test</v>
      </c>
      <c r="BT380" s="595">
        <f>WWWW[[#This Row],['#_Constructed/existing protected hand dug well]]-WWWW[[#This Row],['#_Non-functional protected hand dug well]]</f>
        <v>0</v>
      </c>
      <c r="BU380" s="595">
        <f>(WWWW[[#This Row],['#_Constructed/Existing tube wells/boreholes/handpumps_WASH_agency]]+WWWW[[#This Row],['#_Non-Cluster partner water tube-wells/boreholes/handpumps]])-WWWW[[#This Row],['#_Non-functional tube wells/boreholes/handpumps]]</f>
        <v>0</v>
      </c>
      <c r="BV380" s="595">
        <f>WWWW[[#This Row],['#_Constructed/Existingwater storage tank with gravity fed reticulation system]]-WWWW[[#This Row],['#_Non-functional storage tank gravity fed reticulation system]]</f>
        <v>0</v>
      </c>
      <c r="BW380" s="595">
        <f>WWWW[[#This Row],['#_Water boating or water trucking]]</f>
        <v>0</v>
      </c>
      <c r="BX380" s="595">
        <f>WWWW[[#This Row],['#_Constructed/Existing water distribution system from river or natural spring]]</f>
        <v>0</v>
      </c>
      <c r="BY380"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0"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0" s="594">
        <f>IF(WWWW[[#This Row],[Location Type 1]]="Village",WWWW[[#This Row],[Access to safe drinking water for Village]],WWWW[[#This Row],[Access to safe drinking water for Camp]])</f>
        <v>0</v>
      </c>
      <c r="CB380" s="585">
        <f>WWWW[[#This Row],[%Equitable and continuous access to sufficient quantity of safe drinking water]]*WWWW[[#This Row],[Total PoP ]]</f>
        <v>0</v>
      </c>
      <c r="CC380" s="594">
        <f>IF((WWWW[[#This Row],['#_Constructed/Existing protected/fenced ponds]]*250)/WWWW[[#This Row],[Total PoP ]]&gt;1,1,(WWWW[[#This Row],['#_Constructed/Existing protected/fenced ponds]]*250)/WWWW[[#This Row],[Total PoP ]])</f>
        <v>0</v>
      </c>
      <c r="CD380" s="585">
        <f>WWWW[[#This Row],[% Access to unimproved water points]]*WWWW[[#This Row],[Total PoP ]]</f>
        <v>0</v>
      </c>
      <c r="CE380"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0"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0" s="585">
        <f>WWWW[[#This Row],[HRP1]]/500</f>
        <v>0</v>
      </c>
      <c r="CH380" s="597">
        <f>1-WWWW[[#This Row],[% Equitable and continuous access to sufficient quantity of domestic water]]</f>
        <v>1</v>
      </c>
      <c r="CI380" s="585">
        <f>WWWW[[#This Row],[%equitable and continuous access to sufficient quantity of safe drinking and domestic water''s GAP]]*WWWW[[#This Row],[Total PoP ]]</f>
        <v>557</v>
      </c>
      <c r="CJ380" s="595">
        <f>IF(WWWW[[#This Row],[Total required water points]]-WWWW[[#This Row],['#Water points coverage]]&lt;0,0,WWWW[[#This Row],[Total required water points]]-WWWW[[#This Row],['#Water points coverage]])</f>
        <v>1</v>
      </c>
      <c r="CK380" s="595">
        <f>ROUND(IF(WWWW[[#This Row],[Total PoP ]]&lt;500,1,WWWW[[#This Row],[Total PoP ]]/500),0)</f>
        <v>1</v>
      </c>
      <c r="CL380" s="595">
        <f>(WWWW[[#This Row],['#_Constructed latrines_by_WASHAgencies]]+WWWW[[#This Row],['#_Non Cluster partner latrines]])-WWWW[[#This Row],['#_Non-functional latrines]]</f>
        <v>0</v>
      </c>
      <c r="CM380"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0"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0"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0" s="595" t="str">
        <f>IF(WWWW[[#This Row],[Location Type 1]]="Village","NA",IF(WWWW[[#This Row],['#_Constructed/Existing latrines in TLS]]*50&gt;WWWW[[#This Row],['#_students at TLS_CFS]],WWWW[[#This Row],['#_students at TLS_CFS]],(WWWW[[#This Row],['#_Constructed/Existing latrines in TLS]]*50)))</f>
        <v>NA</v>
      </c>
      <c r="CQ380" s="595">
        <f>ROUND(IF(WWWW[[#This Row],[Location Type 1]]="camp",WWWW[[#This Row],[Total PoP ]]/20,IF(WWWW[[#This Row],[Location Type 1]]="Temporary Location",WWWW[[#This Row],[Total PoP ]]/50,(WWWW[[#This Row],[Total PoP ]]/6))),0)</f>
        <v>93</v>
      </c>
      <c r="CR380" s="595">
        <f>IF(WWWW[[#This Row],[Total required Latrines]]-(WWWW[[#This Row],['#_Constructed latrines_by_WASHAgencies]]+WWWW[[#This Row],['#_Non Cluster partner latrines]])&lt;0,0,WWWW[[#This Row],[Total required Latrines]]-(WWWW[[#This Row],['#_Constructed latrines_by_WASHAgencies]]+WWWW[[#This Row],['#_Non Cluster partner latrines]]))</f>
        <v>93</v>
      </c>
      <c r="CS380" s="78">
        <f>1-WWWW[[#This Row],[% people access to functioning Latrine]]</f>
        <v>1</v>
      </c>
      <c r="CT380" s="596">
        <f>IF(OR(WWWW[[#This Row],['#_Non-functional latrines]]="",WWWW[[#This Row],['#_Non-functional latrines]]=0),0,WWWW[[#This Row],['#_Non-functional latrines]]/(WWWW[[#This Row],['#_Constructed latrines_by_WASHAgencies]]+WWWW[[#This Row],['#_Non Cluster partner latrines]]))</f>
        <v>0</v>
      </c>
      <c r="CU380" s="585">
        <f>IF(500*(WWWW[[#This Row],['#_male hygiene promoters]]+WWWW[[#This Row],['#_female hygiene promoters]])&gt;WWWW[[#This Row],[Total PoP ]],WWWW[[#This Row],[Total PoP ]],500*(WWWW[[#This Row],['#_male hygiene promoters]]+WWWW[[#This Row],['#_female hygiene promoters]]))</f>
        <v>0</v>
      </c>
      <c r="CV380"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0"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0" s="595">
        <f>IF(WWWW[[#This Row],['# People with access to soap]]&gt;WWWW[[#This Row],['# People with access to Sanity Pads]],WWWW[[#This Row],['# People with access to soap]],WWWW[[#This Row],['# People with access to Sanity Pads]])</f>
        <v>0</v>
      </c>
      <c r="CY380"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0" s="597">
        <f>IF(WWWW[[#This Row],[HRP3]]/WWWW[[#This Row],[Total PoP ]]&gt;100%,100%,WWWW[[#This Row],[HRP3]]/WWWW[[#This Row],[Total PoP ]])</f>
        <v>0</v>
      </c>
      <c r="DA380" s="596">
        <f>1-WWWW[[#This Row],[Hygiene Coverage%]]</f>
        <v>1</v>
      </c>
      <c r="DB380" s="594">
        <f>WWWW[[#This Row],['# people reached by regular dedicated hygiene promotion_5]]/WWWW[[#This Row],[Total PoP ]]</f>
        <v>0</v>
      </c>
      <c r="DC380" s="594">
        <f>IF(WWWW[[#This Row],['#_households that received standard amount of soap for this quarter]]/WWWW[[#This Row],[Total HH]]&gt;1,1,WWWW[[#This Row],['#_households that received standard amount of soap for this quarter]]/WWWW[[#This Row],[Total HH]])</f>
        <v>0</v>
      </c>
      <c r="DD380" s="594">
        <f>IF(WWWW[[#This Row],['#_households that received standard amount of sanitary pads for this quarter]]/WWWW[[#This Row],[Total HH]]&gt;1,1,WWWW[[#This Row],['#_households that received standard amount of sanitary pads for this quarter]]/WWWW[[#This Row],[Total HH]])</f>
        <v>0</v>
      </c>
      <c r="DE380" s="595">
        <f>WWWW[[#This Row],['#_Constructed/Existing hand washing stations]]-WWWW[[#This Row],['#_Non-Functional_hand_washing_stations]]</f>
        <v>0</v>
      </c>
      <c r="DF380" s="757">
        <f>IF(WWWW[[#This Row],['# Functional hand washing stations during reporting period]]*20&gt;WWWW[[#This Row],[Total HH]],WWWW[[#This Row],[Total HH]],WWWW[[#This Row],['# Functional hand washing stations during reporting period]]*20)</f>
        <v>0</v>
      </c>
      <c r="DG380" s="585">
        <f>IF(WWWW[[#This Row],[Is sufficient soap available for TLS? (Yes/No)]]="yes",WWWW[[#This Row],['#_Constructed/Existing hand washing stations at TLS]],0)</f>
        <v>0</v>
      </c>
      <c r="DH380" s="585">
        <f>IF(WWWW[[#This Row],['# Functional hand washing stations during reporting period]]*100&gt;WWWW[[#This Row],[Total PoP ]],WWWW[[#This Row],[Total PoP ]],WWWW[[#This Row],['# Functional hand washing stations during reporting period]]*100)</f>
        <v>0</v>
      </c>
      <c r="DI380" s="585" t="str">
        <f>IF(OR(WWWW[[#This Row],['#_students at TLS_CFS]]="",WWWW[[#This Row],['#_students at TLS_CFS]]=0),"No","Yes")</f>
        <v>No</v>
      </c>
      <c r="DJ380" s="592">
        <f>VLOOKUP(WWWW[[#This Row],[Site Name]],SiteDB6[[Site Name]:[CCCM Management]],6,FALSE)</f>
        <v>0</v>
      </c>
      <c r="DK380" s="592">
        <f>VLOOKUP(WWWW[[#This Row],[Site Name]],SiteDB6[[Site Name]:[CCCM Focal Agency]],7,FALSE)</f>
        <v>0</v>
      </c>
      <c r="DL380" s="592" t="str">
        <f>VLOOKUP(WWWW[[#This Row],[Site Name]],SiteDB6[[Site Name]:[Location Type 1]],9,FALSE)</f>
        <v>Village</v>
      </c>
      <c r="DM380" s="592" t="str">
        <f>VLOOKUP(WWWW[[#This Row],[Site Name]],SiteDB6[[Site Name]:[Type of Accommodation]],10,FALSE)</f>
        <v>Relocated</v>
      </c>
      <c r="DN380" s="592" t="str">
        <f>VLOOKUP(WWWW[[#This Row],[Site Name]],SiteDB6[[Site Name]:[Ethnic or GCA/NGCA]],11,FALSE)</f>
        <v>Muslim</v>
      </c>
      <c r="DO380" s="592">
        <f>VLOOKUP(WWWW[[#This Row],[Site Name]],SiteDB6[[Site Name]:[Lat]],12,FALSE)</f>
        <v>20.886997999999998</v>
      </c>
      <c r="DP380" s="592">
        <f>VLOOKUP(WWWW[[#This Row],[Site Name]],SiteDB6[[Site Name]:[Long]],13,FALSE)</f>
        <v>93.006497999999993</v>
      </c>
      <c r="DQ380" s="592" t="str">
        <f>VLOOKUP(WWWW[[#This Row],[Site Name]],SiteDB6[[Site Name]:[Pcode]],3,FALSE)</f>
        <v>MMR012CMP030</v>
      </c>
      <c r="DR380" s="586" t="str">
        <f t="shared" si="13"/>
        <v>Notcovered</v>
      </c>
      <c r="DS380" s="586"/>
      <c r="DV380" s="572"/>
    </row>
    <row r="381" spans="1:126">
      <c r="A381" s="552" t="s">
        <v>2518</v>
      </c>
      <c r="B381" s="599" t="s">
        <v>317</v>
      </c>
      <c r="C381" s="599" t="s">
        <v>317</v>
      </c>
      <c r="D381" s="584"/>
      <c r="E381" s="574" t="s">
        <v>3006</v>
      </c>
      <c r="F381" s="584" t="s">
        <v>320</v>
      </c>
      <c r="G381" s="581" t="str">
        <f>VLOOKUP(WWWW[[#This Row],[Site Name]],SiteDB6[[Site Name]:[Location Type]],8,FALSE)</f>
        <v>Village</v>
      </c>
      <c r="H381" s="584" t="s">
        <v>628</v>
      </c>
      <c r="I381" s="312">
        <v>18</v>
      </c>
      <c r="J381" s="312">
        <v>157</v>
      </c>
      <c r="K381" s="593"/>
      <c r="L381" s="58"/>
      <c r="M381" s="312"/>
      <c r="N381" s="312"/>
      <c r="O381" s="312"/>
      <c r="P381" s="312"/>
      <c r="Q381" s="585"/>
      <c r="R381" s="312"/>
      <c r="S381" s="312"/>
      <c r="T381" s="312"/>
      <c r="U381" s="312"/>
      <c r="V381" s="312"/>
      <c r="W381" s="312"/>
      <c r="X381" s="312"/>
      <c r="Y381" s="312"/>
      <c r="Z381" s="312"/>
      <c r="AA381" s="312"/>
      <c r="AB381" s="312"/>
      <c r="AC381" s="312"/>
      <c r="AD381" s="312"/>
      <c r="AE381" s="312"/>
      <c r="AF381" s="312"/>
      <c r="AG381" s="312"/>
      <c r="AH381" s="312"/>
      <c r="AI381" s="312"/>
      <c r="AJ381" s="312"/>
      <c r="AK381" s="312"/>
      <c r="AL381" s="312"/>
      <c r="AM381" s="312"/>
      <c r="AN381" s="312"/>
      <c r="AO381" s="586"/>
      <c r="AP381" s="312"/>
      <c r="AQ381" s="312"/>
      <c r="AR381" s="594"/>
      <c r="AS381" s="312"/>
      <c r="AT381" s="312"/>
      <c r="AU381" s="312"/>
      <c r="AV381" s="312"/>
      <c r="AW381" s="312"/>
      <c r="AX381" s="592"/>
      <c r="AY381" s="586"/>
      <c r="AZ381" s="312"/>
      <c r="BA381" s="312"/>
      <c r="BB381" s="312"/>
      <c r="BC381" s="592"/>
      <c r="BD381" s="312"/>
      <c r="BE381" s="312"/>
      <c r="BF381" s="312"/>
      <c r="BG381" s="312"/>
      <c r="BH381" s="312"/>
      <c r="BI381" s="312"/>
      <c r="BJ381" s="312"/>
      <c r="BK381" s="312"/>
      <c r="BL381" s="312"/>
      <c r="BM381" s="592"/>
      <c r="BN381" s="595"/>
      <c r="BO381" s="594"/>
      <c r="BP381" s="592"/>
      <c r="BQ381" s="596" t="str">
        <f>IFERROR(WWWW[[#This Row],['#_Water sources treated]]/WWWW[[#This Row],['#_Water sources tested for contamination]],"no test")</f>
        <v>no test</v>
      </c>
      <c r="BR381" s="594" t="str">
        <f>IFERROR(WWWW[[#This Row],['#_Household received remediation action due to contamination]]/WWWW[[#This Row],['#_Household water samples tested for contamination]],"no test")</f>
        <v>no test</v>
      </c>
      <c r="BS381" s="595" t="str">
        <f>IF(AND(WWWW[[#This Row],[% of water sources treated]]="no test",WWWW[[#This Row],[% Household received corrective actions]]="no test"),"No Test","Tested")</f>
        <v>No Test</v>
      </c>
      <c r="BT381" s="595">
        <f>WWWW[[#This Row],['#_Constructed/existing protected hand dug well]]-WWWW[[#This Row],['#_Non-functional protected hand dug well]]</f>
        <v>0</v>
      </c>
      <c r="BU381" s="595">
        <f>(WWWW[[#This Row],['#_Constructed/Existing tube wells/boreholes/handpumps_WASH_agency]]+WWWW[[#This Row],['#_Non-Cluster partner water tube-wells/boreholes/handpumps]])-WWWW[[#This Row],['#_Non-functional tube wells/boreholes/handpumps]]</f>
        <v>0</v>
      </c>
      <c r="BV381" s="595">
        <f>WWWW[[#This Row],['#_Constructed/Existingwater storage tank with gravity fed reticulation system]]-WWWW[[#This Row],['#_Non-functional storage tank gravity fed reticulation system]]</f>
        <v>0</v>
      </c>
      <c r="BW381" s="595">
        <f>WWWW[[#This Row],['#_Water boating or water trucking]]</f>
        <v>0</v>
      </c>
      <c r="BX381" s="595">
        <f>WWWW[[#This Row],['#_Constructed/Existing water distribution system from river or natural spring]]</f>
        <v>0</v>
      </c>
      <c r="BY381"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1"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1" s="594">
        <f>IF(WWWW[[#This Row],[Location Type 1]]="Village",WWWW[[#This Row],[Access to safe drinking water for Village]],WWWW[[#This Row],[Access to safe drinking water for Camp]])</f>
        <v>0</v>
      </c>
      <c r="CB381" s="585">
        <f>WWWW[[#This Row],[%Equitable and continuous access to sufficient quantity of safe drinking water]]*WWWW[[#This Row],[Total PoP ]]</f>
        <v>0</v>
      </c>
      <c r="CC381" s="594">
        <f>IF((WWWW[[#This Row],['#_Constructed/Existing protected/fenced ponds]]*250)/WWWW[[#This Row],[Total PoP ]]&gt;1,1,(WWWW[[#This Row],['#_Constructed/Existing protected/fenced ponds]]*250)/WWWW[[#This Row],[Total PoP ]])</f>
        <v>0</v>
      </c>
      <c r="CD381" s="585">
        <f>WWWW[[#This Row],[% Access to unimproved water points]]*WWWW[[#This Row],[Total PoP ]]</f>
        <v>0</v>
      </c>
      <c r="CE381"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1"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1" s="585">
        <f>WWWW[[#This Row],[HRP1]]/500</f>
        <v>0</v>
      </c>
      <c r="CH381" s="597">
        <f>1-WWWW[[#This Row],[% Equitable and continuous access to sufficient quantity of domestic water]]</f>
        <v>1</v>
      </c>
      <c r="CI381" s="585">
        <f>WWWW[[#This Row],[%equitable and continuous access to sufficient quantity of safe drinking and domestic water''s GAP]]*WWWW[[#This Row],[Total PoP ]]</f>
        <v>157</v>
      </c>
      <c r="CJ381" s="595">
        <f>IF(WWWW[[#This Row],[Total required water points]]-WWWW[[#This Row],['#Water points coverage]]&lt;0,0,WWWW[[#This Row],[Total required water points]]-WWWW[[#This Row],['#Water points coverage]])</f>
        <v>1</v>
      </c>
      <c r="CK381" s="595">
        <f>ROUND(IF(WWWW[[#This Row],[Total PoP ]]&lt;500,1,WWWW[[#This Row],[Total PoP ]]/500),0)</f>
        <v>1</v>
      </c>
      <c r="CL381" s="595">
        <f>(WWWW[[#This Row],['#_Constructed latrines_by_WASHAgencies]]+WWWW[[#This Row],['#_Non Cluster partner latrines]])-WWWW[[#This Row],['#_Non-functional latrines]]</f>
        <v>0</v>
      </c>
      <c r="CM381"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1"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1"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1" s="595" t="str">
        <f>IF(WWWW[[#This Row],[Location Type 1]]="Village","NA",IF(WWWW[[#This Row],['#_Constructed/Existing latrines in TLS]]*50&gt;WWWW[[#This Row],['#_students at TLS_CFS]],WWWW[[#This Row],['#_students at TLS_CFS]],(WWWW[[#This Row],['#_Constructed/Existing latrines in TLS]]*50)))</f>
        <v>NA</v>
      </c>
      <c r="CQ381" s="595">
        <f>ROUND(IF(WWWW[[#This Row],[Location Type 1]]="camp",WWWW[[#This Row],[Total PoP ]]/20,IF(WWWW[[#This Row],[Location Type 1]]="Temporary Location",WWWW[[#This Row],[Total PoP ]]/50,(WWWW[[#This Row],[Total PoP ]]/6))),0)</f>
        <v>26</v>
      </c>
      <c r="CR381" s="595">
        <f>IF(WWWW[[#This Row],[Total required Latrines]]-(WWWW[[#This Row],['#_Constructed latrines_by_WASHAgencies]]+WWWW[[#This Row],['#_Non Cluster partner latrines]])&lt;0,0,WWWW[[#This Row],[Total required Latrines]]-(WWWW[[#This Row],['#_Constructed latrines_by_WASHAgencies]]+WWWW[[#This Row],['#_Non Cluster partner latrines]]))</f>
        <v>26</v>
      </c>
      <c r="CS381" s="78">
        <f>1-WWWW[[#This Row],[% people access to functioning Latrine]]</f>
        <v>1</v>
      </c>
      <c r="CT381" s="596">
        <f>IF(OR(WWWW[[#This Row],['#_Non-functional latrines]]="",WWWW[[#This Row],['#_Non-functional latrines]]=0),0,WWWW[[#This Row],['#_Non-functional latrines]]/(WWWW[[#This Row],['#_Constructed latrines_by_WASHAgencies]]+WWWW[[#This Row],['#_Non Cluster partner latrines]]))</f>
        <v>0</v>
      </c>
      <c r="CU381" s="585">
        <f>IF(500*(WWWW[[#This Row],['#_male hygiene promoters]]+WWWW[[#This Row],['#_female hygiene promoters]])&gt;WWWW[[#This Row],[Total PoP ]],WWWW[[#This Row],[Total PoP ]],500*(WWWW[[#This Row],['#_male hygiene promoters]]+WWWW[[#This Row],['#_female hygiene promoters]]))</f>
        <v>0</v>
      </c>
      <c r="CV381"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1"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1" s="595">
        <f>IF(WWWW[[#This Row],['# People with access to soap]]&gt;WWWW[[#This Row],['# People with access to Sanity Pads]],WWWW[[#This Row],['# People with access to soap]],WWWW[[#This Row],['# People with access to Sanity Pads]])</f>
        <v>0</v>
      </c>
      <c r="CY381"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1" s="597">
        <f>IF(WWWW[[#This Row],[HRP3]]/WWWW[[#This Row],[Total PoP ]]&gt;100%,100%,WWWW[[#This Row],[HRP3]]/WWWW[[#This Row],[Total PoP ]])</f>
        <v>0</v>
      </c>
      <c r="DA381" s="596">
        <f>1-WWWW[[#This Row],[Hygiene Coverage%]]</f>
        <v>1</v>
      </c>
      <c r="DB381" s="594">
        <f>WWWW[[#This Row],['# people reached by regular dedicated hygiene promotion_5]]/WWWW[[#This Row],[Total PoP ]]</f>
        <v>0</v>
      </c>
      <c r="DC381" s="594">
        <f>IF(WWWW[[#This Row],['#_households that received standard amount of soap for this quarter]]/WWWW[[#This Row],[Total HH]]&gt;1,1,WWWW[[#This Row],['#_households that received standard amount of soap for this quarter]]/WWWW[[#This Row],[Total HH]])</f>
        <v>0</v>
      </c>
      <c r="DD381" s="594">
        <f>IF(WWWW[[#This Row],['#_households that received standard amount of sanitary pads for this quarter]]/WWWW[[#This Row],[Total HH]]&gt;1,1,WWWW[[#This Row],['#_households that received standard amount of sanitary pads for this quarter]]/WWWW[[#This Row],[Total HH]])</f>
        <v>0</v>
      </c>
      <c r="DE381" s="595">
        <f>WWWW[[#This Row],['#_Constructed/Existing hand washing stations]]-WWWW[[#This Row],['#_Non-Functional_hand_washing_stations]]</f>
        <v>0</v>
      </c>
      <c r="DF381" s="757">
        <f>IF(WWWW[[#This Row],['# Functional hand washing stations during reporting period]]*20&gt;WWWW[[#This Row],[Total HH]],WWWW[[#This Row],[Total HH]],WWWW[[#This Row],['# Functional hand washing stations during reporting period]]*20)</f>
        <v>0</v>
      </c>
      <c r="DG381" s="585">
        <f>IF(WWWW[[#This Row],[Is sufficient soap available for TLS? (Yes/No)]]="yes",WWWW[[#This Row],['#_Constructed/Existing hand washing stations at TLS]],0)</f>
        <v>0</v>
      </c>
      <c r="DH381" s="585">
        <f>IF(WWWW[[#This Row],['# Functional hand washing stations during reporting period]]*100&gt;WWWW[[#This Row],[Total PoP ]],WWWW[[#This Row],[Total PoP ]],WWWW[[#This Row],['# Functional hand washing stations during reporting period]]*100)</f>
        <v>0</v>
      </c>
      <c r="DI381" s="585" t="str">
        <f>IF(OR(WWWW[[#This Row],['#_students at TLS_CFS]]="",WWWW[[#This Row],['#_students at TLS_CFS]]=0),"No","Yes")</f>
        <v>No</v>
      </c>
      <c r="DJ381" s="592">
        <f>VLOOKUP(WWWW[[#This Row],[Site Name]],SiteDB6[[Site Name]:[CCCM Management]],6,FALSE)</f>
        <v>0</v>
      </c>
      <c r="DK381" s="592">
        <f>VLOOKUP(WWWW[[#This Row],[Site Name]],SiteDB6[[Site Name]:[CCCM Focal Agency]],7,FALSE)</f>
        <v>0</v>
      </c>
      <c r="DL381" s="592" t="str">
        <f>VLOOKUP(WWWW[[#This Row],[Site Name]],SiteDB6[[Site Name]:[Location Type 1]],9,FALSE)</f>
        <v>Village</v>
      </c>
      <c r="DM381" s="592" t="str">
        <f>VLOOKUP(WWWW[[#This Row],[Site Name]],SiteDB6[[Site Name]:[Type of Accommodation]],10,FALSE)</f>
        <v>Returned</v>
      </c>
      <c r="DN381" s="592" t="str">
        <f>VLOOKUP(WWWW[[#This Row],[Site Name]],SiteDB6[[Site Name]:[Ethnic or GCA/NGCA]],11,FALSE)</f>
        <v>Muslim</v>
      </c>
      <c r="DO381" s="592">
        <f>VLOOKUP(WWWW[[#This Row],[Site Name]],SiteDB6[[Site Name]:[Lat]],12,FALSE)</f>
        <v>20.805734000000001</v>
      </c>
      <c r="DP381" s="592">
        <f>VLOOKUP(WWWW[[#This Row],[Site Name]],SiteDB6[[Site Name]:[Long]],13,FALSE)</f>
        <v>92.982675999999998</v>
      </c>
      <c r="DQ381" s="592" t="str">
        <f>VLOOKUP(WWWW[[#This Row],[Site Name]],SiteDB6[[Site Name]:[Pcode]],3,FALSE)</f>
        <v>MMR012CMP020</v>
      </c>
      <c r="DR381" s="586" t="str">
        <f t="shared" si="13"/>
        <v>Notcovered</v>
      </c>
      <c r="DS381" s="586"/>
      <c r="DV381" s="572"/>
    </row>
    <row r="382" spans="1:126">
      <c r="A382" s="552" t="s">
        <v>2518</v>
      </c>
      <c r="B382" s="599" t="s">
        <v>317</v>
      </c>
      <c r="C382" s="599" t="s">
        <v>317</v>
      </c>
      <c r="D382" s="584"/>
      <c r="E382" s="574" t="s">
        <v>3006</v>
      </c>
      <c r="F382" s="584" t="s">
        <v>320</v>
      </c>
      <c r="G382" s="581" t="str">
        <f>VLOOKUP(WWWW[[#This Row],[Site Name]],SiteDB6[[Site Name]:[Location Type]],8,FALSE)</f>
        <v>Village</v>
      </c>
      <c r="H382" s="584" t="s">
        <v>611</v>
      </c>
      <c r="I382" s="312">
        <v>144</v>
      </c>
      <c r="J382" s="312">
        <v>1006</v>
      </c>
      <c r="K382" s="593"/>
      <c r="L382" s="58"/>
      <c r="M382" s="312"/>
      <c r="N382" s="312"/>
      <c r="O382" s="312"/>
      <c r="P382" s="312"/>
      <c r="Q382" s="585"/>
      <c r="R382" s="312"/>
      <c r="S382" s="312"/>
      <c r="T382" s="312"/>
      <c r="U382" s="312"/>
      <c r="V382" s="312"/>
      <c r="W382" s="312"/>
      <c r="X382" s="312"/>
      <c r="Y382" s="312"/>
      <c r="Z382" s="312"/>
      <c r="AA382" s="312"/>
      <c r="AB382" s="312"/>
      <c r="AC382" s="312"/>
      <c r="AD382" s="312"/>
      <c r="AE382" s="312"/>
      <c r="AF382" s="312"/>
      <c r="AG382" s="312"/>
      <c r="AH382" s="312"/>
      <c r="AI382" s="312"/>
      <c r="AJ382" s="312"/>
      <c r="AK382" s="312"/>
      <c r="AL382" s="312"/>
      <c r="AM382" s="312"/>
      <c r="AN382" s="312"/>
      <c r="AO382" s="586"/>
      <c r="AP382" s="312"/>
      <c r="AQ382" s="312"/>
      <c r="AR382" s="594"/>
      <c r="AS382" s="312"/>
      <c r="AT382" s="312"/>
      <c r="AU382" s="312"/>
      <c r="AV382" s="312"/>
      <c r="AW382" s="312"/>
      <c r="AX382" s="592"/>
      <c r="AY382" s="586"/>
      <c r="AZ382" s="312"/>
      <c r="BA382" s="312"/>
      <c r="BB382" s="312"/>
      <c r="BC382" s="592"/>
      <c r="BD382" s="312"/>
      <c r="BE382" s="312"/>
      <c r="BF382" s="312"/>
      <c r="BG382" s="312"/>
      <c r="BH382" s="312"/>
      <c r="BI382" s="312"/>
      <c r="BJ382" s="312"/>
      <c r="BK382" s="312"/>
      <c r="BL382" s="312"/>
      <c r="BM382" s="592"/>
      <c r="BN382" s="595"/>
      <c r="BO382" s="594"/>
      <c r="BP382" s="592"/>
      <c r="BQ382" s="596" t="str">
        <f>IFERROR(WWWW[[#This Row],['#_Water sources treated]]/WWWW[[#This Row],['#_Water sources tested for contamination]],"no test")</f>
        <v>no test</v>
      </c>
      <c r="BR382" s="594" t="str">
        <f>IFERROR(WWWW[[#This Row],['#_Household received remediation action due to contamination]]/WWWW[[#This Row],['#_Household water samples tested for contamination]],"no test")</f>
        <v>no test</v>
      </c>
      <c r="BS382" s="595" t="str">
        <f>IF(AND(WWWW[[#This Row],[% of water sources treated]]="no test",WWWW[[#This Row],[% Household received corrective actions]]="no test"),"No Test","Tested")</f>
        <v>No Test</v>
      </c>
      <c r="BT382" s="595">
        <f>WWWW[[#This Row],['#_Constructed/existing protected hand dug well]]-WWWW[[#This Row],['#_Non-functional protected hand dug well]]</f>
        <v>0</v>
      </c>
      <c r="BU382" s="595">
        <f>(WWWW[[#This Row],['#_Constructed/Existing tube wells/boreholes/handpumps_WASH_agency]]+WWWW[[#This Row],['#_Non-Cluster partner water tube-wells/boreholes/handpumps]])-WWWW[[#This Row],['#_Non-functional tube wells/boreholes/handpumps]]</f>
        <v>0</v>
      </c>
      <c r="BV382" s="595">
        <f>WWWW[[#This Row],['#_Constructed/Existingwater storage tank with gravity fed reticulation system]]-WWWW[[#This Row],['#_Non-functional storage tank gravity fed reticulation system]]</f>
        <v>0</v>
      </c>
      <c r="BW382" s="595">
        <f>WWWW[[#This Row],['#_Water boating or water trucking]]</f>
        <v>0</v>
      </c>
      <c r="BX382" s="595">
        <f>WWWW[[#This Row],['#_Constructed/Existing water distribution system from river or natural spring]]</f>
        <v>0</v>
      </c>
      <c r="BY382"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2"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2" s="594">
        <f>IF(WWWW[[#This Row],[Location Type 1]]="Village",WWWW[[#This Row],[Access to safe drinking water for Village]],WWWW[[#This Row],[Access to safe drinking water for Camp]])</f>
        <v>0</v>
      </c>
      <c r="CB382" s="585">
        <f>WWWW[[#This Row],[%Equitable and continuous access to sufficient quantity of safe drinking water]]*WWWW[[#This Row],[Total PoP ]]</f>
        <v>0</v>
      </c>
      <c r="CC382" s="594">
        <f>IF((WWWW[[#This Row],['#_Constructed/Existing protected/fenced ponds]]*250)/WWWW[[#This Row],[Total PoP ]]&gt;1,1,(WWWW[[#This Row],['#_Constructed/Existing protected/fenced ponds]]*250)/WWWW[[#This Row],[Total PoP ]])</f>
        <v>0</v>
      </c>
      <c r="CD382" s="585">
        <f>WWWW[[#This Row],[% Access to unimproved water points]]*WWWW[[#This Row],[Total PoP ]]</f>
        <v>0</v>
      </c>
      <c r="CE382"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2"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2" s="585">
        <f>WWWW[[#This Row],[HRP1]]/500</f>
        <v>0</v>
      </c>
      <c r="CH382" s="597">
        <f>1-WWWW[[#This Row],[% Equitable and continuous access to sufficient quantity of domestic water]]</f>
        <v>1</v>
      </c>
      <c r="CI382" s="585">
        <f>WWWW[[#This Row],[%equitable and continuous access to sufficient quantity of safe drinking and domestic water''s GAP]]*WWWW[[#This Row],[Total PoP ]]</f>
        <v>1006</v>
      </c>
      <c r="CJ382" s="595">
        <f>IF(WWWW[[#This Row],[Total required water points]]-WWWW[[#This Row],['#Water points coverage]]&lt;0,0,WWWW[[#This Row],[Total required water points]]-WWWW[[#This Row],['#Water points coverage]])</f>
        <v>2</v>
      </c>
      <c r="CK382" s="595">
        <f>ROUND(IF(WWWW[[#This Row],[Total PoP ]]&lt;500,1,WWWW[[#This Row],[Total PoP ]]/500),0)</f>
        <v>2</v>
      </c>
      <c r="CL382" s="595">
        <f>(WWWW[[#This Row],['#_Constructed latrines_by_WASHAgencies]]+WWWW[[#This Row],['#_Non Cluster partner latrines]])-WWWW[[#This Row],['#_Non-functional latrines]]</f>
        <v>0</v>
      </c>
      <c r="CM382"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2"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2"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2" s="595" t="str">
        <f>IF(WWWW[[#This Row],[Location Type 1]]="Village","NA",IF(WWWW[[#This Row],['#_Constructed/Existing latrines in TLS]]*50&gt;WWWW[[#This Row],['#_students at TLS_CFS]],WWWW[[#This Row],['#_students at TLS_CFS]],(WWWW[[#This Row],['#_Constructed/Existing latrines in TLS]]*50)))</f>
        <v>NA</v>
      </c>
      <c r="CQ382" s="595">
        <f>ROUND(IF(WWWW[[#This Row],[Location Type 1]]="camp",WWWW[[#This Row],[Total PoP ]]/20,IF(WWWW[[#This Row],[Location Type 1]]="Temporary Location",WWWW[[#This Row],[Total PoP ]]/50,(WWWW[[#This Row],[Total PoP ]]/6))),0)</f>
        <v>168</v>
      </c>
      <c r="CR382" s="595">
        <f>IF(WWWW[[#This Row],[Total required Latrines]]-(WWWW[[#This Row],['#_Constructed latrines_by_WASHAgencies]]+WWWW[[#This Row],['#_Non Cluster partner latrines]])&lt;0,0,WWWW[[#This Row],[Total required Latrines]]-(WWWW[[#This Row],['#_Constructed latrines_by_WASHAgencies]]+WWWW[[#This Row],['#_Non Cluster partner latrines]]))</f>
        <v>168</v>
      </c>
      <c r="CS382" s="78">
        <f>1-WWWW[[#This Row],[% people access to functioning Latrine]]</f>
        <v>1</v>
      </c>
      <c r="CT382" s="596">
        <f>IF(OR(WWWW[[#This Row],['#_Non-functional latrines]]="",WWWW[[#This Row],['#_Non-functional latrines]]=0),0,WWWW[[#This Row],['#_Non-functional latrines]]/(WWWW[[#This Row],['#_Constructed latrines_by_WASHAgencies]]+WWWW[[#This Row],['#_Non Cluster partner latrines]]))</f>
        <v>0</v>
      </c>
      <c r="CU382" s="585">
        <f>IF(500*(WWWW[[#This Row],['#_male hygiene promoters]]+WWWW[[#This Row],['#_female hygiene promoters]])&gt;WWWW[[#This Row],[Total PoP ]],WWWW[[#This Row],[Total PoP ]],500*(WWWW[[#This Row],['#_male hygiene promoters]]+WWWW[[#This Row],['#_female hygiene promoters]]))</f>
        <v>0</v>
      </c>
      <c r="CV382"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2"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2" s="595">
        <f>IF(WWWW[[#This Row],['# People with access to soap]]&gt;WWWW[[#This Row],['# People with access to Sanity Pads]],WWWW[[#This Row],['# People with access to soap]],WWWW[[#This Row],['# People with access to Sanity Pads]])</f>
        <v>0</v>
      </c>
      <c r="CY382"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2" s="597">
        <f>IF(WWWW[[#This Row],[HRP3]]/WWWW[[#This Row],[Total PoP ]]&gt;100%,100%,WWWW[[#This Row],[HRP3]]/WWWW[[#This Row],[Total PoP ]])</f>
        <v>0</v>
      </c>
      <c r="DA382" s="596">
        <f>1-WWWW[[#This Row],[Hygiene Coverage%]]</f>
        <v>1</v>
      </c>
      <c r="DB382" s="594">
        <f>WWWW[[#This Row],['# people reached by regular dedicated hygiene promotion_5]]/WWWW[[#This Row],[Total PoP ]]</f>
        <v>0</v>
      </c>
      <c r="DC382" s="594">
        <f>IF(WWWW[[#This Row],['#_households that received standard amount of soap for this quarter]]/WWWW[[#This Row],[Total HH]]&gt;1,1,WWWW[[#This Row],['#_households that received standard amount of soap for this quarter]]/WWWW[[#This Row],[Total HH]])</f>
        <v>0</v>
      </c>
      <c r="DD382" s="594">
        <f>IF(WWWW[[#This Row],['#_households that received standard amount of sanitary pads for this quarter]]/WWWW[[#This Row],[Total HH]]&gt;1,1,WWWW[[#This Row],['#_households that received standard amount of sanitary pads for this quarter]]/WWWW[[#This Row],[Total HH]])</f>
        <v>0</v>
      </c>
      <c r="DE382" s="595">
        <f>WWWW[[#This Row],['#_Constructed/Existing hand washing stations]]-WWWW[[#This Row],['#_Non-Functional_hand_washing_stations]]</f>
        <v>0</v>
      </c>
      <c r="DF382" s="757">
        <f>IF(WWWW[[#This Row],['# Functional hand washing stations during reporting period]]*20&gt;WWWW[[#This Row],[Total HH]],WWWW[[#This Row],[Total HH]],WWWW[[#This Row],['# Functional hand washing stations during reporting period]]*20)</f>
        <v>0</v>
      </c>
      <c r="DG382" s="585">
        <f>IF(WWWW[[#This Row],[Is sufficient soap available for TLS? (Yes/No)]]="yes",WWWW[[#This Row],['#_Constructed/Existing hand washing stations at TLS]],0)</f>
        <v>0</v>
      </c>
      <c r="DH382" s="585">
        <f>IF(WWWW[[#This Row],['# Functional hand washing stations during reporting period]]*100&gt;WWWW[[#This Row],[Total PoP ]],WWWW[[#This Row],[Total PoP ]],WWWW[[#This Row],['# Functional hand washing stations during reporting period]]*100)</f>
        <v>0</v>
      </c>
      <c r="DI382" s="585" t="str">
        <f>IF(OR(WWWW[[#This Row],['#_students at TLS_CFS]]="",WWWW[[#This Row],['#_students at TLS_CFS]]=0),"No","Yes")</f>
        <v>No</v>
      </c>
      <c r="DJ382" s="592">
        <f>VLOOKUP(WWWW[[#This Row],[Site Name]],SiteDB6[[Site Name]:[CCCM Management]],6,FALSE)</f>
        <v>0</v>
      </c>
      <c r="DK382" s="592">
        <f>VLOOKUP(WWWW[[#This Row],[Site Name]],SiteDB6[[Site Name]:[CCCM Focal Agency]],7,FALSE)</f>
        <v>0</v>
      </c>
      <c r="DL382" s="592" t="str">
        <f>VLOOKUP(WWWW[[#This Row],[Site Name]],SiteDB6[[Site Name]:[Location Type 1]],9,FALSE)</f>
        <v>Village</v>
      </c>
      <c r="DM382" s="592" t="str">
        <f>VLOOKUP(WWWW[[#This Row],[Site Name]],SiteDB6[[Site Name]:[Type of Accommodation]],10,FALSE)</f>
        <v>Returned</v>
      </c>
      <c r="DN382" s="592" t="str">
        <f>VLOOKUP(WWWW[[#This Row],[Site Name]],SiteDB6[[Site Name]:[Ethnic or GCA/NGCA]],11,FALSE)</f>
        <v>Muslim</v>
      </c>
      <c r="DO382" s="592">
        <f>VLOOKUP(WWWW[[#This Row],[Site Name]],SiteDB6[[Site Name]:[Lat]],12,FALSE)</f>
        <v>20.78332</v>
      </c>
      <c r="DP382" s="592">
        <f>VLOOKUP(WWWW[[#This Row],[Site Name]],SiteDB6[[Site Name]:[Long]],13,FALSE)</f>
        <v>92.987399999999994</v>
      </c>
      <c r="DQ382" s="592" t="str">
        <f>VLOOKUP(WWWW[[#This Row],[Site Name]],SiteDB6[[Site Name]:[Pcode]],3,FALSE)</f>
        <v>MMR012CMP029</v>
      </c>
      <c r="DR382" s="586" t="str">
        <f t="shared" si="13"/>
        <v>Notcovered</v>
      </c>
      <c r="DS382" s="586"/>
      <c r="DV382" s="572"/>
    </row>
    <row r="383" spans="1:126">
      <c r="A383" s="552" t="s">
        <v>2518</v>
      </c>
      <c r="B383" s="599" t="s">
        <v>326</v>
      </c>
      <c r="C383" s="599" t="s">
        <v>326</v>
      </c>
      <c r="D383" s="584" t="s">
        <v>2996</v>
      </c>
      <c r="E383" s="574" t="s">
        <v>3005</v>
      </c>
      <c r="F383" s="584" t="s">
        <v>323</v>
      </c>
      <c r="G383" s="581" t="str">
        <f>VLOOKUP(WWWW[[#This Row],[Site Name]],SiteDB6[[Site Name]:[Location Type]],8,FALSE)</f>
        <v>Village</v>
      </c>
      <c r="H383" s="584" t="s">
        <v>2071</v>
      </c>
      <c r="I383" s="312">
        <v>210</v>
      </c>
      <c r="J383" s="312">
        <v>694</v>
      </c>
      <c r="K383" s="593">
        <v>44134</v>
      </c>
      <c r="L383" s="58"/>
      <c r="M383" s="312"/>
      <c r="N383" s="312"/>
      <c r="O383" s="312"/>
      <c r="P383" s="312"/>
      <c r="Q383" s="585"/>
      <c r="R383" s="312"/>
      <c r="S383" s="312"/>
      <c r="T383" s="312"/>
      <c r="U383" s="312"/>
      <c r="V383" s="312"/>
      <c r="W383" s="312"/>
      <c r="X383" s="312"/>
      <c r="Y383" s="312"/>
      <c r="Z383" s="312"/>
      <c r="AA383" s="312"/>
      <c r="AB383" s="312"/>
      <c r="AC383" s="312"/>
      <c r="AD383" s="312"/>
      <c r="AE383" s="312"/>
      <c r="AF383" s="312"/>
      <c r="AG383" s="312"/>
      <c r="AH383" s="312"/>
      <c r="AI383" s="312"/>
      <c r="AJ383" s="312"/>
      <c r="AK383" s="312"/>
      <c r="AL383" s="312"/>
      <c r="AM383" s="312"/>
      <c r="AN383" s="312"/>
      <c r="AO383" s="586"/>
      <c r="AP383" s="312"/>
      <c r="AQ383" s="312"/>
      <c r="AR383" s="594"/>
      <c r="AS383" s="312"/>
      <c r="AT383" s="312"/>
      <c r="AU383" s="312"/>
      <c r="AV383" s="312"/>
      <c r="AW383" s="312"/>
      <c r="AX383" s="592"/>
      <c r="AY383" s="586"/>
      <c r="AZ383" s="312"/>
      <c r="BA383" s="312"/>
      <c r="BB383" s="312"/>
      <c r="BC383" s="592"/>
      <c r="BD383" s="312"/>
      <c r="BE383" s="312"/>
      <c r="BF383" s="312"/>
      <c r="BG383" s="312"/>
      <c r="BH383" s="312"/>
      <c r="BI383" s="312"/>
      <c r="BJ383" s="312"/>
      <c r="BK383" s="312"/>
      <c r="BL383" s="312"/>
      <c r="BM383" s="592"/>
      <c r="BN383" s="595"/>
      <c r="BO383" s="594"/>
      <c r="BP383" s="592"/>
      <c r="BQ383" s="596" t="str">
        <f>IFERROR(WWWW[[#This Row],['#_Water sources treated]]/WWWW[[#This Row],['#_Water sources tested for contamination]],"no test")</f>
        <v>no test</v>
      </c>
      <c r="BR383" s="594" t="str">
        <f>IFERROR(WWWW[[#This Row],['#_Household received remediation action due to contamination]]/WWWW[[#This Row],['#_Household water samples tested for contamination]],"no test")</f>
        <v>no test</v>
      </c>
      <c r="BS383" s="595" t="str">
        <f>IF(AND(WWWW[[#This Row],[% of water sources treated]]="no test",WWWW[[#This Row],[% Household received corrective actions]]="no test"),"No Test","Tested")</f>
        <v>No Test</v>
      </c>
      <c r="BT383" s="595">
        <f>WWWW[[#This Row],['#_Constructed/existing protected hand dug well]]-WWWW[[#This Row],['#_Non-functional protected hand dug well]]</f>
        <v>0</v>
      </c>
      <c r="BU383" s="595">
        <f>(WWWW[[#This Row],['#_Constructed/Existing tube wells/boreholes/handpumps_WASH_agency]]+WWWW[[#This Row],['#_Non-Cluster partner water tube-wells/boreholes/handpumps]])-WWWW[[#This Row],['#_Non-functional tube wells/boreholes/handpumps]]</f>
        <v>0</v>
      </c>
      <c r="BV383" s="595">
        <f>WWWW[[#This Row],['#_Constructed/Existingwater storage tank with gravity fed reticulation system]]-WWWW[[#This Row],['#_Non-functional storage tank gravity fed reticulation system]]</f>
        <v>0</v>
      </c>
      <c r="BW383" s="595">
        <f>WWWW[[#This Row],['#_Water boating or water trucking]]</f>
        <v>0</v>
      </c>
      <c r="BX383" s="595">
        <f>WWWW[[#This Row],['#_Constructed/Existing water distribution system from river or natural spring]]</f>
        <v>0</v>
      </c>
      <c r="BY383"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3"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3" s="594">
        <f>IF(WWWW[[#This Row],[Location Type 1]]="Village",WWWW[[#This Row],[Access to safe drinking water for Village]],WWWW[[#This Row],[Access to safe drinking water for Camp]])</f>
        <v>0</v>
      </c>
      <c r="CB383" s="585">
        <f>WWWW[[#This Row],[%Equitable and continuous access to sufficient quantity of safe drinking water]]*WWWW[[#This Row],[Total PoP ]]</f>
        <v>0</v>
      </c>
      <c r="CC383" s="594">
        <f>IF((WWWW[[#This Row],['#_Constructed/Existing protected/fenced ponds]]*250)/WWWW[[#This Row],[Total PoP ]]&gt;1,1,(WWWW[[#This Row],['#_Constructed/Existing protected/fenced ponds]]*250)/WWWW[[#This Row],[Total PoP ]])</f>
        <v>0</v>
      </c>
      <c r="CD383" s="585">
        <f>WWWW[[#This Row],[% Access to unimproved water points]]*WWWW[[#This Row],[Total PoP ]]</f>
        <v>0</v>
      </c>
      <c r="CE383"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3"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3" s="585">
        <f>WWWW[[#This Row],[HRP1]]/500</f>
        <v>0</v>
      </c>
      <c r="CH383" s="597">
        <f>1-WWWW[[#This Row],[% Equitable and continuous access to sufficient quantity of domestic water]]</f>
        <v>1</v>
      </c>
      <c r="CI383" s="585">
        <f>WWWW[[#This Row],[%equitable and continuous access to sufficient quantity of safe drinking and domestic water''s GAP]]*WWWW[[#This Row],[Total PoP ]]</f>
        <v>694</v>
      </c>
      <c r="CJ383" s="595">
        <f>IF(WWWW[[#This Row],[Total required water points]]-WWWW[[#This Row],['#Water points coverage]]&lt;0,0,WWWW[[#This Row],[Total required water points]]-WWWW[[#This Row],['#Water points coverage]])</f>
        <v>1</v>
      </c>
      <c r="CK383" s="595">
        <f>ROUND(IF(WWWW[[#This Row],[Total PoP ]]&lt;500,1,WWWW[[#This Row],[Total PoP ]]/500),0)</f>
        <v>1</v>
      </c>
      <c r="CL383" s="595">
        <f>(WWWW[[#This Row],['#_Constructed latrines_by_WASHAgencies]]+WWWW[[#This Row],['#_Non Cluster partner latrines]])-WWWW[[#This Row],['#_Non-functional latrines]]</f>
        <v>0</v>
      </c>
      <c r="CM383"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3"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3"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3" s="595" t="str">
        <f>IF(WWWW[[#This Row],[Location Type 1]]="Village","NA",IF(WWWW[[#This Row],['#_Constructed/Existing latrines in TLS]]*50&gt;WWWW[[#This Row],['#_students at TLS_CFS]],WWWW[[#This Row],['#_students at TLS_CFS]],(WWWW[[#This Row],['#_Constructed/Existing latrines in TLS]]*50)))</f>
        <v>NA</v>
      </c>
      <c r="CQ383" s="595">
        <f>ROUND(IF(WWWW[[#This Row],[Location Type 1]]="camp",WWWW[[#This Row],[Total PoP ]]/20,IF(WWWW[[#This Row],[Location Type 1]]="Temporary Location",WWWW[[#This Row],[Total PoP ]]/50,(WWWW[[#This Row],[Total PoP ]]/6))),0)</f>
        <v>116</v>
      </c>
      <c r="CR383" s="595">
        <f>IF(WWWW[[#This Row],[Total required Latrines]]-(WWWW[[#This Row],['#_Constructed latrines_by_WASHAgencies]]+WWWW[[#This Row],['#_Non Cluster partner latrines]])&lt;0,0,WWWW[[#This Row],[Total required Latrines]]-(WWWW[[#This Row],['#_Constructed latrines_by_WASHAgencies]]+WWWW[[#This Row],['#_Non Cluster partner latrines]]))</f>
        <v>116</v>
      </c>
      <c r="CS383" s="78">
        <f>1-WWWW[[#This Row],[% people access to functioning Latrine]]</f>
        <v>1</v>
      </c>
      <c r="CT383" s="596">
        <f>IF(OR(WWWW[[#This Row],['#_Non-functional latrines]]="",WWWW[[#This Row],['#_Non-functional latrines]]=0),0,WWWW[[#This Row],['#_Non-functional latrines]]/(WWWW[[#This Row],['#_Constructed latrines_by_WASHAgencies]]+WWWW[[#This Row],['#_Non Cluster partner latrines]]))</f>
        <v>0</v>
      </c>
      <c r="CU383" s="585">
        <f>IF(500*(WWWW[[#This Row],['#_male hygiene promoters]]+WWWW[[#This Row],['#_female hygiene promoters]])&gt;WWWW[[#This Row],[Total PoP ]],WWWW[[#This Row],[Total PoP ]],500*(WWWW[[#This Row],['#_male hygiene promoters]]+WWWW[[#This Row],['#_female hygiene promoters]]))</f>
        <v>0</v>
      </c>
      <c r="CV383"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3"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3" s="595">
        <f>IF(WWWW[[#This Row],['# People with access to soap]]&gt;WWWW[[#This Row],['# People with access to Sanity Pads]],WWWW[[#This Row],['# People with access to soap]],WWWW[[#This Row],['# People with access to Sanity Pads]])</f>
        <v>0</v>
      </c>
      <c r="CY383"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3" s="597">
        <f>IF(WWWW[[#This Row],[HRP3]]/WWWW[[#This Row],[Total PoP ]]&gt;100%,100%,WWWW[[#This Row],[HRP3]]/WWWW[[#This Row],[Total PoP ]])</f>
        <v>0</v>
      </c>
      <c r="DA383" s="596">
        <f>1-WWWW[[#This Row],[Hygiene Coverage%]]</f>
        <v>1</v>
      </c>
      <c r="DB383" s="594">
        <f>WWWW[[#This Row],['# people reached by regular dedicated hygiene promotion_5]]/WWWW[[#This Row],[Total PoP ]]</f>
        <v>0</v>
      </c>
      <c r="DC383" s="594">
        <f>IF(WWWW[[#This Row],['#_households that received standard amount of soap for this quarter]]/WWWW[[#This Row],[Total HH]]&gt;1,1,WWWW[[#This Row],['#_households that received standard amount of soap for this quarter]]/WWWW[[#This Row],[Total HH]])</f>
        <v>0</v>
      </c>
      <c r="DD383" s="594">
        <f>IF(WWWW[[#This Row],['#_households that received standard amount of sanitary pads for this quarter]]/WWWW[[#This Row],[Total HH]]&gt;1,1,WWWW[[#This Row],['#_households that received standard amount of sanitary pads for this quarter]]/WWWW[[#This Row],[Total HH]])</f>
        <v>0</v>
      </c>
      <c r="DE383" s="595">
        <f>WWWW[[#This Row],['#_Constructed/Existing hand washing stations]]-WWWW[[#This Row],['#_Non-Functional_hand_washing_stations]]</f>
        <v>0</v>
      </c>
      <c r="DF383" s="757">
        <f>IF(WWWW[[#This Row],['# Functional hand washing stations during reporting period]]*20&gt;WWWW[[#This Row],[Total HH]],WWWW[[#This Row],[Total HH]],WWWW[[#This Row],['# Functional hand washing stations during reporting period]]*20)</f>
        <v>0</v>
      </c>
      <c r="DG383" s="585">
        <f>IF(WWWW[[#This Row],[Is sufficient soap available for TLS? (Yes/No)]]="yes",WWWW[[#This Row],['#_Constructed/Existing hand washing stations at TLS]],0)</f>
        <v>0</v>
      </c>
      <c r="DH383" s="585">
        <f>IF(WWWW[[#This Row],['# Functional hand washing stations during reporting period]]*100&gt;WWWW[[#This Row],[Total PoP ]],WWWW[[#This Row],[Total PoP ]],WWWW[[#This Row],['# Functional hand washing stations during reporting period]]*100)</f>
        <v>0</v>
      </c>
      <c r="DI383" s="585" t="str">
        <f>IF(OR(WWWW[[#This Row],['#_students at TLS_CFS]]="",WWWW[[#This Row],['#_students at TLS_CFS]]=0),"No","Yes")</f>
        <v>No</v>
      </c>
      <c r="DJ383" s="592">
        <f>VLOOKUP(WWWW[[#This Row],[Site Name]],SiteDB6[[Site Name]:[CCCM Management]],6,FALSE)</f>
        <v>0</v>
      </c>
      <c r="DK383" s="592">
        <f>VLOOKUP(WWWW[[#This Row],[Site Name]],SiteDB6[[Site Name]:[CCCM Focal Agency]],7,FALSE)</f>
        <v>0</v>
      </c>
      <c r="DL383" s="592" t="str">
        <f>VLOOKUP(WWWW[[#This Row],[Site Name]],SiteDB6[[Site Name]:[Location Type 1]],9,FALSE)</f>
        <v>Village</v>
      </c>
      <c r="DM383" s="592" t="str">
        <f>VLOOKUP(WWWW[[#This Row],[Site Name]],SiteDB6[[Site Name]:[Type of Accommodation]],10,FALSE)</f>
        <v>Village</v>
      </c>
      <c r="DN383" s="592" t="str">
        <f>VLOOKUP(WWWW[[#This Row],[Site Name]],SiteDB6[[Site Name]:[Ethnic or GCA/NGCA]],11,FALSE)</f>
        <v>Muslim</v>
      </c>
      <c r="DO383" s="592">
        <f>VLOOKUP(WWWW[[#This Row],[Site Name]],SiteDB6[[Site Name]:[Lat]],12,FALSE)</f>
        <v>21.012830730000001</v>
      </c>
      <c r="DP383" s="592">
        <f>VLOOKUP(WWWW[[#This Row],[Site Name]],SiteDB6[[Site Name]:[Long]],13,FALSE)</f>
        <v>92.338958739999995</v>
      </c>
      <c r="DQ383" s="592">
        <f>VLOOKUP(WWWW[[#This Row],[Site Name]],SiteDB6[[Site Name]:[Pcode]],3,FALSE)</f>
        <v>197878</v>
      </c>
      <c r="DR383" s="586" t="str">
        <f t="shared" si="13"/>
        <v>Covered</v>
      </c>
      <c r="DS383" s="586"/>
      <c r="DV383" s="572"/>
    </row>
    <row r="384" spans="1:126">
      <c r="A384" s="552" t="s">
        <v>2518</v>
      </c>
      <c r="B384" s="599" t="s">
        <v>326</v>
      </c>
      <c r="C384" s="599" t="s">
        <v>326</v>
      </c>
      <c r="D384" s="584" t="s">
        <v>2996</v>
      </c>
      <c r="E384" s="574" t="s">
        <v>3005</v>
      </c>
      <c r="F384" s="584" t="s">
        <v>323</v>
      </c>
      <c r="G384" s="581" t="str">
        <f>VLOOKUP(WWWW[[#This Row],[Site Name]],SiteDB6[[Site Name]:[Location Type]],8,FALSE)</f>
        <v>Village</v>
      </c>
      <c r="H384" s="584" t="s">
        <v>2072</v>
      </c>
      <c r="I384" s="312">
        <v>87</v>
      </c>
      <c r="J384" s="312">
        <v>412</v>
      </c>
      <c r="K384" s="593">
        <v>44134</v>
      </c>
      <c r="L384" s="58"/>
      <c r="M384" s="312"/>
      <c r="N384" s="312"/>
      <c r="O384" s="312"/>
      <c r="P384" s="312"/>
      <c r="Q384" s="585"/>
      <c r="R384" s="312"/>
      <c r="S384" s="312"/>
      <c r="T384" s="312"/>
      <c r="U384" s="312"/>
      <c r="V384" s="312"/>
      <c r="W384" s="312"/>
      <c r="X384" s="312"/>
      <c r="Y384" s="312"/>
      <c r="Z384" s="312"/>
      <c r="AA384" s="312"/>
      <c r="AB384" s="312"/>
      <c r="AC384" s="312"/>
      <c r="AD384" s="312"/>
      <c r="AE384" s="312"/>
      <c r="AF384" s="312"/>
      <c r="AG384" s="312"/>
      <c r="AH384" s="312"/>
      <c r="AI384" s="312"/>
      <c r="AJ384" s="312"/>
      <c r="AK384" s="312"/>
      <c r="AL384" s="312"/>
      <c r="AM384" s="312"/>
      <c r="AN384" s="312"/>
      <c r="AO384" s="586"/>
      <c r="AP384" s="312"/>
      <c r="AQ384" s="312"/>
      <c r="AR384" s="594"/>
      <c r="AS384" s="312"/>
      <c r="AT384" s="312"/>
      <c r="AU384" s="312"/>
      <c r="AV384" s="312"/>
      <c r="AW384" s="312"/>
      <c r="AX384" s="592"/>
      <c r="AY384" s="586"/>
      <c r="AZ384" s="312"/>
      <c r="BA384" s="312"/>
      <c r="BB384" s="312"/>
      <c r="BC384" s="592"/>
      <c r="BD384" s="312"/>
      <c r="BE384" s="312"/>
      <c r="BF384" s="312"/>
      <c r="BG384" s="312"/>
      <c r="BH384" s="312"/>
      <c r="BI384" s="312"/>
      <c r="BJ384" s="312"/>
      <c r="BK384" s="312"/>
      <c r="BL384" s="312"/>
      <c r="BM384" s="592"/>
      <c r="BN384" s="595"/>
      <c r="BO384" s="594"/>
      <c r="BP384" s="592"/>
      <c r="BQ384" s="596" t="str">
        <f>IFERROR(WWWW[[#This Row],['#_Water sources treated]]/WWWW[[#This Row],['#_Water sources tested for contamination]],"no test")</f>
        <v>no test</v>
      </c>
      <c r="BR384" s="594" t="str">
        <f>IFERROR(WWWW[[#This Row],['#_Household received remediation action due to contamination]]/WWWW[[#This Row],['#_Household water samples tested for contamination]],"no test")</f>
        <v>no test</v>
      </c>
      <c r="BS384" s="595" t="str">
        <f>IF(AND(WWWW[[#This Row],[% of water sources treated]]="no test",WWWW[[#This Row],[% Household received corrective actions]]="no test"),"No Test","Tested")</f>
        <v>No Test</v>
      </c>
      <c r="BT384" s="595">
        <f>WWWW[[#This Row],['#_Constructed/existing protected hand dug well]]-WWWW[[#This Row],['#_Non-functional protected hand dug well]]</f>
        <v>0</v>
      </c>
      <c r="BU384" s="595">
        <f>(WWWW[[#This Row],['#_Constructed/Existing tube wells/boreholes/handpumps_WASH_agency]]+WWWW[[#This Row],['#_Non-Cluster partner water tube-wells/boreholes/handpumps]])-WWWW[[#This Row],['#_Non-functional tube wells/boreholes/handpumps]]</f>
        <v>0</v>
      </c>
      <c r="BV384" s="595">
        <f>WWWW[[#This Row],['#_Constructed/Existingwater storage tank with gravity fed reticulation system]]-WWWW[[#This Row],['#_Non-functional storage tank gravity fed reticulation system]]</f>
        <v>0</v>
      </c>
      <c r="BW384" s="595">
        <f>WWWW[[#This Row],['#_Water boating or water trucking]]</f>
        <v>0</v>
      </c>
      <c r="BX384" s="595">
        <f>WWWW[[#This Row],['#_Constructed/Existing water distribution system from river or natural spring]]</f>
        <v>0</v>
      </c>
      <c r="BY384"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4"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4" s="594">
        <f>IF(WWWW[[#This Row],[Location Type 1]]="Village",WWWW[[#This Row],[Access to safe drinking water for Village]],WWWW[[#This Row],[Access to safe drinking water for Camp]])</f>
        <v>0</v>
      </c>
      <c r="CB384" s="585">
        <f>WWWW[[#This Row],[%Equitable and continuous access to sufficient quantity of safe drinking water]]*WWWW[[#This Row],[Total PoP ]]</f>
        <v>0</v>
      </c>
      <c r="CC384" s="594">
        <f>IF((WWWW[[#This Row],['#_Constructed/Existing protected/fenced ponds]]*250)/WWWW[[#This Row],[Total PoP ]]&gt;1,1,(WWWW[[#This Row],['#_Constructed/Existing protected/fenced ponds]]*250)/WWWW[[#This Row],[Total PoP ]])</f>
        <v>0</v>
      </c>
      <c r="CD384" s="585">
        <f>WWWW[[#This Row],[% Access to unimproved water points]]*WWWW[[#This Row],[Total PoP ]]</f>
        <v>0</v>
      </c>
      <c r="CE384"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4"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4" s="585">
        <f>WWWW[[#This Row],[HRP1]]/500</f>
        <v>0</v>
      </c>
      <c r="CH384" s="597">
        <f>1-WWWW[[#This Row],[% Equitable and continuous access to sufficient quantity of domestic water]]</f>
        <v>1</v>
      </c>
      <c r="CI384" s="585">
        <f>WWWW[[#This Row],[%equitable and continuous access to sufficient quantity of safe drinking and domestic water''s GAP]]*WWWW[[#This Row],[Total PoP ]]</f>
        <v>412</v>
      </c>
      <c r="CJ384" s="595">
        <f>IF(WWWW[[#This Row],[Total required water points]]-WWWW[[#This Row],['#Water points coverage]]&lt;0,0,WWWW[[#This Row],[Total required water points]]-WWWW[[#This Row],['#Water points coverage]])</f>
        <v>1</v>
      </c>
      <c r="CK384" s="595">
        <f>ROUND(IF(WWWW[[#This Row],[Total PoP ]]&lt;500,1,WWWW[[#This Row],[Total PoP ]]/500),0)</f>
        <v>1</v>
      </c>
      <c r="CL384" s="595">
        <f>(WWWW[[#This Row],['#_Constructed latrines_by_WASHAgencies]]+WWWW[[#This Row],['#_Non Cluster partner latrines]])-WWWW[[#This Row],['#_Non-functional latrines]]</f>
        <v>0</v>
      </c>
      <c r="CM384"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4"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4"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4" s="595" t="str">
        <f>IF(WWWW[[#This Row],[Location Type 1]]="Village","NA",IF(WWWW[[#This Row],['#_Constructed/Existing latrines in TLS]]*50&gt;WWWW[[#This Row],['#_students at TLS_CFS]],WWWW[[#This Row],['#_students at TLS_CFS]],(WWWW[[#This Row],['#_Constructed/Existing latrines in TLS]]*50)))</f>
        <v>NA</v>
      </c>
      <c r="CQ384" s="595">
        <f>ROUND(IF(WWWW[[#This Row],[Location Type 1]]="camp",WWWW[[#This Row],[Total PoP ]]/20,IF(WWWW[[#This Row],[Location Type 1]]="Temporary Location",WWWW[[#This Row],[Total PoP ]]/50,(WWWW[[#This Row],[Total PoP ]]/6))),0)</f>
        <v>69</v>
      </c>
      <c r="CR384" s="595">
        <f>IF(WWWW[[#This Row],[Total required Latrines]]-(WWWW[[#This Row],['#_Constructed latrines_by_WASHAgencies]]+WWWW[[#This Row],['#_Non Cluster partner latrines]])&lt;0,0,WWWW[[#This Row],[Total required Latrines]]-(WWWW[[#This Row],['#_Constructed latrines_by_WASHAgencies]]+WWWW[[#This Row],['#_Non Cluster partner latrines]]))</f>
        <v>69</v>
      </c>
      <c r="CS384" s="78">
        <f>1-WWWW[[#This Row],[% people access to functioning Latrine]]</f>
        <v>1</v>
      </c>
      <c r="CT384" s="596">
        <f>IF(OR(WWWW[[#This Row],['#_Non-functional latrines]]="",WWWW[[#This Row],['#_Non-functional latrines]]=0),0,WWWW[[#This Row],['#_Non-functional latrines]]/(WWWW[[#This Row],['#_Constructed latrines_by_WASHAgencies]]+WWWW[[#This Row],['#_Non Cluster partner latrines]]))</f>
        <v>0</v>
      </c>
      <c r="CU384" s="585">
        <f>IF(500*(WWWW[[#This Row],['#_male hygiene promoters]]+WWWW[[#This Row],['#_female hygiene promoters]])&gt;WWWW[[#This Row],[Total PoP ]],WWWW[[#This Row],[Total PoP ]],500*(WWWW[[#This Row],['#_male hygiene promoters]]+WWWW[[#This Row],['#_female hygiene promoters]]))</f>
        <v>0</v>
      </c>
      <c r="CV384"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4"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4" s="595">
        <f>IF(WWWW[[#This Row],['# People with access to soap]]&gt;WWWW[[#This Row],['# People with access to Sanity Pads]],WWWW[[#This Row],['# People with access to soap]],WWWW[[#This Row],['# People with access to Sanity Pads]])</f>
        <v>0</v>
      </c>
      <c r="CY384"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4" s="597">
        <f>IF(WWWW[[#This Row],[HRP3]]/WWWW[[#This Row],[Total PoP ]]&gt;100%,100%,WWWW[[#This Row],[HRP3]]/WWWW[[#This Row],[Total PoP ]])</f>
        <v>0</v>
      </c>
      <c r="DA384" s="596">
        <f>1-WWWW[[#This Row],[Hygiene Coverage%]]</f>
        <v>1</v>
      </c>
      <c r="DB384" s="594">
        <f>WWWW[[#This Row],['# people reached by regular dedicated hygiene promotion_5]]/WWWW[[#This Row],[Total PoP ]]</f>
        <v>0</v>
      </c>
      <c r="DC384" s="594">
        <f>IF(WWWW[[#This Row],['#_households that received standard amount of soap for this quarter]]/WWWW[[#This Row],[Total HH]]&gt;1,1,WWWW[[#This Row],['#_households that received standard amount of soap for this quarter]]/WWWW[[#This Row],[Total HH]])</f>
        <v>0</v>
      </c>
      <c r="DD384" s="594">
        <f>IF(WWWW[[#This Row],['#_households that received standard amount of sanitary pads for this quarter]]/WWWW[[#This Row],[Total HH]]&gt;1,1,WWWW[[#This Row],['#_households that received standard amount of sanitary pads for this quarter]]/WWWW[[#This Row],[Total HH]])</f>
        <v>0</v>
      </c>
      <c r="DE384" s="595">
        <f>WWWW[[#This Row],['#_Constructed/Existing hand washing stations]]-WWWW[[#This Row],['#_Non-Functional_hand_washing_stations]]</f>
        <v>0</v>
      </c>
      <c r="DF384" s="757">
        <f>IF(WWWW[[#This Row],['# Functional hand washing stations during reporting period]]*20&gt;WWWW[[#This Row],[Total HH]],WWWW[[#This Row],[Total HH]],WWWW[[#This Row],['# Functional hand washing stations during reporting period]]*20)</f>
        <v>0</v>
      </c>
      <c r="DG384" s="585">
        <f>IF(WWWW[[#This Row],[Is sufficient soap available for TLS? (Yes/No)]]="yes",WWWW[[#This Row],['#_Constructed/Existing hand washing stations at TLS]],0)</f>
        <v>0</v>
      </c>
      <c r="DH384" s="585">
        <f>IF(WWWW[[#This Row],['# Functional hand washing stations during reporting period]]*100&gt;WWWW[[#This Row],[Total PoP ]],WWWW[[#This Row],[Total PoP ]],WWWW[[#This Row],['# Functional hand washing stations during reporting period]]*100)</f>
        <v>0</v>
      </c>
      <c r="DI384" s="585" t="str">
        <f>IF(OR(WWWW[[#This Row],['#_students at TLS_CFS]]="",WWWW[[#This Row],['#_students at TLS_CFS]]=0),"No","Yes")</f>
        <v>No</v>
      </c>
      <c r="DJ384" s="592">
        <f>VLOOKUP(WWWW[[#This Row],[Site Name]],SiteDB6[[Site Name]:[CCCM Management]],6,FALSE)</f>
        <v>0</v>
      </c>
      <c r="DK384" s="592">
        <f>VLOOKUP(WWWW[[#This Row],[Site Name]],SiteDB6[[Site Name]:[CCCM Focal Agency]],7,FALSE)</f>
        <v>0</v>
      </c>
      <c r="DL384" s="592" t="str">
        <f>VLOOKUP(WWWW[[#This Row],[Site Name]],SiteDB6[[Site Name]:[Location Type 1]],9,FALSE)</f>
        <v>Village</v>
      </c>
      <c r="DM384" s="592" t="str">
        <f>VLOOKUP(WWWW[[#This Row],[Site Name]],SiteDB6[[Site Name]:[Type of Accommodation]],10,FALSE)</f>
        <v>Village</v>
      </c>
      <c r="DN384" s="592" t="str">
        <f>VLOOKUP(WWWW[[#This Row],[Site Name]],SiteDB6[[Site Name]:[Ethnic or GCA/NGCA]],11,FALSE)</f>
        <v>Rakhine</v>
      </c>
      <c r="DO384" s="592">
        <f>VLOOKUP(WWWW[[#This Row],[Site Name]],SiteDB6[[Site Name]:[Lat]],12,FALSE)</f>
        <v>21.218200679999999</v>
      </c>
      <c r="DP384" s="592">
        <f>VLOOKUP(WWWW[[#This Row],[Site Name]],SiteDB6[[Site Name]:[Long]],13,FALSE)</f>
        <v>92.323173519999997</v>
      </c>
      <c r="DQ384" s="592">
        <f>VLOOKUP(WWWW[[#This Row],[Site Name]],SiteDB6[[Site Name]:[Pcode]],3,FALSE)</f>
        <v>197830</v>
      </c>
      <c r="DR384" s="586" t="str">
        <f t="shared" si="13"/>
        <v>Covered</v>
      </c>
      <c r="DS384" s="586"/>
      <c r="DV384" s="572"/>
    </row>
    <row r="385" spans="1:126">
      <c r="A385" s="552" t="s">
        <v>2518</v>
      </c>
      <c r="B385" s="599" t="s">
        <v>326</v>
      </c>
      <c r="C385" s="599" t="s">
        <v>326</v>
      </c>
      <c r="D385" s="584" t="s">
        <v>2996</v>
      </c>
      <c r="E385" s="574" t="s">
        <v>3005</v>
      </c>
      <c r="F385" s="584" t="s">
        <v>323</v>
      </c>
      <c r="G385" s="581" t="str">
        <f>VLOOKUP(WWWW[[#This Row],[Site Name]],SiteDB6[[Site Name]:[Location Type]],8,FALSE)</f>
        <v>Village</v>
      </c>
      <c r="H385" s="584" t="s">
        <v>3075</v>
      </c>
      <c r="I385" s="312">
        <v>34</v>
      </c>
      <c r="J385" s="312">
        <v>163</v>
      </c>
      <c r="K385" s="593">
        <v>44134</v>
      </c>
      <c r="L385" s="58"/>
      <c r="M385" s="312"/>
      <c r="N385" s="312"/>
      <c r="O385" s="312"/>
      <c r="P385" s="312"/>
      <c r="Q385" s="585"/>
      <c r="R385" s="312"/>
      <c r="S385" s="312"/>
      <c r="T385" s="312"/>
      <c r="U385" s="312"/>
      <c r="V385" s="312"/>
      <c r="W385" s="312"/>
      <c r="X385" s="312"/>
      <c r="Y385" s="312"/>
      <c r="Z385" s="312"/>
      <c r="AA385" s="312"/>
      <c r="AB385" s="312"/>
      <c r="AC385" s="312"/>
      <c r="AD385" s="312"/>
      <c r="AE385" s="312"/>
      <c r="AF385" s="312"/>
      <c r="AG385" s="312"/>
      <c r="AH385" s="312"/>
      <c r="AI385" s="312"/>
      <c r="AJ385" s="312"/>
      <c r="AK385" s="312"/>
      <c r="AL385" s="312"/>
      <c r="AM385" s="312"/>
      <c r="AN385" s="312"/>
      <c r="AO385" s="586"/>
      <c r="AP385" s="312"/>
      <c r="AQ385" s="312"/>
      <c r="AR385" s="594"/>
      <c r="AS385" s="312"/>
      <c r="AT385" s="312"/>
      <c r="AU385" s="312"/>
      <c r="AV385" s="312"/>
      <c r="AW385" s="312"/>
      <c r="AX385" s="592"/>
      <c r="AY385" s="586"/>
      <c r="AZ385" s="312"/>
      <c r="BA385" s="312"/>
      <c r="BB385" s="312"/>
      <c r="BC385" s="592"/>
      <c r="BD385" s="312"/>
      <c r="BE385" s="312"/>
      <c r="BF385" s="312"/>
      <c r="BG385" s="312"/>
      <c r="BH385" s="312"/>
      <c r="BI385" s="312"/>
      <c r="BJ385" s="312"/>
      <c r="BK385" s="312"/>
      <c r="BL385" s="312"/>
      <c r="BM385" s="592"/>
      <c r="BN385" s="595"/>
      <c r="BO385" s="594"/>
      <c r="BP385" s="592"/>
      <c r="BQ385" s="596" t="str">
        <f>IFERROR(WWWW[[#This Row],['#_Water sources treated]]/WWWW[[#This Row],['#_Water sources tested for contamination]],"no test")</f>
        <v>no test</v>
      </c>
      <c r="BR385" s="594" t="str">
        <f>IFERROR(WWWW[[#This Row],['#_Household received remediation action due to contamination]]/WWWW[[#This Row],['#_Household water samples tested for contamination]],"no test")</f>
        <v>no test</v>
      </c>
      <c r="BS385" s="595" t="str">
        <f>IF(AND(WWWW[[#This Row],[% of water sources treated]]="no test",WWWW[[#This Row],[% Household received corrective actions]]="no test"),"No Test","Tested")</f>
        <v>No Test</v>
      </c>
      <c r="BT385" s="595">
        <f>WWWW[[#This Row],['#_Constructed/existing protected hand dug well]]-WWWW[[#This Row],['#_Non-functional protected hand dug well]]</f>
        <v>0</v>
      </c>
      <c r="BU385" s="595">
        <f>(WWWW[[#This Row],['#_Constructed/Existing tube wells/boreholes/handpumps_WASH_agency]]+WWWW[[#This Row],['#_Non-Cluster partner water tube-wells/boreholes/handpumps]])-WWWW[[#This Row],['#_Non-functional tube wells/boreholes/handpumps]]</f>
        <v>0</v>
      </c>
      <c r="BV385" s="595">
        <f>WWWW[[#This Row],['#_Constructed/Existingwater storage tank with gravity fed reticulation system]]-WWWW[[#This Row],['#_Non-functional storage tank gravity fed reticulation system]]</f>
        <v>0</v>
      </c>
      <c r="BW385" s="595">
        <f>WWWW[[#This Row],['#_Water boating or water trucking]]</f>
        <v>0</v>
      </c>
      <c r="BX385" s="595">
        <f>WWWW[[#This Row],['#_Constructed/Existing water distribution system from river or natural spring]]</f>
        <v>0</v>
      </c>
      <c r="BY385"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5"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5" s="594">
        <f>IF(WWWW[[#This Row],[Location Type 1]]="Village",WWWW[[#This Row],[Access to safe drinking water for Village]],WWWW[[#This Row],[Access to safe drinking water for Camp]])</f>
        <v>0</v>
      </c>
      <c r="CB385" s="585">
        <f>WWWW[[#This Row],[%Equitable and continuous access to sufficient quantity of safe drinking water]]*WWWW[[#This Row],[Total PoP ]]</f>
        <v>0</v>
      </c>
      <c r="CC385" s="594">
        <f>IF((WWWW[[#This Row],['#_Constructed/Existing protected/fenced ponds]]*250)/WWWW[[#This Row],[Total PoP ]]&gt;1,1,(WWWW[[#This Row],['#_Constructed/Existing protected/fenced ponds]]*250)/WWWW[[#This Row],[Total PoP ]])</f>
        <v>0</v>
      </c>
      <c r="CD385" s="585">
        <f>WWWW[[#This Row],[% Access to unimproved water points]]*WWWW[[#This Row],[Total PoP ]]</f>
        <v>0</v>
      </c>
      <c r="CE385"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5"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5" s="585">
        <f>WWWW[[#This Row],[HRP1]]/500</f>
        <v>0</v>
      </c>
      <c r="CH385" s="597">
        <f>1-WWWW[[#This Row],[% Equitable and continuous access to sufficient quantity of domestic water]]</f>
        <v>1</v>
      </c>
      <c r="CI385" s="585">
        <f>WWWW[[#This Row],[%equitable and continuous access to sufficient quantity of safe drinking and domestic water''s GAP]]*WWWW[[#This Row],[Total PoP ]]</f>
        <v>163</v>
      </c>
      <c r="CJ385" s="595">
        <f>IF(WWWW[[#This Row],[Total required water points]]-WWWW[[#This Row],['#Water points coverage]]&lt;0,0,WWWW[[#This Row],[Total required water points]]-WWWW[[#This Row],['#Water points coverage]])</f>
        <v>1</v>
      </c>
      <c r="CK385" s="595">
        <f>ROUND(IF(WWWW[[#This Row],[Total PoP ]]&lt;500,1,WWWW[[#This Row],[Total PoP ]]/500),0)</f>
        <v>1</v>
      </c>
      <c r="CL385" s="595">
        <f>(WWWW[[#This Row],['#_Constructed latrines_by_WASHAgencies]]+WWWW[[#This Row],['#_Non Cluster partner latrines]])-WWWW[[#This Row],['#_Non-functional latrines]]</f>
        <v>0</v>
      </c>
      <c r="CM385"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5"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5"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5" s="595" t="str">
        <f>IF(WWWW[[#This Row],[Location Type 1]]="Village","NA",IF(WWWW[[#This Row],['#_Constructed/Existing latrines in TLS]]*50&gt;WWWW[[#This Row],['#_students at TLS_CFS]],WWWW[[#This Row],['#_students at TLS_CFS]],(WWWW[[#This Row],['#_Constructed/Existing latrines in TLS]]*50)))</f>
        <v>NA</v>
      </c>
      <c r="CQ385" s="595">
        <f>ROUND(IF(WWWW[[#This Row],[Location Type 1]]="camp",WWWW[[#This Row],[Total PoP ]]/20,IF(WWWW[[#This Row],[Location Type 1]]="Temporary Location",WWWW[[#This Row],[Total PoP ]]/50,(WWWW[[#This Row],[Total PoP ]]/6))),0)</f>
        <v>27</v>
      </c>
      <c r="CR385" s="595">
        <f>IF(WWWW[[#This Row],[Total required Latrines]]-(WWWW[[#This Row],['#_Constructed latrines_by_WASHAgencies]]+WWWW[[#This Row],['#_Non Cluster partner latrines]])&lt;0,0,WWWW[[#This Row],[Total required Latrines]]-(WWWW[[#This Row],['#_Constructed latrines_by_WASHAgencies]]+WWWW[[#This Row],['#_Non Cluster partner latrines]]))</f>
        <v>27</v>
      </c>
      <c r="CS385" s="78">
        <f>1-WWWW[[#This Row],[% people access to functioning Latrine]]</f>
        <v>1</v>
      </c>
      <c r="CT385" s="596">
        <f>IF(OR(WWWW[[#This Row],['#_Non-functional latrines]]="",WWWW[[#This Row],['#_Non-functional latrines]]=0),0,WWWW[[#This Row],['#_Non-functional latrines]]/(WWWW[[#This Row],['#_Constructed latrines_by_WASHAgencies]]+WWWW[[#This Row],['#_Non Cluster partner latrines]]))</f>
        <v>0</v>
      </c>
      <c r="CU385" s="585">
        <f>IF(500*(WWWW[[#This Row],['#_male hygiene promoters]]+WWWW[[#This Row],['#_female hygiene promoters]])&gt;WWWW[[#This Row],[Total PoP ]],WWWW[[#This Row],[Total PoP ]],500*(WWWW[[#This Row],['#_male hygiene promoters]]+WWWW[[#This Row],['#_female hygiene promoters]]))</f>
        <v>0</v>
      </c>
      <c r="CV385"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5"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5" s="595">
        <f>IF(WWWW[[#This Row],['# People with access to soap]]&gt;WWWW[[#This Row],['# People with access to Sanity Pads]],WWWW[[#This Row],['# People with access to soap]],WWWW[[#This Row],['# People with access to Sanity Pads]])</f>
        <v>0</v>
      </c>
      <c r="CY385"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5" s="597">
        <f>IF(WWWW[[#This Row],[HRP3]]/WWWW[[#This Row],[Total PoP ]]&gt;100%,100%,WWWW[[#This Row],[HRP3]]/WWWW[[#This Row],[Total PoP ]])</f>
        <v>0</v>
      </c>
      <c r="DA385" s="596">
        <f>1-WWWW[[#This Row],[Hygiene Coverage%]]</f>
        <v>1</v>
      </c>
      <c r="DB385" s="594">
        <f>WWWW[[#This Row],['# people reached by regular dedicated hygiene promotion_5]]/WWWW[[#This Row],[Total PoP ]]</f>
        <v>0</v>
      </c>
      <c r="DC385" s="594">
        <f>IF(WWWW[[#This Row],['#_households that received standard amount of soap for this quarter]]/WWWW[[#This Row],[Total HH]]&gt;1,1,WWWW[[#This Row],['#_households that received standard amount of soap for this quarter]]/WWWW[[#This Row],[Total HH]])</f>
        <v>0</v>
      </c>
      <c r="DD385" s="594">
        <f>IF(WWWW[[#This Row],['#_households that received standard amount of sanitary pads for this quarter]]/WWWW[[#This Row],[Total HH]]&gt;1,1,WWWW[[#This Row],['#_households that received standard amount of sanitary pads for this quarter]]/WWWW[[#This Row],[Total HH]])</f>
        <v>0</v>
      </c>
      <c r="DE385" s="595">
        <f>WWWW[[#This Row],['#_Constructed/Existing hand washing stations]]-WWWW[[#This Row],['#_Non-Functional_hand_washing_stations]]</f>
        <v>0</v>
      </c>
      <c r="DF385" s="757">
        <f>IF(WWWW[[#This Row],['# Functional hand washing stations during reporting period]]*20&gt;WWWW[[#This Row],[Total HH]],WWWW[[#This Row],[Total HH]],WWWW[[#This Row],['# Functional hand washing stations during reporting period]]*20)</f>
        <v>0</v>
      </c>
      <c r="DG385" s="585">
        <f>IF(WWWW[[#This Row],[Is sufficient soap available for TLS? (Yes/No)]]="yes",WWWW[[#This Row],['#_Constructed/Existing hand washing stations at TLS]],0)</f>
        <v>0</v>
      </c>
      <c r="DH385" s="585">
        <f>IF(WWWW[[#This Row],['# Functional hand washing stations during reporting period]]*100&gt;WWWW[[#This Row],[Total PoP ]],WWWW[[#This Row],[Total PoP ]],WWWW[[#This Row],['# Functional hand washing stations during reporting period]]*100)</f>
        <v>0</v>
      </c>
      <c r="DI385" s="585" t="str">
        <f>IF(OR(WWWW[[#This Row],['#_students at TLS_CFS]]="",WWWW[[#This Row],['#_students at TLS_CFS]]=0),"No","Yes")</f>
        <v>No</v>
      </c>
      <c r="DJ385" s="592">
        <f>VLOOKUP(WWWW[[#This Row],[Site Name]],SiteDB6[[Site Name]:[CCCM Management]],6,FALSE)</f>
        <v>0</v>
      </c>
      <c r="DK385" s="592">
        <f>VLOOKUP(WWWW[[#This Row],[Site Name]],SiteDB6[[Site Name]:[CCCM Focal Agency]],7,FALSE)</f>
        <v>0</v>
      </c>
      <c r="DL385" s="592" t="str">
        <f>VLOOKUP(WWWW[[#This Row],[Site Name]],SiteDB6[[Site Name]:[Location Type 1]],9,FALSE)</f>
        <v>Village</v>
      </c>
      <c r="DM385" s="592" t="str">
        <f>VLOOKUP(WWWW[[#This Row],[Site Name]],SiteDB6[[Site Name]:[Type of Accommodation]],10,FALSE)</f>
        <v>Village</v>
      </c>
      <c r="DN385" s="592" t="str">
        <f>VLOOKUP(WWWW[[#This Row],[Site Name]],SiteDB6[[Site Name]:[Ethnic or GCA/NGCA]],11,FALSE)</f>
        <v>Rakhine</v>
      </c>
      <c r="DO385" s="592">
        <f>VLOOKUP(WWWW[[#This Row],[Site Name]],SiteDB6[[Site Name]:[Lat]],12,FALSE)</f>
        <v>21.153581620000001</v>
      </c>
      <c r="DP385" s="592">
        <f>VLOOKUP(WWWW[[#This Row],[Site Name]],SiteDB6[[Site Name]:[Long]],13,FALSE)</f>
        <v>92.250885010000005</v>
      </c>
      <c r="DQ385" s="592">
        <f>VLOOKUP(WWWW[[#This Row],[Site Name]],SiteDB6[[Site Name]:[Pcode]],3,FALSE)</f>
        <v>220747</v>
      </c>
      <c r="DR385" s="586" t="str">
        <f t="shared" si="13"/>
        <v>Covered</v>
      </c>
      <c r="DS385" s="586"/>
      <c r="DV385" s="572"/>
    </row>
    <row r="386" spans="1:126">
      <c r="A386" s="552" t="s">
        <v>2518</v>
      </c>
      <c r="B386" s="599" t="s">
        <v>326</v>
      </c>
      <c r="C386" s="599" t="s">
        <v>326</v>
      </c>
      <c r="D386" s="584" t="s">
        <v>2996</v>
      </c>
      <c r="E386" s="574" t="s">
        <v>3005</v>
      </c>
      <c r="F386" s="584" t="s">
        <v>323</v>
      </c>
      <c r="G386" s="581" t="str">
        <f>VLOOKUP(WWWW[[#This Row],[Site Name]],SiteDB6[[Site Name]:[Location Type]],8,FALSE)</f>
        <v>Village</v>
      </c>
      <c r="H386" s="584" t="s">
        <v>2067</v>
      </c>
      <c r="I386" s="312">
        <v>144</v>
      </c>
      <c r="J386" s="312">
        <v>742</v>
      </c>
      <c r="K386" s="593">
        <v>44134</v>
      </c>
      <c r="L386" s="58"/>
      <c r="M386" s="312"/>
      <c r="N386" s="312"/>
      <c r="O386" s="312"/>
      <c r="P386" s="312"/>
      <c r="Q386" s="585"/>
      <c r="R386" s="312"/>
      <c r="S386" s="312"/>
      <c r="T386" s="312"/>
      <c r="U386" s="312"/>
      <c r="V386" s="312"/>
      <c r="W386" s="312"/>
      <c r="X386" s="312"/>
      <c r="Y386" s="312"/>
      <c r="Z386" s="312"/>
      <c r="AA386" s="312"/>
      <c r="AB386" s="312"/>
      <c r="AC386" s="312"/>
      <c r="AD386" s="312"/>
      <c r="AE386" s="312"/>
      <c r="AF386" s="312"/>
      <c r="AG386" s="312"/>
      <c r="AH386" s="312"/>
      <c r="AI386" s="312"/>
      <c r="AJ386" s="312"/>
      <c r="AK386" s="312"/>
      <c r="AL386" s="312"/>
      <c r="AM386" s="312"/>
      <c r="AN386" s="312"/>
      <c r="AO386" s="586"/>
      <c r="AP386" s="312"/>
      <c r="AQ386" s="312"/>
      <c r="AR386" s="594"/>
      <c r="AS386" s="312"/>
      <c r="AT386" s="312"/>
      <c r="AU386" s="312"/>
      <c r="AV386" s="312"/>
      <c r="AW386" s="312"/>
      <c r="AX386" s="592"/>
      <c r="AY386" s="586"/>
      <c r="AZ386" s="312"/>
      <c r="BA386" s="312"/>
      <c r="BB386" s="312"/>
      <c r="BC386" s="592"/>
      <c r="BD386" s="312"/>
      <c r="BE386" s="312"/>
      <c r="BF386" s="312"/>
      <c r="BG386" s="312"/>
      <c r="BH386" s="312"/>
      <c r="BI386" s="312"/>
      <c r="BJ386" s="312"/>
      <c r="BK386" s="312"/>
      <c r="BL386" s="312"/>
      <c r="BM386" s="592"/>
      <c r="BN386" s="595"/>
      <c r="BO386" s="594"/>
      <c r="BP386" s="592"/>
      <c r="BQ386" s="596" t="str">
        <f>IFERROR(WWWW[[#This Row],['#_Water sources treated]]/WWWW[[#This Row],['#_Water sources tested for contamination]],"no test")</f>
        <v>no test</v>
      </c>
      <c r="BR386" s="594" t="str">
        <f>IFERROR(WWWW[[#This Row],['#_Household received remediation action due to contamination]]/WWWW[[#This Row],['#_Household water samples tested for contamination]],"no test")</f>
        <v>no test</v>
      </c>
      <c r="BS386" s="595" t="str">
        <f>IF(AND(WWWW[[#This Row],[% of water sources treated]]="no test",WWWW[[#This Row],[% Household received corrective actions]]="no test"),"No Test","Tested")</f>
        <v>No Test</v>
      </c>
      <c r="BT386" s="595">
        <f>WWWW[[#This Row],['#_Constructed/existing protected hand dug well]]-WWWW[[#This Row],['#_Non-functional protected hand dug well]]</f>
        <v>0</v>
      </c>
      <c r="BU386" s="595">
        <f>(WWWW[[#This Row],['#_Constructed/Existing tube wells/boreholes/handpumps_WASH_agency]]+WWWW[[#This Row],['#_Non-Cluster partner water tube-wells/boreholes/handpumps]])-WWWW[[#This Row],['#_Non-functional tube wells/boreholes/handpumps]]</f>
        <v>0</v>
      </c>
      <c r="BV386" s="595">
        <f>WWWW[[#This Row],['#_Constructed/Existingwater storage tank with gravity fed reticulation system]]-WWWW[[#This Row],['#_Non-functional storage tank gravity fed reticulation system]]</f>
        <v>0</v>
      </c>
      <c r="BW386" s="595">
        <f>WWWW[[#This Row],['#_Water boating or water trucking]]</f>
        <v>0</v>
      </c>
      <c r="BX386" s="595">
        <f>WWWW[[#This Row],['#_Constructed/Existing water distribution system from river or natural spring]]</f>
        <v>0</v>
      </c>
      <c r="BY386"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6"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6" s="594">
        <f>IF(WWWW[[#This Row],[Location Type 1]]="Village",WWWW[[#This Row],[Access to safe drinking water for Village]],WWWW[[#This Row],[Access to safe drinking water for Camp]])</f>
        <v>0</v>
      </c>
      <c r="CB386" s="585">
        <f>WWWW[[#This Row],[%Equitable and continuous access to sufficient quantity of safe drinking water]]*WWWW[[#This Row],[Total PoP ]]</f>
        <v>0</v>
      </c>
      <c r="CC386" s="594">
        <f>IF((WWWW[[#This Row],['#_Constructed/Existing protected/fenced ponds]]*250)/WWWW[[#This Row],[Total PoP ]]&gt;1,1,(WWWW[[#This Row],['#_Constructed/Existing protected/fenced ponds]]*250)/WWWW[[#This Row],[Total PoP ]])</f>
        <v>0</v>
      </c>
      <c r="CD386" s="585">
        <f>WWWW[[#This Row],[% Access to unimproved water points]]*WWWW[[#This Row],[Total PoP ]]</f>
        <v>0</v>
      </c>
      <c r="CE386"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6"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6" s="585">
        <f>WWWW[[#This Row],[HRP1]]/500</f>
        <v>0</v>
      </c>
      <c r="CH386" s="597">
        <f>1-WWWW[[#This Row],[% Equitable and continuous access to sufficient quantity of domestic water]]</f>
        <v>1</v>
      </c>
      <c r="CI386" s="585">
        <f>WWWW[[#This Row],[%equitable and continuous access to sufficient quantity of safe drinking and domestic water''s GAP]]*WWWW[[#This Row],[Total PoP ]]</f>
        <v>742</v>
      </c>
      <c r="CJ386" s="595">
        <f>IF(WWWW[[#This Row],[Total required water points]]-WWWW[[#This Row],['#Water points coverage]]&lt;0,0,WWWW[[#This Row],[Total required water points]]-WWWW[[#This Row],['#Water points coverage]])</f>
        <v>1</v>
      </c>
      <c r="CK386" s="595">
        <f>ROUND(IF(WWWW[[#This Row],[Total PoP ]]&lt;500,1,WWWW[[#This Row],[Total PoP ]]/500),0)</f>
        <v>1</v>
      </c>
      <c r="CL386" s="595">
        <f>(WWWW[[#This Row],['#_Constructed latrines_by_WASHAgencies]]+WWWW[[#This Row],['#_Non Cluster partner latrines]])-WWWW[[#This Row],['#_Non-functional latrines]]</f>
        <v>0</v>
      </c>
      <c r="CM386"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6"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6"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6" s="595" t="str">
        <f>IF(WWWW[[#This Row],[Location Type 1]]="Village","NA",IF(WWWW[[#This Row],['#_Constructed/Existing latrines in TLS]]*50&gt;WWWW[[#This Row],['#_students at TLS_CFS]],WWWW[[#This Row],['#_students at TLS_CFS]],(WWWW[[#This Row],['#_Constructed/Existing latrines in TLS]]*50)))</f>
        <v>NA</v>
      </c>
      <c r="CQ386" s="595">
        <f>ROUND(IF(WWWW[[#This Row],[Location Type 1]]="camp",WWWW[[#This Row],[Total PoP ]]/20,IF(WWWW[[#This Row],[Location Type 1]]="Temporary Location",WWWW[[#This Row],[Total PoP ]]/50,(WWWW[[#This Row],[Total PoP ]]/6))),0)</f>
        <v>124</v>
      </c>
      <c r="CR386" s="595">
        <f>IF(WWWW[[#This Row],[Total required Latrines]]-(WWWW[[#This Row],['#_Constructed latrines_by_WASHAgencies]]+WWWW[[#This Row],['#_Non Cluster partner latrines]])&lt;0,0,WWWW[[#This Row],[Total required Latrines]]-(WWWW[[#This Row],['#_Constructed latrines_by_WASHAgencies]]+WWWW[[#This Row],['#_Non Cluster partner latrines]]))</f>
        <v>124</v>
      </c>
      <c r="CS386" s="78">
        <f>1-WWWW[[#This Row],[% people access to functioning Latrine]]</f>
        <v>1</v>
      </c>
      <c r="CT386" s="596">
        <f>IF(OR(WWWW[[#This Row],['#_Non-functional latrines]]="",WWWW[[#This Row],['#_Non-functional latrines]]=0),0,WWWW[[#This Row],['#_Non-functional latrines]]/(WWWW[[#This Row],['#_Constructed latrines_by_WASHAgencies]]+WWWW[[#This Row],['#_Non Cluster partner latrines]]))</f>
        <v>0</v>
      </c>
      <c r="CU386" s="585">
        <f>IF(500*(WWWW[[#This Row],['#_male hygiene promoters]]+WWWW[[#This Row],['#_female hygiene promoters]])&gt;WWWW[[#This Row],[Total PoP ]],WWWW[[#This Row],[Total PoP ]],500*(WWWW[[#This Row],['#_male hygiene promoters]]+WWWW[[#This Row],['#_female hygiene promoters]]))</f>
        <v>0</v>
      </c>
      <c r="CV386"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6"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6" s="595">
        <f>IF(WWWW[[#This Row],['# People with access to soap]]&gt;WWWW[[#This Row],['# People with access to Sanity Pads]],WWWW[[#This Row],['# People with access to soap]],WWWW[[#This Row],['# People with access to Sanity Pads]])</f>
        <v>0</v>
      </c>
      <c r="CY386"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6" s="597">
        <f>IF(WWWW[[#This Row],[HRP3]]/WWWW[[#This Row],[Total PoP ]]&gt;100%,100%,WWWW[[#This Row],[HRP3]]/WWWW[[#This Row],[Total PoP ]])</f>
        <v>0</v>
      </c>
      <c r="DA386" s="596">
        <f>1-WWWW[[#This Row],[Hygiene Coverage%]]</f>
        <v>1</v>
      </c>
      <c r="DB386" s="594">
        <f>WWWW[[#This Row],['# people reached by regular dedicated hygiene promotion_5]]/WWWW[[#This Row],[Total PoP ]]</f>
        <v>0</v>
      </c>
      <c r="DC386" s="594">
        <f>IF(WWWW[[#This Row],['#_households that received standard amount of soap for this quarter]]/WWWW[[#This Row],[Total HH]]&gt;1,1,WWWW[[#This Row],['#_households that received standard amount of soap for this quarter]]/WWWW[[#This Row],[Total HH]])</f>
        <v>0</v>
      </c>
      <c r="DD386" s="594">
        <f>IF(WWWW[[#This Row],['#_households that received standard amount of sanitary pads for this quarter]]/WWWW[[#This Row],[Total HH]]&gt;1,1,WWWW[[#This Row],['#_households that received standard amount of sanitary pads for this quarter]]/WWWW[[#This Row],[Total HH]])</f>
        <v>0</v>
      </c>
      <c r="DE386" s="595">
        <f>WWWW[[#This Row],['#_Constructed/Existing hand washing stations]]-WWWW[[#This Row],['#_Non-Functional_hand_washing_stations]]</f>
        <v>0</v>
      </c>
      <c r="DF386" s="757">
        <f>IF(WWWW[[#This Row],['# Functional hand washing stations during reporting period]]*20&gt;WWWW[[#This Row],[Total HH]],WWWW[[#This Row],[Total HH]],WWWW[[#This Row],['# Functional hand washing stations during reporting period]]*20)</f>
        <v>0</v>
      </c>
      <c r="DG386" s="585">
        <f>IF(WWWW[[#This Row],[Is sufficient soap available for TLS? (Yes/No)]]="yes",WWWW[[#This Row],['#_Constructed/Existing hand washing stations at TLS]],0)</f>
        <v>0</v>
      </c>
      <c r="DH386" s="585">
        <f>IF(WWWW[[#This Row],['# Functional hand washing stations during reporting period]]*100&gt;WWWW[[#This Row],[Total PoP ]],WWWW[[#This Row],[Total PoP ]],WWWW[[#This Row],['# Functional hand washing stations during reporting period]]*100)</f>
        <v>0</v>
      </c>
      <c r="DI386" s="585" t="str">
        <f>IF(OR(WWWW[[#This Row],['#_students at TLS_CFS]]="",WWWW[[#This Row],['#_students at TLS_CFS]]=0),"No","Yes")</f>
        <v>No</v>
      </c>
      <c r="DJ386" s="592">
        <f>VLOOKUP(WWWW[[#This Row],[Site Name]],SiteDB6[[Site Name]:[CCCM Management]],6,FALSE)</f>
        <v>0</v>
      </c>
      <c r="DK386" s="592">
        <f>VLOOKUP(WWWW[[#This Row],[Site Name]],SiteDB6[[Site Name]:[CCCM Focal Agency]],7,FALSE)</f>
        <v>0</v>
      </c>
      <c r="DL386" s="592" t="str">
        <f>VLOOKUP(WWWW[[#This Row],[Site Name]],SiteDB6[[Site Name]:[Location Type 1]],9,FALSE)</f>
        <v>Village</v>
      </c>
      <c r="DM386" s="592" t="str">
        <f>VLOOKUP(WWWW[[#This Row],[Site Name]],SiteDB6[[Site Name]:[Type of Accommodation]],10,FALSE)</f>
        <v>Village</v>
      </c>
      <c r="DN386" s="592" t="str">
        <f>VLOOKUP(WWWW[[#This Row],[Site Name]],SiteDB6[[Site Name]:[Ethnic or GCA/NGCA]],11,FALSE)</f>
        <v>Rakhine</v>
      </c>
      <c r="DO386" s="592">
        <f>VLOOKUP(WWWW[[#This Row],[Site Name]],SiteDB6[[Site Name]:[Lat]],12,FALSE)</f>
        <v>21.177719119999999</v>
      </c>
      <c r="DP386" s="592">
        <f>VLOOKUP(WWWW[[#This Row],[Site Name]],SiteDB6[[Site Name]:[Long]],13,FALSE)</f>
        <v>92.239547729999998</v>
      </c>
      <c r="DQ386" s="592">
        <f>VLOOKUP(WWWW[[#This Row],[Site Name]],SiteDB6[[Site Name]:[Pcode]],3,FALSE)</f>
        <v>198101</v>
      </c>
      <c r="DR386" s="586" t="str">
        <f t="shared" si="13"/>
        <v>Covered</v>
      </c>
      <c r="DS386" s="586"/>
      <c r="DV386" s="572"/>
    </row>
    <row r="387" spans="1:126">
      <c r="A387" s="552" t="s">
        <v>2518</v>
      </c>
      <c r="B387" s="599" t="s">
        <v>317</v>
      </c>
      <c r="C387" s="599" t="s">
        <v>317</v>
      </c>
      <c r="D387" s="584"/>
      <c r="E387" s="574" t="s">
        <v>3006</v>
      </c>
      <c r="F387" s="584" t="s">
        <v>330</v>
      </c>
      <c r="G387" s="581" t="str">
        <f>VLOOKUP(WWWW[[#This Row],[Site Name]],SiteDB6[[Site Name]:[Location Type]],8,FALSE)</f>
        <v>Village</v>
      </c>
      <c r="H387" s="584" t="s">
        <v>478</v>
      </c>
      <c r="I387" s="312">
        <v>280</v>
      </c>
      <c r="J387" s="312">
        <v>1423</v>
      </c>
      <c r="K387" s="593"/>
      <c r="L387" s="58"/>
      <c r="M387" s="312"/>
      <c r="N387" s="312"/>
      <c r="O387" s="312"/>
      <c r="P387" s="312"/>
      <c r="Q387" s="585"/>
      <c r="R387" s="312"/>
      <c r="S387" s="312"/>
      <c r="T387" s="312"/>
      <c r="U387" s="312"/>
      <c r="V387" s="312"/>
      <c r="W387" s="312"/>
      <c r="X387" s="312"/>
      <c r="Y387" s="312"/>
      <c r="Z387" s="312"/>
      <c r="AA387" s="312"/>
      <c r="AB387" s="312"/>
      <c r="AC387" s="312"/>
      <c r="AD387" s="312"/>
      <c r="AE387" s="312"/>
      <c r="AF387" s="312"/>
      <c r="AG387" s="312"/>
      <c r="AH387" s="312"/>
      <c r="AI387" s="312"/>
      <c r="AJ387" s="312"/>
      <c r="AK387" s="312"/>
      <c r="AL387" s="312"/>
      <c r="AM387" s="312"/>
      <c r="AN387" s="312"/>
      <c r="AO387" s="586"/>
      <c r="AP387" s="312"/>
      <c r="AQ387" s="312"/>
      <c r="AR387" s="594"/>
      <c r="AS387" s="312"/>
      <c r="AT387" s="312"/>
      <c r="AU387" s="312"/>
      <c r="AV387" s="312"/>
      <c r="AW387" s="312"/>
      <c r="AX387" s="592"/>
      <c r="AY387" s="586"/>
      <c r="AZ387" s="312"/>
      <c r="BA387" s="312"/>
      <c r="BB387" s="312"/>
      <c r="BC387" s="592"/>
      <c r="BD387" s="312"/>
      <c r="BE387" s="312"/>
      <c r="BF387" s="312"/>
      <c r="BG387" s="312"/>
      <c r="BH387" s="312"/>
      <c r="BI387" s="312"/>
      <c r="BJ387" s="312"/>
      <c r="BK387" s="312"/>
      <c r="BL387" s="312"/>
      <c r="BM387" s="592"/>
      <c r="BN387" s="595"/>
      <c r="BO387" s="594"/>
      <c r="BP387" s="592"/>
      <c r="BQ387" s="596" t="str">
        <f>IFERROR(WWWW[[#This Row],['#_Water sources treated]]/WWWW[[#This Row],['#_Water sources tested for contamination]],"no test")</f>
        <v>no test</v>
      </c>
      <c r="BR387" s="594" t="str">
        <f>IFERROR(WWWW[[#This Row],['#_Household received remediation action due to contamination]]/WWWW[[#This Row],['#_Household water samples tested for contamination]],"no test")</f>
        <v>no test</v>
      </c>
      <c r="BS387" s="595" t="str">
        <f>IF(AND(WWWW[[#This Row],[% of water sources treated]]="no test",WWWW[[#This Row],[% Household received corrective actions]]="no test"),"No Test","Tested")</f>
        <v>No Test</v>
      </c>
      <c r="BT387" s="595">
        <f>WWWW[[#This Row],['#_Constructed/existing protected hand dug well]]-WWWW[[#This Row],['#_Non-functional protected hand dug well]]</f>
        <v>0</v>
      </c>
      <c r="BU387" s="595">
        <f>(WWWW[[#This Row],['#_Constructed/Existing tube wells/boreholes/handpumps_WASH_agency]]+WWWW[[#This Row],['#_Non-Cluster partner water tube-wells/boreholes/handpumps]])-WWWW[[#This Row],['#_Non-functional tube wells/boreholes/handpumps]]</f>
        <v>0</v>
      </c>
      <c r="BV387" s="595">
        <f>WWWW[[#This Row],['#_Constructed/Existingwater storage tank with gravity fed reticulation system]]-WWWW[[#This Row],['#_Non-functional storage tank gravity fed reticulation system]]</f>
        <v>0</v>
      </c>
      <c r="BW387" s="595">
        <f>WWWW[[#This Row],['#_Water boating or water trucking]]</f>
        <v>0</v>
      </c>
      <c r="BX387" s="595">
        <f>WWWW[[#This Row],['#_Constructed/Existing water distribution system from river or natural spring]]</f>
        <v>0</v>
      </c>
      <c r="BY387"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7"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7" s="594">
        <f>IF(WWWW[[#This Row],[Location Type 1]]="Village",WWWW[[#This Row],[Access to safe drinking water for Village]],WWWW[[#This Row],[Access to safe drinking water for Camp]])</f>
        <v>0</v>
      </c>
      <c r="CB387" s="585">
        <f>WWWW[[#This Row],[%Equitable and continuous access to sufficient quantity of safe drinking water]]*WWWW[[#This Row],[Total PoP ]]</f>
        <v>0</v>
      </c>
      <c r="CC387" s="594">
        <f>IF((WWWW[[#This Row],['#_Constructed/Existing protected/fenced ponds]]*250)/WWWW[[#This Row],[Total PoP ]]&gt;1,1,(WWWW[[#This Row],['#_Constructed/Existing protected/fenced ponds]]*250)/WWWW[[#This Row],[Total PoP ]])</f>
        <v>0</v>
      </c>
      <c r="CD387" s="585">
        <f>WWWW[[#This Row],[% Access to unimproved water points]]*WWWW[[#This Row],[Total PoP ]]</f>
        <v>0</v>
      </c>
      <c r="CE387"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7"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7" s="585">
        <f>WWWW[[#This Row],[HRP1]]/500</f>
        <v>0</v>
      </c>
      <c r="CH387" s="597">
        <f>1-WWWW[[#This Row],[% Equitable and continuous access to sufficient quantity of domestic water]]</f>
        <v>1</v>
      </c>
      <c r="CI387" s="585">
        <f>WWWW[[#This Row],[%equitable and continuous access to sufficient quantity of safe drinking and domestic water''s GAP]]*WWWW[[#This Row],[Total PoP ]]</f>
        <v>1423</v>
      </c>
      <c r="CJ387" s="595">
        <f>IF(WWWW[[#This Row],[Total required water points]]-WWWW[[#This Row],['#Water points coverage]]&lt;0,0,WWWW[[#This Row],[Total required water points]]-WWWW[[#This Row],['#Water points coverage]])</f>
        <v>3</v>
      </c>
      <c r="CK387" s="595">
        <f>ROUND(IF(WWWW[[#This Row],[Total PoP ]]&lt;500,1,WWWW[[#This Row],[Total PoP ]]/500),0)</f>
        <v>3</v>
      </c>
      <c r="CL387" s="595">
        <f>(WWWW[[#This Row],['#_Constructed latrines_by_WASHAgencies]]+WWWW[[#This Row],['#_Non Cluster partner latrines]])-WWWW[[#This Row],['#_Non-functional latrines]]</f>
        <v>0</v>
      </c>
      <c r="CM387"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7"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7"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7" s="595" t="str">
        <f>IF(WWWW[[#This Row],[Location Type 1]]="Village","NA",IF(WWWW[[#This Row],['#_Constructed/Existing latrines in TLS]]*50&gt;WWWW[[#This Row],['#_students at TLS_CFS]],WWWW[[#This Row],['#_students at TLS_CFS]],(WWWW[[#This Row],['#_Constructed/Existing latrines in TLS]]*50)))</f>
        <v>NA</v>
      </c>
      <c r="CQ387" s="595">
        <f>ROUND(IF(WWWW[[#This Row],[Location Type 1]]="camp",WWWW[[#This Row],[Total PoP ]]/20,IF(WWWW[[#This Row],[Location Type 1]]="Temporary Location",WWWW[[#This Row],[Total PoP ]]/50,(WWWW[[#This Row],[Total PoP ]]/6))),0)</f>
        <v>237</v>
      </c>
      <c r="CR387" s="595">
        <f>IF(WWWW[[#This Row],[Total required Latrines]]-(WWWW[[#This Row],['#_Constructed latrines_by_WASHAgencies]]+WWWW[[#This Row],['#_Non Cluster partner latrines]])&lt;0,0,WWWW[[#This Row],[Total required Latrines]]-(WWWW[[#This Row],['#_Constructed latrines_by_WASHAgencies]]+WWWW[[#This Row],['#_Non Cluster partner latrines]]))</f>
        <v>237</v>
      </c>
      <c r="CS387" s="78">
        <f>1-WWWW[[#This Row],[% people access to functioning Latrine]]</f>
        <v>1</v>
      </c>
      <c r="CT387" s="596">
        <f>IF(OR(WWWW[[#This Row],['#_Non-functional latrines]]="",WWWW[[#This Row],['#_Non-functional latrines]]=0),0,WWWW[[#This Row],['#_Non-functional latrines]]/(WWWW[[#This Row],['#_Constructed latrines_by_WASHAgencies]]+WWWW[[#This Row],['#_Non Cluster partner latrines]]))</f>
        <v>0</v>
      </c>
      <c r="CU387" s="585">
        <f>IF(500*(WWWW[[#This Row],['#_male hygiene promoters]]+WWWW[[#This Row],['#_female hygiene promoters]])&gt;WWWW[[#This Row],[Total PoP ]],WWWW[[#This Row],[Total PoP ]],500*(WWWW[[#This Row],['#_male hygiene promoters]]+WWWW[[#This Row],['#_female hygiene promoters]]))</f>
        <v>0</v>
      </c>
      <c r="CV387"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7"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7" s="595">
        <f>IF(WWWW[[#This Row],['# People with access to soap]]&gt;WWWW[[#This Row],['# People with access to Sanity Pads]],WWWW[[#This Row],['# People with access to soap]],WWWW[[#This Row],['# People with access to Sanity Pads]])</f>
        <v>0</v>
      </c>
      <c r="CY387"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7" s="597">
        <f>IF(WWWW[[#This Row],[HRP3]]/WWWW[[#This Row],[Total PoP ]]&gt;100%,100%,WWWW[[#This Row],[HRP3]]/WWWW[[#This Row],[Total PoP ]])</f>
        <v>0</v>
      </c>
      <c r="DA387" s="596">
        <f>1-WWWW[[#This Row],[Hygiene Coverage%]]</f>
        <v>1</v>
      </c>
      <c r="DB387" s="594">
        <f>WWWW[[#This Row],['# people reached by regular dedicated hygiene promotion_5]]/WWWW[[#This Row],[Total PoP ]]</f>
        <v>0</v>
      </c>
      <c r="DC387" s="594">
        <f>IF(WWWW[[#This Row],['#_households that received standard amount of soap for this quarter]]/WWWW[[#This Row],[Total HH]]&gt;1,1,WWWW[[#This Row],['#_households that received standard amount of soap for this quarter]]/WWWW[[#This Row],[Total HH]])</f>
        <v>0</v>
      </c>
      <c r="DD387" s="594">
        <f>IF(WWWW[[#This Row],['#_households that received standard amount of sanitary pads for this quarter]]/WWWW[[#This Row],[Total HH]]&gt;1,1,WWWW[[#This Row],['#_households that received standard amount of sanitary pads for this quarter]]/WWWW[[#This Row],[Total HH]])</f>
        <v>0</v>
      </c>
      <c r="DE387" s="595">
        <f>WWWW[[#This Row],['#_Constructed/Existing hand washing stations]]-WWWW[[#This Row],['#_Non-Functional_hand_washing_stations]]</f>
        <v>0</v>
      </c>
      <c r="DF387" s="757">
        <f>IF(WWWW[[#This Row],['# Functional hand washing stations during reporting period]]*20&gt;WWWW[[#This Row],[Total HH]],WWWW[[#This Row],[Total HH]],WWWW[[#This Row],['# Functional hand washing stations during reporting period]]*20)</f>
        <v>0</v>
      </c>
      <c r="DG387" s="585">
        <f>IF(WWWW[[#This Row],[Is sufficient soap available for TLS? (Yes/No)]]="yes",WWWW[[#This Row],['#_Constructed/Existing hand washing stations at TLS]],0)</f>
        <v>0</v>
      </c>
      <c r="DH387" s="585">
        <f>IF(WWWW[[#This Row],['# Functional hand washing stations during reporting period]]*100&gt;WWWW[[#This Row],[Total PoP ]],WWWW[[#This Row],[Total PoP ]],WWWW[[#This Row],['# Functional hand washing stations during reporting period]]*100)</f>
        <v>0</v>
      </c>
      <c r="DI387" s="585" t="str">
        <f>IF(OR(WWWW[[#This Row],['#_students at TLS_CFS]]="",WWWW[[#This Row],['#_students at TLS_CFS]]=0),"No","Yes")</f>
        <v>No</v>
      </c>
      <c r="DJ387" s="592">
        <f>VLOOKUP(WWWW[[#This Row],[Site Name]],SiteDB6[[Site Name]:[CCCM Management]],6,FALSE)</f>
        <v>0</v>
      </c>
      <c r="DK387" s="592">
        <f>VLOOKUP(WWWW[[#This Row],[Site Name]],SiteDB6[[Site Name]:[CCCM Focal Agency]],7,FALSE)</f>
        <v>0</v>
      </c>
      <c r="DL387" s="592" t="str">
        <f>VLOOKUP(WWWW[[#This Row],[Site Name]],SiteDB6[[Site Name]:[Location Type 1]],9,FALSE)</f>
        <v>Village</v>
      </c>
      <c r="DM387" s="592" t="str">
        <f>VLOOKUP(WWWW[[#This Row],[Site Name]],SiteDB6[[Site Name]:[Type of Accommodation]],10,FALSE)</f>
        <v>Returned</v>
      </c>
      <c r="DN387" s="592" t="str">
        <f>VLOOKUP(WWWW[[#This Row],[Site Name]],SiteDB6[[Site Name]:[Ethnic or GCA/NGCA]],11,FALSE)</f>
        <v>Muslim</v>
      </c>
      <c r="DO387" s="592">
        <f>VLOOKUP(WWWW[[#This Row],[Site Name]],SiteDB6[[Site Name]:[Lat]],12,FALSE)</f>
        <v>20.392137999999999</v>
      </c>
      <c r="DP387" s="592">
        <f>VLOOKUP(WWWW[[#This Row],[Site Name]],SiteDB6[[Site Name]:[Long]],13,FALSE)</f>
        <v>93.257272</v>
      </c>
      <c r="DQ387" s="592" t="str">
        <f>VLOOKUP(WWWW[[#This Row],[Site Name]],SiteDB6[[Site Name]:[Pcode]],3,FALSE)</f>
        <v>MMR012CMP002</v>
      </c>
      <c r="DR387" s="586" t="str">
        <f t="shared" si="13"/>
        <v>Notcovered</v>
      </c>
      <c r="DS387" s="586"/>
      <c r="DV387" s="572"/>
    </row>
    <row r="388" spans="1:126">
      <c r="A388" s="552" t="s">
        <v>2518</v>
      </c>
      <c r="B388" s="599" t="s">
        <v>317</v>
      </c>
      <c r="C388" s="599" t="s">
        <v>317</v>
      </c>
      <c r="D388" s="584"/>
      <c r="E388" s="574" t="s">
        <v>3005</v>
      </c>
      <c r="F388" s="584" t="s">
        <v>355</v>
      </c>
      <c r="G388" s="581" t="str">
        <f>VLOOKUP(WWWW[[#This Row],[Site Name]],SiteDB6[[Site Name]:[Location Type]],8,FALSE)</f>
        <v>Village</v>
      </c>
      <c r="H388" s="584" t="s">
        <v>484</v>
      </c>
      <c r="I388" s="312">
        <v>425</v>
      </c>
      <c r="J388" s="312">
        <v>2552</v>
      </c>
      <c r="K388" s="593"/>
      <c r="L388" s="58"/>
      <c r="M388" s="312"/>
      <c r="N388" s="312"/>
      <c r="O388" s="312"/>
      <c r="P388" s="312"/>
      <c r="Q388" s="585"/>
      <c r="R388" s="312"/>
      <c r="S388" s="312"/>
      <c r="T388" s="312"/>
      <c r="U388" s="312"/>
      <c r="V388" s="312"/>
      <c r="W388" s="312"/>
      <c r="X388" s="312"/>
      <c r="Y388" s="312"/>
      <c r="Z388" s="312"/>
      <c r="AA388" s="312"/>
      <c r="AB388" s="312"/>
      <c r="AC388" s="312"/>
      <c r="AD388" s="312"/>
      <c r="AE388" s="312"/>
      <c r="AF388" s="312"/>
      <c r="AG388" s="312"/>
      <c r="AH388" s="312"/>
      <c r="AI388" s="312"/>
      <c r="AJ388" s="312"/>
      <c r="AK388" s="312"/>
      <c r="AL388" s="312"/>
      <c r="AM388" s="312"/>
      <c r="AN388" s="312"/>
      <c r="AO388" s="586"/>
      <c r="AP388" s="312"/>
      <c r="AQ388" s="312"/>
      <c r="AR388" s="594"/>
      <c r="AS388" s="312"/>
      <c r="AT388" s="312"/>
      <c r="AU388" s="312"/>
      <c r="AV388" s="312"/>
      <c r="AW388" s="312"/>
      <c r="AX388" s="592"/>
      <c r="AY388" s="586"/>
      <c r="AZ388" s="312"/>
      <c r="BA388" s="312"/>
      <c r="BB388" s="312"/>
      <c r="BC388" s="592"/>
      <c r="BD388" s="312"/>
      <c r="BE388" s="312"/>
      <c r="BF388" s="312"/>
      <c r="BG388" s="312"/>
      <c r="BH388" s="312"/>
      <c r="BI388" s="312"/>
      <c r="BJ388" s="312"/>
      <c r="BK388" s="312"/>
      <c r="BL388" s="312"/>
      <c r="BM388" s="592"/>
      <c r="BN388" s="595"/>
      <c r="BO388" s="594"/>
      <c r="BP388" s="592"/>
      <c r="BQ388" s="596" t="str">
        <f>IFERROR(WWWW[[#This Row],['#_Water sources treated]]/WWWW[[#This Row],['#_Water sources tested for contamination]],"no test")</f>
        <v>no test</v>
      </c>
      <c r="BR388" s="594" t="str">
        <f>IFERROR(WWWW[[#This Row],['#_Household received remediation action due to contamination]]/WWWW[[#This Row],['#_Household water samples tested for contamination]],"no test")</f>
        <v>no test</v>
      </c>
      <c r="BS388" s="595" t="str">
        <f>IF(AND(WWWW[[#This Row],[% of water sources treated]]="no test",WWWW[[#This Row],[% Household received corrective actions]]="no test"),"No Test","Tested")</f>
        <v>No Test</v>
      </c>
      <c r="BT388" s="595">
        <f>WWWW[[#This Row],['#_Constructed/existing protected hand dug well]]-WWWW[[#This Row],['#_Non-functional protected hand dug well]]</f>
        <v>0</v>
      </c>
      <c r="BU388" s="595">
        <f>(WWWW[[#This Row],['#_Constructed/Existing tube wells/boreholes/handpumps_WASH_agency]]+WWWW[[#This Row],['#_Non-Cluster partner water tube-wells/boreholes/handpumps]])-WWWW[[#This Row],['#_Non-functional tube wells/boreholes/handpumps]]</f>
        <v>0</v>
      </c>
      <c r="BV388" s="595">
        <f>WWWW[[#This Row],['#_Constructed/Existingwater storage tank with gravity fed reticulation system]]-WWWW[[#This Row],['#_Non-functional storage tank gravity fed reticulation system]]</f>
        <v>0</v>
      </c>
      <c r="BW388" s="595">
        <f>WWWW[[#This Row],['#_Water boating or water trucking]]</f>
        <v>0</v>
      </c>
      <c r="BX388" s="595">
        <f>WWWW[[#This Row],['#_Constructed/Existing water distribution system from river or natural spring]]</f>
        <v>0</v>
      </c>
      <c r="BY388"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8"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8" s="594">
        <f>IF(WWWW[[#This Row],[Location Type 1]]="Village",WWWW[[#This Row],[Access to safe drinking water for Village]],WWWW[[#This Row],[Access to safe drinking water for Camp]])</f>
        <v>0</v>
      </c>
      <c r="CB388" s="585">
        <f>WWWW[[#This Row],[%Equitable and continuous access to sufficient quantity of safe drinking water]]*WWWW[[#This Row],[Total PoP ]]</f>
        <v>0</v>
      </c>
      <c r="CC388" s="594">
        <f>IF((WWWW[[#This Row],['#_Constructed/Existing protected/fenced ponds]]*250)/WWWW[[#This Row],[Total PoP ]]&gt;1,1,(WWWW[[#This Row],['#_Constructed/Existing protected/fenced ponds]]*250)/WWWW[[#This Row],[Total PoP ]])</f>
        <v>0</v>
      </c>
      <c r="CD388" s="585">
        <f>WWWW[[#This Row],[% Access to unimproved water points]]*WWWW[[#This Row],[Total PoP ]]</f>
        <v>0</v>
      </c>
      <c r="CE388"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8"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8" s="585">
        <f>WWWW[[#This Row],[HRP1]]/500</f>
        <v>0</v>
      </c>
      <c r="CH388" s="597">
        <f>1-WWWW[[#This Row],[% Equitable and continuous access to sufficient quantity of domestic water]]</f>
        <v>1</v>
      </c>
      <c r="CI388" s="585">
        <f>WWWW[[#This Row],[%equitable and continuous access to sufficient quantity of safe drinking and domestic water''s GAP]]*WWWW[[#This Row],[Total PoP ]]</f>
        <v>2552</v>
      </c>
      <c r="CJ388" s="595">
        <f>IF(WWWW[[#This Row],[Total required water points]]-WWWW[[#This Row],['#Water points coverage]]&lt;0,0,WWWW[[#This Row],[Total required water points]]-WWWW[[#This Row],['#Water points coverage]])</f>
        <v>5</v>
      </c>
      <c r="CK388" s="595">
        <f>ROUND(IF(WWWW[[#This Row],[Total PoP ]]&lt;500,1,WWWW[[#This Row],[Total PoP ]]/500),0)</f>
        <v>5</v>
      </c>
      <c r="CL388" s="595">
        <f>(WWWW[[#This Row],['#_Constructed latrines_by_WASHAgencies]]+WWWW[[#This Row],['#_Non Cluster partner latrines]])-WWWW[[#This Row],['#_Non-functional latrines]]</f>
        <v>0</v>
      </c>
      <c r="CM388"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8"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8"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8" s="595" t="str">
        <f>IF(WWWW[[#This Row],[Location Type 1]]="Village","NA",IF(WWWW[[#This Row],['#_Constructed/Existing latrines in TLS]]*50&gt;WWWW[[#This Row],['#_students at TLS_CFS]],WWWW[[#This Row],['#_students at TLS_CFS]],(WWWW[[#This Row],['#_Constructed/Existing latrines in TLS]]*50)))</f>
        <v>NA</v>
      </c>
      <c r="CQ388" s="595">
        <f>ROUND(IF(WWWW[[#This Row],[Location Type 1]]="camp",WWWW[[#This Row],[Total PoP ]]/20,IF(WWWW[[#This Row],[Location Type 1]]="Temporary Location",WWWW[[#This Row],[Total PoP ]]/50,(WWWW[[#This Row],[Total PoP ]]/6))),0)</f>
        <v>425</v>
      </c>
      <c r="CR388" s="595">
        <f>IF(WWWW[[#This Row],[Total required Latrines]]-(WWWW[[#This Row],['#_Constructed latrines_by_WASHAgencies]]+WWWW[[#This Row],['#_Non Cluster partner latrines]])&lt;0,0,WWWW[[#This Row],[Total required Latrines]]-(WWWW[[#This Row],['#_Constructed latrines_by_WASHAgencies]]+WWWW[[#This Row],['#_Non Cluster partner latrines]]))</f>
        <v>425</v>
      </c>
      <c r="CS388" s="78">
        <f>1-WWWW[[#This Row],[% people access to functioning Latrine]]</f>
        <v>1</v>
      </c>
      <c r="CT388" s="596">
        <f>IF(OR(WWWW[[#This Row],['#_Non-functional latrines]]="",WWWW[[#This Row],['#_Non-functional latrines]]=0),0,WWWW[[#This Row],['#_Non-functional latrines]]/(WWWW[[#This Row],['#_Constructed latrines_by_WASHAgencies]]+WWWW[[#This Row],['#_Non Cluster partner latrines]]))</f>
        <v>0</v>
      </c>
      <c r="CU388" s="585">
        <f>IF(500*(WWWW[[#This Row],['#_male hygiene promoters]]+WWWW[[#This Row],['#_female hygiene promoters]])&gt;WWWW[[#This Row],[Total PoP ]],WWWW[[#This Row],[Total PoP ]],500*(WWWW[[#This Row],['#_male hygiene promoters]]+WWWW[[#This Row],['#_female hygiene promoters]]))</f>
        <v>0</v>
      </c>
      <c r="CV388"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8"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8" s="595">
        <f>IF(WWWW[[#This Row],['# People with access to soap]]&gt;WWWW[[#This Row],['# People with access to Sanity Pads]],WWWW[[#This Row],['# People with access to soap]],WWWW[[#This Row],['# People with access to Sanity Pads]])</f>
        <v>0</v>
      </c>
      <c r="CY388"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8" s="597">
        <f>IF(WWWW[[#This Row],[HRP3]]/WWWW[[#This Row],[Total PoP ]]&gt;100%,100%,WWWW[[#This Row],[HRP3]]/WWWW[[#This Row],[Total PoP ]])</f>
        <v>0</v>
      </c>
      <c r="DA388" s="596">
        <f>1-WWWW[[#This Row],[Hygiene Coverage%]]</f>
        <v>1</v>
      </c>
      <c r="DB388" s="594">
        <f>WWWW[[#This Row],['# people reached by regular dedicated hygiene promotion_5]]/WWWW[[#This Row],[Total PoP ]]</f>
        <v>0</v>
      </c>
      <c r="DC388" s="594">
        <f>IF(WWWW[[#This Row],['#_households that received standard amount of soap for this quarter]]/WWWW[[#This Row],[Total HH]]&gt;1,1,WWWW[[#This Row],['#_households that received standard amount of soap for this quarter]]/WWWW[[#This Row],[Total HH]])</f>
        <v>0</v>
      </c>
      <c r="DD388" s="594">
        <f>IF(WWWW[[#This Row],['#_households that received standard amount of sanitary pads for this quarter]]/WWWW[[#This Row],[Total HH]]&gt;1,1,WWWW[[#This Row],['#_households that received standard amount of sanitary pads for this quarter]]/WWWW[[#This Row],[Total HH]])</f>
        <v>0</v>
      </c>
      <c r="DE388" s="595">
        <f>WWWW[[#This Row],['#_Constructed/Existing hand washing stations]]-WWWW[[#This Row],['#_Non-Functional_hand_washing_stations]]</f>
        <v>0</v>
      </c>
      <c r="DF388" s="757">
        <f>IF(WWWW[[#This Row],['# Functional hand washing stations during reporting period]]*20&gt;WWWW[[#This Row],[Total HH]],WWWW[[#This Row],[Total HH]],WWWW[[#This Row],['# Functional hand washing stations during reporting period]]*20)</f>
        <v>0</v>
      </c>
      <c r="DG388" s="585">
        <f>IF(WWWW[[#This Row],[Is sufficient soap available for TLS? (Yes/No)]]="yes",WWWW[[#This Row],['#_Constructed/Existing hand washing stations at TLS]],0)</f>
        <v>0</v>
      </c>
      <c r="DH388" s="585">
        <f>IF(WWWW[[#This Row],['# Functional hand washing stations during reporting period]]*100&gt;WWWW[[#This Row],[Total PoP ]],WWWW[[#This Row],[Total PoP ]],WWWW[[#This Row],['# Functional hand washing stations during reporting period]]*100)</f>
        <v>0</v>
      </c>
      <c r="DI388" s="585" t="str">
        <f>IF(OR(WWWW[[#This Row],['#_students at TLS_CFS]]="",WWWW[[#This Row],['#_students at TLS_CFS]]=0),"No","Yes")</f>
        <v>No</v>
      </c>
      <c r="DJ388" s="592">
        <f>VLOOKUP(WWWW[[#This Row],[Site Name]],SiteDB6[[Site Name]:[CCCM Management]],6,FALSE)</f>
        <v>0</v>
      </c>
      <c r="DK388" s="592">
        <f>VLOOKUP(WWWW[[#This Row],[Site Name]],SiteDB6[[Site Name]:[CCCM Focal Agency]],7,FALSE)</f>
        <v>0</v>
      </c>
      <c r="DL388" s="592" t="str">
        <f>VLOOKUP(WWWW[[#This Row],[Site Name]],SiteDB6[[Site Name]:[Location Type 1]],9,FALSE)</f>
        <v>Village</v>
      </c>
      <c r="DM388" s="592" t="str">
        <f>VLOOKUP(WWWW[[#This Row],[Site Name]],SiteDB6[[Site Name]:[Type of Accommodation]],10,FALSE)</f>
        <v>Returned</v>
      </c>
      <c r="DN388" s="592" t="str">
        <f>VLOOKUP(WWWW[[#This Row],[Site Name]],SiteDB6[[Site Name]:[Ethnic or GCA/NGCA]],11,FALSE)</f>
        <v>Muslim</v>
      </c>
      <c r="DO388" s="592">
        <f>VLOOKUP(WWWW[[#This Row],[Site Name]],SiteDB6[[Site Name]:[Lat]],12,FALSE)</f>
        <v>20.399269</v>
      </c>
      <c r="DP388" s="592">
        <f>VLOOKUP(WWWW[[#This Row],[Site Name]],SiteDB6[[Site Name]:[Long]],13,FALSE)</f>
        <v>92.781294000000003</v>
      </c>
      <c r="DQ388" s="592" t="str">
        <f>VLOOKUP(WWWW[[#This Row],[Site Name]],SiteDB6[[Site Name]:[Pcode]],3,FALSE)</f>
        <v>MMR012CMP032</v>
      </c>
      <c r="DR388" s="586" t="str">
        <f t="shared" si="13"/>
        <v>Notcovered</v>
      </c>
      <c r="DS388" s="586"/>
      <c r="DV388" s="572"/>
    </row>
    <row r="389" spans="1:126">
      <c r="A389" s="552" t="s">
        <v>2518</v>
      </c>
      <c r="B389" s="599" t="s">
        <v>317</v>
      </c>
      <c r="C389" s="599" t="s">
        <v>317</v>
      </c>
      <c r="D389" s="584"/>
      <c r="E389" s="574" t="s">
        <v>3005</v>
      </c>
      <c r="F389" s="584" t="s">
        <v>355</v>
      </c>
      <c r="G389" s="581" t="str">
        <f>VLOOKUP(WWWW[[#This Row],[Site Name]],SiteDB6[[Site Name]:[Location Type]],8,FALSE)</f>
        <v>Village</v>
      </c>
      <c r="H389" s="584" t="s">
        <v>475</v>
      </c>
      <c r="I389" s="312">
        <v>292</v>
      </c>
      <c r="J389" s="312">
        <v>1751</v>
      </c>
      <c r="K389" s="593"/>
      <c r="L389" s="58"/>
      <c r="M389" s="312"/>
      <c r="N389" s="312"/>
      <c r="O389" s="312"/>
      <c r="P389" s="312"/>
      <c r="Q389" s="585"/>
      <c r="R389" s="312"/>
      <c r="S389" s="312"/>
      <c r="T389" s="312"/>
      <c r="U389" s="312"/>
      <c r="V389" s="312"/>
      <c r="W389" s="312"/>
      <c r="X389" s="312"/>
      <c r="Y389" s="312"/>
      <c r="Z389" s="312"/>
      <c r="AA389" s="312"/>
      <c r="AB389" s="312"/>
      <c r="AC389" s="312"/>
      <c r="AD389" s="312"/>
      <c r="AE389" s="312"/>
      <c r="AF389" s="312"/>
      <c r="AG389" s="312"/>
      <c r="AH389" s="312"/>
      <c r="AI389" s="312"/>
      <c r="AJ389" s="312"/>
      <c r="AK389" s="312"/>
      <c r="AL389" s="312"/>
      <c r="AM389" s="312"/>
      <c r="AN389" s="312"/>
      <c r="AO389" s="586"/>
      <c r="AP389" s="312"/>
      <c r="AQ389" s="312"/>
      <c r="AR389" s="594"/>
      <c r="AS389" s="312"/>
      <c r="AT389" s="312"/>
      <c r="AU389" s="312"/>
      <c r="AV389" s="312"/>
      <c r="AW389" s="312"/>
      <c r="AX389" s="592"/>
      <c r="AY389" s="586"/>
      <c r="AZ389" s="312"/>
      <c r="BA389" s="312"/>
      <c r="BB389" s="312"/>
      <c r="BC389" s="592"/>
      <c r="BD389" s="312"/>
      <c r="BE389" s="312"/>
      <c r="BF389" s="312"/>
      <c r="BG389" s="312"/>
      <c r="BH389" s="312"/>
      <c r="BI389" s="312"/>
      <c r="BJ389" s="312"/>
      <c r="BK389" s="312"/>
      <c r="BL389" s="312"/>
      <c r="BM389" s="592"/>
      <c r="BN389" s="595"/>
      <c r="BO389" s="594"/>
      <c r="BP389" s="592"/>
      <c r="BQ389" s="596" t="str">
        <f>IFERROR(WWWW[[#This Row],['#_Water sources treated]]/WWWW[[#This Row],['#_Water sources tested for contamination]],"no test")</f>
        <v>no test</v>
      </c>
      <c r="BR389" s="594" t="str">
        <f>IFERROR(WWWW[[#This Row],['#_Household received remediation action due to contamination]]/WWWW[[#This Row],['#_Household water samples tested for contamination]],"no test")</f>
        <v>no test</v>
      </c>
      <c r="BS389" s="595" t="str">
        <f>IF(AND(WWWW[[#This Row],[% of water sources treated]]="no test",WWWW[[#This Row],[% Household received corrective actions]]="no test"),"No Test","Tested")</f>
        <v>No Test</v>
      </c>
      <c r="BT389" s="595">
        <f>WWWW[[#This Row],['#_Constructed/existing protected hand dug well]]-WWWW[[#This Row],['#_Non-functional protected hand dug well]]</f>
        <v>0</v>
      </c>
      <c r="BU389" s="595">
        <f>(WWWW[[#This Row],['#_Constructed/Existing tube wells/boreholes/handpumps_WASH_agency]]+WWWW[[#This Row],['#_Non-Cluster partner water tube-wells/boreholes/handpumps]])-WWWW[[#This Row],['#_Non-functional tube wells/boreholes/handpumps]]</f>
        <v>0</v>
      </c>
      <c r="BV389" s="595">
        <f>WWWW[[#This Row],['#_Constructed/Existingwater storage tank with gravity fed reticulation system]]-WWWW[[#This Row],['#_Non-functional storage tank gravity fed reticulation system]]</f>
        <v>0</v>
      </c>
      <c r="BW389" s="595">
        <f>WWWW[[#This Row],['#_Water boating or water trucking]]</f>
        <v>0</v>
      </c>
      <c r="BX389" s="595">
        <f>WWWW[[#This Row],['#_Constructed/Existing water distribution system from river or natural spring]]</f>
        <v>0</v>
      </c>
      <c r="BY389"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89"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89" s="594">
        <f>IF(WWWW[[#This Row],[Location Type 1]]="Village",WWWW[[#This Row],[Access to safe drinking water for Village]],WWWW[[#This Row],[Access to safe drinking water for Camp]])</f>
        <v>0</v>
      </c>
      <c r="CB389" s="585">
        <f>WWWW[[#This Row],[%Equitable and continuous access to sufficient quantity of safe drinking water]]*WWWW[[#This Row],[Total PoP ]]</f>
        <v>0</v>
      </c>
      <c r="CC389" s="594">
        <f>IF((WWWW[[#This Row],['#_Constructed/Existing protected/fenced ponds]]*250)/WWWW[[#This Row],[Total PoP ]]&gt;1,1,(WWWW[[#This Row],['#_Constructed/Existing protected/fenced ponds]]*250)/WWWW[[#This Row],[Total PoP ]])</f>
        <v>0</v>
      </c>
      <c r="CD389" s="585">
        <f>WWWW[[#This Row],[% Access to unimproved water points]]*WWWW[[#This Row],[Total PoP ]]</f>
        <v>0</v>
      </c>
      <c r="CE389"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89"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89" s="585">
        <f>WWWW[[#This Row],[HRP1]]/500</f>
        <v>0</v>
      </c>
      <c r="CH389" s="597">
        <f>1-WWWW[[#This Row],[% Equitable and continuous access to sufficient quantity of domestic water]]</f>
        <v>1</v>
      </c>
      <c r="CI389" s="585">
        <f>WWWW[[#This Row],[%equitable and continuous access to sufficient quantity of safe drinking and domestic water''s GAP]]*WWWW[[#This Row],[Total PoP ]]</f>
        <v>1751</v>
      </c>
      <c r="CJ389" s="595">
        <f>IF(WWWW[[#This Row],[Total required water points]]-WWWW[[#This Row],['#Water points coverage]]&lt;0,0,WWWW[[#This Row],[Total required water points]]-WWWW[[#This Row],['#Water points coverage]])</f>
        <v>4</v>
      </c>
      <c r="CK389" s="595">
        <f>ROUND(IF(WWWW[[#This Row],[Total PoP ]]&lt;500,1,WWWW[[#This Row],[Total PoP ]]/500),0)</f>
        <v>4</v>
      </c>
      <c r="CL389" s="595">
        <f>(WWWW[[#This Row],['#_Constructed latrines_by_WASHAgencies]]+WWWW[[#This Row],['#_Non Cluster partner latrines]])-WWWW[[#This Row],['#_Non-functional latrines]]</f>
        <v>0</v>
      </c>
      <c r="CM389"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89"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89" s="598"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389" s="595" t="str">
        <f>IF(WWWW[[#This Row],[Location Type 1]]="Village","NA",IF(WWWW[[#This Row],['#_Constructed/Existing latrines in TLS]]*50&gt;WWWW[[#This Row],['#_students at TLS_CFS]],WWWW[[#This Row],['#_students at TLS_CFS]],(WWWW[[#This Row],['#_Constructed/Existing latrines in TLS]]*50)))</f>
        <v>NA</v>
      </c>
      <c r="CQ389" s="595">
        <f>ROUND(IF(WWWW[[#This Row],[Location Type 1]]="camp",WWWW[[#This Row],[Total PoP ]]/20,IF(WWWW[[#This Row],[Location Type 1]]="Temporary Location",WWWW[[#This Row],[Total PoP ]]/50,(WWWW[[#This Row],[Total PoP ]]/6))),0)</f>
        <v>292</v>
      </c>
      <c r="CR389" s="595">
        <f>IF(WWWW[[#This Row],[Total required Latrines]]-(WWWW[[#This Row],['#_Constructed latrines_by_WASHAgencies]]+WWWW[[#This Row],['#_Non Cluster partner latrines]])&lt;0,0,WWWW[[#This Row],[Total required Latrines]]-(WWWW[[#This Row],['#_Constructed latrines_by_WASHAgencies]]+WWWW[[#This Row],['#_Non Cluster partner latrines]]))</f>
        <v>292</v>
      </c>
      <c r="CS389" s="78">
        <f>1-WWWW[[#This Row],[% people access to functioning Latrine]]</f>
        <v>1</v>
      </c>
      <c r="CT389" s="596">
        <f>IF(OR(WWWW[[#This Row],['#_Non-functional latrines]]="",WWWW[[#This Row],['#_Non-functional latrines]]=0),0,WWWW[[#This Row],['#_Non-functional latrines]]/(WWWW[[#This Row],['#_Constructed latrines_by_WASHAgencies]]+WWWW[[#This Row],['#_Non Cluster partner latrines]]))</f>
        <v>0</v>
      </c>
      <c r="CU389" s="585">
        <f>IF(500*(WWWW[[#This Row],['#_male hygiene promoters]]+WWWW[[#This Row],['#_female hygiene promoters]])&gt;WWWW[[#This Row],[Total PoP ]],WWWW[[#This Row],[Total PoP ]],500*(WWWW[[#This Row],['#_male hygiene promoters]]+WWWW[[#This Row],['#_female hygiene promoters]]))</f>
        <v>0</v>
      </c>
      <c r="CV389"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89"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89" s="595">
        <f>IF(WWWW[[#This Row],['# People with access to soap]]&gt;WWWW[[#This Row],['# People with access to Sanity Pads]],WWWW[[#This Row],['# People with access to soap]],WWWW[[#This Row],['# People with access to Sanity Pads]])</f>
        <v>0</v>
      </c>
      <c r="CY389"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89" s="597">
        <f>IF(WWWW[[#This Row],[HRP3]]/WWWW[[#This Row],[Total PoP ]]&gt;100%,100%,WWWW[[#This Row],[HRP3]]/WWWW[[#This Row],[Total PoP ]])</f>
        <v>0</v>
      </c>
      <c r="DA389" s="596">
        <f>1-WWWW[[#This Row],[Hygiene Coverage%]]</f>
        <v>1</v>
      </c>
      <c r="DB389" s="594">
        <f>WWWW[[#This Row],['# people reached by regular dedicated hygiene promotion_5]]/WWWW[[#This Row],[Total PoP ]]</f>
        <v>0</v>
      </c>
      <c r="DC389" s="594">
        <f>IF(WWWW[[#This Row],['#_households that received standard amount of soap for this quarter]]/WWWW[[#This Row],[Total HH]]&gt;1,1,WWWW[[#This Row],['#_households that received standard amount of soap for this quarter]]/WWWW[[#This Row],[Total HH]])</f>
        <v>0</v>
      </c>
      <c r="DD389" s="594">
        <f>IF(WWWW[[#This Row],['#_households that received standard amount of sanitary pads for this quarter]]/WWWW[[#This Row],[Total HH]]&gt;1,1,WWWW[[#This Row],['#_households that received standard amount of sanitary pads for this quarter]]/WWWW[[#This Row],[Total HH]])</f>
        <v>0</v>
      </c>
      <c r="DE389" s="595">
        <f>WWWW[[#This Row],['#_Constructed/Existing hand washing stations]]-WWWW[[#This Row],['#_Non-Functional_hand_washing_stations]]</f>
        <v>0</v>
      </c>
      <c r="DF389" s="757">
        <f>IF(WWWW[[#This Row],['# Functional hand washing stations during reporting period]]*20&gt;WWWW[[#This Row],[Total HH]],WWWW[[#This Row],[Total HH]],WWWW[[#This Row],['# Functional hand washing stations during reporting period]]*20)</f>
        <v>0</v>
      </c>
      <c r="DG389" s="585">
        <f>IF(WWWW[[#This Row],[Is sufficient soap available for TLS? (Yes/No)]]="yes",WWWW[[#This Row],['#_Constructed/Existing hand washing stations at TLS]],0)</f>
        <v>0</v>
      </c>
      <c r="DH389" s="585">
        <f>IF(WWWW[[#This Row],['# Functional hand washing stations during reporting period]]*100&gt;WWWW[[#This Row],[Total PoP ]],WWWW[[#This Row],[Total PoP ]],WWWW[[#This Row],['# Functional hand washing stations during reporting period]]*100)</f>
        <v>0</v>
      </c>
      <c r="DI389" s="585" t="str">
        <f>IF(OR(WWWW[[#This Row],['#_students at TLS_CFS]]="",WWWW[[#This Row],['#_students at TLS_CFS]]=0),"No","Yes")</f>
        <v>No</v>
      </c>
      <c r="DJ389" s="592">
        <f>VLOOKUP(WWWW[[#This Row],[Site Name]],SiteDB6[[Site Name]:[CCCM Management]],6,FALSE)</f>
        <v>0</v>
      </c>
      <c r="DK389" s="592">
        <f>VLOOKUP(WWWW[[#This Row],[Site Name]],SiteDB6[[Site Name]:[CCCM Focal Agency]],7,FALSE)</f>
        <v>0</v>
      </c>
      <c r="DL389" s="592" t="str">
        <f>VLOOKUP(WWWW[[#This Row],[Site Name]],SiteDB6[[Site Name]:[Location Type 1]],9,FALSE)</f>
        <v>Village</v>
      </c>
      <c r="DM389" s="592" t="str">
        <f>VLOOKUP(WWWW[[#This Row],[Site Name]],SiteDB6[[Site Name]:[Type of Accommodation]],10,FALSE)</f>
        <v>Returned</v>
      </c>
      <c r="DN389" s="592" t="str">
        <f>VLOOKUP(WWWW[[#This Row],[Site Name]],SiteDB6[[Site Name]:[Ethnic or GCA/NGCA]],11,FALSE)</f>
        <v>Muslim</v>
      </c>
      <c r="DO389" s="592">
        <f>VLOOKUP(WWWW[[#This Row],[Site Name]],SiteDB6[[Site Name]:[Lat]],12,FALSE)</f>
        <v>20.335864000000001</v>
      </c>
      <c r="DP389" s="592">
        <f>VLOOKUP(WWWW[[#This Row],[Site Name]],SiteDB6[[Site Name]:[Long]],13,FALSE)</f>
        <v>92.785706000000005</v>
      </c>
      <c r="DQ389" s="592" t="str">
        <f>VLOOKUP(WWWW[[#This Row],[Site Name]],SiteDB6[[Site Name]:[Pcode]],3,FALSE)</f>
        <v>MMR012CMP031</v>
      </c>
      <c r="DR389" s="586" t="str">
        <f t="shared" si="13"/>
        <v>Notcovered</v>
      </c>
      <c r="DS389" s="586"/>
      <c r="DV389" s="572"/>
    </row>
    <row r="390" spans="1:126">
      <c r="A390" s="552" t="s">
        <v>2518</v>
      </c>
      <c r="B390" s="701" t="s">
        <v>3143</v>
      </c>
      <c r="C390" s="701" t="s">
        <v>3143</v>
      </c>
      <c r="D390" s="702"/>
      <c r="E390" s="703" t="s">
        <v>3006</v>
      </c>
      <c r="F390" s="702" t="s">
        <v>489</v>
      </c>
      <c r="G390" s="704" t="str">
        <f>VLOOKUP(WWWW[[#This Row],[Site Name]],SiteDB6[[Site Name]:[Location Type]],8,FALSE)</f>
        <v>New Temporary Site</v>
      </c>
      <c r="H390" s="702" t="s">
        <v>3217</v>
      </c>
      <c r="I390" s="705">
        <v>34</v>
      </c>
      <c r="J390" s="705">
        <v>128</v>
      </c>
      <c r="K390" s="706"/>
      <c r="L390" s="707"/>
      <c r="M390" s="705"/>
      <c r="N390" s="705"/>
      <c r="O390" s="705"/>
      <c r="P390" s="705"/>
      <c r="Q390" s="708"/>
      <c r="R390" s="705"/>
      <c r="S390" s="705"/>
      <c r="T390" s="312"/>
      <c r="U390" s="705"/>
      <c r="V390" s="705"/>
      <c r="W390" s="705"/>
      <c r="X390" s="705"/>
      <c r="Y390" s="705"/>
      <c r="Z390" s="705"/>
      <c r="AA390" s="705"/>
      <c r="AB390" s="705"/>
      <c r="AC390" s="705"/>
      <c r="AD390" s="705"/>
      <c r="AE390" s="705"/>
      <c r="AF390" s="705"/>
      <c r="AG390" s="705"/>
      <c r="AH390" s="705"/>
      <c r="AI390" s="705"/>
      <c r="AJ390" s="705"/>
      <c r="AK390" s="705"/>
      <c r="AL390" s="705"/>
      <c r="AM390" s="705"/>
      <c r="AN390" s="705"/>
      <c r="AO390" s="709"/>
      <c r="AP390" s="705">
        <v>10</v>
      </c>
      <c r="AQ390" s="705"/>
      <c r="AR390" s="710"/>
      <c r="AS390" s="705"/>
      <c r="AT390" s="705"/>
      <c r="AU390" s="705"/>
      <c r="AV390" s="705"/>
      <c r="AW390" s="705"/>
      <c r="AX390" s="711"/>
      <c r="AY390" s="709"/>
      <c r="AZ390" s="705"/>
      <c r="BA390" s="705"/>
      <c r="BB390" s="705"/>
      <c r="BC390" s="711"/>
      <c r="BD390" s="705"/>
      <c r="BE390" s="705"/>
      <c r="BF390" s="705"/>
      <c r="BG390" s="705"/>
      <c r="BH390" s="705"/>
      <c r="BI390" s="705"/>
      <c r="BJ390" s="705"/>
      <c r="BK390" s="705">
        <v>179</v>
      </c>
      <c r="BL390" s="705">
        <v>179</v>
      </c>
      <c r="BM390" s="711"/>
      <c r="BN390" s="712"/>
      <c r="BO390" s="710"/>
      <c r="BP390" s="711"/>
      <c r="BQ390" s="713" t="str">
        <f>IFERROR(WWWW[[#This Row],['#_Water sources treated]]/WWWW[[#This Row],['#_Water sources tested for contamination]],"no test")</f>
        <v>no test</v>
      </c>
      <c r="BR390" s="710" t="str">
        <f>IFERROR(WWWW[[#This Row],['#_Household received remediation action due to contamination]]/WWWW[[#This Row],['#_Household water samples tested for contamination]],"no test")</f>
        <v>no test</v>
      </c>
      <c r="BS390" s="712" t="str">
        <f>IF(AND(WWWW[[#This Row],[% of water sources treated]]="no test",WWWW[[#This Row],[% Household received corrective actions]]="no test"),"No Test","Tested")</f>
        <v>No Test</v>
      </c>
      <c r="BT390" s="712">
        <f>WWWW[[#This Row],['#_Constructed/existing protected hand dug well]]-WWWW[[#This Row],['#_Non-functional protected hand dug well]]</f>
        <v>0</v>
      </c>
      <c r="BU390" s="712">
        <f>(WWWW[[#This Row],['#_Constructed/Existing tube wells/boreholes/handpumps_WASH_agency]]+WWWW[[#This Row],['#_Non-Cluster partner water tube-wells/boreholes/handpumps]])-WWWW[[#This Row],['#_Non-functional tube wells/boreholes/handpumps]]</f>
        <v>0</v>
      </c>
      <c r="BV390" s="712">
        <f>WWWW[[#This Row],['#_Constructed/Existingwater storage tank with gravity fed reticulation system]]-WWWW[[#This Row],['#_Non-functional storage tank gravity fed reticulation system]]</f>
        <v>0</v>
      </c>
      <c r="BW390" s="712">
        <f>WWWW[[#This Row],['#_Water boating or water trucking]]</f>
        <v>0</v>
      </c>
      <c r="BX390" s="712">
        <f>WWWW[[#This Row],['#_Constructed/Existing water distribution system from river or natural spring]]</f>
        <v>0</v>
      </c>
      <c r="BY39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0" s="710">
        <f>IF(WWWW[[#This Row],[Location Type 1]]="Village",WWWW[[#This Row],[Access to safe drinking water for Village]],WWWW[[#This Row],[Access to safe drinking water for Camp]])</f>
        <v>0</v>
      </c>
      <c r="CB390" s="708">
        <f>WWWW[[#This Row],[%Equitable and continuous access to sufficient quantity of safe drinking water]]*WWWW[[#This Row],[Total PoP ]]</f>
        <v>0</v>
      </c>
      <c r="CC390" s="710">
        <f>IF((WWWW[[#This Row],['#_Constructed/Existing protected/fenced ponds]]*250)/WWWW[[#This Row],[Total PoP ]]&gt;1,1,(WWWW[[#This Row],['#_Constructed/Existing protected/fenced ponds]]*250)/WWWW[[#This Row],[Total PoP ]])</f>
        <v>0</v>
      </c>
      <c r="CD390" s="708">
        <f>WWWW[[#This Row],[% Access to unimproved water points]]*WWWW[[#This Row],[Total PoP ]]</f>
        <v>0</v>
      </c>
      <c r="CE39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0" s="708">
        <f>WWWW[[#This Row],[HRP1]]/500</f>
        <v>0</v>
      </c>
      <c r="CH390" s="714">
        <f>1-WWWW[[#This Row],[% Equitable and continuous access to sufficient quantity of domestic water]]</f>
        <v>1</v>
      </c>
      <c r="CI390" s="708">
        <f>WWWW[[#This Row],[%equitable and continuous access to sufficient quantity of safe drinking and domestic water''s GAP]]*WWWW[[#This Row],[Total PoP ]]</f>
        <v>128</v>
      </c>
      <c r="CJ390" s="712">
        <f>IF(WWWW[[#This Row],[Total required water points]]-WWWW[[#This Row],['#Water points coverage]]&lt;0,0,WWWW[[#This Row],[Total required water points]]-WWWW[[#This Row],['#Water points coverage]])</f>
        <v>1</v>
      </c>
      <c r="CK390" s="712">
        <f>ROUND(IF(WWWW[[#This Row],[Total PoP ]]&lt;500,1,WWWW[[#This Row],[Total PoP ]]/500),0)</f>
        <v>1</v>
      </c>
      <c r="CL390" s="712">
        <f>(WWWW[[#This Row],['#_Constructed latrines_by_WASHAgencies]]+WWWW[[#This Row],['#_Non Cluster partner latrines]])-WWWW[[#This Row],['#_Non-functional latrines]]</f>
        <v>10</v>
      </c>
      <c r="CM39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9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128</v>
      </c>
      <c r="CO39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0" s="712">
        <f>IF(WWWW[[#This Row],[Location Type 1]]="Village","NA",IF(WWWW[[#This Row],['#_Constructed/Existing latrines in TLS]]*50&gt;WWWW[[#This Row],['#_students at TLS_CFS]],WWWW[[#This Row],['#_students at TLS_CFS]],(WWWW[[#This Row],['#_Constructed/Existing latrines in TLS]]*50)))</f>
        <v>0</v>
      </c>
      <c r="CQ390" s="712">
        <f>ROUND(IF(WWWW[[#This Row],[Location Type 1]]="camp",WWWW[[#This Row],[Total PoP ]]/20,IF(WWWW[[#This Row],[Location Type 1]]="Temporary Location",WWWW[[#This Row],[Total PoP ]]/50,(WWWW[[#This Row],[Total PoP ]]/6))),0)</f>
        <v>3</v>
      </c>
      <c r="CR390" s="712">
        <f>IF(WWWW[[#This Row],[Total required Latrines]]-(WWWW[[#This Row],['#_Constructed latrines_by_WASHAgencies]]+WWWW[[#This Row],['#_Non Cluster partner latrines]])&lt;0,0,WWWW[[#This Row],[Total required Latrines]]-(WWWW[[#This Row],['#_Constructed latrines_by_WASHAgencies]]+WWWW[[#This Row],['#_Non Cluster partner latrines]]))</f>
        <v>0</v>
      </c>
      <c r="CS390" s="716">
        <f>1-WWWW[[#This Row],[% people access to functioning Latrine]]</f>
        <v>0</v>
      </c>
      <c r="CT390" s="713">
        <f>IF(OR(WWWW[[#This Row],['#_Non-functional latrines]]="",WWWW[[#This Row],['#_Non-functional latrines]]=0),0,WWWW[[#This Row],['#_Non-functional latrines]]/(WWWW[[#This Row],['#_Constructed latrines_by_WASHAgencies]]+WWWW[[#This Row],['#_Non Cluster partner latrines]]))</f>
        <v>0</v>
      </c>
      <c r="CU390" s="708">
        <f>IF(500*(WWWW[[#This Row],['#_male hygiene promoters]]+WWWW[[#This Row],['#_female hygiene promoters]])&gt;WWWW[[#This Row],[Total PoP ]],WWWW[[#This Row],[Total PoP ]],500*(WWWW[[#This Row],['#_male hygiene promoters]]+WWWW[[#This Row],['#_female hygiene promoters]]))</f>
        <v>0</v>
      </c>
      <c r="CV39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128</v>
      </c>
      <c r="CW39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128</v>
      </c>
      <c r="CX390" s="712">
        <f>IF(WWWW[[#This Row],['# People with access to soap]]&gt;WWWW[[#This Row],['# People with access to Sanity Pads]],WWWW[[#This Row],['# People with access to soap]],WWWW[[#This Row],['# People with access to Sanity Pads]])</f>
        <v>128</v>
      </c>
      <c r="CY390" s="712">
        <f>IF(WWWW[[#This Row],['# people reached by regular dedicated hygiene promotion_5]]&gt;WWWW[[#This Row],['# People received regular supply of hygiene items_6]],WWWW[[#This Row],['# people reached by regular dedicated hygiene promotion_5]],WWWW[[#This Row],['# People received regular supply of hygiene items_6]])</f>
        <v>128</v>
      </c>
      <c r="CZ390" s="714">
        <f>IF(WWWW[[#This Row],[HRP3]]/WWWW[[#This Row],[Total PoP ]]&gt;100%,100%,WWWW[[#This Row],[HRP3]]/WWWW[[#This Row],[Total PoP ]])</f>
        <v>1</v>
      </c>
      <c r="DA390" s="713">
        <f>1-WWWW[[#This Row],[Hygiene Coverage%]]</f>
        <v>0</v>
      </c>
      <c r="DB390" s="710">
        <f>WWWW[[#This Row],['# people reached by regular dedicated hygiene promotion_5]]/WWWW[[#This Row],[Total PoP ]]</f>
        <v>0</v>
      </c>
      <c r="DC390" s="710">
        <f>IF(WWWW[[#This Row],['#_households that received standard amount of soap for this quarter]]/WWWW[[#This Row],[Total HH]]&gt;1,1,WWWW[[#This Row],['#_households that received standard amount of soap for this quarter]]/WWWW[[#This Row],[Total HH]])</f>
        <v>1</v>
      </c>
      <c r="DD390" s="710">
        <f>IF(WWWW[[#This Row],['#_households that received standard amount of sanitary pads for this quarter]]/WWWW[[#This Row],[Total HH]]&gt;1,1,WWWW[[#This Row],['#_households that received standard amount of sanitary pads for this quarter]]/WWWW[[#This Row],[Total HH]])</f>
        <v>1</v>
      </c>
      <c r="DE390" s="712">
        <f>WWWW[[#This Row],['#_Constructed/Existing hand washing stations]]-WWWW[[#This Row],['#_Non-Functional_hand_washing_stations]]</f>
        <v>0</v>
      </c>
      <c r="DF390" s="757">
        <f>IF(WWWW[[#This Row],['# Functional hand washing stations during reporting period]]*20&gt;WWWW[[#This Row],[Total HH]],WWWW[[#This Row],[Total HH]],WWWW[[#This Row],['# Functional hand washing stations during reporting period]]*20)</f>
        <v>0</v>
      </c>
      <c r="DG390" s="708">
        <f>IF(WWWW[[#This Row],[Is sufficient soap available for TLS? (Yes/No)]]="yes",WWWW[[#This Row],['#_Constructed/Existing hand washing stations at TLS]],0)</f>
        <v>0</v>
      </c>
      <c r="DH390" s="585">
        <f>IF(WWWW[[#This Row],['# Functional hand washing stations during reporting period]]*100&gt;WWWW[[#This Row],[Total PoP ]],WWWW[[#This Row],[Total PoP ]],WWWW[[#This Row],['# Functional hand washing stations during reporting period]]*100)</f>
        <v>0</v>
      </c>
      <c r="DI390" s="585" t="str">
        <f>IF(OR(WWWW[[#This Row],['#_students at TLS_CFS]]="",WWWW[[#This Row],['#_students at TLS_CFS]]=0),"No","Yes")</f>
        <v>No</v>
      </c>
      <c r="DJ390" s="711">
        <f>VLOOKUP(WWWW[[#This Row],[Site Name]],SiteDB6[[Site Name]:[CCCM Management]],6,FALSE)</f>
        <v>0</v>
      </c>
      <c r="DK390" s="711">
        <f>VLOOKUP(WWWW[[#This Row],[Site Name]],SiteDB6[[Site Name]:[CCCM Focal Agency]],7,FALSE)</f>
        <v>0</v>
      </c>
      <c r="DL390" s="711" t="str">
        <f>VLOOKUP(WWWW[[#This Row],[Site Name]],SiteDB6[[Site Name]:[Location Type 1]],9,FALSE)</f>
        <v>Temporary location</v>
      </c>
      <c r="DM390" s="711" t="str">
        <f>VLOOKUP(WWWW[[#This Row],[Site Name]],SiteDB6[[Site Name]:[Type of Accommodation]],10,FALSE)</f>
        <v>Temporary location</v>
      </c>
      <c r="DN390" s="711">
        <f>VLOOKUP(WWWW[[#This Row],[Site Name]],SiteDB6[[Site Name]:[Ethnic or GCA/NGCA]],11,FALSE)</f>
        <v>0</v>
      </c>
      <c r="DO390" s="711">
        <f>VLOOKUP(WWWW[[#This Row],[Site Name]],SiteDB6[[Site Name]:[Lat]],12,FALSE)</f>
        <v>20.710781097412099</v>
      </c>
      <c r="DP390" s="711">
        <f>VLOOKUP(WWWW[[#This Row],[Site Name]],SiteDB6[[Site Name]:[Long]],13,FALSE)</f>
        <v>93.127502441406307</v>
      </c>
      <c r="DQ390" s="711">
        <f>VLOOKUP(WWWW[[#This Row],[Site Name]],SiteDB6[[Site Name]:[Pcode]],3,FALSE)</f>
        <v>196610</v>
      </c>
      <c r="DR390" s="709" t="str">
        <f t="shared" si="13"/>
        <v>Covered</v>
      </c>
      <c r="DS390" s="709"/>
      <c r="DV390" s="572"/>
    </row>
    <row r="391" spans="1:126">
      <c r="A391" s="552" t="s">
        <v>2518</v>
      </c>
      <c r="B391" s="808" t="s">
        <v>317</v>
      </c>
      <c r="C391" s="808" t="s">
        <v>317</v>
      </c>
      <c r="D391" s="702"/>
      <c r="E391" s="703" t="s">
        <v>3006</v>
      </c>
      <c r="F391" s="702" t="s">
        <v>489</v>
      </c>
      <c r="G391" s="704" t="str">
        <f>VLOOKUP(WWWW[[#This Row],[Site Name]],SiteDB6[[Site Name]:[Location Type]],8,FALSE)</f>
        <v>New Temporary Site</v>
      </c>
      <c r="H391" s="702" t="s">
        <v>3152</v>
      </c>
      <c r="I391" s="705">
        <v>79</v>
      </c>
      <c r="J391" s="705">
        <v>330</v>
      </c>
      <c r="K391" s="706"/>
      <c r="L391" s="707"/>
      <c r="M391" s="705"/>
      <c r="N391" s="705"/>
      <c r="O391" s="705"/>
      <c r="P391" s="705"/>
      <c r="Q391" s="708"/>
      <c r="R391" s="705"/>
      <c r="S391" s="705"/>
      <c r="T391" s="312"/>
      <c r="U391" s="705"/>
      <c r="V391" s="705"/>
      <c r="W391" s="705"/>
      <c r="X391" s="705"/>
      <c r="Y391" s="705"/>
      <c r="Z391" s="705"/>
      <c r="AA391" s="705"/>
      <c r="AB391" s="705"/>
      <c r="AC391" s="705"/>
      <c r="AD391" s="705"/>
      <c r="AE391" s="705"/>
      <c r="AF391" s="705"/>
      <c r="AG391" s="705"/>
      <c r="AH391" s="705"/>
      <c r="AI391" s="705"/>
      <c r="AJ391" s="705"/>
      <c r="AK391" s="705"/>
      <c r="AL391" s="705"/>
      <c r="AM391" s="705"/>
      <c r="AN391" s="705"/>
      <c r="AO391" s="709"/>
      <c r="AP391" s="705"/>
      <c r="AQ391" s="705"/>
      <c r="AR391" s="710"/>
      <c r="AS391" s="705"/>
      <c r="AT391" s="705"/>
      <c r="AU391" s="705"/>
      <c r="AV391" s="705"/>
      <c r="AW391" s="705"/>
      <c r="AX391" s="711"/>
      <c r="AY391" s="709"/>
      <c r="AZ391" s="705"/>
      <c r="BA391" s="705"/>
      <c r="BB391" s="705"/>
      <c r="BC391" s="711"/>
      <c r="BD391" s="705"/>
      <c r="BE391" s="705"/>
      <c r="BF391" s="705"/>
      <c r="BG391" s="705"/>
      <c r="BH391" s="705"/>
      <c r="BI391" s="705"/>
      <c r="BJ391" s="705"/>
      <c r="BK391" s="705"/>
      <c r="BL391" s="705"/>
      <c r="BM391" s="711"/>
      <c r="BN391" s="712"/>
      <c r="BO391" s="710"/>
      <c r="BP391" s="711"/>
      <c r="BQ391" s="713" t="str">
        <f>IFERROR(WWWW[[#This Row],['#_Water sources treated]]/WWWW[[#This Row],['#_Water sources tested for contamination]],"no test")</f>
        <v>no test</v>
      </c>
      <c r="BR391" s="710" t="str">
        <f>IFERROR(WWWW[[#This Row],['#_Household received remediation action due to contamination]]/WWWW[[#This Row],['#_Household water samples tested for contamination]],"no test")</f>
        <v>no test</v>
      </c>
      <c r="BS391" s="712" t="str">
        <f>IF(AND(WWWW[[#This Row],[% of water sources treated]]="no test",WWWW[[#This Row],[% Household received corrective actions]]="no test"),"No Test","Tested")</f>
        <v>No Test</v>
      </c>
      <c r="BT391" s="712">
        <f>WWWW[[#This Row],['#_Constructed/existing protected hand dug well]]-WWWW[[#This Row],['#_Non-functional protected hand dug well]]</f>
        <v>0</v>
      </c>
      <c r="BU391" s="712">
        <f>(WWWW[[#This Row],['#_Constructed/Existing tube wells/boreholes/handpumps_WASH_agency]]+WWWW[[#This Row],['#_Non-Cluster partner water tube-wells/boreholes/handpumps]])-WWWW[[#This Row],['#_Non-functional tube wells/boreholes/handpumps]]</f>
        <v>0</v>
      </c>
      <c r="BV391" s="712">
        <f>WWWW[[#This Row],['#_Constructed/Existingwater storage tank with gravity fed reticulation system]]-WWWW[[#This Row],['#_Non-functional storage tank gravity fed reticulation system]]</f>
        <v>0</v>
      </c>
      <c r="BW391" s="712">
        <f>WWWW[[#This Row],['#_Water boating or water trucking]]</f>
        <v>0</v>
      </c>
      <c r="BX391" s="712">
        <f>WWWW[[#This Row],['#_Constructed/Existing water distribution system from river or natural spring]]</f>
        <v>0</v>
      </c>
      <c r="BY39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1" s="710">
        <f>IF(WWWW[[#This Row],[Location Type 1]]="Village",WWWW[[#This Row],[Access to safe drinking water for Village]],WWWW[[#This Row],[Access to safe drinking water for Camp]])</f>
        <v>0</v>
      </c>
      <c r="CB391" s="708">
        <f>WWWW[[#This Row],[%Equitable and continuous access to sufficient quantity of safe drinking water]]*WWWW[[#This Row],[Total PoP ]]</f>
        <v>0</v>
      </c>
      <c r="CC391" s="710">
        <f>IF((WWWW[[#This Row],['#_Constructed/Existing protected/fenced ponds]]*250)/WWWW[[#This Row],[Total PoP ]]&gt;1,1,(WWWW[[#This Row],['#_Constructed/Existing protected/fenced ponds]]*250)/WWWW[[#This Row],[Total PoP ]])</f>
        <v>0</v>
      </c>
      <c r="CD391" s="708">
        <f>WWWW[[#This Row],[% Access to unimproved water points]]*WWWW[[#This Row],[Total PoP ]]</f>
        <v>0</v>
      </c>
      <c r="CE39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1" s="708">
        <f>WWWW[[#This Row],[HRP1]]/500</f>
        <v>0</v>
      </c>
      <c r="CH391" s="714">
        <f>1-WWWW[[#This Row],[% Equitable and continuous access to sufficient quantity of domestic water]]</f>
        <v>1</v>
      </c>
      <c r="CI391" s="708">
        <f>WWWW[[#This Row],[%equitable and continuous access to sufficient quantity of safe drinking and domestic water''s GAP]]*WWWW[[#This Row],[Total PoP ]]</f>
        <v>330</v>
      </c>
      <c r="CJ391" s="712">
        <f>IF(WWWW[[#This Row],[Total required water points]]-WWWW[[#This Row],['#Water points coverage]]&lt;0,0,WWWW[[#This Row],[Total required water points]]-WWWW[[#This Row],['#Water points coverage]])</f>
        <v>1</v>
      </c>
      <c r="CK391" s="712">
        <f>ROUND(IF(WWWW[[#This Row],[Total PoP ]]&lt;500,1,WWWW[[#This Row],[Total PoP ]]/500),0)</f>
        <v>1</v>
      </c>
      <c r="CL391" s="712">
        <f>(WWWW[[#This Row],['#_Constructed latrines_by_WASHAgencies]]+WWWW[[#This Row],['#_Non Cluster partner latrines]])-WWWW[[#This Row],['#_Non-functional latrines]]</f>
        <v>0</v>
      </c>
      <c r="CM39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1" s="712">
        <f>IF(WWWW[[#This Row],[Location Type 1]]="Village","NA",IF(WWWW[[#This Row],['#_Constructed/Existing latrines in TLS]]*50&gt;WWWW[[#This Row],['#_students at TLS_CFS]],WWWW[[#This Row],['#_students at TLS_CFS]],(WWWW[[#This Row],['#_Constructed/Existing latrines in TLS]]*50)))</f>
        <v>0</v>
      </c>
      <c r="CQ391" s="712">
        <f>ROUND(IF(WWWW[[#This Row],[Location Type 1]]="camp",WWWW[[#This Row],[Total PoP ]]/20,IF(WWWW[[#This Row],[Location Type 1]]="Temporary Location",WWWW[[#This Row],[Total PoP ]]/50,(WWWW[[#This Row],[Total PoP ]]/6))),0)</f>
        <v>7</v>
      </c>
      <c r="CR391" s="712">
        <f>IF(WWWW[[#This Row],[Total required Latrines]]-(WWWW[[#This Row],['#_Constructed latrines_by_WASHAgencies]]+WWWW[[#This Row],['#_Non Cluster partner latrines]])&lt;0,0,WWWW[[#This Row],[Total required Latrines]]-(WWWW[[#This Row],['#_Constructed latrines_by_WASHAgencies]]+WWWW[[#This Row],['#_Non Cluster partner latrines]]))</f>
        <v>7</v>
      </c>
      <c r="CS391" s="716">
        <f>1-WWWW[[#This Row],[% people access to functioning Latrine]]</f>
        <v>1</v>
      </c>
      <c r="CT391" s="713">
        <f>IF(OR(WWWW[[#This Row],['#_Non-functional latrines]]="",WWWW[[#This Row],['#_Non-functional latrines]]=0),0,WWWW[[#This Row],['#_Non-functional latrines]]/(WWWW[[#This Row],['#_Constructed latrines_by_WASHAgencies]]+WWWW[[#This Row],['#_Non Cluster partner latrines]]))</f>
        <v>0</v>
      </c>
      <c r="CU391" s="708">
        <f>IF(500*(WWWW[[#This Row],['#_male hygiene promoters]]+WWWW[[#This Row],['#_female hygiene promoters]])&gt;WWWW[[#This Row],[Total PoP ]],WWWW[[#This Row],[Total PoP ]],500*(WWWW[[#This Row],['#_male hygiene promoters]]+WWWW[[#This Row],['#_female hygiene promoters]]))</f>
        <v>0</v>
      </c>
      <c r="CV39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1" s="712">
        <f>IF(WWWW[[#This Row],['# People with access to soap]]&gt;WWWW[[#This Row],['# People with access to Sanity Pads]],WWWW[[#This Row],['# People with access to soap]],WWWW[[#This Row],['# People with access to Sanity Pads]])</f>
        <v>0</v>
      </c>
      <c r="CY39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1" s="714">
        <f>IF(WWWW[[#This Row],[HRP3]]/WWWW[[#This Row],[Total PoP ]]&gt;100%,100%,WWWW[[#This Row],[HRP3]]/WWWW[[#This Row],[Total PoP ]])</f>
        <v>0</v>
      </c>
      <c r="DA391" s="713">
        <f>1-WWWW[[#This Row],[Hygiene Coverage%]]</f>
        <v>1</v>
      </c>
      <c r="DB391" s="710">
        <f>WWWW[[#This Row],['# people reached by regular dedicated hygiene promotion_5]]/WWWW[[#This Row],[Total PoP ]]</f>
        <v>0</v>
      </c>
      <c r="DC391" s="710">
        <f>IF(WWWW[[#This Row],['#_households that received standard amount of soap for this quarter]]/WWWW[[#This Row],[Total HH]]&gt;1,1,WWWW[[#This Row],['#_households that received standard amount of soap for this quarter]]/WWWW[[#This Row],[Total HH]])</f>
        <v>0</v>
      </c>
      <c r="DD391" s="710">
        <f>IF(WWWW[[#This Row],['#_households that received standard amount of sanitary pads for this quarter]]/WWWW[[#This Row],[Total HH]]&gt;1,1,WWWW[[#This Row],['#_households that received standard amount of sanitary pads for this quarter]]/WWWW[[#This Row],[Total HH]])</f>
        <v>0</v>
      </c>
      <c r="DE391" s="712">
        <f>WWWW[[#This Row],['#_Constructed/Existing hand washing stations]]-WWWW[[#This Row],['#_Non-Functional_hand_washing_stations]]</f>
        <v>0</v>
      </c>
      <c r="DF391" s="757">
        <f>IF(WWWW[[#This Row],['# Functional hand washing stations during reporting period]]*20&gt;WWWW[[#This Row],[Total HH]],WWWW[[#This Row],[Total HH]],WWWW[[#This Row],['# Functional hand washing stations during reporting period]]*20)</f>
        <v>0</v>
      </c>
      <c r="DG391" s="708">
        <f>IF(WWWW[[#This Row],[Is sufficient soap available for TLS? (Yes/No)]]="yes",WWWW[[#This Row],['#_Constructed/Existing hand washing stations at TLS]],0)</f>
        <v>0</v>
      </c>
      <c r="DH391" s="585">
        <f>IF(WWWW[[#This Row],['# Functional hand washing stations during reporting period]]*100&gt;WWWW[[#This Row],[Total PoP ]],WWWW[[#This Row],[Total PoP ]],WWWW[[#This Row],['# Functional hand washing stations during reporting period]]*100)</f>
        <v>0</v>
      </c>
      <c r="DI391" s="585" t="str">
        <f>IF(OR(WWWW[[#This Row],['#_students at TLS_CFS]]="",WWWW[[#This Row],['#_students at TLS_CFS]]=0),"No","Yes")</f>
        <v>No</v>
      </c>
      <c r="DJ391" s="711">
        <f>VLOOKUP(WWWW[[#This Row],[Site Name]],SiteDB6[[Site Name]:[CCCM Management]],6,FALSE)</f>
        <v>0</v>
      </c>
      <c r="DK391" s="711">
        <f>VLOOKUP(WWWW[[#This Row],[Site Name]],SiteDB6[[Site Name]:[CCCM Focal Agency]],7,FALSE)</f>
        <v>0</v>
      </c>
      <c r="DL391" s="711" t="str">
        <f>VLOOKUP(WWWW[[#This Row],[Site Name]],SiteDB6[[Site Name]:[Location Type 1]],9,FALSE)</f>
        <v>Temporary location</v>
      </c>
      <c r="DM391" s="711" t="str">
        <f>VLOOKUP(WWWW[[#This Row],[Site Name]],SiteDB6[[Site Name]:[Type of Accommodation]],10,FALSE)</f>
        <v>Temporary location</v>
      </c>
      <c r="DN391" s="711">
        <f>VLOOKUP(WWWW[[#This Row],[Site Name]],SiteDB6[[Site Name]:[Ethnic or GCA/NGCA]],11,FALSE)</f>
        <v>0</v>
      </c>
      <c r="DO391" s="711">
        <f>VLOOKUP(WWWW[[#This Row],[Site Name]],SiteDB6[[Site Name]:[Lat]],12,FALSE)</f>
        <v>0</v>
      </c>
      <c r="DP391" s="711">
        <f>VLOOKUP(WWWW[[#This Row],[Site Name]],SiteDB6[[Site Name]:[Long]],13,FALSE)</f>
        <v>0</v>
      </c>
      <c r="DQ391" s="711" t="str">
        <f>VLOOKUP(WWWW[[#This Row],[Site Name]],SiteDB6[[Site Name]:[Pcode]],3,FALSE)</f>
        <v>MMR012003701505</v>
      </c>
      <c r="DR391" s="709" t="str">
        <f t="shared" si="13"/>
        <v>Notcovered</v>
      </c>
      <c r="DS391" s="709"/>
      <c r="DV391" s="572"/>
    </row>
    <row r="392" spans="1:126">
      <c r="A392" s="552" t="s">
        <v>2518</v>
      </c>
      <c r="B392" s="701" t="s">
        <v>3143</v>
      </c>
      <c r="C392" s="701" t="s">
        <v>3143</v>
      </c>
      <c r="D392" s="702"/>
      <c r="E392" s="703" t="s">
        <v>3006</v>
      </c>
      <c r="F392" s="702" t="s">
        <v>489</v>
      </c>
      <c r="G392" s="704" t="str">
        <f>VLOOKUP(WWWW[[#This Row],[Site Name]],SiteDB6[[Site Name]:[Location Type]],8,FALSE)</f>
        <v>New Temporary Site</v>
      </c>
      <c r="H392" s="702" t="s">
        <v>3153</v>
      </c>
      <c r="I392" s="705">
        <v>70</v>
      </c>
      <c r="J392" s="705">
        <v>272</v>
      </c>
      <c r="K392" s="706"/>
      <c r="L392" s="707"/>
      <c r="M392" s="705"/>
      <c r="N392" s="705"/>
      <c r="O392" s="705"/>
      <c r="P392" s="705"/>
      <c r="Q392" s="708"/>
      <c r="R392" s="705"/>
      <c r="S392" s="705"/>
      <c r="T392" s="312"/>
      <c r="U392" s="705"/>
      <c r="V392" s="705"/>
      <c r="W392" s="705"/>
      <c r="X392" s="705"/>
      <c r="Y392" s="705"/>
      <c r="Z392" s="705"/>
      <c r="AA392" s="705"/>
      <c r="AB392" s="705"/>
      <c r="AC392" s="705"/>
      <c r="AD392" s="705"/>
      <c r="AE392" s="705"/>
      <c r="AF392" s="705"/>
      <c r="AG392" s="705"/>
      <c r="AH392" s="705"/>
      <c r="AI392" s="705"/>
      <c r="AJ392" s="705"/>
      <c r="AK392" s="705"/>
      <c r="AL392" s="705"/>
      <c r="AM392" s="705"/>
      <c r="AN392" s="705"/>
      <c r="AO392" s="709"/>
      <c r="AP392" s="705">
        <v>4</v>
      </c>
      <c r="AQ392" s="705"/>
      <c r="AR392" s="710"/>
      <c r="AS392" s="705"/>
      <c r="AT392" s="705"/>
      <c r="AU392" s="705"/>
      <c r="AV392" s="705"/>
      <c r="AW392" s="705"/>
      <c r="AX392" s="711"/>
      <c r="AY392" s="709"/>
      <c r="AZ392" s="705"/>
      <c r="BA392" s="705"/>
      <c r="BB392" s="705"/>
      <c r="BC392" s="711"/>
      <c r="BD392" s="705"/>
      <c r="BE392" s="705"/>
      <c r="BF392" s="705"/>
      <c r="BG392" s="705"/>
      <c r="BH392" s="705"/>
      <c r="BI392" s="705"/>
      <c r="BJ392" s="705"/>
      <c r="BK392" s="705"/>
      <c r="BL392" s="705"/>
      <c r="BM392" s="711"/>
      <c r="BN392" s="712"/>
      <c r="BO392" s="710"/>
      <c r="BP392" s="711"/>
      <c r="BQ392" s="713" t="str">
        <f>IFERROR(WWWW[[#This Row],['#_Water sources treated]]/WWWW[[#This Row],['#_Water sources tested for contamination]],"no test")</f>
        <v>no test</v>
      </c>
      <c r="BR392" s="710" t="str">
        <f>IFERROR(WWWW[[#This Row],['#_Household received remediation action due to contamination]]/WWWW[[#This Row],['#_Household water samples tested for contamination]],"no test")</f>
        <v>no test</v>
      </c>
      <c r="BS392" s="712" t="str">
        <f>IF(AND(WWWW[[#This Row],[% of water sources treated]]="no test",WWWW[[#This Row],[% Household received corrective actions]]="no test"),"No Test","Tested")</f>
        <v>No Test</v>
      </c>
      <c r="BT392" s="712">
        <f>WWWW[[#This Row],['#_Constructed/existing protected hand dug well]]-WWWW[[#This Row],['#_Non-functional protected hand dug well]]</f>
        <v>0</v>
      </c>
      <c r="BU392" s="712">
        <f>(WWWW[[#This Row],['#_Constructed/Existing tube wells/boreholes/handpumps_WASH_agency]]+WWWW[[#This Row],['#_Non-Cluster partner water tube-wells/boreholes/handpumps]])-WWWW[[#This Row],['#_Non-functional tube wells/boreholes/handpumps]]</f>
        <v>0</v>
      </c>
      <c r="BV392" s="712">
        <f>WWWW[[#This Row],['#_Constructed/Existingwater storage tank with gravity fed reticulation system]]-WWWW[[#This Row],['#_Non-functional storage tank gravity fed reticulation system]]</f>
        <v>0</v>
      </c>
      <c r="BW392" s="712">
        <f>WWWW[[#This Row],['#_Water boating or water trucking]]</f>
        <v>0</v>
      </c>
      <c r="BX392" s="712">
        <f>WWWW[[#This Row],['#_Constructed/Existing water distribution system from river or natural spring]]</f>
        <v>0</v>
      </c>
      <c r="BY39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2" s="710">
        <f>IF(WWWW[[#This Row],[Location Type 1]]="Village",WWWW[[#This Row],[Access to safe drinking water for Village]],WWWW[[#This Row],[Access to safe drinking water for Camp]])</f>
        <v>0</v>
      </c>
      <c r="CB392" s="708">
        <f>WWWW[[#This Row],[%Equitable and continuous access to sufficient quantity of safe drinking water]]*WWWW[[#This Row],[Total PoP ]]</f>
        <v>0</v>
      </c>
      <c r="CC392" s="710">
        <f>IF((WWWW[[#This Row],['#_Constructed/Existing protected/fenced ponds]]*250)/WWWW[[#This Row],[Total PoP ]]&gt;1,1,(WWWW[[#This Row],['#_Constructed/Existing protected/fenced ponds]]*250)/WWWW[[#This Row],[Total PoP ]])</f>
        <v>0</v>
      </c>
      <c r="CD392" s="708">
        <f>WWWW[[#This Row],[% Access to unimproved water points]]*WWWW[[#This Row],[Total PoP ]]</f>
        <v>0</v>
      </c>
      <c r="CE39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2" s="708">
        <f>WWWW[[#This Row],[HRP1]]/500</f>
        <v>0</v>
      </c>
      <c r="CH392" s="714">
        <f>1-WWWW[[#This Row],[% Equitable and continuous access to sufficient quantity of domestic water]]</f>
        <v>1</v>
      </c>
      <c r="CI392" s="708">
        <f>WWWW[[#This Row],[%equitable and continuous access to sufficient quantity of safe drinking and domestic water''s GAP]]*WWWW[[#This Row],[Total PoP ]]</f>
        <v>272</v>
      </c>
      <c r="CJ392" s="712">
        <f>IF(WWWW[[#This Row],[Total required water points]]-WWWW[[#This Row],['#Water points coverage]]&lt;0,0,WWWW[[#This Row],[Total required water points]]-WWWW[[#This Row],['#Water points coverage]])</f>
        <v>1</v>
      </c>
      <c r="CK392" s="712">
        <f>ROUND(IF(WWWW[[#This Row],[Total PoP ]]&lt;500,1,WWWW[[#This Row],[Total PoP ]]/500),0)</f>
        <v>1</v>
      </c>
      <c r="CL392" s="712">
        <f>(WWWW[[#This Row],['#_Constructed latrines_by_WASHAgencies]]+WWWW[[#This Row],['#_Non Cluster partner latrines]])-WWWW[[#This Row],['#_Non-functional latrines]]</f>
        <v>4</v>
      </c>
      <c r="CM39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0.73529411764705888</v>
      </c>
      <c r="CN39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39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2" s="712">
        <f>IF(WWWW[[#This Row],[Location Type 1]]="Village","NA",IF(WWWW[[#This Row],['#_Constructed/Existing latrines in TLS]]*50&gt;WWWW[[#This Row],['#_students at TLS_CFS]],WWWW[[#This Row],['#_students at TLS_CFS]],(WWWW[[#This Row],['#_Constructed/Existing latrines in TLS]]*50)))</f>
        <v>0</v>
      </c>
      <c r="CQ392" s="712">
        <f>ROUND(IF(WWWW[[#This Row],[Location Type 1]]="camp",WWWW[[#This Row],[Total PoP ]]/20,IF(WWWW[[#This Row],[Location Type 1]]="Temporary Location",WWWW[[#This Row],[Total PoP ]]/50,(WWWW[[#This Row],[Total PoP ]]/6))),0)</f>
        <v>5</v>
      </c>
      <c r="CR392" s="712">
        <f>IF(WWWW[[#This Row],[Total required Latrines]]-(WWWW[[#This Row],['#_Constructed latrines_by_WASHAgencies]]+WWWW[[#This Row],['#_Non Cluster partner latrines]])&lt;0,0,WWWW[[#This Row],[Total required Latrines]]-(WWWW[[#This Row],['#_Constructed latrines_by_WASHAgencies]]+WWWW[[#This Row],['#_Non Cluster partner latrines]]))</f>
        <v>1</v>
      </c>
      <c r="CS392" s="716">
        <f>1-WWWW[[#This Row],[% people access to functioning Latrine]]</f>
        <v>0.26470588235294112</v>
      </c>
      <c r="CT392" s="713">
        <f>IF(OR(WWWW[[#This Row],['#_Non-functional latrines]]="",WWWW[[#This Row],['#_Non-functional latrines]]=0),0,WWWW[[#This Row],['#_Non-functional latrines]]/(WWWW[[#This Row],['#_Constructed latrines_by_WASHAgencies]]+WWWW[[#This Row],['#_Non Cluster partner latrines]]))</f>
        <v>0</v>
      </c>
      <c r="CU392" s="708">
        <f>IF(500*(WWWW[[#This Row],['#_male hygiene promoters]]+WWWW[[#This Row],['#_female hygiene promoters]])&gt;WWWW[[#This Row],[Total PoP ]],WWWW[[#This Row],[Total PoP ]],500*(WWWW[[#This Row],['#_male hygiene promoters]]+WWWW[[#This Row],['#_female hygiene promoters]]))</f>
        <v>0</v>
      </c>
      <c r="CV39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2" s="712">
        <f>IF(WWWW[[#This Row],['# People with access to soap]]&gt;WWWW[[#This Row],['# People with access to Sanity Pads]],WWWW[[#This Row],['# People with access to soap]],WWWW[[#This Row],['# People with access to Sanity Pads]])</f>
        <v>0</v>
      </c>
      <c r="CY39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2" s="714">
        <f>IF(WWWW[[#This Row],[HRP3]]/WWWW[[#This Row],[Total PoP ]]&gt;100%,100%,WWWW[[#This Row],[HRP3]]/WWWW[[#This Row],[Total PoP ]])</f>
        <v>0</v>
      </c>
      <c r="DA392" s="713">
        <f>1-WWWW[[#This Row],[Hygiene Coverage%]]</f>
        <v>1</v>
      </c>
      <c r="DB392" s="710">
        <f>WWWW[[#This Row],['# people reached by regular dedicated hygiene promotion_5]]/WWWW[[#This Row],[Total PoP ]]</f>
        <v>0</v>
      </c>
      <c r="DC392" s="710">
        <f>IF(WWWW[[#This Row],['#_households that received standard amount of soap for this quarter]]/WWWW[[#This Row],[Total HH]]&gt;1,1,WWWW[[#This Row],['#_households that received standard amount of soap for this quarter]]/WWWW[[#This Row],[Total HH]])</f>
        <v>0</v>
      </c>
      <c r="DD392" s="710">
        <f>IF(WWWW[[#This Row],['#_households that received standard amount of sanitary pads for this quarter]]/WWWW[[#This Row],[Total HH]]&gt;1,1,WWWW[[#This Row],['#_households that received standard amount of sanitary pads for this quarter]]/WWWW[[#This Row],[Total HH]])</f>
        <v>0</v>
      </c>
      <c r="DE392" s="712">
        <f>WWWW[[#This Row],['#_Constructed/Existing hand washing stations]]-WWWW[[#This Row],['#_Non-Functional_hand_washing_stations]]</f>
        <v>0</v>
      </c>
      <c r="DF392" s="757">
        <f>IF(WWWW[[#This Row],['# Functional hand washing stations during reporting period]]*20&gt;WWWW[[#This Row],[Total HH]],WWWW[[#This Row],[Total HH]],WWWW[[#This Row],['# Functional hand washing stations during reporting period]]*20)</f>
        <v>0</v>
      </c>
      <c r="DG392" s="708">
        <f>IF(WWWW[[#This Row],[Is sufficient soap available for TLS? (Yes/No)]]="yes",WWWW[[#This Row],['#_Constructed/Existing hand washing stations at TLS]],0)</f>
        <v>0</v>
      </c>
      <c r="DH392" s="585">
        <f>IF(WWWW[[#This Row],['# Functional hand washing stations during reporting period]]*100&gt;WWWW[[#This Row],[Total PoP ]],WWWW[[#This Row],[Total PoP ]],WWWW[[#This Row],['# Functional hand washing stations during reporting period]]*100)</f>
        <v>0</v>
      </c>
      <c r="DI392" s="585" t="str">
        <f>IF(OR(WWWW[[#This Row],['#_students at TLS_CFS]]="",WWWW[[#This Row],['#_students at TLS_CFS]]=0),"No","Yes")</f>
        <v>No</v>
      </c>
      <c r="DJ392" s="711">
        <f>VLOOKUP(WWWW[[#This Row],[Site Name]],SiteDB6[[Site Name]:[CCCM Management]],6,FALSE)</f>
        <v>0</v>
      </c>
      <c r="DK392" s="711">
        <f>VLOOKUP(WWWW[[#This Row],[Site Name]],SiteDB6[[Site Name]:[CCCM Focal Agency]],7,FALSE)</f>
        <v>0</v>
      </c>
      <c r="DL392" s="711" t="str">
        <f>VLOOKUP(WWWW[[#This Row],[Site Name]],SiteDB6[[Site Name]:[Location Type 1]],9,FALSE)</f>
        <v>Temporary location</v>
      </c>
      <c r="DM392" s="711" t="str">
        <f>VLOOKUP(WWWW[[#This Row],[Site Name]],SiteDB6[[Site Name]:[Type of Accommodation]],10,FALSE)</f>
        <v>Temporary location</v>
      </c>
      <c r="DN392" s="711">
        <f>VLOOKUP(WWWW[[#This Row],[Site Name]],SiteDB6[[Site Name]:[Ethnic or GCA/NGCA]],11,FALSE)</f>
        <v>0</v>
      </c>
      <c r="DO392" s="711">
        <f>VLOOKUP(WWWW[[#This Row],[Site Name]],SiteDB6[[Site Name]:[Lat]],12,FALSE)</f>
        <v>0</v>
      </c>
      <c r="DP392" s="711">
        <f>VLOOKUP(WWWW[[#This Row],[Site Name]],SiteDB6[[Site Name]:[Long]],13,FALSE)</f>
        <v>0</v>
      </c>
      <c r="DQ392" s="711" t="str">
        <f>VLOOKUP(WWWW[[#This Row],[Site Name]],SiteDB6[[Site Name]:[Pcode]],3,FALSE)</f>
        <v>MMR012003701505</v>
      </c>
      <c r="DR392" s="709" t="str">
        <f t="shared" si="13"/>
        <v>Covered</v>
      </c>
      <c r="DS392" s="709"/>
      <c r="DV392" s="572"/>
    </row>
    <row r="393" spans="1:126">
      <c r="A393" s="552" t="s">
        <v>2518</v>
      </c>
      <c r="B393" s="808" t="s">
        <v>317</v>
      </c>
      <c r="C393" s="808" t="s">
        <v>317</v>
      </c>
      <c r="D393" s="702"/>
      <c r="E393" s="703" t="s">
        <v>3006</v>
      </c>
      <c r="F393" s="702" t="s">
        <v>489</v>
      </c>
      <c r="G393" s="704" t="str">
        <f>VLOOKUP(WWWW[[#This Row],[Site Name]],SiteDB6[[Site Name]:[Location Type]],8,FALSE)</f>
        <v>New Temporary Site</v>
      </c>
      <c r="H393" s="702" t="s">
        <v>3154</v>
      </c>
      <c r="I393" s="705">
        <v>27</v>
      </c>
      <c r="J393" s="705">
        <v>119</v>
      </c>
      <c r="K393" s="706"/>
      <c r="L393" s="707"/>
      <c r="M393" s="705"/>
      <c r="N393" s="705"/>
      <c r="O393" s="705"/>
      <c r="P393" s="705"/>
      <c r="Q393" s="708"/>
      <c r="R393" s="705"/>
      <c r="S393" s="705"/>
      <c r="T393" s="312"/>
      <c r="U393" s="705"/>
      <c r="V393" s="705"/>
      <c r="W393" s="705"/>
      <c r="X393" s="705"/>
      <c r="Y393" s="705"/>
      <c r="Z393" s="705"/>
      <c r="AA393" s="705"/>
      <c r="AB393" s="705"/>
      <c r="AC393" s="705"/>
      <c r="AD393" s="705"/>
      <c r="AE393" s="705"/>
      <c r="AF393" s="705"/>
      <c r="AG393" s="705"/>
      <c r="AH393" s="705"/>
      <c r="AI393" s="705"/>
      <c r="AJ393" s="705"/>
      <c r="AK393" s="705"/>
      <c r="AL393" s="705"/>
      <c r="AM393" s="705"/>
      <c r="AN393" s="705"/>
      <c r="AO393" s="709"/>
      <c r="AP393" s="705"/>
      <c r="AQ393" s="705"/>
      <c r="AR393" s="710"/>
      <c r="AS393" s="705"/>
      <c r="AT393" s="705"/>
      <c r="AU393" s="705"/>
      <c r="AV393" s="705"/>
      <c r="AW393" s="705"/>
      <c r="AX393" s="711"/>
      <c r="AY393" s="709"/>
      <c r="AZ393" s="705"/>
      <c r="BA393" s="705"/>
      <c r="BB393" s="705"/>
      <c r="BC393" s="711"/>
      <c r="BD393" s="705"/>
      <c r="BE393" s="705"/>
      <c r="BF393" s="705"/>
      <c r="BG393" s="705"/>
      <c r="BH393" s="705"/>
      <c r="BI393" s="705"/>
      <c r="BJ393" s="705"/>
      <c r="BK393" s="705"/>
      <c r="BL393" s="705"/>
      <c r="BM393" s="711"/>
      <c r="BN393" s="712"/>
      <c r="BO393" s="710"/>
      <c r="BP393" s="711"/>
      <c r="BQ393" s="713" t="str">
        <f>IFERROR(WWWW[[#This Row],['#_Water sources treated]]/WWWW[[#This Row],['#_Water sources tested for contamination]],"no test")</f>
        <v>no test</v>
      </c>
      <c r="BR393" s="710" t="str">
        <f>IFERROR(WWWW[[#This Row],['#_Household received remediation action due to contamination]]/WWWW[[#This Row],['#_Household water samples tested for contamination]],"no test")</f>
        <v>no test</v>
      </c>
      <c r="BS393" s="712" t="str">
        <f>IF(AND(WWWW[[#This Row],[% of water sources treated]]="no test",WWWW[[#This Row],[% Household received corrective actions]]="no test"),"No Test","Tested")</f>
        <v>No Test</v>
      </c>
      <c r="BT393" s="712">
        <f>WWWW[[#This Row],['#_Constructed/existing protected hand dug well]]-WWWW[[#This Row],['#_Non-functional protected hand dug well]]</f>
        <v>0</v>
      </c>
      <c r="BU393" s="712">
        <f>(WWWW[[#This Row],['#_Constructed/Existing tube wells/boreholes/handpumps_WASH_agency]]+WWWW[[#This Row],['#_Non-Cluster partner water tube-wells/boreholes/handpumps]])-WWWW[[#This Row],['#_Non-functional tube wells/boreholes/handpumps]]</f>
        <v>0</v>
      </c>
      <c r="BV393" s="712">
        <f>WWWW[[#This Row],['#_Constructed/Existingwater storage tank with gravity fed reticulation system]]-WWWW[[#This Row],['#_Non-functional storage tank gravity fed reticulation system]]</f>
        <v>0</v>
      </c>
      <c r="BW393" s="712">
        <f>WWWW[[#This Row],['#_Water boating or water trucking]]</f>
        <v>0</v>
      </c>
      <c r="BX393" s="712">
        <f>WWWW[[#This Row],['#_Constructed/Existing water distribution system from river or natural spring]]</f>
        <v>0</v>
      </c>
      <c r="BY39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3" s="710">
        <f>IF(WWWW[[#This Row],[Location Type 1]]="Village",WWWW[[#This Row],[Access to safe drinking water for Village]],WWWW[[#This Row],[Access to safe drinking water for Camp]])</f>
        <v>0</v>
      </c>
      <c r="CB393" s="708">
        <f>WWWW[[#This Row],[%Equitable and continuous access to sufficient quantity of safe drinking water]]*WWWW[[#This Row],[Total PoP ]]</f>
        <v>0</v>
      </c>
      <c r="CC393" s="710">
        <f>IF((WWWW[[#This Row],['#_Constructed/Existing protected/fenced ponds]]*250)/WWWW[[#This Row],[Total PoP ]]&gt;1,1,(WWWW[[#This Row],['#_Constructed/Existing protected/fenced ponds]]*250)/WWWW[[#This Row],[Total PoP ]])</f>
        <v>0</v>
      </c>
      <c r="CD393" s="708">
        <f>WWWW[[#This Row],[% Access to unimproved water points]]*WWWW[[#This Row],[Total PoP ]]</f>
        <v>0</v>
      </c>
      <c r="CE39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3" s="708">
        <f>WWWW[[#This Row],[HRP1]]/500</f>
        <v>0</v>
      </c>
      <c r="CH393" s="714">
        <f>1-WWWW[[#This Row],[% Equitable and continuous access to sufficient quantity of domestic water]]</f>
        <v>1</v>
      </c>
      <c r="CI393" s="708">
        <f>WWWW[[#This Row],[%equitable and continuous access to sufficient quantity of safe drinking and domestic water''s GAP]]*WWWW[[#This Row],[Total PoP ]]</f>
        <v>119</v>
      </c>
      <c r="CJ393" s="712">
        <f>IF(WWWW[[#This Row],[Total required water points]]-WWWW[[#This Row],['#Water points coverage]]&lt;0,0,WWWW[[#This Row],[Total required water points]]-WWWW[[#This Row],['#Water points coverage]])</f>
        <v>1</v>
      </c>
      <c r="CK393" s="712">
        <f>ROUND(IF(WWWW[[#This Row],[Total PoP ]]&lt;500,1,WWWW[[#This Row],[Total PoP ]]/500),0)</f>
        <v>1</v>
      </c>
      <c r="CL393" s="712">
        <f>(WWWW[[#This Row],['#_Constructed latrines_by_WASHAgencies]]+WWWW[[#This Row],['#_Non Cluster partner latrines]])-WWWW[[#This Row],['#_Non-functional latrines]]</f>
        <v>0</v>
      </c>
      <c r="CM39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3" s="712">
        <f>IF(WWWW[[#This Row],[Location Type 1]]="Village","NA",IF(WWWW[[#This Row],['#_Constructed/Existing latrines in TLS]]*50&gt;WWWW[[#This Row],['#_students at TLS_CFS]],WWWW[[#This Row],['#_students at TLS_CFS]],(WWWW[[#This Row],['#_Constructed/Existing latrines in TLS]]*50)))</f>
        <v>0</v>
      </c>
      <c r="CQ393" s="712">
        <f>ROUND(IF(WWWW[[#This Row],[Location Type 1]]="camp",WWWW[[#This Row],[Total PoP ]]/20,IF(WWWW[[#This Row],[Location Type 1]]="Temporary Location",WWWW[[#This Row],[Total PoP ]]/50,(WWWW[[#This Row],[Total PoP ]]/6))),0)</f>
        <v>2</v>
      </c>
      <c r="CR393" s="712">
        <f>IF(WWWW[[#This Row],[Total required Latrines]]-(WWWW[[#This Row],['#_Constructed latrines_by_WASHAgencies]]+WWWW[[#This Row],['#_Non Cluster partner latrines]])&lt;0,0,WWWW[[#This Row],[Total required Latrines]]-(WWWW[[#This Row],['#_Constructed latrines_by_WASHAgencies]]+WWWW[[#This Row],['#_Non Cluster partner latrines]]))</f>
        <v>2</v>
      </c>
      <c r="CS393" s="716">
        <f>1-WWWW[[#This Row],[% people access to functioning Latrine]]</f>
        <v>1</v>
      </c>
      <c r="CT393" s="713">
        <f>IF(OR(WWWW[[#This Row],['#_Non-functional latrines]]="",WWWW[[#This Row],['#_Non-functional latrines]]=0),0,WWWW[[#This Row],['#_Non-functional latrines]]/(WWWW[[#This Row],['#_Constructed latrines_by_WASHAgencies]]+WWWW[[#This Row],['#_Non Cluster partner latrines]]))</f>
        <v>0</v>
      </c>
      <c r="CU393" s="708">
        <f>IF(500*(WWWW[[#This Row],['#_male hygiene promoters]]+WWWW[[#This Row],['#_female hygiene promoters]])&gt;WWWW[[#This Row],[Total PoP ]],WWWW[[#This Row],[Total PoP ]],500*(WWWW[[#This Row],['#_male hygiene promoters]]+WWWW[[#This Row],['#_female hygiene promoters]]))</f>
        <v>0</v>
      </c>
      <c r="CV39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3" s="712">
        <f>IF(WWWW[[#This Row],['# People with access to soap]]&gt;WWWW[[#This Row],['# People with access to Sanity Pads]],WWWW[[#This Row],['# People with access to soap]],WWWW[[#This Row],['# People with access to Sanity Pads]])</f>
        <v>0</v>
      </c>
      <c r="CY39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3" s="714">
        <f>IF(WWWW[[#This Row],[HRP3]]/WWWW[[#This Row],[Total PoP ]]&gt;100%,100%,WWWW[[#This Row],[HRP3]]/WWWW[[#This Row],[Total PoP ]])</f>
        <v>0</v>
      </c>
      <c r="DA393" s="713">
        <f>1-WWWW[[#This Row],[Hygiene Coverage%]]</f>
        <v>1</v>
      </c>
      <c r="DB393" s="710">
        <f>WWWW[[#This Row],['# people reached by regular dedicated hygiene promotion_5]]/WWWW[[#This Row],[Total PoP ]]</f>
        <v>0</v>
      </c>
      <c r="DC393" s="710">
        <f>IF(WWWW[[#This Row],['#_households that received standard amount of soap for this quarter]]/WWWW[[#This Row],[Total HH]]&gt;1,1,WWWW[[#This Row],['#_households that received standard amount of soap for this quarter]]/WWWW[[#This Row],[Total HH]])</f>
        <v>0</v>
      </c>
      <c r="DD393" s="710">
        <f>IF(WWWW[[#This Row],['#_households that received standard amount of sanitary pads for this quarter]]/WWWW[[#This Row],[Total HH]]&gt;1,1,WWWW[[#This Row],['#_households that received standard amount of sanitary pads for this quarter]]/WWWW[[#This Row],[Total HH]])</f>
        <v>0</v>
      </c>
      <c r="DE393" s="712">
        <f>WWWW[[#This Row],['#_Constructed/Existing hand washing stations]]-WWWW[[#This Row],['#_Non-Functional_hand_washing_stations]]</f>
        <v>0</v>
      </c>
      <c r="DF393" s="757">
        <f>IF(WWWW[[#This Row],['# Functional hand washing stations during reporting period]]*20&gt;WWWW[[#This Row],[Total HH]],WWWW[[#This Row],[Total HH]],WWWW[[#This Row],['# Functional hand washing stations during reporting period]]*20)</f>
        <v>0</v>
      </c>
      <c r="DG393" s="708">
        <f>IF(WWWW[[#This Row],[Is sufficient soap available for TLS? (Yes/No)]]="yes",WWWW[[#This Row],['#_Constructed/Existing hand washing stations at TLS]],0)</f>
        <v>0</v>
      </c>
      <c r="DH393" s="585">
        <f>IF(WWWW[[#This Row],['# Functional hand washing stations during reporting period]]*100&gt;WWWW[[#This Row],[Total PoP ]],WWWW[[#This Row],[Total PoP ]],WWWW[[#This Row],['# Functional hand washing stations during reporting period]]*100)</f>
        <v>0</v>
      </c>
      <c r="DI393" s="585" t="str">
        <f>IF(OR(WWWW[[#This Row],['#_students at TLS_CFS]]="",WWWW[[#This Row],['#_students at TLS_CFS]]=0),"No","Yes")</f>
        <v>No</v>
      </c>
      <c r="DJ393" s="711">
        <f>VLOOKUP(WWWW[[#This Row],[Site Name]],SiteDB6[[Site Name]:[CCCM Management]],6,FALSE)</f>
        <v>0</v>
      </c>
      <c r="DK393" s="711">
        <f>VLOOKUP(WWWW[[#This Row],[Site Name]],SiteDB6[[Site Name]:[CCCM Focal Agency]],7,FALSE)</f>
        <v>0</v>
      </c>
      <c r="DL393" s="711" t="str">
        <f>VLOOKUP(WWWW[[#This Row],[Site Name]],SiteDB6[[Site Name]:[Location Type 1]],9,FALSE)</f>
        <v>Temporary location</v>
      </c>
      <c r="DM393" s="711" t="str">
        <f>VLOOKUP(WWWW[[#This Row],[Site Name]],SiteDB6[[Site Name]:[Type of Accommodation]],10,FALSE)</f>
        <v>Temporary location</v>
      </c>
      <c r="DN393" s="711">
        <f>VLOOKUP(WWWW[[#This Row],[Site Name]],SiteDB6[[Site Name]:[Ethnic or GCA/NGCA]],11,FALSE)</f>
        <v>0</v>
      </c>
      <c r="DO393" s="711">
        <f>VLOOKUP(WWWW[[#This Row],[Site Name]],SiteDB6[[Site Name]:[Lat]],12,FALSE)</f>
        <v>0</v>
      </c>
      <c r="DP393" s="711">
        <f>VLOOKUP(WWWW[[#This Row],[Site Name]],SiteDB6[[Site Name]:[Long]],13,FALSE)</f>
        <v>0</v>
      </c>
      <c r="DQ393" s="711" t="str">
        <f>VLOOKUP(WWWW[[#This Row],[Site Name]],SiteDB6[[Site Name]:[Pcode]],3,FALSE)</f>
        <v>MMR012003701505</v>
      </c>
      <c r="DR393" s="709" t="str">
        <f t="shared" si="13"/>
        <v>Notcovered</v>
      </c>
      <c r="DS393" s="709"/>
      <c r="DV393" s="572"/>
    </row>
    <row r="394" spans="1:126">
      <c r="A394" s="552" t="s">
        <v>2518</v>
      </c>
      <c r="B394" s="808" t="s">
        <v>317</v>
      </c>
      <c r="C394" s="808" t="s">
        <v>317</v>
      </c>
      <c r="D394" s="702"/>
      <c r="E394" s="703" t="s">
        <v>3006</v>
      </c>
      <c r="F394" s="702" t="s">
        <v>489</v>
      </c>
      <c r="G394" s="704" t="str">
        <f>VLOOKUP(WWWW[[#This Row],[Site Name]],SiteDB6[[Site Name]:[Location Type]],8,FALSE)</f>
        <v>New Temporary Site</v>
      </c>
      <c r="H394" s="702" t="s">
        <v>3155</v>
      </c>
      <c r="I394" s="705">
        <v>132</v>
      </c>
      <c r="J394" s="705">
        <v>549</v>
      </c>
      <c r="K394" s="706"/>
      <c r="L394" s="707"/>
      <c r="M394" s="705"/>
      <c r="N394" s="705"/>
      <c r="O394" s="705"/>
      <c r="P394" s="705"/>
      <c r="Q394" s="708"/>
      <c r="R394" s="705"/>
      <c r="S394" s="705"/>
      <c r="T394" s="312"/>
      <c r="U394" s="705"/>
      <c r="V394" s="705"/>
      <c r="W394" s="705"/>
      <c r="X394" s="705"/>
      <c r="Y394" s="705"/>
      <c r="Z394" s="705"/>
      <c r="AA394" s="705"/>
      <c r="AB394" s="705"/>
      <c r="AC394" s="705"/>
      <c r="AD394" s="705"/>
      <c r="AE394" s="705"/>
      <c r="AF394" s="705"/>
      <c r="AG394" s="705"/>
      <c r="AH394" s="705"/>
      <c r="AI394" s="705"/>
      <c r="AJ394" s="705"/>
      <c r="AK394" s="705"/>
      <c r="AL394" s="705"/>
      <c r="AM394" s="705"/>
      <c r="AN394" s="705"/>
      <c r="AO394" s="709"/>
      <c r="AP394" s="705"/>
      <c r="AQ394" s="705"/>
      <c r="AR394" s="710"/>
      <c r="AS394" s="705"/>
      <c r="AT394" s="705"/>
      <c r="AU394" s="705"/>
      <c r="AV394" s="705"/>
      <c r="AW394" s="705"/>
      <c r="AX394" s="711"/>
      <c r="AY394" s="709"/>
      <c r="AZ394" s="705"/>
      <c r="BA394" s="705"/>
      <c r="BB394" s="705"/>
      <c r="BC394" s="711"/>
      <c r="BD394" s="705"/>
      <c r="BE394" s="705"/>
      <c r="BF394" s="705"/>
      <c r="BG394" s="705"/>
      <c r="BH394" s="705"/>
      <c r="BI394" s="705"/>
      <c r="BJ394" s="705"/>
      <c r="BK394" s="705"/>
      <c r="BL394" s="705"/>
      <c r="BM394" s="711"/>
      <c r="BN394" s="712"/>
      <c r="BO394" s="710"/>
      <c r="BP394" s="711"/>
      <c r="BQ394" s="713" t="str">
        <f>IFERROR(WWWW[[#This Row],['#_Water sources treated]]/WWWW[[#This Row],['#_Water sources tested for contamination]],"no test")</f>
        <v>no test</v>
      </c>
      <c r="BR394" s="710" t="str">
        <f>IFERROR(WWWW[[#This Row],['#_Household received remediation action due to contamination]]/WWWW[[#This Row],['#_Household water samples tested for contamination]],"no test")</f>
        <v>no test</v>
      </c>
      <c r="BS394" s="712" t="str">
        <f>IF(AND(WWWW[[#This Row],[% of water sources treated]]="no test",WWWW[[#This Row],[% Household received corrective actions]]="no test"),"No Test","Tested")</f>
        <v>No Test</v>
      </c>
      <c r="BT394" s="712">
        <f>WWWW[[#This Row],['#_Constructed/existing protected hand dug well]]-WWWW[[#This Row],['#_Non-functional protected hand dug well]]</f>
        <v>0</v>
      </c>
      <c r="BU394" s="712">
        <f>(WWWW[[#This Row],['#_Constructed/Existing tube wells/boreholes/handpumps_WASH_agency]]+WWWW[[#This Row],['#_Non-Cluster partner water tube-wells/boreholes/handpumps]])-WWWW[[#This Row],['#_Non-functional tube wells/boreholes/handpumps]]</f>
        <v>0</v>
      </c>
      <c r="BV394" s="712">
        <f>WWWW[[#This Row],['#_Constructed/Existingwater storage tank with gravity fed reticulation system]]-WWWW[[#This Row],['#_Non-functional storage tank gravity fed reticulation system]]</f>
        <v>0</v>
      </c>
      <c r="BW394" s="712">
        <f>WWWW[[#This Row],['#_Water boating or water trucking]]</f>
        <v>0</v>
      </c>
      <c r="BX394" s="712">
        <f>WWWW[[#This Row],['#_Constructed/Existing water distribution system from river or natural spring]]</f>
        <v>0</v>
      </c>
      <c r="BY39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4" s="710">
        <f>IF(WWWW[[#This Row],[Location Type 1]]="Village",WWWW[[#This Row],[Access to safe drinking water for Village]],WWWW[[#This Row],[Access to safe drinking water for Camp]])</f>
        <v>0</v>
      </c>
      <c r="CB394" s="708">
        <f>WWWW[[#This Row],[%Equitable and continuous access to sufficient quantity of safe drinking water]]*WWWW[[#This Row],[Total PoP ]]</f>
        <v>0</v>
      </c>
      <c r="CC394" s="710">
        <f>IF((WWWW[[#This Row],['#_Constructed/Existing protected/fenced ponds]]*250)/WWWW[[#This Row],[Total PoP ]]&gt;1,1,(WWWW[[#This Row],['#_Constructed/Existing protected/fenced ponds]]*250)/WWWW[[#This Row],[Total PoP ]])</f>
        <v>0</v>
      </c>
      <c r="CD394" s="708">
        <f>WWWW[[#This Row],[% Access to unimproved water points]]*WWWW[[#This Row],[Total PoP ]]</f>
        <v>0</v>
      </c>
      <c r="CE39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4" s="708">
        <f>WWWW[[#This Row],[HRP1]]/500</f>
        <v>0</v>
      </c>
      <c r="CH394" s="714">
        <f>1-WWWW[[#This Row],[% Equitable and continuous access to sufficient quantity of domestic water]]</f>
        <v>1</v>
      </c>
      <c r="CI394" s="708">
        <f>WWWW[[#This Row],[%equitable and continuous access to sufficient quantity of safe drinking and domestic water''s GAP]]*WWWW[[#This Row],[Total PoP ]]</f>
        <v>549</v>
      </c>
      <c r="CJ394" s="712">
        <f>IF(WWWW[[#This Row],[Total required water points]]-WWWW[[#This Row],['#Water points coverage]]&lt;0,0,WWWW[[#This Row],[Total required water points]]-WWWW[[#This Row],['#Water points coverage]])</f>
        <v>1</v>
      </c>
      <c r="CK394" s="712">
        <f>ROUND(IF(WWWW[[#This Row],[Total PoP ]]&lt;500,1,WWWW[[#This Row],[Total PoP ]]/500),0)</f>
        <v>1</v>
      </c>
      <c r="CL394" s="712">
        <f>(WWWW[[#This Row],['#_Constructed latrines_by_WASHAgencies]]+WWWW[[#This Row],['#_Non Cluster partner latrines]])-WWWW[[#This Row],['#_Non-functional latrines]]</f>
        <v>0</v>
      </c>
      <c r="CM39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4" s="712">
        <f>IF(WWWW[[#This Row],[Location Type 1]]="Village","NA",IF(WWWW[[#This Row],['#_Constructed/Existing latrines in TLS]]*50&gt;WWWW[[#This Row],['#_students at TLS_CFS]],WWWW[[#This Row],['#_students at TLS_CFS]],(WWWW[[#This Row],['#_Constructed/Existing latrines in TLS]]*50)))</f>
        <v>0</v>
      </c>
      <c r="CQ394" s="712">
        <f>ROUND(IF(WWWW[[#This Row],[Location Type 1]]="camp",WWWW[[#This Row],[Total PoP ]]/20,IF(WWWW[[#This Row],[Location Type 1]]="Temporary Location",WWWW[[#This Row],[Total PoP ]]/50,(WWWW[[#This Row],[Total PoP ]]/6))),0)</f>
        <v>11</v>
      </c>
      <c r="CR394" s="712">
        <f>IF(WWWW[[#This Row],[Total required Latrines]]-(WWWW[[#This Row],['#_Constructed latrines_by_WASHAgencies]]+WWWW[[#This Row],['#_Non Cluster partner latrines]])&lt;0,0,WWWW[[#This Row],[Total required Latrines]]-(WWWW[[#This Row],['#_Constructed latrines_by_WASHAgencies]]+WWWW[[#This Row],['#_Non Cluster partner latrines]]))</f>
        <v>11</v>
      </c>
      <c r="CS394" s="716">
        <f>1-WWWW[[#This Row],[% people access to functioning Latrine]]</f>
        <v>1</v>
      </c>
      <c r="CT394" s="713">
        <f>IF(OR(WWWW[[#This Row],['#_Non-functional latrines]]="",WWWW[[#This Row],['#_Non-functional latrines]]=0),0,WWWW[[#This Row],['#_Non-functional latrines]]/(WWWW[[#This Row],['#_Constructed latrines_by_WASHAgencies]]+WWWW[[#This Row],['#_Non Cluster partner latrines]]))</f>
        <v>0</v>
      </c>
      <c r="CU394" s="708">
        <f>IF(500*(WWWW[[#This Row],['#_male hygiene promoters]]+WWWW[[#This Row],['#_female hygiene promoters]])&gt;WWWW[[#This Row],[Total PoP ]],WWWW[[#This Row],[Total PoP ]],500*(WWWW[[#This Row],['#_male hygiene promoters]]+WWWW[[#This Row],['#_female hygiene promoters]]))</f>
        <v>0</v>
      </c>
      <c r="CV39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4" s="712">
        <f>IF(WWWW[[#This Row],['# People with access to soap]]&gt;WWWW[[#This Row],['# People with access to Sanity Pads]],WWWW[[#This Row],['# People with access to soap]],WWWW[[#This Row],['# People with access to Sanity Pads]])</f>
        <v>0</v>
      </c>
      <c r="CY39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4" s="714">
        <f>IF(WWWW[[#This Row],[HRP3]]/WWWW[[#This Row],[Total PoP ]]&gt;100%,100%,WWWW[[#This Row],[HRP3]]/WWWW[[#This Row],[Total PoP ]])</f>
        <v>0</v>
      </c>
      <c r="DA394" s="713">
        <f>1-WWWW[[#This Row],[Hygiene Coverage%]]</f>
        <v>1</v>
      </c>
      <c r="DB394" s="710">
        <f>WWWW[[#This Row],['# people reached by regular dedicated hygiene promotion_5]]/WWWW[[#This Row],[Total PoP ]]</f>
        <v>0</v>
      </c>
      <c r="DC394" s="710">
        <f>IF(WWWW[[#This Row],['#_households that received standard amount of soap for this quarter]]/WWWW[[#This Row],[Total HH]]&gt;1,1,WWWW[[#This Row],['#_households that received standard amount of soap for this quarter]]/WWWW[[#This Row],[Total HH]])</f>
        <v>0</v>
      </c>
      <c r="DD394" s="710">
        <f>IF(WWWW[[#This Row],['#_households that received standard amount of sanitary pads for this quarter]]/WWWW[[#This Row],[Total HH]]&gt;1,1,WWWW[[#This Row],['#_households that received standard amount of sanitary pads for this quarter]]/WWWW[[#This Row],[Total HH]])</f>
        <v>0</v>
      </c>
      <c r="DE394" s="712">
        <f>WWWW[[#This Row],['#_Constructed/Existing hand washing stations]]-WWWW[[#This Row],['#_Non-Functional_hand_washing_stations]]</f>
        <v>0</v>
      </c>
      <c r="DF394" s="757">
        <f>IF(WWWW[[#This Row],['# Functional hand washing stations during reporting period]]*20&gt;WWWW[[#This Row],[Total HH]],WWWW[[#This Row],[Total HH]],WWWW[[#This Row],['# Functional hand washing stations during reporting period]]*20)</f>
        <v>0</v>
      </c>
      <c r="DG394" s="708">
        <f>IF(WWWW[[#This Row],[Is sufficient soap available for TLS? (Yes/No)]]="yes",WWWW[[#This Row],['#_Constructed/Existing hand washing stations at TLS]],0)</f>
        <v>0</v>
      </c>
      <c r="DH394" s="585">
        <f>IF(WWWW[[#This Row],['# Functional hand washing stations during reporting period]]*100&gt;WWWW[[#This Row],[Total PoP ]],WWWW[[#This Row],[Total PoP ]],WWWW[[#This Row],['# Functional hand washing stations during reporting period]]*100)</f>
        <v>0</v>
      </c>
      <c r="DI394" s="585" t="str">
        <f>IF(OR(WWWW[[#This Row],['#_students at TLS_CFS]]="",WWWW[[#This Row],['#_students at TLS_CFS]]=0),"No","Yes")</f>
        <v>No</v>
      </c>
      <c r="DJ394" s="711">
        <f>VLOOKUP(WWWW[[#This Row],[Site Name]],SiteDB6[[Site Name]:[CCCM Management]],6,FALSE)</f>
        <v>0</v>
      </c>
      <c r="DK394" s="711">
        <f>VLOOKUP(WWWW[[#This Row],[Site Name]],SiteDB6[[Site Name]:[CCCM Focal Agency]],7,FALSE)</f>
        <v>0</v>
      </c>
      <c r="DL394" s="711" t="str">
        <f>VLOOKUP(WWWW[[#This Row],[Site Name]],SiteDB6[[Site Name]:[Location Type 1]],9,FALSE)</f>
        <v>Temporary location</v>
      </c>
      <c r="DM394" s="711" t="str">
        <f>VLOOKUP(WWWW[[#This Row],[Site Name]],SiteDB6[[Site Name]:[Type of Accommodation]],10,FALSE)</f>
        <v>Temporary location</v>
      </c>
      <c r="DN394" s="711">
        <f>VLOOKUP(WWWW[[#This Row],[Site Name]],SiteDB6[[Site Name]:[Ethnic or GCA/NGCA]],11,FALSE)</f>
        <v>0</v>
      </c>
      <c r="DO394" s="711">
        <f>VLOOKUP(WWWW[[#This Row],[Site Name]],SiteDB6[[Site Name]:[Lat]],12,FALSE)</f>
        <v>0</v>
      </c>
      <c r="DP394" s="711">
        <f>VLOOKUP(WWWW[[#This Row],[Site Name]],SiteDB6[[Site Name]:[Long]],13,FALSE)</f>
        <v>0</v>
      </c>
      <c r="DQ394" s="711" t="str">
        <f>VLOOKUP(WWWW[[#This Row],[Site Name]],SiteDB6[[Site Name]:[Pcode]],3,FALSE)</f>
        <v>MMR012003701505</v>
      </c>
      <c r="DR394" s="709" t="str">
        <f t="shared" si="13"/>
        <v>Notcovered</v>
      </c>
      <c r="DS394" s="709"/>
      <c r="DV394" s="572"/>
    </row>
    <row r="395" spans="1:126">
      <c r="A395" s="552" t="s">
        <v>2518</v>
      </c>
      <c r="B395" s="808" t="s">
        <v>317</v>
      </c>
      <c r="C395" s="808" t="s">
        <v>317</v>
      </c>
      <c r="D395" s="702"/>
      <c r="E395" s="703" t="s">
        <v>3006</v>
      </c>
      <c r="F395" s="702" t="s">
        <v>489</v>
      </c>
      <c r="G395" s="704" t="str">
        <f>VLOOKUP(WWWW[[#This Row],[Site Name]],SiteDB6[[Site Name]:[Location Type]],8,FALSE)</f>
        <v>New Temporary Site</v>
      </c>
      <c r="H395" s="702" t="s">
        <v>3156</v>
      </c>
      <c r="I395" s="705">
        <v>39</v>
      </c>
      <c r="J395" s="705">
        <v>139</v>
      </c>
      <c r="K395" s="706"/>
      <c r="L395" s="707"/>
      <c r="M395" s="705"/>
      <c r="N395" s="705"/>
      <c r="O395" s="705"/>
      <c r="P395" s="705"/>
      <c r="Q395" s="708"/>
      <c r="R395" s="705"/>
      <c r="S395" s="705"/>
      <c r="T395" s="312"/>
      <c r="U395" s="705"/>
      <c r="V395" s="705"/>
      <c r="W395" s="705"/>
      <c r="X395" s="705"/>
      <c r="Y395" s="705"/>
      <c r="Z395" s="705"/>
      <c r="AA395" s="705"/>
      <c r="AB395" s="705"/>
      <c r="AC395" s="705"/>
      <c r="AD395" s="705"/>
      <c r="AE395" s="705"/>
      <c r="AF395" s="705"/>
      <c r="AG395" s="705"/>
      <c r="AH395" s="705"/>
      <c r="AI395" s="705"/>
      <c r="AJ395" s="705"/>
      <c r="AK395" s="705"/>
      <c r="AL395" s="705"/>
      <c r="AM395" s="705"/>
      <c r="AN395" s="705"/>
      <c r="AO395" s="709"/>
      <c r="AP395" s="705"/>
      <c r="AQ395" s="705"/>
      <c r="AR395" s="710"/>
      <c r="AS395" s="705"/>
      <c r="AT395" s="705"/>
      <c r="AU395" s="705"/>
      <c r="AV395" s="705"/>
      <c r="AW395" s="705"/>
      <c r="AX395" s="711"/>
      <c r="AY395" s="709"/>
      <c r="AZ395" s="705"/>
      <c r="BA395" s="705"/>
      <c r="BB395" s="705"/>
      <c r="BC395" s="711"/>
      <c r="BD395" s="705"/>
      <c r="BE395" s="705"/>
      <c r="BF395" s="705"/>
      <c r="BG395" s="705"/>
      <c r="BH395" s="705"/>
      <c r="BI395" s="705"/>
      <c r="BJ395" s="705"/>
      <c r="BK395" s="705"/>
      <c r="BL395" s="705"/>
      <c r="BM395" s="711"/>
      <c r="BN395" s="712"/>
      <c r="BO395" s="710"/>
      <c r="BP395" s="711"/>
      <c r="BQ395" s="713" t="str">
        <f>IFERROR(WWWW[[#This Row],['#_Water sources treated]]/WWWW[[#This Row],['#_Water sources tested for contamination]],"no test")</f>
        <v>no test</v>
      </c>
      <c r="BR395" s="710" t="str">
        <f>IFERROR(WWWW[[#This Row],['#_Household received remediation action due to contamination]]/WWWW[[#This Row],['#_Household water samples tested for contamination]],"no test")</f>
        <v>no test</v>
      </c>
      <c r="BS395" s="712" t="str">
        <f>IF(AND(WWWW[[#This Row],[% of water sources treated]]="no test",WWWW[[#This Row],[% Household received corrective actions]]="no test"),"No Test","Tested")</f>
        <v>No Test</v>
      </c>
      <c r="BT395" s="712">
        <f>WWWW[[#This Row],['#_Constructed/existing protected hand dug well]]-WWWW[[#This Row],['#_Non-functional protected hand dug well]]</f>
        <v>0</v>
      </c>
      <c r="BU395" s="712">
        <f>(WWWW[[#This Row],['#_Constructed/Existing tube wells/boreholes/handpumps_WASH_agency]]+WWWW[[#This Row],['#_Non-Cluster partner water tube-wells/boreholes/handpumps]])-WWWW[[#This Row],['#_Non-functional tube wells/boreholes/handpumps]]</f>
        <v>0</v>
      </c>
      <c r="BV395" s="712">
        <f>WWWW[[#This Row],['#_Constructed/Existingwater storage tank with gravity fed reticulation system]]-WWWW[[#This Row],['#_Non-functional storage tank gravity fed reticulation system]]</f>
        <v>0</v>
      </c>
      <c r="BW395" s="712">
        <f>WWWW[[#This Row],['#_Water boating or water trucking]]</f>
        <v>0</v>
      </c>
      <c r="BX395" s="712">
        <f>WWWW[[#This Row],['#_Constructed/Existing water distribution system from river or natural spring]]</f>
        <v>0</v>
      </c>
      <c r="BY39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5" s="710">
        <f>IF(WWWW[[#This Row],[Location Type 1]]="Village",WWWW[[#This Row],[Access to safe drinking water for Village]],WWWW[[#This Row],[Access to safe drinking water for Camp]])</f>
        <v>0</v>
      </c>
      <c r="CB395" s="708">
        <f>WWWW[[#This Row],[%Equitable and continuous access to sufficient quantity of safe drinking water]]*WWWW[[#This Row],[Total PoP ]]</f>
        <v>0</v>
      </c>
      <c r="CC395" s="710">
        <f>IF((WWWW[[#This Row],['#_Constructed/Existing protected/fenced ponds]]*250)/WWWW[[#This Row],[Total PoP ]]&gt;1,1,(WWWW[[#This Row],['#_Constructed/Existing protected/fenced ponds]]*250)/WWWW[[#This Row],[Total PoP ]])</f>
        <v>0</v>
      </c>
      <c r="CD395" s="708">
        <f>WWWW[[#This Row],[% Access to unimproved water points]]*WWWW[[#This Row],[Total PoP ]]</f>
        <v>0</v>
      </c>
      <c r="CE39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5" s="708">
        <f>WWWW[[#This Row],[HRP1]]/500</f>
        <v>0</v>
      </c>
      <c r="CH395" s="714">
        <f>1-WWWW[[#This Row],[% Equitable and continuous access to sufficient quantity of domestic water]]</f>
        <v>1</v>
      </c>
      <c r="CI395" s="708">
        <f>WWWW[[#This Row],[%equitable and continuous access to sufficient quantity of safe drinking and domestic water''s GAP]]*WWWW[[#This Row],[Total PoP ]]</f>
        <v>139</v>
      </c>
      <c r="CJ395" s="712">
        <f>IF(WWWW[[#This Row],[Total required water points]]-WWWW[[#This Row],['#Water points coverage]]&lt;0,0,WWWW[[#This Row],[Total required water points]]-WWWW[[#This Row],['#Water points coverage]])</f>
        <v>1</v>
      </c>
      <c r="CK395" s="712">
        <f>ROUND(IF(WWWW[[#This Row],[Total PoP ]]&lt;500,1,WWWW[[#This Row],[Total PoP ]]/500),0)</f>
        <v>1</v>
      </c>
      <c r="CL395" s="712">
        <f>(WWWW[[#This Row],['#_Constructed latrines_by_WASHAgencies]]+WWWW[[#This Row],['#_Non Cluster partner latrines]])-WWWW[[#This Row],['#_Non-functional latrines]]</f>
        <v>0</v>
      </c>
      <c r="CM39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5" s="712">
        <f>IF(WWWW[[#This Row],[Location Type 1]]="Village","NA",IF(WWWW[[#This Row],['#_Constructed/Existing latrines in TLS]]*50&gt;WWWW[[#This Row],['#_students at TLS_CFS]],WWWW[[#This Row],['#_students at TLS_CFS]],(WWWW[[#This Row],['#_Constructed/Existing latrines in TLS]]*50)))</f>
        <v>0</v>
      </c>
      <c r="CQ395" s="712">
        <f>ROUND(IF(WWWW[[#This Row],[Location Type 1]]="camp",WWWW[[#This Row],[Total PoP ]]/20,IF(WWWW[[#This Row],[Location Type 1]]="Temporary Location",WWWW[[#This Row],[Total PoP ]]/50,(WWWW[[#This Row],[Total PoP ]]/6))),0)</f>
        <v>3</v>
      </c>
      <c r="CR395" s="712">
        <f>IF(WWWW[[#This Row],[Total required Latrines]]-(WWWW[[#This Row],['#_Constructed latrines_by_WASHAgencies]]+WWWW[[#This Row],['#_Non Cluster partner latrines]])&lt;0,0,WWWW[[#This Row],[Total required Latrines]]-(WWWW[[#This Row],['#_Constructed latrines_by_WASHAgencies]]+WWWW[[#This Row],['#_Non Cluster partner latrines]]))</f>
        <v>3</v>
      </c>
      <c r="CS395" s="716">
        <f>1-WWWW[[#This Row],[% people access to functioning Latrine]]</f>
        <v>1</v>
      </c>
      <c r="CT395" s="713">
        <f>IF(OR(WWWW[[#This Row],['#_Non-functional latrines]]="",WWWW[[#This Row],['#_Non-functional latrines]]=0),0,WWWW[[#This Row],['#_Non-functional latrines]]/(WWWW[[#This Row],['#_Constructed latrines_by_WASHAgencies]]+WWWW[[#This Row],['#_Non Cluster partner latrines]]))</f>
        <v>0</v>
      </c>
      <c r="CU395" s="708">
        <f>IF(500*(WWWW[[#This Row],['#_male hygiene promoters]]+WWWW[[#This Row],['#_female hygiene promoters]])&gt;WWWW[[#This Row],[Total PoP ]],WWWW[[#This Row],[Total PoP ]],500*(WWWW[[#This Row],['#_male hygiene promoters]]+WWWW[[#This Row],['#_female hygiene promoters]]))</f>
        <v>0</v>
      </c>
      <c r="CV39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5" s="712">
        <f>IF(WWWW[[#This Row],['# People with access to soap]]&gt;WWWW[[#This Row],['# People with access to Sanity Pads]],WWWW[[#This Row],['# People with access to soap]],WWWW[[#This Row],['# People with access to Sanity Pads]])</f>
        <v>0</v>
      </c>
      <c r="CY39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5" s="714">
        <f>IF(WWWW[[#This Row],[HRP3]]/WWWW[[#This Row],[Total PoP ]]&gt;100%,100%,WWWW[[#This Row],[HRP3]]/WWWW[[#This Row],[Total PoP ]])</f>
        <v>0</v>
      </c>
      <c r="DA395" s="713">
        <f>1-WWWW[[#This Row],[Hygiene Coverage%]]</f>
        <v>1</v>
      </c>
      <c r="DB395" s="710">
        <f>WWWW[[#This Row],['# people reached by regular dedicated hygiene promotion_5]]/WWWW[[#This Row],[Total PoP ]]</f>
        <v>0</v>
      </c>
      <c r="DC395" s="710">
        <f>IF(WWWW[[#This Row],['#_households that received standard amount of soap for this quarter]]/WWWW[[#This Row],[Total HH]]&gt;1,1,WWWW[[#This Row],['#_households that received standard amount of soap for this quarter]]/WWWW[[#This Row],[Total HH]])</f>
        <v>0</v>
      </c>
      <c r="DD395" s="710">
        <f>IF(WWWW[[#This Row],['#_households that received standard amount of sanitary pads for this quarter]]/WWWW[[#This Row],[Total HH]]&gt;1,1,WWWW[[#This Row],['#_households that received standard amount of sanitary pads for this quarter]]/WWWW[[#This Row],[Total HH]])</f>
        <v>0</v>
      </c>
      <c r="DE395" s="712">
        <f>WWWW[[#This Row],['#_Constructed/Existing hand washing stations]]-WWWW[[#This Row],['#_Non-Functional_hand_washing_stations]]</f>
        <v>0</v>
      </c>
      <c r="DF395" s="757">
        <f>IF(WWWW[[#This Row],['# Functional hand washing stations during reporting period]]*20&gt;WWWW[[#This Row],[Total HH]],WWWW[[#This Row],[Total HH]],WWWW[[#This Row],['# Functional hand washing stations during reporting period]]*20)</f>
        <v>0</v>
      </c>
      <c r="DG395" s="708">
        <f>IF(WWWW[[#This Row],[Is sufficient soap available for TLS? (Yes/No)]]="yes",WWWW[[#This Row],['#_Constructed/Existing hand washing stations at TLS]],0)</f>
        <v>0</v>
      </c>
      <c r="DH395" s="585">
        <f>IF(WWWW[[#This Row],['# Functional hand washing stations during reporting period]]*100&gt;WWWW[[#This Row],[Total PoP ]],WWWW[[#This Row],[Total PoP ]],WWWW[[#This Row],['# Functional hand washing stations during reporting period]]*100)</f>
        <v>0</v>
      </c>
      <c r="DI395" s="585" t="str">
        <f>IF(OR(WWWW[[#This Row],['#_students at TLS_CFS]]="",WWWW[[#This Row],['#_students at TLS_CFS]]=0),"No","Yes")</f>
        <v>No</v>
      </c>
      <c r="DJ395" s="711">
        <f>VLOOKUP(WWWW[[#This Row],[Site Name]],SiteDB6[[Site Name]:[CCCM Management]],6,FALSE)</f>
        <v>0</v>
      </c>
      <c r="DK395" s="711">
        <f>VLOOKUP(WWWW[[#This Row],[Site Name]],SiteDB6[[Site Name]:[CCCM Focal Agency]],7,FALSE)</f>
        <v>0</v>
      </c>
      <c r="DL395" s="711" t="str">
        <f>VLOOKUP(WWWW[[#This Row],[Site Name]],SiteDB6[[Site Name]:[Location Type 1]],9,FALSE)</f>
        <v>Temporary location</v>
      </c>
      <c r="DM395" s="711" t="str">
        <f>VLOOKUP(WWWW[[#This Row],[Site Name]],SiteDB6[[Site Name]:[Type of Accommodation]],10,FALSE)</f>
        <v>Temporary location</v>
      </c>
      <c r="DN395" s="711">
        <f>VLOOKUP(WWWW[[#This Row],[Site Name]],SiteDB6[[Site Name]:[Ethnic or GCA/NGCA]],11,FALSE)</f>
        <v>0</v>
      </c>
      <c r="DO395" s="711">
        <f>VLOOKUP(WWWW[[#This Row],[Site Name]],SiteDB6[[Site Name]:[Lat]],12,FALSE)</f>
        <v>0</v>
      </c>
      <c r="DP395" s="711">
        <f>VLOOKUP(WWWW[[#This Row],[Site Name]],SiteDB6[[Site Name]:[Long]],13,FALSE)</f>
        <v>0</v>
      </c>
      <c r="DQ395" s="711" t="str">
        <f>VLOOKUP(WWWW[[#This Row],[Site Name]],SiteDB6[[Site Name]:[Pcode]],3,FALSE)</f>
        <v>MMR012003701505</v>
      </c>
      <c r="DR395" s="709" t="str">
        <f t="shared" si="13"/>
        <v>Notcovered</v>
      </c>
      <c r="DS395" s="709"/>
      <c r="DV395" s="572"/>
    </row>
    <row r="396" spans="1:126">
      <c r="A396" s="552" t="s">
        <v>2518</v>
      </c>
      <c r="B396" s="701" t="s">
        <v>3129</v>
      </c>
      <c r="C396" s="701" t="s">
        <v>3129</v>
      </c>
      <c r="D396" s="702"/>
      <c r="E396" s="703" t="s">
        <v>3006</v>
      </c>
      <c r="F396" s="702" t="s">
        <v>489</v>
      </c>
      <c r="G396" s="704" t="str">
        <f>VLOOKUP(WWWW[[#This Row],[Site Name]],SiteDB6[[Site Name]:[Location Type]],8,FALSE)</f>
        <v>New Temporary Site</v>
      </c>
      <c r="H396" s="702" t="s">
        <v>2876</v>
      </c>
      <c r="I396" s="705">
        <v>53</v>
      </c>
      <c r="J396" s="705">
        <v>230</v>
      </c>
      <c r="K396" s="706"/>
      <c r="L396" s="707"/>
      <c r="M396" s="705"/>
      <c r="N396" s="705"/>
      <c r="O396" s="705"/>
      <c r="P396" s="705"/>
      <c r="Q396" s="708"/>
      <c r="R396" s="705"/>
      <c r="S396" s="705"/>
      <c r="T396" s="312"/>
      <c r="U396" s="705"/>
      <c r="V396" s="705"/>
      <c r="W396" s="705"/>
      <c r="X396" s="705"/>
      <c r="Y396" s="705"/>
      <c r="Z396" s="705"/>
      <c r="AA396" s="705"/>
      <c r="AB396" s="705"/>
      <c r="AC396" s="705"/>
      <c r="AD396" s="705"/>
      <c r="AE396" s="705"/>
      <c r="AF396" s="705"/>
      <c r="AG396" s="705"/>
      <c r="AH396" s="705"/>
      <c r="AI396" s="705"/>
      <c r="AJ396" s="705"/>
      <c r="AK396" s="705"/>
      <c r="AL396" s="705"/>
      <c r="AM396" s="705"/>
      <c r="AN396" s="705"/>
      <c r="AO396" s="709"/>
      <c r="AP396" s="705">
        <v>5</v>
      </c>
      <c r="AQ396" s="705"/>
      <c r="AR396" s="710"/>
      <c r="AS396" s="705"/>
      <c r="AT396" s="705"/>
      <c r="AU396" s="705"/>
      <c r="AV396" s="705"/>
      <c r="AW396" s="705"/>
      <c r="AX396" s="711"/>
      <c r="AY396" s="709"/>
      <c r="AZ396" s="705"/>
      <c r="BA396" s="705"/>
      <c r="BB396" s="705"/>
      <c r="BC396" s="711"/>
      <c r="BD396" s="705"/>
      <c r="BE396" s="705"/>
      <c r="BF396" s="705"/>
      <c r="BG396" s="705"/>
      <c r="BH396" s="705"/>
      <c r="BI396" s="705"/>
      <c r="BJ396" s="705"/>
      <c r="BK396" s="705">
        <v>272</v>
      </c>
      <c r="BL396" s="705">
        <v>272</v>
      </c>
      <c r="BM396" s="711"/>
      <c r="BN396" s="712"/>
      <c r="BO396" s="710"/>
      <c r="BP396" s="711"/>
      <c r="BQ396" s="713" t="str">
        <f>IFERROR(WWWW[[#This Row],['#_Water sources treated]]/WWWW[[#This Row],['#_Water sources tested for contamination]],"no test")</f>
        <v>no test</v>
      </c>
      <c r="BR396" s="710" t="str">
        <f>IFERROR(WWWW[[#This Row],['#_Household received remediation action due to contamination]]/WWWW[[#This Row],['#_Household water samples tested for contamination]],"no test")</f>
        <v>no test</v>
      </c>
      <c r="BS396" s="712" t="str">
        <f>IF(AND(WWWW[[#This Row],[% of water sources treated]]="no test",WWWW[[#This Row],[% Household received corrective actions]]="no test"),"No Test","Tested")</f>
        <v>No Test</v>
      </c>
      <c r="BT396" s="712">
        <f>WWWW[[#This Row],['#_Constructed/existing protected hand dug well]]-WWWW[[#This Row],['#_Non-functional protected hand dug well]]</f>
        <v>0</v>
      </c>
      <c r="BU396" s="712">
        <f>(WWWW[[#This Row],['#_Constructed/Existing tube wells/boreholes/handpumps_WASH_agency]]+WWWW[[#This Row],['#_Non-Cluster partner water tube-wells/boreholes/handpumps]])-WWWW[[#This Row],['#_Non-functional tube wells/boreholes/handpumps]]</f>
        <v>0</v>
      </c>
      <c r="BV396" s="712">
        <f>WWWW[[#This Row],['#_Constructed/Existingwater storage tank with gravity fed reticulation system]]-WWWW[[#This Row],['#_Non-functional storage tank gravity fed reticulation system]]</f>
        <v>0</v>
      </c>
      <c r="BW396" s="712">
        <f>WWWW[[#This Row],['#_Water boating or water trucking]]</f>
        <v>0</v>
      </c>
      <c r="BX396" s="712">
        <f>WWWW[[#This Row],['#_Constructed/Existing water distribution system from river or natural spring]]</f>
        <v>0</v>
      </c>
      <c r="BY39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6" s="710">
        <f>IF(WWWW[[#This Row],[Location Type 1]]="Village",WWWW[[#This Row],[Access to safe drinking water for Village]],WWWW[[#This Row],[Access to safe drinking water for Camp]])</f>
        <v>0</v>
      </c>
      <c r="CB396" s="708">
        <f>WWWW[[#This Row],[%Equitable and continuous access to sufficient quantity of safe drinking water]]*WWWW[[#This Row],[Total PoP ]]</f>
        <v>0</v>
      </c>
      <c r="CC396" s="710">
        <f>IF((WWWW[[#This Row],['#_Constructed/Existing protected/fenced ponds]]*250)/WWWW[[#This Row],[Total PoP ]]&gt;1,1,(WWWW[[#This Row],['#_Constructed/Existing protected/fenced ponds]]*250)/WWWW[[#This Row],[Total PoP ]])</f>
        <v>0</v>
      </c>
      <c r="CD396" s="708">
        <f>WWWW[[#This Row],[% Access to unimproved water points]]*WWWW[[#This Row],[Total PoP ]]</f>
        <v>0</v>
      </c>
      <c r="CE39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6" s="708">
        <f>WWWW[[#This Row],[HRP1]]/500</f>
        <v>0</v>
      </c>
      <c r="CH396" s="714">
        <f>1-WWWW[[#This Row],[% Equitable and continuous access to sufficient quantity of domestic water]]</f>
        <v>1</v>
      </c>
      <c r="CI396" s="708">
        <f>WWWW[[#This Row],[%equitable and continuous access to sufficient quantity of safe drinking and domestic water''s GAP]]*WWWW[[#This Row],[Total PoP ]]</f>
        <v>230</v>
      </c>
      <c r="CJ396" s="712">
        <f>IF(WWWW[[#This Row],[Total required water points]]-WWWW[[#This Row],['#Water points coverage]]&lt;0,0,WWWW[[#This Row],[Total required water points]]-WWWW[[#This Row],['#Water points coverage]])</f>
        <v>1</v>
      </c>
      <c r="CK396" s="712">
        <f>ROUND(IF(WWWW[[#This Row],[Total PoP ]]&lt;500,1,WWWW[[#This Row],[Total PoP ]]/500),0)</f>
        <v>1</v>
      </c>
      <c r="CL396" s="712">
        <f>(WWWW[[#This Row],['#_Constructed latrines_by_WASHAgencies]]+WWWW[[#This Row],['#_Non Cluster partner latrines]])-WWWW[[#This Row],['#_Non-functional latrines]]</f>
        <v>5</v>
      </c>
      <c r="CM39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39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230</v>
      </c>
      <c r="CO39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6" s="712">
        <f>IF(WWWW[[#This Row],[Location Type 1]]="Village","NA",IF(WWWW[[#This Row],['#_Constructed/Existing latrines in TLS]]*50&gt;WWWW[[#This Row],['#_students at TLS_CFS]],WWWW[[#This Row],['#_students at TLS_CFS]],(WWWW[[#This Row],['#_Constructed/Existing latrines in TLS]]*50)))</f>
        <v>0</v>
      </c>
      <c r="CQ396" s="712">
        <f>ROUND(IF(WWWW[[#This Row],[Location Type 1]]="camp",WWWW[[#This Row],[Total PoP ]]/20,IF(WWWW[[#This Row],[Location Type 1]]="Temporary Location",WWWW[[#This Row],[Total PoP ]]/50,(WWWW[[#This Row],[Total PoP ]]/6))),0)</f>
        <v>5</v>
      </c>
      <c r="CR396" s="712">
        <f>IF(WWWW[[#This Row],[Total required Latrines]]-(WWWW[[#This Row],['#_Constructed latrines_by_WASHAgencies]]+WWWW[[#This Row],['#_Non Cluster partner latrines]])&lt;0,0,WWWW[[#This Row],[Total required Latrines]]-(WWWW[[#This Row],['#_Constructed latrines_by_WASHAgencies]]+WWWW[[#This Row],['#_Non Cluster partner latrines]]))</f>
        <v>0</v>
      </c>
      <c r="CS396" s="716">
        <f>1-WWWW[[#This Row],[% people access to functioning Latrine]]</f>
        <v>0</v>
      </c>
      <c r="CT396" s="713">
        <f>IF(OR(WWWW[[#This Row],['#_Non-functional latrines]]="",WWWW[[#This Row],['#_Non-functional latrines]]=0),0,WWWW[[#This Row],['#_Non-functional latrines]]/(WWWW[[#This Row],['#_Constructed latrines_by_WASHAgencies]]+WWWW[[#This Row],['#_Non Cluster partner latrines]]))</f>
        <v>0</v>
      </c>
      <c r="CU396" s="708">
        <f>IF(500*(WWWW[[#This Row],['#_male hygiene promoters]]+WWWW[[#This Row],['#_female hygiene promoters]])&gt;WWWW[[#This Row],[Total PoP ]],WWWW[[#This Row],[Total PoP ]],500*(WWWW[[#This Row],['#_male hygiene promoters]]+WWWW[[#This Row],['#_female hygiene promoters]]))</f>
        <v>0</v>
      </c>
      <c r="CV39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CW39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230</v>
      </c>
      <c r="CX396" s="712">
        <f>IF(WWWW[[#This Row],['# People with access to soap]]&gt;WWWW[[#This Row],['# People with access to Sanity Pads]],WWWW[[#This Row],['# People with access to soap]],WWWW[[#This Row],['# People with access to Sanity Pads]])</f>
        <v>230</v>
      </c>
      <c r="CY396" s="712">
        <f>IF(WWWW[[#This Row],['# people reached by regular dedicated hygiene promotion_5]]&gt;WWWW[[#This Row],['# People received regular supply of hygiene items_6]],WWWW[[#This Row],['# people reached by regular dedicated hygiene promotion_5]],WWWW[[#This Row],['# People received regular supply of hygiene items_6]])</f>
        <v>230</v>
      </c>
      <c r="CZ396" s="714">
        <f>IF(WWWW[[#This Row],[HRP3]]/WWWW[[#This Row],[Total PoP ]]&gt;100%,100%,WWWW[[#This Row],[HRP3]]/WWWW[[#This Row],[Total PoP ]])</f>
        <v>1</v>
      </c>
      <c r="DA396" s="713">
        <f>1-WWWW[[#This Row],[Hygiene Coverage%]]</f>
        <v>0</v>
      </c>
      <c r="DB396" s="710">
        <f>WWWW[[#This Row],['# people reached by regular dedicated hygiene promotion_5]]/WWWW[[#This Row],[Total PoP ]]</f>
        <v>0</v>
      </c>
      <c r="DC396" s="710">
        <f>IF(WWWW[[#This Row],['#_households that received standard amount of soap for this quarter]]/WWWW[[#This Row],[Total HH]]&gt;1,1,WWWW[[#This Row],['#_households that received standard amount of soap for this quarter]]/WWWW[[#This Row],[Total HH]])</f>
        <v>1</v>
      </c>
      <c r="DD396" s="710">
        <f>IF(WWWW[[#This Row],['#_households that received standard amount of sanitary pads for this quarter]]/WWWW[[#This Row],[Total HH]]&gt;1,1,WWWW[[#This Row],['#_households that received standard amount of sanitary pads for this quarter]]/WWWW[[#This Row],[Total HH]])</f>
        <v>1</v>
      </c>
      <c r="DE396" s="712">
        <f>WWWW[[#This Row],['#_Constructed/Existing hand washing stations]]-WWWW[[#This Row],['#_Non-Functional_hand_washing_stations]]</f>
        <v>0</v>
      </c>
      <c r="DF396" s="757">
        <f>IF(WWWW[[#This Row],['# Functional hand washing stations during reporting period]]*20&gt;WWWW[[#This Row],[Total HH]],WWWW[[#This Row],[Total HH]],WWWW[[#This Row],['# Functional hand washing stations during reporting period]]*20)</f>
        <v>0</v>
      </c>
      <c r="DG396" s="708">
        <f>IF(WWWW[[#This Row],[Is sufficient soap available for TLS? (Yes/No)]]="yes",WWWW[[#This Row],['#_Constructed/Existing hand washing stations at TLS]],0)</f>
        <v>0</v>
      </c>
      <c r="DH396" s="585">
        <f>IF(WWWW[[#This Row],['# Functional hand washing stations during reporting period]]*100&gt;WWWW[[#This Row],[Total PoP ]],WWWW[[#This Row],[Total PoP ]],WWWW[[#This Row],['# Functional hand washing stations during reporting period]]*100)</f>
        <v>0</v>
      </c>
      <c r="DI396" s="585" t="str">
        <f>IF(OR(WWWW[[#This Row],['#_students at TLS_CFS]]="",WWWW[[#This Row],['#_students at TLS_CFS]]=0),"No","Yes")</f>
        <v>No</v>
      </c>
      <c r="DJ396" s="711">
        <f>VLOOKUP(WWWW[[#This Row],[Site Name]],SiteDB6[[Site Name]:[CCCM Management]],6,FALSE)</f>
        <v>0</v>
      </c>
      <c r="DK396" s="711">
        <f>VLOOKUP(WWWW[[#This Row],[Site Name]],SiteDB6[[Site Name]:[CCCM Focal Agency]],7,FALSE)</f>
        <v>0</v>
      </c>
      <c r="DL396" s="711" t="str">
        <f>VLOOKUP(WWWW[[#This Row],[Site Name]],SiteDB6[[Site Name]:[Location Type 1]],9,FALSE)</f>
        <v>Temporary location</v>
      </c>
      <c r="DM396" s="711" t="str">
        <f>VLOOKUP(WWWW[[#This Row],[Site Name]],SiteDB6[[Site Name]:[Type of Accommodation]],10,FALSE)</f>
        <v>Temporary location</v>
      </c>
      <c r="DN396" s="711">
        <f>VLOOKUP(WWWW[[#This Row],[Site Name]],SiteDB6[[Site Name]:[Ethnic or GCA/NGCA]],11,FALSE)</f>
        <v>0</v>
      </c>
      <c r="DO396" s="711">
        <f>VLOOKUP(WWWW[[#This Row],[Site Name]],SiteDB6[[Site Name]:[Lat]],12,FALSE)</f>
        <v>0</v>
      </c>
      <c r="DP396" s="711">
        <f>VLOOKUP(WWWW[[#This Row],[Site Name]],SiteDB6[[Site Name]:[Long]],13,FALSE)</f>
        <v>0</v>
      </c>
      <c r="DQ396" s="711">
        <f>VLOOKUP(WWWW[[#This Row],[Site Name]],SiteDB6[[Site Name]:[Pcode]],3,FALSE)</f>
        <v>0</v>
      </c>
      <c r="DR396" s="709" t="str">
        <f t="shared" si="13"/>
        <v>Covered</v>
      </c>
      <c r="DS396" s="709"/>
      <c r="DV396" s="572"/>
    </row>
    <row r="397" spans="1:126">
      <c r="A397" s="552" t="s">
        <v>2518</v>
      </c>
      <c r="B397" s="808" t="s">
        <v>317</v>
      </c>
      <c r="C397" s="808" t="s">
        <v>317</v>
      </c>
      <c r="D397" s="702"/>
      <c r="E397" s="703" t="s">
        <v>3006</v>
      </c>
      <c r="F397" s="702" t="s">
        <v>489</v>
      </c>
      <c r="G397" s="704" t="str">
        <f>VLOOKUP(WWWW[[#This Row],[Site Name]],SiteDB6[[Site Name]:[Location Type]],8,FALSE)</f>
        <v>New Temporary Site</v>
      </c>
      <c r="H397" s="702" t="s">
        <v>569</v>
      </c>
      <c r="I397" s="705">
        <v>87</v>
      </c>
      <c r="J397" s="705">
        <v>397</v>
      </c>
      <c r="K397" s="706"/>
      <c r="L397" s="707"/>
      <c r="M397" s="705"/>
      <c r="N397" s="705"/>
      <c r="O397" s="705"/>
      <c r="P397" s="705"/>
      <c r="Q397" s="708"/>
      <c r="R397" s="705"/>
      <c r="S397" s="705"/>
      <c r="T397" s="312"/>
      <c r="U397" s="705"/>
      <c r="V397" s="705"/>
      <c r="W397" s="705"/>
      <c r="X397" s="705"/>
      <c r="Y397" s="705"/>
      <c r="Z397" s="705"/>
      <c r="AA397" s="705"/>
      <c r="AB397" s="705"/>
      <c r="AC397" s="705"/>
      <c r="AD397" s="705"/>
      <c r="AE397" s="705"/>
      <c r="AF397" s="705"/>
      <c r="AG397" s="705"/>
      <c r="AH397" s="705"/>
      <c r="AI397" s="705"/>
      <c r="AJ397" s="705"/>
      <c r="AK397" s="705"/>
      <c r="AL397" s="705"/>
      <c r="AM397" s="705"/>
      <c r="AN397" s="705"/>
      <c r="AO397" s="709"/>
      <c r="AP397" s="705"/>
      <c r="AQ397" s="705"/>
      <c r="AR397" s="710"/>
      <c r="AS397" s="705"/>
      <c r="AT397" s="705"/>
      <c r="AU397" s="705"/>
      <c r="AV397" s="705"/>
      <c r="AW397" s="705"/>
      <c r="AX397" s="711"/>
      <c r="AY397" s="709"/>
      <c r="AZ397" s="705"/>
      <c r="BA397" s="705"/>
      <c r="BB397" s="705"/>
      <c r="BC397" s="711"/>
      <c r="BD397" s="705"/>
      <c r="BE397" s="705"/>
      <c r="BF397" s="705"/>
      <c r="BG397" s="705"/>
      <c r="BH397" s="705"/>
      <c r="BI397" s="705"/>
      <c r="BJ397" s="705"/>
      <c r="BK397" s="705"/>
      <c r="BL397" s="705"/>
      <c r="BM397" s="711"/>
      <c r="BN397" s="712"/>
      <c r="BO397" s="710"/>
      <c r="BP397" s="711"/>
      <c r="BQ397" s="713" t="str">
        <f>IFERROR(WWWW[[#This Row],['#_Water sources treated]]/WWWW[[#This Row],['#_Water sources tested for contamination]],"no test")</f>
        <v>no test</v>
      </c>
      <c r="BR397" s="710" t="str">
        <f>IFERROR(WWWW[[#This Row],['#_Household received remediation action due to contamination]]/WWWW[[#This Row],['#_Household water samples tested for contamination]],"no test")</f>
        <v>no test</v>
      </c>
      <c r="BS397" s="712" t="str">
        <f>IF(AND(WWWW[[#This Row],[% of water sources treated]]="no test",WWWW[[#This Row],[% Household received corrective actions]]="no test"),"No Test","Tested")</f>
        <v>No Test</v>
      </c>
      <c r="BT397" s="712">
        <f>WWWW[[#This Row],['#_Constructed/existing protected hand dug well]]-WWWW[[#This Row],['#_Non-functional protected hand dug well]]</f>
        <v>0</v>
      </c>
      <c r="BU397" s="712">
        <f>(WWWW[[#This Row],['#_Constructed/Existing tube wells/boreholes/handpumps_WASH_agency]]+WWWW[[#This Row],['#_Non-Cluster partner water tube-wells/boreholes/handpumps]])-WWWW[[#This Row],['#_Non-functional tube wells/boreholes/handpumps]]</f>
        <v>0</v>
      </c>
      <c r="BV397" s="712">
        <f>WWWW[[#This Row],['#_Constructed/Existingwater storage tank with gravity fed reticulation system]]-WWWW[[#This Row],['#_Non-functional storage tank gravity fed reticulation system]]</f>
        <v>0</v>
      </c>
      <c r="BW397" s="712">
        <f>WWWW[[#This Row],['#_Water boating or water trucking]]</f>
        <v>0</v>
      </c>
      <c r="BX397" s="712">
        <f>WWWW[[#This Row],['#_Constructed/Existing water distribution system from river or natural spring]]</f>
        <v>0</v>
      </c>
      <c r="BY39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7" s="710">
        <f>IF(WWWW[[#This Row],[Location Type 1]]="Village",WWWW[[#This Row],[Access to safe drinking water for Village]],WWWW[[#This Row],[Access to safe drinking water for Camp]])</f>
        <v>0</v>
      </c>
      <c r="CB397" s="708">
        <f>WWWW[[#This Row],[%Equitable and continuous access to sufficient quantity of safe drinking water]]*WWWW[[#This Row],[Total PoP ]]</f>
        <v>0</v>
      </c>
      <c r="CC397" s="710">
        <f>IF((WWWW[[#This Row],['#_Constructed/Existing protected/fenced ponds]]*250)/WWWW[[#This Row],[Total PoP ]]&gt;1,1,(WWWW[[#This Row],['#_Constructed/Existing protected/fenced ponds]]*250)/WWWW[[#This Row],[Total PoP ]])</f>
        <v>0</v>
      </c>
      <c r="CD397" s="708">
        <f>WWWW[[#This Row],[% Access to unimproved water points]]*WWWW[[#This Row],[Total PoP ]]</f>
        <v>0</v>
      </c>
      <c r="CE39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7" s="708">
        <f>WWWW[[#This Row],[HRP1]]/500</f>
        <v>0</v>
      </c>
      <c r="CH397" s="714">
        <f>1-WWWW[[#This Row],[% Equitable and continuous access to sufficient quantity of domestic water]]</f>
        <v>1</v>
      </c>
      <c r="CI397" s="708">
        <f>WWWW[[#This Row],[%equitable and continuous access to sufficient quantity of safe drinking and domestic water''s GAP]]*WWWW[[#This Row],[Total PoP ]]</f>
        <v>397</v>
      </c>
      <c r="CJ397" s="712">
        <f>IF(WWWW[[#This Row],[Total required water points]]-WWWW[[#This Row],['#Water points coverage]]&lt;0,0,WWWW[[#This Row],[Total required water points]]-WWWW[[#This Row],['#Water points coverage]])</f>
        <v>1</v>
      </c>
      <c r="CK397" s="712">
        <f>ROUND(IF(WWWW[[#This Row],[Total PoP ]]&lt;500,1,WWWW[[#This Row],[Total PoP ]]/500),0)</f>
        <v>1</v>
      </c>
      <c r="CL397" s="712">
        <f>(WWWW[[#This Row],['#_Constructed latrines_by_WASHAgencies]]+WWWW[[#This Row],['#_Non Cluster partner latrines]])-WWWW[[#This Row],['#_Non-functional latrines]]</f>
        <v>0</v>
      </c>
      <c r="CM39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7" s="712">
        <f>IF(WWWW[[#This Row],[Location Type 1]]="Village","NA",IF(WWWW[[#This Row],['#_Constructed/Existing latrines in TLS]]*50&gt;WWWW[[#This Row],['#_students at TLS_CFS]],WWWW[[#This Row],['#_students at TLS_CFS]],(WWWW[[#This Row],['#_Constructed/Existing latrines in TLS]]*50)))</f>
        <v>0</v>
      </c>
      <c r="CQ397" s="712">
        <f>ROUND(IF(WWWW[[#This Row],[Location Type 1]]="camp",WWWW[[#This Row],[Total PoP ]]/20,IF(WWWW[[#This Row],[Location Type 1]]="Temporary Location",WWWW[[#This Row],[Total PoP ]]/50,(WWWW[[#This Row],[Total PoP ]]/6))),0)</f>
        <v>8</v>
      </c>
      <c r="CR397" s="712">
        <f>IF(WWWW[[#This Row],[Total required Latrines]]-(WWWW[[#This Row],['#_Constructed latrines_by_WASHAgencies]]+WWWW[[#This Row],['#_Non Cluster partner latrines]])&lt;0,0,WWWW[[#This Row],[Total required Latrines]]-(WWWW[[#This Row],['#_Constructed latrines_by_WASHAgencies]]+WWWW[[#This Row],['#_Non Cluster partner latrines]]))</f>
        <v>8</v>
      </c>
      <c r="CS397" s="716">
        <f>1-WWWW[[#This Row],[% people access to functioning Latrine]]</f>
        <v>1</v>
      </c>
      <c r="CT397" s="713">
        <f>IF(OR(WWWW[[#This Row],['#_Non-functional latrines]]="",WWWW[[#This Row],['#_Non-functional latrines]]=0),0,WWWW[[#This Row],['#_Non-functional latrines]]/(WWWW[[#This Row],['#_Constructed latrines_by_WASHAgencies]]+WWWW[[#This Row],['#_Non Cluster partner latrines]]))</f>
        <v>0</v>
      </c>
      <c r="CU397" s="708">
        <f>IF(500*(WWWW[[#This Row],['#_male hygiene promoters]]+WWWW[[#This Row],['#_female hygiene promoters]])&gt;WWWW[[#This Row],[Total PoP ]],WWWW[[#This Row],[Total PoP ]],500*(WWWW[[#This Row],['#_male hygiene promoters]]+WWWW[[#This Row],['#_female hygiene promoters]]))</f>
        <v>0</v>
      </c>
      <c r="CV39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7" s="712">
        <f>IF(WWWW[[#This Row],['# People with access to soap]]&gt;WWWW[[#This Row],['# People with access to Sanity Pads]],WWWW[[#This Row],['# People with access to soap]],WWWW[[#This Row],['# People with access to Sanity Pads]])</f>
        <v>0</v>
      </c>
      <c r="CY39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7" s="714">
        <f>IF(WWWW[[#This Row],[HRP3]]/WWWW[[#This Row],[Total PoP ]]&gt;100%,100%,WWWW[[#This Row],[HRP3]]/WWWW[[#This Row],[Total PoP ]])</f>
        <v>0</v>
      </c>
      <c r="DA397" s="713">
        <f>1-WWWW[[#This Row],[Hygiene Coverage%]]</f>
        <v>1</v>
      </c>
      <c r="DB397" s="710">
        <f>WWWW[[#This Row],['# people reached by regular dedicated hygiene promotion_5]]/WWWW[[#This Row],[Total PoP ]]</f>
        <v>0</v>
      </c>
      <c r="DC397" s="710">
        <f>IF(WWWW[[#This Row],['#_households that received standard amount of soap for this quarter]]/WWWW[[#This Row],[Total HH]]&gt;1,1,WWWW[[#This Row],['#_households that received standard amount of soap for this quarter]]/WWWW[[#This Row],[Total HH]])</f>
        <v>0</v>
      </c>
      <c r="DD397" s="710">
        <f>IF(WWWW[[#This Row],['#_households that received standard amount of sanitary pads for this quarter]]/WWWW[[#This Row],[Total HH]]&gt;1,1,WWWW[[#This Row],['#_households that received standard amount of sanitary pads for this quarter]]/WWWW[[#This Row],[Total HH]])</f>
        <v>0</v>
      </c>
      <c r="DE397" s="712">
        <f>WWWW[[#This Row],['#_Constructed/Existing hand washing stations]]-WWWW[[#This Row],['#_Non-Functional_hand_washing_stations]]</f>
        <v>0</v>
      </c>
      <c r="DF397" s="757">
        <f>IF(WWWW[[#This Row],['# Functional hand washing stations during reporting period]]*20&gt;WWWW[[#This Row],[Total HH]],WWWW[[#This Row],[Total HH]],WWWW[[#This Row],['# Functional hand washing stations during reporting period]]*20)</f>
        <v>0</v>
      </c>
      <c r="DG397" s="708">
        <f>IF(WWWW[[#This Row],[Is sufficient soap available for TLS? (Yes/No)]]="yes",WWWW[[#This Row],['#_Constructed/Existing hand washing stations at TLS]],0)</f>
        <v>0</v>
      </c>
      <c r="DH397" s="585">
        <f>IF(WWWW[[#This Row],['# Functional hand washing stations during reporting period]]*100&gt;WWWW[[#This Row],[Total PoP ]],WWWW[[#This Row],[Total PoP ]],WWWW[[#This Row],['# Functional hand washing stations during reporting period]]*100)</f>
        <v>0</v>
      </c>
      <c r="DI397" s="585" t="str">
        <f>IF(OR(WWWW[[#This Row],['#_students at TLS_CFS]]="",WWWW[[#This Row],['#_students at TLS_CFS]]=0),"No","Yes")</f>
        <v>No</v>
      </c>
      <c r="DJ397" s="711">
        <f>VLOOKUP(WWWW[[#This Row],[Site Name]],SiteDB6[[Site Name]:[CCCM Management]],6,FALSE)</f>
        <v>0</v>
      </c>
      <c r="DK397" s="711">
        <f>VLOOKUP(WWWW[[#This Row],[Site Name]],SiteDB6[[Site Name]:[CCCM Focal Agency]],7,FALSE)</f>
        <v>0</v>
      </c>
      <c r="DL397" s="711" t="str">
        <f>VLOOKUP(WWWW[[#This Row],[Site Name]],SiteDB6[[Site Name]:[Location Type 1]],9,FALSE)</f>
        <v>Temporary location</v>
      </c>
      <c r="DM397" s="711" t="str">
        <f>VLOOKUP(WWWW[[#This Row],[Site Name]],SiteDB6[[Site Name]:[Type of Accommodation]],10,FALSE)</f>
        <v>Temporary location</v>
      </c>
      <c r="DN397" s="711">
        <f>VLOOKUP(WWWW[[#This Row],[Site Name]],SiteDB6[[Site Name]:[Ethnic or GCA/NGCA]],11,FALSE)</f>
        <v>0</v>
      </c>
      <c r="DO397" s="711">
        <f>VLOOKUP(WWWW[[#This Row],[Site Name]],SiteDB6[[Site Name]:[Lat]],12,FALSE)</f>
        <v>0</v>
      </c>
      <c r="DP397" s="711">
        <f>VLOOKUP(WWWW[[#This Row],[Site Name]],SiteDB6[[Site Name]:[Long]],13,FALSE)</f>
        <v>0</v>
      </c>
      <c r="DQ397" s="711">
        <f>VLOOKUP(WWWW[[#This Row],[Site Name]],SiteDB6[[Site Name]:[Pcode]],3,FALSE)</f>
        <v>0</v>
      </c>
      <c r="DR397" s="709" t="str">
        <f t="shared" si="13"/>
        <v>Notcovered</v>
      </c>
      <c r="DS397" s="709"/>
      <c r="DV397" s="572"/>
    </row>
    <row r="398" spans="1:126">
      <c r="A398" s="552" t="s">
        <v>2518</v>
      </c>
      <c r="B398" s="808" t="s">
        <v>317</v>
      </c>
      <c r="C398" s="808" t="s">
        <v>317</v>
      </c>
      <c r="D398" s="702"/>
      <c r="E398" s="703" t="s">
        <v>3006</v>
      </c>
      <c r="F398" s="702" t="s">
        <v>489</v>
      </c>
      <c r="G398" s="704" t="str">
        <f>VLOOKUP(WWWW[[#This Row],[Site Name]],SiteDB6[[Site Name]:[Location Type]],8,FALSE)</f>
        <v>New Temporary Site</v>
      </c>
      <c r="H398" s="702" t="s">
        <v>3219</v>
      </c>
      <c r="I398" s="705">
        <v>22</v>
      </c>
      <c r="J398" s="705">
        <v>69</v>
      </c>
      <c r="K398" s="706"/>
      <c r="L398" s="707"/>
      <c r="M398" s="705"/>
      <c r="N398" s="705"/>
      <c r="O398" s="705"/>
      <c r="P398" s="705"/>
      <c r="Q398" s="708"/>
      <c r="R398" s="705"/>
      <c r="S398" s="705"/>
      <c r="T398" s="312"/>
      <c r="U398" s="705"/>
      <c r="V398" s="705"/>
      <c r="W398" s="705"/>
      <c r="X398" s="705"/>
      <c r="Y398" s="705"/>
      <c r="Z398" s="705"/>
      <c r="AA398" s="705"/>
      <c r="AB398" s="705"/>
      <c r="AC398" s="705"/>
      <c r="AD398" s="705"/>
      <c r="AE398" s="705"/>
      <c r="AF398" s="705"/>
      <c r="AG398" s="705"/>
      <c r="AH398" s="705"/>
      <c r="AI398" s="705"/>
      <c r="AJ398" s="705"/>
      <c r="AK398" s="705"/>
      <c r="AL398" s="705"/>
      <c r="AM398" s="705"/>
      <c r="AN398" s="705"/>
      <c r="AO398" s="709"/>
      <c r="AP398" s="705"/>
      <c r="AQ398" s="705"/>
      <c r="AR398" s="710"/>
      <c r="AS398" s="705"/>
      <c r="AT398" s="705"/>
      <c r="AU398" s="705"/>
      <c r="AV398" s="705"/>
      <c r="AW398" s="705"/>
      <c r="AX398" s="711"/>
      <c r="AY398" s="709"/>
      <c r="AZ398" s="705"/>
      <c r="BA398" s="705"/>
      <c r="BB398" s="705"/>
      <c r="BC398" s="711"/>
      <c r="BD398" s="705"/>
      <c r="BE398" s="705"/>
      <c r="BF398" s="705"/>
      <c r="BG398" s="705"/>
      <c r="BH398" s="705"/>
      <c r="BI398" s="705"/>
      <c r="BJ398" s="705"/>
      <c r="BK398" s="705"/>
      <c r="BL398" s="705"/>
      <c r="BM398" s="711"/>
      <c r="BN398" s="712"/>
      <c r="BO398" s="710"/>
      <c r="BP398" s="711"/>
      <c r="BQ398" s="713" t="str">
        <f>IFERROR(WWWW[[#This Row],['#_Water sources treated]]/WWWW[[#This Row],['#_Water sources tested for contamination]],"no test")</f>
        <v>no test</v>
      </c>
      <c r="BR398" s="710" t="str">
        <f>IFERROR(WWWW[[#This Row],['#_Household received remediation action due to contamination]]/WWWW[[#This Row],['#_Household water samples tested for contamination]],"no test")</f>
        <v>no test</v>
      </c>
      <c r="BS398" s="712" t="str">
        <f>IF(AND(WWWW[[#This Row],[% of water sources treated]]="no test",WWWW[[#This Row],[% Household received corrective actions]]="no test"),"No Test","Tested")</f>
        <v>No Test</v>
      </c>
      <c r="BT398" s="712">
        <f>WWWW[[#This Row],['#_Constructed/existing protected hand dug well]]-WWWW[[#This Row],['#_Non-functional protected hand dug well]]</f>
        <v>0</v>
      </c>
      <c r="BU398" s="712">
        <f>(WWWW[[#This Row],['#_Constructed/Existing tube wells/boreholes/handpumps_WASH_agency]]+WWWW[[#This Row],['#_Non-Cluster partner water tube-wells/boreholes/handpumps]])-WWWW[[#This Row],['#_Non-functional tube wells/boreholes/handpumps]]</f>
        <v>0</v>
      </c>
      <c r="BV398" s="712">
        <f>WWWW[[#This Row],['#_Constructed/Existingwater storage tank with gravity fed reticulation system]]-WWWW[[#This Row],['#_Non-functional storage tank gravity fed reticulation system]]</f>
        <v>0</v>
      </c>
      <c r="BW398" s="712">
        <f>WWWW[[#This Row],['#_Water boating or water trucking]]</f>
        <v>0</v>
      </c>
      <c r="BX398" s="712">
        <f>WWWW[[#This Row],['#_Constructed/Existing water distribution system from river or natural spring]]</f>
        <v>0</v>
      </c>
      <c r="BY39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8" s="710">
        <f>IF(WWWW[[#This Row],[Location Type 1]]="Village",WWWW[[#This Row],[Access to safe drinking water for Village]],WWWW[[#This Row],[Access to safe drinking water for Camp]])</f>
        <v>0</v>
      </c>
      <c r="CB398" s="708">
        <f>WWWW[[#This Row],[%Equitable and continuous access to sufficient quantity of safe drinking water]]*WWWW[[#This Row],[Total PoP ]]</f>
        <v>0</v>
      </c>
      <c r="CC398" s="710">
        <f>IF((WWWW[[#This Row],['#_Constructed/Existing protected/fenced ponds]]*250)/WWWW[[#This Row],[Total PoP ]]&gt;1,1,(WWWW[[#This Row],['#_Constructed/Existing protected/fenced ponds]]*250)/WWWW[[#This Row],[Total PoP ]])</f>
        <v>0</v>
      </c>
      <c r="CD398" s="708">
        <f>WWWW[[#This Row],[% Access to unimproved water points]]*WWWW[[#This Row],[Total PoP ]]</f>
        <v>0</v>
      </c>
      <c r="CE39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8" s="708">
        <f>WWWW[[#This Row],[HRP1]]/500</f>
        <v>0</v>
      </c>
      <c r="CH398" s="714">
        <f>1-WWWW[[#This Row],[% Equitable and continuous access to sufficient quantity of domestic water]]</f>
        <v>1</v>
      </c>
      <c r="CI398" s="708">
        <f>WWWW[[#This Row],[%equitable and continuous access to sufficient quantity of safe drinking and domestic water''s GAP]]*WWWW[[#This Row],[Total PoP ]]</f>
        <v>69</v>
      </c>
      <c r="CJ398" s="712">
        <f>IF(WWWW[[#This Row],[Total required water points]]-WWWW[[#This Row],['#Water points coverage]]&lt;0,0,WWWW[[#This Row],[Total required water points]]-WWWW[[#This Row],['#Water points coverage]])</f>
        <v>1</v>
      </c>
      <c r="CK398" s="712">
        <f>ROUND(IF(WWWW[[#This Row],[Total PoP ]]&lt;500,1,WWWW[[#This Row],[Total PoP ]]/500),0)</f>
        <v>1</v>
      </c>
      <c r="CL398" s="712">
        <f>(WWWW[[#This Row],['#_Constructed latrines_by_WASHAgencies]]+WWWW[[#This Row],['#_Non Cluster partner latrines]])-WWWW[[#This Row],['#_Non-functional latrines]]</f>
        <v>0</v>
      </c>
      <c r="CM39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8" s="712">
        <f>IF(WWWW[[#This Row],[Location Type 1]]="Village","NA",IF(WWWW[[#This Row],['#_Constructed/Existing latrines in TLS]]*50&gt;WWWW[[#This Row],['#_students at TLS_CFS]],WWWW[[#This Row],['#_students at TLS_CFS]],(WWWW[[#This Row],['#_Constructed/Existing latrines in TLS]]*50)))</f>
        <v>0</v>
      </c>
      <c r="CQ398" s="712">
        <f>ROUND(IF(WWWW[[#This Row],[Location Type 1]]="camp",WWWW[[#This Row],[Total PoP ]]/20,IF(WWWW[[#This Row],[Location Type 1]]="Temporary Location",WWWW[[#This Row],[Total PoP ]]/50,(WWWW[[#This Row],[Total PoP ]]/6))),0)</f>
        <v>1</v>
      </c>
      <c r="CR398" s="712">
        <f>IF(WWWW[[#This Row],[Total required Latrines]]-(WWWW[[#This Row],['#_Constructed latrines_by_WASHAgencies]]+WWWW[[#This Row],['#_Non Cluster partner latrines]])&lt;0,0,WWWW[[#This Row],[Total required Latrines]]-(WWWW[[#This Row],['#_Constructed latrines_by_WASHAgencies]]+WWWW[[#This Row],['#_Non Cluster partner latrines]]))</f>
        <v>1</v>
      </c>
      <c r="CS398" s="716">
        <f>1-WWWW[[#This Row],[% people access to functioning Latrine]]</f>
        <v>1</v>
      </c>
      <c r="CT398" s="713">
        <f>IF(OR(WWWW[[#This Row],['#_Non-functional latrines]]="",WWWW[[#This Row],['#_Non-functional latrines]]=0),0,WWWW[[#This Row],['#_Non-functional latrines]]/(WWWW[[#This Row],['#_Constructed latrines_by_WASHAgencies]]+WWWW[[#This Row],['#_Non Cluster partner latrines]]))</f>
        <v>0</v>
      </c>
      <c r="CU398" s="708">
        <f>IF(500*(WWWW[[#This Row],['#_male hygiene promoters]]+WWWW[[#This Row],['#_female hygiene promoters]])&gt;WWWW[[#This Row],[Total PoP ]],WWWW[[#This Row],[Total PoP ]],500*(WWWW[[#This Row],['#_male hygiene promoters]]+WWWW[[#This Row],['#_female hygiene promoters]]))</f>
        <v>0</v>
      </c>
      <c r="CV39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8" s="712">
        <f>IF(WWWW[[#This Row],['# People with access to soap]]&gt;WWWW[[#This Row],['# People with access to Sanity Pads]],WWWW[[#This Row],['# People with access to soap]],WWWW[[#This Row],['# People with access to Sanity Pads]])</f>
        <v>0</v>
      </c>
      <c r="CY39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8" s="714">
        <f>IF(WWWW[[#This Row],[HRP3]]/WWWW[[#This Row],[Total PoP ]]&gt;100%,100%,WWWW[[#This Row],[HRP3]]/WWWW[[#This Row],[Total PoP ]])</f>
        <v>0</v>
      </c>
      <c r="DA398" s="713">
        <f>1-WWWW[[#This Row],[Hygiene Coverage%]]</f>
        <v>1</v>
      </c>
      <c r="DB398" s="710">
        <f>WWWW[[#This Row],['# people reached by regular dedicated hygiene promotion_5]]/WWWW[[#This Row],[Total PoP ]]</f>
        <v>0</v>
      </c>
      <c r="DC398" s="710">
        <f>IF(WWWW[[#This Row],['#_households that received standard amount of soap for this quarter]]/WWWW[[#This Row],[Total HH]]&gt;1,1,WWWW[[#This Row],['#_households that received standard amount of soap for this quarter]]/WWWW[[#This Row],[Total HH]])</f>
        <v>0</v>
      </c>
      <c r="DD398" s="710">
        <f>IF(WWWW[[#This Row],['#_households that received standard amount of sanitary pads for this quarter]]/WWWW[[#This Row],[Total HH]]&gt;1,1,WWWW[[#This Row],['#_households that received standard amount of sanitary pads for this quarter]]/WWWW[[#This Row],[Total HH]])</f>
        <v>0</v>
      </c>
      <c r="DE398" s="712">
        <f>WWWW[[#This Row],['#_Constructed/Existing hand washing stations]]-WWWW[[#This Row],['#_Non-Functional_hand_washing_stations]]</f>
        <v>0</v>
      </c>
      <c r="DF398" s="757">
        <f>IF(WWWW[[#This Row],['# Functional hand washing stations during reporting period]]*20&gt;WWWW[[#This Row],[Total HH]],WWWW[[#This Row],[Total HH]],WWWW[[#This Row],['# Functional hand washing stations during reporting period]]*20)</f>
        <v>0</v>
      </c>
      <c r="DG398" s="708">
        <f>IF(WWWW[[#This Row],[Is sufficient soap available for TLS? (Yes/No)]]="yes",WWWW[[#This Row],['#_Constructed/Existing hand washing stations at TLS]],0)</f>
        <v>0</v>
      </c>
      <c r="DH398" s="585">
        <f>IF(WWWW[[#This Row],['# Functional hand washing stations during reporting period]]*100&gt;WWWW[[#This Row],[Total PoP ]],WWWW[[#This Row],[Total PoP ]],WWWW[[#This Row],['# Functional hand washing stations during reporting period]]*100)</f>
        <v>0</v>
      </c>
      <c r="DI398" s="585" t="str">
        <f>IF(OR(WWWW[[#This Row],['#_students at TLS_CFS]]="",WWWW[[#This Row],['#_students at TLS_CFS]]=0),"No","Yes")</f>
        <v>No</v>
      </c>
      <c r="DJ398" s="711">
        <f>VLOOKUP(WWWW[[#This Row],[Site Name]],SiteDB6[[Site Name]:[CCCM Management]],6,FALSE)</f>
        <v>0</v>
      </c>
      <c r="DK398" s="711">
        <f>VLOOKUP(WWWW[[#This Row],[Site Name]],SiteDB6[[Site Name]:[CCCM Focal Agency]],7,FALSE)</f>
        <v>0</v>
      </c>
      <c r="DL398" s="711" t="str">
        <f>VLOOKUP(WWWW[[#This Row],[Site Name]],SiteDB6[[Site Name]:[Location Type 1]],9,FALSE)</f>
        <v>Temporary location</v>
      </c>
      <c r="DM398" s="711" t="str">
        <f>VLOOKUP(WWWW[[#This Row],[Site Name]],SiteDB6[[Site Name]:[Type of Accommodation]],10,FALSE)</f>
        <v>Temporary location</v>
      </c>
      <c r="DN398" s="711">
        <f>VLOOKUP(WWWW[[#This Row],[Site Name]],SiteDB6[[Site Name]:[Ethnic or GCA/NGCA]],11,FALSE)</f>
        <v>0</v>
      </c>
      <c r="DO398" s="711">
        <f>VLOOKUP(WWWW[[#This Row],[Site Name]],SiteDB6[[Site Name]:[Lat]],12,FALSE)</f>
        <v>0</v>
      </c>
      <c r="DP398" s="711">
        <f>VLOOKUP(WWWW[[#This Row],[Site Name]],SiteDB6[[Site Name]:[Long]],13,FALSE)</f>
        <v>0</v>
      </c>
      <c r="DQ398" s="711">
        <f>VLOOKUP(WWWW[[#This Row],[Site Name]],SiteDB6[[Site Name]:[Pcode]],3,FALSE)</f>
        <v>196475</v>
      </c>
      <c r="DR398" s="709" t="str">
        <f t="shared" si="13"/>
        <v>Notcovered</v>
      </c>
      <c r="DS398" s="709"/>
      <c r="DV398" s="572"/>
    </row>
    <row r="399" spans="1:126">
      <c r="A399" s="552" t="s">
        <v>2518</v>
      </c>
      <c r="B399" s="808" t="s">
        <v>317</v>
      </c>
      <c r="C399" s="808" t="s">
        <v>317</v>
      </c>
      <c r="D399" s="702"/>
      <c r="E399" s="703" t="s">
        <v>3006</v>
      </c>
      <c r="F399" s="702" t="s">
        <v>489</v>
      </c>
      <c r="G399" s="704" t="str">
        <f>VLOOKUP(WWWW[[#This Row],[Site Name]],SiteDB6[[Site Name]:[Location Type]],8,FALSE)</f>
        <v>New Temporary Site</v>
      </c>
      <c r="H399" s="702" t="s">
        <v>3159</v>
      </c>
      <c r="I399" s="705">
        <v>20</v>
      </c>
      <c r="J399" s="705">
        <v>61</v>
      </c>
      <c r="K399" s="706"/>
      <c r="L399" s="707"/>
      <c r="M399" s="705"/>
      <c r="N399" s="705"/>
      <c r="O399" s="705"/>
      <c r="P399" s="705"/>
      <c r="Q399" s="708"/>
      <c r="R399" s="705"/>
      <c r="S399" s="705"/>
      <c r="T399" s="312"/>
      <c r="U399" s="705"/>
      <c r="V399" s="705"/>
      <c r="W399" s="705"/>
      <c r="X399" s="705"/>
      <c r="Y399" s="705"/>
      <c r="Z399" s="705"/>
      <c r="AA399" s="705"/>
      <c r="AB399" s="705"/>
      <c r="AC399" s="705"/>
      <c r="AD399" s="705"/>
      <c r="AE399" s="705"/>
      <c r="AF399" s="705"/>
      <c r="AG399" s="705"/>
      <c r="AH399" s="705"/>
      <c r="AI399" s="705"/>
      <c r="AJ399" s="705"/>
      <c r="AK399" s="705"/>
      <c r="AL399" s="705"/>
      <c r="AM399" s="705"/>
      <c r="AN399" s="705"/>
      <c r="AO399" s="709"/>
      <c r="AP399" s="705"/>
      <c r="AQ399" s="705"/>
      <c r="AR399" s="710"/>
      <c r="AS399" s="705"/>
      <c r="AT399" s="705"/>
      <c r="AU399" s="705"/>
      <c r="AV399" s="705"/>
      <c r="AW399" s="705"/>
      <c r="AX399" s="711"/>
      <c r="AY399" s="709"/>
      <c r="AZ399" s="705"/>
      <c r="BA399" s="705"/>
      <c r="BB399" s="705"/>
      <c r="BC399" s="711"/>
      <c r="BD399" s="705"/>
      <c r="BE399" s="705"/>
      <c r="BF399" s="705"/>
      <c r="BG399" s="705"/>
      <c r="BH399" s="705"/>
      <c r="BI399" s="705"/>
      <c r="BJ399" s="705"/>
      <c r="BK399" s="705"/>
      <c r="BL399" s="705"/>
      <c r="BM399" s="711"/>
      <c r="BN399" s="712"/>
      <c r="BO399" s="710"/>
      <c r="BP399" s="711"/>
      <c r="BQ399" s="713" t="str">
        <f>IFERROR(WWWW[[#This Row],['#_Water sources treated]]/WWWW[[#This Row],['#_Water sources tested for contamination]],"no test")</f>
        <v>no test</v>
      </c>
      <c r="BR399" s="710" t="str">
        <f>IFERROR(WWWW[[#This Row],['#_Household received remediation action due to contamination]]/WWWW[[#This Row],['#_Household water samples tested for contamination]],"no test")</f>
        <v>no test</v>
      </c>
      <c r="BS399" s="712" t="str">
        <f>IF(AND(WWWW[[#This Row],[% of water sources treated]]="no test",WWWW[[#This Row],[% Household received corrective actions]]="no test"),"No Test","Tested")</f>
        <v>No Test</v>
      </c>
      <c r="BT399" s="712">
        <f>WWWW[[#This Row],['#_Constructed/existing protected hand dug well]]-WWWW[[#This Row],['#_Non-functional protected hand dug well]]</f>
        <v>0</v>
      </c>
      <c r="BU399" s="712">
        <f>(WWWW[[#This Row],['#_Constructed/Existing tube wells/boreholes/handpumps_WASH_agency]]+WWWW[[#This Row],['#_Non-Cluster partner water tube-wells/boreholes/handpumps]])-WWWW[[#This Row],['#_Non-functional tube wells/boreholes/handpumps]]</f>
        <v>0</v>
      </c>
      <c r="BV399" s="712">
        <f>WWWW[[#This Row],['#_Constructed/Existingwater storage tank with gravity fed reticulation system]]-WWWW[[#This Row],['#_Non-functional storage tank gravity fed reticulation system]]</f>
        <v>0</v>
      </c>
      <c r="BW399" s="712">
        <f>WWWW[[#This Row],['#_Water boating or water trucking]]</f>
        <v>0</v>
      </c>
      <c r="BX399" s="712">
        <f>WWWW[[#This Row],['#_Constructed/Existing water distribution system from river or natural spring]]</f>
        <v>0</v>
      </c>
      <c r="BY39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39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399" s="710">
        <f>IF(WWWW[[#This Row],[Location Type 1]]="Village",WWWW[[#This Row],[Access to safe drinking water for Village]],WWWW[[#This Row],[Access to safe drinking water for Camp]])</f>
        <v>0</v>
      </c>
      <c r="CB399" s="708">
        <f>WWWW[[#This Row],[%Equitable and continuous access to sufficient quantity of safe drinking water]]*WWWW[[#This Row],[Total PoP ]]</f>
        <v>0</v>
      </c>
      <c r="CC399" s="710">
        <f>IF((WWWW[[#This Row],['#_Constructed/Existing protected/fenced ponds]]*250)/WWWW[[#This Row],[Total PoP ]]&gt;1,1,(WWWW[[#This Row],['#_Constructed/Existing protected/fenced ponds]]*250)/WWWW[[#This Row],[Total PoP ]])</f>
        <v>0</v>
      </c>
      <c r="CD399" s="708">
        <f>WWWW[[#This Row],[% Access to unimproved water points]]*WWWW[[#This Row],[Total PoP ]]</f>
        <v>0</v>
      </c>
      <c r="CE39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39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399" s="708">
        <f>WWWW[[#This Row],[HRP1]]/500</f>
        <v>0</v>
      </c>
      <c r="CH399" s="714">
        <f>1-WWWW[[#This Row],[% Equitable and continuous access to sufficient quantity of domestic water]]</f>
        <v>1</v>
      </c>
      <c r="CI399" s="708">
        <f>WWWW[[#This Row],[%equitable and continuous access to sufficient quantity of safe drinking and domestic water''s GAP]]*WWWW[[#This Row],[Total PoP ]]</f>
        <v>61</v>
      </c>
      <c r="CJ399" s="712">
        <f>IF(WWWW[[#This Row],[Total required water points]]-WWWW[[#This Row],['#Water points coverage]]&lt;0,0,WWWW[[#This Row],[Total required water points]]-WWWW[[#This Row],['#Water points coverage]])</f>
        <v>1</v>
      </c>
      <c r="CK399" s="712">
        <f>ROUND(IF(WWWW[[#This Row],[Total PoP ]]&lt;500,1,WWWW[[#This Row],[Total PoP ]]/500),0)</f>
        <v>1</v>
      </c>
      <c r="CL399" s="712">
        <f>(WWWW[[#This Row],['#_Constructed latrines_by_WASHAgencies]]+WWWW[[#This Row],['#_Non Cluster partner latrines]])-WWWW[[#This Row],['#_Non-functional latrines]]</f>
        <v>0</v>
      </c>
      <c r="CM39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39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39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399" s="712">
        <f>IF(WWWW[[#This Row],[Location Type 1]]="Village","NA",IF(WWWW[[#This Row],['#_Constructed/Existing latrines in TLS]]*50&gt;WWWW[[#This Row],['#_students at TLS_CFS]],WWWW[[#This Row],['#_students at TLS_CFS]],(WWWW[[#This Row],['#_Constructed/Existing latrines in TLS]]*50)))</f>
        <v>0</v>
      </c>
      <c r="CQ399" s="712">
        <f>ROUND(IF(WWWW[[#This Row],[Location Type 1]]="camp",WWWW[[#This Row],[Total PoP ]]/20,IF(WWWW[[#This Row],[Location Type 1]]="Temporary Location",WWWW[[#This Row],[Total PoP ]]/50,(WWWW[[#This Row],[Total PoP ]]/6))),0)</f>
        <v>1</v>
      </c>
      <c r="CR399" s="712">
        <f>IF(WWWW[[#This Row],[Total required Latrines]]-(WWWW[[#This Row],['#_Constructed latrines_by_WASHAgencies]]+WWWW[[#This Row],['#_Non Cluster partner latrines]])&lt;0,0,WWWW[[#This Row],[Total required Latrines]]-(WWWW[[#This Row],['#_Constructed latrines_by_WASHAgencies]]+WWWW[[#This Row],['#_Non Cluster partner latrines]]))</f>
        <v>1</v>
      </c>
      <c r="CS399" s="716">
        <f>1-WWWW[[#This Row],[% people access to functioning Latrine]]</f>
        <v>1</v>
      </c>
      <c r="CT399" s="713">
        <f>IF(OR(WWWW[[#This Row],['#_Non-functional latrines]]="",WWWW[[#This Row],['#_Non-functional latrines]]=0),0,WWWW[[#This Row],['#_Non-functional latrines]]/(WWWW[[#This Row],['#_Constructed latrines_by_WASHAgencies]]+WWWW[[#This Row],['#_Non Cluster partner latrines]]))</f>
        <v>0</v>
      </c>
      <c r="CU399" s="708">
        <f>IF(500*(WWWW[[#This Row],['#_male hygiene promoters]]+WWWW[[#This Row],['#_female hygiene promoters]])&gt;WWWW[[#This Row],[Total PoP ]],WWWW[[#This Row],[Total PoP ]],500*(WWWW[[#This Row],['#_male hygiene promoters]]+WWWW[[#This Row],['#_female hygiene promoters]]))</f>
        <v>0</v>
      </c>
      <c r="CV39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39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399" s="712">
        <f>IF(WWWW[[#This Row],['# People with access to soap]]&gt;WWWW[[#This Row],['# People with access to Sanity Pads]],WWWW[[#This Row],['# People with access to soap]],WWWW[[#This Row],['# People with access to Sanity Pads]])</f>
        <v>0</v>
      </c>
      <c r="CY39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399" s="714">
        <f>IF(WWWW[[#This Row],[HRP3]]/WWWW[[#This Row],[Total PoP ]]&gt;100%,100%,WWWW[[#This Row],[HRP3]]/WWWW[[#This Row],[Total PoP ]])</f>
        <v>0</v>
      </c>
      <c r="DA399" s="713">
        <f>1-WWWW[[#This Row],[Hygiene Coverage%]]</f>
        <v>1</v>
      </c>
      <c r="DB399" s="710">
        <f>WWWW[[#This Row],['# people reached by regular dedicated hygiene promotion_5]]/WWWW[[#This Row],[Total PoP ]]</f>
        <v>0</v>
      </c>
      <c r="DC399" s="710">
        <f>IF(WWWW[[#This Row],['#_households that received standard amount of soap for this quarter]]/WWWW[[#This Row],[Total HH]]&gt;1,1,WWWW[[#This Row],['#_households that received standard amount of soap for this quarter]]/WWWW[[#This Row],[Total HH]])</f>
        <v>0</v>
      </c>
      <c r="DD399" s="710">
        <f>IF(WWWW[[#This Row],['#_households that received standard amount of sanitary pads for this quarter]]/WWWW[[#This Row],[Total HH]]&gt;1,1,WWWW[[#This Row],['#_households that received standard amount of sanitary pads for this quarter]]/WWWW[[#This Row],[Total HH]])</f>
        <v>0</v>
      </c>
      <c r="DE399" s="712">
        <f>WWWW[[#This Row],['#_Constructed/Existing hand washing stations]]-WWWW[[#This Row],['#_Non-Functional_hand_washing_stations]]</f>
        <v>0</v>
      </c>
      <c r="DF399" s="757">
        <f>IF(WWWW[[#This Row],['# Functional hand washing stations during reporting period]]*20&gt;WWWW[[#This Row],[Total HH]],WWWW[[#This Row],[Total HH]],WWWW[[#This Row],['# Functional hand washing stations during reporting period]]*20)</f>
        <v>0</v>
      </c>
      <c r="DG399" s="708">
        <f>IF(WWWW[[#This Row],[Is sufficient soap available for TLS? (Yes/No)]]="yes",WWWW[[#This Row],['#_Constructed/Existing hand washing stations at TLS]],0)</f>
        <v>0</v>
      </c>
      <c r="DH399" s="585">
        <f>IF(WWWW[[#This Row],['# Functional hand washing stations during reporting period]]*100&gt;WWWW[[#This Row],[Total PoP ]],WWWW[[#This Row],[Total PoP ]],WWWW[[#This Row],['# Functional hand washing stations during reporting period]]*100)</f>
        <v>0</v>
      </c>
      <c r="DI399" s="585" t="str">
        <f>IF(OR(WWWW[[#This Row],['#_students at TLS_CFS]]="",WWWW[[#This Row],['#_students at TLS_CFS]]=0),"No","Yes")</f>
        <v>No</v>
      </c>
      <c r="DJ399" s="711">
        <f>VLOOKUP(WWWW[[#This Row],[Site Name]],SiteDB6[[Site Name]:[CCCM Management]],6,FALSE)</f>
        <v>0</v>
      </c>
      <c r="DK399" s="711">
        <f>VLOOKUP(WWWW[[#This Row],[Site Name]],SiteDB6[[Site Name]:[CCCM Focal Agency]],7,FALSE)</f>
        <v>0</v>
      </c>
      <c r="DL399" s="711" t="str">
        <f>VLOOKUP(WWWW[[#This Row],[Site Name]],SiteDB6[[Site Name]:[Location Type 1]],9,FALSE)</f>
        <v>Temporary location</v>
      </c>
      <c r="DM399" s="711" t="str">
        <f>VLOOKUP(WWWW[[#This Row],[Site Name]],SiteDB6[[Site Name]:[Type of Accommodation]],10,FALSE)</f>
        <v>Temporary location</v>
      </c>
      <c r="DN399" s="711">
        <f>VLOOKUP(WWWW[[#This Row],[Site Name]],SiteDB6[[Site Name]:[Ethnic or GCA/NGCA]],11,FALSE)</f>
        <v>0</v>
      </c>
      <c r="DO399" s="711">
        <f>VLOOKUP(WWWW[[#This Row],[Site Name]],SiteDB6[[Site Name]:[Lat]],12,FALSE)</f>
        <v>0</v>
      </c>
      <c r="DP399" s="711">
        <f>VLOOKUP(WWWW[[#This Row],[Site Name]],SiteDB6[[Site Name]:[Long]],13,FALSE)</f>
        <v>0</v>
      </c>
      <c r="DQ399" s="711">
        <f>VLOOKUP(WWWW[[#This Row],[Site Name]],SiteDB6[[Site Name]:[Pcode]],3,FALSE)</f>
        <v>0</v>
      </c>
      <c r="DR399" s="709" t="str">
        <f t="shared" si="13"/>
        <v>Notcovered</v>
      </c>
      <c r="DS399" s="709"/>
      <c r="DV399" s="572"/>
    </row>
    <row r="400" spans="1:126">
      <c r="A400" s="552" t="s">
        <v>2518</v>
      </c>
      <c r="B400" s="701" t="s">
        <v>3204</v>
      </c>
      <c r="C400" s="701" t="s">
        <v>3204</v>
      </c>
      <c r="D400" s="702"/>
      <c r="E400" s="703" t="s">
        <v>3006</v>
      </c>
      <c r="F400" s="702" t="s">
        <v>489</v>
      </c>
      <c r="G400" s="704" t="str">
        <f>VLOOKUP(WWWW[[#This Row],[Site Name]],SiteDB6[[Site Name]:[Location Type]],8,FALSE)</f>
        <v>New Temporary Site</v>
      </c>
      <c r="H400" s="702" t="s">
        <v>2869</v>
      </c>
      <c r="I400" s="705">
        <v>96</v>
      </c>
      <c r="J400" s="705">
        <v>384</v>
      </c>
      <c r="K400" s="706"/>
      <c r="L400" s="707"/>
      <c r="M400" s="705"/>
      <c r="N400" s="705"/>
      <c r="O400" s="705"/>
      <c r="P400" s="705"/>
      <c r="Q400" s="708"/>
      <c r="R400" s="705"/>
      <c r="S400" s="705"/>
      <c r="T400" s="312"/>
      <c r="U400" s="705"/>
      <c r="V400" s="705"/>
      <c r="W400" s="705"/>
      <c r="X400" s="705"/>
      <c r="Y400" s="705"/>
      <c r="Z400" s="705"/>
      <c r="AA400" s="705"/>
      <c r="AB400" s="705"/>
      <c r="AC400" s="705"/>
      <c r="AD400" s="705"/>
      <c r="AE400" s="705"/>
      <c r="AF400" s="705"/>
      <c r="AG400" s="705"/>
      <c r="AH400" s="705"/>
      <c r="AI400" s="705"/>
      <c r="AJ400" s="705"/>
      <c r="AK400" s="705"/>
      <c r="AL400" s="705"/>
      <c r="AM400" s="705"/>
      <c r="AN400" s="705"/>
      <c r="AO400" s="709"/>
      <c r="AP400" s="705">
        <v>4</v>
      </c>
      <c r="AQ400" s="705"/>
      <c r="AR400" s="710"/>
      <c r="AS400" s="705"/>
      <c r="AT400" s="705"/>
      <c r="AU400" s="705"/>
      <c r="AV400" s="705"/>
      <c r="AW400" s="705"/>
      <c r="AX400" s="711"/>
      <c r="AY400" s="709"/>
      <c r="AZ400" s="705"/>
      <c r="BA400" s="705"/>
      <c r="BB400" s="705"/>
      <c r="BC400" s="711"/>
      <c r="BD400" s="705"/>
      <c r="BE400" s="705"/>
      <c r="BF400" s="705"/>
      <c r="BG400" s="705"/>
      <c r="BH400" s="705"/>
      <c r="BI400" s="705"/>
      <c r="BJ400" s="705"/>
      <c r="BK400" s="705">
        <v>326</v>
      </c>
      <c r="BL400" s="705">
        <v>326</v>
      </c>
      <c r="BM400" s="711"/>
      <c r="BN400" s="712"/>
      <c r="BO400" s="710"/>
      <c r="BP400" s="711"/>
      <c r="BQ400" s="713" t="str">
        <f>IFERROR(WWWW[[#This Row],['#_Water sources treated]]/WWWW[[#This Row],['#_Water sources tested for contamination]],"no test")</f>
        <v>no test</v>
      </c>
      <c r="BR400" s="710" t="str">
        <f>IFERROR(WWWW[[#This Row],['#_Household received remediation action due to contamination]]/WWWW[[#This Row],['#_Household water samples tested for contamination]],"no test")</f>
        <v>no test</v>
      </c>
      <c r="BS400" s="712" t="str">
        <f>IF(AND(WWWW[[#This Row],[% of water sources treated]]="no test",WWWW[[#This Row],[% Household received corrective actions]]="no test"),"No Test","Tested")</f>
        <v>No Test</v>
      </c>
      <c r="BT400" s="712">
        <f>WWWW[[#This Row],['#_Constructed/existing protected hand dug well]]-WWWW[[#This Row],['#_Non-functional protected hand dug well]]</f>
        <v>0</v>
      </c>
      <c r="BU400" s="712">
        <f>(WWWW[[#This Row],['#_Constructed/Existing tube wells/boreholes/handpumps_WASH_agency]]+WWWW[[#This Row],['#_Non-Cluster partner water tube-wells/boreholes/handpumps]])-WWWW[[#This Row],['#_Non-functional tube wells/boreholes/handpumps]]</f>
        <v>0</v>
      </c>
      <c r="BV400" s="712">
        <f>WWWW[[#This Row],['#_Constructed/Existingwater storage tank with gravity fed reticulation system]]-WWWW[[#This Row],['#_Non-functional storage tank gravity fed reticulation system]]</f>
        <v>0</v>
      </c>
      <c r="BW400" s="712">
        <f>WWWW[[#This Row],['#_Water boating or water trucking]]</f>
        <v>0</v>
      </c>
      <c r="BX400" s="712">
        <f>WWWW[[#This Row],['#_Constructed/Existing water distribution system from river or natural spring]]</f>
        <v>0</v>
      </c>
      <c r="BY40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0" s="710">
        <f>IF(WWWW[[#This Row],[Location Type 1]]="Village",WWWW[[#This Row],[Access to safe drinking water for Village]],WWWW[[#This Row],[Access to safe drinking water for Camp]])</f>
        <v>0</v>
      </c>
      <c r="CB400" s="708">
        <f>WWWW[[#This Row],[%Equitable and continuous access to sufficient quantity of safe drinking water]]*WWWW[[#This Row],[Total PoP ]]</f>
        <v>0</v>
      </c>
      <c r="CC400" s="710">
        <f>IF((WWWW[[#This Row],['#_Constructed/Existing protected/fenced ponds]]*250)/WWWW[[#This Row],[Total PoP ]]&gt;1,1,(WWWW[[#This Row],['#_Constructed/Existing protected/fenced ponds]]*250)/WWWW[[#This Row],[Total PoP ]])</f>
        <v>0</v>
      </c>
      <c r="CD400" s="708">
        <f>WWWW[[#This Row],[% Access to unimproved water points]]*WWWW[[#This Row],[Total PoP ]]</f>
        <v>0</v>
      </c>
      <c r="CE40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0" s="708">
        <f>WWWW[[#This Row],[HRP1]]/500</f>
        <v>0</v>
      </c>
      <c r="CH400" s="714">
        <f>1-WWWW[[#This Row],[% Equitable and continuous access to sufficient quantity of domestic water]]</f>
        <v>1</v>
      </c>
      <c r="CI400" s="708">
        <f>WWWW[[#This Row],[%equitable and continuous access to sufficient quantity of safe drinking and domestic water''s GAP]]*WWWW[[#This Row],[Total PoP ]]</f>
        <v>384</v>
      </c>
      <c r="CJ400" s="712">
        <f>IF(WWWW[[#This Row],[Total required water points]]-WWWW[[#This Row],['#Water points coverage]]&lt;0,0,WWWW[[#This Row],[Total required water points]]-WWWW[[#This Row],['#Water points coverage]])</f>
        <v>1</v>
      </c>
      <c r="CK400" s="712">
        <f>ROUND(IF(WWWW[[#This Row],[Total PoP ]]&lt;500,1,WWWW[[#This Row],[Total PoP ]]/500),0)</f>
        <v>1</v>
      </c>
      <c r="CL400" s="712">
        <f>(WWWW[[#This Row],['#_Constructed latrines_by_WASHAgencies]]+WWWW[[#This Row],['#_Non Cluster partner latrines]])-WWWW[[#This Row],['#_Non-functional latrines]]</f>
        <v>4</v>
      </c>
      <c r="CM40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0.52083333333333337</v>
      </c>
      <c r="CN40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40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0" s="712">
        <f>IF(WWWW[[#This Row],[Location Type 1]]="Village","NA",IF(WWWW[[#This Row],['#_Constructed/Existing latrines in TLS]]*50&gt;WWWW[[#This Row],['#_students at TLS_CFS]],WWWW[[#This Row],['#_students at TLS_CFS]],(WWWW[[#This Row],['#_Constructed/Existing latrines in TLS]]*50)))</f>
        <v>0</v>
      </c>
      <c r="CQ400" s="712">
        <f>ROUND(IF(WWWW[[#This Row],[Location Type 1]]="camp",WWWW[[#This Row],[Total PoP ]]/20,IF(WWWW[[#This Row],[Location Type 1]]="Temporary Location",WWWW[[#This Row],[Total PoP ]]/50,(WWWW[[#This Row],[Total PoP ]]/6))),0)</f>
        <v>8</v>
      </c>
      <c r="CR400" s="712">
        <f>IF(WWWW[[#This Row],[Total required Latrines]]-(WWWW[[#This Row],['#_Constructed latrines_by_WASHAgencies]]+WWWW[[#This Row],['#_Non Cluster partner latrines]])&lt;0,0,WWWW[[#This Row],[Total required Latrines]]-(WWWW[[#This Row],['#_Constructed latrines_by_WASHAgencies]]+WWWW[[#This Row],['#_Non Cluster partner latrines]]))</f>
        <v>4</v>
      </c>
      <c r="CS400" s="716">
        <f>1-WWWW[[#This Row],[% people access to functioning Latrine]]</f>
        <v>0.47916666666666663</v>
      </c>
      <c r="CT400" s="713">
        <f>IF(OR(WWWW[[#This Row],['#_Non-functional latrines]]="",WWWW[[#This Row],['#_Non-functional latrines]]=0),0,WWWW[[#This Row],['#_Non-functional latrines]]/(WWWW[[#This Row],['#_Constructed latrines_by_WASHAgencies]]+WWWW[[#This Row],['#_Non Cluster partner latrines]]))</f>
        <v>0</v>
      </c>
      <c r="CU400" s="708">
        <f>IF(500*(WWWW[[#This Row],['#_male hygiene promoters]]+WWWW[[#This Row],['#_female hygiene promoters]])&gt;WWWW[[#This Row],[Total PoP ]],WWWW[[#This Row],[Total PoP ]],500*(WWWW[[#This Row],['#_male hygiene promoters]]+WWWW[[#This Row],['#_female hygiene promoters]]))</f>
        <v>0</v>
      </c>
      <c r="CV40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384</v>
      </c>
      <c r="CW40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384</v>
      </c>
      <c r="CX400" s="712">
        <f>IF(WWWW[[#This Row],['# People with access to soap]]&gt;WWWW[[#This Row],['# People with access to Sanity Pads]],WWWW[[#This Row],['# People with access to soap]],WWWW[[#This Row],['# People with access to Sanity Pads]])</f>
        <v>384</v>
      </c>
      <c r="CY400" s="712">
        <f>IF(WWWW[[#This Row],['# people reached by regular dedicated hygiene promotion_5]]&gt;WWWW[[#This Row],['# People received regular supply of hygiene items_6]],WWWW[[#This Row],['# people reached by regular dedicated hygiene promotion_5]],WWWW[[#This Row],['# People received regular supply of hygiene items_6]])</f>
        <v>384</v>
      </c>
      <c r="CZ400" s="714">
        <f>IF(WWWW[[#This Row],[HRP3]]/WWWW[[#This Row],[Total PoP ]]&gt;100%,100%,WWWW[[#This Row],[HRP3]]/WWWW[[#This Row],[Total PoP ]])</f>
        <v>1</v>
      </c>
      <c r="DA400" s="713">
        <f>1-WWWW[[#This Row],[Hygiene Coverage%]]</f>
        <v>0</v>
      </c>
      <c r="DB400" s="710">
        <f>WWWW[[#This Row],['# people reached by regular dedicated hygiene promotion_5]]/WWWW[[#This Row],[Total PoP ]]</f>
        <v>0</v>
      </c>
      <c r="DC400" s="710">
        <f>IF(WWWW[[#This Row],['#_households that received standard amount of soap for this quarter]]/WWWW[[#This Row],[Total HH]]&gt;1,1,WWWW[[#This Row],['#_households that received standard amount of soap for this quarter]]/WWWW[[#This Row],[Total HH]])</f>
        <v>1</v>
      </c>
      <c r="DD400" s="710">
        <f>IF(WWWW[[#This Row],['#_households that received standard amount of sanitary pads for this quarter]]/WWWW[[#This Row],[Total HH]]&gt;1,1,WWWW[[#This Row],['#_households that received standard amount of sanitary pads for this quarter]]/WWWW[[#This Row],[Total HH]])</f>
        <v>1</v>
      </c>
      <c r="DE400" s="712">
        <f>WWWW[[#This Row],['#_Constructed/Existing hand washing stations]]-WWWW[[#This Row],['#_Non-Functional_hand_washing_stations]]</f>
        <v>0</v>
      </c>
      <c r="DF400" s="757">
        <f>IF(WWWW[[#This Row],['# Functional hand washing stations during reporting period]]*20&gt;WWWW[[#This Row],[Total HH]],WWWW[[#This Row],[Total HH]],WWWW[[#This Row],['# Functional hand washing stations during reporting period]]*20)</f>
        <v>0</v>
      </c>
      <c r="DG400" s="708">
        <f>IF(WWWW[[#This Row],[Is sufficient soap available for TLS? (Yes/No)]]="yes",WWWW[[#This Row],['#_Constructed/Existing hand washing stations at TLS]],0)</f>
        <v>0</v>
      </c>
      <c r="DH400" s="585">
        <f>IF(WWWW[[#This Row],['# Functional hand washing stations during reporting period]]*100&gt;WWWW[[#This Row],[Total PoP ]],WWWW[[#This Row],[Total PoP ]],WWWW[[#This Row],['# Functional hand washing stations during reporting period]]*100)</f>
        <v>0</v>
      </c>
      <c r="DI400" s="585" t="str">
        <f>IF(OR(WWWW[[#This Row],['#_students at TLS_CFS]]="",WWWW[[#This Row],['#_students at TLS_CFS]]=0),"No","Yes")</f>
        <v>No</v>
      </c>
      <c r="DJ400" s="711">
        <f>VLOOKUP(WWWW[[#This Row],[Site Name]],SiteDB6[[Site Name]:[CCCM Management]],6,FALSE)</f>
        <v>0</v>
      </c>
      <c r="DK400" s="711">
        <f>VLOOKUP(WWWW[[#This Row],[Site Name]],SiteDB6[[Site Name]:[CCCM Focal Agency]],7,FALSE)</f>
        <v>0</v>
      </c>
      <c r="DL400" s="711" t="str">
        <f>VLOOKUP(WWWW[[#This Row],[Site Name]],SiteDB6[[Site Name]:[Location Type 1]],9,FALSE)</f>
        <v>Temporary location</v>
      </c>
      <c r="DM400" s="711" t="str">
        <f>VLOOKUP(WWWW[[#This Row],[Site Name]],SiteDB6[[Site Name]:[Type of Accommodation]],10,FALSE)</f>
        <v>Temporary location_Town</v>
      </c>
      <c r="DN400" s="711">
        <f>VLOOKUP(WWWW[[#This Row],[Site Name]],SiteDB6[[Site Name]:[Ethnic or GCA/NGCA]],11,FALSE)</f>
        <v>0</v>
      </c>
      <c r="DO400" s="711">
        <f>VLOOKUP(WWWW[[#This Row],[Site Name]],SiteDB6[[Site Name]:[Lat]],12,FALSE)</f>
        <v>0</v>
      </c>
      <c r="DP400" s="711">
        <f>VLOOKUP(WWWW[[#This Row],[Site Name]],SiteDB6[[Site Name]:[Long]],13,FALSE)</f>
        <v>0</v>
      </c>
      <c r="DQ400" s="711">
        <f>VLOOKUP(WWWW[[#This Row],[Site Name]],SiteDB6[[Site Name]:[Pcode]],3,FALSE)</f>
        <v>0</v>
      </c>
      <c r="DR400" s="709" t="str">
        <f t="shared" si="13"/>
        <v>Covered</v>
      </c>
      <c r="DS400" s="709"/>
      <c r="DV400" s="572"/>
    </row>
    <row r="401" spans="1:126">
      <c r="A401" s="552" t="s">
        <v>2518</v>
      </c>
      <c r="B401" s="701" t="s">
        <v>3128</v>
      </c>
      <c r="C401" s="701" t="s">
        <v>3128</v>
      </c>
      <c r="D401" s="702"/>
      <c r="E401" s="703" t="s">
        <v>3006</v>
      </c>
      <c r="F401" s="702" t="s">
        <v>489</v>
      </c>
      <c r="G401" s="704" t="str">
        <f>VLOOKUP(WWWW[[#This Row],[Site Name]],SiteDB6[[Site Name]:[Location Type]],8,FALSE)</f>
        <v>New Temporary Site</v>
      </c>
      <c r="H401" s="702" t="s">
        <v>2868</v>
      </c>
      <c r="I401" s="705">
        <v>107</v>
      </c>
      <c r="J401" s="705">
        <v>373</v>
      </c>
      <c r="K401" s="706"/>
      <c r="L401" s="707"/>
      <c r="M401" s="705"/>
      <c r="N401" s="705"/>
      <c r="O401" s="705"/>
      <c r="P401" s="705"/>
      <c r="Q401" s="708"/>
      <c r="R401" s="705"/>
      <c r="S401" s="705"/>
      <c r="T401" s="312"/>
      <c r="U401" s="705"/>
      <c r="V401" s="705"/>
      <c r="W401" s="705"/>
      <c r="X401" s="705"/>
      <c r="Y401" s="705"/>
      <c r="Z401" s="705"/>
      <c r="AA401" s="705"/>
      <c r="AB401" s="705"/>
      <c r="AC401" s="705"/>
      <c r="AD401" s="705"/>
      <c r="AE401" s="705"/>
      <c r="AF401" s="705"/>
      <c r="AG401" s="705"/>
      <c r="AH401" s="705"/>
      <c r="AI401" s="705"/>
      <c r="AJ401" s="705"/>
      <c r="AK401" s="705"/>
      <c r="AL401" s="705"/>
      <c r="AM401" s="705"/>
      <c r="AN401" s="705"/>
      <c r="AO401" s="709"/>
      <c r="AP401" s="705"/>
      <c r="AQ401" s="705"/>
      <c r="AR401" s="710"/>
      <c r="AS401" s="705"/>
      <c r="AT401" s="705"/>
      <c r="AU401" s="705"/>
      <c r="AV401" s="705"/>
      <c r="AW401" s="705"/>
      <c r="AX401" s="711"/>
      <c r="AY401" s="709"/>
      <c r="AZ401" s="705"/>
      <c r="BA401" s="705"/>
      <c r="BB401" s="705"/>
      <c r="BC401" s="711"/>
      <c r="BD401" s="705"/>
      <c r="BE401" s="705"/>
      <c r="BF401" s="705"/>
      <c r="BG401" s="705"/>
      <c r="BH401" s="705"/>
      <c r="BI401" s="705"/>
      <c r="BJ401" s="705"/>
      <c r="BK401" s="705">
        <v>222</v>
      </c>
      <c r="BL401" s="705">
        <v>222</v>
      </c>
      <c r="BM401" s="711"/>
      <c r="BN401" s="712"/>
      <c r="BO401" s="710"/>
      <c r="BP401" s="711"/>
      <c r="BQ401" s="713" t="str">
        <f>IFERROR(WWWW[[#This Row],['#_Water sources treated]]/WWWW[[#This Row],['#_Water sources tested for contamination]],"no test")</f>
        <v>no test</v>
      </c>
      <c r="BR401" s="710" t="str">
        <f>IFERROR(WWWW[[#This Row],['#_Household received remediation action due to contamination]]/WWWW[[#This Row],['#_Household water samples tested for contamination]],"no test")</f>
        <v>no test</v>
      </c>
      <c r="BS401" s="712" t="str">
        <f>IF(AND(WWWW[[#This Row],[% of water sources treated]]="no test",WWWW[[#This Row],[% Household received corrective actions]]="no test"),"No Test","Tested")</f>
        <v>No Test</v>
      </c>
      <c r="BT401" s="712">
        <f>WWWW[[#This Row],['#_Constructed/existing protected hand dug well]]-WWWW[[#This Row],['#_Non-functional protected hand dug well]]</f>
        <v>0</v>
      </c>
      <c r="BU401" s="712">
        <f>(WWWW[[#This Row],['#_Constructed/Existing tube wells/boreholes/handpumps_WASH_agency]]+WWWW[[#This Row],['#_Non-Cluster partner water tube-wells/boreholes/handpumps]])-WWWW[[#This Row],['#_Non-functional tube wells/boreholes/handpumps]]</f>
        <v>0</v>
      </c>
      <c r="BV401" s="712">
        <f>WWWW[[#This Row],['#_Constructed/Existingwater storage tank with gravity fed reticulation system]]-WWWW[[#This Row],['#_Non-functional storage tank gravity fed reticulation system]]</f>
        <v>0</v>
      </c>
      <c r="BW401" s="712">
        <f>WWWW[[#This Row],['#_Water boating or water trucking]]</f>
        <v>0</v>
      </c>
      <c r="BX401" s="712">
        <f>WWWW[[#This Row],['#_Constructed/Existing water distribution system from river or natural spring]]</f>
        <v>0</v>
      </c>
      <c r="BY40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1" s="710">
        <f>IF(WWWW[[#This Row],[Location Type 1]]="Village",WWWW[[#This Row],[Access to safe drinking water for Village]],WWWW[[#This Row],[Access to safe drinking water for Camp]])</f>
        <v>0</v>
      </c>
      <c r="CB401" s="708">
        <f>WWWW[[#This Row],[%Equitable and continuous access to sufficient quantity of safe drinking water]]*WWWW[[#This Row],[Total PoP ]]</f>
        <v>0</v>
      </c>
      <c r="CC401" s="710">
        <f>IF((WWWW[[#This Row],['#_Constructed/Existing protected/fenced ponds]]*250)/WWWW[[#This Row],[Total PoP ]]&gt;1,1,(WWWW[[#This Row],['#_Constructed/Existing protected/fenced ponds]]*250)/WWWW[[#This Row],[Total PoP ]])</f>
        <v>0</v>
      </c>
      <c r="CD401" s="708">
        <f>WWWW[[#This Row],[% Access to unimproved water points]]*WWWW[[#This Row],[Total PoP ]]</f>
        <v>0</v>
      </c>
      <c r="CE40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1" s="708">
        <f>WWWW[[#This Row],[HRP1]]/500</f>
        <v>0</v>
      </c>
      <c r="CH401" s="714">
        <f>1-WWWW[[#This Row],[% Equitable and continuous access to sufficient quantity of domestic water]]</f>
        <v>1</v>
      </c>
      <c r="CI401" s="708">
        <f>WWWW[[#This Row],[%equitable and continuous access to sufficient quantity of safe drinking and domestic water''s GAP]]*WWWW[[#This Row],[Total PoP ]]</f>
        <v>373</v>
      </c>
      <c r="CJ401" s="712">
        <f>IF(WWWW[[#This Row],[Total required water points]]-WWWW[[#This Row],['#Water points coverage]]&lt;0,0,WWWW[[#This Row],[Total required water points]]-WWWW[[#This Row],['#Water points coverage]])</f>
        <v>1</v>
      </c>
      <c r="CK401" s="712">
        <f>ROUND(IF(WWWW[[#This Row],[Total PoP ]]&lt;500,1,WWWW[[#This Row],[Total PoP ]]/500),0)</f>
        <v>1</v>
      </c>
      <c r="CL401" s="712">
        <f>(WWWW[[#This Row],['#_Constructed latrines_by_WASHAgencies]]+WWWW[[#This Row],['#_Non Cluster partner latrines]])-WWWW[[#This Row],['#_Non-functional latrines]]</f>
        <v>0</v>
      </c>
      <c r="CM40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1" s="712">
        <f>IF(WWWW[[#This Row],[Location Type 1]]="Village","NA",IF(WWWW[[#This Row],['#_Constructed/Existing latrines in TLS]]*50&gt;WWWW[[#This Row],['#_students at TLS_CFS]],WWWW[[#This Row],['#_students at TLS_CFS]],(WWWW[[#This Row],['#_Constructed/Existing latrines in TLS]]*50)))</f>
        <v>0</v>
      </c>
      <c r="CQ401" s="712">
        <f>ROUND(IF(WWWW[[#This Row],[Location Type 1]]="camp",WWWW[[#This Row],[Total PoP ]]/20,IF(WWWW[[#This Row],[Location Type 1]]="Temporary Location",WWWW[[#This Row],[Total PoP ]]/50,(WWWW[[#This Row],[Total PoP ]]/6))),0)</f>
        <v>7</v>
      </c>
      <c r="CR401" s="712">
        <f>IF(WWWW[[#This Row],[Total required Latrines]]-(WWWW[[#This Row],['#_Constructed latrines_by_WASHAgencies]]+WWWW[[#This Row],['#_Non Cluster partner latrines]])&lt;0,0,WWWW[[#This Row],[Total required Latrines]]-(WWWW[[#This Row],['#_Constructed latrines_by_WASHAgencies]]+WWWW[[#This Row],['#_Non Cluster partner latrines]]))</f>
        <v>7</v>
      </c>
      <c r="CS401" s="716">
        <f>1-WWWW[[#This Row],[% people access to functioning Latrine]]</f>
        <v>1</v>
      </c>
      <c r="CT401" s="713">
        <f>IF(OR(WWWW[[#This Row],['#_Non-functional latrines]]="",WWWW[[#This Row],['#_Non-functional latrines]]=0),0,WWWW[[#This Row],['#_Non-functional latrines]]/(WWWW[[#This Row],['#_Constructed latrines_by_WASHAgencies]]+WWWW[[#This Row],['#_Non Cluster partner latrines]]))</f>
        <v>0</v>
      </c>
      <c r="CU401" s="708">
        <f>IF(500*(WWWW[[#This Row],['#_male hygiene promoters]]+WWWW[[#This Row],['#_female hygiene promoters]])&gt;WWWW[[#This Row],[Total PoP ]],WWWW[[#This Row],[Total PoP ]],500*(WWWW[[#This Row],['#_male hygiene promoters]]+WWWW[[#This Row],['#_female hygiene promoters]]))</f>
        <v>0</v>
      </c>
      <c r="CV40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373</v>
      </c>
      <c r="CW40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373</v>
      </c>
      <c r="CX401" s="712">
        <f>IF(WWWW[[#This Row],['# People with access to soap]]&gt;WWWW[[#This Row],['# People with access to Sanity Pads]],WWWW[[#This Row],['# People with access to soap]],WWWW[[#This Row],['# People with access to Sanity Pads]])</f>
        <v>373</v>
      </c>
      <c r="CY401" s="712">
        <f>IF(WWWW[[#This Row],['# people reached by regular dedicated hygiene promotion_5]]&gt;WWWW[[#This Row],['# People received regular supply of hygiene items_6]],WWWW[[#This Row],['# people reached by regular dedicated hygiene promotion_5]],WWWW[[#This Row],['# People received regular supply of hygiene items_6]])</f>
        <v>373</v>
      </c>
      <c r="CZ401" s="714">
        <f>IF(WWWW[[#This Row],[HRP3]]/WWWW[[#This Row],[Total PoP ]]&gt;100%,100%,WWWW[[#This Row],[HRP3]]/WWWW[[#This Row],[Total PoP ]])</f>
        <v>1</v>
      </c>
      <c r="DA401" s="713">
        <f>1-WWWW[[#This Row],[Hygiene Coverage%]]</f>
        <v>0</v>
      </c>
      <c r="DB401" s="710">
        <f>WWWW[[#This Row],['# people reached by regular dedicated hygiene promotion_5]]/WWWW[[#This Row],[Total PoP ]]</f>
        <v>0</v>
      </c>
      <c r="DC401" s="710">
        <f>IF(WWWW[[#This Row],['#_households that received standard amount of soap for this quarter]]/WWWW[[#This Row],[Total HH]]&gt;1,1,WWWW[[#This Row],['#_households that received standard amount of soap for this quarter]]/WWWW[[#This Row],[Total HH]])</f>
        <v>1</v>
      </c>
      <c r="DD401" s="710">
        <f>IF(WWWW[[#This Row],['#_households that received standard amount of sanitary pads for this quarter]]/WWWW[[#This Row],[Total HH]]&gt;1,1,WWWW[[#This Row],['#_households that received standard amount of sanitary pads for this quarter]]/WWWW[[#This Row],[Total HH]])</f>
        <v>1</v>
      </c>
      <c r="DE401" s="712">
        <f>WWWW[[#This Row],['#_Constructed/Existing hand washing stations]]-WWWW[[#This Row],['#_Non-Functional_hand_washing_stations]]</f>
        <v>0</v>
      </c>
      <c r="DF401" s="757">
        <f>IF(WWWW[[#This Row],['# Functional hand washing stations during reporting period]]*20&gt;WWWW[[#This Row],[Total HH]],WWWW[[#This Row],[Total HH]],WWWW[[#This Row],['# Functional hand washing stations during reporting period]]*20)</f>
        <v>0</v>
      </c>
      <c r="DG401" s="708">
        <f>IF(WWWW[[#This Row],[Is sufficient soap available for TLS? (Yes/No)]]="yes",WWWW[[#This Row],['#_Constructed/Existing hand washing stations at TLS]],0)</f>
        <v>0</v>
      </c>
      <c r="DH401" s="585">
        <f>IF(WWWW[[#This Row],['# Functional hand washing stations during reporting period]]*100&gt;WWWW[[#This Row],[Total PoP ]],WWWW[[#This Row],[Total PoP ]],WWWW[[#This Row],['# Functional hand washing stations during reporting period]]*100)</f>
        <v>0</v>
      </c>
      <c r="DI401" s="585" t="str">
        <f>IF(OR(WWWW[[#This Row],['#_students at TLS_CFS]]="",WWWW[[#This Row],['#_students at TLS_CFS]]=0),"No","Yes")</f>
        <v>No</v>
      </c>
      <c r="DJ401" s="711">
        <f>VLOOKUP(WWWW[[#This Row],[Site Name]],SiteDB6[[Site Name]:[CCCM Management]],6,FALSE)</f>
        <v>0</v>
      </c>
      <c r="DK401" s="711">
        <f>VLOOKUP(WWWW[[#This Row],[Site Name]],SiteDB6[[Site Name]:[CCCM Focal Agency]],7,FALSE)</f>
        <v>0</v>
      </c>
      <c r="DL401" s="711" t="str">
        <f>VLOOKUP(WWWW[[#This Row],[Site Name]],SiteDB6[[Site Name]:[Location Type 1]],9,FALSE)</f>
        <v>Temporary location</v>
      </c>
      <c r="DM401" s="711" t="str">
        <f>VLOOKUP(WWWW[[#This Row],[Site Name]],SiteDB6[[Site Name]:[Type of Accommodation]],10,FALSE)</f>
        <v>Temporary location_Town</v>
      </c>
      <c r="DN401" s="711">
        <f>VLOOKUP(WWWW[[#This Row],[Site Name]],SiteDB6[[Site Name]:[Ethnic or GCA/NGCA]],11,FALSE)</f>
        <v>0</v>
      </c>
      <c r="DO401" s="711">
        <f>VLOOKUP(WWWW[[#This Row],[Site Name]],SiteDB6[[Site Name]:[Lat]],12,FALSE)</f>
        <v>0</v>
      </c>
      <c r="DP401" s="711">
        <f>VLOOKUP(WWWW[[#This Row],[Site Name]],SiteDB6[[Site Name]:[Long]],13,FALSE)</f>
        <v>0</v>
      </c>
      <c r="DQ401" s="711">
        <f>VLOOKUP(WWWW[[#This Row],[Site Name]],SiteDB6[[Site Name]:[Pcode]],3,FALSE)</f>
        <v>0</v>
      </c>
      <c r="DR401" s="709" t="str">
        <f t="shared" si="13"/>
        <v>Covered</v>
      </c>
      <c r="DS401" s="709"/>
      <c r="DV401" s="572"/>
    </row>
    <row r="402" spans="1:126">
      <c r="A402" s="552" t="s">
        <v>2518</v>
      </c>
      <c r="B402" s="701" t="s">
        <v>2864</v>
      </c>
      <c r="C402" s="701" t="s">
        <v>2864</v>
      </c>
      <c r="D402" s="702"/>
      <c r="E402" s="703" t="s">
        <v>3006</v>
      </c>
      <c r="F402" s="702" t="s">
        <v>489</v>
      </c>
      <c r="G402" s="704" t="str">
        <f>VLOOKUP(WWWW[[#This Row],[Site Name]],SiteDB6[[Site Name]:[Location Type]],8,FALSE)</f>
        <v>New Temporary Site</v>
      </c>
      <c r="H402" s="702" t="s">
        <v>3157</v>
      </c>
      <c r="I402" s="705">
        <v>48</v>
      </c>
      <c r="J402" s="705">
        <v>176</v>
      </c>
      <c r="K402" s="706"/>
      <c r="L402" s="707"/>
      <c r="M402" s="705"/>
      <c r="N402" s="705"/>
      <c r="O402" s="705"/>
      <c r="P402" s="705"/>
      <c r="Q402" s="708"/>
      <c r="R402" s="705"/>
      <c r="S402" s="705"/>
      <c r="T402" s="312"/>
      <c r="U402" s="705"/>
      <c r="V402" s="705"/>
      <c r="W402" s="705"/>
      <c r="X402" s="705"/>
      <c r="Y402" s="705"/>
      <c r="Z402" s="705"/>
      <c r="AA402" s="705"/>
      <c r="AB402" s="705"/>
      <c r="AC402" s="705"/>
      <c r="AD402" s="705"/>
      <c r="AE402" s="705"/>
      <c r="AF402" s="705"/>
      <c r="AG402" s="705"/>
      <c r="AH402" s="705"/>
      <c r="AI402" s="705"/>
      <c r="AJ402" s="705"/>
      <c r="AK402" s="705"/>
      <c r="AL402" s="705"/>
      <c r="AM402" s="705"/>
      <c r="AN402" s="705"/>
      <c r="AO402" s="709"/>
      <c r="AP402" s="705"/>
      <c r="AQ402" s="705"/>
      <c r="AR402" s="710"/>
      <c r="AS402" s="705"/>
      <c r="AT402" s="705"/>
      <c r="AU402" s="705"/>
      <c r="AV402" s="705"/>
      <c r="AW402" s="705"/>
      <c r="AX402" s="711"/>
      <c r="AY402" s="709"/>
      <c r="AZ402" s="705"/>
      <c r="BA402" s="705"/>
      <c r="BB402" s="705"/>
      <c r="BC402" s="711"/>
      <c r="BD402" s="705"/>
      <c r="BE402" s="705"/>
      <c r="BF402" s="705"/>
      <c r="BG402" s="705"/>
      <c r="BH402" s="705"/>
      <c r="BI402" s="705"/>
      <c r="BJ402" s="705"/>
      <c r="BK402" s="705">
        <v>48</v>
      </c>
      <c r="BL402" s="705">
        <v>48</v>
      </c>
      <c r="BM402" s="711"/>
      <c r="BN402" s="712"/>
      <c r="BO402" s="710"/>
      <c r="BP402" s="711"/>
      <c r="BQ402" s="713" t="str">
        <f>IFERROR(WWWW[[#This Row],['#_Water sources treated]]/WWWW[[#This Row],['#_Water sources tested for contamination]],"no test")</f>
        <v>no test</v>
      </c>
      <c r="BR402" s="710" t="str">
        <f>IFERROR(WWWW[[#This Row],['#_Household received remediation action due to contamination]]/WWWW[[#This Row],['#_Household water samples tested for contamination]],"no test")</f>
        <v>no test</v>
      </c>
      <c r="BS402" s="712" t="str">
        <f>IF(AND(WWWW[[#This Row],[% of water sources treated]]="no test",WWWW[[#This Row],[% Household received corrective actions]]="no test"),"No Test","Tested")</f>
        <v>No Test</v>
      </c>
      <c r="BT402" s="712">
        <f>WWWW[[#This Row],['#_Constructed/existing protected hand dug well]]-WWWW[[#This Row],['#_Non-functional protected hand dug well]]</f>
        <v>0</v>
      </c>
      <c r="BU402" s="712">
        <f>(WWWW[[#This Row],['#_Constructed/Existing tube wells/boreholes/handpumps_WASH_agency]]+WWWW[[#This Row],['#_Non-Cluster partner water tube-wells/boreholes/handpumps]])-WWWW[[#This Row],['#_Non-functional tube wells/boreholes/handpumps]]</f>
        <v>0</v>
      </c>
      <c r="BV402" s="712">
        <f>WWWW[[#This Row],['#_Constructed/Existingwater storage tank with gravity fed reticulation system]]-WWWW[[#This Row],['#_Non-functional storage tank gravity fed reticulation system]]</f>
        <v>0</v>
      </c>
      <c r="BW402" s="712">
        <f>WWWW[[#This Row],['#_Water boating or water trucking]]</f>
        <v>0</v>
      </c>
      <c r="BX402" s="712">
        <f>WWWW[[#This Row],['#_Constructed/Existing water distribution system from river or natural spring]]</f>
        <v>0</v>
      </c>
      <c r="BY40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2" s="710">
        <f>IF(WWWW[[#This Row],[Location Type 1]]="Village",WWWW[[#This Row],[Access to safe drinking water for Village]],WWWW[[#This Row],[Access to safe drinking water for Camp]])</f>
        <v>0</v>
      </c>
      <c r="CB402" s="708">
        <f>WWWW[[#This Row],[%Equitable and continuous access to sufficient quantity of safe drinking water]]*WWWW[[#This Row],[Total PoP ]]</f>
        <v>0</v>
      </c>
      <c r="CC402" s="710">
        <f>IF((WWWW[[#This Row],['#_Constructed/Existing protected/fenced ponds]]*250)/WWWW[[#This Row],[Total PoP ]]&gt;1,1,(WWWW[[#This Row],['#_Constructed/Existing protected/fenced ponds]]*250)/WWWW[[#This Row],[Total PoP ]])</f>
        <v>0</v>
      </c>
      <c r="CD402" s="708">
        <f>WWWW[[#This Row],[% Access to unimproved water points]]*WWWW[[#This Row],[Total PoP ]]</f>
        <v>0</v>
      </c>
      <c r="CE40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2" s="708">
        <f>WWWW[[#This Row],[HRP1]]/500</f>
        <v>0</v>
      </c>
      <c r="CH402" s="714">
        <f>1-WWWW[[#This Row],[% Equitable and continuous access to sufficient quantity of domestic water]]</f>
        <v>1</v>
      </c>
      <c r="CI402" s="708">
        <f>WWWW[[#This Row],[%equitable and continuous access to sufficient quantity of safe drinking and domestic water''s GAP]]*WWWW[[#This Row],[Total PoP ]]</f>
        <v>176</v>
      </c>
      <c r="CJ402" s="712">
        <f>IF(WWWW[[#This Row],[Total required water points]]-WWWW[[#This Row],['#Water points coverage]]&lt;0,0,WWWW[[#This Row],[Total required water points]]-WWWW[[#This Row],['#Water points coverage]])</f>
        <v>1</v>
      </c>
      <c r="CK402" s="712">
        <f>ROUND(IF(WWWW[[#This Row],[Total PoP ]]&lt;500,1,WWWW[[#This Row],[Total PoP ]]/500),0)</f>
        <v>1</v>
      </c>
      <c r="CL402" s="712">
        <f>(WWWW[[#This Row],['#_Constructed latrines_by_WASHAgencies]]+WWWW[[#This Row],['#_Non Cluster partner latrines]])-WWWW[[#This Row],['#_Non-functional latrines]]</f>
        <v>0</v>
      </c>
      <c r="CM40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2" s="712">
        <f>IF(WWWW[[#This Row],[Location Type 1]]="Village","NA",IF(WWWW[[#This Row],['#_Constructed/Existing latrines in TLS]]*50&gt;WWWW[[#This Row],['#_students at TLS_CFS]],WWWW[[#This Row],['#_students at TLS_CFS]],(WWWW[[#This Row],['#_Constructed/Existing latrines in TLS]]*50)))</f>
        <v>0</v>
      </c>
      <c r="CQ402" s="712">
        <f>ROUND(IF(WWWW[[#This Row],[Location Type 1]]="camp",WWWW[[#This Row],[Total PoP ]]/20,IF(WWWW[[#This Row],[Location Type 1]]="Temporary Location",WWWW[[#This Row],[Total PoP ]]/50,(WWWW[[#This Row],[Total PoP ]]/6))),0)</f>
        <v>4</v>
      </c>
      <c r="CR402" s="712">
        <f>IF(WWWW[[#This Row],[Total required Latrines]]-(WWWW[[#This Row],['#_Constructed latrines_by_WASHAgencies]]+WWWW[[#This Row],['#_Non Cluster partner latrines]])&lt;0,0,WWWW[[#This Row],[Total required Latrines]]-(WWWW[[#This Row],['#_Constructed latrines_by_WASHAgencies]]+WWWW[[#This Row],['#_Non Cluster partner latrines]]))</f>
        <v>4</v>
      </c>
      <c r="CS402" s="716">
        <f>1-WWWW[[#This Row],[% people access to functioning Latrine]]</f>
        <v>1</v>
      </c>
      <c r="CT402" s="713">
        <f>IF(OR(WWWW[[#This Row],['#_Non-functional latrines]]="",WWWW[[#This Row],['#_Non-functional latrines]]=0),0,WWWW[[#This Row],['#_Non-functional latrines]]/(WWWW[[#This Row],['#_Constructed latrines_by_WASHAgencies]]+WWWW[[#This Row],['#_Non Cluster partner latrines]]))</f>
        <v>0</v>
      </c>
      <c r="CU402" s="708">
        <f>IF(500*(WWWW[[#This Row],['#_male hygiene promoters]]+WWWW[[#This Row],['#_female hygiene promoters]])&gt;WWWW[[#This Row],[Total PoP ]],WWWW[[#This Row],[Total PoP ]],500*(WWWW[[#This Row],['#_male hygiene promoters]]+WWWW[[#This Row],['#_female hygiene promoters]]))</f>
        <v>0</v>
      </c>
      <c r="CV40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176</v>
      </c>
      <c r="CW40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176</v>
      </c>
      <c r="CX402" s="712">
        <f>IF(WWWW[[#This Row],['# People with access to soap]]&gt;WWWW[[#This Row],['# People with access to Sanity Pads]],WWWW[[#This Row],['# People with access to soap]],WWWW[[#This Row],['# People with access to Sanity Pads]])</f>
        <v>176</v>
      </c>
      <c r="CY402" s="712">
        <f>IF(WWWW[[#This Row],['# people reached by regular dedicated hygiene promotion_5]]&gt;WWWW[[#This Row],['# People received regular supply of hygiene items_6]],WWWW[[#This Row],['# people reached by regular dedicated hygiene promotion_5]],WWWW[[#This Row],['# People received regular supply of hygiene items_6]])</f>
        <v>176</v>
      </c>
      <c r="CZ402" s="714">
        <f>IF(WWWW[[#This Row],[HRP3]]/WWWW[[#This Row],[Total PoP ]]&gt;100%,100%,WWWW[[#This Row],[HRP3]]/WWWW[[#This Row],[Total PoP ]])</f>
        <v>1</v>
      </c>
      <c r="DA402" s="713">
        <f>1-WWWW[[#This Row],[Hygiene Coverage%]]</f>
        <v>0</v>
      </c>
      <c r="DB402" s="710">
        <f>WWWW[[#This Row],['# people reached by regular dedicated hygiene promotion_5]]/WWWW[[#This Row],[Total PoP ]]</f>
        <v>0</v>
      </c>
      <c r="DC402" s="710">
        <f>IF(WWWW[[#This Row],['#_households that received standard amount of soap for this quarter]]/WWWW[[#This Row],[Total HH]]&gt;1,1,WWWW[[#This Row],['#_households that received standard amount of soap for this quarter]]/WWWW[[#This Row],[Total HH]])</f>
        <v>1</v>
      </c>
      <c r="DD402" s="710">
        <f>IF(WWWW[[#This Row],['#_households that received standard amount of sanitary pads for this quarter]]/WWWW[[#This Row],[Total HH]]&gt;1,1,WWWW[[#This Row],['#_households that received standard amount of sanitary pads for this quarter]]/WWWW[[#This Row],[Total HH]])</f>
        <v>1</v>
      </c>
      <c r="DE402" s="712">
        <f>WWWW[[#This Row],['#_Constructed/Existing hand washing stations]]-WWWW[[#This Row],['#_Non-Functional_hand_washing_stations]]</f>
        <v>0</v>
      </c>
      <c r="DF402" s="757">
        <f>IF(WWWW[[#This Row],['# Functional hand washing stations during reporting period]]*20&gt;WWWW[[#This Row],[Total HH]],WWWW[[#This Row],[Total HH]],WWWW[[#This Row],['# Functional hand washing stations during reporting period]]*20)</f>
        <v>0</v>
      </c>
      <c r="DG402" s="708">
        <f>IF(WWWW[[#This Row],[Is sufficient soap available for TLS? (Yes/No)]]="yes",WWWW[[#This Row],['#_Constructed/Existing hand washing stations at TLS]],0)</f>
        <v>0</v>
      </c>
      <c r="DH402" s="585">
        <f>IF(WWWW[[#This Row],['# Functional hand washing stations during reporting period]]*100&gt;WWWW[[#This Row],[Total PoP ]],WWWW[[#This Row],[Total PoP ]],WWWW[[#This Row],['# Functional hand washing stations during reporting period]]*100)</f>
        <v>0</v>
      </c>
      <c r="DI402" s="585" t="str">
        <f>IF(OR(WWWW[[#This Row],['#_students at TLS_CFS]]="",WWWW[[#This Row],['#_students at TLS_CFS]]=0),"No","Yes")</f>
        <v>No</v>
      </c>
      <c r="DJ402" s="711">
        <f>VLOOKUP(WWWW[[#This Row],[Site Name]],SiteDB6[[Site Name]:[CCCM Management]],6,FALSE)</f>
        <v>0</v>
      </c>
      <c r="DK402" s="711">
        <f>VLOOKUP(WWWW[[#This Row],[Site Name]],SiteDB6[[Site Name]:[CCCM Focal Agency]],7,FALSE)</f>
        <v>0</v>
      </c>
      <c r="DL402" s="711" t="str">
        <f>VLOOKUP(WWWW[[#This Row],[Site Name]],SiteDB6[[Site Name]:[Location Type 1]],9,FALSE)</f>
        <v>Temporary location</v>
      </c>
      <c r="DM402" s="711" t="str">
        <f>VLOOKUP(WWWW[[#This Row],[Site Name]],SiteDB6[[Site Name]:[Type of Accommodation]],10,FALSE)</f>
        <v>Temporary location</v>
      </c>
      <c r="DN402" s="711">
        <f>VLOOKUP(WWWW[[#This Row],[Site Name]],SiteDB6[[Site Name]:[Ethnic or GCA/NGCA]],11,FALSE)</f>
        <v>0</v>
      </c>
      <c r="DO402" s="711">
        <f>VLOOKUP(WWWW[[#This Row],[Site Name]],SiteDB6[[Site Name]:[Lat]],12,FALSE)</f>
        <v>0</v>
      </c>
      <c r="DP402" s="711">
        <f>VLOOKUP(WWWW[[#This Row],[Site Name]],SiteDB6[[Site Name]:[Long]],13,FALSE)</f>
        <v>0</v>
      </c>
      <c r="DQ402" s="711">
        <f>VLOOKUP(WWWW[[#This Row],[Site Name]],SiteDB6[[Site Name]:[Pcode]],3,FALSE)</f>
        <v>0</v>
      </c>
      <c r="DR402" s="709" t="str">
        <f t="shared" si="13"/>
        <v>Covered</v>
      </c>
      <c r="DS402" s="709"/>
      <c r="DV402" s="572"/>
    </row>
    <row r="403" spans="1:126">
      <c r="A403" s="552" t="s">
        <v>2518</v>
      </c>
      <c r="B403" s="808" t="s">
        <v>317</v>
      </c>
      <c r="C403" s="808" t="s">
        <v>317</v>
      </c>
      <c r="D403" s="702"/>
      <c r="E403" s="703" t="s">
        <v>3006</v>
      </c>
      <c r="F403" s="702" t="s">
        <v>489</v>
      </c>
      <c r="G403" s="704" t="str">
        <f>VLOOKUP(WWWW[[#This Row],[Site Name]],SiteDB6[[Site Name]:[Location Type]],8,FALSE)</f>
        <v>New Temporary Site</v>
      </c>
      <c r="H403" s="702" t="s">
        <v>3160</v>
      </c>
      <c r="I403" s="705">
        <v>17</v>
      </c>
      <c r="J403" s="705">
        <v>103</v>
      </c>
      <c r="K403" s="706"/>
      <c r="L403" s="707"/>
      <c r="M403" s="705"/>
      <c r="N403" s="705"/>
      <c r="O403" s="705"/>
      <c r="P403" s="705"/>
      <c r="Q403" s="708"/>
      <c r="R403" s="705"/>
      <c r="S403" s="705"/>
      <c r="T403" s="312"/>
      <c r="U403" s="705"/>
      <c r="V403" s="705"/>
      <c r="W403" s="705"/>
      <c r="X403" s="705"/>
      <c r="Y403" s="705"/>
      <c r="Z403" s="705"/>
      <c r="AA403" s="705"/>
      <c r="AB403" s="705"/>
      <c r="AC403" s="705"/>
      <c r="AD403" s="705"/>
      <c r="AE403" s="705"/>
      <c r="AF403" s="705"/>
      <c r="AG403" s="705"/>
      <c r="AH403" s="705"/>
      <c r="AI403" s="705"/>
      <c r="AJ403" s="705"/>
      <c r="AK403" s="705"/>
      <c r="AL403" s="705"/>
      <c r="AM403" s="705"/>
      <c r="AN403" s="705"/>
      <c r="AO403" s="709"/>
      <c r="AP403" s="705"/>
      <c r="AQ403" s="705"/>
      <c r="AR403" s="710"/>
      <c r="AS403" s="705"/>
      <c r="AT403" s="705"/>
      <c r="AU403" s="705"/>
      <c r="AV403" s="705"/>
      <c r="AW403" s="705"/>
      <c r="AX403" s="711"/>
      <c r="AY403" s="709"/>
      <c r="AZ403" s="705"/>
      <c r="BA403" s="705"/>
      <c r="BB403" s="705"/>
      <c r="BC403" s="711"/>
      <c r="BD403" s="705"/>
      <c r="BE403" s="705"/>
      <c r="BF403" s="705"/>
      <c r="BG403" s="705"/>
      <c r="BH403" s="705"/>
      <c r="BI403" s="705"/>
      <c r="BJ403" s="705"/>
      <c r="BK403" s="705"/>
      <c r="BL403" s="705"/>
      <c r="BM403" s="711"/>
      <c r="BN403" s="712"/>
      <c r="BO403" s="710"/>
      <c r="BP403" s="711"/>
      <c r="BQ403" s="713" t="str">
        <f>IFERROR(WWWW[[#This Row],['#_Water sources treated]]/WWWW[[#This Row],['#_Water sources tested for contamination]],"no test")</f>
        <v>no test</v>
      </c>
      <c r="BR403" s="710" t="str">
        <f>IFERROR(WWWW[[#This Row],['#_Household received remediation action due to contamination]]/WWWW[[#This Row],['#_Household water samples tested for contamination]],"no test")</f>
        <v>no test</v>
      </c>
      <c r="BS403" s="712" t="str">
        <f>IF(AND(WWWW[[#This Row],[% of water sources treated]]="no test",WWWW[[#This Row],[% Household received corrective actions]]="no test"),"No Test","Tested")</f>
        <v>No Test</v>
      </c>
      <c r="BT403" s="712">
        <f>WWWW[[#This Row],['#_Constructed/existing protected hand dug well]]-WWWW[[#This Row],['#_Non-functional protected hand dug well]]</f>
        <v>0</v>
      </c>
      <c r="BU403" s="712">
        <f>(WWWW[[#This Row],['#_Constructed/Existing tube wells/boreholes/handpumps_WASH_agency]]+WWWW[[#This Row],['#_Non-Cluster partner water tube-wells/boreholes/handpumps]])-WWWW[[#This Row],['#_Non-functional tube wells/boreholes/handpumps]]</f>
        <v>0</v>
      </c>
      <c r="BV403" s="712">
        <f>WWWW[[#This Row],['#_Constructed/Existingwater storage tank with gravity fed reticulation system]]-WWWW[[#This Row],['#_Non-functional storage tank gravity fed reticulation system]]</f>
        <v>0</v>
      </c>
      <c r="BW403" s="712">
        <f>WWWW[[#This Row],['#_Water boating or water trucking]]</f>
        <v>0</v>
      </c>
      <c r="BX403" s="712">
        <f>WWWW[[#This Row],['#_Constructed/Existing water distribution system from river or natural spring]]</f>
        <v>0</v>
      </c>
      <c r="BY40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3" s="710">
        <f>IF(WWWW[[#This Row],[Location Type 1]]="Village",WWWW[[#This Row],[Access to safe drinking water for Village]],WWWW[[#This Row],[Access to safe drinking water for Camp]])</f>
        <v>0</v>
      </c>
      <c r="CB403" s="708">
        <f>WWWW[[#This Row],[%Equitable and continuous access to sufficient quantity of safe drinking water]]*WWWW[[#This Row],[Total PoP ]]</f>
        <v>0</v>
      </c>
      <c r="CC403" s="710">
        <f>IF((WWWW[[#This Row],['#_Constructed/Existing protected/fenced ponds]]*250)/WWWW[[#This Row],[Total PoP ]]&gt;1,1,(WWWW[[#This Row],['#_Constructed/Existing protected/fenced ponds]]*250)/WWWW[[#This Row],[Total PoP ]])</f>
        <v>0</v>
      </c>
      <c r="CD403" s="708">
        <f>WWWW[[#This Row],[% Access to unimproved water points]]*WWWW[[#This Row],[Total PoP ]]</f>
        <v>0</v>
      </c>
      <c r="CE40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3" s="708">
        <f>WWWW[[#This Row],[HRP1]]/500</f>
        <v>0</v>
      </c>
      <c r="CH403" s="714">
        <f>1-WWWW[[#This Row],[% Equitable and continuous access to sufficient quantity of domestic water]]</f>
        <v>1</v>
      </c>
      <c r="CI403" s="708">
        <f>WWWW[[#This Row],[%equitable and continuous access to sufficient quantity of safe drinking and domestic water''s GAP]]*WWWW[[#This Row],[Total PoP ]]</f>
        <v>103</v>
      </c>
      <c r="CJ403" s="712">
        <f>IF(WWWW[[#This Row],[Total required water points]]-WWWW[[#This Row],['#Water points coverage]]&lt;0,0,WWWW[[#This Row],[Total required water points]]-WWWW[[#This Row],['#Water points coverage]])</f>
        <v>1</v>
      </c>
      <c r="CK403" s="712">
        <f>ROUND(IF(WWWW[[#This Row],[Total PoP ]]&lt;500,1,WWWW[[#This Row],[Total PoP ]]/500),0)</f>
        <v>1</v>
      </c>
      <c r="CL403" s="712">
        <f>(WWWW[[#This Row],['#_Constructed latrines_by_WASHAgencies]]+WWWW[[#This Row],['#_Non Cluster partner latrines]])-WWWW[[#This Row],['#_Non-functional latrines]]</f>
        <v>0</v>
      </c>
      <c r="CM40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3" s="712">
        <f>IF(WWWW[[#This Row],[Location Type 1]]="Village","NA",IF(WWWW[[#This Row],['#_Constructed/Existing latrines in TLS]]*50&gt;WWWW[[#This Row],['#_students at TLS_CFS]],WWWW[[#This Row],['#_students at TLS_CFS]],(WWWW[[#This Row],['#_Constructed/Existing latrines in TLS]]*50)))</f>
        <v>0</v>
      </c>
      <c r="CQ403" s="712">
        <f>ROUND(IF(WWWW[[#This Row],[Location Type 1]]="camp",WWWW[[#This Row],[Total PoP ]]/20,IF(WWWW[[#This Row],[Location Type 1]]="Temporary Location",WWWW[[#This Row],[Total PoP ]]/50,(WWWW[[#This Row],[Total PoP ]]/6))),0)</f>
        <v>2</v>
      </c>
      <c r="CR403" s="712">
        <f>IF(WWWW[[#This Row],[Total required Latrines]]-(WWWW[[#This Row],['#_Constructed latrines_by_WASHAgencies]]+WWWW[[#This Row],['#_Non Cluster partner latrines]])&lt;0,0,WWWW[[#This Row],[Total required Latrines]]-(WWWW[[#This Row],['#_Constructed latrines_by_WASHAgencies]]+WWWW[[#This Row],['#_Non Cluster partner latrines]]))</f>
        <v>2</v>
      </c>
      <c r="CS403" s="716">
        <f>1-WWWW[[#This Row],[% people access to functioning Latrine]]</f>
        <v>1</v>
      </c>
      <c r="CT403" s="713">
        <f>IF(OR(WWWW[[#This Row],['#_Non-functional latrines]]="",WWWW[[#This Row],['#_Non-functional latrines]]=0),0,WWWW[[#This Row],['#_Non-functional latrines]]/(WWWW[[#This Row],['#_Constructed latrines_by_WASHAgencies]]+WWWW[[#This Row],['#_Non Cluster partner latrines]]))</f>
        <v>0</v>
      </c>
      <c r="CU403" s="708">
        <f>IF(500*(WWWW[[#This Row],['#_male hygiene promoters]]+WWWW[[#This Row],['#_female hygiene promoters]])&gt;WWWW[[#This Row],[Total PoP ]],WWWW[[#This Row],[Total PoP ]],500*(WWWW[[#This Row],['#_male hygiene promoters]]+WWWW[[#This Row],['#_female hygiene promoters]]))</f>
        <v>0</v>
      </c>
      <c r="CV40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0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03" s="712">
        <f>IF(WWWW[[#This Row],['# People with access to soap]]&gt;WWWW[[#This Row],['# People with access to Sanity Pads]],WWWW[[#This Row],['# People with access to soap]],WWWW[[#This Row],['# People with access to Sanity Pads]])</f>
        <v>0</v>
      </c>
      <c r="CY40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03" s="714">
        <f>IF(WWWW[[#This Row],[HRP3]]/WWWW[[#This Row],[Total PoP ]]&gt;100%,100%,WWWW[[#This Row],[HRP3]]/WWWW[[#This Row],[Total PoP ]])</f>
        <v>0</v>
      </c>
      <c r="DA403" s="713">
        <f>1-WWWW[[#This Row],[Hygiene Coverage%]]</f>
        <v>1</v>
      </c>
      <c r="DB403" s="710">
        <f>WWWW[[#This Row],['# people reached by regular dedicated hygiene promotion_5]]/WWWW[[#This Row],[Total PoP ]]</f>
        <v>0</v>
      </c>
      <c r="DC403" s="710">
        <f>IF(WWWW[[#This Row],['#_households that received standard amount of soap for this quarter]]/WWWW[[#This Row],[Total HH]]&gt;1,1,WWWW[[#This Row],['#_households that received standard amount of soap for this quarter]]/WWWW[[#This Row],[Total HH]])</f>
        <v>0</v>
      </c>
      <c r="DD403" s="710">
        <f>IF(WWWW[[#This Row],['#_households that received standard amount of sanitary pads for this quarter]]/WWWW[[#This Row],[Total HH]]&gt;1,1,WWWW[[#This Row],['#_households that received standard amount of sanitary pads for this quarter]]/WWWW[[#This Row],[Total HH]])</f>
        <v>0</v>
      </c>
      <c r="DE403" s="712">
        <f>WWWW[[#This Row],['#_Constructed/Existing hand washing stations]]-WWWW[[#This Row],['#_Non-Functional_hand_washing_stations]]</f>
        <v>0</v>
      </c>
      <c r="DF403" s="757">
        <f>IF(WWWW[[#This Row],['# Functional hand washing stations during reporting period]]*20&gt;WWWW[[#This Row],[Total HH]],WWWW[[#This Row],[Total HH]],WWWW[[#This Row],['# Functional hand washing stations during reporting period]]*20)</f>
        <v>0</v>
      </c>
      <c r="DG403" s="708">
        <f>IF(WWWW[[#This Row],[Is sufficient soap available for TLS? (Yes/No)]]="yes",WWWW[[#This Row],['#_Constructed/Existing hand washing stations at TLS]],0)</f>
        <v>0</v>
      </c>
      <c r="DH403" s="585">
        <f>IF(WWWW[[#This Row],['# Functional hand washing stations during reporting period]]*100&gt;WWWW[[#This Row],[Total PoP ]],WWWW[[#This Row],[Total PoP ]],WWWW[[#This Row],['# Functional hand washing stations during reporting period]]*100)</f>
        <v>0</v>
      </c>
      <c r="DI403" s="585" t="str">
        <f>IF(OR(WWWW[[#This Row],['#_students at TLS_CFS]]="",WWWW[[#This Row],['#_students at TLS_CFS]]=0),"No","Yes")</f>
        <v>No</v>
      </c>
      <c r="DJ403" s="711">
        <f>VLOOKUP(WWWW[[#This Row],[Site Name]],SiteDB6[[Site Name]:[CCCM Management]],6,FALSE)</f>
        <v>0</v>
      </c>
      <c r="DK403" s="711">
        <f>VLOOKUP(WWWW[[#This Row],[Site Name]],SiteDB6[[Site Name]:[CCCM Focal Agency]],7,FALSE)</f>
        <v>0</v>
      </c>
      <c r="DL403" s="711" t="str">
        <f>VLOOKUP(WWWW[[#This Row],[Site Name]],SiteDB6[[Site Name]:[Location Type 1]],9,FALSE)</f>
        <v>Temporary location</v>
      </c>
      <c r="DM403" s="711" t="str">
        <f>VLOOKUP(WWWW[[#This Row],[Site Name]],SiteDB6[[Site Name]:[Type of Accommodation]],10,FALSE)</f>
        <v>Temporary location</v>
      </c>
      <c r="DN403" s="711">
        <f>VLOOKUP(WWWW[[#This Row],[Site Name]],SiteDB6[[Site Name]:[Ethnic or GCA/NGCA]],11,FALSE)</f>
        <v>0</v>
      </c>
      <c r="DO403" s="711">
        <f>VLOOKUP(WWWW[[#This Row],[Site Name]],SiteDB6[[Site Name]:[Lat]],12,FALSE)</f>
        <v>20.6728000640869</v>
      </c>
      <c r="DP403" s="711">
        <f>VLOOKUP(WWWW[[#This Row],[Site Name]],SiteDB6[[Site Name]:[Long]],13,FALSE)</f>
        <v>93.243469238281307</v>
      </c>
      <c r="DQ403" s="711">
        <f>VLOOKUP(WWWW[[#This Row],[Site Name]],SiteDB6[[Site Name]:[Pcode]],3,FALSE)</f>
        <v>196448</v>
      </c>
      <c r="DR403" s="709" t="str">
        <f t="shared" si="13"/>
        <v>Notcovered</v>
      </c>
      <c r="DS403" s="709"/>
      <c r="DV403" s="572"/>
    </row>
    <row r="404" spans="1:126">
      <c r="A404" s="552" t="s">
        <v>2518</v>
      </c>
      <c r="B404" s="701" t="s">
        <v>3204</v>
      </c>
      <c r="C404" s="701" t="s">
        <v>3204</v>
      </c>
      <c r="D404" s="702"/>
      <c r="E404" s="703" t="s">
        <v>3006</v>
      </c>
      <c r="F404" s="702" t="s">
        <v>489</v>
      </c>
      <c r="G404" s="704" t="str">
        <f>VLOOKUP(WWWW[[#This Row],[Site Name]],SiteDB6[[Site Name]:[Location Type]],8,FALSE)</f>
        <v>New Temporary Site</v>
      </c>
      <c r="H404" s="702" t="s">
        <v>2874</v>
      </c>
      <c r="I404" s="705">
        <v>62</v>
      </c>
      <c r="J404" s="705">
        <v>217</v>
      </c>
      <c r="K404" s="706"/>
      <c r="L404" s="707"/>
      <c r="M404" s="705"/>
      <c r="N404" s="705"/>
      <c r="O404" s="705"/>
      <c r="P404" s="705"/>
      <c r="Q404" s="708"/>
      <c r="R404" s="705"/>
      <c r="S404" s="705"/>
      <c r="T404" s="312"/>
      <c r="U404" s="705"/>
      <c r="V404" s="705"/>
      <c r="W404" s="705"/>
      <c r="X404" s="705"/>
      <c r="Y404" s="705"/>
      <c r="Z404" s="705"/>
      <c r="AA404" s="705"/>
      <c r="AB404" s="705"/>
      <c r="AC404" s="705"/>
      <c r="AD404" s="705"/>
      <c r="AE404" s="705"/>
      <c r="AF404" s="705"/>
      <c r="AG404" s="705"/>
      <c r="AH404" s="705"/>
      <c r="AI404" s="705"/>
      <c r="AJ404" s="705"/>
      <c r="AK404" s="705"/>
      <c r="AL404" s="705"/>
      <c r="AM404" s="705"/>
      <c r="AN404" s="705"/>
      <c r="AO404" s="709"/>
      <c r="AP404" s="705">
        <v>2</v>
      </c>
      <c r="AQ404" s="705"/>
      <c r="AR404" s="710"/>
      <c r="AS404" s="705"/>
      <c r="AT404" s="705"/>
      <c r="AU404" s="705"/>
      <c r="AV404" s="705"/>
      <c r="AW404" s="705"/>
      <c r="AX404" s="711"/>
      <c r="AY404" s="709"/>
      <c r="AZ404" s="705"/>
      <c r="BA404" s="705"/>
      <c r="BB404" s="705"/>
      <c r="BC404" s="711"/>
      <c r="BD404" s="705"/>
      <c r="BE404" s="705"/>
      <c r="BF404" s="705"/>
      <c r="BG404" s="705"/>
      <c r="BH404" s="705"/>
      <c r="BI404" s="705"/>
      <c r="BJ404" s="705"/>
      <c r="BK404" s="705">
        <v>108</v>
      </c>
      <c r="BL404" s="705">
        <v>108</v>
      </c>
      <c r="BM404" s="711"/>
      <c r="BN404" s="712"/>
      <c r="BO404" s="710"/>
      <c r="BP404" s="711"/>
      <c r="BQ404" s="713" t="str">
        <f>IFERROR(WWWW[[#This Row],['#_Water sources treated]]/WWWW[[#This Row],['#_Water sources tested for contamination]],"no test")</f>
        <v>no test</v>
      </c>
      <c r="BR404" s="710" t="str">
        <f>IFERROR(WWWW[[#This Row],['#_Household received remediation action due to contamination]]/WWWW[[#This Row],['#_Household water samples tested for contamination]],"no test")</f>
        <v>no test</v>
      </c>
      <c r="BS404" s="712" t="str">
        <f>IF(AND(WWWW[[#This Row],[% of water sources treated]]="no test",WWWW[[#This Row],[% Household received corrective actions]]="no test"),"No Test","Tested")</f>
        <v>No Test</v>
      </c>
      <c r="BT404" s="712">
        <f>WWWW[[#This Row],['#_Constructed/existing protected hand dug well]]-WWWW[[#This Row],['#_Non-functional protected hand dug well]]</f>
        <v>0</v>
      </c>
      <c r="BU404" s="712">
        <f>(WWWW[[#This Row],['#_Constructed/Existing tube wells/boreholes/handpumps_WASH_agency]]+WWWW[[#This Row],['#_Non-Cluster partner water tube-wells/boreholes/handpumps]])-WWWW[[#This Row],['#_Non-functional tube wells/boreholes/handpumps]]</f>
        <v>0</v>
      </c>
      <c r="BV404" s="712">
        <f>WWWW[[#This Row],['#_Constructed/Existingwater storage tank with gravity fed reticulation system]]-WWWW[[#This Row],['#_Non-functional storage tank gravity fed reticulation system]]</f>
        <v>0</v>
      </c>
      <c r="BW404" s="712">
        <f>WWWW[[#This Row],['#_Water boating or water trucking]]</f>
        <v>0</v>
      </c>
      <c r="BX404" s="712">
        <f>WWWW[[#This Row],['#_Constructed/Existing water distribution system from river or natural spring]]</f>
        <v>0</v>
      </c>
      <c r="BY40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4" s="710">
        <f>IF(WWWW[[#This Row],[Location Type 1]]="Village",WWWW[[#This Row],[Access to safe drinking water for Village]],WWWW[[#This Row],[Access to safe drinking water for Camp]])</f>
        <v>0</v>
      </c>
      <c r="CB404" s="708">
        <f>WWWW[[#This Row],[%Equitable and continuous access to sufficient quantity of safe drinking water]]*WWWW[[#This Row],[Total PoP ]]</f>
        <v>0</v>
      </c>
      <c r="CC404" s="710">
        <f>IF((WWWW[[#This Row],['#_Constructed/Existing protected/fenced ponds]]*250)/WWWW[[#This Row],[Total PoP ]]&gt;1,1,(WWWW[[#This Row],['#_Constructed/Existing protected/fenced ponds]]*250)/WWWW[[#This Row],[Total PoP ]])</f>
        <v>0</v>
      </c>
      <c r="CD404" s="708">
        <f>WWWW[[#This Row],[% Access to unimproved water points]]*WWWW[[#This Row],[Total PoP ]]</f>
        <v>0</v>
      </c>
      <c r="CE40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4" s="708">
        <f>WWWW[[#This Row],[HRP1]]/500</f>
        <v>0</v>
      </c>
      <c r="CH404" s="714">
        <f>1-WWWW[[#This Row],[% Equitable and continuous access to sufficient quantity of domestic water]]</f>
        <v>1</v>
      </c>
      <c r="CI404" s="708">
        <f>WWWW[[#This Row],[%equitable and continuous access to sufficient quantity of safe drinking and domestic water''s GAP]]*WWWW[[#This Row],[Total PoP ]]</f>
        <v>217</v>
      </c>
      <c r="CJ404" s="712">
        <f>IF(WWWW[[#This Row],[Total required water points]]-WWWW[[#This Row],['#Water points coverage]]&lt;0,0,WWWW[[#This Row],[Total required water points]]-WWWW[[#This Row],['#Water points coverage]])</f>
        <v>1</v>
      </c>
      <c r="CK404" s="712">
        <f>ROUND(IF(WWWW[[#This Row],[Total PoP ]]&lt;500,1,WWWW[[#This Row],[Total PoP ]]/500),0)</f>
        <v>1</v>
      </c>
      <c r="CL404" s="712">
        <f>(WWWW[[#This Row],['#_Constructed latrines_by_WASHAgencies]]+WWWW[[#This Row],['#_Non Cluster partner latrines]])-WWWW[[#This Row],['#_Non-functional latrines]]</f>
        <v>2</v>
      </c>
      <c r="CM40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0.46082949308755761</v>
      </c>
      <c r="CN40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40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4" s="712">
        <f>IF(WWWW[[#This Row],[Location Type 1]]="Village","NA",IF(WWWW[[#This Row],['#_Constructed/Existing latrines in TLS]]*50&gt;WWWW[[#This Row],['#_students at TLS_CFS]],WWWW[[#This Row],['#_students at TLS_CFS]],(WWWW[[#This Row],['#_Constructed/Existing latrines in TLS]]*50)))</f>
        <v>0</v>
      </c>
      <c r="CQ404" s="712">
        <f>ROUND(IF(WWWW[[#This Row],[Location Type 1]]="camp",WWWW[[#This Row],[Total PoP ]]/20,IF(WWWW[[#This Row],[Location Type 1]]="Temporary Location",WWWW[[#This Row],[Total PoP ]]/50,(WWWW[[#This Row],[Total PoP ]]/6))),0)</f>
        <v>4</v>
      </c>
      <c r="CR404" s="712">
        <f>IF(WWWW[[#This Row],[Total required Latrines]]-(WWWW[[#This Row],['#_Constructed latrines_by_WASHAgencies]]+WWWW[[#This Row],['#_Non Cluster partner latrines]])&lt;0,0,WWWW[[#This Row],[Total required Latrines]]-(WWWW[[#This Row],['#_Constructed latrines_by_WASHAgencies]]+WWWW[[#This Row],['#_Non Cluster partner latrines]]))</f>
        <v>2</v>
      </c>
      <c r="CS404" s="716">
        <f>1-WWWW[[#This Row],[% people access to functioning Latrine]]</f>
        <v>0.53917050691244239</v>
      </c>
      <c r="CT404" s="713">
        <f>IF(OR(WWWW[[#This Row],['#_Non-functional latrines]]="",WWWW[[#This Row],['#_Non-functional latrines]]=0),0,WWWW[[#This Row],['#_Non-functional latrines]]/(WWWW[[#This Row],['#_Constructed latrines_by_WASHAgencies]]+WWWW[[#This Row],['#_Non Cluster partner latrines]]))</f>
        <v>0</v>
      </c>
      <c r="CU404" s="708">
        <f>IF(500*(WWWW[[#This Row],['#_male hygiene promoters]]+WWWW[[#This Row],['#_female hygiene promoters]])&gt;WWWW[[#This Row],[Total PoP ]],WWWW[[#This Row],[Total PoP ]],500*(WWWW[[#This Row],['#_male hygiene promoters]]+WWWW[[#This Row],['#_female hygiene promoters]]))</f>
        <v>0</v>
      </c>
      <c r="CV40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217</v>
      </c>
      <c r="CW40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217</v>
      </c>
      <c r="CX404" s="712">
        <f>IF(WWWW[[#This Row],['# People with access to soap]]&gt;WWWW[[#This Row],['# People with access to Sanity Pads]],WWWW[[#This Row],['# People with access to soap]],WWWW[[#This Row],['# People with access to Sanity Pads]])</f>
        <v>217</v>
      </c>
      <c r="CY404" s="712">
        <f>IF(WWWW[[#This Row],['# people reached by regular dedicated hygiene promotion_5]]&gt;WWWW[[#This Row],['# People received regular supply of hygiene items_6]],WWWW[[#This Row],['# people reached by regular dedicated hygiene promotion_5]],WWWW[[#This Row],['# People received regular supply of hygiene items_6]])</f>
        <v>217</v>
      </c>
      <c r="CZ404" s="714">
        <f>IF(WWWW[[#This Row],[HRP3]]/WWWW[[#This Row],[Total PoP ]]&gt;100%,100%,WWWW[[#This Row],[HRP3]]/WWWW[[#This Row],[Total PoP ]])</f>
        <v>1</v>
      </c>
      <c r="DA404" s="713">
        <f>1-WWWW[[#This Row],[Hygiene Coverage%]]</f>
        <v>0</v>
      </c>
      <c r="DB404" s="710">
        <f>WWWW[[#This Row],['# people reached by regular dedicated hygiene promotion_5]]/WWWW[[#This Row],[Total PoP ]]</f>
        <v>0</v>
      </c>
      <c r="DC404" s="710">
        <f>IF(WWWW[[#This Row],['#_households that received standard amount of soap for this quarter]]/WWWW[[#This Row],[Total HH]]&gt;1,1,WWWW[[#This Row],['#_households that received standard amount of soap for this quarter]]/WWWW[[#This Row],[Total HH]])</f>
        <v>1</v>
      </c>
      <c r="DD404" s="710">
        <f>IF(WWWW[[#This Row],['#_households that received standard amount of sanitary pads for this quarter]]/WWWW[[#This Row],[Total HH]]&gt;1,1,WWWW[[#This Row],['#_households that received standard amount of sanitary pads for this quarter]]/WWWW[[#This Row],[Total HH]])</f>
        <v>1</v>
      </c>
      <c r="DE404" s="712">
        <f>WWWW[[#This Row],['#_Constructed/Existing hand washing stations]]-WWWW[[#This Row],['#_Non-Functional_hand_washing_stations]]</f>
        <v>0</v>
      </c>
      <c r="DF404" s="757">
        <f>IF(WWWW[[#This Row],['# Functional hand washing stations during reporting period]]*20&gt;WWWW[[#This Row],[Total HH]],WWWW[[#This Row],[Total HH]],WWWW[[#This Row],['# Functional hand washing stations during reporting period]]*20)</f>
        <v>0</v>
      </c>
      <c r="DG404" s="708">
        <f>IF(WWWW[[#This Row],[Is sufficient soap available for TLS? (Yes/No)]]="yes",WWWW[[#This Row],['#_Constructed/Existing hand washing stations at TLS]],0)</f>
        <v>0</v>
      </c>
      <c r="DH404" s="585">
        <f>IF(WWWW[[#This Row],['# Functional hand washing stations during reporting period]]*100&gt;WWWW[[#This Row],[Total PoP ]],WWWW[[#This Row],[Total PoP ]],WWWW[[#This Row],['# Functional hand washing stations during reporting period]]*100)</f>
        <v>0</v>
      </c>
      <c r="DI404" s="585" t="str">
        <f>IF(OR(WWWW[[#This Row],['#_students at TLS_CFS]]="",WWWW[[#This Row],['#_students at TLS_CFS]]=0),"No","Yes")</f>
        <v>No</v>
      </c>
      <c r="DJ404" s="711">
        <f>VLOOKUP(WWWW[[#This Row],[Site Name]],SiteDB6[[Site Name]:[CCCM Management]],6,FALSE)</f>
        <v>0</v>
      </c>
      <c r="DK404" s="711">
        <f>VLOOKUP(WWWW[[#This Row],[Site Name]],SiteDB6[[Site Name]:[CCCM Focal Agency]],7,FALSE)</f>
        <v>0</v>
      </c>
      <c r="DL404" s="711" t="str">
        <f>VLOOKUP(WWWW[[#This Row],[Site Name]],SiteDB6[[Site Name]:[Location Type 1]],9,FALSE)</f>
        <v>Temporary location</v>
      </c>
      <c r="DM404" s="711" t="str">
        <f>VLOOKUP(WWWW[[#This Row],[Site Name]],SiteDB6[[Site Name]:[Type of Accommodation]],10,FALSE)</f>
        <v>Temporary location_Town</v>
      </c>
      <c r="DN404" s="711">
        <f>VLOOKUP(WWWW[[#This Row],[Site Name]],SiteDB6[[Site Name]:[Ethnic or GCA/NGCA]],11,FALSE)</f>
        <v>0</v>
      </c>
      <c r="DO404" s="711">
        <f>VLOOKUP(WWWW[[#This Row],[Site Name]],SiteDB6[[Site Name]:[Lat]],12,FALSE)</f>
        <v>0</v>
      </c>
      <c r="DP404" s="711">
        <f>VLOOKUP(WWWW[[#This Row],[Site Name]],SiteDB6[[Site Name]:[Long]],13,FALSE)</f>
        <v>0</v>
      </c>
      <c r="DQ404" s="711">
        <f>VLOOKUP(WWWW[[#This Row],[Site Name]],SiteDB6[[Site Name]:[Pcode]],3,FALSE)</f>
        <v>0</v>
      </c>
      <c r="DR404" s="709" t="str">
        <f t="shared" si="13"/>
        <v>Covered</v>
      </c>
      <c r="DS404" s="709"/>
      <c r="DV404" s="572"/>
    </row>
    <row r="405" spans="1:126">
      <c r="A405" s="552" t="s">
        <v>2518</v>
      </c>
      <c r="B405" s="701" t="s">
        <v>2864</v>
      </c>
      <c r="C405" s="701" t="s">
        <v>2864</v>
      </c>
      <c r="D405" s="702"/>
      <c r="E405" s="703" t="s">
        <v>3006</v>
      </c>
      <c r="F405" s="702" t="s">
        <v>489</v>
      </c>
      <c r="G405" s="704" t="str">
        <f>VLOOKUP(WWWW[[#This Row],[Site Name]],SiteDB6[[Site Name]:[Location Type]],8,FALSE)</f>
        <v>New Temporary Site</v>
      </c>
      <c r="H405" s="702" t="s">
        <v>2870</v>
      </c>
      <c r="I405" s="705">
        <v>33</v>
      </c>
      <c r="J405" s="705">
        <v>101</v>
      </c>
      <c r="K405" s="706"/>
      <c r="L405" s="707"/>
      <c r="M405" s="705"/>
      <c r="N405" s="705"/>
      <c r="O405" s="705"/>
      <c r="P405" s="705"/>
      <c r="Q405" s="708"/>
      <c r="R405" s="705"/>
      <c r="S405" s="705"/>
      <c r="T405" s="312"/>
      <c r="U405" s="705"/>
      <c r="V405" s="705"/>
      <c r="W405" s="705"/>
      <c r="X405" s="705"/>
      <c r="Y405" s="705"/>
      <c r="Z405" s="705"/>
      <c r="AA405" s="705"/>
      <c r="AB405" s="705"/>
      <c r="AC405" s="705"/>
      <c r="AD405" s="705"/>
      <c r="AE405" s="705"/>
      <c r="AF405" s="705"/>
      <c r="AG405" s="705"/>
      <c r="AH405" s="705"/>
      <c r="AI405" s="705"/>
      <c r="AJ405" s="705"/>
      <c r="AK405" s="705"/>
      <c r="AL405" s="705"/>
      <c r="AM405" s="705"/>
      <c r="AN405" s="705"/>
      <c r="AO405" s="709"/>
      <c r="AP405" s="705"/>
      <c r="AQ405" s="705"/>
      <c r="AR405" s="710"/>
      <c r="AS405" s="705"/>
      <c r="AT405" s="705"/>
      <c r="AU405" s="705"/>
      <c r="AV405" s="705"/>
      <c r="AW405" s="705"/>
      <c r="AX405" s="711"/>
      <c r="AY405" s="709"/>
      <c r="AZ405" s="705"/>
      <c r="BA405" s="705"/>
      <c r="BB405" s="705"/>
      <c r="BC405" s="711"/>
      <c r="BD405" s="705"/>
      <c r="BE405" s="705"/>
      <c r="BF405" s="705"/>
      <c r="BG405" s="705"/>
      <c r="BH405" s="705"/>
      <c r="BI405" s="705"/>
      <c r="BJ405" s="705"/>
      <c r="BK405" s="705">
        <v>33</v>
      </c>
      <c r="BL405" s="705">
        <v>33</v>
      </c>
      <c r="BM405" s="711"/>
      <c r="BN405" s="712"/>
      <c r="BO405" s="710"/>
      <c r="BP405" s="711"/>
      <c r="BQ405" s="713" t="str">
        <f>IFERROR(WWWW[[#This Row],['#_Water sources treated]]/WWWW[[#This Row],['#_Water sources tested for contamination]],"no test")</f>
        <v>no test</v>
      </c>
      <c r="BR405" s="710" t="str">
        <f>IFERROR(WWWW[[#This Row],['#_Household received remediation action due to contamination]]/WWWW[[#This Row],['#_Household water samples tested for contamination]],"no test")</f>
        <v>no test</v>
      </c>
      <c r="BS405" s="712" t="str">
        <f>IF(AND(WWWW[[#This Row],[% of water sources treated]]="no test",WWWW[[#This Row],[% Household received corrective actions]]="no test"),"No Test","Tested")</f>
        <v>No Test</v>
      </c>
      <c r="BT405" s="712">
        <f>WWWW[[#This Row],['#_Constructed/existing protected hand dug well]]-WWWW[[#This Row],['#_Non-functional protected hand dug well]]</f>
        <v>0</v>
      </c>
      <c r="BU405" s="712">
        <f>(WWWW[[#This Row],['#_Constructed/Existing tube wells/boreholes/handpumps_WASH_agency]]+WWWW[[#This Row],['#_Non-Cluster partner water tube-wells/boreholes/handpumps]])-WWWW[[#This Row],['#_Non-functional tube wells/boreholes/handpumps]]</f>
        <v>0</v>
      </c>
      <c r="BV405" s="712">
        <f>WWWW[[#This Row],['#_Constructed/Existingwater storage tank with gravity fed reticulation system]]-WWWW[[#This Row],['#_Non-functional storage tank gravity fed reticulation system]]</f>
        <v>0</v>
      </c>
      <c r="BW405" s="712">
        <f>WWWW[[#This Row],['#_Water boating or water trucking]]</f>
        <v>0</v>
      </c>
      <c r="BX405" s="712">
        <f>WWWW[[#This Row],['#_Constructed/Existing water distribution system from river or natural spring]]</f>
        <v>0</v>
      </c>
      <c r="BY40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5" s="710">
        <f>IF(WWWW[[#This Row],[Location Type 1]]="Village",WWWW[[#This Row],[Access to safe drinking water for Village]],WWWW[[#This Row],[Access to safe drinking water for Camp]])</f>
        <v>0</v>
      </c>
      <c r="CB405" s="708">
        <f>WWWW[[#This Row],[%Equitable and continuous access to sufficient quantity of safe drinking water]]*WWWW[[#This Row],[Total PoP ]]</f>
        <v>0</v>
      </c>
      <c r="CC405" s="710">
        <f>IF((WWWW[[#This Row],['#_Constructed/Existing protected/fenced ponds]]*250)/WWWW[[#This Row],[Total PoP ]]&gt;1,1,(WWWW[[#This Row],['#_Constructed/Existing protected/fenced ponds]]*250)/WWWW[[#This Row],[Total PoP ]])</f>
        <v>0</v>
      </c>
      <c r="CD405" s="708">
        <f>WWWW[[#This Row],[% Access to unimproved water points]]*WWWW[[#This Row],[Total PoP ]]</f>
        <v>0</v>
      </c>
      <c r="CE40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5" s="708">
        <f>WWWW[[#This Row],[HRP1]]/500</f>
        <v>0</v>
      </c>
      <c r="CH405" s="714">
        <f>1-WWWW[[#This Row],[% Equitable and continuous access to sufficient quantity of domestic water]]</f>
        <v>1</v>
      </c>
      <c r="CI405" s="708">
        <f>WWWW[[#This Row],[%equitable and continuous access to sufficient quantity of safe drinking and domestic water''s GAP]]*WWWW[[#This Row],[Total PoP ]]</f>
        <v>101</v>
      </c>
      <c r="CJ405" s="712">
        <f>IF(WWWW[[#This Row],[Total required water points]]-WWWW[[#This Row],['#Water points coverage]]&lt;0,0,WWWW[[#This Row],[Total required water points]]-WWWW[[#This Row],['#Water points coverage]])</f>
        <v>1</v>
      </c>
      <c r="CK405" s="712">
        <f>ROUND(IF(WWWW[[#This Row],[Total PoP ]]&lt;500,1,WWWW[[#This Row],[Total PoP ]]/500),0)</f>
        <v>1</v>
      </c>
      <c r="CL405" s="712">
        <f>(WWWW[[#This Row],['#_Constructed latrines_by_WASHAgencies]]+WWWW[[#This Row],['#_Non Cluster partner latrines]])-WWWW[[#This Row],['#_Non-functional latrines]]</f>
        <v>0</v>
      </c>
      <c r="CM40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5" s="712">
        <f>IF(WWWW[[#This Row],[Location Type 1]]="Village","NA",IF(WWWW[[#This Row],['#_Constructed/Existing latrines in TLS]]*50&gt;WWWW[[#This Row],['#_students at TLS_CFS]],WWWW[[#This Row],['#_students at TLS_CFS]],(WWWW[[#This Row],['#_Constructed/Existing latrines in TLS]]*50)))</f>
        <v>0</v>
      </c>
      <c r="CQ405" s="712">
        <f>ROUND(IF(WWWW[[#This Row],[Location Type 1]]="camp",WWWW[[#This Row],[Total PoP ]]/20,IF(WWWW[[#This Row],[Location Type 1]]="Temporary Location",WWWW[[#This Row],[Total PoP ]]/50,(WWWW[[#This Row],[Total PoP ]]/6))),0)</f>
        <v>2</v>
      </c>
      <c r="CR405" s="712">
        <f>IF(WWWW[[#This Row],[Total required Latrines]]-(WWWW[[#This Row],['#_Constructed latrines_by_WASHAgencies]]+WWWW[[#This Row],['#_Non Cluster partner latrines]])&lt;0,0,WWWW[[#This Row],[Total required Latrines]]-(WWWW[[#This Row],['#_Constructed latrines_by_WASHAgencies]]+WWWW[[#This Row],['#_Non Cluster partner latrines]]))</f>
        <v>2</v>
      </c>
      <c r="CS405" s="716">
        <f>1-WWWW[[#This Row],[% people access to functioning Latrine]]</f>
        <v>1</v>
      </c>
      <c r="CT405" s="713">
        <f>IF(OR(WWWW[[#This Row],['#_Non-functional latrines]]="",WWWW[[#This Row],['#_Non-functional latrines]]=0),0,WWWW[[#This Row],['#_Non-functional latrines]]/(WWWW[[#This Row],['#_Constructed latrines_by_WASHAgencies]]+WWWW[[#This Row],['#_Non Cluster partner latrines]]))</f>
        <v>0</v>
      </c>
      <c r="CU405" s="708">
        <f>IF(500*(WWWW[[#This Row],['#_male hygiene promoters]]+WWWW[[#This Row],['#_female hygiene promoters]])&gt;WWWW[[#This Row],[Total PoP ]],WWWW[[#This Row],[Total PoP ]],500*(WWWW[[#This Row],['#_male hygiene promoters]]+WWWW[[#This Row],['#_female hygiene promoters]]))</f>
        <v>0</v>
      </c>
      <c r="CV40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CW40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101</v>
      </c>
      <c r="CX405" s="712">
        <f>IF(WWWW[[#This Row],['# People with access to soap]]&gt;WWWW[[#This Row],['# People with access to Sanity Pads]],WWWW[[#This Row],['# People with access to soap]],WWWW[[#This Row],['# People with access to Sanity Pads]])</f>
        <v>101</v>
      </c>
      <c r="CY405" s="712">
        <f>IF(WWWW[[#This Row],['# people reached by regular dedicated hygiene promotion_5]]&gt;WWWW[[#This Row],['# People received regular supply of hygiene items_6]],WWWW[[#This Row],['# people reached by regular dedicated hygiene promotion_5]],WWWW[[#This Row],['# People received regular supply of hygiene items_6]])</f>
        <v>101</v>
      </c>
      <c r="CZ405" s="714">
        <f>IF(WWWW[[#This Row],[HRP3]]/WWWW[[#This Row],[Total PoP ]]&gt;100%,100%,WWWW[[#This Row],[HRP3]]/WWWW[[#This Row],[Total PoP ]])</f>
        <v>1</v>
      </c>
      <c r="DA405" s="713">
        <f>1-WWWW[[#This Row],[Hygiene Coverage%]]</f>
        <v>0</v>
      </c>
      <c r="DB405" s="710">
        <f>WWWW[[#This Row],['# people reached by regular dedicated hygiene promotion_5]]/WWWW[[#This Row],[Total PoP ]]</f>
        <v>0</v>
      </c>
      <c r="DC405" s="710">
        <f>IF(WWWW[[#This Row],['#_households that received standard amount of soap for this quarter]]/WWWW[[#This Row],[Total HH]]&gt;1,1,WWWW[[#This Row],['#_households that received standard amount of soap for this quarter]]/WWWW[[#This Row],[Total HH]])</f>
        <v>1</v>
      </c>
      <c r="DD405" s="710">
        <f>IF(WWWW[[#This Row],['#_households that received standard amount of sanitary pads for this quarter]]/WWWW[[#This Row],[Total HH]]&gt;1,1,WWWW[[#This Row],['#_households that received standard amount of sanitary pads for this quarter]]/WWWW[[#This Row],[Total HH]])</f>
        <v>1</v>
      </c>
      <c r="DE405" s="712">
        <f>WWWW[[#This Row],['#_Constructed/Existing hand washing stations]]-WWWW[[#This Row],['#_Non-Functional_hand_washing_stations]]</f>
        <v>0</v>
      </c>
      <c r="DF405" s="757">
        <f>IF(WWWW[[#This Row],['# Functional hand washing stations during reporting period]]*20&gt;WWWW[[#This Row],[Total HH]],WWWW[[#This Row],[Total HH]],WWWW[[#This Row],['# Functional hand washing stations during reporting period]]*20)</f>
        <v>0</v>
      </c>
      <c r="DG405" s="708">
        <f>IF(WWWW[[#This Row],[Is sufficient soap available for TLS? (Yes/No)]]="yes",WWWW[[#This Row],['#_Constructed/Existing hand washing stations at TLS]],0)</f>
        <v>0</v>
      </c>
      <c r="DH405" s="585">
        <f>IF(WWWW[[#This Row],['# Functional hand washing stations during reporting period]]*100&gt;WWWW[[#This Row],[Total PoP ]],WWWW[[#This Row],[Total PoP ]],WWWW[[#This Row],['# Functional hand washing stations during reporting period]]*100)</f>
        <v>0</v>
      </c>
      <c r="DI405" s="585" t="str">
        <f>IF(OR(WWWW[[#This Row],['#_students at TLS_CFS]]="",WWWW[[#This Row],['#_students at TLS_CFS]]=0),"No","Yes")</f>
        <v>No</v>
      </c>
      <c r="DJ405" s="711">
        <f>VLOOKUP(WWWW[[#This Row],[Site Name]],SiteDB6[[Site Name]:[CCCM Management]],6,FALSE)</f>
        <v>0</v>
      </c>
      <c r="DK405" s="711">
        <f>VLOOKUP(WWWW[[#This Row],[Site Name]],SiteDB6[[Site Name]:[CCCM Focal Agency]],7,FALSE)</f>
        <v>0</v>
      </c>
      <c r="DL405" s="711" t="str">
        <f>VLOOKUP(WWWW[[#This Row],[Site Name]],SiteDB6[[Site Name]:[Location Type 1]],9,FALSE)</f>
        <v>Temporary location</v>
      </c>
      <c r="DM405" s="711" t="str">
        <f>VLOOKUP(WWWW[[#This Row],[Site Name]],SiteDB6[[Site Name]:[Type of Accommodation]],10,FALSE)</f>
        <v>Temporary location_Town</v>
      </c>
      <c r="DN405" s="711">
        <f>VLOOKUP(WWWW[[#This Row],[Site Name]],SiteDB6[[Site Name]:[Ethnic or GCA/NGCA]],11,FALSE)</f>
        <v>0</v>
      </c>
      <c r="DO405" s="711">
        <f>VLOOKUP(WWWW[[#This Row],[Site Name]],SiteDB6[[Site Name]:[Lat]],12,FALSE)</f>
        <v>0</v>
      </c>
      <c r="DP405" s="711">
        <f>VLOOKUP(WWWW[[#This Row],[Site Name]],SiteDB6[[Site Name]:[Long]],13,FALSE)</f>
        <v>0</v>
      </c>
      <c r="DQ405" s="711">
        <f>VLOOKUP(WWWW[[#This Row],[Site Name]],SiteDB6[[Site Name]:[Pcode]],3,FALSE)</f>
        <v>0</v>
      </c>
      <c r="DR405" s="709" t="str">
        <f t="shared" si="13"/>
        <v>Covered</v>
      </c>
      <c r="DS405" s="709"/>
      <c r="DV405" s="572"/>
    </row>
    <row r="406" spans="1:126">
      <c r="A406" s="552" t="s">
        <v>2518</v>
      </c>
      <c r="B406" s="808" t="s">
        <v>317</v>
      </c>
      <c r="C406" s="808" t="s">
        <v>317</v>
      </c>
      <c r="D406" s="702"/>
      <c r="E406" s="703" t="s">
        <v>3006</v>
      </c>
      <c r="F406" s="702" t="s">
        <v>489</v>
      </c>
      <c r="G406" s="704" t="str">
        <f>VLOOKUP(WWWW[[#This Row],[Site Name]],SiteDB6[[Site Name]:[Location Type]],8,FALSE)</f>
        <v>New Temporary Site</v>
      </c>
      <c r="H406" s="702" t="s">
        <v>3151</v>
      </c>
      <c r="I406" s="705">
        <v>147</v>
      </c>
      <c r="J406" s="705">
        <v>455</v>
      </c>
      <c r="K406" s="706"/>
      <c r="L406" s="707"/>
      <c r="M406" s="705"/>
      <c r="N406" s="705"/>
      <c r="O406" s="705"/>
      <c r="P406" s="705"/>
      <c r="Q406" s="708"/>
      <c r="R406" s="705"/>
      <c r="S406" s="705"/>
      <c r="T406" s="312"/>
      <c r="U406" s="705"/>
      <c r="V406" s="705"/>
      <c r="W406" s="705"/>
      <c r="X406" s="705"/>
      <c r="Y406" s="705"/>
      <c r="Z406" s="705"/>
      <c r="AA406" s="705"/>
      <c r="AB406" s="705"/>
      <c r="AC406" s="705"/>
      <c r="AD406" s="705"/>
      <c r="AE406" s="705"/>
      <c r="AF406" s="705"/>
      <c r="AG406" s="705"/>
      <c r="AH406" s="705"/>
      <c r="AI406" s="705"/>
      <c r="AJ406" s="705"/>
      <c r="AK406" s="705"/>
      <c r="AL406" s="705"/>
      <c r="AM406" s="705"/>
      <c r="AN406" s="705"/>
      <c r="AO406" s="709"/>
      <c r="AP406" s="705"/>
      <c r="AQ406" s="705"/>
      <c r="AR406" s="710"/>
      <c r="AS406" s="705"/>
      <c r="AT406" s="705"/>
      <c r="AU406" s="705"/>
      <c r="AV406" s="705"/>
      <c r="AW406" s="705"/>
      <c r="AX406" s="711"/>
      <c r="AY406" s="709"/>
      <c r="AZ406" s="705"/>
      <c r="BA406" s="705"/>
      <c r="BB406" s="705"/>
      <c r="BC406" s="711"/>
      <c r="BD406" s="705"/>
      <c r="BE406" s="705"/>
      <c r="BF406" s="705"/>
      <c r="BG406" s="705"/>
      <c r="BH406" s="705"/>
      <c r="BI406" s="705"/>
      <c r="BJ406" s="705"/>
      <c r="BK406" s="705"/>
      <c r="BL406" s="705"/>
      <c r="BM406" s="711"/>
      <c r="BN406" s="712"/>
      <c r="BO406" s="710"/>
      <c r="BP406" s="711"/>
      <c r="BQ406" s="713" t="str">
        <f>IFERROR(WWWW[[#This Row],['#_Water sources treated]]/WWWW[[#This Row],['#_Water sources tested for contamination]],"no test")</f>
        <v>no test</v>
      </c>
      <c r="BR406" s="710" t="str">
        <f>IFERROR(WWWW[[#This Row],['#_Household received remediation action due to contamination]]/WWWW[[#This Row],['#_Household water samples tested for contamination]],"no test")</f>
        <v>no test</v>
      </c>
      <c r="BS406" s="712" t="str">
        <f>IF(AND(WWWW[[#This Row],[% of water sources treated]]="no test",WWWW[[#This Row],[% Household received corrective actions]]="no test"),"No Test","Tested")</f>
        <v>No Test</v>
      </c>
      <c r="BT406" s="712">
        <f>WWWW[[#This Row],['#_Constructed/existing protected hand dug well]]-WWWW[[#This Row],['#_Non-functional protected hand dug well]]</f>
        <v>0</v>
      </c>
      <c r="BU406" s="712">
        <f>(WWWW[[#This Row],['#_Constructed/Existing tube wells/boreholes/handpumps_WASH_agency]]+WWWW[[#This Row],['#_Non-Cluster partner water tube-wells/boreholes/handpumps]])-WWWW[[#This Row],['#_Non-functional tube wells/boreholes/handpumps]]</f>
        <v>0</v>
      </c>
      <c r="BV406" s="712">
        <f>WWWW[[#This Row],['#_Constructed/Existingwater storage tank with gravity fed reticulation system]]-WWWW[[#This Row],['#_Non-functional storage tank gravity fed reticulation system]]</f>
        <v>0</v>
      </c>
      <c r="BW406" s="712">
        <f>WWWW[[#This Row],['#_Water boating or water trucking]]</f>
        <v>0</v>
      </c>
      <c r="BX406" s="712">
        <f>WWWW[[#This Row],['#_Constructed/Existing water distribution system from river or natural spring]]</f>
        <v>0</v>
      </c>
      <c r="BY40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6" s="710">
        <f>IF(WWWW[[#This Row],[Location Type 1]]="Village",WWWW[[#This Row],[Access to safe drinking water for Village]],WWWW[[#This Row],[Access to safe drinking water for Camp]])</f>
        <v>0</v>
      </c>
      <c r="CB406" s="708">
        <f>WWWW[[#This Row],[%Equitable and continuous access to sufficient quantity of safe drinking water]]*WWWW[[#This Row],[Total PoP ]]</f>
        <v>0</v>
      </c>
      <c r="CC406" s="710">
        <f>IF((WWWW[[#This Row],['#_Constructed/Existing protected/fenced ponds]]*250)/WWWW[[#This Row],[Total PoP ]]&gt;1,1,(WWWW[[#This Row],['#_Constructed/Existing protected/fenced ponds]]*250)/WWWW[[#This Row],[Total PoP ]])</f>
        <v>0</v>
      </c>
      <c r="CD406" s="708">
        <f>WWWW[[#This Row],[% Access to unimproved water points]]*WWWW[[#This Row],[Total PoP ]]</f>
        <v>0</v>
      </c>
      <c r="CE40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6" s="708">
        <f>WWWW[[#This Row],[HRP1]]/500</f>
        <v>0</v>
      </c>
      <c r="CH406" s="714">
        <f>1-WWWW[[#This Row],[% Equitable and continuous access to sufficient quantity of domestic water]]</f>
        <v>1</v>
      </c>
      <c r="CI406" s="708">
        <f>WWWW[[#This Row],[%equitable and continuous access to sufficient quantity of safe drinking and domestic water''s GAP]]*WWWW[[#This Row],[Total PoP ]]</f>
        <v>455</v>
      </c>
      <c r="CJ406" s="712">
        <f>IF(WWWW[[#This Row],[Total required water points]]-WWWW[[#This Row],['#Water points coverage]]&lt;0,0,WWWW[[#This Row],[Total required water points]]-WWWW[[#This Row],['#Water points coverage]])</f>
        <v>1</v>
      </c>
      <c r="CK406" s="712">
        <f>ROUND(IF(WWWW[[#This Row],[Total PoP ]]&lt;500,1,WWWW[[#This Row],[Total PoP ]]/500),0)</f>
        <v>1</v>
      </c>
      <c r="CL406" s="712">
        <f>(WWWW[[#This Row],['#_Constructed latrines_by_WASHAgencies]]+WWWW[[#This Row],['#_Non Cluster partner latrines]])-WWWW[[#This Row],['#_Non-functional latrines]]</f>
        <v>0</v>
      </c>
      <c r="CM40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6" s="712">
        <f>IF(WWWW[[#This Row],[Location Type 1]]="Village","NA",IF(WWWW[[#This Row],['#_Constructed/Existing latrines in TLS]]*50&gt;WWWW[[#This Row],['#_students at TLS_CFS]],WWWW[[#This Row],['#_students at TLS_CFS]],(WWWW[[#This Row],['#_Constructed/Existing latrines in TLS]]*50)))</f>
        <v>0</v>
      </c>
      <c r="CQ406" s="712">
        <f>ROUND(IF(WWWW[[#This Row],[Location Type 1]]="camp",WWWW[[#This Row],[Total PoP ]]/20,IF(WWWW[[#This Row],[Location Type 1]]="Temporary Location",WWWW[[#This Row],[Total PoP ]]/50,(WWWW[[#This Row],[Total PoP ]]/6))),0)</f>
        <v>9</v>
      </c>
      <c r="CR406" s="712">
        <f>IF(WWWW[[#This Row],[Total required Latrines]]-(WWWW[[#This Row],['#_Constructed latrines_by_WASHAgencies]]+WWWW[[#This Row],['#_Non Cluster partner latrines]])&lt;0,0,WWWW[[#This Row],[Total required Latrines]]-(WWWW[[#This Row],['#_Constructed latrines_by_WASHAgencies]]+WWWW[[#This Row],['#_Non Cluster partner latrines]]))</f>
        <v>9</v>
      </c>
      <c r="CS406" s="716">
        <f>1-WWWW[[#This Row],[% people access to functioning Latrine]]</f>
        <v>1</v>
      </c>
      <c r="CT406" s="713">
        <f>IF(OR(WWWW[[#This Row],['#_Non-functional latrines]]="",WWWW[[#This Row],['#_Non-functional latrines]]=0),0,WWWW[[#This Row],['#_Non-functional latrines]]/(WWWW[[#This Row],['#_Constructed latrines_by_WASHAgencies]]+WWWW[[#This Row],['#_Non Cluster partner latrines]]))</f>
        <v>0</v>
      </c>
      <c r="CU406" s="708">
        <f>IF(500*(WWWW[[#This Row],['#_male hygiene promoters]]+WWWW[[#This Row],['#_female hygiene promoters]])&gt;WWWW[[#This Row],[Total PoP ]],WWWW[[#This Row],[Total PoP ]],500*(WWWW[[#This Row],['#_male hygiene promoters]]+WWWW[[#This Row],['#_female hygiene promoters]]))</f>
        <v>0</v>
      </c>
      <c r="CV40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0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06" s="712">
        <f>IF(WWWW[[#This Row],['# People with access to soap]]&gt;WWWW[[#This Row],['# People with access to Sanity Pads]],WWWW[[#This Row],['# People with access to soap]],WWWW[[#This Row],['# People with access to Sanity Pads]])</f>
        <v>0</v>
      </c>
      <c r="CY40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06" s="714">
        <f>IF(WWWW[[#This Row],[HRP3]]/WWWW[[#This Row],[Total PoP ]]&gt;100%,100%,WWWW[[#This Row],[HRP3]]/WWWW[[#This Row],[Total PoP ]])</f>
        <v>0</v>
      </c>
      <c r="DA406" s="713">
        <f>1-WWWW[[#This Row],[Hygiene Coverage%]]</f>
        <v>1</v>
      </c>
      <c r="DB406" s="710">
        <f>WWWW[[#This Row],['# people reached by regular dedicated hygiene promotion_5]]/WWWW[[#This Row],[Total PoP ]]</f>
        <v>0</v>
      </c>
      <c r="DC406" s="710">
        <f>IF(WWWW[[#This Row],['#_households that received standard amount of soap for this quarter]]/WWWW[[#This Row],[Total HH]]&gt;1,1,WWWW[[#This Row],['#_households that received standard amount of soap for this quarter]]/WWWW[[#This Row],[Total HH]])</f>
        <v>0</v>
      </c>
      <c r="DD406" s="710">
        <f>IF(WWWW[[#This Row],['#_households that received standard amount of sanitary pads for this quarter]]/WWWW[[#This Row],[Total HH]]&gt;1,1,WWWW[[#This Row],['#_households that received standard amount of sanitary pads for this quarter]]/WWWW[[#This Row],[Total HH]])</f>
        <v>0</v>
      </c>
      <c r="DE406" s="712">
        <f>WWWW[[#This Row],['#_Constructed/Existing hand washing stations]]-WWWW[[#This Row],['#_Non-Functional_hand_washing_stations]]</f>
        <v>0</v>
      </c>
      <c r="DF406" s="757">
        <f>IF(WWWW[[#This Row],['# Functional hand washing stations during reporting period]]*20&gt;WWWW[[#This Row],[Total HH]],WWWW[[#This Row],[Total HH]],WWWW[[#This Row],['# Functional hand washing stations during reporting period]]*20)</f>
        <v>0</v>
      </c>
      <c r="DG406" s="708">
        <f>IF(WWWW[[#This Row],[Is sufficient soap available for TLS? (Yes/No)]]="yes",WWWW[[#This Row],['#_Constructed/Existing hand washing stations at TLS]],0)</f>
        <v>0</v>
      </c>
      <c r="DH406" s="585">
        <f>IF(WWWW[[#This Row],['# Functional hand washing stations during reporting period]]*100&gt;WWWW[[#This Row],[Total PoP ]],WWWW[[#This Row],[Total PoP ]],WWWW[[#This Row],['# Functional hand washing stations during reporting period]]*100)</f>
        <v>0</v>
      </c>
      <c r="DI406" s="585" t="str">
        <f>IF(OR(WWWW[[#This Row],['#_students at TLS_CFS]]="",WWWW[[#This Row],['#_students at TLS_CFS]]=0),"No","Yes")</f>
        <v>No</v>
      </c>
      <c r="DJ406" s="711">
        <f>VLOOKUP(WWWW[[#This Row],[Site Name]],SiteDB6[[Site Name]:[CCCM Management]],6,FALSE)</f>
        <v>0</v>
      </c>
      <c r="DK406" s="711">
        <f>VLOOKUP(WWWW[[#This Row],[Site Name]],SiteDB6[[Site Name]:[CCCM Focal Agency]],7,FALSE)</f>
        <v>0</v>
      </c>
      <c r="DL406" s="711" t="str">
        <f>VLOOKUP(WWWW[[#This Row],[Site Name]],SiteDB6[[Site Name]:[Location Type 1]],9,FALSE)</f>
        <v>Temporary location</v>
      </c>
      <c r="DM406" s="711" t="str">
        <f>VLOOKUP(WWWW[[#This Row],[Site Name]],SiteDB6[[Site Name]:[Type of Accommodation]],10,FALSE)</f>
        <v>Temporary location</v>
      </c>
      <c r="DN406" s="711">
        <f>VLOOKUP(WWWW[[#This Row],[Site Name]],SiteDB6[[Site Name]:[Ethnic or GCA/NGCA]],11,FALSE)</f>
        <v>0</v>
      </c>
      <c r="DO406" s="711">
        <f>VLOOKUP(WWWW[[#This Row],[Site Name]],SiteDB6[[Site Name]:[Lat]],12,FALSE)</f>
        <v>0</v>
      </c>
      <c r="DP406" s="711">
        <f>VLOOKUP(WWWW[[#This Row],[Site Name]],SiteDB6[[Site Name]:[Long]],13,FALSE)</f>
        <v>0</v>
      </c>
      <c r="DQ406" s="711">
        <f>VLOOKUP(WWWW[[#This Row],[Site Name]],SiteDB6[[Site Name]:[Pcode]],3,FALSE)</f>
        <v>0</v>
      </c>
      <c r="DR406" s="709" t="str">
        <f t="shared" si="13"/>
        <v>Notcovered</v>
      </c>
      <c r="DS406" s="709"/>
      <c r="DV406" s="572"/>
    </row>
    <row r="407" spans="1:126">
      <c r="A407" s="552" t="s">
        <v>2518</v>
      </c>
      <c r="B407" s="701" t="s">
        <v>3133</v>
      </c>
      <c r="C407" s="701" t="s">
        <v>3133</v>
      </c>
      <c r="D407" s="702"/>
      <c r="E407" s="703" t="s">
        <v>3006</v>
      </c>
      <c r="F407" s="702" t="s">
        <v>489</v>
      </c>
      <c r="G407" s="704" t="s">
        <v>3017</v>
      </c>
      <c r="H407" s="702" t="s">
        <v>3220</v>
      </c>
      <c r="I407" s="705">
        <v>45</v>
      </c>
      <c r="J407" s="705">
        <v>191</v>
      </c>
      <c r="K407" s="706"/>
      <c r="L407" s="707"/>
      <c r="M407" s="705"/>
      <c r="N407" s="705"/>
      <c r="O407" s="705"/>
      <c r="P407" s="705"/>
      <c r="Q407" s="708"/>
      <c r="R407" s="705"/>
      <c r="S407" s="705"/>
      <c r="T407" s="312"/>
      <c r="U407" s="705"/>
      <c r="V407" s="705"/>
      <c r="W407" s="705"/>
      <c r="X407" s="705"/>
      <c r="Y407" s="705"/>
      <c r="Z407" s="705"/>
      <c r="AA407" s="705"/>
      <c r="AB407" s="705"/>
      <c r="AC407" s="705"/>
      <c r="AD407" s="705"/>
      <c r="AE407" s="705"/>
      <c r="AF407" s="705"/>
      <c r="AG407" s="705"/>
      <c r="AH407" s="705"/>
      <c r="AI407" s="705"/>
      <c r="AJ407" s="705"/>
      <c r="AK407" s="705"/>
      <c r="AL407" s="705"/>
      <c r="AM407" s="705"/>
      <c r="AN407" s="705"/>
      <c r="AO407" s="709"/>
      <c r="AP407" s="705">
        <v>9</v>
      </c>
      <c r="AQ407" s="705"/>
      <c r="AR407" s="710"/>
      <c r="AS407" s="705"/>
      <c r="AT407" s="705"/>
      <c r="AU407" s="705"/>
      <c r="AV407" s="705"/>
      <c r="AW407" s="705"/>
      <c r="AX407" s="711"/>
      <c r="AY407" s="709"/>
      <c r="AZ407" s="705"/>
      <c r="BA407" s="705"/>
      <c r="BB407" s="705"/>
      <c r="BC407" s="711"/>
      <c r="BD407" s="705"/>
      <c r="BE407" s="705"/>
      <c r="BF407" s="705"/>
      <c r="BG407" s="705"/>
      <c r="BH407" s="705"/>
      <c r="BI407" s="705"/>
      <c r="BJ407" s="705"/>
      <c r="BK407" s="705">
        <v>40</v>
      </c>
      <c r="BL407" s="705">
        <v>40</v>
      </c>
      <c r="BM407" s="711"/>
      <c r="BN407" s="712"/>
      <c r="BO407" s="710"/>
      <c r="BP407" s="711"/>
      <c r="BQ407" s="713" t="str">
        <f>IFERROR(WWWW[[#This Row],['#_Water sources treated]]/WWWW[[#This Row],['#_Water sources tested for contamination]],"no test")</f>
        <v>no test</v>
      </c>
      <c r="BR407" s="710" t="str">
        <f>IFERROR(WWWW[[#This Row],['#_Household received remediation action due to contamination]]/WWWW[[#This Row],['#_Household water samples tested for contamination]],"no test")</f>
        <v>no test</v>
      </c>
      <c r="BS407" s="712" t="str">
        <f>IF(AND(WWWW[[#This Row],[% of water sources treated]]="no test",WWWW[[#This Row],[% Household received corrective actions]]="no test"),"No Test","Tested")</f>
        <v>No Test</v>
      </c>
      <c r="BT407" s="712">
        <f>WWWW[[#This Row],['#_Constructed/existing protected hand dug well]]-WWWW[[#This Row],['#_Non-functional protected hand dug well]]</f>
        <v>0</v>
      </c>
      <c r="BU407" s="712">
        <f>(WWWW[[#This Row],['#_Constructed/Existing tube wells/boreholes/handpumps_WASH_agency]]+WWWW[[#This Row],['#_Non-Cluster partner water tube-wells/boreholes/handpumps]])-WWWW[[#This Row],['#_Non-functional tube wells/boreholes/handpumps]]</f>
        <v>0</v>
      </c>
      <c r="BV407" s="712">
        <f>WWWW[[#This Row],['#_Constructed/Existingwater storage tank with gravity fed reticulation system]]-WWWW[[#This Row],['#_Non-functional storage tank gravity fed reticulation system]]</f>
        <v>0</v>
      </c>
      <c r="BW407" s="712">
        <f>WWWW[[#This Row],['#_Water boating or water trucking]]</f>
        <v>0</v>
      </c>
      <c r="BX407" s="712">
        <f>WWWW[[#This Row],['#_Constructed/Existing water distribution system from river or natural spring]]</f>
        <v>0</v>
      </c>
      <c r="BY40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7" s="710">
        <f>IF(WWWW[[#This Row],[Location Type 1]]="Village",WWWW[[#This Row],[Access to safe drinking water for Village]],WWWW[[#This Row],[Access to safe drinking water for Camp]])</f>
        <v>0</v>
      </c>
      <c r="CB407" s="708">
        <f>WWWW[[#This Row],[%Equitable and continuous access to sufficient quantity of safe drinking water]]*WWWW[[#This Row],[Total PoP ]]</f>
        <v>0</v>
      </c>
      <c r="CC407" s="710">
        <f>IF((WWWW[[#This Row],['#_Constructed/Existing protected/fenced ponds]]*250)/WWWW[[#This Row],[Total PoP ]]&gt;1,1,(WWWW[[#This Row],['#_Constructed/Existing protected/fenced ponds]]*250)/WWWW[[#This Row],[Total PoP ]])</f>
        <v>0</v>
      </c>
      <c r="CD407" s="708">
        <f>WWWW[[#This Row],[% Access to unimproved water points]]*WWWW[[#This Row],[Total PoP ]]</f>
        <v>0</v>
      </c>
      <c r="CE40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7" s="708">
        <f>WWWW[[#This Row],[HRP1]]/500</f>
        <v>0</v>
      </c>
      <c r="CH407" s="714">
        <f>1-WWWW[[#This Row],[% Equitable and continuous access to sufficient quantity of domestic water]]</f>
        <v>1</v>
      </c>
      <c r="CI407" s="708">
        <f>WWWW[[#This Row],[%equitable and continuous access to sufficient quantity of safe drinking and domestic water''s GAP]]*WWWW[[#This Row],[Total PoP ]]</f>
        <v>191</v>
      </c>
      <c r="CJ407" s="712">
        <f>IF(WWWW[[#This Row],[Total required water points]]-WWWW[[#This Row],['#Water points coverage]]&lt;0,0,WWWW[[#This Row],[Total required water points]]-WWWW[[#This Row],['#Water points coverage]])</f>
        <v>1</v>
      </c>
      <c r="CK407" s="712">
        <f>ROUND(IF(WWWW[[#This Row],[Total PoP ]]&lt;500,1,WWWW[[#This Row],[Total PoP ]]/500),0)</f>
        <v>1</v>
      </c>
      <c r="CL407" s="712">
        <f>(WWWW[[#This Row],['#_Constructed latrines_by_WASHAgencies]]+WWWW[[#This Row],['#_Non Cluster partner latrines]])-WWWW[[#This Row],['#_Non-functional latrines]]</f>
        <v>9</v>
      </c>
      <c r="CM40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0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191</v>
      </c>
      <c r="CO40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7" s="712">
        <f>IF(WWWW[[#This Row],[Location Type 1]]="Village","NA",IF(WWWW[[#This Row],['#_Constructed/Existing latrines in TLS]]*50&gt;WWWW[[#This Row],['#_students at TLS_CFS]],WWWW[[#This Row],['#_students at TLS_CFS]],(WWWW[[#This Row],['#_Constructed/Existing latrines in TLS]]*50)))</f>
        <v>0</v>
      </c>
      <c r="CQ407" s="712">
        <f>ROUND(IF(WWWW[[#This Row],[Location Type 1]]="camp",WWWW[[#This Row],[Total PoP ]]/20,IF(WWWW[[#This Row],[Location Type 1]]="Temporary Location",WWWW[[#This Row],[Total PoP ]]/50,(WWWW[[#This Row],[Total PoP ]]/6))),0)</f>
        <v>4</v>
      </c>
      <c r="CR407" s="712">
        <f>IF(WWWW[[#This Row],[Total required Latrines]]-(WWWW[[#This Row],['#_Constructed latrines_by_WASHAgencies]]+WWWW[[#This Row],['#_Non Cluster partner latrines]])&lt;0,0,WWWW[[#This Row],[Total required Latrines]]-(WWWW[[#This Row],['#_Constructed latrines_by_WASHAgencies]]+WWWW[[#This Row],['#_Non Cluster partner latrines]]))</f>
        <v>0</v>
      </c>
      <c r="CS407" s="716">
        <f>1-WWWW[[#This Row],[% people access to functioning Latrine]]</f>
        <v>0</v>
      </c>
      <c r="CT407" s="713">
        <f>IF(OR(WWWW[[#This Row],['#_Non-functional latrines]]="",WWWW[[#This Row],['#_Non-functional latrines]]=0),0,WWWW[[#This Row],['#_Non-functional latrines]]/(WWWW[[#This Row],['#_Constructed latrines_by_WASHAgencies]]+WWWW[[#This Row],['#_Non Cluster partner latrines]]))</f>
        <v>0</v>
      </c>
      <c r="CU407" s="708">
        <f>IF(500*(WWWW[[#This Row],['#_male hygiene promoters]]+WWWW[[#This Row],['#_female hygiene promoters]])&gt;WWWW[[#This Row],[Total PoP ]],WWWW[[#This Row],[Total PoP ]],500*(WWWW[[#This Row],['#_male hygiene promoters]]+WWWW[[#This Row],['#_female hygiene promoters]]))</f>
        <v>0</v>
      </c>
      <c r="CV40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191</v>
      </c>
      <c r="CW40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191</v>
      </c>
      <c r="CX407" s="712">
        <f>IF(WWWW[[#This Row],['# People with access to soap]]&gt;WWWW[[#This Row],['# People with access to Sanity Pads]],WWWW[[#This Row],['# People with access to soap]],WWWW[[#This Row],['# People with access to Sanity Pads]])</f>
        <v>191</v>
      </c>
      <c r="CY407" s="712">
        <f>IF(WWWW[[#This Row],['# people reached by regular dedicated hygiene promotion_5]]&gt;WWWW[[#This Row],['# People received regular supply of hygiene items_6]],WWWW[[#This Row],['# people reached by regular dedicated hygiene promotion_5]],WWWW[[#This Row],['# People received regular supply of hygiene items_6]])</f>
        <v>191</v>
      </c>
      <c r="CZ407" s="714">
        <f>IF(WWWW[[#This Row],[HRP3]]/WWWW[[#This Row],[Total PoP ]]&gt;100%,100%,WWWW[[#This Row],[HRP3]]/WWWW[[#This Row],[Total PoP ]])</f>
        <v>1</v>
      </c>
      <c r="DA407" s="713">
        <f>1-WWWW[[#This Row],[Hygiene Coverage%]]</f>
        <v>0</v>
      </c>
      <c r="DB407" s="710">
        <f>WWWW[[#This Row],['# people reached by regular dedicated hygiene promotion_5]]/WWWW[[#This Row],[Total PoP ]]</f>
        <v>0</v>
      </c>
      <c r="DC407" s="710">
        <f>IF(WWWW[[#This Row],['#_households that received standard amount of soap for this quarter]]/WWWW[[#This Row],[Total HH]]&gt;1,1,WWWW[[#This Row],['#_households that received standard amount of soap for this quarter]]/WWWW[[#This Row],[Total HH]])</f>
        <v>0.88888888888888884</v>
      </c>
      <c r="DD407" s="710">
        <f>IF(WWWW[[#This Row],['#_households that received standard amount of sanitary pads for this quarter]]/WWWW[[#This Row],[Total HH]]&gt;1,1,WWWW[[#This Row],['#_households that received standard amount of sanitary pads for this quarter]]/WWWW[[#This Row],[Total HH]])</f>
        <v>0.88888888888888884</v>
      </c>
      <c r="DE407" s="712">
        <f>WWWW[[#This Row],['#_Constructed/Existing hand washing stations]]-WWWW[[#This Row],['#_Non-Functional_hand_washing_stations]]</f>
        <v>0</v>
      </c>
      <c r="DF407" s="757">
        <f>IF(WWWW[[#This Row],['# Functional hand washing stations during reporting period]]*20&gt;WWWW[[#This Row],[Total HH]],WWWW[[#This Row],[Total HH]],WWWW[[#This Row],['# Functional hand washing stations during reporting period]]*20)</f>
        <v>0</v>
      </c>
      <c r="DG407" s="708">
        <f>IF(WWWW[[#This Row],[Is sufficient soap available for TLS? (Yes/No)]]="yes",WWWW[[#This Row],['#_Constructed/Existing hand washing stations at TLS]],0)</f>
        <v>0</v>
      </c>
      <c r="DH407" s="585">
        <f>IF(WWWW[[#This Row],['# Functional hand washing stations during reporting period]]*100&gt;WWWW[[#This Row],[Total PoP ]],WWWW[[#This Row],[Total PoP ]],WWWW[[#This Row],['# Functional hand washing stations during reporting period]]*100)</f>
        <v>0</v>
      </c>
      <c r="DI407" s="585" t="str">
        <f>IF(OR(WWWW[[#This Row],['#_students at TLS_CFS]]="",WWWW[[#This Row],['#_students at TLS_CFS]]=0),"No","Yes")</f>
        <v>No</v>
      </c>
      <c r="DJ407" s="711">
        <f>VLOOKUP(WWWW[[#This Row],[Site Name]],SiteDB6[[Site Name]:[CCCM Management]],6,FALSE)</f>
        <v>0</v>
      </c>
      <c r="DK407" s="711">
        <f>VLOOKUP(WWWW[[#This Row],[Site Name]],SiteDB6[[Site Name]:[CCCM Focal Agency]],7,FALSE)</f>
        <v>0</v>
      </c>
      <c r="DL407" s="711" t="str">
        <f>VLOOKUP(WWWW[[#This Row],[Site Name]],SiteDB6[[Site Name]:[Location Type 1]],9,FALSE)</f>
        <v>Temporary location</v>
      </c>
      <c r="DM407" s="711" t="str">
        <f>VLOOKUP(WWWW[[#This Row],[Site Name]],SiteDB6[[Site Name]:[Type of Accommodation]],10,FALSE)</f>
        <v>Temporary location</v>
      </c>
      <c r="DN407" s="711">
        <f>VLOOKUP(WWWW[[#This Row],[Site Name]],SiteDB6[[Site Name]:[Ethnic or GCA/NGCA]],11,FALSE)</f>
        <v>0</v>
      </c>
      <c r="DO407" s="711">
        <f>VLOOKUP(WWWW[[#This Row],[Site Name]],SiteDB6[[Site Name]:[Lat]],12,FALSE)</f>
        <v>20.829959869384801</v>
      </c>
      <c r="DP407" s="711">
        <f>VLOOKUP(WWWW[[#This Row],[Site Name]],SiteDB6[[Site Name]:[Long]],13,FALSE)</f>
        <v>93.073478698730497</v>
      </c>
      <c r="DQ407" s="711">
        <f>VLOOKUP(WWWW[[#This Row],[Site Name]],SiteDB6[[Site Name]:[Pcode]],3,FALSE)</f>
        <v>196661</v>
      </c>
      <c r="DR407" s="709" t="str">
        <f t="shared" si="13"/>
        <v>Covered</v>
      </c>
      <c r="DS407" s="709"/>
      <c r="DV407" s="572"/>
    </row>
    <row r="408" spans="1:126">
      <c r="A408" s="552" t="s">
        <v>2518</v>
      </c>
      <c r="B408" s="701" t="s">
        <v>2864</v>
      </c>
      <c r="C408" s="701" t="s">
        <v>2864</v>
      </c>
      <c r="D408" s="702"/>
      <c r="E408" s="703" t="s">
        <v>3006</v>
      </c>
      <c r="F408" s="702" t="s">
        <v>489</v>
      </c>
      <c r="G408" s="704" t="str">
        <f>VLOOKUP(WWWW[[#This Row],[Site Name]],SiteDB6[[Site Name]:[Location Type]],8,FALSE)</f>
        <v>New Temporary Site</v>
      </c>
      <c r="H408" s="702" t="s">
        <v>3202</v>
      </c>
      <c r="I408" s="705">
        <v>41</v>
      </c>
      <c r="J408" s="705">
        <v>164</v>
      </c>
      <c r="K408" s="706"/>
      <c r="L408" s="707"/>
      <c r="M408" s="705"/>
      <c r="N408" s="705"/>
      <c r="O408" s="705"/>
      <c r="P408" s="705"/>
      <c r="Q408" s="708"/>
      <c r="R408" s="705"/>
      <c r="S408" s="705"/>
      <c r="T408" s="312"/>
      <c r="U408" s="705"/>
      <c r="V408" s="705"/>
      <c r="W408" s="705"/>
      <c r="X408" s="705"/>
      <c r="Y408" s="705"/>
      <c r="Z408" s="705"/>
      <c r="AA408" s="705"/>
      <c r="AB408" s="705"/>
      <c r="AC408" s="705"/>
      <c r="AD408" s="705"/>
      <c r="AE408" s="705"/>
      <c r="AF408" s="705"/>
      <c r="AG408" s="705"/>
      <c r="AH408" s="705"/>
      <c r="AI408" s="705"/>
      <c r="AJ408" s="705"/>
      <c r="AK408" s="705"/>
      <c r="AL408" s="705"/>
      <c r="AM408" s="705"/>
      <c r="AN408" s="705"/>
      <c r="AO408" s="709"/>
      <c r="AP408" s="705"/>
      <c r="AQ408" s="705"/>
      <c r="AR408" s="710"/>
      <c r="AS408" s="705"/>
      <c r="AT408" s="705"/>
      <c r="AU408" s="705"/>
      <c r="AV408" s="705"/>
      <c r="AW408" s="705"/>
      <c r="AX408" s="711"/>
      <c r="AY408" s="709"/>
      <c r="AZ408" s="705"/>
      <c r="BA408" s="705"/>
      <c r="BB408" s="705"/>
      <c r="BC408" s="711"/>
      <c r="BD408" s="705"/>
      <c r="BE408" s="705"/>
      <c r="BF408" s="705"/>
      <c r="BG408" s="705"/>
      <c r="BH408" s="705"/>
      <c r="BI408" s="705"/>
      <c r="BJ408" s="705"/>
      <c r="BK408" s="705">
        <v>25</v>
      </c>
      <c r="BL408" s="705">
        <v>25</v>
      </c>
      <c r="BM408" s="711"/>
      <c r="BN408" s="712"/>
      <c r="BO408" s="710"/>
      <c r="BP408" s="711"/>
      <c r="BQ408" s="713" t="str">
        <f>IFERROR(WWWW[[#This Row],['#_Water sources treated]]/WWWW[[#This Row],['#_Water sources tested for contamination]],"no test")</f>
        <v>no test</v>
      </c>
      <c r="BR408" s="710" t="str">
        <f>IFERROR(WWWW[[#This Row],['#_Household received remediation action due to contamination]]/WWWW[[#This Row],['#_Household water samples tested for contamination]],"no test")</f>
        <v>no test</v>
      </c>
      <c r="BS408" s="712" t="str">
        <f>IF(AND(WWWW[[#This Row],[% of water sources treated]]="no test",WWWW[[#This Row],[% Household received corrective actions]]="no test"),"No Test","Tested")</f>
        <v>No Test</v>
      </c>
      <c r="BT408" s="712">
        <f>WWWW[[#This Row],['#_Constructed/existing protected hand dug well]]-WWWW[[#This Row],['#_Non-functional protected hand dug well]]</f>
        <v>0</v>
      </c>
      <c r="BU408" s="712">
        <f>(WWWW[[#This Row],['#_Constructed/Existing tube wells/boreholes/handpumps_WASH_agency]]+WWWW[[#This Row],['#_Non-Cluster partner water tube-wells/boreholes/handpumps]])-WWWW[[#This Row],['#_Non-functional tube wells/boreholes/handpumps]]</f>
        <v>0</v>
      </c>
      <c r="BV408" s="712">
        <f>WWWW[[#This Row],['#_Constructed/Existingwater storage tank with gravity fed reticulation system]]-WWWW[[#This Row],['#_Non-functional storage tank gravity fed reticulation system]]</f>
        <v>0</v>
      </c>
      <c r="BW408" s="712">
        <f>WWWW[[#This Row],['#_Water boating or water trucking]]</f>
        <v>0</v>
      </c>
      <c r="BX408" s="712">
        <f>WWWW[[#This Row],['#_Constructed/Existing water distribution system from river or natural spring]]</f>
        <v>0</v>
      </c>
      <c r="BY40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8" s="710">
        <f>IF(WWWW[[#This Row],[Location Type 1]]="Village",WWWW[[#This Row],[Access to safe drinking water for Village]],WWWW[[#This Row],[Access to safe drinking water for Camp]])</f>
        <v>0</v>
      </c>
      <c r="CB408" s="708">
        <f>WWWW[[#This Row],[%Equitable and continuous access to sufficient quantity of safe drinking water]]*WWWW[[#This Row],[Total PoP ]]</f>
        <v>0</v>
      </c>
      <c r="CC408" s="710">
        <f>IF((WWWW[[#This Row],['#_Constructed/Existing protected/fenced ponds]]*250)/WWWW[[#This Row],[Total PoP ]]&gt;1,1,(WWWW[[#This Row],['#_Constructed/Existing protected/fenced ponds]]*250)/WWWW[[#This Row],[Total PoP ]])</f>
        <v>0</v>
      </c>
      <c r="CD408" s="708">
        <f>WWWW[[#This Row],[% Access to unimproved water points]]*WWWW[[#This Row],[Total PoP ]]</f>
        <v>0</v>
      </c>
      <c r="CE40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8" s="708">
        <f>WWWW[[#This Row],[HRP1]]/500</f>
        <v>0</v>
      </c>
      <c r="CH408" s="714">
        <f>1-WWWW[[#This Row],[% Equitable and continuous access to sufficient quantity of domestic water]]</f>
        <v>1</v>
      </c>
      <c r="CI408" s="708">
        <f>WWWW[[#This Row],[%equitable and continuous access to sufficient quantity of safe drinking and domestic water''s GAP]]*WWWW[[#This Row],[Total PoP ]]</f>
        <v>164</v>
      </c>
      <c r="CJ408" s="712">
        <f>IF(WWWW[[#This Row],[Total required water points]]-WWWW[[#This Row],['#Water points coverage]]&lt;0,0,WWWW[[#This Row],[Total required water points]]-WWWW[[#This Row],['#Water points coverage]])</f>
        <v>1</v>
      </c>
      <c r="CK408" s="712">
        <f>ROUND(IF(WWWW[[#This Row],[Total PoP ]]&lt;500,1,WWWW[[#This Row],[Total PoP ]]/500),0)</f>
        <v>1</v>
      </c>
      <c r="CL408" s="712">
        <f>(WWWW[[#This Row],['#_Constructed latrines_by_WASHAgencies]]+WWWW[[#This Row],['#_Non Cluster partner latrines]])-WWWW[[#This Row],['#_Non-functional latrines]]</f>
        <v>0</v>
      </c>
      <c r="CM40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0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0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8" s="712">
        <f>IF(WWWW[[#This Row],[Location Type 1]]="Village","NA",IF(WWWW[[#This Row],['#_Constructed/Existing latrines in TLS]]*50&gt;WWWW[[#This Row],['#_students at TLS_CFS]],WWWW[[#This Row],['#_students at TLS_CFS]],(WWWW[[#This Row],['#_Constructed/Existing latrines in TLS]]*50)))</f>
        <v>0</v>
      </c>
      <c r="CQ408" s="712">
        <f>ROUND(IF(WWWW[[#This Row],[Location Type 1]]="camp",WWWW[[#This Row],[Total PoP ]]/20,IF(WWWW[[#This Row],[Location Type 1]]="Temporary Location",WWWW[[#This Row],[Total PoP ]]/50,(WWWW[[#This Row],[Total PoP ]]/6))),0)</f>
        <v>3</v>
      </c>
      <c r="CR408" s="712">
        <f>IF(WWWW[[#This Row],[Total required Latrines]]-(WWWW[[#This Row],['#_Constructed latrines_by_WASHAgencies]]+WWWW[[#This Row],['#_Non Cluster partner latrines]])&lt;0,0,WWWW[[#This Row],[Total required Latrines]]-(WWWW[[#This Row],['#_Constructed latrines_by_WASHAgencies]]+WWWW[[#This Row],['#_Non Cluster partner latrines]]))</f>
        <v>3</v>
      </c>
      <c r="CS408" s="716">
        <f>1-WWWW[[#This Row],[% people access to functioning Latrine]]</f>
        <v>1</v>
      </c>
      <c r="CT408" s="713">
        <f>IF(OR(WWWW[[#This Row],['#_Non-functional latrines]]="",WWWW[[#This Row],['#_Non-functional latrines]]=0),0,WWWW[[#This Row],['#_Non-functional latrines]]/(WWWW[[#This Row],['#_Constructed latrines_by_WASHAgencies]]+WWWW[[#This Row],['#_Non Cluster partner latrines]]))</f>
        <v>0</v>
      </c>
      <c r="CU408" s="708">
        <f>IF(500*(WWWW[[#This Row],['#_male hygiene promoters]]+WWWW[[#This Row],['#_female hygiene promoters]])&gt;WWWW[[#This Row],[Total PoP ]],WWWW[[#This Row],[Total PoP ]],500*(WWWW[[#This Row],['#_male hygiene promoters]]+WWWW[[#This Row],['#_female hygiene promoters]]))</f>
        <v>0</v>
      </c>
      <c r="CV40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v>
      </c>
      <c r="CW40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125</v>
      </c>
      <c r="CX408" s="712">
        <f>IF(WWWW[[#This Row],['# People with access to soap]]&gt;WWWW[[#This Row],['# People with access to Sanity Pads]],WWWW[[#This Row],['# People with access to soap]],WWWW[[#This Row],['# People with access to Sanity Pads]])</f>
        <v>125</v>
      </c>
      <c r="CY408" s="712">
        <f>IF(WWWW[[#This Row],['# people reached by regular dedicated hygiene promotion_5]]&gt;WWWW[[#This Row],['# People received regular supply of hygiene items_6]],WWWW[[#This Row],['# people reached by regular dedicated hygiene promotion_5]],WWWW[[#This Row],['# People received regular supply of hygiene items_6]])</f>
        <v>125</v>
      </c>
      <c r="CZ408" s="714">
        <f>IF(WWWW[[#This Row],[HRP3]]/WWWW[[#This Row],[Total PoP ]]&gt;100%,100%,WWWW[[#This Row],[HRP3]]/WWWW[[#This Row],[Total PoP ]])</f>
        <v>0.76219512195121952</v>
      </c>
      <c r="DA408" s="713">
        <f>1-WWWW[[#This Row],[Hygiene Coverage%]]</f>
        <v>0.23780487804878048</v>
      </c>
      <c r="DB408" s="710">
        <f>WWWW[[#This Row],['# people reached by regular dedicated hygiene promotion_5]]/WWWW[[#This Row],[Total PoP ]]</f>
        <v>0</v>
      </c>
      <c r="DC408" s="710">
        <f>IF(WWWW[[#This Row],['#_households that received standard amount of soap for this quarter]]/WWWW[[#This Row],[Total HH]]&gt;1,1,WWWW[[#This Row],['#_households that received standard amount of soap for this quarter]]/WWWW[[#This Row],[Total HH]])</f>
        <v>0.6097560975609756</v>
      </c>
      <c r="DD408" s="710">
        <f>IF(WWWW[[#This Row],['#_households that received standard amount of sanitary pads for this quarter]]/WWWW[[#This Row],[Total HH]]&gt;1,1,WWWW[[#This Row],['#_households that received standard amount of sanitary pads for this quarter]]/WWWW[[#This Row],[Total HH]])</f>
        <v>0.6097560975609756</v>
      </c>
      <c r="DE408" s="712">
        <f>WWWW[[#This Row],['#_Constructed/Existing hand washing stations]]-WWWW[[#This Row],['#_Non-Functional_hand_washing_stations]]</f>
        <v>0</v>
      </c>
      <c r="DF408" s="757">
        <f>IF(WWWW[[#This Row],['# Functional hand washing stations during reporting period]]*20&gt;WWWW[[#This Row],[Total HH]],WWWW[[#This Row],[Total HH]],WWWW[[#This Row],['# Functional hand washing stations during reporting period]]*20)</f>
        <v>0</v>
      </c>
      <c r="DG408" s="708">
        <f>IF(WWWW[[#This Row],[Is sufficient soap available for TLS? (Yes/No)]]="yes",WWWW[[#This Row],['#_Constructed/Existing hand washing stations at TLS]],0)</f>
        <v>0</v>
      </c>
      <c r="DH408" s="585">
        <f>IF(WWWW[[#This Row],['# Functional hand washing stations during reporting period]]*100&gt;WWWW[[#This Row],[Total PoP ]],WWWW[[#This Row],[Total PoP ]],WWWW[[#This Row],['# Functional hand washing stations during reporting period]]*100)</f>
        <v>0</v>
      </c>
      <c r="DI408" s="585" t="str">
        <f>IF(OR(WWWW[[#This Row],['#_students at TLS_CFS]]="",WWWW[[#This Row],['#_students at TLS_CFS]]=0),"No","Yes")</f>
        <v>No</v>
      </c>
      <c r="DJ408" s="711">
        <f>VLOOKUP(WWWW[[#This Row],[Site Name]],SiteDB6[[Site Name]:[CCCM Management]],6,FALSE)</f>
        <v>0</v>
      </c>
      <c r="DK408" s="711">
        <f>VLOOKUP(WWWW[[#This Row],[Site Name]],SiteDB6[[Site Name]:[CCCM Focal Agency]],7,FALSE)</f>
        <v>0</v>
      </c>
      <c r="DL408" s="711" t="str">
        <f>VLOOKUP(WWWW[[#This Row],[Site Name]],SiteDB6[[Site Name]:[Location Type 1]],9,FALSE)</f>
        <v>Temporary location</v>
      </c>
      <c r="DM408" s="711" t="str">
        <f>VLOOKUP(WWWW[[#This Row],[Site Name]],SiteDB6[[Site Name]:[Type of Accommodation]],10,FALSE)</f>
        <v>Temporary location</v>
      </c>
      <c r="DN408" s="711">
        <f>VLOOKUP(WWWW[[#This Row],[Site Name]],SiteDB6[[Site Name]:[Ethnic or GCA/NGCA]],11,FALSE)</f>
        <v>0</v>
      </c>
      <c r="DO408" s="711">
        <f>VLOOKUP(WWWW[[#This Row],[Site Name]],SiteDB6[[Site Name]:[Lat]],12,FALSE)</f>
        <v>20.7270202636719</v>
      </c>
      <c r="DP408" s="711">
        <f>VLOOKUP(WWWW[[#This Row],[Site Name]],SiteDB6[[Site Name]:[Long]],13,FALSE)</f>
        <v>93.249069213867202</v>
      </c>
      <c r="DQ408" s="711">
        <f>VLOOKUP(WWWW[[#This Row],[Site Name]],SiteDB6[[Site Name]:[Pcode]],3,FALSE)</f>
        <v>196465</v>
      </c>
      <c r="DR408" s="709" t="str">
        <f t="shared" si="13"/>
        <v>Covered</v>
      </c>
      <c r="DS408" s="709"/>
      <c r="DV408" s="572"/>
    </row>
    <row r="409" spans="1:126">
      <c r="A409" s="552" t="s">
        <v>2518</v>
      </c>
      <c r="B409" s="701" t="s">
        <v>3204</v>
      </c>
      <c r="C409" s="701" t="s">
        <v>3204</v>
      </c>
      <c r="D409" s="702"/>
      <c r="E409" s="703" t="s">
        <v>3006</v>
      </c>
      <c r="F409" s="702" t="s">
        <v>489</v>
      </c>
      <c r="G409" s="704" t="str">
        <f>VLOOKUP(WWWW[[#This Row],[Site Name]],SiteDB6[[Site Name]:[Location Type]],8,FALSE)</f>
        <v>New Temporary Site</v>
      </c>
      <c r="H409" s="702" t="s">
        <v>2866</v>
      </c>
      <c r="I409" s="705">
        <v>103</v>
      </c>
      <c r="J409" s="705">
        <v>318</v>
      </c>
      <c r="K409" s="706"/>
      <c r="L409" s="707"/>
      <c r="M409" s="705"/>
      <c r="N409" s="705"/>
      <c r="O409" s="705"/>
      <c r="P409" s="705"/>
      <c r="Q409" s="708"/>
      <c r="R409" s="705"/>
      <c r="S409" s="705"/>
      <c r="T409" s="312"/>
      <c r="U409" s="705"/>
      <c r="V409" s="705"/>
      <c r="W409" s="705"/>
      <c r="X409" s="705"/>
      <c r="Y409" s="705"/>
      <c r="Z409" s="705"/>
      <c r="AA409" s="705"/>
      <c r="AB409" s="705"/>
      <c r="AC409" s="705"/>
      <c r="AD409" s="705"/>
      <c r="AE409" s="705"/>
      <c r="AF409" s="705"/>
      <c r="AG409" s="705"/>
      <c r="AH409" s="705"/>
      <c r="AI409" s="705"/>
      <c r="AJ409" s="705"/>
      <c r="AK409" s="705"/>
      <c r="AL409" s="705"/>
      <c r="AM409" s="705"/>
      <c r="AN409" s="705"/>
      <c r="AO409" s="709"/>
      <c r="AP409" s="705">
        <v>4</v>
      </c>
      <c r="AQ409" s="705"/>
      <c r="AR409" s="710"/>
      <c r="AS409" s="705"/>
      <c r="AT409" s="705"/>
      <c r="AU409" s="705"/>
      <c r="AV409" s="705"/>
      <c r="AW409" s="705"/>
      <c r="AX409" s="711"/>
      <c r="AY409" s="709"/>
      <c r="AZ409" s="705"/>
      <c r="BA409" s="705"/>
      <c r="BB409" s="705"/>
      <c r="BC409" s="711"/>
      <c r="BD409" s="705"/>
      <c r="BE409" s="705"/>
      <c r="BF409" s="705"/>
      <c r="BG409" s="705"/>
      <c r="BH409" s="705"/>
      <c r="BI409" s="705"/>
      <c r="BJ409" s="705"/>
      <c r="BK409" s="705">
        <v>303</v>
      </c>
      <c r="BL409" s="705">
        <v>303</v>
      </c>
      <c r="BM409" s="711"/>
      <c r="BN409" s="712"/>
      <c r="BO409" s="710"/>
      <c r="BP409" s="711"/>
      <c r="BQ409" s="713" t="str">
        <f>IFERROR(WWWW[[#This Row],['#_Water sources treated]]/WWWW[[#This Row],['#_Water sources tested for contamination]],"no test")</f>
        <v>no test</v>
      </c>
      <c r="BR409" s="710" t="str">
        <f>IFERROR(WWWW[[#This Row],['#_Household received remediation action due to contamination]]/WWWW[[#This Row],['#_Household water samples tested for contamination]],"no test")</f>
        <v>no test</v>
      </c>
      <c r="BS409" s="712" t="str">
        <f>IF(AND(WWWW[[#This Row],[% of water sources treated]]="no test",WWWW[[#This Row],[% Household received corrective actions]]="no test"),"No Test","Tested")</f>
        <v>No Test</v>
      </c>
      <c r="BT409" s="712">
        <f>WWWW[[#This Row],['#_Constructed/existing protected hand dug well]]-WWWW[[#This Row],['#_Non-functional protected hand dug well]]</f>
        <v>0</v>
      </c>
      <c r="BU409" s="712">
        <f>(WWWW[[#This Row],['#_Constructed/Existing tube wells/boreholes/handpumps_WASH_agency]]+WWWW[[#This Row],['#_Non-Cluster partner water tube-wells/boreholes/handpumps]])-WWWW[[#This Row],['#_Non-functional tube wells/boreholes/handpumps]]</f>
        <v>0</v>
      </c>
      <c r="BV409" s="712">
        <f>WWWW[[#This Row],['#_Constructed/Existingwater storage tank with gravity fed reticulation system]]-WWWW[[#This Row],['#_Non-functional storage tank gravity fed reticulation system]]</f>
        <v>0</v>
      </c>
      <c r="BW409" s="712">
        <f>WWWW[[#This Row],['#_Water boating or water trucking]]</f>
        <v>0</v>
      </c>
      <c r="BX409" s="712">
        <f>WWWW[[#This Row],['#_Constructed/Existing water distribution system from river or natural spring]]</f>
        <v>0</v>
      </c>
      <c r="BY40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0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09" s="710">
        <f>IF(WWWW[[#This Row],[Location Type 1]]="Village",WWWW[[#This Row],[Access to safe drinking water for Village]],WWWW[[#This Row],[Access to safe drinking water for Camp]])</f>
        <v>0</v>
      </c>
      <c r="CB409" s="708">
        <f>WWWW[[#This Row],[%Equitable and continuous access to sufficient quantity of safe drinking water]]*WWWW[[#This Row],[Total PoP ]]</f>
        <v>0</v>
      </c>
      <c r="CC409" s="710">
        <f>IF((WWWW[[#This Row],['#_Constructed/Existing protected/fenced ponds]]*250)/WWWW[[#This Row],[Total PoP ]]&gt;1,1,(WWWW[[#This Row],['#_Constructed/Existing protected/fenced ponds]]*250)/WWWW[[#This Row],[Total PoP ]])</f>
        <v>0</v>
      </c>
      <c r="CD409" s="708">
        <f>WWWW[[#This Row],[% Access to unimproved water points]]*WWWW[[#This Row],[Total PoP ]]</f>
        <v>0</v>
      </c>
      <c r="CE40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0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09" s="708">
        <f>WWWW[[#This Row],[HRP1]]/500</f>
        <v>0</v>
      </c>
      <c r="CH409" s="714">
        <f>1-WWWW[[#This Row],[% Equitable and continuous access to sufficient quantity of domestic water]]</f>
        <v>1</v>
      </c>
      <c r="CI409" s="708">
        <f>WWWW[[#This Row],[%equitable and continuous access to sufficient quantity of safe drinking and domestic water''s GAP]]*WWWW[[#This Row],[Total PoP ]]</f>
        <v>318</v>
      </c>
      <c r="CJ409" s="712">
        <f>IF(WWWW[[#This Row],[Total required water points]]-WWWW[[#This Row],['#Water points coverage]]&lt;0,0,WWWW[[#This Row],[Total required water points]]-WWWW[[#This Row],['#Water points coverage]])</f>
        <v>1</v>
      </c>
      <c r="CK409" s="712">
        <f>ROUND(IF(WWWW[[#This Row],[Total PoP ]]&lt;500,1,WWWW[[#This Row],[Total PoP ]]/500),0)</f>
        <v>1</v>
      </c>
      <c r="CL409" s="712">
        <f>(WWWW[[#This Row],['#_Constructed latrines_by_WASHAgencies]]+WWWW[[#This Row],['#_Non Cluster partner latrines]])-WWWW[[#This Row],['#_Non-functional latrines]]</f>
        <v>4</v>
      </c>
      <c r="CM40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0.62893081761006286</v>
      </c>
      <c r="CN40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40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09" s="712">
        <f>IF(WWWW[[#This Row],[Location Type 1]]="Village","NA",IF(WWWW[[#This Row],['#_Constructed/Existing latrines in TLS]]*50&gt;WWWW[[#This Row],['#_students at TLS_CFS]],WWWW[[#This Row],['#_students at TLS_CFS]],(WWWW[[#This Row],['#_Constructed/Existing latrines in TLS]]*50)))</f>
        <v>0</v>
      </c>
      <c r="CQ409" s="712">
        <f>ROUND(IF(WWWW[[#This Row],[Location Type 1]]="camp",WWWW[[#This Row],[Total PoP ]]/20,IF(WWWW[[#This Row],[Location Type 1]]="Temporary Location",WWWW[[#This Row],[Total PoP ]]/50,(WWWW[[#This Row],[Total PoP ]]/6))),0)</f>
        <v>6</v>
      </c>
      <c r="CR409" s="712">
        <f>IF(WWWW[[#This Row],[Total required Latrines]]-(WWWW[[#This Row],['#_Constructed latrines_by_WASHAgencies]]+WWWW[[#This Row],['#_Non Cluster partner latrines]])&lt;0,0,WWWW[[#This Row],[Total required Latrines]]-(WWWW[[#This Row],['#_Constructed latrines_by_WASHAgencies]]+WWWW[[#This Row],['#_Non Cluster partner latrines]]))</f>
        <v>2</v>
      </c>
      <c r="CS409" s="716">
        <f>1-WWWW[[#This Row],[% people access to functioning Latrine]]</f>
        <v>0.37106918238993714</v>
      </c>
      <c r="CT409" s="713">
        <f>IF(OR(WWWW[[#This Row],['#_Non-functional latrines]]="",WWWW[[#This Row],['#_Non-functional latrines]]=0),0,WWWW[[#This Row],['#_Non-functional latrines]]/(WWWW[[#This Row],['#_Constructed latrines_by_WASHAgencies]]+WWWW[[#This Row],['#_Non Cluster partner latrines]]))</f>
        <v>0</v>
      </c>
      <c r="CU409" s="708">
        <f>IF(500*(WWWW[[#This Row],['#_male hygiene promoters]]+WWWW[[#This Row],['#_female hygiene promoters]])&gt;WWWW[[#This Row],[Total PoP ]],WWWW[[#This Row],[Total PoP ]],500*(WWWW[[#This Row],['#_male hygiene promoters]]+WWWW[[#This Row],['#_female hygiene promoters]]))</f>
        <v>0</v>
      </c>
      <c r="CV40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318</v>
      </c>
      <c r="CW40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318</v>
      </c>
      <c r="CX409" s="712">
        <f>IF(WWWW[[#This Row],['# People with access to soap]]&gt;WWWW[[#This Row],['# People with access to Sanity Pads]],WWWW[[#This Row],['# People with access to soap]],WWWW[[#This Row],['# People with access to Sanity Pads]])</f>
        <v>318</v>
      </c>
      <c r="CY409" s="712">
        <f>IF(WWWW[[#This Row],['# people reached by regular dedicated hygiene promotion_5]]&gt;WWWW[[#This Row],['# People received regular supply of hygiene items_6]],WWWW[[#This Row],['# people reached by regular dedicated hygiene promotion_5]],WWWW[[#This Row],['# People received regular supply of hygiene items_6]])</f>
        <v>318</v>
      </c>
      <c r="CZ409" s="714">
        <f>IF(WWWW[[#This Row],[HRP3]]/WWWW[[#This Row],[Total PoP ]]&gt;100%,100%,WWWW[[#This Row],[HRP3]]/WWWW[[#This Row],[Total PoP ]])</f>
        <v>1</v>
      </c>
      <c r="DA409" s="713">
        <f>1-WWWW[[#This Row],[Hygiene Coverage%]]</f>
        <v>0</v>
      </c>
      <c r="DB409" s="710">
        <f>WWWW[[#This Row],['# people reached by regular dedicated hygiene promotion_5]]/WWWW[[#This Row],[Total PoP ]]</f>
        <v>0</v>
      </c>
      <c r="DC409" s="710">
        <f>IF(WWWW[[#This Row],['#_households that received standard amount of soap for this quarter]]/WWWW[[#This Row],[Total HH]]&gt;1,1,WWWW[[#This Row],['#_households that received standard amount of soap for this quarter]]/WWWW[[#This Row],[Total HH]])</f>
        <v>1</v>
      </c>
      <c r="DD409" s="710">
        <f>IF(WWWW[[#This Row],['#_households that received standard amount of sanitary pads for this quarter]]/WWWW[[#This Row],[Total HH]]&gt;1,1,WWWW[[#This Row],['#_households that received standard amount of sanitary pads for this quarter]]/WWWW[[#This Row],[Total HH]])</f>
        <v>1</v>
      </c>
      <c r="DE409" s="712">
        <f>WWWW[[#This Row],['#_Constructed/Existing hand washing stations]]-WWWW[[#This Row],['#_Non-Functional_hand_washing_stations]]</f>
        <v>0</v>
      </c>
      <c r="DF409" s="757">
        <f>IF(WWWW[[#This Row],['# Functional hand washing stations during reporting period]]*20&gt;WWWW[[#This Row],[Total HH]],WWWW[[#This Row],[Total HH]],WWWW[[#This Row],['# Functional hand washing stations during reporting period]]*20)</f>
        <v>0</v>
      </c>
      <c r="DG409" s="708">
        <f>IF(WWWW[[#This Row],[Is sufficient soap available for TLS? (Yes/No)]]="yes",WWWW[[#This Row],['#_Constructed/Existing hand washing stations at TLS]],0)</f>
        <v>0</v>
      </c>
      <c r="DH409" s="585">
        <f>IF(WWWW[[#This Row],['# Functional hand washing stations during reporting period]]*100&gt;WWWW[[#This Row],[Total PoP ]],WWWW[[#This Row],[Total PoP ]],WWWW[[#This Row],['# Functional hand washing stations during reporting period]]*100)</f>
        <v>0</v>
      </c>
      <c r="DI409" s="585" t="str">
        <f>IF(OR(WWWW[[#This Row],['#_students at TLS_CFS]]="",WWWW[[#This Row],['#_students at TLS_CFS]]=0),"No","Yes")</f>
        <v>No</v>
      </c>
      <c r="DJ409" s="711">
        <f>VLOOKUP(WWWW[[#This Row],[Site Name]],SiteDB6[[Site Name]:[CCCM Management]],6,FALSE)</f>
        <v>0</v>
      </c>
      <c r="DK409" s="711">
        <f>VLOOKUP(WWWW[[#This Row],[Site Name]],SiteDB6[[Site Name]:[CCCM Focal Agency]],7,FALSE)</f>
        <v>0</v>
      </c>
      <c r="DL409" s="711" t="str">
        <f>VLOOKUP(WWWW[[#This Row],[Site Name]],SiteDB6[[Site Name]:[Location Type 1]],9,FALSE)</f>
        <v>Temporary location</v>
      </c>
      <c r="DM409" s="711" t="str">
        <f>VLOOKUP(WWWW[[#This Row],[Site Name]],SiteDB6[[Site Name]:[Type of Accommodation]],10,FALSE)</f>
        <v>Temporary location_Town</v>
      </c>
      <c r="DN409" s="711">
        <f>VLOOKUP(WWWW[[#This Row],[Site Name]],SiteDB6[[Site Name]:[Ethnic or GCA/NGCA]],11,FALSE)</f>
        <v>0</v>
      </c>
      <c r="DO409" s="711">
        <f>VLOOKUP(WWWW[[#This Row],[Site Name]],SiteDB6[[Site Name]:[Lat]],12,FALSE)</f>
        <v>0</v>
      </c>
      <c r="DP409" s="711">
        <f>VLOOKUP(WWWW[[#This Row],[Site Name]],SiteDB6[[Site Name]:[Long]],13,FALSE)</f>
        <v>0</v>
      </c>
      <c r="DQ409" s="711">
        <f>VLOOKUP(WWWW[[#This Row],[Site Name]],SiteDB6[[Site Name]:[Pcode]],3,FALSE)</f>
        <v>0</v>
      </c>
      <c r="DR409" s="709" t="str">
        <f t="shared" si="13"/>
        <v>Covered</v>
      </c>
      <c r="DS409" s="709"/>
      <c r="DV409" s="572"/>
    </row>
    <row r="410" spans="1:126">
      <c r="A410" s="552" t="s">
        <v>2518</v>
      </c>
      <c r="B410" s="701" t="s">
        <v>3204</v>
      </c>
      <c r="C410" s="701" t="s">
        <v>3204</v>
      </c>
      <c r="D410" s="702"/>
      <c r="E410" s="703" t="s">
        <v>3006</v>
      </c>
      <c r="F410" s="702" t="s">
        <v>489</v>
      </c>
      <c r="G410" s="704" t="str">
        <f>VLOOKUP(WWWW[[#This Row],[Site Name]],SiteDB6[[Site Name]:[Location Type]],8,FALSE)</f>
        <v>New Temporary Site</v>
      </c>
      <c r="H410" s="702" t="s">
        <v>2873</v>
      </c>
      <c r="I410" s="705">
        <v>39</v>
      </c>
      <c r="J410" s="705">
        <v>157</v>
      </c>
      <c r="K410" s="706"/>
      <c r="L410" s="707"/>
      <c r="M410" s="705"/>
      <c r="N410" s="705"/>
      <c r="O410" s="705"/>
      <c r="P410" s="705"/>
      <c r="Q410" s="708"/>
      <c r="R410" s="705"/>
      <c r="S410" s="705"/>
      <c r="T410" s="312"/>
      <c r="U410" s="705"/>
      <c r="V410" s="705"/>
      <c r="W410" s="705"/>
      <c r="X410" s="705"/>
      <c r="Y410" s="705"/>
      <c r="Z410" s="705"/>
      <c r="AA410" s="705"/>
      <c r="AB410" s="705"/>
      <c r="AC410" s="705"/>
      <c r="AD410" s="705"/>
      <c r="AE410" s="705"/>
      <c r="AF410" s="705"/>
      <c r="AG410" s="705"/>
      <c r="AH410" s="705"/>
      <c r="AI410" s="705"/>
      <c r="AJ410" s="705"/>
      <c r="AK410" s="705"/>
      <c r="AL410" s="705"/>
      <c r="AM410" s="705"/>
      <c r="AN410" s="705"/>
      <c r="AO410" s="709"/>
      <c r="AP410" s="705">
        <v>3</v>
      </c>
      <c r="AQ410" s="705"/>
      <c r="AR410" s="710"/>
      <c r="AS410" s="705"/>
      <c r="AT410" s="705"/>
      <c r="AU410" s="705"/>
      <c r="AV410" s="705"/>
      <c r="AW410" s="705"/>
      <c r="AX410" s="711"/>
      <c r="AY410" s="709"/>
      <c r="AZ410" s="705"/>
      <c r="BA410" s="705"/>
      <c r="BB410" s="705"/>
      <c r="BC410" s="711"/>
      <c r="BD410" s="705"/>
      <c r="BE410" s="705"/>
      <c r="BF410" s="705"/>
      <c r="BG410" s="705"/>
      <c r="BH410" s="705"/>
      <c r="BI410" s="705"/>
      <c r="BJ410" s="705"/>
      <c r="BK410" s="705">
        <v>129</v>
      </c>
      <c r="BL410" s="705">
        <v>129</v>
      </c>
      <c r="BM410" s="711"/>
      <c r="BN410" s="712"/>
      <c r="BO410" s="710"/>
      <c r="BP410" s="711"/>
      <c r="BQ410" s="713" t="str">
        <f>IFERROR(WWWW[[#This Row],['#_Water sources treated]]/WWWW[[#This Row],['#_Water sources tested for contamination]],"no test")</f>
        <v>no test</v>
      </c>
      <c r="BR410" s="710" t="str">
        <f>IFERROR(WWWW[[#This Row],['#_Household received remediation action due to contamination]]/WWWW[[#This Row],['#_Household water samples tested for contamination]],"no test")</f>
        <v>no test</v>
      </c>
      <c r="BS410" s="712" t="str">
        <f>IF(AND(WWWW[[#This Row],[% of water sources treated]]="no test",WWWW[[#This Row],[% Household received corrective actions]]="no test"),"No Test","Tested")</f>
        <v>No Test</v>
      </c>
      <c r="BT410" s="712">
        <f>WWWW[[#This Row],['#_Constructed/existing protected hand dug well]]-WWWW[[#This Row],['#_Non-functional protected hand dug well]]</f>
        <v>0</v>
      </c>
      <c r="BU410" s="712">
        <f>(WWWW[[#This Row],['#_Constructed/Existing tube wells/boreholes/handpumps_WASH_agency]]+WWWW[[#This Row],['#_Non-Cluster partner water tube-wells/boreholes/handpumps]])-WWWW[[#This Row],['#_Non-functional tube wells/boreholes/handpumps]]</f>
        <v>0</v>
      </c>
      <c r="BV410" s="712">
        <f>WWWW[[#This Row],['#_Constructed/Existingwater storage tank with gravity fed reticulation system]]-WWWW[[#This Row],['#_Non-functional storage tank gravity fed reticulation system]]</f>
        <v>0</v>
      </c>
      <c r="BW410" s="712">
        <f>WWWW[[#This Row],['#_Water boating or water trucking]]</f>
        <v>0</v>
      </c>
      <c r="BX410" s="712">
        <f>WWWW[[#This Row],['#_Constructed/Existing water distribution system from river or natural spring]]</f>
        <v>0</v>
      </c>
      <c r="BY41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0" s="710">
        <f>IF(WWWW[[#This Row],[Location Type 1]]="Village",WWWW[[#This Row],[Access to safe drinking water for Village]],WWWW[[#This Row],[Access to safe drinking water for Camp]])</f>
        <v>0</v>
      </c>
      <c r="CB410" s="708">
        <f>WWWW[[#This Row],[%Equitable and continuous access to sufficient quantity of safe drinking water]]*WWWW[[#This Row],[Total PoP ]]</f>
        <v>0</v>
      </c>
      <c r="CC410" s="710">
        <f>IF((WWWW[[#This Row],['#_Constructed/Existing protected/fenced ponds]]*250)/WWWW[[#This Row],[Total PoP ]]&gt;1,1,(WWWW[[#This Row],['#_Constructed/Existing protected/fenced ponds]]*250)/WWWW[[#This Row],[Total PoP ]])</f>
        <v>0</v>
      </c>
      <c r="CD410" s="708">
        <f>WWWW[[#This Row],[% Access to unimproved water points]]*WWWW[[#This Row],[Total PoP ]]</f>
        <v>0</v>
      </c>
      <c r="CE41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0" s="708">
        <f>WWWW[[#This Row],[HRP1]]/500</f>
        <v>0</v>
      </c>
      <c r="CH410" s="714">
        <f>1-WWWW[[#This Row],[% Equitable and continuous access to sufficient quantity of domestic water]]</f>
        <v>1</v>
      </c>
      <c r="CI410" s="708">
        <f>WWWW[[#This Row],[%equitable and continuous access to sufficient quantity of safe drinking and domestic water''s GAP]]*WWWW[[#This Row],[Total PoP ]]</f>
        <v>157</v>
      </c>
      <c r="CJ410" s="712">
        <f>IF(WWWW[[#This Row],[Total required water points]]-WWWW[[#This Row],['#Water points coverage]]&lt;0,0,WWWW[[#This Row],[Total required water points]]-WWWW[[#This Row],['#Water points coverage]])</f>
        <v>1</v>
      </c>
      <c r="CK410" s="712">
        <f>ROUND(IF(WWWW[[#This Row],[Total PoP ]]&lt;500,1,WWWW[[#This Row],[Total PoP ]]/500),0)</f>
        <v>1</v>
      </c>
      <c r="CL410" s="712">
        <f>(WWWW[[#This Row],['#_Constructed latrines_by_WASHAgencies]]+WWWW[[#This Row],['#_Non Cluster partner latrines]])-WWWW[[#This Row],['#_Non-functional latrines]]</f>
        <v>3</v>
      </c>
      <c r="CM41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0.95541401273885351</v>
      </c>
      <c r="CN41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150</v>
      </c>
      <c r="CO41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0" s="712">
        <f>IF(WWWW[[#This Row],[Location Type 1]]="Village","NA",IF(WWWW[[#This Row],['#_Constructed/Existing latrines in TLS]]*50&gt;WWWW[[#This Row],['#_students at TLS_CFS]],WWWW[[#This Row],['#_students at TLS_CFS]],(WWWW[[#This Row],['#_Constructed/Existing latrines in TLS]]*50)))</f>
        <v>0</v>
      </c>
      <c r="CQ410" s="712">
        <f>ROUND(IF(WWWW[[#This Row],[Location Type 1]]="camp",WWWW[[#This Row],[Total PoP ]]/20,IF(WWWW[[#This Row],[Location Type 1]]="Temporary Location",WWWW[[#This Row],[Total PoP ]]/50,(WWWW[[#This Row],[Total PoP ]]/6))),0)</f>
        <v>3</v>
      </c>
      <c r="CR410" s="712">
        <f>IF(WWWW[[#This Row],[Total required Latrines]]-(WWWW[[#This Row],['#_Constructed latrines_by_WASHAgencies]]+WWWW[[#This Row],['#_Non Cluster partner latrines]])&lt;0,0,WWWW[[#This Row],[Total required Latrines]]-(WWWW[[#This Row],['#_Constructed latrines_by_WASHAgencies]]+WWWW[[#This Row],['#_Non Cluster partner latrines]]))</f>
        <v>0</v>
      </c>
      <c r="CS410" s="716">
        <f>1-WWWW[[#This Row],[% people access to functioning Latrine]]</f>
        <v>4.4585987261146487E-2</v>
      </c>
      <c r="CT410" s="713">
        <f>IF(OR(WWWW[[#This Row],['#_Non-functional latrines]]="",WWWW[[#This Row],['#_Non-functional latrines]]=0),0,WWWW[[#This Row],['#_Non-functional latrines]]/(WWWW[[#This Row],['#_Constructed latrines_by_WASHAgencies]]+WWWW[[#This Row],['#_Non Cluster partner latrines]]))</f>
        <v>0</v>
      </c>
      <c r="CU410" s="708">
        <f>IF(500*(WWWW[[#This Row],['#_male hygiene promoters]]+WWWW[[#This Row],['#_female hygiene promoters]])&gt;WWWW[[#This Row],[Total PoP ]],WWWW[[#This Row],[Total PoP ]],500*(WWWW[[#This Row],['#_male hygiene promoters]]+WWWW[[#This Row],['#_female hygiene promoters]]))</f>
        <v>0</v>
      </c>
      <c r="CV41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157</v>
      </c>
      <c r="CW41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157</v>
      </c>
      <c r="CX410" s="712">
        <f>IF(WWWW[[#This Row],['# People with access to soap]]&gt;WWWW[[#This Row],['# People with access to Sanity Pads]],WWWW[[#This Row],['# People with access to soap]],WWWW[[#This Row],['# People with access to Sanity Pads]])</f>
        <v>157</v>
      </c>
      <c r="CY410" s="712">
        <f>IF(WWWW[[#This Row],['# people reached by regular dedicated hygiene promotion_5]]&gt;WWWW[[#This Row],['# People received regular supply of hygiene items_6]],WWWW[[#This Row],['# people reached by regular dedicated hygiene promotion_5]],WWWW[[#This Row],['# People received regular supply of hygiene items_6]])</f>
        <v>157</v>
      </c>
      <c r="CZ410" s="714">
        <f>IF(WWWW[[#This Row],[HRP3]]/WWWW[[#This Row],[Total PoP ]]&gt;100%,100%,WWWW[[#This Row],[HRP3]]/WWWW[[#This Row],[Total PoP ]])</f>
        <v>1</v>
      </c>
      <c r="DA410" s="713">
        <f>1-WWWW[[#This Row],[Hygiene Coverage%]]</f>
        <v>0</v>
      </c>
      <c r="DB410" s="710">
        <f>WWWW[[#This Row],['# people reached by regular dedicated hygiene promotion_5]]/WWWW[[#This Row],[Total PoP ]]</f>
        <v>0</v>
      </c>
      <c r="DC410" s="710">
        <f>IF(WWWW[[#This Row],['#_households that received standard amount of soap for this quarter]]/WWWW[[#This Row],[Total HH]]&gt;1,1,WWWW[[#This Row],['#_households that received standard amount of soap for this quarter]]/WWWW[[#This Row],[Total HH]])</f>
        <v>1</v>
      </c>
      <c r="DD410" s="710">
        <f>IF(WWWW[[#This Row],['#_households that received standard amount of sanitary pads for this quarter]]/WWWW[[#This Row],[Total HH]]&gt;1,1,WWWW[[#This Row],['#_households that received standard amount of sanitary pads for this quarter]]/WWWW[[#This Row],[Total HH]])</f>
        <v>1</v>
      </c>
      <c r="DE410" s="712">
        <f>WWWW[[#This Row],['#_Constructed/Existing hand washing stations]]-WWWW[[#This Row],['#_Non-Functional_hand_washing_stations]]</f>
        <v>0</v>
      </c>
      <c r="DF410" s="757">
        <f>IF(WWWW[[#This Row],['# Functional hand washing stations during reporting period]]*20&gt;WWWW[[#This Row],[Total HH]],WWWW[[#This Row],[Total HH]],WWWW[[#This Row],['# Functional hand washing stations during reporting period]]*20)</f>
        <v>0</v>
      </c>
      <c r="DG410" s="708">
        <f>IF(WWWW[[#This Row],[Is sufficient soap available for TLS? (Yes/No)]]="yes",WWWW[[#This Row],['#_Constructed/Existing hand washing stations at TLS]],0)</f>
        <v>0</v>
      </c>
      <c r="DH410" s="585">
        <f>IF(WWWW[[#This Row],['# Functional hand washing stations during reporting period]]*100&gt;WWWW[[#This Row],[Total PoP ]],WWWW[[#This Row],[Total PoP ]],WWWW[[#This Row],['# Functional hand washing stations during reporting period]]*100)</f>
        <v>0</v>
      </c>
      <c r="DI410" s="585" t="str">
        <f>IF(OR(WWWW[[#This Row],['#_students at TLS_CFS]]="",WWWW[[#This Row],['#_students at TLS_CFS]]=0),"No","Yes")</f>
        <v>No</v>
      </c>
      <c r="DJ410" s="711">
        <f>VLOOKUP(WWWW[[#This Row],[Site Name]],SiteDB6[[Site Name]:[CCCM Management]],6,FALSE)</f>
        <v>0</v>
      </c>
      <c r="DK410" s="711">
        <f>VLOOKUP(WWWW[[#This Row],[Site Name]],SiteDB6[[Site Name]:[CCCM Focal Agency]],7,FALSE)</f>
        <v>0</v>
      </c>
      <c r="DL410" s="711" t="str">
        <f>VLOOKUP(WWWW[[#This Row],[Site Name]],SiteDB6[[Site Name]:[Location Type 1]],9,FALSE)</f>
        <v>Temporary location</v>
      </c>
      <c r="DM410" s="711" t="str">
        <f>VLOOKUP(WWWW[[#This Row],[Site Name]],SiteDB6[[Site Name]:[Type of Accommodation]],10,FALSE)</f>
        <v>Temporary location</v>
      </c>
      <c r="DN410" s="711">
        <f>VLOOKUP(WWWW[[#This Row],[Site Name]],SiteDB6[[Site Name]:[Ethnic or GCA/NGCA]],11,FALSE)</f>
        <v>0</v>
      </c>
      <c r="DO410" s="711">
        <f>VLOOKUP(WWWW[[#This Row],[Site Name]],SiteDB6[[Site Name]:[Lat]],12,FALSE)</f>
        <v>0</v>
      </c>
      <c r="DP410" s="711">
        <f>VLOOKUP(WWWW[[#This Row],[Site Name]],SiteDB6[[Site Name]:[Long]],13,FALSE)</f>
        <v>0</v>
      </c>
      <c r="DQ410" s="711">
        <f>VLOOKUP(WWWW[[#This Row],[Site Name]],SiteDB6[[Site Name]:[Pcode]],3,FALSE)</f>
        <v>0</v>
      </c>
      <c r="DR410" s="709" t="str">
        <f t="shared" si="13"/>
        <v>Covered</v>
      </c>
      <c r="DS410" s="709"/>
      <c r="DV410" s="572"/>
    </row>
    <row r="411" spans="1:126">
      <c r="A411" s="552" t="s">
        <v>2518</v>
      </c>
      <c r="B411" s="701" t="s">
        <v>2864</v>
      </c>
      <c r="C411" s="701" t="s">
        <v>2864</v>
      </c>
      <c r="D411" s="702"/>
      <c r="E411" s="703" t="s">
        <v>3006</v>
      </c>
      <c r="F411" s="702" t="s">
        <v>489</v>
      </c>
      <c r="G411" s="704" t="s">
        <v>3017</v>
      </c>
      <c r="H411" s="702" t="s">
        <v>2877</v>
      </c>
      <c r="I411" s="705">
        <v>56</v>
      </c>
      <c r="J411" s="705">
        <v>285</v>
      </c>
      <c r="K411" s="706"/>
      <c r="L411" s="707"/>
      <c r="M411" s="705"/>
      <c r="N411" s="705"/>
      <c r="O411" s="705"/>
      <c r="P411" s="705"/>
      <c r="Q411" s="708"/>
      <c r="R411" s="705"/>
      <c r="S411" s="705"/>
      <c r="T411" s="312"/>
      <c r="U411" s="705"/>
      <c r="V411" s="705"/>
      <c r="W411" s="705"/>
      <c r="X411" s="705"/>
      <c r="Y411" s="705"/>
      <c r="Z411" s="705"/>
      <c r="AA411" s="705"/>
      <c r="AB411" s="705"/>
      <c r="AC411" s="705"/>
      <c r="AD411" s="705"/>
      <c r="AE411" s="705"/>
      <c r="AF411" s="705"/>
      <c r="AG411" s="705"/>
      <c r="AH411" s="705"/>
      <c r="AI411" s="705"/>
      <c r="AJ411" s="705"/>
      <c r="AK411" s="705"/>
      <c r="AL411" s="705"/>
      <c r="AM411" s="705"/>
      <c r="AN411" s="705"/>
      <c r="AO411" s="709"/>
      <c r="AP411" s="705"/>
      <c r="AQ411" s="705"/>
      <c r="AR411" s="710"/>
      <c r="AS411" s="705"/>
      <c r="AT411" s="705"/>
      <c r="AU411" s="705"/>
      <c r="AV411" s="705"/>
      <c r="AW411" s="705"/>
      <c r="AX411" s="711"/>
      <c r="AY411" s="709"/>
      <c r="AZ411" s="705"/>
      <c r="BA411" s="705"/>
      <c r="BB411" s="705"/>
      <c r="BC411" s="711"/>
      <c r="BD411" s="705"/>
      <c r="BE411" s="705"/>
      <c r="BF411" s="705"/>
      <c r="BG411" s="705"/>
      <c r="BH411" s="705"/>
      <c r="BI411" s="705"/>
      <c r="BJ411" s="705"/>
      <c r="BK411" s="705">
        <v>81</v>
      </c>
      <c r="BL411" s="705">
        <v>81</v>
      </c>
      <c r="BM411" s="711"/>
      <c r="BN411" s="712"/>
      <c r="BO411" s="710"/>
      <c r="BP411" s="711"/>
      <c r="BQ411" s="713" t="str">
        <f>IFERROR(WWWW[[#This Row],['#_Water sources treated]]/WWWW[[#This Row],['#_Water sources tested for contamination]],"no test")</f>
        <v>no test</v>
      </c>
      <c r="BR411" s="710" t="str">
        <f>IFERROR(WWWW[[#This Row],['#_Household received remediation action due to contamination]]/WWWW[[#This Row],['#_Household water samples tested for contamination]],"no test")</f>
        <v>no test</v>
      </c>
      <c r="BS411" s="712" t="str">
        <f>IF(AND(WWWW[[#This Row],[% of water sources treated]]="no test",WWWW[[#This Row],[% Household received corrective actions]]="no test"),"No Test","Tested")</f>
        <v>No Test</v>
      </c>
      <c r="BT411" s="712">
        <f>WWWW[[#This Row],['#_Constructed/existing protected hand dug well]]-WWWW[[#This Row],['#_Non-functional protected hand dug well]]</f>
        <v>0</v>
      </c>
      <c r="BU411" s="712">
        <f>(WWWW[[#This Row],['#_Constructed/Existing tube wells/boreholes/handpumps_WASH_agency]]+WWWW[[#This Row],['#_Non-Cluster partner water tube-wells/boreholes/handpumps]])-WWWW[[#This Row],['#_Non-functional tube wells/boreholes/handpumps]]</f>
        <v>0</v>
      </c>
      <c r="BV411" s="712">
        <f>WWWW[[#This Row],['#_Constructed/Existingwater storage tank with gravity fed reticulation system]]-WWWW[[#This Row],['#_Non-functional storage tank gravity fed reticulation system]]</f>
        <v>0</v>
      </c>
      <c r="BW411" s="712">
        <f>WWWW[[#This Row],['#_Water boating or water trucking]]</f>
        <v>0</v>
      </c>
      <c r="BX411" s="712">
        <f>WWWW[[#This Row],['#_Constructed/Existing water distribution system from river or natural spring]]</f>
        <v>0</v>
      </c>
      <c r="BY41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1" s="710">
        <f>IF(WWWW[[#This Row],[Location Type 1]]="Village",WWWW[[#This Row],[Access to safe drinking water for Village]],WWWW[[#This Row],[Access to safe drinking water for Camp]])</f>
        <v>0</v>
      </c>
      <c r="CB411" s="708">
        <f>WWWW[[#This Row],[%Equitable and continuous access to sufficient quantity of safe drinking water]]*WWWW[[#This Row],[Total PoP ]]</f>
        <v>0</v>
      </c>
      <c r="CC411" s="710">
        <f>IF((WWWW[[#This Row],['#_Constructed/Existing protected/fenced ponds]]*250)/WWWW[[#This Row],[Total PoP ]]&gt;1,1,(WWWW[[#This Row],['#_Constructed/Existing protected/fenced ponds]]*250)/WWWW[[#This Row],[Total PoP ]])</f>
        <v>0</v>
      </c>
      <c r="CD411" s="708">
        <f>WWWW[[#This Row],[% Access to unimproved water points]]*WWWW[[#This Row],[Total PoP ]]</f>
        <v>0</v>
      </c>
      <c r="CE41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1" s="708">
        <f>WWWW[[#This Row],[HRP1]]/500</f>
        <v>0</v>
      </c>
      <c r="CH411" s="714">
        <f>1-WWWW[[#This Row],[% Equitable and continuous access to sufficient quantity of domestic water]]</f>
        <v>1</v>
      </c>
      <c r="CI411" s="708">
        <f>WWWW[[#This Row],[%equitable and continuous access to sufficient quantity of safe drinking and domestic water''s GAP]]*WWWW[[#This Row],[Total PoP ]]</f>
        <v>285</v>
      </c>
      <c r="CJ411" s="712">
        <f>IF(WWWW[[#This Row],[Total required water points]]-WWWW[[#This Row],['#Water points coverage]]&lt;0,0,WWWW[[#This Row],[Total required water points]]-WWWW[[#This Row],['#Water points coverage]])</f>
        <v>1</v>
      </c>
      <c r="CK411" s="712">
        <f>ROUND(IF(WWWW[[#This Row],[Total PoP ]]&lt;500,1,WWWW[[#This Row],[Total PoP ]]/500),0)</f>
        <v>1</v>
      </c>
      <c r="CL411" s="712">
        <f>(WWWW[[#This Row],['#_Constructed latrines_by_WASHAgencies]]+WWWW[[#This Row],['#_Non Cluster partner latrines]])-WWWW[[#This Row],['#_Non-functional latrines]]</f>
        <v>0</v>
      </c>
      <c r="CM41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1" s="712">
        <f>IF(WWWW[[#This Row],[Location Type 1]]="Village","NA",IF(WWWW[[#This Row],['#_Constructed/Existing latrines in TLS]]*50&gt;WWWW[[#This Row],['#_students at TLS_CFS]],WWWW[[#This Row],['#_students at TLS_CFS]],(WWWW[[#This Row],['#_Constructed/Existing latrines in TLS]]*50)))</f>
        <v>0</v>
      </c>
      <c r="CQ411" s="712">
        <f>ROUND(IF(WWWW[[#This Row],[Location Type 1]]="camp",WWWW[[#This Row],[Total PoP ]]/20,IF(WWWW[[#This Row],[Location Type 1]]="Temporary Location",WWWW[[#This Row],[Total PoP ]]/50,(WWWW[[#This Row],[Total PoP ]]/6))),0)</f>
        <v>6</v>
      </c>
      <c r="CR411" s="712">
        <f>IF(WWWW[[#This Row],[Total required Latrines]]-(WWWW[[#This Row],['#_Constructed latrines_by_WASHAgencies]]+WWWW[[#This Row],['#_Non Cluster partner latrines]])&lt;0,0,WWWW[[#This Row],[Total required Latrines]]-(WWWW[[#This Row],['#_Constructed latrines_by_WASHAgencies]]+WWWW[[#This Row],['#_Non Cluster partner latrines]]))</f>
        <v>6</v>
      </c>
      <c r="CS411" s="716">
        <f>1-WWWW[[#This Row],[% people access to functioning Latrine]]</f>
        <v>1</v>
      </c>
      <c r="CT411" s="713">
        <f>IF(OR(WWWW[[#This Row],['#_Non-functional latrines]]="",WWWW[[#This Row],['#_Non-functional latrines]]=0),0,WWWW[[#This Row],['#_Non-functional latrines]]/(WWWW[[#This Row],['#_Constructed latrines_by_WASHAgencies]]+WWWW[[#This Row],['#_Non Cluster partner latrines]]))</f>
        <v>0</v>
      </c>
      <c r="CU411" s="708">
        <f>IF(500*(WWWW[[#This Row],['#_male hygiene promoters]]+WWWW[[#This Row],['#_female hygiene promoters]])&gt;WWWW[[#This Row],[Total PoP ]],WWWW[[#This Row],[Total PoP ]],500*(WWWW[[#This Row],['#_male hygiene promoters]]+WWWW[[#This Row],['#_female hygiene promoters]]))</f>
        <v>0</v>
      </c>
      <c r="CV41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285</v>
      </c>
      <c r="CW41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285</v>
      </c>
      <c r="CX411" s="712">
        <f>IF(WWWW[[#This Row],['# People with access to soap]]&gt;WWWW[[#This Row],['# People with access to Sanity Pads]],WWWW[[#This Row],['# People with access to soap]],WWWW[[#This Row],['# People with access to Sanity Pads]])</f>
        <v>285</v>
      </c>
      <c r="CY411" s="712">
        <f>IF(WWWW[[#This Row],['# people reached by regular dedicated hygiene promotion_5]]&gt;WWWW[[#This Row],['# People received regular supply of hygiene items_6]],WWWW[[#This Row],['# people reached by regular dedicated hygiene promotion_5]],WWWW[[#This Row],['# People received regular supply of hygiene items_6]])</f>
        <v>285</v>
      </c>
      <c r="CZ411" s="714">
        <f>IF(WWWW[[#This Row],[HRP3]]/WWWW[[#This Row],[Total PoP ]]&gt;100%,100%,WWWW[[#This Row],[HRP3]]/WWWW[[#This Row],[Total PoP ]])</f>
        <v>1</v>
      </c>
      <c r="DA411" s="713">
        <f>1-WWWW[[#This Row],[Hygiene Coverage%]]</f>
        <v>0</v>
      </c>
      <c r="DB411" s="710">
        <f>WWWW[[#This Row],['# people reached by regular dedicated hygiene promotion_5]]/WWWW[[#This Row],[Total PoP ]]</f>
        <v>0</v>
      </c>
      <c r="DC411" s="710">
        <f>IF(WWWW[[#This Row],['#_households that received standard amount of soap for this quarter]]/WWWW[[#This Row],[Total HH]]&gt;1,1,WWWW[[#This Row],['#_households that received standard amount of soap for this quarter]]/WWWW[[#This Row],[Total HH]])</f>
        <v>1</v>
      </c>
      <c r="DD411" s="710">
        <f>IF(WWWW[[#This Row],['#_households that received standard amount of sanitary pads for this quarter]]/WWWW[[#This Row],[Total HH]]&gt;1,1,WWWW[[#This Row],['#_households that received standard amount of sanitary pads for this quarter]]/WWWW[[#This Row],[Total HH]])</f>
        <v>1</v>
      </c>
      <c r="DE411" s="712">
        <f>WWWW[[#This Row],['#_Constructed/Existing hand washing stations]]-WWWW[[#This Row],['#_Non-Functional_hand_washing_stations]]</f>
        <v>0</v>
      </c>
      <c r="DF411" s="757">
        <f>IF(WWWW[[#This Row],['# Functional hand washing stations during reporting period]]*20&gt;WWWW[[#This Row],[Total HH]],WWWW[[#This Row],[Total HH]],WWWW[[#This Row],['# Functional hand washing stations during reporting period]]*20)</f>
        <v>0</v>
      </c>
      <c r="DG411" s="708">
        <f>IF(WWWW[[#This Row],[Is sufficient soap available for TLS? (Yes/No)]]="yes",WWWW[[#This Row],['#_Constructed/Existing hand washing stations at TLS]],0)</f>
        <v>0</v>
      </c>
      <c r="DH411" s="585">
        <f>IF(WWWW[[#This Row],['# Functional hand washing stations during reporting period]]*100&gt;WWWW[[#This Row],[Total PoP ]],WWWW[[#This Row],[Total PoP ]],WWWW[[#This Row],['# Functional hand washing stations during reporting period]]*100)</f>
        <v>0</v>
      </c>
      <c r="DI411" s="585" t="str">
        <f>IF(OR(WWWW[[#This Row],['#_students at TLS_CFS]]="",WWWW[[#This Row],['#_students at TLS_CFS]]=0),"No","Yes")</f>
        <v>No</v>
      </c>
      <c r="DJ411" s="711">
        <f>VLOOKUP(WWWW[[#This Row],[Site Name]],SiteDB6[[Site Name]:[CCCM Management]],6,FALSE)</f>
        <v>0</v>
      </c>
      <c r="DK411" s="711">
        <f>VLOOKUP(WWWW[[#This Row],[Site Name]],SiteDB6[[Site Name]:[CCCM Focal Agency]],7,FALSE)</f>
        <v>0</v>
      </c>
      <c r="DL411" s="711" t="str">
        <f>VLOOKUP(WWWW[[#This Row],[Site Name]],SiteDB6[[Site Name]:[Location Type 1]],9,FALSE)</f>
        <v>Temporary location</v>
      </c>
      <c r="DM411" s="711" t="str">
        <f>VLOOKUP(WWWW[[#This Row],[Site Name]],SiteDB6[[Site Name]:[Type of Accommodation]],10,FALSE)</f>
        <v>Temporary location</v>
      </c>
      <c r="DN411" s="711">
        <f>VLOOKUP(WWWW[[#This Row],[Site Name]],SiteDB6[[Site Name]:[Ethnic or GCA/NGCA]],11,FALSE)</f>
        <v>0</v>
      </c>
      <c r="DO411" s="711">
        <f>VLOOKUP(WWWW[[#This Row],[Site Name]],SiteDB6[[Site Name]:[Lat]],12,FALSE)</f>
        <v>20.7529296875</v>
      </c>
      <c r="DP411" s="711">
        <f>VLOOKUP(WWWW[[#This Row],[Site Name]],SiteDB6[[Site Name]:[Long]],13,FALSE)</f>
        <v>93.267311096191406</v>
      </c>
      <c r="DQ411" s="711">
        <f>VLOOKUP(WWWW[[#This Row],[Site Name]],SiteDB6[[Site Name]:[Pcode]],3,FALSE)</f>
        <v>196464</v>
      </c>
      <c r="DR411" s="709" t="str">
        <f t="shared" si="13"/>
        <v>Covered</v>
      </c>
      <c r="DS411" s="709"/>
      <c r="DV411" s="572"/>
    </row>
    <row r="412" spans="1:126">
      <c r="A412" s="552" t="s">
        <v>2518</v>
      </c>
      <c r="B412" s="701" t="s">
        <v>2864</v>
      </c>
      <c r="C412" s="701" t="s">
        <v>2864</v>
      </c>
      <c r="D412" s="702"/>
      <c r="E412" s="703" t="s">
        <v>3006</v>
      </c>
      <c r="F412" s="702" t="s">
        <v>489</v>
      </c>
      <c r="G412" s="704" t="str">
        <f>VLOOKUP(WWWW[[#This Row],[Site Name]],SiteDB6[[Site Name]:[Location Type]],8,FALSE)</f>
        <v>New Temporary Site</v>
      </c>
      <c r="H412" s="702" t="s">
        <v>2878</v>
      </c>
      <c r="I412" s="705">
        <v>245</v>
      </c>
      <c r="J412" s="705">
        <v>1169</v>
      </c>
      <c r="K412" s="706"/>
      <c r="L412" s="707"/>
      <c r="M412" s="705"/>
      <c r="N412" s="705"/>
      <c r="O412" s="705"/>
      <c r="P412" s="705"/>
      <c r="Q412" s="708"/>
      <c r="R412" s="705"/>
      <c r="S412" s="705"/>
      <c r="T412" s="312"/>
      <c r="U412" s="705"/>
      <c r="V412" s="705"/>
      <c r="W412" s="705"/>
      <c r="X412" s="705"/>
      <c r="Y412" s="705"/>
      <c r="Z412" s="705"/>
      <c r="AA412" s="705"/>
      <c r="AB412" s="705"/>
      <c r="AC412" s="705"/>
      <c r="AD412" s="705"/>
      <c r="AE412" s="705"/>
      <c r="AF412" s="705"/>
      <c r="AG412" s="705"/>
      <c r="AH412" s="705"/>
      <c r="AI412" s="705"/>
      <c r="AJ412" s="705"/>
      <c r="AK412" s="705"/>
      <c r="AL412" s="705"/>
      <c r="AM412" s="705"/>
      <c r="AN412" s="705"/>
      <c r="AO412" s="709"/>
      <c r="AP412" s="705"/>
      <c r="AQ412" s="705"/>
      <c r="AR412" s="710"/>
      <c r="AS412" s="705"/>
      <c r="AT412" s="705"/>
      <c r="AU412" s="705"/>
      <c r="AV412" s="705"/>
      <c r="AW412" s="705"/>
      <c r="AX412" s="711"/>
      <c r="AY412" s="709"/>
      <c r="AZ412" s="705"/>
      <c r="BA412" s="705"/>
      <c r="BB412" s="705"/>
      <c r="BC412" s="711"/>
      <c r="BD412" s="705"/>
      <c r="BE412" s="705"/>
      <c r="BF412" s="705"/>
      <c r="BG412" s="705"/>
      <c r="BH412" s="705"/>
      <c r="BI412" s="705"/>
      <c r="BJ412" s="705"/>
      <c r="BK412" s="705">
        <v>245</v>
      </c>
      <c r="BL412" s="705">
        <v>245</v>
      </c>
      <c r="BM412" s="711"/>
      <c r="BN412" s="712"/>
      <c r="BO412" s="710"/>
      <c r="BP412" s="711"/>
      <c r="BQ412" s="713" t="str">
        <f>IFERROR(WWWW[[#This Row],['#_Water sources treated]]/WWWW[[#This Row],['#_Water sources tested for contamination]],"no test")</f>
        <v>no test</v>
      </c>
      <c r="BR412" s="710" t="str">
        <f>IFERROR(WWWW[[#This Row],['#_Household received remediation action due to contamination]]/WWWW[[#This Row],['#_Household water samples tested for contamination]],"no test")</f>
        <v>no test</v>
      </c>
      <c r="BS412" s="712" t="str">
        <f>IF(AND(WWWW[[#This Row],[% of water sources treated]]="no test",WWWW[[#This Row],[% Household received corrective actions]]="no test"),"No Test","Tested")</f>
        <v>No Test</v>
      </c>
      <c r="BT412" s="712">
        <f>WWWW[[#This Row],['#_Constructed/existing protected hand dug well]]-WWWW[[#This Row],['#_Non-functional protected hand dug well]]</f>
        <v>0</v>
      </c>
      <c r="BU412" s="712">
        <f>(WWWW[[#This Row],['#_Constructed/Existing tube wells/boreholes/handpumps_WASH_agency]]+WWWW[[#This Row],['#_Non-Cluster partner water tube-wells/boreholes/handpumps]])-WWWW[[#This Row],['#_Non-functional tube wells/boreholes/handpumps]]</f>
        <v>0</v>
      </c>
      <c r="BV412" s="712">
        <f>WWWW[[#This Row],['#_Constructed/Existingwater storage tank with gravity fed reticulation system]]-WWWW[[#This Row],['#_Non-functional storage tank gravity fed reticulation system]]</f>
        <v>0</v>
      </c>
      <c r="BW412" s="712">
        <f>WWWW[[#This Row],['#_Water boating or water trucking]]</f>
        <v>0</v>
      </c>
      <c r="BX412" s="712">
        <f>WWWW[[#This Row],['#_Constructed/Existing water distribution system from river or natural spring]]</f>
        <v>0</v>
      </c>
      <c r="BY41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2" s="710">
        <f>IF(WWWW[[#This Row],[Location Type 1]]="Village",WWWW[[#This Row],[Access to safe drinking water for Village]],WWWW[[#This Row],[Access to safe drinking water for Camp]])</f>
        <v>0</v>
      </c>
      <c r="CB412" s="708">
        <f>WWWW[[#This Row],[%Equitable and continuous access to sufficient quantity of safe drinking water]]*WWWW[[#This Row],[Total PoP ]]</f>
        <v>0</v>
      </c>
      <c r="CC412" s="710">
        <f>IF((WWWW[[#This Row],['#_Constructed/Existing protected/fenced ponds]]*250)/WWWW[[#This Row],[Total PoP ]]&gt;1,1,(WWWW[[#This Row],['#_Constructed/Existing protected/fenced ponds]]*250)/WWWW[[#This Row],[Total PoP ]])</f>
        <v>0</v>
      </c>
      <c r="CD412" s="708">
        <f>WWWW[[#This Row],[% Access to unimproved water points]]*WWWW[[#This Row],[Total PoP ]]</f>
        <v>0</v>
      </c>
      <c r="CE41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2" s="708">
        <f>WWWW[[#This Row],[HRP1]]/500</f>
        <v>0</v>
      </c>
      <c r="CH412" s="714">
        <f>1-WWWW[[#This Row],[% Equitable and continuous access to sufficient quantity of domestic water]]</f>
        <v>1</v>
      </c>
      <c r="CI412" s="708">
        <f>WWWW[[#This Row],[%equitable and continuous access to sufficient quantity of safe drinking and domestic water''s GAP]]*WWWW[[#This Row],[Total PoP ]]</f>
        <v>1169</v>
      </c>
      <c r="CJ412" s="712">
        <f>IF(WWWW[[#This Row],[Total required water points]]-WWWW[[#This Row],['#Water points coverage]]&lt;0,0,WWWW[[#This Row],[Total required water points]]-WWWW[[#This Row],['#Water points coverage]])</f>
        <v>2</v>
      </c>
      <c r="CK412" s="712">
        <f>ROUND(IF(WWWW[[#This Row],[Total PoP ]]&lt;500,1,WWWW[[#This Row],[Total PoP ]]/500),0)</f>
        <v>2</v>
      </c>
      <c r="CL412" s="712">
        <f>(WWWW[[#This Row],['#_Constructed latrines_by_WASHAgencies]]+WWWW[[#This Row],['#_Non Cluster partner latrines]])-WWWW[[#This Row],['#_Non-functional latrines]]</f>
        <v>0</v>
      </c>
      <c r="CM41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2" s="712">
        <f>IF(WWWW[[#This Row],[Location Type 1]]="Village","NA",IF(WWWW[[#This Row],['#_Constructed/Existing latrines in TLS]]*50&gt;WWWW[[#This Row],['#_students at TLS_CFS]],WWWW[[#This Row],['#_students at TLS_CFS]],(WWWW[[#This Row],['#_Constructed/Existing latrines in TLS]]*50)))</f>
        <v>0</v>
      </c>
      <c r="CQ412" s="712">
        <f>ROUND(IF(WWWW[[#This Row],[Location Type 1]]="camp",WWWW[[#This Row],[Total PoP ]]/20,IF(WWWW[[#This Row],[Location Type 1]]="Temporary Location",WWWW[[#This Row],[Total PoP ]]/50,(WWWW[[#This Row],[Total PoP ]]/6))),0)</f>
        <v>23</v>
      </c>
      <c r="CR412" s="712">
        <f>IF(WWWW[[#This Row],[Total required Latrines]]-(WWWW[[#This Row],['#_Constructed latrines_by_WASHAgencies]]+WWWW[[#This Row],['#_Non Cluster partner latrines]])&lt;0,0,WWWW[[#This Row],[Total required Latrines]]-(WWWW[[#This Row],['#_Constructed latrines_by_WASHAgencies]]+WWWW[[#This Row],['#_Non Cluster partner latrines]]))</f>
        <v>23</v>
      </c>
      <c r="CS412" s="716">
        <f>1-WWWW[[#This Row],[% people access to functioning Latrine]]</f>
        <v>1</v>
      </c>
      <c r="CT412" s="713">
        <f>IF(OR(WWWW[[#This Row],['#_Non-functional latrines]]="",WWWW[[#This Row],['#_Non-functional latrines]]=0),0,WWWW[[#This Row],['#_Non-functional latrines]]/(WWWW[[#This Row],['#_Constructed latrines_by_WASHAgencies]]+WWWW[[#This Row],['#_Non Cluster partner latrines]]))</f>
        <v>0</v>
      </c>
      <c r="CU412" s="708">
        <f>IF(500*(WWWW[[#This Row],['#_male hygiene promoters]]+WWWW[[#This Row],['#_female hygiene promoters]])&gt;WWWW[[#This Row],[Total PoP ]],WWWW[[#This Row],[Total PoP ]],500*(WWWW[[#This Row],['#_male hygiene promoters]]+WWWW[[#This Row],['#_female hygiene promoters]]))</f>
        <v>0</v>
      </c>
      <c r="CV41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1169</v>
      </c>
      <c r="CW41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1169</v>
      </c>
      <c r="CX412" s="712">
        <f>IF(WWWW[[#This Row],['# People with access to soap]]&gt;WWWW[[#This Row],['# People with access to Sanity Pads]],WWWW[[#This Row],['# People with access to soap]],WWWW[[#This Row],['# People with access to Sanity Pads]])</f>
        <v>1169</v>
      </c>
      <c r="CY412" s="712">
        <f>IF(WWWW[[#This Row],['# people reached by regular dedicated hygiene promotion_5]]&gt;WWWW[[#This Row],['# People received regular supply of hygiene items_6]],WWWW[[#This Row],['# people reached by regular dedicated hygiene promotion_5]],WWWW[[#This Row],['# People received regular supply of hygiene items_6]])</f>
        <v>1169</v>
      </c>
      <c r="CZ412" s="714">
        <f>IF(WWWW[[#This Row],[HRP3]]/WWWW[[#This Row],[Total PoP ]]&gt;100%,100%,WWWW[[#This Row],[HRP3]]/WWWW[[#This Row],[Total PoP ]])</f>
        <v>1</v>
      </c>
      <c r="DA412" s="713">
        <f>1-WWWW[[#This Row],[Hygiene Coverage%]]</f>
        <v>0</v>
      </c>
      <c r="DB412" s="710">
        <f>WWWW[[#This Row],['# people reached by regular dedicated hygiene promotion_5]]/WWWW[[#This Row],[Total PoP ]]</f>
        <v>0</v>
      </c>
      <c r="DC412" s="710">
        <f>IF(WWWW[[#This Row],['#_households that received standard amount of soap for this quarter]]/WWWW[[#This Row],[Total HH]]&gt;1,1,WWWW[[#This Row],['#_households that received standard amount of soap for this quarter]]/WWWW[[#This Row],[Total HH]])</f>
        <v>1</v>
      </c>
      <c r="DD412" s="710">
        <f>IF(WWWW[[#This Row],['#_households that received standard amount of sanitary pads for this quarter]]/WWWW[[#This Row],[Total HH]]&gt;1,1,WWWW[[#This Row],['#_households that received standard amount of sanitary pads for this quarter]]/WWWW[[#This Row],[Total HH]])</f>
        <v>1</v>
      </c>
      <c r="DE412" s="712">
        <f>WWWW[[#This Row],['#_Constructed/Existing hand washing stations]]-WWWW[[#This Row],['#_Non-Functional_hand_washing_stations]]</f>
        <v>0</v>
      </c>
      <c r="DF412" s="757">
        <f>IF(WWWW[[#This Row],['# Functional hand washing stations during reporting period]]*20&gt;WWWW[[#This Row],[Total HH]],WWWW[[#This Row],[Total HH]],WWWW[[#This Row],['# Functional hand washing stations during reporting period]]*20)</f>
        <v>0</v>
      </c>
      <c r="DG412" s="708">
        <f>IF(WWWW[[#This Row],[Is sufficient soap available for TLS? (Yes/No)]]="yes",WWWW[[#This Row],['#_Constructed/Existing hand washing stations at TLS]],0)</f>
        <v>0</v>
      </c>
      <c r="DH412" s="585">
        <f>IF(WWWW[[#This Row],['# Functional hand washing stations during reporting period]]*100&gt;WWWW[[#This Row],[Total PoP ]],WWWW[[#This Row],[Total PoP ]],WWWW[[#This Row],['# Functional hand washing stations during reporting period]]*100)</f>
        <v>0</v>
      </c>
      <c r="DI412" s="585" t="str">
        <f>IF(OR(WWWW[[#This Row],['#_students at TLS_CFS]]="",WWWW[[#This Row],['#_students at TLS_CFS]]=0),"No","Yes")</f>
        <v>No</v>
      </c>
      <c r="DJ412" s="711">
        <f>VLOOKUP(WWWW[[#This Row],[Site Name]],SiteDB6[[Site Name]:[CCCM Management]],6,FALSE)</f>
        <v>0</v>
      </c>
      <c r="DK412" s="711">
        <f>VLOOKUP(WWWW[[#This Row],[Site Name]],SiteDB6[[Site Name]:[CCCM Focal Agency]],7,FALSE)</f>
        <v>0</v>
      </c>
      <c r="DL412" s="711" t="str">
        <f>VLOOKUP(WWWW[[#This Row],[Site Name]],SiteDB6[[Site Name]:[Location Type 1]],9,FALSE)</f>
        <v>Temporary location</v>
      </c>
      <c r="DM412" s="711" t="str">
        <f>VLOOKUP(WWWW[[#This Row],[Site Name]],SiteDB6[[Site Name]:[Type of Accommodation]],10,FALSE)</f>
        <v>Temporary location</v>
      </c>
      <c r="DN412" s="711">
        <f>VLOOKUP(WWWW[[#This Row],[Site Name]],SiteDB6[[Site Name]:[Ethnic or GCA/NGCA]],11,FALSE)</f>
        <v>0</v>
      </c>
      <c r="DO412" s="711">
        <f>VLOOKUP(WWWW[[#This Row],[Site Name]],SiteDB6[[Site Name]:[Lat]],12,FALSE)</f>
        <v>0</v>
      </c>
      <c r="DP412" s="711">
        <f>VLOOKUP(WWWW[[#This Row],[Site Name]],SiteDB6[[Site Name]:[Long]],13,FALSE)</f>
        <v>0</v>
      </c>
      <c r="DQ412" s="711">
        <f>VLOOKUP(WWWW[[#This Row],[Site Name]],SiteDB6[[Site Name]:[Pcode]],3,FALSE)</f>
        <v>0</v>
      </c>
      <c r="DR412" s="709" t="str">
        <f t="shared" si="13"/>
        <v>Covered</v>
      </c>
      <c r="DS412" s="709"/>
      <c r="DV412" s="572"/>
    </row>
    <row r="413" spans="1:126">
      <c r="A413" s="552" t="s">
        <v>2518</v>
      </c>
      <c r="B413" s="808" t="s">
        <v>317</v>
      </c>
      <c r="C413" s="808" t="s">
        <v>317</v>
      </c>
      <c r="D413" s="702"/>
      <c r="E413" s="703" t="s">
        <v>3006</v>
      </c>
      <c r="F413" s="702" t="s">
        <v>489</v>
      </c>
      <c r="G413" s="704" t="str">
        <f>VLOOKUP(WWWW[[#This Row],[Site Name]],SiteDB6[[Site Name]:[Location Type]],8,FALSE)</f>
        <v>New Temporary Site</v>
      </c>
      <c r="H413" s="702" t="s">
        <v>3150</v>
      </c>
      <c r="I413" s="705">
        <v>41</v>
      </c>
      <c r="J413" s="705">
        <v>154</v>
      </c>
      <c r="K413" s="706"/>
      <c r="L413" s="707"/>
      <c r="M413" s="705"/>
      <c r="N413" s="705"/>
      <c r="O413" s="705"/>
      <c r="P413" s="705"/>
      <c r="Q413" s="708"/>
      <c r="R413" s="705"/>
      <c r="S413" s="705"/>
      <c r="T413" s="312"/>
      <c r="U413" s="705"/>
      <c r="V413" s="705"/>
      <c r="W413" s="705"/>
      <c r="X413" s="705"/>
      <c r="Y413" s="705"/>
      <c r="Z413" s="705"/>
      <c r="AA413" s="705"/>
      <c r="AB413" s="705"/>
      <c r="AC413" s="705"/>
      <c r="AD413" s="705"/>
      <c r="AE413" s="705"/>
      <c r="AF413" s="705"/>
      <c r="AG413" s="705"/>
      <c r="AH413" s="705"/>
      <c r="AI413" s="705"/>
      <c r="AJ413" s="705"/>
      <c r="AK413" s="705"/>
      <c r="AL413" s="705"/>
      <c r="AM413" s="705"/>
      <c r="AN413" s="705"/>
      <c r="AO413" s="709"/>
      <c r="AP413" s="705"/>
      <c r="AQ413" s="705"/>
      <c r="AR413" s="710"/>
      <c r="AS413" s="705"/>
      <c r="AT413" s="705"/>
      <c r="AU413" s="705"/>
      <c r="AV413" s="705"/>
      <c r="AW413" s="705"/>
      <c r="AX413" s="711"/>
      <c r="AY413" s="709"/>
      <c r="AZ413" s="705"/>
      <c r="BA413" s="705"/>
      <c r="BB413" s="705"/>
      <c r="BC413" s="711"/>
      <c r="BD413" s="705"/>
      <c r="BE413" s="705"/>
      <c r="BF413" s="705"/>
      <c r="BG413" s="705"/>
      <c r="BH413" s="705"/>
      <c r="BI413" s="705"/>
      <c r="BJ413" s="705"/>
      <c r="BK413" s="705"/>
      <c r="BL413" s="705"/>
      <c r="BM413" s="711"/>
      <c r="BN413" s="712"/>
      <c r="BO413" s="710"/>
      <c r="BP413" s="711"/>
      <c r="BQ413" s="713" t="str">
        <f>IFERROR(WWWW[[#This Row],['#_Water sources treated]]/WWWW[[#This Row],['#_Water sources tested for contamination]],"no test")</f>
        <v>no test</v>
      </c>
      <c r="BR413" s="710" t="str">
        <f>IFERROR(WWWW[[#This Row],['#_Household received remediation action due to contamination]]/WWWW[[#This Row],['#_Household water samples tested for contamination]],"no test")</f>
        <v>no test</v>
      </c>
      <c r="BS413" s="712" t="str">
        <f>IF(AND(WWWW[[#This Row],[% of water sources treated]]="no test",WWWW[[#This Row],[% Household received corrective actions]]="no test"),"No Test","Tested")</f>
        <v>No Test</v>
      </c>
      <c r="BT413" s="712">
        <f>WWWW[[#This Row],['#_Constructed/existing protected hand dug well]]-WWWW[[#This Row],['#_Non-functional protected hand dug well]]</f>
        <v>0</v>
      </c>
      <c r="BU413" s="712">
        <f>(WWWW[[#This Row],['#_Constructed/Existing tube wells/boreholes/handpumps_WASH_agency]]+WWWW[[#This Row],['#_Non-Cluster partner water tube-wells/boreholes/handpumps]])-WWWW[[#This Row],['#_Non-functional tube wells/boreholes/handpumps]]</f>
        <v>0</v>
      </c>
      <c r="BV413" s="712">
        <f>WWWW[[#This Row],['#_Constructed/Existingwater storage tank with gravity fed reticulation system]]-WWWW[[#This Row],['#_Non-functional storage tank gravity fed reticulation system]]</f>
        <v>0</v>
      </c>
      <c r="BW413" s="712">
        <f>WWWW[[#This Row],['#_Water boating or water trucking]]</f>
        <v>0</v>
      </c>
      <c r="BX413" s="712">
        <f>WWWW[[#This Row],['#_Constructed/Existing water distribution system from river or natural spring]]</f>
        <v>0</v>
      </c>
      <c r="BY41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3" s="710">
        <f>IF(WWWW[[#This Row],[Location Type 1]]="Village",WWWW[[#This Row],[Access to safe drinking water for Village]],WWWW[[#This Row],[Access to safe drinking water for Camp]])</f>
        <v>0</v>
      </c>
      <c r="CB413" s="708">
        <f>WWWW[[#This Row],[%Equitable and continuous access to sufficient quantity of safe drinking water]]*WWWW[[#This Row],[Total PoP ]]</f>
        <v>0</v>
      </c>
      <c r="CC413" s="710">
        <f>IF((WWWW[[#This Row],['#_Constructed/Existing protected/fenced ponds]]*250)/WWWW[[#This Row],[Total PoP ]]&gt;1,1,(WWWW[[#This Row],['#_Constructed/Existing protected/fenced ponds]]*250)/WWWW[[#This Row],[Total PoP ]])</f>
        <v>0</v>
      </c>
      <c r="CD413" s="708">
        <f>WWWW[[#This Row],[% Access to unimproved water points]]*WWWW[[#This Row],[Total PoP ]]</f>
        <v>0</v>
      </c>
      <c r="CE41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3" s="708">
        <f>WWWW[[#This Row],[HRP1]]/500</f>
        <v>0</v>
      </c>
      <c r="CH413" s="714">
        <f>1-WWWW[[#This Row],[% Equitable and continuous access to sufficient quantity of domestic water]]</f>
        <v>1</v>
      </c>
      <c r="CI413" s="708">
        <f>WWWW[[#This Row],[%equitable and continuous access to sufficient quantity of safe drinking and domestic water''s GAP]]*WWWW[[#This Row],[Total PoP ]]</f>
        <v>154</v>
      </c>
      <c r="CJ413" s="712">
        <f>IF(WWWW[[#This Row],[Total required water points]]-WWWW[[#This Row],['#Water points coverage]]&lt;0,0,WWWW[[#This Row],[Total required water points]]-WWWW[[#This Row],['#Water points coverage]])</f>
        <v>1</v>
      </c>
      <c r="CK413" s="712">
        <f>ROUND(IF(WWWW[[#This Row],[Total PoP ]]&lt;500,1,WWWW[[#This Row],[Total PoP ]]/500),0)</f>
        <v>1</v>
      </c>
      <c r="CL413" s="712">
        <f>(WWWW[[#This Row],['#_Constructed latrines_by_WASHAgencies]]+WWWW[[#This Row],['#_Non Cluster partner latrines]])-WWWW[[#This Row],['#_Non-functional latrines]]</f>
        <v>0</v>
      </c>
      <c r="CM41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3" s="712">
        <f>IF(WWWW[[#This Row],[Location Type 1]]="Village","NA",IF(WWWW[[#This Row],['#_Constructed/Existing latrines in TLS]]*50&gt;WWWW[[#This Row],['#_students at TLS_CFS]],WWWW[[#This Row],['#_students at TLS_CFS]],(WWWW[[#This Row],['#_Constructed/Existing latrines in TLS]]*50)))</f>
        <v>0</v>
      </c>
      <c r="CQ413" s="712">
        <f>ROUND(IF(WWWW[[#This Row],[Location Type 1]]="camp",WWWW[[#This Row],[Total PoP ]]/20,IF(WWWW[[#This Row],[Location Type 1]]="Temporary Location",WWWW[[#This Row],[Total PoP ]]/50,(WWWW[[#This Row],[Total PoP ]]/6))),0)</f>
        <v>3</v>
      </c>
      <c r="CR413" s="712">
        <f>IF(WWWW[[#This Row],[Total required Latrines]]-(WWWW[[#This Row],['#_Constructed latrines_by_WASHAgencies]]+WWWW[[#This Row],['#_Non Cluster partner latrines]])&lt;0,0,WWWW[[#This Row],[Total required Latrines]]-(WWWW[[#This Row],['#_Constructed latrines_by_WASHAgencies]]+WWWW[[#This Row],['#_Non Cluster partner latrines]]))</f>
        <v>3</v>
      </c>
      <c r="CS413" s="716">
        <f>1-WWWW[[#This Row],[% people access to functioning Latrine]]</f>
        <v>1</v>
      </c>
      <c r="CT413" s="713">
        <f>IF(OR(WWWW[[#This Row],['#_Non-functional latrines]]="",WWWW[[#This Row],['#_Non-functional latrines]]=0),0,WWWW[[#This Row],['#_Non-functional latrines]]/(WWWW[[#This Row],['#_Constructed latrines_by_WASHAgencies]]+WWWW[[#This Row],['#_Non Cluster partner latrines]]))</f>
        <v>0</v>
      </c>
      <c r="CU413" s="708">
        <f>IF(500*(WWWW[[#This Row],['#_male hygiene promoters]]+WWWW[[#This Row],['#_female hygiene promoters]])&gt;WWWW[[#This Row],[Total PoP ]],WWWW[[#This Row],[Total PoP ]],500*(WWWW[[#This Row],['#_male hygiene promoters]]+WWWW[[#This Row],['#_female hygiene promoters]]))</f>
        <v>0</v>
      </c>
      <c r="CV41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3" s="712">
        <f>IF(WWWW[[#This Row],['# People with access to soap]]&gt;WWWW[[#This Row],['# People with access to Sanity Pads]],WWWW[[#This Row],['# People with access to soap]],WWWW[[#This Row],['# People with access to Sanity Pads]])</f>
        <v>0</v>
      </c>
      <c r="CY41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3" s="714">
        <f>IF(WWWW[[#This Row],[HRP3]]/WWWW[[#This Row],[Total PoP ]]&gt;100%,100%,WWWW[[#This Row],[HRP3]]/WWWW[[#This Row],[Total PoP ]])</f>
        <v>0</v>
      </c>
      <c r="DA413" s="713">
        <f>1-WWWW[[#This Row],[Hygiene Coverage%]]</f>
        <v>1</v>
      </c>
      <c r="DB413" s="710">
        <f>WWWW[[#This Row],['# people reached by regular dedicated hygiene promotion_5]]/WWWW[[#This Row],[Total PoP ]]</f>
        <v>0</v>
      </c>
      <c r="DC413" s="710">
        <f>IF(WWWW[[#This Row],['#_households that received standard amount of soap for this quarter]]/WWWW[[#This Row],[Total HH]]&gt;1,1,WWWW[[#This Row],['#_households that received standard amount of soap for this quarter]]/WWWW[[#This Row],[Total HH]])</f>
        <v>0</v>
      </c>
      <c r="DD413" s="710">
        <f>IF(WWWW[[#This Row],['#_households that received standard amount of sanitary pads for this quarter]]/WWWW[[#This Row],[Total HH]]&gt;1,1,WWWW[[#This Row],['#_households that received standard amount of sanitary pads for this quarter]]/WWWW[[#This Row],[Total HH]])</f>
        <v>0</v>
      </c>
      <c r="DE413" s="712">
        <f>WWWW[[#This Row],['#_Constructed/Existing hand washing stations]]-WWWW[[#This Row],['#_Non-Functional_hand_washing_stations]]</f>
        <v>0</v>
      </c>
      <c r="DF413" s="757">
        <f>IF(WWWW[[#This Row],['# Functional hand washing stations during reporting period]]*20&gt;WWWW[[#This Row],[Total HH]],WWWW[[#This Row],[Total HH]],WWWW[[#This Row],['# Functional hand washing stations during reporting period]]*20)</f>
        <v>0</v>
      </c>
      <c r="DG413" s="708">
        <f>IF(WWWW[[#This Row],[Is sufficient soap available for TLS? (Yes/No)]]="yes",WWWW[[#This Row],['#_Constructed/Existing hand washing stations at TLS]],0)</f>
        <v>0</v>
      </c>
      <c r="DH413" s="585">
        <f>IF(WWWW[[#This Row],['# Functional hand washing stations during reporting period]]*100&gt;WWWW[[#This Row],[Total PoP ]],WWWW[[#This Row],[Total PoP ]],WWWW[[#This Row],['# Functional hand washing stations during reporting period]]*100)</f>
        <v>0</v>
      </c>
      <c r="DI413" s="585" t="str">
        <f>IF(OR(WWWW[[#This Row],['#_students at TLS_CFS]]="",WWWW[[#This Row],['#_students at TLS_CFS]]=0),"No","Yes")</f>
        <v>No</v>
      </c>
      <c r="DJ413" s="711">
        <f>VLOOKUP(WWWW[[#This Row],[Site Name]],SiteDB6[[Site Name]:[CCCM Management]],6,FALSE)</f>
        <v>0</v>
      </c>
      <c r="DK413" s="711">
        <f>VLOOKUP(WWWW[[#This Row],[Site Name]],SiteDB6[[Site Name]:[CCCM Focal Agency]],7,FALSE)</f>
        <v>0</v>
      </c>
      <c r="DL413" s="711" t="str">
        <f>VLOOKUP(WWWW[[#This Row],[Site Name]],SiteDB6[[Site Name]:[Location Type 1]],9,FALSE)</f>
        <v>Temporary location</v>
      </c>
      <c r="DM413" s="711" t="str">
        <f>VLOOKUP(WWWW[[#This Row],[Site Name]],SiteDB6[[Site Name]:[Type of Accommodation]],10,FALSE)</f>
        <v>Temporary location</v>
      </c>
      <c r="DN413" s="711">
        <f>VLOOKUP(WWWW[[#This Row],[Site Name]],SiteDB6[[Site Name]:[Ethnic or GCA/NGCA]],11,FALSE)</f>
        <v>0</v>
      </c>
      <c r="DO413" s="711">
        <f>VLOOKUP(WWWW[[#This Row],[Site Name]],SiteDB6[[Site Name]:[Lat]],12,FALSE)</f>
        <v>20.718429565429702</v>
      </c>
      <c r="DP413" s="711">
        <f>VLOOKUP(WWWW[[#This Row],[Site Name]],SiteDB6[[Site Name]:[Long]],13,FALSE)</f>
        <v>93.059432983398395</v>
      </c>
      <c r="DQ413" s="711">
        <f>VLOOKUP(WWWW[[#This Row],[Site Name]],SiteDB6[[Site Name]:[Pcode]],3,FALSE)</f>
        <v>196645</v>
      </c>
      <c r="DR413" s="709" t="str">
        <f t="shared" si="13"/>
        <v>Notcovered</v>
      </c>
      <c r="DS413" s="709"/>
      <c r="DV413" s="572"/>
    </row>
    <row r="414" spans="1:126">
      <c r="A414" s="552" t="s">
        <v>2518</v>
      </c>
      <c r="B414" s="701" t="s">
        <v>3205</v>
      </c>
      <c r="C414" s="701" t="s">
        <v>3205</v>
      </c>
      <c r="D414" s="702"/>
      <c r="E414" s="703" t="s">
        <v>3006</v>
      </c>
      <c r="F414" s="702" t="s">
        <v>489</v>
      </c>
      <c r="G414" s="704" t="str">
        <f>VLOOKUP(WWWW[[#This Row],[Site Name]],SiteDB6[[Site Name]:[Location Type]],8,FALSE)</f>
        <v>New Temporary Site</v>
      </c>
      <c r="H414" s="702" t="s">
        <v>3158</v>
      </c>
      <c r="I414" s="705">
        <v>250</v>
      </c>
      <c r="J414" s="705">
        <v>981</v>
      </c>
      <c r="K414" s="706"/>
      <c r="L414" s="707"/>
      <c r="M414" s="705"/>
      <c r="N414" s="705"/>
      <c r="O414" s="705"/>
      <c r="P414" s="705"/>
      <c r="Q414" s="708"/>
      <c r="R414" s="705"/>
      <c r="S414" s="705"/>
      <c r="T414" s="312"/>
      <c r="U414" s="705"/>
      <c r="V414" s="705"/>
      <c r="W414" s="705"/>
      <c r="X414" s="705"/>
      <c r="Y414" s="705"/>
      <c r="Z414" s="705"/>
      <c r="AA414" s="705"/>
      <c r="AB414" s="705"/>
      <c r="AC414" s="705"/>
      <c r="AD414" s="705"/>
      <c r="AE414" s="705"/>
      <c r="AF414" s="705"/>
      <c r="AG414" s="705"/>
      <c r="AH414" s="705"/>
      <c r="AI414" s="705"/>
      <c r="AJ414" s="705"/>
      <c r="AK414" s="705"/>
      <c r="AL414" s="705"/>
      <c r="AM414" s="705"/>
      <c r="AN414" s="705"/>
      <c r="AO414" s="709"/>
      <c r="AP414" s="705">
        <v>5</v>
      </c>
      <c r="AQ414" s="705"/>
      <c r="AR414" s="710"/>
      <c r="AS414" s="705"/>
      <c r="AT414" s="705"/>
      <c r="AU414" s="705"/>
      <c r="AV414" s="705"/>
      <c r="AW414" s="705"/>
      <c r="AX414" s="711"/>
      <c r="AY414" s="709"/>
      <c r="AZ414" s="705"/>
      <c r="BA414" s="705"/>
      <c r="BB414" s="705"/>
      <c r="BC414" s="711"/>
      <c r="BD414" s="705"/>
      <c r="BE414" s="705"/>
      <c r="BF414" s="705"/>
      <c r="BG414" s="705"/>
      <c r="BH414" s="705"/>
      <c r="BI414" s="705"/>
      <c r="BJ414" s="705"/>
      <c r="BK414" s="705"/>
      <c r="BL414" s="705"/>
      <c r="BM414" s="711"/>
      <c r="BN414" s="712"/>
      <c r="BO414" s="710"/>
      <c r="BP414" s="711"/>
      <c r="BQ414" s="713" t="str">
        <f>IFERROR(WWWW[[#This Row],['#_Water sources treated]]/WWWW[[#This Row],['#_Water sources tested for contamination]],"no test")</f>
        <v>no test</v>
      </c>
      <c r="BR414" s="710" t="str">
        <f>IFERROR(WWWW[[#This Row],['#_Household received remediation action due to contamination]]/WWWW[[#This Row],['#_Household water samples tested for contamination]],"no test")</f>
        <v>no test</v>
      </c>
      <c r="BS414" s="712" t="str">
        <f>IF(AND(WWWW[[#This Row],[% of water sources treated]]="no test",WWWW[[#This Row],[% Household received corrective actions]]="no test"),"No Test","Tested")</f>
        <v>No Test</v>
      </c>
      <c r="BT414" s="712">
        <f>WWWW[[#This Row],['#_Constructed/existing protected hand dug well]]-WWWW[[#This Row],['#_Non-functional protected hand dug well]]</f>
        <v>0</v>
      </c>
      <c r="BU414" s="712">
        <f>(WWWW[[#This Row],['#_Constructed/Existing tube wells/boreholes/handpumps_WASH_agency]]+WWWW[[#This Row],['#_Non-Cluster partner water tube-wells/boreholes/handpumps]])-WWWW[[#This Row],['#_Non-functional tube wells/boreholes/handpumps]]</f>
        <v>0</v>
      </c>
      <c r="BV414" s="712">
        <f>WWWW[[#This Row],['#_Constructed/Existingwater storage tank with gravity fed reticulation system]]-WWWW[[#This Row],['#_Non-functional storage tank gravity fed reticulation system]]</f>
        <v>0</v>
      </c>
      <c r="BW414" s="712">
        <f>WWWW[[#This Row],['#_Water boating or water trucking]]</f>
        <v>0</v>
      </c>
      <c r="BX414" s="712">
        <f>WWWW[[#This Row],['#_Constructed/Existing water distribution system from river or natural spring]]</f>
        <v>0</v>
      </c>
      <c r="BY41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4" s="710">
        <f>IF(WWWW[[#This Row],[Location Type 1]]="Village",WWWW[[#This Row],[Access to safe drinking water for Village]],WWWW[[#This Row],[Access to safe drinking water for Camp]])</f>
        <v>0</v>
      </c>
      <c r="CB414" s="708">
        <f>WWWW[[#This Row],[%Equitable and continuous access to sufficient quantity of safe drinking water]]*WWWW[[#This Row],[Total PoP ]]</f>
        <v>0</v>
      </c>
      <c r="CC414" s="710">
        <f>IF((WWWW[[#This Row],['#_Constructed/Existing protected/fenced ponds]]*250)/WWWW[[#This Row],[Total PoP ]]&gt;1,1,(WWWW[[#This Row],['#_Constructed/Existing protected/fenced ponds]]*250)/WWWW[[#This Row],[Total PoP ]])</f>
        <v>0</v>
      </c>
      <c r="CD414" s="708">
        <f>WWWW[[#This Row],[% Access to unimproved water points]]*WWWW[[#This Row],[Total PoP ]]</f>
        <v>0</v>
      </c>
      <c r="CE41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4" s="708">
        <f>WWWW[[#This Row],[HRP1]]/500</f>
        <v>0</v>
      </c>
      <c r="CH414" s="714">
        <f>1-WWWW[[#This Row],[% Equitable and continuous access to sufficient quantity of domestic water]]</f>
        <v>1</v>
      </c>
      <c r="CI414" s="708">
        <f>WWWW[[#This Row],[%equitable and continuous access to sufficient quantity of safe drinking and domestic water''s GAP]]*WWWW[[#This Row],[Total PoP ]]</f>
        <v>981</v>
      </c>
      <c r="CJ414" s="712">
        <f>IF(WWWW[[#This Row],[Total required water points]]-WWWW[[#This Row],['#Water points coverage]]&lt;0,0,WWWW[[#This Row],[Total required water points]]-WWWW[[#This Row],['#Water points coverage]])</f>
        <v>2</v>
      </c>
      <c r="CK414" s="712">
        <f>ROUND(IF(WWWW[[#This Row],[Total PoP ]]&lt;500,1,WWWW[[#This Row],[Total PoP ]]/500),0)</f>
        <v>2</v>
      </c>
      <c r="CL414" s="712">
        <f>(WWWW[[#This Row],['#_Constructed latrines_by_WASHAgencies]]+WWWW[[#This Row],['#_Non Cluster partner latrines]])-WWWW[[#This Row],['#_Non-functional latrines]]</f>
        <v>5</v>
      </c>
      <c r="CM41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0.254841997961264</v>
      </c>
      <c r="CN41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250</v>
      </c>
      <c r="CO41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4" s="712">
        <f>IF(WWWW[[#This Row],[Location Type 1]]="Village","NA",IF(WWWW[[#This Row],['#_Constructed/Existing latrines in TLS]]*50&gt;WWWW[[#This Row],['#_students at TLS_CFS]],WWWW[[#This Row],['#_students at TLS_CFS]],(WWWW[[#This Row],['#_Constructed/Existing latrines in TLS]]*50)))</f>
        <v>0</v>
      </c>
      <c r="CQ414" s="712">
        <f>ROUND(IF(WWWW[[#This Row],[Location Type 1]]="camp",WWWW[[#This Row],[Total PoP ]]/20,IF(WWWW[[#This Row],[Location Type 1]]="Temporary Location",WWWW[[#This Row],[Total PoP ]]/50,(WWWW[[#This Row],[Total PoP ]]/6))),0)</f>
        <v>20</v>
      </c>
      <c r="CR414" s="712">
        <f>IF(WWWW[[#This Row],[Total required Latrines]]-(WWWW[[#This Row],['#_Constructed latrines_by_WASHAgencies]]+WWWW[[#This Row],['#_Non Cluster partner latrines]])&lt;0,0,WWWW[[#This Row],[Total required Latrines]]-(WWWW[[#This Row],['#_Constructed latrines_by_WASHAgencies]]+WWWW[[#This Row],['#_Non Cluster partner latrines]]))</f>
        <v>15</v>
      </c>
      <c r="CS414" s="716">
        <f>1-WWWW[[#This Row],[% people access to functioning Latrine]]</f>
        <v>0.74515800203873606</v>
      </c>
      <c r="CT414" s="713">
        <f>IF(OR(WWWW[[#This Row],['#_Non-functional latrines]]="",WWWW[[#This Row],['#_Non-functional latrines]]=0),0,WWWW[[#This Row],['#_Non-functional latrines]]/(WWWW[[#This Row],['#_Constructed latrines_by_WASHAgencies]]+WWWW[[#This Row],['#_Non Cluster partner latrines]]))</f>
        <v>0</v>
      </c>
      <c r="CU414" s="708">
        <f>IF(500*(WWWW[[#This Row],['#_male hygiene promoters]]+WWWW[[#This Row],['#_female hygiene promoters]])&gt;WWWW[[#This Row],[Total PoP ]],WWWW[[#This Row],[Total PoP ]],500*(WWWW[[#This Row],['#_male hygiene promoters]]+WWWW[[#This Row],['#_female hygiene promoters]]))</f>
        <v>0</v>
      </c>
      <c r="CV41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4" s="712">
        <f>IF(WWWW[[#This Row],['# People with access to soap]]&gt;WWWW[[#This Row],['# People with access to Sanity Pads]],WWWW[[#This Row],['# People with access to soap]],WWWW[[#This Row],['# People with access to Sanity Pads]])</f>
        <v>0</v>
      </c>
      <c r="CY41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4" s="714">
        <f>IF(WWWW[[#This Row],[HRP3]]/WWWW[[#This Row],[Total PoP ]]&gt;100%,100%,WWWW[[#This Row],[HRP3]]/WWWW[[#This Row],[Total PoP ]])</f>
        <v>0</v>
      </c>
      <c r="DA414" s="713">
        <f>1-WWWW[[#This Row],[Hygiene Coverage%]]</f>
        <v>1</v>
      </c>
      <c r="DB414" s="710">
        <f>WWWW[[#This Row],['# people reached by regular dedicated hygiene promotion_5]]/WWWW[[#This Row],[Total PoP ]]</f>
        <v>0</v>
      </c>
      <c r="DC414" s="710">
        <f>IF(WWWW[[#This Row],['#_households that received standard amount of soap for this quarter]]/WWWW[[#This Row],[Total HH]]&gt;1,1,WWWW[[#This Row],['#_households that received standard amount of soap for this quarter]]/WWWW[[#This Row],[Total HH]])</f>
        <v>0</v>
      </c>
      <c r="DD414" s="710">
        <f>IF(WWWW[[#This Row],['#_households that received standard amount of sanitary pads for this quarter]]/WWWW[[#This Row],[Total HH]]&gt;1,1,WWWW[[#This Row],['#_households that received standard amount of sanitary pads for this quarter]]/WWWW[[#This Row],[Total HH]])</f>
        <v>0</v>
      </c>
      <c r="DE414" s="712">
        <f>WWWW[[#This Row],['#_Constructed/Existing hand washing stations]]-WWWW[[#This Row],['#_Non-Functional_hand_washing_stations]]</f>
        <v>0</v>
      </c>
      <c r="DF414" s="757">
        <f>IF(WWWW[[#This Row],['# Functional hand washing stations during reporting period]]*20&gt;WWWW[[#This Row],[Total HH]],WWWW[[#This Row],[Total HH]],WWWW[[#This Row],['# Functional hand washing stations during reporting period]]*20)</f>
        <v>0</v>
      </c>
      <c r="DG414" s="708">
        <f>IF(WWWW[[#This Row],[Is sufficient soap available for TLS? (Yes/No)]]="yes",WWWW[[#This Row],['#_Constructed/Existing hand washing stations at TLS]],0)</f>
        <v>0</v>
      </c>
      <c r="DH414" s="585">
        <f>IF(WWWW[[#This Row],['# Functional hand washing stations during reporting period]]*100&gt;WWWW[[#This Row],[Total PoP ]],WWWW[[#This Row],[Total PoP ]],WWWW[[#This Row],['# Functional hand washing stations during reporting period]]*100)</f>
        <v>0</v>
      </c>
      <c r="DI414" s="585" t="str">
        <f>IF(OR(WWWW[[#This Row],['#_students at TLS_CFS]]="",WWWW[[#This Row],['#_students at TLS_CFS]]=0),"No","Yes")</f>
        <v>No</v>
      </c>
      <c r="DJ414" s="711">
        <f>VLOOKUP(WWWW[[#This Row],[Site Name]],SiteDB6[[Site Name]:[CCCM Management]],6,FALSE)</f>
        <v>0</v>
      </c>
      <c r="DK414" s="711">
        <f>VLOOKUP(WWWW[[#This Row],[Site Name]],SiteDB6[[Site Name]:[CCCM Focal Agency]],7,FALSE)</f>
        <v>0</v>
      </c>
      <c r="DL414" s="711" t="str">
        <f>VLOOKUP(WWWW[[#This Row],[Site Name]],SiteDB6[[Site Name]:[Location Type 1]],9,FALSE)</f>
        <v>Temporary location</v>
      </c>
      <c r="DM414" s="711" t="str">
        <f>VLOOKUP(WWWW[[#This Row],[Site Name]],SiteDB6[[Site Name]:[Type of Accommodation]],10,FALSE)</f>
        <v>Temporary location</v>
      </c>
      <c r="DN414" s="711">
        <f>VLOOKUP(WWWW[[#This Row],[Site Name]],SiteDB6[[Site Name]:[Ethnic or GCA/NGCA]],11,FALSE)</f>
        <v>0</v>
      </c>
      <c r="DO414" s="711">
        <f>VLOOKUP(WWWW[[#This Row],[Site Name]],SiteDB6[[Site Name]:[Lat]],12,FALSE)</f>
        <v>0</v>
      </c>
      <c r="DP414" s="711">
        <f>VLOOKUP(WWWW[[#This Row],[Site Name]],SiteDB6[[Site Name]:[Long]],13,FALSE)</f>
        <v>0</v>
      </c>
      <c r="DQ414" s="711">
        <f>VLOOKUP(WWWW[[#This Row],[Site Name]],SiteDB6[[Site Name]:[Pcode]],3,FALSE)</f>
        <v>0</v>
      </c>
      <c r="DR414" s="709" t="str">
        <f t="shared" si="13"/>
        <v>Covered</v>
      </c>
      <c r="DS414" s="709"/>
      <c r="DV414" s="572"/>
    </row>
    <row r="415" spans="1:126">
      <c r="A415" s="552" t="s">
        <v>2518</v>
      </c>
      <c r="B415" s="808" t="s">
        <v>317</v>
      </c>
      <c r="C415" s="808" t="s">
        <v>317</v>
      </c>
      <c r="D415" s="702"/>
      <c r="E415" s="703" t="s">
        <v>3006</v>
      </c>
      <c r="F415" s="702" t="s">
        <v>489</v>
      </c>
      <c r="G415" s="704" t="str">
        <f>VLOOKUP(WWWW[[#This Row],[Site Name]],SiteDB6[[Site Name]:[Location Type]],8,FALSE)</f>
        <v>New Temporary Site</v>
      </c>
      <c r="H415" s="702" t="s">
        <v>3148</v>
      </c>
      <c r="I415" s="705">
        <v>31</v>
      </c>
      <c r="J415" s="705">
        <v>151</v>
      </c>
      <c r="K415" s="706"/>
      <c r="L415" s="707"/>
      <c r="M415" s="705"/>
      <c r="N415" s="705"/>
      <c r="O415" s="705"/>
      <c r="P415" s="705"/>
      <c r="Q415" s="708"/>
      <c r="R415" s="705"/>
      <c r="S415" s="705"/>
      <c r="T415" s="312"/>
      <c r="U415" s="705"/>
      <c r="V415" s="705"/>
      <c r="W415" s="705"/>
      <c r="X415" s="705"/>
      <c r="Y415" s="705"/>
      <c r="Z415" s="705"/>
      <c r="AA415" s="705"/>
      <c r="AB415" s="705"/>
      <c r="AC415" s="705"/>
      <c r="AD415" s="705"/>
      <c r="AE415" s="705"/>
      <c r="AF415" s="705"/>
      <c r="AG415" s="705"/>
      <c r="AH415" s="705"/>
      <c r="AI415" s="705"/>
      <c r="AJ415" s="705"/>
      <c r="AK415" s="705"/>
      <c r="AL415" s="705"/>
      <c r="AM415" s="705"/>
      <c r="AN415" s="705"/>
      <c r="AO415" s="709"/>
      <c r="AP415" s="705"/>
      <c r="AQ415" s="705"/>
      <c r="AR415" s="710"/>
      <c r="AS415" s="705"/>
      <c r="AT415" s="705"/>
      <c r="AU415" s="705"/>
      <c r="AV415" s="705"/>
      <c r="AW415" s="705"/>
      <c r="AX415" s="711"/>
      <c r="AY415" s="709"/>
      <c r="AZ415" s="705"/>
      <c r="BA415" s="705"/>
      <c r="BB415" s="705"/>
      <c r="BC415" s="711"/>
      <c r="BD415" s="705"/>
      <c r="BE415" s="705"/>
      <c r="BF415" s="705"/>
      <c r="BG415" s="705"/>
      <c r="BH415" s="705"/>
      <c r="BI415" s="705"/>
      <c r="BJ415" s="705"/>
      <c r="BK415" s="705"/>
      <c r="BL415" s="705"/>
      <c r="BM415" s="711"/>
      <c r="BN415" s="712"/>
      <c r="BO415" s="710"/>
      <c r="BP415" s="711"/>
      <c r="BQ415" s="713" t="str">
        <f>IFERROR(WWWW[[#This Row],['#_Water sources treated]]/WWWW[[#This Row],['#_Water sources tested for contamination]],"no test")</f>
        <v>no test</v>
      </c>
      <c r="BR415" s="710" t="str">
        <f>IFERROR(WWWW[[#This Row],['#_Household received remediation action due to contamination]]/WWWW[[#This Row],['#_Household water samples tested for contamination]],"no test")</f>
        <v>no test</v>
      </c>
      <c r="BS415" s="712" t="str">
        <f>IF(AND(WWWW[[#This Row],[% of water sources treated]]="no test",WWWW[[#This Row],[% Household received corrective actions]]="no test"),"No Test","Tested")</f>
        <v>No Test</v>
      </c>
      <c r="BT415" s="712">
        <f>WWWW[[#This Row],['#_Constructed/existing protected hand dug well]]-WWWW[[#This Row],['#_Non-functional protected hand dug well]]</f>
        <v>0</v>
      </c>
      <c r="BU415" s="712">
        <f>(WWWW[[#This Row],['#_Constructed/Existing tube wells/boreholes/handpumps_WASH_agency]]+WWWW[[#This Row],['#_Non-Cluster partner water tube-wells/boreholes/handpumps]])-WWWW[[#This Row],['#_Non-functional tube wells/boreholes/handpumps]]</f>
        <v>0</v>
      </c>
      <c r="BV415" s="712">
        <f>WWWW[[#This Row],['#_Constructed/Existingwater storage tank with gravity fed reticulation system]]-WWWW[[#This Row],['#_Non-functional storage tank gravity fed reticulation system]]</f>
        <v>0</v>
      </c>
      <c r="BW415" s="712">
        <f>WWWW[[#This Row],['#_Water boating or water trucking]]</f>
        <v>0</v>
      </c>
      <c r="BX415" s="712">
        <f>WWWW[[#This Row],['#_Constructed/Existing water distribution system from river or natural spring]]</f>
        <v>0</v>
      </c>
      <c r="BY41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5" s="710">
        <f>IF(WWWW[[#This Row],[Location Type 1]]="Village",WWWW[[#This Row],[Access to safe drinking water for Village]],WWWW[[#This Row],[Access to safe drinking water for Camp]])</f>
        <v>0</v>
      </c>
      <c r="CB415" s="708">
        <f>WWWW[[#This Row],[%Equitable and continuous access to sufficient quantity of safe drinking water]]*WWWW[[#This Row],[Total PoP ]]</f>
        <v>0</v>
      </c>
      <c r="CC415" s="710">
        <f>IF((WWWW[[#This Row],['#_Constructed/Existing protected/fenced ponds]]*250)/WWWW[[#This Row],[Total PoP ]]&gt;1,1,(WWWW[[#This Row],['#_Constructed/Existing protected/fenced ponds]]*250)/WWWW[[#This Row],[Total PoP ]])</f>
        <v>0</v>
      </c>
      <c r="CD415" s="708">
        <f>WWWW[[#This Row],[% Access to unimproved water points]]*WWWW[[#This Row],[Total PoP ]]</f>
        <v>0</v>
      </c>
      <c r="CE41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5" s="708">
        <f>WWWW[[#This Row],[HRP1]]/500</f>
        <v>0</v>
      </c>
      <c r="CH415" s="714">
        <f>1-WWWW[[#This Row],[% Equitable and continuous access to sufficient quantity of domestic water]]</f>
        <v>1</v>
      </c>
      <c r="CI415" s="708">
        <f>WWWW[[#This Row],[%equitable and continuous access to sufficient quantity of safe drinking and domestic water''s GAP]]*WWWW[[#This Row],[Total PoP ]]</f>
        <v>151</v>
      </c>
      <c r="CJ415" s="712">
        <f>IF(WWWW[[#This Row],[Total required water points]]-WWWW[[#This Row],['#Water points coverage]]&lt;0,0,WWWW[[#This Row],[Total required water points]]-WWWW[[#This Row],['#Water points coverage]])</f>
        <v>1</v>
      </c>
      <c r="CK415" s="712">
        <f>ROUND(IF(WWWW[[#This Row],[Total PoP ]]&lt;500,1,WWWW[[#This Row],[Total PoP ]]/500),0)</f>
        <v>1</v>
      </c>
      <c r="CL415" s="712">
        <f>(WWWW[[#This Row],['#_Constructed latrines_by_WASHAgencies]]+WWWW[[#This Row],['#_Non Cluster partner latrines]])-WWWW[[#This Row],['#_Non-functional latrines]]</f>
        <v>0</v>
      </c>
      <c r="CM41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5" s="712">
        <f>IF(WWWW[[#This Row],[Location Type 1]]="Village","NA",IF(WWWW[[#This Row],['#_Constructed/Existing latrines in TLS]]*50&gt;WWWW[[#This Row],['#_students at TLS_CFS]],WWWW[[#This Row],['#_students at TLS_CFS]],(WWWW[[#This Row],['#_Constructed/Existing latrines in TLS]]*50)))</f>
        <v>0</v>
      </c>
      <c r="CQ415" s="712">
        <f>ROUND(IF(WWWW[[#This Row],[Location Type 1]]="camp",WWWW[[#This Row],[Total PoP ]]/20,IF(WWWW[[#This Row],[Location Type 1]]="Temporary Location",WWWW[[#This Row],[Total PoP ]]/50,(WWWW[[#This Row],[Total PoP ]]/6))),0)</f>
        <v>3</v>
      </c>
      <c r="CR415" s="712">
        <f>IF(WWWW[[#This Row],[Total required Latrines]]-(WWWW[[#This Row],['#_Constructed latrines_by_WASHAgencies]]+WWWW[[#This Row],['#_Non Cluster partner latrines]])&lt;0,0,WWWW[[#This Row],[Total required Latrines]]-(WWWW[[#This Row],['#_Constructed latrines_by_WASHAgencies]]+WWWW[[#This Row],['#_Non Cluster partner latrines]]))</f>
        <v>3</v>
      </c>
      <c r="CS415" s="716">
        <f>1-WWWW[[#This Row],[% people access to functioning Latrine]]</f>
        <v>1</v>
      </c>
      <c r="CT415" s="713">
        <f>IF(OR(WWWW[[#This Row],['#_Non-functional latrines]]="",WWWW[[#This Row],['#_Non-functional latrines]]=0),0,WWWW[[#This Row],['#_Non-functional latrines]]/(WWWW[[#This Row],['#_Constructed latrines_by_WASHAgencies]]+WWWW[[#This Row],['#_Non Cluster partner latrines]]))</f>
        <v>0</v>
      </c>
      <c r="CU415" s="708">
        <f>IF(500*(WWWW[[#This Row],['#_male hygiene promoters]]+WWWW[[#This Row],['#_female hygiene promoters]])&gt;WWWW[[#This Row],[Total PoP ]],WWWW[[#This Row],[Total PoP ]],500*(WWWW[[#This Row],['#_male hygiene promoters]]+WWWW[[#This Row],['#_female hygiene promoters]]))</f>
        <v>0</v>
      </c>
      <c r="CV41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5" s="712">
        <f>IF(WWWW[[#This Row],['# People with access to soap]]&gt;WWWW[[#This Row],['# People with access to Sanity Pads]],WWWW[[#This Row],['# People with access to soap]],WWWW[[#This Row],['# People with access to Sanity Pads]])</f>
        <v>0</v>
      </c>
      <c r="CY41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5" s="714">
        <f>IF(WWWW[[#This Row],[HRP3]]/WWWW[[#This Row],[Total PoP ]]&gt;100%,100%,WWWW[[#This Row],[HRP3]]/WWWW[[#This Row],[Total PoP ]])</f>
        <v>0</v>
      </c>
      <c r="DA415" s="713">
        <f>1-WWWW[[#This Row],[Hygiene Coverage%]]</f>
        <v>1</v>
      </c>
      <c r="DB415" s="710">
        <f>WWWW[[#This Row],['# people reached by regular dedicated hygiene promotion_5]]/WWWW[[#This Row],[Total PoP ]]</f>
        <v>0</v>
      </c>
      <c r="DC415" s="710">
        <f>IF(WWWW[[#This Row],['#_households that received standard amount of soap for this quarter]]/WWWW[[#This Row],[Total HH]]&gt;1,1,WWWW[[#This Row],['#_households that received standard amount of soap for this quarter]]/WWWW[[#This Row],[Total HH]])</f>
        <v>0</v>
      </c>
      <c r="DD415" s="710">
        <f>IF(WWWW[[#This Row],['#_households that received standard amount of sanitary pads for this quarter]]/WWWW[[#This Row],[Total HH]]&gt;1,1,WWWW[[#This Row],['#_households that received standard amount of sanitary pads for this quarter]]/WWWW[[#This Row],[Total HH]])</f>
        <v>0</v>
      </c>
      <c r="DE415" s="712">
        <f>WWWW[[#This Row],['#_Constructed/Existing hand washing stations]]-WWWW[[#This Row],['#_Non-Functional_hand_washing_stations]]</f>
        <v>0</v>
      </c>
      <c r="DF415" s="757">
        <f>IF(WWWW[[#This Row],['# Functional hand washing stations during reporting period]]*20&gt;WWWW[[#This Row],[Total HH]],WWWW[[#This Row],[Total HH]],WWWW[[#This Row],['# Functional hand washing stations during reporting period]]*20)</f>
        <v>0</v>
      </c>
      <c r="DG415" s="708">
        <f>IF(WWWW[[#This Row],[Is sufficient soap available for TLS? (Yes/No)]]="yes",WWWW[[#This Row],['#_Constructed/Existing hand washing stations at TLS]],0)</f>
        <v>0</v>
      </c>
      <c r="DH415" s="585">
        <f>IF(WWWW[[#This Row],['# Functional hand washing stations during reporting period]]*100&gt;WWWW[[#This Row],[Total PoP ]],WWWW[[#This Row],[Total PoP ]],WWWW[[#This Row],['# Functional hand washing stations during reporting period]]*100)</f>
        <v>0</v>
      </c>
      <c r="DI415" s="585" t="str">
        <f>IF(OR(WWWW[[#This Row],['#_students at TLS_CFS]]="",WWWW[[#This Row],['#_students at TLS_CFS]]=0),"No","Yes")</f>
        <v>No</v>
      </c>
      <c r="DJ415" s="711">
        <f>VLOOKUP(WWWW[[#This Row],[Site Name]],SiteDB6[[Site Name]:[CCCM Management]],6,FALSE)</f>
        <v>0</v>
      </c>
      <c r="DK415" s="711">
        <f>VLOOKUP(WWWW[[#This Row],[Site Name]],SiteDB6[[Site Name]:[CCCM Focal Agency]],7,FALSE)</f>
        <v>0</v>
      </c>
      <c r="DL415" s="711" t="str">
        <f>VLOOKUP(WWWW[[#This Row],[Site Name]],SiteDB6[[Site Name]:[Location Type 1]],9,FALSE)</f>
        <v>Temporary location</v>
      </c>
      <c r="DM415" s="711" t="str">
        <f>VLOOKUP(WWWW[[#This Row],[Site Name]],SiteDB6[[Site Name]:[Type of Accommodation]],10,FALSE)</f>
        <v>Temporary location</v>
      </c>
      <c r="DN415" s="711">
        <f>VLOOKUP(WWWW[[#This Row],[Site Name]],SiteDB6[[Site Name]:[Ethnic or GCA/NGCA]],11,FALSE)</f>
        <v>0</v>
      </c>
      <c r="DO415" s="711">
        <f>VLOOKUP(WWWW[[#This Row],[Site Name]],SiteDB6[[Site Name]:[Lat]],12,FALSE)</f>
        <v>20.648319244384801</v>
      </c>
      <c r="DP415" s="711">
        <f>VLOOKUP(WWWW[[#This Row],[Site Name]],SiteDB6[[Site Name]:[Long]],13,FALSE)</f>
        <v>93.085273742675795</v>
      </c>
      <c r="DQ415" s="711">
        <f>VLOOKUP(WWWW[[#This Row],[Site Name]],SiteDB6[[Site Name]:[Pcode]],3,FALSE)</f>
        <v>196626</v>
      </c>
      <c r="DR415" s="709" t="str">
        <f t="shared" si="13"/>
        <v>Notcovered</v>
      </c>
      <c r="DS415" s="709"/>
      <c r="DV415" s="572"/>
    </row>
    <row r="416" spans="1:126">
      <c r="A416" s="552" t="s">
        <v>2518</v>
      </c>
      <c r="B416" s="701" t="s">
        <v>3143</v>
      </c>
      <c r="C416" s="701" t="s">
        <v>3143</v>
      </c>
      <c r="D416" s="702"/>
      <c r="E416" s="703" t="s">
        <v>3006</v>
      </c>
      <c r="F416" s="702" t="s">
        <v>489</v>
      </c>
      <c r="G416" s="704" t="str">
        <f>VLOOKUP(WWWW[[#This Row],[Site Name]],SiteDB6[[Site Name]:[Location Type]],8,FALSE)</f>
        <v>New Temporary Site</v>
      </c>
      <c r="H416" s="702" t="s">
        <v>3145</v>
      </c>
      <c r="I416" s="705">
        <v>12</v>
      </c>
      <c r="J416" s="705">
        <v>62</v>
      </c>
      <c r="K416" s="706"/>
      <c r="L416" s="707"/>
      <c r="M416" s="705"/>
      <c r="N416" s="705"/>
      <c r="O416" s="705"/>
      <c r="P416" s="705"/>
      <c r="Q416" s="708"/>
      <c r="R416" s="705"/>
      <c r="S416" s="705"/>
      <c r="T416" s="312"/>
      <c r="U416" s="705"/>
      <c r="V416" s="705"/>
      <c r="W416" s="705"/>
      <c r="X416" s="705"/>
      <c r="Y416" s="705"/>
      <c r="Z416" s="705"/>
      <c r="AA416" s="705"/>
      <c r="AB416" s="705"/>
      <c r="AC416" s="705"/>
      <c r="AD416" s="705"/>
      <c r="AE416" s="705"/>
      <c r="AF416" s="705"/>
      <c r="AG416" s="705"/>
      <c r="AH416" s="705"/>
      <c r="AI416" s="705"/>
      <c r="AJ416" s="705"/>
      <c r="AK416" s="705"/>
      <c r="AL416" s="705"/>
      <c r="AM416" s="705"/>
      <c r="AN416" s="705"/>
      <c r="AO416" s="709"/>
      <c r="AP416" s="705">
        <v>1</v>
      </c>
      <c r="AQ416" s="705"/>
      <c r="AR416" s="710"/>
      <c r="AS416" s="705"/>
      <c r="AT416" s="705"/>
      <c r="AU416" s="705"/>
      <c r="AV416" s="705"/>
      <c r="AW416" s="705"/>
      <c r="AX416" s="711"/>
      <c r="AY416" s="709"/>
      <c r="AZ416" s="705"/>
      <c r="BA416" s="705"/>
      <c r="BB416" s="705"/>
      <c r="BC416" s="711"/>
      <c r="BD416" s="705"/>
      <c r="BE416" s="705"/>
      <c r="BF416" s="705"/>
      <c r="BG416" s="705"/>
      <c r="BH416" s="705"/>
      <c r="BI416" s="705"/>
      <c r="BJ416" s="705"/>
      <c r="BK416" s="705"/>
      <c r="BL416" s="705"/>
      <c r="BM416" s="711"/>
      <c r="BN416" s="712"/>
      <c r="BO416" s="710"/>
      <c r="BP416" s="711"/>
      <c r="BQ416" s="713" t="str">
        <f>IFERROR(WWWW[[#This Row],['#_Water sources treated]]/WWWW[[#This Row],['#_Water sources tested for contamination]],"no test")</f>
        <v>no test</v>
      </c>
      <c r="BR416" s="710" t="str">
        <f>IFERROR(WWWW[[#This Row],['#_Household received remediation action due to contamination]]/WWWW[[#This Row],['#_Household water samples tested for contamination]],"no test")</f>
        <v>no test</v>
      </c>
      <c r="BS416" s="712" t="str">
        <f>IF(AND(WWWW[[#This Row],[% of water sources treated]]="no test",WWWW[[#This Row],[% Household received corrective actions]]="no test"),"No Test","Tested")</f>
        <v>No Test</v>
      </c>
      <c r="BT416" s="712">
        <f>WWWW[[#This Row],['#_Constructed/existing protected hand dug well]]-WWWW[[#This Row],['#_Non-functional protected hand dug well]]</f>
        <v>0</v>
      </c>
      <c r="BU416" s="712">
        <f>(WWWW[[#This Row],['#_Constructed/Existing tube wells/boreholes/handpumps_WASH_agency]]+WWWW[[#This Row],['#_Non-Cluster partner water tube-wells/boreholes/handpumps]])-WWWW[[#This Row],['#_Non-functional tube wells/boreholes/handpumps]]</f>
        <v>0</v>
      </c>
      <c r="BV416" s="712">
        <f>WWWW[[#This Row],['#_Constructed/Existingwater storage tank with gravity fed reticulation system]]-WWWW[[#This Row],['#_Non-functional storage tank gravity fed reticulation system]]</f>
        <v>0</v>
      </c>
      <c r="BW416" s="712">
        <f>WWWW[[#This Row],['#_Water boating or water trucking]]</f>
        <v>0</v>
      </c>
      <c r="BX416" s="712">
        <f>WWWW[[#This Row],['#_Constructed/Existing water distribution system from river or natural spring]]</f>
        <v>0</v>
      </c>
      <c r="BY41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6" s="710">
        <f>IF(WWWW[[#This Row],[Location Type 1]]="Village",WWWW[[#This Row],[Access to safe drinking water for Village]],WWWW[[#This Row],[Access to safe drinking water for Camp]])</f>
        <v>0</v>
      </c>
      <c r="CB416" s="708">
        <f>WWWW[[#This Row],[%Equitable and continuous access to sufficient quantity of safe drinking water]]*WWWW[[#This Row],[Total PoP ]]</f>
        <v>0</v>
      </c>
      <c r="CC416" s="710">
        <f>IF((WWWW[[#This Row],['#_Constructed/Existing protected/fenced ponds]]*250)/WWWW[[#This Row],[Total PoP ]]&gt;1,1,(WWWW[[#This Row],['#_Constructed/Existing protected/fenced ponds]]*250)/WWWW[[#This Row],[Total PoP ]])</f>
        <v>0</v>
      </c>
      <c r="CD416" s="708">
        <f>WWWW[[#This Row],[% Access to unimproved water points]]*WWWW[[#This Row],[Total PoP ]]</f>
        <v>0</v>
      </c>
      <c r="CE41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6" s="708">
        <f>WWWW[[#This Row],[HRP1]]/500</f>
        <v>0</v>
      </c>
      <c r="CH416" s="714">
        <f>1-WWWW[[#This Row],[% Equitable and continuous access to sufficient quantity of domestic water]]</f>
        <v>1</v>
      </c>
      <c r="CI416" s="708">
        <f>WWWW[[#This Row],[%equitable and continuous access to sufficient quantity of safe drinking and domestic water''s GAP]]*WWWW[[#This Row],[Total PoP ]]</f>
        <v>62</v>
      </c>
      <c r="CJ416" s="712">
        <f>IF(WWWW[[#This Row],[Total required water points]]-WWWW[[#This Row],['#Water points coverage]]&lt;0,0,WWWW[[#This Row],[Total required water points]]-WWWW[[#This Row],['#Water points coverage]])</f>
        <v>1</v>
      </c>
      <c r="CK416" s="712">
        <f>ROUND(IF(WWWW[[#This Row],[Total PoP ]]&lt;500,1,WWWW[[#This Row],[Total PoP ]]/500),0)</f>
        <v>1</v>
      </c>
      <c r="CL416" s="712">
        <f>(WWWW[[#This Row],['#_Constructed latrines_by_WASHAgencies]]+WWWW[[#This Row],['#_Non Cluster partner latrines]])-WWWW[[#This Row],['#_Non-functional latrines]]</f>
        <v>1</v>
      </c>
      <c r="CM41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0.80645161290322576</v>
      </c>
      <c r="CN41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50</v>
      </c>
      <c r="CO41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6" s="712">
        <f>IF(WWWW[[#This Row],[Location Type 1]]="Village","NA",IF(WWWW[[#This Row],['#_Constructed/Existing latrines in TLS]]*50&gt;WWWW[[#This Row],['#_students at TLS_CFS]],WWWW[[#This Row],['#_students at TLS_CFS]],(WWWW[[#This Row],['#_Constructed/Existing latrines in TLS]]*50)))</f>
        <v>0</v>
      </c>
      <c r="CQ416" s="712">
        <f>ROUND(IF(WWWW[[#This Row],[Location Type 1]]="camp",WWWW[[#This Row],[Total PoP ]]/20,IF(WWWW[[#This Row],[Location Type 1]]="Temporary Location",WWWW[[#This Row],[Total PoP ]]/50,(WWWW[[#This Row],[Total PoP ]]/6))),0)</f>
        <v>1</v>
      </c>
      <c r="CR416" s="712">
        <f>IF(WWWW[[#This Row],[Total required Latrines]]-(WWWW[[#This Row],['#_Constructed latrines_by_WASHAgencies]]+WWWW[[#This Row],['#_Non Cluster partner latrines]])&lt;0,0,WWWW[[#This Row],[Total required Latrines]]-(WWWW[[#This Row],['#_Constructed latrines_by_WASHAgencies]]+WWWW[[#This Row],['#_Non Cluster partner latrines]]))</f>
        <v>0</v>
      </c>
      <c r="CS416" s="716">
        <f>1-WWWW[[#This Row],[% people access to functioning Latrine]]</f>
        <v>0.19354838709677424</v>
      </c>
      <c r="CT416" s="713">
        <f>IF(OR(WWWW[[#This Row],['#_Non-functional latrines]]="",WWWW[[#This Row],['#_Non-functional latrines]]=0),0,WWWW[[#This Row],['#_Non-functional latrines]]/(WWWW[[#This Row],['#_Constructed latrines_by_WASHAgencies]]+WWWW[[#This Row],['#_Non Cluster partner latrines]]))</f>
        <v>0</v>
      </c>
      <c r="CU416" s="708">
        <f>IF(500*(WWWW[[#This Row],['#_male hygiene promoters]]+WWWW[[#This Row],['#_female hygiene promoters]])&gt;WWWW[[#This Row],[Total PoP ]],WWWW[[#This Row],[Total PoP ]],500*(WWWW[[#This Row],['#_male hygiene promoters]]+WWWW[[#This Row],['#_female hygiene promoters]]))</f>
        <v>0</v>
      </c>
      <c r="CV41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6" s="712">
        <f>IF(WWWW[[#This Row],['# People with access to soap]]&gt;WWWW[[#This Row],['# People with access to Sanity Pads]],WWWW[[#This Row],['# People with access to soap]],WWWW[[#This Row],['# People with access to Sanity Pads]])</f>
        <v>0</v>
      </c>
      <c r="CY41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6" s="714">
        <f>IF(WWWW[[#This Row],[HRP3]]/WWWW[[#This Row],[Total PoP ]]&gt;100%,100%,WWWW[[#This Row],[HRP3]]/WWWW[[#This Row],[Total PoP ]])</f>
        <v>0</v>
      </c>
      <c r="DA416" s="713">
        <f>1-WWWW[[#This Row],[Hygiene Coverage%]]</f>
        <v>1</v>
      </c>
      <c r="DB416" s="710">
        <f>WWWW[[#This Row],['# people reached by regular dedicated hygiene promotion_5]]/WWWW[[#This Row],[Total PoP ]]</f>
        <v>0</v>
      </c>
      <c r="DC416" s="710">
        <f>IF(WWWW[[#This Row],['#_households that received standard amount of soap for this quarter]]/WWWW[[#This Row],[Total HH]]&gt;1,1,WWWW[[#This Row],['#_households that received standard amount of soap for this quarter]]/WWWW[[#This Row],[Total HH]])</f>
        <v>0</v>
      </c>
      <c r="DD416" s="710">
        <f>IF(WWWW[[#This Row],['#_households that received standard amount of sanitary pads for this quarter]]/WWWW[[#This Row],[Total HH]]&gt;1,1,WWWW[[#This Row],['#_households that received standard amount of sanitary pads for this quarter]]/WWWW[[#This Row],[Total HH]])</f>
        <v>0</v>
      </c>
      <c r="DE416" s="712">
        <f>WWWW[[#This Row],['#_Constructed/Existing hand washing stations]]-WWWW[[#This Row],['#_Non-Functional_hand_washing_stations]]</f>
        <v>0</v>
      </c>
      <c r="DF416" s="757">
        <f>IF(WWWW[[#This Row],['# Functional hand washing stations during reporting period]]*20&gt;WWWW[[#This Row],[Total HH]],WWWW[[#This Row],[Total HH]],WWWW[[#This Row],['# Functional hand washing stations during reporting period]]*20)</f>
        <v>0</v>
      </c>
      <c r="DG416" s="708">
        <f>IF(WWWW[[#This Row],[Is sufficient soap available for TLS? (Yes/No)]]="yes",WWWW[[#This Row],['#_Constructed/Existing hand washing stations at TLS]],0)</f>
        <v>0</v>
      </c>
      <c r="DH416" s="585">
        <f>IF(WWWW[[#This Row],['# Functional hand washing stations during reporting period]]*100&gt;WWWW[[#This Row],[Total PoP ]],WWWW[[#This Row],[Total PoP ]],WWWW[[#This Row],['# Functional hand washing stations during reporting period]]*100)</f>
        <v>0</v>
      </c>
      <c r="DI416" s="585" t="str">
        <f>IF(OR(WWWW[[#This Row],['#_students at TLS_CFS]]="",WWWW[[#This Row],['#_students at TLS_CFS]]=0),"No","Yes")</f>
        <v>No</v>
      </c>
      <c r="DJ416" s="711">
        <f>VLOOKUP(WWWW[[#This Row],[Site Name]],SiteDB6[[Site Name]:[CCCM Management]],6,FALSE)</f>
        <v>0</v>
      </c>
      <c r="DK416" s="711">
        <f>VLOOKUP(WWWW[[#This Row],[Site Name]],SiteDB6[[Site Name]:[CCCM Focal Agency]],7,FALSE)</f>
        <v>0</v>
      </c>
      <c r="DL416" s="711" t="str">
        <f>VLOOKUP(WWWW[[#This Row],[Site Name]],SiteDB6[[Site Name]:[Location Type 1]],9,FALSE)</f>
        <v>Temporary location</v>
      </c>
      <c r="DM416" s="711" t="str">
        <f>VLOOKUP(WWWW[[#This Row],[Site Name]],SiteDB6[[Site Name]:[Type of Accommodation]],10,FALSE)</f>
        <v>Temporary location</v>
      </c>
      <c r="DN416" s="711">
        <f>VLOOKUP(WWWW[[#This Row],[Site Name]],SiteDB6[[Site Name]:[Ethnic or GCA/NGCA]],11,FALSE)</f>
        <v>0</v>
      </c>
      <c r="DO416" s="711">
        <f>VLOOKUP(WWWW[[#This Row],[Site Name]],SiteDB6[[Site Name]:[Lat]],12,FALSE)</f>
        <v>0</v>
      </c>
      <c r="DP416" s="711">
        <f>VLOOKUP(WWWW[[#This Row],[Site Name]],SiteDB6[[Site Name]:[Long]],13,FALSE)</f>
        <v>0</v>
      </c>
      <c r="DQ416" s="711">
        <f>VLOOKUP(WWWW[[#This Row],[Site Name]],SiteDB6[[Site Name]:[Pcode]],3,FALSE)</f>
        <v>0</v>
      </c>
      <c r="DR416" s="709" t="str">
        <f t="shared" si="13"/>
        <v>Covered</v>
      </c>
      <c r="DS416" s="709"/>
      <c r="DV416" s="572"/>
    </row>
    <row r="417" spans="1:126">
      <c r="A417" s="552" t="s">
        <v>2518</v>
      </c>
      <c r="B417" s="808" t="s">
        <v>317</v>
      </c>
      <c r="C417" s="808" t="s">
        <v>317</v>
      </c>
      <c r="D417" s="702"/>
      <c r="E417" s="703" t="s">
        <v>3006</v>
      </c>
      <c r="F417" s="702" t="s">
        <v>489</v>
      </c>
      <c r="G417" s="704" t="str">
        <f>VLOOKUP(WWWW[[#This Row],[Site Name]],SiteDB6[[Site Name]:[Location Type]],8,FALSE)</f>
        <v>New Temporary Site</v>
      </c>
      <c r="H417" s="702" t="s">
        <v>3147</v>
      </c>
      <c r="I417" s="705">
        <v>261</v>
      </c>
      <c r="J417" s="705">
        <v>798</v>
      </c>
      <c r="K417" s="706"/>
      <c r="L417" s="707"/>
      <c r="M417" s="705"/>
      <c r="N417" s="705"/>
      <c r="O417" s="705"/>
      <c r="P417" s="705"/>
      <c r="Q417" s="708"/>
      <c r="R417" s="705"/>
      <c r="S417" s="705"/>
      <c r="T417" s="312"/>
      <c r="U417" s="705"/>
      <c r="V417" s="705"/>
      <c r="W417" s="705"/>
      <c r="X417" s="705"/>
      <c r="Y417" s="705"/>
      <c r="Z417" s="705"/>
      <c r="AA417" s="705"/>
      <c r="AB417" s="705"/>
      <c r="AC417" s="705"/>
      <c r="AD417" s="705"/>
      <c r="AE417" s="705"/>
      <c r="AF417" s="705"/>
      <c r="AG417" s="705"/>
      <c r="AH417" s="705"/>
      <c r="AI417" s="705"/>
      <c r="AJ417" s="705"/>
      <c r="AK417" s="705"/>
      <c r="AL417" s="705"/>
      <c r="AM417" s="705"/>
      <c r="AN417" s="705"/>
      <c r="AO417" s="709"/>
      <c r="AP417" s="705"/>
      <c r="AQ417" s="705"/>
      <c r="AR417" s="710"/>
      <c r="AS417" s="705"/>
      <c r="AT417" s="705"/>
      <c r="AU417" s="705"/>
      <c r="AV417" s="705"/>
      <c r="AW417" s="705"/>
      <c r="AX417" s="711"/>
      <c r="AY417" s="709"/>
      <c r="AZ417" s="705"/>
      <c r="BA417" s="705"/>
      <c r="BB417" s="705"/>
      <c r="BC417" s="711"/>
      <c r="BD417" s="705"/>
      <c r="BE417" s="705"/>
      <c r="BF417" s="705"/>
      <c r="BG417" s="705"/>
      <c r="BH417" s="705"/>
      <c r="BI417" s="705"/>
      <c r="BJ417" s="705"/>
      <c r="BK417" s="705"/>
      <c r="BL417" s="705"/>
      <c r="BM417" s="711"/>
      <c r="BN417" s="712"/>
      <c r="BO417" s="710"/>
      <c r="BP417" s="711"/>
      <c r="BQ417" s="713" t="str">
        <f>IFERROR(WWWW[[#This Row],['#_Water sources treated]]/WWWW[[#This Row],['#_Water sources tested for contamination]],"no test")</f>
        <v>no test</v>
      </c>
      <c r="BR417" s="710" t="str">
        <f>IFERROR(WWWW[[#This Row],['#_Household received remediation action due to contamination]]/WWWW[[#This Row],['#_Household water samples tested for contamination]],"no test")</f>
        <v>no test</v>
      </c>
      <c r="BS417" s="712" t="str">
        <f>IF(AND(WWWW[[#This Row],[% of water sources treated]]="no test",WWWW[[#This Row],[% Household received corrective actions]]="no test"),"No Test","Tested")</f>
        <v>No Test</v>
      </c>
      <c r="BT417" s="712">
        <f>WWWW[[#This Row],['#_Constructed/existing protected hand dug well]]-WWWW[[#This Row],['#_Non-functional protected hand dug well]]</f>
        <v>0</v>
      </c>
      <c r="BU417" s="712">
        <f>(WWWW[[#This Row],['#_Constructed/Existing tube wells/boreholes/handpumps_WASH_agency]]+WWWW[[#This Row],['#_Non-Cluster partner water tube-wells/boreholes/handpumps]])-WWWW[[#This Row],['#_Non-functional tube wells/boreholes/handpumps]]</f>
        <v>0</v>
      </c>
      <c r="BV417" s="712">
        <f>WWWW[[#This Row],['#_Constructed/Existingwater storage tank with gravity fed reticulation system]]-WWWW[[#This Row],['#_Non-functional storage tank gravity fed reticulation system]]</f>
        <v>0</v>
      </c>
      <c r="BW417" s="712">
        <f>WWWW[[#This Row],['#_Water boating or water trucking]]</f>
        <v>0</v>
      </c>
      <c r="BX417" s="712">
        <f>WWWW[[#This Row],['#_Constructed/Existing water distribution system from river or natural spring]]</f>
        <v>0</v>
      </c>
      <c r="BY41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7" s="710">
        <f>IF(WWWW[[#This Row],[Location Type 1]]="Village",WWWW[[#This Row],[Access to safe drinking water for Village]],WWWW[[#This Row],[Access to safe drinking water for Camp]])</f>
        <v>0</v>
      </c>
      <c r="CB417" s="708">
        <f>WWWW[[#This Row],[%Equitable and continuous access to sufficient quantity of safe drinking water]]*WWWW[[#This Row],[Total PoP ]]</f>
        <v>0</v>
      </c>
      <c r="CC417" s="710">
        <f>IF((WWWW[[#This Row],['#_Constructed/Existing protected/fenced ponds]]*250)/WWWW[[#This Row],[Total PoP ]]&gt;1,1,(WWWW[[#This Row],['#_Constructed/Existing protected/fenced ponds]]*250)/WWWW[[#This Row],[Total PoP ]])</f>
        <v>0</v>
      </c>
      <c r="CD417" s="708">
        <f>WWWW[[#This Row],[% Access to unimproved water points]]*WWWW[[#This Row],[Total PoP ]]</f>
        <v>0</v>
      </c>
      <c r="CE41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7" s="708">
        <f>WWWW[[#This Row],[HRP1]]/500</f>
        <v>0</v>
      </c>
      <c r="CH417" s="714">
        <f>1-WWWW[[#This Row],[% Equitable and continuous access to sufficient quantity of domestic water]]</f>
        <v>1</v>
      </c>
      <c r="CI417" s="708">
        <f>WWWW[[#This Row],[%equitable and continuous access to sufficient quantity of safe drinking and domestic water''s GAP]]*WWWW[[#This Row],[Total PoP ]]</f>
        <v>798</v>
      </c>
      <c r="CJ417" s="712">
        <f>IF(WWWW[[#This Row],[Total required water points]]-WWWW[[#This Row],['#Water points coverage]]&lt;0,0,WWWW[[#This Row],[Total required water points]]-WWWW[[#This Row],['#Water points coverage]])</f>
        <v>2</v>
      </c>
      <c r="CK417" s="712">
        <f>ROUND(IF(WWWW[[#This Row],[Total PoP ]]&lt;500,1,WWWW[[#This Row],[Total PoP ]]/500),0)</f>
        <v>2</v>
      </c>
      <c r="CL417" s="712">
        <f>(WWWW[[#This Row],['#_Constructed latrines_by_WASHAgencies]]+WWWW[[#This Row],['#_Non Cluster partner latrines]])-WWWW[[#This Row],['#_Non-functional latrines]]</f>
        <v>0</v>
      </c>
      <c r="CM41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7" s="712">
        <f>IF(WWWW[[#This Row],[Location Type 1]]="Village","NA",IF(WWWW[[#This Row],['#_Constructed/Existing latrines in TLS]]*50&gt;WWWW[[#This Row],['#_students at TLS_CFS]],WWWW[[#This Row],['#_students at TLS_CFS]],(WWWW[[#This Row],['#_Constructed/Existing latrines in TLS]]*50)))</f>
        <v>0</v>
      </c>
      <c r="CQ417" s="712">
        <f>ROUND(IF(WWWW[[#This Row],[Location Type 1]]="camp",WWWW[[#This Row],[Total PoP ]]/20,IF(WWWW[[#This Row],[Location Type 1]]="Temporary Location",WWWW[[#This Row],[Total PoP ]]/50,(WWWW[[#This Row],[Total PoP ]]/6))),0)</f>
        <v>16</v>
      </c>
      <c r="CR417" s="712">
        <f>IF(WWWW[[#This Row],[Total required Latrines]]-(WWWW[[#This Row],['#_Constructed latrines_by_WASHAgencies]]+WWWW[[#This Row],['#_Non Cluster partner latrines]])&lt;0,0,WWWW[[#This Row],[Total required Latrines]]-(WWWW[[#This Row],['#_Constructed latrines_by_WASHAgencies]]+WWWW[[#This Row],['#_Non Cluster partner latrines]]))</f>
        <v>16</v>
      </c>
      <c r="CS417" s="716">
        <f>1-WWWW[[#This Row],[% people access to functioning Latrine]]</f>
        <v>1</v>
      </c>
      <c r="CT417" s="713">
        <f>IF(OR(WWWW[[#This Row],['#_Non-functional latrines]]="",WWWW[[#This Row],['#_Non-functional latrines]]=0),0,WWWW[[#This Row],['#_Non-functional latrines]]/(WWWW[[#This Row],['#_Constructed latrines_by_WASHAgencies]]+WWWW[[#This Row],['#_Non Cluster partner latrines]]))</f>
        <v>0</v>
      </c>
      <c r="CU417" s="708">
        <f>IF(500*(WWWW[[#This Row],['#_male hygiene promoters]]+WWWW[[#This Row],['#_female hygiene promoters]])&gt;WWWW[[#This Row],[Total PoP ]],WWWW[[#This Row],[Total PoP ]],500*(WWWW[[#This Row],['#_male hygiene promoters]]+WWWW[[#This Row],['#_female hygiene promoters]]))</f>
        <v>0</v>
      </c>
      <c r="CV41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7" s="712">
        <f>IF(WWWW[[#This Row],['# People with access to soap]]&gt;WWWW[[#This Row],['# People with access to Sanity Pads]],WWWW[[#This Row],['# People with access to soap]],WWWW[[#This Row],['# People with access to Sanity Pads]])</f>
        <v>0</v>
      </c>
      <c r="CY41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7" s="714">
        <f>IF(WWWW[[#This Row],[HRP3]]/WWWW[[#This Row],[Total PoP ]]&gt;100%,100%,WWWW[[#This Row],[HRP3]]/WWWW[[#This Row],[Total PoP ]])</f>
        <v>0</v>
      </c>
      <c r="DA417" s="713">
        <f>1-WWWW[[#This Row],[Hygiene Coverage%]]</f>
        <v>1</v>
      </c>
      <c r="DB417" s="710">
        <f>WWWW[[#This Row],['# people reached by regular dedicated hygiene promotion_5]]/WWWW[[#This Row],[Total PoP ]]</f>
        <v>0</v>
      </c>
      <c r="DC417" s="710">
        <f>IF(WWWW[[#This Row],['#_households that received standard amount of soap for this quarter]]/WWWW[[#This Row],[Total HH]]&gt;1,1,WWWW[[#This Row],['#_households that received standard amount of soap for this quarter]]/WWWW[[#This Row],[Total HH]])</f>
        <v>0</v>
      </c>
      <c r="DD417" s="710">
        <f>IF(WWWW[[#This Row],['#_households that received standard amount of sanitary pads for this quarter]]/WWWW[[#This Row],[Total HH]]&gt;1,1,WWWW[[#This Row],['#_households that received standard amount of sanitary pads for this quarter]]/WWWW[[#This Row],[Total HH]])</f>
        <v>0</v>
      </c>
      <c r="DE417" s="712">
        <f>WWWW[[#This Row],['#_Constructed/Existing hand washing stations]]-WWWW[[#This Row],['#_Non-Functional_hand_washing_stations]]</f>
        <v>0</v>
      </c>
      <c r="DF417" s="757">
        <f>IF(WWWW[[#This Row],['# Functional hand washing stations during reporting period]]*20&gt;WWWW[[#This Row],[Total HH]],WWWW[[#This Row],[Total HH]],WWWW[[#This Row],['# Functional hand washing stations during reporting period]]*20)</f>
        <v>0</v>
      </c>
      <c r="DG417" s="708">
        <f>IF(WWWW[[#This Row],[Is sufficient soap available for TLS? (Yes/No)]]="yes",WWWW[[#This Row],['#_Constructed/Existing hand washing stations at TLS]],0)</f>
        <v>0</v>
      </c>
      <c r="DH417" s="585">
        <f>IF(WWWW[[#This Row],['# Functional hand washing stations during reporting period]]*100&gt;WWWW[[#This Row],[Total PoP ]],WWWW[[#This Row],[Total PoP ]],WWWW[[#This Row],['# Functional hand washing stations during reporting period]]*100)</f>
        <v>0</v>
      </c>
      <c r="DI417" s="585" t="str">
        <f>IF(OR(WWWW[[#This Row],['#_students at TLS_CFS]]="",WWWW[[#This Row],['#_students at TLS_CFS]]=0),"No","Yes")</f>
        <v>No</v>
      </c>
      <c r="DJ417" s="711">
        <f>VLOOKUP(WWWW[[#This Row],[Site Name]],SiteDB6[[Site Name]:[CCCM Management]],6,FALSE)</f>
        <v>0</v>
      </c>
      <c r="DK417" s="711">
        <f>VLOOKUP(WWWW[[#This Row],[Site Name]],SiteDB6[[Site Name]:[CCCM Focal Agency]],7,FALSE)</f>
        <v>0</v>
      </c>
      <c r="DL417" s="711" t="str">
        <f>VLOOKUP(WWWW[[#This Row],[Site Name]],SiteDB6[[Site Name]:[Location Type 1]],9,FALSE)</f>
        <v>Temporary location</v>
      </c>
      <c r="DM417" s="711" t="str">
        <f>VLOOKUP(WWWW[[#This Row],[Site Name]],SiteDB6[[Site Name]:[Type of Accommodation]],10,FALSE)</f>
        <v>Temporary location</v>
      </c>
      <c r="DN417" s="711">
        <f>VLOOKUP(WWWW[[#This Row],[Site Name]],SiteDB6[[Site Name]:[Ethnic or GCA/NGCA]],11,FALSE)</f>
        <v>0</v>
      </c>
      <c r="DO417" s="711">
        <f>VLOOKUP(WWWW[[#This Row],[Site Name]],SiteDB6[[Site Name]:[Lat]],12,FALSE)</f>
        <v>20.675979614257798</v>
      </c>
      <c r="DP417" s="711">
        <f>VLOOKUP(WWWW[[#This Row],[Site Name]],SiteDB6[[Site Name]:[Long]],13,FALSE)</f>
        <v>93.098922729492202</v>
      </c>
      <c r="DQ417" s="711">
        <f>VLOOKUP(WWWW[[#This Row],[Site Name]],SiteDB6[[Site Name]:[Pcode]],3,FALSE)</f>
        <v>196621</v>
      </c>
      <c r="DR417" s="709" t="str">
        <f t="shared" si="13"/>
        <v>Notcovered</v>
      </c>
      <c r="DS417" s="709"/>
      <c r="DV417" s="572"/>
    </row>
    <row r="418" spans="1:126">
      <c r="A418" s="552" t="s">
        <v>2518</v>
      </c>
      <c r="B418" s="701" t="s">
        <v>2864</v>
      </c>
      <c r="C418" s="701" t="s">
        <v>2864</v>
      </c>
      <c r="D418" s="702"/>
      <c r="E418" s="703" t="s">
        <v>3006</v>
      </c>
      <c r="F418" s="702" t="s">
        <v>489</v>
      </c>
      <c r="G418" s="704" t="str">
        <f>VLOOKUP(WWWW[[#This Row],[Site Name]],SiteDB6[[Site Name]:[Location Type]],8,FALSE)</f>
        <v>New Temporary Site</v>
      </c>
      <c r="H418" s="702" t="s">
        <v>3203</v>
      </c>
      <c r="I418" s="705">
        <v>36</v>
      </c>
      <c r="J418" s="705">
        <v>140</v>
      </c>
      <c r="K418" s="706"/>
      <c r="L418" s="707"/>
      <c r="M418" s="705"/>
      <c r="N418" s="705"/>
      <c r="O418" s="705"/>
      <c r="P418" s="705"/>
      <c r="Q418" s="708"/>
      <c r="R418" s="705"/>
      <c r="S418" s="705"/>
      <c r="T418" s="312"/>
      <c r="U418" s="705"/>
      <c r="V418" s="705"/>
      <c r="W418" s="705"/>
      <c r="X418" s="705"/>
      <c r="Y418" s="705"/>
      <c r="Z418" s="705"/>
      <c r="AA418" s="705"/>
      <c r="AB418" s="705"/>
      <c r="AC418" s="705"/>
      <c r="AD418" s="705"/>
      <c r="AE418" s="705"/>
      <c r="AF418" s="705"/>
      <c r="AG418" s="705"/>
      <c r="AH418" s="705"/>
      <c r="AI418" s="705"/>
      <c r="AJ418" s="705"/>
      <c r="AK418" s="705"/>
      <c r="AL418" s="705"/>
      <c r="AM418" s="705"/>
      <c r="AN418" s="705"/>
      <c r="AO418" s="709"/>
      <c r="AP418" s="705"/>
      <c r="AQ418" s="705"/>
      <c r="AR418" s="710"/>
      <c r="AS418" s="705"/>
      <c r="AT418" s="705"/>
      <c r="AU418" s="705"/>
      <c r="AV418" s="705"/>
      <c r="AW418" s="705"/>
      <c r="AX418" s="711"/>
      <c r="AY418" s="709"/>
      <c r="AZ418" s="705"/>
      <c r="BA418" s="705"/>
      <c r="BB418" s="705"/>
      <c r="BC418" s="711"/>
      <c r="BD418" s="705"/>
      <c r="BE418" s="705"/>
      <c r="BF418" s="705"/>
      <c r="BG418" s="705"/>
      <c r="BH418" s="705"/>
      <c r="BI418" s="705"/>
      <c r="BJ418" s="705"/>
      <c r="BK418" s="705">
        <v>36</v>
      </c>
      <c r="BL418" s="705">
        <v>36</v>
      </c>
      <c r="BM418" s="711"/>
      <c r="BN418" s="712"/>
      <c r="BO418" s="710"/>
      <c r="BP418" s="711"/>
      <c r="BQ418" s="713" t="str">
        <f>IFERROR(WWWW[[#This Row],['#_Water sources treated]]/WWWW[[#This Row],['#_Water sources tested for contamination]],"no test")</f>
        <v>no test</v>
      </c>
      <c r="BR418" s="710" t="str">
        <f>IFERROR(WWWW[[#This Row],['#_Household received remediation action due to contamination]]/WWWW[[#This Row],['#_Household water samples tested for contamination]],"no test")</f>
        <v>no test</v>
      </c>
      <c r="BS418" s="712" t="str">
        <f>IF(AND(WWWW[[#This Row],[% of water sources treated]]="no test",WWWW[[#This Row],[% Household received corrective actions]]="no test"),"No Test","Tested")</f>
        <v>No Test</v>
      </c>
      <c r="BT418" s="712">
        <f>WWWW[[#This Row],['#_Constructed/existing protected hand dug well]]-WWWW[[#This Row],['#_Non-functional protected hand dug well]]</f>
        <v>0</v>
      </c>
      <c r="BU418" s="712">
        <f>(WWWW[[#This Row],['#_Constructed/Existing tube wells/boreholes/handpumps_WASH_agency]]+WWWW[[#This Row],['#_Non-Cluster partner water tube-wells/boreholes/handpumps]])-WWWW[[#This Row],['#_Non-functional tube wells/boreholes/handpumps]]</f>
        <v>0</v>
      </c>
      <c r="BV418" s="712">
        <f>WWWW[[#This Row],['#_Constructed/Existingwater storage tank with gravity fed reticulation system]]-WWWW[[#This Row],['#_Non-functional storage tank gravity fed reticulation system]]</f>
        <v>0</v>
      </c>
      <c r="BW418" s="712">
        <f>WWWW[[#This Row],['#_Water boating or water trucking]]</f>
        <v>0</v>
      </c>
      <c r="BX418" s="712">
        <f>WWWW[[#This Row],['#_Constructed/Existing water distribution system from river or natural spring]]</f>
        <v>0</v>
      </c>
      <c r="BY41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8" s="710">
        <f>IF(WWWW[[#This Row],[Location Type 1]]="Village",WWWW[[#This Row],[Access to safe drinking water for Village]],WWWW[[#This Row],[Access to safe drinking water for Camp]])</f>
        <v>0</v>
      </c>
      <c r="CB418" s="708">
        <f>WWWW[[#This Row],[%Equitable and continuous access to sufficient quantity of safe drinking water]]*WWWW[[#This Row],[Total PoP ]]</f>
        <v>0</v>
      </c>
      <c r="CC418" s="710">
        <f>IF((WWWW[[#This Row],['#_Constructed/Existing protected/fenced ponds]]*250)/WWWW[[#This Row],[Total PoP ]]&gt;1,1,(WWWW[[#This Row],['#_Constructed/Existing protected/fenced ponds]]*250)/WWWW[[#This Row],[Total PoP ]])</f>
        <v>0</v>
      </c>
      <c r="CD418" s="708">
        <f>WWWW[[#This Row],[% Access to unimproved water points]]*WWWW[[#This Row],[Total PoP ]]</f>
        <v>0</v>
      </c>
      <c r="CE41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8" s="708">
        <f>WWWW[[#This Row],[HRP1]]/500</f>
        <v>0</v>
      </c>
      <c r="CH418" s="714">
        <f>1-WWWW[[#This Row],[% Equitable and continuous access to sufficient quantity of domestic water]]</f>
        <v>1</v>
      </c>
      <c r="CI418" s="708">
        <f>WWWW[[#This Row],[%equitable and continuous access to sufficient quantity of safe drinking and domestic water''s GAP]]*WWWW[[#This Row],[Total PoP ]]</f>
        <v>140</v>
      </c>
      <c r="CJ418" s="712">
        <f>IF(WWWW[[#This Row],[Total required water points]]-WWWW[[#This Row],['#Water points coverage]]&lt;0,0,WWWW[[#This Row],[Total required water points]]-WWWW[[#This Row],['#Water points coverage]])</f>
        <v>1</v>
      </c>
      <c r="CK418" s="712">
        <f>ROUND(IF(WWWW[[#This Row],[Total PoP ]]&lt;500,1,WWWW[[#This Row],[Total PoP ]]/500),0)</f>
        <v>1</v>
      </c>
      <c r="CL418" s="712">
        <f>(WWWW[[#This Row],['#_Constructed latrines_by_WASHAgencies]]+WWWW[[#This Row],['#_Non Cluster partner latrines]])-WWWW[[#This Row],['#_Non-functional latrines]]</f>
        <v>0</v>
      </c>
      <c r="CM41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8" s="712">
        <f>IF(WWWW[[#This Row],[Location Type 1]]="Village","NA",IF(WWWW[[#This Row],['#_Constructed/Existing latrines in TLS]]*50&gt;WWWW[[#This Row],['#_students at TLS_CFS]],WWWW[[#This Row],['#_students at TLS_CFS]],(WWWW[[#This Row],['#_Constructed/Existing latrines in TLS]]*50)))</f>
        <v>0</v>
      </c>
      <c r="CQ418" s="712">
        <f>ROUND(IF(WWWW[[#This Row],[Location Type 1]]="camp",WWWW[[#This Row],[Total PoP ]]/20,IF(WWWW[[#This Row],[Location Type 1]]="Temporary Location",WWWW[[#This Row],[Total PoP ]]/50,(WWWW[[#This Row],[Total PoP ]]/6))),0)</f>
        <v>3</v>
      </c>
      <c r="CR418" s="712">
        <f>IF(WWWW[[#This Row],[Total required Latrines]]-(WWWW[[#This Row],['#_Constructed latrines_by_WASHAgencies]]+WWWW[[#This Row],['#_Non Cluster partner latrines]])&lt;0,0,WWWW[[#This Row],[Total required Latrines]]-(WWWW[[#This Row],['#_Constructed latrines_by_WASHAgencies]]+WWWW[[#This Row],['#_Non Cluster partner latrines]]))</f>
        <v>3</v>
      </c>
      <c r="CS418" s="716">
        <f>1-WWWW[[#This Row],[% people access to functioning Latrine]]</f>
        <v>1</v>
      </c>
      <c r="CT418" s="713">
        <f>IF(OR(WWWW[[#This Row],['#_Non-functional latrines]]="",WWWW[[#This Row],['#_Non-functional latrines]]=0),0,WWWW[[#This Row],['#_Non-functional latrines]]/(WWWW[[#This Row],['#_Constructed latrines_by_WASHAgencies]]+WWWW[[#This Row],['#_Non Cluster partner latrines]]))</f>
        <v>0</v>
      </c>
      <c r="CU418" s="708">
        <f>IF(500*(WWWW[[#This Row],['#_male hygiene promoters]]+WWWW[[#This Row],['#_female hygiene promoters]])&gt;WWWW[[#This Row],[Total PoP ]],WWWW[[#This Row],[Total PoP ]],500*(WWWW[[#This Row],['#_male hygiene promoters]]+WWWW[[#This Row],['#_female hygiene promoters]]))</f>
        <v>0</v>
      </c>
      <c r="CV41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140</v>
      </c>
      <c r="CW41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140</v>
      </c>
      <c r="CX418" s="712">
        <f>IF(WWWW[[#This Row],['# People with access to soap]]&gt;WWWW[[#This Row],['# People with access to Sanity Pads]],WWWW[[#This Row],['# People with access to soap]],WWWW[[#This Row],['# People with access to Sanity Pads]])</f>
        <v>140</v>
      </c>
      <c r="CY418" s="712">
        <f>IF(WWWW[[#This Row],['# people reached by regular dedicated hygiene promotion_5]]&gt;WWWW[[#This Row],['# People received regular supply of hygiene items_6]],WWWW[[#This Row],['# people reached by regular dedicated hygiene promotion_5]],WWWW[[#This Row],['# People received regular supply of hygiene items_6]])</f>
        <v>140</v>
      </c>
      <c r="CZ418" s="714">
        <f>IF(WWWW[[#This Row],[HRP3]]/WWWW[[#This Row],[Total PoP ]]&gt;100%,100%,WWWW[[#This Row],[HRP3]]/WWWW[[#This Row],[Total PoP ]])</f>
        <v>1</v>
      </c>
      <c r="DA418" s="713">
        <f>1-WWWW[[#This Row],[Hygiene Coverage%]]</f>
        <v>0</v>
      </c>
      <c r="DB418" s="710">
        <f>WWWW[[#This Row],['# people reached by regular dedicated hygiene promotion_5]]/WWWW[[#This Row],[Total PoP ]]</f>
        <v>0</v>
      </c>
      <c r="DC418" s="710">
        <f>IF(WWWW[[#This Row],['#_households that received standard amount of soap for this quarter]]/WWWW[[#This Row],[Total HH]]&gt;1,1,WWWW[[#This Row],['#_households that received standard amount of soap for this quarter]]/WWWW[[#This Row],[Total HH]])</f>
        <v>1</v>
      </c>
      <c r="DD418" s="710">
        <f>IF(WWWW[[#This Row],['#_households that received standard amount of sanitary pads for this quarter]]/WWWW[[#This Row],[Total HH]]&gt;1,1,WWWW[[#This Row],['#_households that received standard amount of sanitary pads for this quarter]]/WWWW[[#This Row],[Total HH]])</f>
        <v>1</v>
      </c>
      <c r="DE418" s="712">
        <f>WWWW[[#This Row],['#_Constructed/Existing hand washing stations]]-WWWW[[#This Row],['#_Non-Functional_hand_washing_stations]]</f>
        <v>0</v>
      </c>
      <c r="DF418" s="757">
        <f>IF(WWWW[[#This Row],['# Functional hand washing stations during reporting period]]*20&gt;WWWW[[#This Row],[Total HH]],WWWW[[#This Row],[Total HH]],WWWW[[#This Row],['# Functional hand washing stations during reporting period]]*20)</f>
        <v>0</v>
      </c>
      <c r="DG418" s="708">
        <f>IF(WWWW[[#This Row],[Is sufficient soap available for TLS? (Yes/No)]]="yes",WWWW[[#This Row],['#_Constructed/Existing hand washing stations at TLS]],0)</f>
        <v>0</v>
      </c>
      <c r="DH418" s="585">
        <f>IF(WWWW[[#This Row],['# Functional hand washing stations during reporting period]]*100&gt;WWWW[[#This Row],[Total PoP ]],WWWW[[#This Row],[Total PoP ]],WWWW[[#This Row],['# Functional hand washing stations during reporting period]]*100)</f>
        <v>0</v>
      </c>
      <c r="DI418" s="585" t="str">
        <f>IF(OR(WWWW[[#This Row],['#_students at TLS_CFS]]="",WWWW[[#This Row],['#_students at TLS_CFS]]=0),"No","Yes")</f>
        <v>No</v>
      </c>
      <c r="DJ418" s="711">
        <f>VLOOKUP(WWWW[[#This Row],[Site Name]],SiteDB6[[Site Name]:[CCCM Management]],6,FALSE)</f>
        <v>0</v>
      </c>
      <c r="DK418" s="711">
        <f>VLOOKUP(WWWW[[#This Row],[Site Name]],SiteDB6[[Site Name]:[CCCM Focal Agency]],7,FALSE)</f>
        <v>0</v>
      </c>
      <c r="DL418" s="711" t="str">
        <f>VLOOKUP(WWWW[[#This Row],[Site Name]],SiteDB6[[Site Name]:[Location Type 1]],9,FALSE)</f>
        <v>Temporary location</v>
      </c>
      <c r="DM418" s="711" t="str">
        <f>VLOOKUP(WWWW[[#This Row],[Site Name]],SiteDB6[[Site Name]:[Type of Accommodation]],10,FALSE)</f>
        <v>Temporary location</v>
      </c>
      <c r="DN418" s="711">
        <f>VLOOKUP(WWWW[[#This Row],[Site Name]],SiteDB6[[Site Name]:[Ethnic or GCA/NGCA]],11,FALSE)</f>
        <v>0</v>
      </c>
      <c r="DO418" s="711">
        <f>VLOOKUP(WWWW[[#This Row],[Site Name]],SiteDB6[[Site Name]:[Lat]],12,FALSE)</f>
        <v>0</v>
      </c>
      <c r="DP418" s="711">
        <f>VLOOKUP(WWWW[[#This Row],[Site Name]],SiteDB6[[Site Name]:[Long]],13,FALSE)</f>
        <v>0</v>
      </c>
      <c r="DQ418" s="711">
        <f>VLOOKUP(WWWW[[#This Row],[Site Name]],SiteDB6[[Site Name]:[Pcode]],3,FALSE)</f>
        <v>0</v>
      </c>
      <c r="DR418" s="709" t="str">
        <f t="shared" si="13"/>
        <v>Covered</v>
      </c>
      <c r="DS418" s="709"/>
      <c r="DV418" s="572"/>
    </row>
    <row r="419" spans="1:126">
      <c r="A419" s="552" t="s">
        <v>2518</v>
      </c>
      <c r="B419" s="808" t="s">
        <v>317</v>
      </c>
      <c r="C419" s="808" t="s">
        <v>317</v>
      </c>
      <c r="D419" s="702"/>
      <c r="E419" s="703" t="s">
        <v>3006</v>
      </c>
      <c r="F419" s="702" t="s">
        <v>489</v>
      </c>
      <c r="G419" s="704" t="str">
        <f>VLOOKUP(WWWW[[#This Row],[Site Name]],SiteDB6[[Site Name]:[Location Type]],8,FALSE)</f>
        <v>New Temporary Site</v>
      </c>
      <c r="H419" s="702" t="s">
        <v>3144</v>
      </c>
      <c r="I419" s="705">
        <v>11</v>
      </c>
      <c r="J419" s="705">
        <v>46</v>
      </c>
      <c r="K419" s="706"/>
      <c r="L419" s="707"/>
      <c r="M419" s="705"/>
      <c r="N419" s="705"/>
      <c r="O419" s="705"/>
      <c r="P419" s="705"/>
      <c r="Q419" s="708"/>
      <c r="R419" s="705"/>
      <c r="S419" s="705"/>
      <c r="T419" s="312"/>
      <c r="U419" s="705"/>
      <c r="V419" s="705"/>
      <c r="W419" s="705"/>
      <c r="X419" s="705"/>
      <c r="Y419" s="705"/>
      <c r="Z419" s="705"/>
      <c r="AA419" s="705"/>
      <c r="AB419" s="705"/>
      <c r="AC419" s="705"/>
      <c r="AD419" s="705"/>
      <c r="AE419" s="705"/>
      <c r="AF419" s="705"/>
      <c r="AG419" s="705"/>
      <c r="AH419" s="705"/>
      <c r="AI419" s="705"/>
      <c r="AJ419" s="705"/>
      <c r="AK419" s="705"/>
      <c r="AL419" s="705"/>
      <c r="AM419" s="705"/>
      <c r="AN419" s="705"/>
      <c r="AO419" s="709"/>
      <c r="AP419" s="705"/>
      <c r="AQ419" s="705"/>
      <c r="AR419" s="710"/>
      <c r="AS419" s="705"/>
      <c r="AT419" s="705"/>
      <c r="AU419" s="705"/>
      <c r="AV419" s="705"/>
      <c r="AW419" s="705"/>
      <c r="AX419" s="711"/>
      <c r="AY419" s="709"/>
      <c r="AZ419" s="705"/>
      <c r="BA419" s="705"/>
      <c r="BB419" s="705"/>
      <c r="BC419" s="711"/>
      <c r="BD419" s="705"/>
      <c r="BE419" s="705"/>
      <c r="BF419" s="705"/>
      <c r="BG419" s="705"/>
      <c r="BH419" s="705"/>
      <c r="BI419" s="705"/>
      <c r="BJ419" s="705"/>
      <c r="BK419" s="705"/>
      <c r="BL419" s="705"/>
      <c r="BM419" s="711"/>
      <c r="BN419" s="712"/>
      <c r="BO419" s="710"/>
      <c r="BP419" s="711"/>
      <c r="BQ419" s="713" t="str">
        <f>IFERROR(WWWW[[#This Row],['#_Water sources treated]]/WWWW[[#This Row],['#_Water sources tested for contamination]],"no test")</f>
        <v>no test</v>
      </c>
      <c r="BR419" s="710" t="str">
        <f>IFERROR(WWWW[[#This Row],['#_Household received remediation action due to contamination]]/WWWW[[#This Row],['#_Household water samples tested for contamination]],"no test")</f>
        <v>no test</v>
      </c>
      <c r="BS419" s="712" t="str">
        <f>IF(AND(WWWW[[#This Row],[% of water sources treated]]="no test",WWWW[[#This Row],[% Household received corrective actions]]="no test"),"No Test","Tested")</f>
        <v>No Test</v>
      </c>
      <c r="BT419" s="712">
        <f>WWWW[[#This Row],['#_Constructed/existing protected hand dug well]]-WWWW[[#This Row],['#_Non-functional protected hand dug well]]</f>
        <v>0</v>
      </c>
      <c r="BU419" s="712">
        <f>(WWWW[[#This Row],['#_Constructed/Existing tube wells/boreholes/handpumps_WASH_agency]]+WWWW[[#This Row],['#_Non-Cluster partner water tube-wells/boreholes/handpumps]])-WWWW[[#This Row],['#_Non-functional tube wells/boreholes/handpumps]]</f>
        <v>0</v>
      </c>
      <c r="BV419" s="712">
        <f>WWWW[[#This Row],['#_Constructed/Existingwater storage tank with gravity fed reticulation system]]-WWWW[[#This Row],['#_Non-functional storage tank gravity fed reticulation system]]</f>
        <v>0</v>
      </c>
      <c r="BW419" s="712">
        <f>WWWW[[#This Row],['#_Water boating or water trucking]]</f>
        <v>0</v>
      </c>
      <c r="BX419" s="712">
        <f>WWWW[[#This Row],['#_Constructed/Existing water distribution system from river or natural spring]]</f>
        <v>0</v>
      </c>
      <c r="BY41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1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19" s="710">
        <f>IF(WWWW[[#This Row],[Location Type 1]]="Village",WWWW[[#This Row],[Access to safe drinking water for Village]],WWWW[[#This Row],[Access to safe drinking water for Camp]])</f>
        <v>0</v>
      </c>
      <c r="CB419" s="708">
        <f>WWWW[[#This Row],[%Equitable and continuous access to sufficient quantity of safe drinking water]]*WWWW[[#This Row],[Total PoP ]]</f>
        <v>0</v>
      </c>
      <c r="CC419" s="710">
        <f>IF((WWWW[[#This Row],['#_Constructed/Existing protected/fenced ponds]]*250)/WWWW[[#This Row],[Total PoP ]]&gt;1,1,(WWWW[[#This Row],['#_Constructed/Existing protected/fenced ponds]]*250)/WWWW[[#This Row],[Total PoP ]])</f>
        <v>0</v>
      </c>
      <c r="CD419" s="708">
        <f>WWWW[[#This Row],[% Access to unimproved water points]]*WWWW[[#This Row],[Total PoP ]]</f>
        <v>0</v>
      </c>
      <c r="CE41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1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19" s="708">
        <f>WWWW[[#This Row],[HRP1]]/500</f>
        <v>0</v>
      </c>
      <c r="CH419" s="714">
        <f>1-WWWW[[#This Row],[% Equitable and continuous access to sufficient quantity of domestic water]]</f>
        <v>1</v>
      </c>
      <c r="CI419" s="708">
        <f>WWWW[[#This Row],[%equitable and continuous access to sufficient quantity of safe drinking and domestic water''s GAP]]*WWWW[[#This Row],[Total PoP ]]</f>
        <v>46</v>
      </c>
      <c r="CJ419" s="712">
        <f>IF(WWWW[[#This Row],[Total required water points]]-WWWW[[#This Row],['#Water points coverage]]&lt;0,0,WWWW[[#This Row],[Total required water points]]-WWWW[[#This Row],['#Water points coverage]])</f>
        <v>1</v>
      </c>
      <c r="CK419" s="712">
        <f>ROUND(IF(WWWW[[#This Row],[Total PoP ]]&lt;500,1,WWWW[[#This Row],[Total PoP ]]/500),0)</f>
        <v>1</v>
      </c>
      <c r="CL419" s="712">
        <f>(WWWW[[#This Row],['#_Constructed latrines_by_WASHAgencies]]+WWWW[[#This Row],['#_Non Cluster partner latrines]])-WWWW[[#This Row],['#_Non-functional latrines]]</f>
        <v>0</v>
      </c>
      <c r="CM41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1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1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19" s="712">
        <f>IF(WWWW[[#This Row],[Location Type 1]]="Village","NA",IF(WWWW[[#This Row],['#_Constructed/Existing latrines in TLS]]*50&gt;WWWW[[#This Row],['#_students at TLS_CFS]],WWWW[[#This Row],['#_students at TLS_CFS]],(WWWW[[#This Row],['#_Constructed/Existing latrines in TLS]]*50)))</f>
        <v>0</v>
      </c>
      <c r="CQ419" s="712">
        <f>ROUND(IF(WWWW[[#This Row],[Location Type 1]]="camp",WWWW[[#This Row],[Total PoP ]]/20,IF(WWWW[[#This Row],[Location Type 1]]="Temporary Location",WWWW[[#This Row],[Total PoP ]]/50,(WWWW[[#This Row],[Total PoP ]]/6))),0)</f>
        <v>1</v>
      </c>
      <c r="CR419" s="712">
        <f>IF(WWWW[[#This Row],[Total required Latrines]]-(WWWW[[#This Row],['#_Constructed latrines_by_WASHAgencies]]+WWWW[[#This Row],['#_Non Cluster partner latrines]])&lt;0,0,WWWW[[#This Row],[Total required Latrines]]-(WWWW[[#This Row],['#_Constructed latrines_by_WASHAgencies]]+WWWW[[#This Row],['#_Non Cluster partner latrines]]))</f>
        <v>1</v>
      </c>
      <c r="CS419" s="716">
        <f>1-WWWW[[#This Row],[% people access to functioning Latrine]]</f>
        <v>1</v>
      </c>
      <c r="CT419" s="713">
        <f>IF(OR(WWWW[[#This Row],['#_Non-functional latrines]]="",WWWW[[#This Row],['#_Non-functional latrines]]=0),0,WWWW[[#This Row],['#_Non-functional latrines]]/(WWWW[[#This Row],['#_Constructed latrines_by_WASHAgencies]]+WWWW[[#This Row],['#_Non Cluster partner latrines]]))</f>
        <v>0</v>
      </c>
      <c r="CU419" s="708">
        <f>IF(500*(WWWW[[#This Row],['#_male hygiene promoters]]+WWWW[[#This Row],['#_female hygiene promoters]])&gt;WWWW[[#This Row],[Total PoP ]],WWWW[[#This Row],[Total PoP ]],500*(WWWW[[#This Row],['#_male hygiene promoters]]+WWWW[[#This Row],['#_female hygiene promoters]]))</f>
        <v>0</v>
      </c>
      <c r="CV41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1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19" s="712">
        <f>IF(WWWW[[#This Row],['# People with access to soap]]&gt;WWWW[[#This Row],['# People with access to Sanity Pads]],WWWW[[#This Row],['# People with access to soap]],WWWW[[#This Row],['# People with access to Sanity Pads]])</f>
        <v>0</v>
      </c>
      <c r="CY41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19" s="714">
        <f>IF(WWWW[[#This Row],[HRP3]]/WWWW[[#This Row],[Total PoP ]]&gt;100%,100%,WWWW[[#This Row],[HRP3]]/WWWW[[#This Row],[Total PoP ]])</f>
        <v>0</v>
      </c>
      <c r="DA419" s="713">
        <f>1-WWWW[[#This Row],[Hygiene Coverage%]]</f>
        <v>1</v>
      </c>
      <c r="DB419" s="710">
        <f>WWWW[[#This Row],['# people reached by regular dedicated hygiene promotion_5]]/WWWW[[#This Row],[Total PoP ]]</f>
        <v>0</v>
      </c>
      <c r="DC419" s="710">
        <f>IF(WWWW[[#This Row],['#_households that received standard amount of soap for this quarter]]/WWWW[[#This Row],[Total HH]]&gt;1,1,WWWW[[#This Row],['#_households that received standard amount of soap for this quarter]]/WWWW[[#This Row],[Total HH]])</f>
        <v>0</v>
      </c>
      <c r="DD419" s="710">
        <f>IF(WWWW[[#This Row],['#_households that received standard amount of sanitary pads for this quarter]]/WWWW[[#This Row],[Total HH]]&gt;1,1,WWWW[[#This Row],['#_households that received standard amount of sanitary pads for this quarter]]/WWWW[[#This Row],[Total HH]])</f>
        <v>0</v>
      </c>
      <c r="DE419" s="712">
        <f>WWWW[[#This Row],['#_Constructed/Existing hand washing stations]]-WWWW[[#This Row],['#_Non-Functional_hand_washing_stations]]</f>
        <v>0</v>
      </c>
      <c r="DF419" s="757">
        <f>IF(WWWW[[#This Row],['# Functional hand washing stations during reporting period]]*20&gt;WWWW[[#This Row],[Total HH]],WWWW[[#This Row],[Total HH]],WWWW[[#This Row],['# Functional hand washing stations during reporting period]]*20)</f>
        <v>0</v>
      </c>
      <c r="DG419" s="708">
        <f>IF(WWWW[[#This Row],[Is sufficient soap available for TLS? (Yes/No)]]="yes",WWWW[[#This Row],['#_Constructed/Existing hand washing stations at TLS]],0)</f>
        <v>0</v>
      </c>
      <c r="DH419" s="585">
        <f>IF(WWWW[[#This Row],['# Functional hand washing stations during reporting period]]*100&gt;WWWW[[#This Row],[Total PoP ]],WWWW[[#This Row],[Total PoP ]],WWWW[[#This Row],['# Functional hand washing stations during reporting period]]*100)</f>
        <v>0</v>
      </c>
      <c r="DI419" s="585" t="str">
        <f>IF(OR(WWWW[[#This Row],['#_students at TLS_CFS]]="",WWWW[[#This Row],['#_students at TLS_CFS]]=0),"No","Yes")</f>
        <v>No</v>
      </c>
      <c r="DJ419" s="711">
        <f>VLOOKUP(WWWW[[#This Row],[Site Name]],SiteDB6[[Site Name]:[CCCM Management]],6,FALSE)</f>
        <v>0</v>
      </c>
      <c r="DK419" s="711">
        <f>VLOOKUP(WWWW[[#This Row],[Site Name]],SiteDB6[[Site Name]:[CCCM Focal Agency]],7,FALSE)</f>
        <v>0</v>
      </c>
      <c r="DL419" s="711" t="str">
        <f>VLOOKUP(WWWW[[#This Row],[Site Name]],SiteDB6[[Site Name]:[Location Type 1]],9,FALSE)</f>
        <v>Temporary location</v>
      </c>
      <c r="DM419" s="711" t="str">
        <f>VLOOKUP(WWWW[[#This Row],[Site Name]],SiteDB6[[Site Name]:[Type of Accommodation]],10,FALSE)</f>
        <v>Temporary location</v>
      </c>
      <c r="DN419" s="711">
        <f>VLOOKUP(WWWW[[#This Row],[Site Name]],SiteDB6[[Site Name]:[Ethnic or GCA/NGCA]],11,FALSE)</f>
        <v>0</v>
      </c>
      <c r="DO419" s="711">
        <f>VLOOKUP(WWWW[[#This Row],[Site Name]],SiteDB6[[Site Name]:[Lat]],12,FALSE)</f>
        <v>0</v>
      </c>
      <c r="DP419" s="711">
        <f>VLOOKUP(WWWW[[#This Row],[Site Name]],SiteDB6[[Site Name]:[Long]],13,FALSE)</f>
        <v>0</v>
      </c>
      <c r="DQ419" s="711">
        <f>VLOOKUP(WWWW[[#This Row],[Site Name]],SiteDB6[[Site Name]:[Pcode]],3,FALSE)</f>
        <v>0</v>
      </c>
      <c r="DR419" s="709" t="str">
        <f t="shared" si="13"/>
        <v>Notcovered</v>
      </c>
      <c r="DS419" s="709"/>
      <c r="DV419" s="572"/>
    </row>
    <row r="420" spans="1:126">
      <c r="A420" s="552" t="s">
        <v>2518</v>
      </c>
      <c r="B420" s="808" t="s">
        <v>317</v>
      </c>
      <c r="C420" s="808" t="s">
        <v>317</v>
      </c>
      <c r="D420" s="702"/>
      <c r="E420" s="703" t="s">
        <v>3006</v>
      </c>
      <c r="F420" s="702" t="s">
        <v>489</v>
      </c>
      <c r="G420" s="704" t="str">
        <f>VLOOKUP(WWWW[[#This Row],[Site Name]],SiteDB6[[Site Name]:[Location Type]],8,FALSE)</f>
        <v>New Temporary Site</v>
      </c>
      <c r="H420" s="702" t="s">
        <v>3149</v>
      </c>
      <c r="I420" s="705">
        <v>120</v>
      </c>
      <c r="J420" s="705">
        <v>472</v>
      </c>
      <c r="K420" s="706"/>
      <c r="L420" s="707"/>
      <c r="M420" s="705"/>
      <c r="N420" s="705"/>
      <c r="O420" s="705"/>
      <c r="P420" s="705"/>
      <c r="Q420" s="708"/>
      <c r="R420" s="705"/>
      <c r="S420" s="705"/>
      <c r="T420" s="312"/>
      <c r="U420" s="705"/>
      <c r="V420" s="705"/>
      <c r="W420" s="705"/>
      <c r="X420" s="705"/>
      <c r="Y420" s="705"/>
      <c r="Z420" s="705"/>
      <c r="AA420" s="705"/>
      <c r="AB420" s="705"/>
      <c r="AC420" s="705"/>
      <c r="AD420" s="705"/>
      <c r="AE420" s="705"/>
      <c r="AF420" s="705"/>
      <c r="AG420" s="705"/>
      <c r="AH420" s="705"/>
      <c r="AI420" s="705"/>
      <c r="AJ420" s="705"/>
      <c r="AK420" s="705"/>
      <c r="AL420" s="705"/>
      <c r="AM420" s="705"/>
      <c r="AN420" s="705"/>
      <c r="AO420" s="709"/>
      <c r="AP420" s="705"/>
      <c r="AQ420" s="705"/>
      <c r="AR420" s="710"/>
      <c r="AS420" s="705"/>
      <c r="AT420" s="705"/>
      <c r="AU420" s="705"/>
      <c r="AV420" s="705"/>
      <c r="AW420" s="705"/>
      <c r="AX420" s="711"/>
      <c r="AY420" s="709"/>
      <c r="AZ420" s="705"/>
      <c r="BA420" s="705"/>
      <c r="BB420" s="705"/>
      <c r="BC420" s="711"/>
      <c r="BD420" s="705"/>
      <c r="BE420" s="705"/>
      <c r="BF420" s="705"/>
      <c r="BG420" s="705"/>
      <c r="BH420" s="705"/>
      <c r="BI420" s="705"/>
      <c r="BJ420" s="705"/>
      <c r="BK420" s="705"/>
      <c r="BL420" s="705"/>
      <c r="BM420" s="711"/>
      <c r="BN420" s="712"/>
      <c r="BO420" s="710"/>
      <c r="BP420" s="711"/>
      <c r="BQ420" s="713" t="str">
        <f>IFERROR(WWWW[[#This Row],['#_Water sources treated]]/WWWW[[#This Row],['#_Water sources tested for contamination]],"no test")</f>
        <v>no test</v>
      </c>
      <c r="BR420" s="710" t="str">
        <f>IFERROR(WWWW[[#This Row],['#_Household received remediation action due to contamination]]/WWWW[[#This Row],['#_Household water samples tested for contamination]],"no test")</f>
        <v>no test</v>
      </c>
      <c r="BS420" s="712" t="str">
        <f>IF(AND(WWWW[[#This Row],[% of water sources treated]]="no test",WWWW[[#This Row],[% Household received corrective actions]]="no test"),"No Test","Tested")</f>
        <v>No Test</v>
      </c>
      <c r="BT420" s="712">
        <f>WWWW[[#This Row],['#_Constructed/existing protected hand dug well]]-WWWW[[#This Row],['#_Non-functional protected hand dug well]]</f>
        <v>0</v>
      </c>
      <c r="BU420" s="712">
        <f>(WWWW[[#This Row],['#_Constructed/Existing tube wells/boreholes/handpumps_WASH_agency]]+WWWW[[#This Row],['#_Non-Cluster partner water tube-wells/boreholes/handpumps]])-WWWW[[#This Row],['#_Non-functional tube wells/boreholes/handpumps]]</f>
        <v>0</v>
      </c>
      <c r="BV420" s="712">
        <f>WWWW[[#This Row],['#_Constructed/Existingwater storage tank with gravity fed reticulation system]]-WWWW[[#This Row],['#_Non-functional storage tank gravity fed reticulation system]]</f>
        <v>0</v>
      </c>
      <c r="BW420" s="712">
        <f>WWWW[[#This Row],['#_Water boating or water trucking]]</f>
        <v>0</v>
      </c>
      <c r="BX420" s="712">
        <f>WWWW[[#This Row],['#_Constructed/Existing water distribution system from river or natural spring]]</f>
        <v>0</v>
      </c>
      <c r="BY42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0" s="710">
        <f>IF(WWWW[[#This Row],[Location Type 1]]="Village",WWWW[[#This Row],[Access to safe drinking water for Village]],WWWW[[#This Row],[Access to safe drinking water for Camp]])</f>
        <v>0</v>
      </c>
      <c r="CB420" s="708">
        <f>WWWW[[#This Row],[%Equitable and continuous access to sufficient quantity of safe drinking water]]*WWWW[[#This Row],[Total PoP ]]</f>
        <v>0</v>
      </c>
      <c r="CC420" s="710">
        <f>IF((WWWW[[#This Row],['#_Constructed/Existing protected/fenced ponds]]*250)/WWWW[[#This Row],[Total PoP ]]&gt;1,1,(WWWW[[#This Row],['#_Constructed/Existing protected/fenced ponds]]*250)/WWWW[[#This Row],[Total PoP ]])</f>
        <v>0</v>
      </c>
      <c r="CD420" s="708">
        <f>WWWW[[#This Row],[% Access to unimproved water points]]*WWWW[[#This Row],[Total PoP ]]</f>
        <v>0</v>
      </c>
      <c r="CE42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0" s="708">
        <f>WWWW[[#This Row],[HRP1]]/500</f>
        <v>0</v>
      </c>
      <c r="CH420" s="714">
        <f>1-WWWW[[#This Row],[% Equitable and continuous access to sufficient quantity of domestic water]]</f>
        <v>1</v>
      </c>
      <c r="CI420" s="708">
        <f>WWWW[[#This Row],[%equitable and continuous access to sufficient quantity of safe drinking and domestic water''s GAP]]*WWWW[[#This Row],[Total PoP ]]</f>
        <v>472</v>
      </c>
      <c r="CJ420" s="712">
        <f>IF(WWWW[[#This Row],[Total required water points]]-WWWW[[#This Row],['#Water points coverage]]&lt;0,0,WWWW[[#This Row],[Total required water points]]-WWWW[[#This Row],['#Water points coverage]])</f>
        <v>1</v>
      </c>
      <c r="CK420" s="712">
        <f>ROUND(IF(WWWW[[#This Row],[Total PoP ]]&lt;500,1,WWWW[[#This Row],[Total PoP ]]/500),0)</f>
        <v>1</v>
      </c>
      <c r="CL420" s="712">
        <f>(WWWW[[#This Row],['#_Constructed latrines_by_WASHAgencies]]+WWWW[[#This Row],['#_Non Cluster partner latrines]])-WWWW[[#This Row],['#_Non-functional latrines]]</f>
        <v>0</v>
      </c>
      <c r="CM42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0" s="712">
        <f>IF(WWWW[[#This Row],[Location Type 1]]="Village","NA",IF(WWWW[[#This Row],['#_Constructed/Existing latrines in TLS]]*50&gt;WWWW[[#This Row],['#_students at TLS_CFS]],WWWW[[#This Row],['#_students at TLS_CFS]],(WWWW[[#This Row],['#_Constructed/Existing latrines in TLS]]*50)))</f>
        <v>0</v>
      </c>
      <c r="CQ420" s="712">
        <f>ROUND(IF(WWWW[[#This Row],[Location Type 1]]="camp",WWWW[[#This Row],[Total PoP ]]/20,IF(WWWW[[#This Row],[Location Type 1]]="Temporary Location",WWWW[[#This Row],[Total PoP ]]/50,(WWWW[[#This Row],[Total PoP ]]/6))),0)</f>
        <v>9</v>
      </c>
      <c r="CR420" s="712">
        <f>IF(WWWW[[#This Row],[Total required Latrines]]-(WWWW[[#This Row],['#_Constructed latrines_by_WASHAgencies]]+WWWW[[#This Row],['#_Non Cluster partner latrines]])&lt;0,0,WWWW[[#This Row],[Total required Latrines]]-(WWWW[[#This Row],['#_Constructed latrines_by_WASHAgencies]]+WWWW[[#This Row],['#_Non Cluster partner latrines]]))</f>
        <v>9</v>
      </c>
      <c r="CS420" s="716">
        <f>1-WWWW[[#This Row],[% people access to functioning Latrine]]</f>
        <v>1</v>
      </c>
      <c r="CT420" s="713">
        <f>IF(OR(WWWW[[#This Row],['#_Non-functional latrines]]="",WWWW[[#This Row],['#_Non-functional latrines]]=0),0,WWWW[[#This Row],['#_Non-functional latrines]]/(WWWW[[#This Row],['#_Constructed latrines_by_WASHAgencies]]+WWWW[[#This Row],['#_Non Cluster partner latrines]]))</f>
        <v>0</v>
      </c>
      <c r="CU420" s="708">
        <f>IF(500*(WWWW[[#This Row],['#_male hygiene promoters]]+WWWW[[#This Row],['#_female hygiene promoters]])&gt;WWWW[[#This Row],[Total PoP ]],WWWW[[#This Row],[Total PoP ]],500*(WWWW[[#This Row],['#_male hygiene promoters]]+WWWW[[#This Row],['#_female hygiene promoters]]))</f>
        <v>0</v>
      </c>
      <c r="CV42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0" s="712">
        <f>IF(WWWW[[#This Row],['# People with access to soap]]&gt;WWWW[[#This Row],['# People with access to Sanity Pads]],WWWW[[#This Row],['# People with access to soap]],WWWW[[#This Row],['# People with access to Sanity Pads]])</f>
        <v>0</v>
      </c>
      <c r="CY42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0" s="714">
        <f>IF(WWWW[[#This Row],[HRP3]]/WWWW[[#This Row],[Total PoP ]]&gt;100%,100%,WWWW[[#This Row],[HRP3]]/WWWW[[#This Row],[Total PoP ]])</f>
        <v>0</v>
      </c>
      <c r="DA420" s="713">
        <f>1-WWWW[[#This Row],[Hygiene Coverage%]]</f>
        <v>1</v>
      </c>
      <c r="DB420" s="710">
        <f>WWWW[[#This Row],['# people reached by regular dedicated hygiene promotion_5]]/WWWW[[#This Row],[Total PoP ]]</f>
        <v>0</v>
      </c>
      <c r="DC420" s="710">
        <f>IF(WWWW[[#This Row],['#_households that received standard amount of soap for this quarter]]/WWWW[[#This Row],[Total HH]]&gt;1,1,WWWW[[#This Row],['#_households that received standard amount of soap for this quarter]]/WWWW[[#This Row],[Total HH]])</f>
        <v>0</v>
      </c>
      <c r="DD420" s="710">
        <f>IF(WWWW[[#This Row],['#_households that received standard amount of sanitary pads for this quarter]]/WWWW[[#This Row],[Total HH]]&gt;1,1,WWWW[[#This Row],['#_households that received standard amount of sanitary pads for this quarter]]/WWWW[[#This Row],[Total HH]])</f>
        <v>0</v>
      </c>
      <c r="DE420" s="712">
        <f>WWWW[[#This Row],['#_Constructed/Existing hand washing stations]]-WWWW[[#This Row],['#_Non-Functional_hand_washing_stations]]</f>
        <v>0</v>
      </c>
      <c r="DF420" s="757">
        <f>IF(WWWW[[#This Row],['# Functional hand washing stations during reporting period]]*20&gt;WWWW[[#This Row],[Total HH]],WWWW[[#This Row],[Total HH]],WWWW[[#This Row],['# Functional hand washing stations during reporting period]]*20)</f>
        <v>0</v>
      </c>
      <c r="DG420" s="708">
        <f>IF(WWWW[[#This Row],[Is sufficient soap available for TLS? (Yes/No)]]="yes",WWWW[[#This Row],['#_Constructed/Existing hand washing stations at TLS]],0)</f>
        <v>0</v>
      </c>
      <c r="DH420" s="585">
        <f>IF(WWWW[[#This Row],['# Functional hand washing stations during reporting period]]*100&gt;WWWW[[#This Row],[Total PoP ]],WWWW[[#This Row],[Total PoP ]],WWWW[[#This Row],['# Functional hand washing stations during reporting period]]*100)</f>
        <v>0</v>
      </c>
      <c r="DI420" s="585" t="str">
        <f>IF(OR(WWWW[[#This Row],['#_students at TLS_CFS]]="",WWWW[[#This Row],['#_students at TLS_CFS]]=0),"No","Yes")</f>
        <v>No</v>
      </c>
      <c r="DJ420" s="711">
        <f>VLOOKUP(WWWW[[#This Row],[Site Name]],SiteDB6[[Site Name]:[CCCM Management]],6,FALSE)</f>
        <v>0</v>
      </c>
      <c r="DK420" s="711">
        <f>VLOOKUP(WWWW[[#This Row],[Site Name]],SiteDB6[[Site Name]:[CCCM Focal Agency]],7,FALSE)</f>
        <v>0</v>
      </c>
      <c r="DL420" s="711" t="str">
        <f>VLOOKUP(WWWW[[#This Row],[Site Name]],SiteDB6[[Site Name]:[Location Type 1]],9,FALSE)</f>
        <v>Temporary location</v>
      </c>
      <c r="DM420" s="711" t="str">
        <f>VLOOKUP(WWWW[[#This Row],[Site Name]],SiteDB6[[Site Name]:[Type of Accommodation]],10,FALSE)</f>
        <v>Temporary location</v>
      </c>
      <c r="DN420" s="711">
        <f>VLOOKUP(WWWW[[#This Row],[Site Name]],SiteDB6[[Site Name]:[Ethnic or GCA/NGCA]],11,FALSE)</f>
        <v>0</v>
      </c>
      <c r="DO420" s="711">
        <f>VLOOKUP(WWWW[[#This Row],[Site Name]],SiteDB6[[Site Name]:[Lat]],12,FALSE)</f>
        <v>20.6698608398438</v>
      </c>
      <c r="DP420" s="711">
        <f>VLOOKUP(WWWW[[#This Row],[Site Name]],SiteDB6[[Site Name]:[Long]],13,FALSE)</f>
        <v>93.087516784667997</v>
      </c>
      <c r="DQ420" s="711">
        <f>VLOOKUP(WWWW[[#This Row],[Site Name]],SiteDB6[[Site Name]:[Pcode]],3,FALSE)</f>
        <v>196636</v>
      </c>
      <c r="DR420" s="709" t="str">
        <f t="shared" si="13"/>
        <v>Notcovered</v>
      </c>
      <c r="DS420" s="709"/>
      <c r="DV420" s="572"/>
    </row>
    <row r="421" spans="1:126">
      <c r="A421" s="552" t="s">
        <v>2518</v>
      </c>
      <c r="B421" s="808" t="s">
        <v>317</v>
      </c>
      <c r="C421" s="808" t="s">
        <v>317</v>
      </c>
      <c r="D421" s="702"/>
      <c r="E421" s="703" t="s">
        <v>3006</v>
      </c>
      <c r="F421" s="702" t="s">
        <v>489</v>
      </c>
      <c r="G421" s="704" t="str">
        <f>VLOOKUP(WWWW[[#This Row],[Site Name]],SiteDB6[[Site Name]:[Location Type]],8,FALSE)</f>
        <v>New Temporary Site</v>
      </c>
      <c r="H421" s="702" t="s">
        <v>3146</v>
      </c>
      <c r="I421" s="705">
        <v>132</v>
      </c>
      <c r="J421" s="705">
        <v>492</v>
      </c>
      <c r="K421" s="706"/>
      <c r="L421" s="707"/>
      <c r="M421" s="705"/>
      <c r="N421" s="705"/>
      <c r="O421" s="705"/>
      <c r="P421" s="705"/>
      <c r="Q421" s="708"/>
      <c r="R421" s="705"/>
      <c r="S421" s="705"/>
      <c r="T421" s="312"/>
      <c r="U421" s="705"/>
      <c r="V421" s="705"/>
      <c r="W421" s="705"/>
      <c r="X421" s="705"/>
      <c r="Y421" s="705"/>
      <c r="Z421" s="705"/>
      <c r="AA421" s="705"/>
      <c r="AB421" s="705"/>
      <c r="AC421" s="705"/>
      <c r="AD421" s="705"/>
      <c r="AE421" s="705"/>
      <c r="AF421" s="705"/>
      <c r="AG421" s="705"/>
      <c r="AH421" s="705"/>
      <c r="AI421" s="705"/>
      <c r="AJ421" s="705"/>
      <c r="AK421" s="705"/>
      <c r="AL421" s="705"/>
      <c r="AM421" s="705"/>
      <c r="AN421" s="705"/>
      <c r="AO421" s="709"/>
      <c r="AP421" s="705"/>
      <c r="AQ421" s="705"/>
      <c r="AR421" s="710"/>
      <c r="AS421" s="705"/>
      <c r="AT421" s="705"/>
      <c r="AU421" s="705"/>
      <c r="AV421" s="705"/>
      <c r="AW421" s="705"/>
      <c r="AX421" s="711"/>
      <c r="AY421" s="709"/>
      <c r="AZ421" s="705"/>
      <c r="BA421" s="705"/>
      <c r="BB421" s="705"/>
      <c r="BC421" s="711"/>
      <c r="BD421" s="705"/>
      <c r="BE421" s="705"/>
      <c r="BF421" s="705"/>
      <c r="BG421" s="705"/>
      <c r="BH421" s="705"/>
      <c r="BI421" s="705"/>
      <c r="BJ421" s="705"/>
      <c r="BK421" s="705"/>
      <c r="BL421" s="705"/>
      <c r="BM421" s="711"/>
      <c r="BN421" s="712"/>
      <c r="BO421" s="710"/>
      <c r="BP421" s="711"/>
      <c r="BQ421" s="713" t="str">
        <f>IFERROR(WWWW[[#This Row],['#_Water sources treated]]/WWWW[[#This Row],['#_Water sources tested for contamination]],"no test")</f>
        <v>no test</v>
      </c>
      <c r="BR421" s="710" t="str">
        <f>IFERROR(WWWW[[#This Row],['#_Household received remediation action due to contamination]]/WWWW[[#This Row],['#_Household water samples tested for contamination]],"no test")</f>
        <v>no test</v>
      </c>
      <c r="BS421" s="712" t="str">
        <f>IF(AND(WWWW[[#This Row],[% of water sources treated]]="no test",WWWW[[#This Row],[% Household received corrective actions]]="no test"),"No Test","Tested")</f>
        <v>No Test</v>
      </c>
      <c r="BT421" s="712">
        <f>WWWW[[#This Row],['#_Constructed/existing protected hand dug well]]-WWWW[[#This Row],['#_Non-functional protected hand dug well]]</f>
        <v>0</v>
      </c>
      <c r="BU421" s="712">
        <f>(WWWW[[#This Row],['#_Constructed/Existing tube wells/boreholes/handpumps_WASH_agency]]+WWWW[[#This Row],['#_Non-Cluster partner water tube-wells/boreholes/handpumps]])-WWWW[[#This Row],['#_Non-functional tube wells/boreholes/handpumps]]</f>
        <v>0</v>
      </c>
      <c r="BV421" s="712">
        <f>WWWW[[#This Row],['#_Constructed/Existingwater storage tank with gravity fed reticulation system]]-WWWW[[#This Row],['#_Non-functional storage tank gravity fed reticulation system]]</f>
        <v>0</v>
      </c>
      <c r="BW421" s="712">
        <f>WWWW[[#This Row],['#_Water boating or water trucking]]</f>
        <v>0</v>
      </c>
      <c r="BX421" s="712">
        <f>WWWW[[#This Row],['#_Constructed/Existing water distribution system from river or natural spring]]</f>
        <v>0</v>
      </c>
      <c r="BY42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1" s="710">
        <f>IF(WWWW[[#This Row],[Location Type 1]]="Village",WWWW[[#This Row],[Access to safe drinking water for Village]],WWWW[[#This Row],[Access to safe drinking water for Camp]])</f>
        <v>0</v>
      </c>
      <c r="CB421" s="708">
        <f>WWWW[[#This Row],[%Equitable and continuous access to sufficient quantity of safe drinking water]]*WWWW[[#This Row],[Total PoP ]]</f>
        <v>0</v>
      </c>
      <c r="CC421" s="710">
        <f>IF((WWWW[[#This Row],['#_Constructed/Existing protected/fenced ponds]]*250)/WWWW[[#This Row],[Total PoP ]]&gt;1,1,(WWWW[[#This Row],['#_Constructed/Existing protected/fenced ponds]]*250)/WWWW[[#This Row],[Total PoP ]])</f>
        <v>0</v>
      </c>
      <c r="CD421" s="708">
        <f>WWWW[[#This Row],[% Access to unimproved water points]]*WWWW[[#This Row],[Total PoP ]]</f>
        <v>0</v>
      </c>
      <c r="CE42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1" s="708">
        <f>WWWW[[#This Row],[HRP1]]/500</f>
        <v>0</v>
      </c>
      <c r="CH421" s="714">
        <f>1-WWWW[[#This Row],[% Equitable and continuous access to sufficient quantity of domestic water]]</f>
        <v>1</v>
      </c>
      <c r="CI421" s="708">
        <f>WWWW[[#This Row],[%equitable and continuous access to sufficient quantity of safe drinking and domestic water''s GAP]]*WWWW[[#This Row],[Total PoP ]]</f>
        <v>492</v>
      </c>
      <c r="CJ421" s="712">
        <f>IF(WWWW[[#This Row],[Total required water points]]-WWWW[[#This Row],['#Water points coverage]]&lt;0,0,WWWW[[#This Row],[Total required water points]]-WWWW[[#This Row],['#Water points coverage]])</f>
        <v>1</v>
      </c>
      <c r="CK421" s="712">
        <f>ROUND(IF(WWWW[[#This Row],[Total PoP ]]&lt;500,1,WWWW[[#This Row],[Total PoP ]]/500),0)</f>
        <v>1</v>
      </c>
      <c r="CL421" s="712">
        <f>(WWWW[[#This Row],['#_Constructed latrines_by_WASHAgencies]]+WWWW[[#This Row],['#_Non Cluster partner latrines]])-WWWW[[#This Row],['#_Non-functional latrines]]</f>
        <v>0</v>
      </c>
      <c r="CM42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1" s="712">
        <f>IF(WWWW[[#This Row],[Location Type 1]]="Village","NA",IF(WWWW[[#This Row],['#_Constructed/Existing latrines in TLS]]*50&gt;WWWW[[#This Row],['#_students at TLS_CFS]],WWWW[[#This Row],['#_students at TLS_CFS]],(WWWW[[#This Row],['#_Constructed/Existing latrines in TLS]]*50)))</f>
        <v>0</v>
      </c>
      <c r="CQ421" s="712">
        <f>ROUND(IF(WWWW[[#This Row],[Location Type 1]]="camp",WWWW[[#This Row],[Total PoP ]]/20,IF(WWWW[[#This Row],[Location Type 1]]="Temporary Location",WWWW[[#This Row],[Total PoP ]]/50,(WWWW[[#This Row],[Total PoP ]]/6))),0)</f>
        <v>10</v>
      </c>
      <c r="CR421" s="712">
        <f>IF(WWWW[[#This Row],[Total required Latrines]]-(WWWW[[#This Row],['#_Constructed latrines_by_WASHAgencies]]+WWWW[[#This Row],['#_Non Cluster partner latrines]])&lt;0,0,WWWW[[#This Row],[Total required Latrines]]-(WWWW[[#This Row],['#_Constructed latrines_by_WASHAgencies]]+WWWW[[#This Row],['#_Non Cluster partner latrines]]))</f>
        <v>10</v>
      </c>
      <c r="CS421" s="716">
        <f>1-WWWW[[#This Row],[% people access to functioning Latrine]]</f>
        <v>1</v>
      </c>
      <c r="CT421" s="713">
        <f>IF(OR(WWWW[[#This Row],['#_Non-functional latrines]]="",WWWW[[#This Row],['#_Non-functional latrines]]=0),0,WWWW[[#This Row],['#_Non-functional latrines]]/(WWWW[[#This Row],['#_Constructed latrines_by_WASHAgencies]]+WWWW[[#This Row],['#_Non Cluster partner latrines]]))</f>
        <v>0</v>
      </c>
      <c r="CU421" s="708">
        <f>IF(500*(WWWW[[#This Row],['#_male hygiene promoters]]+WWWW[[#This Row],['#_female hygiene promoters]])&gt;WWWW[[#This Row],[Total PoP ]],WWWW[[#This Row],[Total PoP ]],500*(WWWW[[#This Row],['#_male hygiene promoters]]+WWWW[[#This Row],['#_female hygiene promoters]]))</f>
        <v>0</v>
      </c>
      <c r="CV42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1" s="712">
        <f>IF(WWWW[[#This Row],['# People with access to soap]]&gt;WWWW[[#This Row],['# People with access to Sanity Pads]],WWWW[[#This Row],['# People with access to soap]],WWWW[[#This Row],['# People with access to Sanity Pads]])</f>
        <v>0</v>
      </c>
      <c r="CY42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1" s="714">
        <f>IF(WWWW[[#This Row],[HRP3]]/WWWW[[#This Row],[Total PoP ]]&gt;100%,100%,WWWW[[#This Row],[HRP3]]/WWWW[[#This Row],[Total PoP ]])</f>
        <v>0</v>
      </c>
      <c r="DA421" s="713">
        <f>1-WWWW[[#This Row],[Hygiene Coverage%]]</f>
        <v>1</v>
      </c>
      <c r="DB421" s="710">
        <f>WWWW[[#This Row],['# people reached by regular dedicated hygiene promotion_5]]/WWWW[[#This Row],[Total PoP ]]</f>
        <v>0</v>
      </c>
      <c r="DC421" s="710">
        <f>IF(WWWW[[#This Row],['#_households that received standard amount of soap for this quarter]]/WWWW[[#This Row],[Total HH]]&gt;1,1,WWWW[[#This Row],['#_households that received standard amount of soap for this quarter]]/WWWW[[#This Row],[Total HH]])</f>
        <v>0</v>
      </c>
      <c r="DD421" s="710">
        <f>IF(WWWW[[#This Row],['#_households that received standard amount of sanitary pads for this quarter]]/WWWW[[#This Row],[Total HH]]&gt;1,1,WWWW[[#This Row],['#_households that received standard amount of sanitary pads for this quarter]]/WWWW[[#This Row],[Total HH]])</f>
        <v>0</v>
      </c>
      <c r="DE421" s="712">
        <f>WWWW[[#This Row],['#_Constructed/Existing hand washing stations]]-WWWW[[#This Row],['#_Non-Functional_hand_washing_stations]]</f>
        <v>0</v>
      </c>
      <c r="DF421" s="757">
        <f>IF(WWWW[[#This Row],['# Functional hand washing stations during reporting period]]*20&gt;WWWW[[#This Row],[Total HH]],WWWW[[#This Row],[Total HH]],WWWW[[#This Row],['# Functional hand washing stations during reporting period]]*20)</f>
        <v>0</v>
      </c>
      <c r="DG421" s="708">
        <f>IF(WWWW[[#This Row],[Is sufficient soap available for TLS? (Yes/No)]]="yes",WWWW[[#This Row],['#_Constructed/Existing hand washing stations at TLS]],0)</f>
        <v>0</v>
      </c>
      <c r="DH421" s="585">
        <f>IF(WWWW[[#This Row],['# Functional hand washing stations during reporting period]]*100&gt;WWWW[[#This Row],[Total PoP ]],WWWW[[#This Row],[Total PoP ]],WWWW[[#This Row],['# Functional hand washing stations during reporting period]]*100)</f>
        <v>0</v>
      </c>
      <c r="DI421" s="585" t="str">
        <f>IF(OR(WWWW[[#This Row],['#_students at TLS_CFS]]="",WWWW[[#This Row],['#_students at TLS_CFS]]=0),"No","Yes")</f>
        <v>No</v>
      </c>
      <c r="DJ421" s="711">
        <f>VLOOKUP(WWWW[[#This Row],[Site Name]],SiteDB6[[Site Name]:[CCCM Management]],6,FALSE)</f>
        <v>0</v>
      </c>
      <c r="DK421" s="711">
        <f>VLOOKUP(WWWW[[#This Row],[Site Name]],SiteDB6[[Site Name]:[CCCM Focal Agency]],7,FALSE)</f>
        <v>0</v>
      </c>
      <c r="DL421" s="711" t="str">
        <f>VLOOKUP(WWWW[[#This Row],[Site Name]],SiteDB6[[Site Name]:[Location Type 1]],9,FALSE)</f>
        <v>Temporary location</v>
      </c>
      <c r="DM421" s="711" t="str">
        <f>VLOOKUP(WWWW[[#This Row],[Site Name]],SiteDB6[[Site Name]:[Type of Accommodation]],10,FALSE)</f>
        <v>Temporary location</v>
      </c>
      <c r="DN421" s="711">
        <f>VLOOKUP(WWWW[[#This Row],[Site Name]],SiteDB6[[Site Name]:[Ethnic or GCA/NGCA]],11,FALSE)</f>
        <v>0</v>
      </c>
      <c r="DO421" s="711">
        <f>VLOOKUP(WWWW[[#This Row],[Site Name]],SiteDB6[[Site Name]:[Lat]],12,FALSE)</f>
        <v>20.666166305541999</v>
      </c>
      <c r="DP421" s="711">
        <f>VLOOKUP(WWWW[[#This Row],[Site Name]],SiteDB6[[Site Name]:[Long]],13,FALSE)</f>
        <v>93.094825744628906</v>
      </c>
      <c r="DQ421" s="711">
        <f>VLOOKUP(WWWW[[#This Row],[Site Name]],SiteDB6[[Site Name]:[Pcode]],3,FALSE)</f>
        <v>196622</v>
      </c>
      <c r="DR421" s="709" t="str">
        <f t="shared" si="13"/>
        <v>Notcovered</v>
      </c>
      <c r="DS421" s="709"/>
      <c r="DV421" s="572"/>
    </row>
    <row r="422" spans="1:126">
      <c r="A422" s="552" t="s">
        <v>2518</v>
      </c>
      <c r="B422" s="701" t="s">
        <v>3206</v>
      </c>
      <c r="C422" s="701" t="s">
        <v>3139</v>
      </c>
      <c r="D422" s="702"/>
      <c r="E422" s="703" t="s">
        <v>3006</v>
      </c>
      <c r="F422" s="702" t="s">
        <v>330</v>
      </c>
      <c r="G422" s="704" t="str">
        <f>VLOOKUP(WWWW[[#This Row],[Site Name]],SiteDB6[[Site Name]:[Location Type]],8,FALSE)</f>
        <v>New Temporary Site</v>
      </c>
      <c r="H422" s="702" t="s">
        <v>3140</v>
      </c>
      <c r="I422" s="705">
        <v>107</v>
      </c>
      <c r="J422" s="705">
        <v>487</v>
      </c>
      <c r="K422" s="706"/>
      <c r="L422" s="707"/>
      <c r="M422" s="705"/>
      <c r="N422" s="705"/>
      <c r="O422" s="705"/>
      <c r="P422" s="705"/>
      <c r="Q422" s="708"/>
      <c r="R422" s="705"/>
      <c r="S422" s="705"/>
      <c r="T422" s="312"/>
      <c r="U422" s="705"/>
      <c r="V422" s="705"/>
      <c r="W422" s="705"/>
      <c r="X422" s="705"/>
      <c r="Y422" s="705"/>
      <c r="Z422" s="705"/>
      <c r="AA422" s="705"/>
      <c r="AB422" s="705"/>
      <c r="AC422" s="705"/>
      <c r="AD422" s="705"/>
      <c r="AE422" s="705"/>
      <c r="AF422" s="705"/>
      <c r="AG422" s="705"/>
      <c r="AH422" s="705"/>
      <c r="AI422" s="705"/>
      <c r="AJ422" s="705"/>
      <c r="AK422" s="705"/>
      <c r="AL422" s="705"/>
      <c r="AM422" s="705"/>
      <c r="AN422" s="705"/>
      <c r="AO422" s="709"/>
      <c r="AP422" s="705"/>
      <c r="AQ422" s="705"/>
      <c r="AR422" s="710"/>
      <c r="AS422" s="705"/>
      <c r="AT422" s="705"/>
      <c r="AU422" s="705"/>
      <c r="AV422" s="705"/>
      <c r="AW422" s="705"/>
      <c r="AX422" s="711"/>
      <c r="AY422" s="709"/>
      <c r="AZ422" s="705"/>
      <c r="BA422" s="705"/>
      <c r="BB422" s="705"/>
      <c r="BC422" s="711"/>
      <c r="BD422" s="705"/>
      <c r="BE422" s="705"/>
      <c r="BF422" s="705"/>
      <c r="BG422" s="705"/>
      <c r="BH422" s="705"/>
      <c r="BI422" s="705"/>
      <c r="BJ422" s="705"/>
      <c r="BK422" s="705">
        <v>377</v>
      </c>
      <c r="BL422" s="705">
        <v>377</v>
      </c>
      <c r="BM422" s="711"/>
      <c r="BN422" s="712"/>
      <c r="BO422" s="710"/>
      <c r="BP422" s="711"/>
      <c r="BQ422" s="713" t="str">
        <f>IFERROR(WWWW[[#This Row],['#_Water sources treated]]/WWWW[[#This Row],['#_Water sources tested for contamination]],"no test")</f>
        <v>no test</v>
      </c>
      <c r="BR422" s="710" t="str">
        <f>IFERROR(WWWW[[#This Row],['#_Household received remediation action due to contamination]]/WWWW[[#This Row],['#_Household water samples tested for contamination]],"no test")</f>
        <v>no test</v>
      </c>
      <c r="BS422" s="712" t="str">
        <f>IF(AND(WWWW[[#This Row],[% of water sources treated]]="no test",WWWW[[#This Row],[% Household received corrective actions]]="no test"),"No Test","Tested")</f>
        <v>No Test</v>
      </c>
      <c r="BT422" s="712">
        <f>WWWW[[#This Row],['#_Constructed/existing protected hand dug well]]-WWWW[[#This Row],['#_Non-functional protected hand dug well]]</f>
        <v>0</v>
      </c>
      <c r="BU422" s="712">
        <f>(WWWW[[#This Row],['#_Constructed/Existing tube wells/boreholes/handpumps_WASH_agency]]+WWWW[[#This Row],['#_Non-Cluster partner water tube-wells/boreholes/handpumps]])-WWWW[[#This Row],['#_Non-functional tube wells/boreholes/handpumps]]</f>
        <v>0</v>
      </c>
      <c r="BV422" s="712">
        <f>WWWW[[#This Row],['#_Constructed/Existingwater storage tank with gravity fed reticulation system]]-WWWW[[#This Row],['#_Non-functional storage tank gravity fed reticulation system]]</f>
        <v>0</v>
      </c>
      <c r="BW422" s="712">
        <f>WWWW[[#This Row],['#_Water boating or water trucking]]</f>
        <v>0</v>
      </c>
      <c r="BX422" s="712">
        <f>WWWW[[#This Row],['#_Constructed/Existing water distribution system from river or natural spring]]</f>
        <v>0</v>
      </c>
      <c r="BY42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2" s="710">
        <f>IF(WWWW[[#This Row],[Location Type 1]]="Village",WWWW[[#This Row],[Access to safe drinking water for Village]],WWWW[[#This Row],[Access to safe drinking water for Camp]])</f>
        <v>0</v>
      </c>
      <c r="CB422" s="708">
        <f>WWWW[[#This Row],[%Equitable and continuous access to sufficient quantity of safe drinking water]]*WWWW[[#This Row],[Total PoP ]]</f>
        <v>0</v>
      </c>
      <c r="CC422" s="710">
        <f>IF((WWWW[[#This Row],['#_Constructed/Existing protected/fenced ponds]]*250)/WWWW[[#This Row],[Total PoP ]]&gt;1,1,(WWWW[[#This Row],['#_Constructed/Existing protected/fenced ponds]]*250)/WWWW[[#This Row],[Total PoP ]])</f>
        <v>0</v>
      </c>
      <c r="CD422" s="708">
        <f>WWWW[[#This Row],[% Access to unimproved water points]]*WWWW[[#This Row],[Total PoP ]]</f>
        <v>0</v>
      </c>
      <c r="CE42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2" s="708">
        <f>WWWW[[#This Row],[HRP1]]/500</f>
        <v>0</v>
      </c>
      <c r="CH422" s="714">
        <f>1-WWWW[[#This Row],[% Equitable and continuous access to sufficient quantity of domestic water]]</f>
        <v>1</v>
      </c>
      <c r="CI422" s="708">
        <f>WWWW[[#This Row],[%equitable and continuous access to sufficient quantity of safe drinking and domestic water''s GAP]]*WWWW[[#This Row],[Total PoP ]]</f>
        <v>487</v>
      </c>
      <c r="CJ422" s="712">
        <f>IF(WWWW[[#This Row],[Total required water points]]-WWWW[[#This Row],['#Water points coverage]]&lt;0,0,WWWW[[#This Row],[Total required water points]]-WWWW[[#This Row],['#Water points coverage]])</f>
        <v>1</v>
      </c>
      <c r="CK422" s="712">
        <f>ROUND(IF(WWWW[[#This Row],[Total PoP ]]&lt;500,1,WWWW[[#This Row],[Total PoP ]]/500),0)</f>
        <v>1</v>
      </c>
      <c r="CL422" s="712">
        <f>(WWWW[[#This Row],['#_Constructed latrines_by_WASHAgencies]]+WWWW[[#This Row],['#_Non Cluster partner latrines]])-WWWW[[#This Row],['#_Non-functional latrines]]</f>
        <v>0</v>
      </c>
      <c r="CM42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2" s="712">
        <f>IF(WWWW[[#This Row],[Location Type 1]]="Village","NA",IF(WWWW[[#This Row],['#_Constructed/Existing latrines in TLS]]*50&gt;WWWW[[#This Row],['#_students at TLS_CFS]],WWWW[[#This Row],['#_students at TLS_CFS]],(WWWW[[#This Row],['#_Constructed/Existing latrines in TLS]]*50)))</f>
        <v>0</v>
      </c>
      <c r="CQ422" s="712">
        <f>ROUND(IF(WWWW[[#This Row],[Location Type 1]]="camp",WWWW[[#This Row],[Total PoP ]]/20,IF(WWWW[[#This Row],[Location Type 1]]="Temporary Location",WWWW[[#This Row],[Total PoP ]]/50,(WWWW[[#This Row],[Total PoP ]]/6))),0)</f>
        <v>10</v>
      </c>
      <c r="CR422" s="712">
        <f>IF(WWWW[[#This Row],[Total required Latrines]]-(WWWW[[#This Row],['#_Constructed latrines_by_WASHAgencies]]+WWWW[[#This Row],['#_Non Cluster partner latrines]])&lt;0,0,WWWW[[#This Row],[Total required Latrines]]-(WWWW[[#This Row],['#_Constructed latrines_by_WASHAgencies]]+WWWW[[#This Row],['#_Non Cluster partner latrines]]))</f>
        <v>10</v>
      </c>
      <c r="CS422" s="716">
        <f>1-WWWW[[#This Row],[% people access to functioning Latrine]]</f>
        <v>1</v>
      </c>
      <c r="CT422" s="713">
        <f>IF(OR(WWWW[[#This Row],['#_Non-functional latrines]]="",WWWW[[#This Row],['#_Non-functional latrines]]=0),0,WWWW[[#This Row],['#_Non-functional latrines]]/(WWWW[[#This Row],['#_Constructed latrines_by_WASHAgencies]]+WWWW[[#This Row],['#_Non Cluster partner latrines]]))</f>
        <v>0</v>
      </c>
      <c r="CU422" s="708">
        <f>IF(500*(WWWW[[#This Row],['#_male hygiene promoters]]+WWWW[[#This Row],['#_female hygiene promoters]])&gt;WWWW[[#This Row],[Total PoP ]],WWWW[[#This Row],[Total PoP ]],500*(WWWW[[#This Row],['#_male hygiene promoters]]+WWWW[[#This Row],['#_female hygiene promoters]]))</f>
        <v>0</v>
      </c>
      <c r="CV42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487</v>
      </c>
      <c r="CW42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487</v>
      </c>
      <c r="CX422" s="712">
        <f>IF(WWWW[[#This Row],['# People with access to soap]]&gt;WWWW[[#This Row],['# People with access to Sanity Pads]],WWWW[[#This Row],['# People with access to soap]],WWWW[[#This Row],['# People with access to Sanity Pads]])</f>
        <v>487</v>
      </c>
      <c r="CY422" s="712">
        <f>IF(WWWW[[#This Row],['# people reached by regular dedicated hygiene promotion_5]]&gt;WWWW[[#This Row],['# People received regular supply of hygiene items_6]],WWWW[[#This Row],['# people reached by regular dedicated hygiene promotion_5]],WWWW[[#This Row],['# People received regular supply of hygiene items_6]])</f>
        <v>487</v>
      </c>
      <c r="CZ422" s="714">
        <f>IF(WWWW[[#This Row],[HRP3]]/WWWW[[#This Row],[Total PoP ]]&gt;100%,100%,WWWW[[#This Row],[HRP3]]/WWWW[[#This Row],[Total PoP ]])</f>
        <v>1</v>
      </c>
      <c r="DA422" s="713">
        <f>1-WWWW[[#This Row],[Hygiene Coverage%]]</f>
        <v>0</v>
      </c>
      <c r="DB422" s="710">
        <f>WWWW[[#This Row],['# people reached by regular dedicated hygiene promotion_5]]/WWWW[[#This Row],[Total PoP ]]</f>
        <v>0</v>
      </c>
      <c r="DC422" s="710">
        <f>IF(WWWW[[#This Row],['#_households that received standard amount of soap for this quarter]]/WWWW[[#This Row],[Total HH]]&gt;1,1,WWWW[[#This Row],['#_households that received standard amount of soap for this quarter]]/WWWW[[#This Row],[Total HH]])</f>
        <v>1</v>
      </c>
      <c r="DD422" s="710">
        <f>IF(WWWW[[#This Row],['#_households that received standard amount of sanitary pads for this quarter]]/WWWW[[#This Row],[Total HH]]&gt;1,1,WWWW[[#This Row],['#_households that received standard amount of sanitary pads for this quarter]]/WWWW[[#This Row],[Total HH]])</f>
        <v>1</v>
      </c>
      <c r="DE422" s="712">
        <f>WWWW[[#This Row],['#_Constructed/Existing hand washing stations]]-WWWW[[#This Row],['#_Non-Functional_hand_washing_stations]]</f>
        <v>0</v>
      </c>
      <c r="DF422" s="757">
        <f>IF(WWWW[[#This Row],['# Functional hand washing stations during reporting period]]*20&gt;WWWW[[#This Row],[Total HH]],WWWW[[#This Row],[Total HH]],WWWW[[#This Row],['# Functional hand washing stations during reporting period]]*20)</f>
        <v>0</v>
      </c>
      <c r="DG422" s="708">
        <f>IF(WWWW[[#This Row],[Is sufficient soap available for TLS? (Yes/No)]]="yes",WWWW[[#This Row],['#_Constructed/Existing hand washing stations at TLS]],0)</f>
        <v>0</v>
      </c>
      <c r="DH422" s="585">
        <f>IF(WWWW[[#This Row],['# Functional hand washing stations during reporting period]]*100&gt;WWWW[[#This Row],[Total PoP ]],WWWW[[#This Row],[Total PoP ]],WWWW[[#This Row],['# Functional hand washing stations during reporting period]]*100)</f>
        <v>0</v>
      </c>
      <c r="DI422" s="585" t="str">
        <f>IF(OR(WWWW[[#This Row],['#_students at TLS_CFS]]="",WWWW[[#This Row],['#_students at TLS_CFS]]=0),"No","Yes")</f>
        <v>No</v>
      </c>
      <c r="DJ422" s="711">
        <f>VLOOKUP(WWWW[[#This Row],[Site Name]],SiteDB6[[Site Name]:[CCCM Management]],6,FALSE)</f>
        <v>0</v>
      </c>
      <c r="DK422" s="711">
        <f>VLOOKUP(WWWW[[#This Row],[Site Name]],SiteDB6[[Site Name]:[CCCM Focal Agency]],7,FALSE)</f>
        <v>0</v>
      </c>
      <c r="DL422" s="711" t="str">
        <f>VLOOKUP(WWWW[[#This Row],[Site Name]],SiteDB6[[Site Name]:[Location Type 1]],9,FALSE)</f>
        <v>Temporary location</v>
      </c>
      <c r="DM422" s="711" t="str">
        <f>VLOOKUP(WWWW[[#This Row],[Site Name]],SiteDB6[[Site Name]:[Type of Accommodation]],10,FALSE)</f>
        <v>Temporary location</v>
      </c>
      <c r="DN422" s="711">
        <f>VLOOKUP(WWWW[[#This Row],[Site Name]],SiteDB6[[Site Name]:[Ethnic or GCA/NGCA]],11,FALSE)</f>
        <v>0</v>
      </c>
      <c r="DO422" s="711">
        <f>VLOOKUP(WWWW[[#This Row],[Site Name]],SiteDB6[[Site Name]:[Lat]],12,FALSE)</f>
        <v>20.599809646606399</v>
      </c>
      <c r="DP422" s="711">
        <f>VLOOKUP(WWWW[[#This Row],[Site Name]],SiteDB6[[Site Name]:[Long]],13,FALSE)</f>
        <v>93.265541076660199</v>
      </c>
      <c r="DQ422" s="711">
        <f>VLOOKUP(WWWW[[#This Row],[Site Name]],SiteDB6[[Site Name]:[Pcode]],3,FALSE)</f>
        <v>197051</v>
      </c>
      <c r="DR422" s="709" t="str">
        <f t="shared" si="13"/>
        <v>Covered</v>
      </c>
      <c r="DS422" s="709"/>
      <c r="DV422" s="572"/>
    </row>
    <row r="423" spans="1:126">
      <c r="A423" s="552" t="s">
        <v>2518</v>
      </c>
      <c r="B423" s="701" t="s">
        <v>3133</v>
      </c>
      <c r="C423" s="701" t="s">
        <v>3133</v>
      </c>
      <c r="D423" s="702"/>
      <c r="E423" s="703" t="s">
        <v>3006</v>
      </c>
      <c r="F423" s="702" t="s">
        <v>330</v>
      </c>
      <c r="G423" s="704" t="str">
        <f>VLOOKUP(WWWW[[#This Row],[Site Name]],SiteDB6[[Site Name]:[Location Type]],8,FALSE)</f>
        <v>New Temporary Site</v>
      </c>
      <c r="H423" s="702" t="s">
        <v>3132</v>
      </c>
      <c r="I423" s="705">
        <v>467</v>
      </c>
      <c r="J423" s="705">
        <v>1663</v>
      </c>
      <c r="K423" s="706"/>
      <c r="L423" s="707"/>
      <c r="M423" s="705"/>
      <c r="N423" s="705"/>
      <c r="O423" s="705"/>
      <c r="P423" s="705"/>
      <c r="Q423" s="708"/>
      <c r="R423" s="705"/>
      <c r="S423" s="705"/>
      <c r="T423" s="312"/>
      <c r="U423" s="705"/>
      <c r="V423" s="705"/>
      <c r="W423" s="705"/>
      <c r="X423" s="705"/>
      <c r="Y423" s="705"/>
      <c r="Z423" s="705"/>
      <c r="AA423" s="705"/>
      <c r="AB423" s="705"/>
      <c r="AC423" s="705"/>
      <c r="AD423" s="705"/>
      <c r="AE423" s="705"/>
      <c r="AF423" s="705"/>
      <c r="AG423" s="705"/>
      <c r="AH423" s="705"/>
      <c r="AI423" s="705"/>
      <c r="AJ423" s="705"/>
      <c r="AK423" s="705"/>
      <c r="AL423" s="705"/>
      <c r="AM423" s="705"/>
      <c r="AN423" s="705"/>
      <c r="AO423" s="709"/>
      <c r="AP423" s="705"/>
      <c r="AQ423" s="705"/>
      <c r="AR423" s="710"/>
      <c r="AS423" s="705"/>
      <c r="AT423" s="705"/>
      <c r="AU423" s="705"/>
      <c r="AV423" s="705"/>
      <c r="AW423" s="705"/>
      <c r="AX423" s="711"/>
      <c r="AY423" s="709"/>
      <c r="AZ423" s="705"/>
      <c r="BA423" s="705"/>
      <c r="BB423" s="705"/>
      <c r="BC423" s="711"/>
      <c r="BD423" s="705"/>
      <c r="BE423" s="705"/>
      <c r="BF423" s="705"/>
      <c r="BG423" s="705"/>
      <c r="BH423" s="705"/>
      <c r="BI423" s="705"/>
      <c r="BJ423" s="705"/>
      <c r="BK423" s="705">
        <v>737</v>
      </c>
      <c r="BL423" s="705">
        <v>737</v>
      </c>
      <c r="BM423" s="711"/>
      <c r="BN423" s="712"/>
      <c r="BO423" s="710"/>
      <c r="BP423" s="711"/>
      <c r="BQ423" s="713" t="str">
        <f>IFERROR(WWWW[[#This Row],['#_Water sources treated]]/WWWW[[#This Row],['#_Water sources tested for contamination]],"no test")</f>
        <v>no test</v>
      </c>
      <c r="BR423" s="710" t="str">
        <f>IFERROR(WWWW[[#This Row],['#_Household received remediation action due to contamination]]/WWWW[[#This Row],['#_Household water samples tested for contamination]],"no test")</f>
        <v>no test</v>
      </c>
      <c r="BS423" s="712" t="str">
        <f>IF(AND(WWWW[[#This Row],[% of water sources treated]]="no test",WWWW[[#This Row],[% Household received corrective actions]]="no test"),"No Test","Tested")</f>
        <v>No Test</v>
      </c>
      <c r="BT423" s="712">
        <f>WWWW[[#This Row],['#_Constructed/existing protected hand dug well]]-WWWW[[#This Row],['#_Non-functional protected hand dug well]]</f>
        <v>0</v>
      </c>
      <c r="BU423" s="712">
        <f>(WWWW[[#This Row],['#_Constructed/Existing tube wells/boreholes/handpumps_WASH_agency]]+WWWW[[#This Row],['#_Non-Cluster partner water tube-wells/boreholes/handpumps]])-WWWW[[#This Row],['#_Non-functional tube wells/boreholes/handpumps]]</f>
        <v>0</v>
      </c>
      <c r="BV423" s="712">
        <f>WWWW[[#This Row],['#_Constructed/Existingwater storage tank with gravity fed reticulation system]]-WWWW[[#This Row],['#_Non-functional storage tank gravity fed reticulation system]]</f>
        <v>0</v>
      </c>
      <c r="BW423" s="712">
        <f>WWWW[[#This Row],['#_Water boating or water trucking]]</f>
        <v>0</v>
      </c>
      <c r="BX423" s="712">
        <f>WWWW[[#This Row],['#_Constructed/Existing water distribution system from river or natural spring]]</f>
        <v>0</v>
      </c>
      <c r="BY42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3" s="710">
        <f>IF(WWWW[[#This Row],[Location Type 1]]="Village",WWWW[[#This Row],[Access to safe drinking water for Village]],WWWW[[#This Row],[Access to safe drinking water for Camp]])</f>
        <v>0</v>
      </c>
      <c r="CB423" s="708">
        <f>WWWW[[#This Row],[%Equitable and continuous access to sufficient quantity of safe drinking water]]*WWWW[[#This Row],[Total PoP ]]</f>
        <v>0</v>
      </c>
      <c r="CC423" s="710">
        <f>IF((WWWW[[#This Row],['#_Constructed/Existing protected/fenced ponds]]*250)/WWWW[[#This Row],[Total PoP ]]&gt;1,1,(WWWW[[#This Row],['#_Constructed/Existing protected/fenced ponds]]*250)/WWWW[[#This Row],[Total PoP ]])</f>
        <v>0</v>
      </c>
      <c r="CD423" s="708">
        <f>WWWW[[#This Row],[% Access to unimproved water points]]*WWWW[[#This Row],[Total PoP ]]</f>
        <v>0</v>
      </c>
      <c r="CE42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3" s="708">
        <f>WWWW[[#This Row],[HRP1]]/500</f>
        <v>0</v>
      </c>
      <c r="CH423" s="714">
        <f>1-WWWW[[#This Row],[% Equitable and continuous access to sufficient quantity of domestic water]]</f>
        <v>1</v>
      </c>
      <c r="CI423" s="708">
        <f>WWWW[[#This Row],[%equitable and continuous access to sufficient quantity of safe drinking and domestic water''s GAP]]*WWWW[[#This Row],[Total PoP ]]</f>
        <v>1663</v>
      </c>
      <c r="CJ423" s="712">
        <f>IF(WWWW[[#This Row],[Total required water points]]-WWWW[[#This Row],['#Water points coverage]]&lt;0,0,WWWW[[#This Row],[Total required water points]]-WWWW[[#This Row],['#Water points coverage]])</f>
        <v>3</v>
      </c>
      <c r="CK423" s="712">
        <f>ROUND(IF(WWWW[[#This Row],[Total PoP ]]&lt;500,1,WWWW[[#This Row],[Total PoP ]]/500),0)</f>
        <v>3</v>
      </c>
      <c r="CL423" s="712">
        <f>(WWWW[[#This Row],['#_Constructed latrines_by_WASHAgencies]]+WWWW[[#This Row],['#_Non Cluster partner latrines]])-WWWW[[#This Row],['#_Non-functional latrines]]</f>
        <v>0</v>
      </c>
      <c r="CM42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3" s="712">
        <f>IF(WWWW[[#This Row],[Location Type 1]]="Village","NA",IF(WWWW[[#This Row],['#_Constructed/Existing latrines in TLS]]*50&gt;WWWW[[#This Row],['#_students at TLS_CFS]],WWWW[[#This Row],['#_students at TLS_CFS]],(WWWW[[#This Row],['#_Constructed/Existing latrines in TLS]]*50)))</f>
        <v>0</v>
      </c>
      <c r="CQ423" s="712">
        <f>ROUND(IF(WWWW[[#This Row],[Location Type 1]]="camp",WWWW[[#This Row],[Total PoP ]]/20,IF(WWWW[[#This Row],[Location Type 1]]="Temporary Location",WWWW[[#This Row],[Total PoP ]]/50,(WWWW[[#This Row],[Total PoP ]]/6))),0)</f>
        <v>33</v>
      </c>
      <c r="CR423" s="712">
        <f>IF(WWWW[[#This Row],[Total required Latrines]]-(WWWW[[#This Row],['#_Constructed latrines_by_WASHAgencies]]+WWWW[[#This Row],['#_Non Cluster partner latrines]])&lt;0,0,WWWW[[#This Row],[Total required Latrines]]-(WWWW[[#This Row],['#_Constructed latrines_by_WASHAgencies]]+WWWW[[#This Row],['#_Non Cluster partner latrines]]))</f>
        <v>33</v>
      </c>
      <c r="CS423" s="716">
        <f>1-WWWW[[#This Row],[% people access to functioning Latrine]]</f>
        <v>1</v>
      </c>
      <c r="CT423" s="713">
        <f>IF(OR(WWWW[[#This Row],['#_Non-functional latrines]]="",WWWW[[#This Row],['#_Non-functional latrines]]=0),0,WWWW[[#This Row],['#_Non-functional latrines]]/(WWWW[[#This Row],['#_Constructed latrines_by_WASHAgencies]]+WWWW[[#This Row],['#_Non Cluster partner latrines]]))</f>
        <v>0</v>
      </c>
      <c r="CU423" s="708">
        <f>IF(500*(WWWW[[#This Row],['#_male hygiene promoters]]+WWWW[[#This Row],['#_female hygiene promoters]])&gt;WWWW[[#This Row],[Total PoP ]],WWWW[[#This Row],[Total PoP ]],500*(WWWW[[#This Row],['#_male hygiene promoters]]+WWWW[[#This Row],['#_female hygiene promoters]]))</f>
        <v>0</v>
      </c>
      <c r="CV42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1663</v>
      </c>
      <c r="CW42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1663</v>
      </c>
      <c r="CX423" s="712">
        <f>IF(WWWW[[#This Row],['# People with access to soap]]&gt;WWWW[[#This Row],['# People with access to Sanity Pads]],WWWW[[#This Row],['# People with access to soap]],WWWW[[#This Row],['# People with access to Sanity Pads]])</f>
        <v>1663</v>
      </c>
      <c r="CY423" s="712">
        <f>IF(WWWW[[#This Row],['# people reached by regular dedicated hygiene promotion_5]]&gt;WWWW[[#This Row],['# People received regular supply of hygiene items_6]],WWWW[[#This Row],['# people reached by regular dedicated hygiene promotion_5]],WWWW[[#This Row],['# People received regular supply of hygiene items_6]])</f>
        <v>1663</v>
      </c>
      <c r="CZ423" s="714">
        <f>IF(WWWW[[#This Row],[HRP3]]/WWWW[[#This Row],[Total PoP ]]&gt;100%,100%,WWWW[[#This Row],[HRP3]]/WWWW[[#This Row],[Total PoP ]])</f>
        <v>1</v>
      </c>
      <c r="DA423" s="713">
        <f>1-WWWW[[#This Row],[Hygiene Coverage%]]</f>
        <v>0</v>
      </c>
      <c r="DB423" s="710">
        <f>WWWW[[#This Row],['# people reached by regular dedicated hygiene promotion_5]]/WWWW[[#This Row],[Total PoP ]]</f>
        <v>0</v>
      </c>
      <c r="DC423" s="710">
        <f>IF(WWWW[[#This Row],['#_households that received standard amount of soap for this quarter]]/WWWW[[#This Row],[Total HH]]&gt;1,1,WWWW[[#This Row],['#_households that received standard amount of soap for this quarter]]/WWWW[[#This Row],[Total HH]])</f>
        <v>1</v>
      </c>
      <c r="DD423" s="710">
        <f>IF(WWWW[[#This Row],['#_households that received standard amount of sanitary pads for this quarter]]/WWWW[[#This Row],[Total HH]]&gt;1,1,WWWW[[#This Row],['#_households that received standard amount of sanitary pads for this quarter]]/WWWW[[#This Row],[Total HH]])</f>
        <v>1</v>
      </c>
      <c r="DE423" s="712">
        <f>WWWW[[#This Row],['#_Constructed/Existing hand washing stations]]-WWWW[[#This Row],['#_Non-Functional_hand_washing_stations]]</f>
        <v>0</v>
      </c>
      <c r="DF423" s="757">
        <f>IF(WWWW[[#This Row],['# Functional hand washing stations during reporting period]]*20&gt;WWWW[[#This Row],[Total HH]],WWWW[[#This Row],[Total HH]],WWWW[[#This Row],['# Functional hand washing stations during reporting period]]*20)</f>
        <v>0</v>
      </c>
      <c r="DG423" s="708">
        <f>IF(WWWW[[#This Row],[Is sufficient soap available for TLS? (Yes/No)]]="yes",WWWW[[#This Row],['#_Constructed/Existing hand washing stations at TLS]],0)</f>
        <v>0</v>
      </c>
      <c r="DH423" s="585">
        <f>IF(WWWW[[#This Row],['# Functional hand washing stations during reporting period]]*100&gt;WWWW[[#This Row],[Total PoP ]],WWWW[[#This Row],[Total PoP ]],WWWW[[#This Row],['# Functional hand washing stations during reporting period]]*100)</f>
        <v>0</v>
      </c>
      <c r="DI423" s="585" t="str">
        <f>IF(OR(WWWW[[#This Row],['#_students at TLS_CFS]]="",WWWW[[#This Row],['#_students at TLS_CFS]]=0),"No","Yes")</f>
        <v>No</v>
      </c>
      <c r="DJ423" s="711">
        <f>VLOOKUP(WWWW[[#This Row],[Site Name]],SiteDB6[[Site Name]:[CCCM Management]],6,FALSE)</f>
        <v>0</v>
      </c>
      <c r="DK423" s="711">
        <f>VLOOKUP(WWWW[[#This Row],[Site Name]],SiteDB6[[Site Name]:[CCCM Focal Agency]],7,FALSE)</f>
        <v>0</v>
      </c>
      <c r="DL423" s="711" t="str">
        <f>VLOOKUP(WWWW[[#This Row],[Site Name]],SiteDB6[[Site Name]:[Location Type 1]],9,FALSE)</f>
        <v>Temporary location</v>
      </c>
      <c r="DM423" s="711" t="str">
        <f>VLOOKUP(WWWW[[#This Row],[Site Name]],SiteDB6[[Site Name]:[Type of Accommodation]],10,FALSE)</f>
        <v>Temporary location</v>
      </c>
      <c r="DN423" s="711">
        <f>VLOOKUP(WWWW[[#This Row],[Site Name]],SiteDB6[[Site Name]:[Ethnic or GCA/NGCA]],11,FALSE)</f>
        <v>0</v>
      </c>
      <c r="DO423" s="711">
        <f>VLOOKUP(WWWW[[#This Row],[Site Name]],SiteDB6[[Site Name]:[Lat]],12,FALSE)</f>
        <v>20.593980789184599</v>
      </c>
      <c r="DP423" s="711">
        <f>VLOOKUP(WWWW[[#This Row],[Site Name]],SiteDB6[[Site Name]:[Long]],13,FALSE)</f>
        <v>93.261528015136705</v>
      </c>
      <c r="DQ423" s="711">
        <f>VLOOKUP(WWWW[[#This Row],[Site Name]],SiteDB6[[Site Name]:[Pcode]],3,FALSE)</f>
        <v>197065</v>
      </c>
      <c r="DR423" s="709" t="str">
        <f t="shared" si="13"/>
        <v>Covered</v>
      </c>
      <c r="DS423" s="709"/>
      <c r="DV423" s="572"/>
    </row>
    <row r="424" spans="1:126">
      <c r="A424" s="552" t="s">
        <v>2518</v>
      </c>
      <c r="B424" s="808" t="s">
        <v>317</v>
      </c>
      <c r="C424" s="808" t="s">
        <v>317</v>
      </c>
      <c r="D424" s="702"/>
      <c r="E424" s="703" t="s">
        <v>3006</v>
      </c>
      <c r="F424" s="702" t="s">
        <v>330</v>
      </c>
      <c r="G424" s="704" t="str">
        <f>VLOOKUP(WWWW[[#This Row],[Site Name]],SiteDB6[[Site Name]:[Location Type]],8,FALSE)</f>
        <v>New Temporary Site</v>
      </c>
      <c r="H424" s="702" t="s">
        <v>3161</v>
      </c>
      <c r="I424" s="705">
        <v>50</v>
      </c>
      <c r="J424" s="705">
        <v>200</v>
      </c>
      <c r="K424" s="706"/>
      <c r="L424" s="707"/>
      <c r="M424" s="705"/>
      <c r="N424" s="705"/>
      <c r="O424" s="705"/>
      <c r="P424" s="705"/>
      <c r="Q424" s="708"/>
      <c r="R424" s="705"/>
      <c r="S424" s="705"/>
      <c r="T424" s="312"/>
      <c r="U424" s="705"/>
      <c r="V424" s="705"/>
      <c r="W424" s="705"/>
      <c r="X424" s="705"/>
      <c r="Y424" s="705"/>
      <c r="Z424" s="705"/>
      <c r="AA424" s="705"/>
      <c r="AB424" s="705"/>
      <c r="AC424" s="705"/>
      <c r="AD424" s="705"/>
      <c r="AE424" s="705"/>
      <c r="AF424" s="705"/>
      <c r="AG424" s="705"/>
      <c r="AH424" s="705"/>
      <c r="AI424" s="705"/>
      <c r="AJ424" s="705"/>
      <c r="AK424" s="705"/>
      <c r="AL424" s="705"/>
      <c r="AM424" s="705"/>
      <c r="AN424" s="705"/>
      <c r="AO424" s="709"/>
      <c r="AP424" s="705"/>
      <c r="AQ424" s="705"/>
      <c r="AR424" s="710"/>
      <c r="AS424" s="705"/>
      <c r="AT424" s="705"/>
      <c r="AU424" s="705"/>
      <c r="AV424" s="705"/>
      <c r="AW424" s="705"/>
      <c r="AX424" s="711"/>
      <c r="AY424" s="709"/>
      <c r="AZ424" s="705"/>
      <c r="BA424" s="705"/>
      <c r="BB424" s="705"/>
      <c r="BC424" s="711"/>
      <c r="BD424" s="705"/>
      <c r="BE424" s="705"/>
      <c r="BF424" s="705"/>
      <c r="BG424" s="705"/>
      <c r="BH424" s="705"/>
      <c r="BI424" s="705"/>
      <c r="BJ424" s="705"/>
      <c r="BK424" s="705"/>
      <c r="BL424" s="705"/>
      <c r="BM424" s="711"/>
      <c r="BN424" s="712"/>
      <c r="BO424" s="710"/>
      <c r="BP424" s="711"/>
      <c r="BQ424" s="713" t="str">
        <f>IFERROR(WWWW[[#This Row],['#_Water sources treated]]/WWWW[[#This Row],['#_Water sources tested for contamination]],"no test")</f>
        <v>no test</v>
      </c>
      <c r="BR424" s="710" t="str">
        <f>IFERROR(WWWW[[#This Row],['#_Household received remediation action due to contamination]]/WWWW[[#This Row],['#_Household water samples tested for contamination]],"no test")</f>
        <v>no test</v>
      </c>
      <c r="BS424" s="712" t="str">
        <f>IF(AND(WWWW[[#This Row],[% of water sources treated]]="no test",WWWW[[#This Row],[% Household received corrective actions]]="no test"),"No Test","Tested")</f>
        <v>No Test</v>
      </c>
      <c r="BT424" s="712">
        <f>WWWW[[#This Row],['#_Constructed/existing protected hand dug well]]-WWWW[[#This Row],['#_Non-functional protected hand dug well]]</f>
        <v>0</v>
      </c>
      <c r="BU424" s="712">
        <f>(WWWW[[#This Row],['#_Constructed/Existing tube wells/boreholes/handpumps_WASH_agency]]+WWWW[[#This Row],['#_Non-Cluster partner water tube-wells/boreholes/handpumps]])-WWWW[[#This Row],['#_Non-functional tube wells/boreholes/handpumps]]</f>
        <v>0</v>
      </c>
      <c r="BV424" s="712">
        <f>WWWW[[#This Row],['#_Constructed/Existingwater storage tank with gravity fed reticulation system]]-WWWW[[#This Row],['#_Non-functional storage tank gravity fed reticulation system]]</f>
        <v>0</v>
      </c>
      <c r="BW424" s="712">
        <f>WWWW[[#This Row],['#_Water boating or water trucking]]</f>
        <v>0</v>
      </c>
      <c r="BX424" s="712">
        <f>WWWW[[#This Row],['#_Constructed/Existing water distribution system from river or natural spring]]</f>
        <v>0</v>
      </c>
      <c r="BY42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4" s="710">
        <f>IF(WWWW[[#This Row],[Location Type 1]]="Village",WWWW[[#This Row],[Access to safe drinking water for Village]],WWWW[[#This Row],[Access to safe drinking water for Camp]])</f>
        <v>0</v>
      </c>
      <c r="CB424" s="708">
        <f>WWWW[[#This Row],[%Equitable and continuous access to sufficient quantity of safe drinking water]]*WWWW[[#This Row],[Total PoP ]]</f>
        <v>0</v>
      </c>
      <c r="CC424" s="710">
        <f>IF((WWWW[[#This Row],['#_Constructed/Existing protected/fenced ponds]]*250)/WWWW[[#This Row],[Total PoP ]]&gt;1,1,(WWWW[[#This Row],['#_Constructed/Existing protected/fenced ponds]]*250)/WWWW[[#This Row],[Total PoP ]])</f>
        <v>0</v>
      </c>
      <c r="CD424" s="708">
        <f>WWWW[[#This Row],[% Access to unimproved water points]]*WWWW[[#This Row],[Total PoP ]]</f>
        <v>0</v>
      </c>
      <c r="CE42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4" s="708">
        <f>WWWW[[#This Row],[HRP1]]/500</f>
        <v>0</v>
      </c>
      <c r="CH424" s="714">
        <f>1-WWWW[[#This Row],[% Equitable and continuous access to sufficient quantity of domestic water]]</f>
        <v>1</v>
      </c>
      <c r="CI424" s="708">
        <f>WWWW[[#This Row],[%equitable and continuous access to sufficient quantity of safe drinking and domestic water''s GAP]]*WWWW[[#This Row],[Total PoP ]]</f>
        <v>200</v>
      </c>
      <c r="CJ424" s="712">
        <f>IF(WWWW[[#This Row],[Total required water points]]-WWWW[[#This Row],['#Water points coverage]]&lt;0,0,WWWW[[#This Row],[Total required water points]]-WWWW[[#This Row],['#Water points coverage]])</f>
        <v>1</v>
      </c>
      <c r="CK424" s="712">
        <f>ROUND(IF(WWWW[[#This Row],[Total PoP ]]&lt;500,1,WWWW[[#This Row],[Total PoP ]]/500),0)</f>
        <v>1</v>
      </c>
      <c r="CL424" s="712">
        <f>(WWWW[[#This Row],['#_Constructed latrines_by_WASHAgencies]]+WWWW[[#This Row],['#_Non Cluster partner latrines]])-WWWW[[#This Row],['#_Non-functional latrines]]</f>
        <v>0</v>
      </c>
      <c r="CM42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4" s="712">
        <f>IF(WWWW[[#This Row],[Location Type 1]]="Village","NA",IF(WWWW[[#This Row],['#_Constructed/Existing latrines in TLS]]*50&gt;WWWW[[#This Row],['#_students at TLS_CFS]],WWWW[[#This Row],['#_students at TLS_CFS]],(WWWW[[#This Row],['#_Constructed/Existing latrines in TLS]]*50)))</f>
        <v>0</v>
      </c>
      <c r="CQ424" s="712">
        <f>ROUND(IF(WWWW[[#This Row],[Location Type 1]]="camp",WWWW[[#This Row],[Total PoP ]]/20,IF(WWWW[[#This Row],[Location Type 1]]="Temporary Location",WWWW[[#This Row],[Total PoP ]]/50,(WWWW[[#This Row],[Total PoP ]]/6))),0)</f>
        <v>4</v>
      </c>
      <c r="CR424" s="712">
        <f>IF(WWWW[[#This Row],[Total required Latrines]]-(WWWW[[#This Row],['#_Constructed latrines_by_WASHAgencies]]+WWWW[[#This Row],['#_Non Cluster partner latrines]])&lt;0,0,WWWW[[#This Row],[Total required Latrines]]-(WWWW[[#This Row],['#_Constructed latrines_by_WASHAgencies]]+WWWW[[#This Row],['#_Non Cluster partner latrines]]))</f>
        <v>4</v>
      </c>
      <c r="CS424" s="716">
        <f>1-WWWW[[#This Row],[% people access to functioning Latrine]]</f>
        <v>1</v>
      </c>
      <c r="CT424" s="713">
        <f>IF(OR(WWWW[[#This Row],['#_Non-functional latrines]]="",WWWW[[#This Row],['#_Non-functional latrines]]=0),0,WWWW[[#This Row],['#_Non-functional latrines]]/(WWWW[[#This Row],['#_Constructed latrines_by_WASHAgencies]]+WWWW[[#This Row],['#_Non Cluster partner latrines]]))</f>
        <v>0</v>
      </c>
      <c r="CU424" s="708">
        <f>IF(500*(WWWW[[#This Row],['#_male hygiene promoters]]+WWWW[[#This Row],['#_female hygiene promoters]])&gt;WWWW[[#This Row],[Total PoP ]],WWWW[[#This Row],[Total PoP ]],500*(WWWW[[#This Row],['#_male hygiene promoters]]+WWWW[[#This Row],['#_female hygiene promoters]]))</f>
        <v>0</v>
      </c>
      <c r="CV42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4" s="712">
        <f>IF(WWWW[[#This Row],['# People with access to soap]]&gt;WWWW[[#This Row],['# People with access to Sanity Pads]],WWWW[[#This Row],['# People with access to soap]],WWWW[[#This Row],['# People with access to Sanity Pads]])</f>
        <v>0</v>
      </c>
      <c r="CY42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4" s="714">
        <f>IF(WWWW[[#This Row],[HRP3]]/WWWW[[#This Row],[Total PoP ]]&gt;100%,100%,WWWW[[#This Row],[HRP3]]/WWWW[[#This Row],[Total PoP ]])</f>
        <v>0</v>
      </c>
      <c r="DA424" s="713">
        <f>1-WWWW[[#This Row],[Hygiene Coverage%]]</f>
        <v>1</v>
      </c>
      <c r="DB424" s="710">
        <f>WWWW[[#This Row],['# people reached by regular dedicated hygiene promotion_5]]/WWWW[[#This Row],[Total PoP ]]</f>
        <v>0</v>
      </c>
      <c r="DC424" s="710">
        <f>IF(WWWW[[#This Row],['#_households that received standard amount of soap for this quarter]]/WWWW[[#This Row],[Total HH]]&gt;1,1,WWWW[[#This Row],['#_households that received standard amount of soap for this quarter]]/WWWW[[#This Row],[Total HH]])</f>
        <v>0</v>
      </c>
      <c r="DD424" s="710">
        <f>IF(WWWW[[#This Row],['#_households that received standard amount of sanitary pads for this quarter]]/WWWW[[#This Row],[Total HH]]&gt;1,1,WWWW[[#This Row],['#_households that received standard amount of sanitary pads for this quarter]]/WWWW[[#This Row],[Total HH]])</f>
        <v>0</v>
      </c>
      <c r="DE424" s="712">
        <f>WWWW[[#This Row],['#_Constructed/Existing hand washing stations]]-WWWW[[#This Row],['#_Non-Functional_hand_washing_stations]]</f>
        <v>0</v>
      </c>
      <c r="DF424" s="757">
        <f>IF(WWWW[[#This Row],['# Functional hand washing stations during reporting period]]*20&gt;WWWW[[#This Row],[Total HH]],WWWW[[#This Row],[Total HH]],WWWW[[#This Row],['# Functional hand washing stations during reporting period]]*20)</f>
        <v>0</v>
      </c>
      <c r="DG424" s="708">
        <f>IF(WWWW[[#This Row],[Is sufficient soap available for TLS? (Yes/No)]]="yes",WWWW[[#This Row],['#_Constructed/Existing hand washing stations at TLS]],0)</f>
        <v>0</v>
      </c>
      <c r="DH424" s="585">
        <f>IF(WWWW[[#This Row],['# Functional hand washing stations during reporting period]]*100&gt;WWWW[[#This Row],[Total PoP ]],WWWW[[#This Row],[Total PoP ]],WWWW[[#This Row],['# Functional hand washing stations during reporting period]]*100)</f>
        <v>0</v>
      </c>
      <c r="DI424" s="585" t="str">
        <f>IF(OR(WWWW[[#This Row],['#_students at TLS_CFS]]="",WWWW[[#This Row],['#_students at TLS_CFS]]=0),"No","Yes")</f>
        <v>No</v>
      </c>
      <c r="DJ424" s="711">
        <f>VLOOKUP(WWWW[[#This Row],[Site Name]],SiteDB6[[Site Name]:[CCCM Management]],6,FALSE)</f>
        <v>0</v>
      </c>
      <c r="DK424" s="711">
        <f>VLOOKUP(WWWW[[#This Row],[Site Name]],SiteDB6[[Site Name]:[CCCM Focal Agency]],7,FALSE)</f>
        <v>0</v>
      </c>
      <c r="DL424" s="711" t="str">
        <f>VLOOKUP(WWWW[[#This Row],[Site Name]],SiteDB6[[Site Name]:[Location Type 1]],9,FALSE)</f>
        <v>Temporary location</v>
      </c>
      <c r="DM424" s="711" t="str">
        <f>VLOOKUP(WWWW[[#This Row],[Site Name]],SiteDB6[[Site Name]:[Type of Accommodation]],10,FALSE)</f>
        <v>Temporary location</v>
      </c>
      <c r="DN424" s="711">
        <f>VLOOKUP(WWWW[[#This Row],[Site Name]],SiteDB6[[Site Name]:[Ethnic or GCA/NGCA]],11,FALSE)</f>
        <v>0</v>
      </c>
      <c r="DO424" s="711">
        <f>VLOOKUP(WWWW[[#This Row],[Site Name]],SiteDB6[[Site Name]:[Lat]],12,FALSE)</f>
        <v>0</v>
      </c>
      <c r="DP424" s="711">
        <f>VLOOKUP(WWWW[[#This Row],[Site Name]],SiteDB6[[Site Name]:[Long]],13,FALSE)</f>
        <v>0</v>
      </c>
      <c r="DQ424" s="711">
        <f>VLOOKUP(WWWW[[#This Row],[Site Name]],SiteDB6[[Site Name]:[Pcode]],3,FALSE)</f>
        <v>0</v>
      </c>
      <c r="DR424" s="709" t="str">
        <f t="shared" si="13"/>
        <v>Notcovered</v>
      </c>
      <c r="DS424" s="709"/>
      <c r="DV424" s="572"/>
    </row>
    <row r="425" spans="1:126">
      <c r="A425" s="552" t="s">
        <v>2518</v>
      </c>
      <c r="B425" s="808" t="s">
        <v>317</v>
      </c>
      <c r="C425" s="808" t="s">
        <v>317</v>
      </c>
      <c r="D425" s="702"/>
      <c r="E425" s="703" t="s">
        <v>3006</v>
      </c>
      <c r="F425" s="702" t="s">
        <v>330</v>
      </c>
      <c r="G425" s="704" t="str">
        <f>VLOOKUP(WWWW[[#This Row],[Site Name]],SiteDB6[[Site Name]:[Location Type]],8,FALSE)</f>
        <v>New Temporary Site</v>
      </c>
      <c r="H425" s="702" t="s">
        <v>3162</v>
      </c>
      <c r="I425" s="705">
        <v>207</v>
      </c>
      <c r="J425" s="705">
        <v>929</v>
      </c>
      <c r="K425" s="706"/>
      <c r="L425" s="707"/>
      <c r="M425" s="705"/>
      <c r="N425" s="705"/>
      <c r="O425" s="705"/>
      <c r="P425" s="705"/>
      <c r="Q425" s="708"/>
      <c r="R425" s="705"/>
      <c r="S425" s="705"/>
      <c r="T425" s="312"/>
      <c r="U425" s="705"/>
      <c r="V425" s="705"/>
      <c r="W425" s="705"/>
      <c r="X425" s="705"/>
      <c r="Y425" s="705"/>
      <c r="Z425" s="705"/>
      <c r="AA425" s="705"/>
      <c r="AB425" s="705"/>
      <c r="AC425" s="705"/>
      <c r="AD425" s="705"/>
      <c r="AE425" s="705"/>
      <c r="AF425" s="705"/>
      <c r="AG425" s="705"/>
      <c r="AH425" s="705"/>
      <c r="AI425" s="705"/>
      <c r="AJ425" s="705"/>
      <c r="AK425" s="705"/>
      <c r="AL425" s="705"/>
      <c r="AM425" s="705"/>
      <c r="AN425" s="705"/>
      <c r="AO425" s="709"/>
      <c r="AP425" s="705"/>
      <c r="AQ425" s="705"/>
      <c r="AR425" s="710"/>
      <c r="AS425" s="705"/>
      <c r="AT425" s="705"/>
      <c r="AU425" s="705"/>
      <c r="AV425" s="705"/>
      <c r="AW425" s="705"/>
      <c r="AX425" s="711"/>
      <c r="AY425" s="709"/>
      <c r="AZ425" s="705"/>
      <c r="BA425" s="705"/>
      <c r="BB425" s="705"/>
      <c r="BC425" s="711"/>
      <c r="BD425" s="705"/>
      <c r="BE425" s="705"/>
      <c r="BF425" s="705"/>
      <c r="BG425" s="705"/>
      <c r="BH425" s="705"/>
      <c r="BI425" s="705"/>
      <c r="BJ425" s="705"/>
      <c r="BK425" s="705"/>
      <c r="BL425" s="705"/>
      <c r="BM425" s="711"/>
      <c r="BN425" s="712"/>
      <c r="BO425" s="710"/>
      <c r="BP425" s="711"/>
      <c r="BQ425" s="713" t="str">
        <f>IFERROR(WWWW[[#This Row],['#_Water sources treated]]/WWWW[[#This Row],['#_Water sources tested for contamination]],"no test")</f>
        <v>no test</v>
      </c>
      <c r="BR425" s="710" t="str">
        <f>IFERROR(WWWW[[#This Row],['#_Household received remediation action due to contamination]]/WWWW[[#This Row],['#_Household water samples tested for contamination]],"no test")</f>
        <v>no test</v>
      </c>
      <c r="BS425" s="712" t="str">
        <f>IF(AND(WWWW[[#This Row],[% of water sources treated]]="no test",WWWW[[#This Row],[% Household received corrective actions]]="no test"),"No Test","Tested")</f>
        <v>No Test</v>
      </c>
      <c r="BT425" s="712">
        <f>WWWW[[#This Row],['#_Constructed/existing protected hand dug well]]-WWWW[[#This Row],['#_Non-functional protected hand dug well]]</f>
        <v>0</v>
      </c>
      <c r="BU425" s="712">
        <f>(WWWW[[#This Row],['#_Constructed/Existing tube wells/boreholes/handpumps_WASH_agency]]+WWWW[[#This Row],['#_Non-Cluster partner water tube-wells/boreholes/handpumps]])-WWWW[[#This Row],['#_Non-functional tube wells/boreholes/handpumps]]</f>
        <v>0</v>
      </c>
      <c r="BV425" s="712">
        <f>WWWW[[#This Row],['#_Constructed/Existingwater storage tank with gravity fed reticulation system]]-WWWW[[#This Row],['#_Non-functional storage tank gravity fed reticulation system]]</f>
        <v>0</v>
      </c>
      <c r="BW425" s="712">
        <f>WWWW[[#This Row],['#_Water boating or water trucking]]</f>
        <v>0</v>
      </c>
      <c r="BX425" s="712">
        <f>WWWW[[#This Row],['#_Constructed/Existing water distribution system from river or natural spring]]</f>
        <v>0</v>
      </c>
      <c r="BY42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5" s="710">
        <f>IF(WWWW[[#This Row],[Location Type 1]]="Village",WWWW[[#This Row],[Access to safe drinking water for Village]],WWWW[[#This Row],[Access to safe drinking water for Camp]])</f>
        <v>0</v>
      </c>
      <c r="CB425" s="708">
        <f>WWWW[[#This Row],[%Equitable and continuous access to sufficient quantity of safe drinking water]]*WWWW[[#This Row],[Total PoP ]]</f>
        <v>0</v>
      </c>
      <c r="CC425" s="710">
        <f>IF((WWWW[[#This Row],['#_Constructed/Existing protected/fenced ponds]]*250)/WWWW[[#This Row],[Total PoP ]]&gt;1,1,(WWWW[[#This Row],['#_Constructed/Existing protected/fenced ponds]]*250)/WWWW[[#This Row],[Total PoP ]])</f>
        <v>0</v>
      </c>
      <c r="CD425" s="708">
        <f>WWWW[[#This Row],[% Access to unimproved water points]]*WWWW[[#This Row],[Total PoP ]]</f>
        <v>0</v>
      </c>
      <c r="CE42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5" s="708">
        <f>WWWW[[#This Row],[HRP1]]/500</f>
        <v>0</v>
      </c>
      <c r="CH425" s="714">
        <f>1-WWWW[[#This Row],[% Equitable and continuous access to sufficient quantity of domestic water]]</f>
        <v>1</v>
      </c>
      <c r="CI425" s="708">
        <f>WWWW[[#This Row],[%equitable and continuous access to sufficient quantity of safe drinking and domestic water''s GAP]]*WWWW[[#This Row],[Total PoP ]]</f>
        <v>929</v>
      </c>
      <c r="CJ425" s="712">
        <f>IF(WWWW[[#This Row],[Total required water points]]-WWWW[[#This Row],['#Water points coverage]]&lt;0,0,WWWW[[#This Row],[Total required water points]]-WWWW[[#This Row],['#Water points coverage]])</f>
        <v>2</v>
      </c>
      <c r="CK425" s="712">
        <f>ROUND(IF(WWWW[[#This Row],[Total PoP ]]&lt;500,1,WWWW[[#This Row],[Total PoP ]]/500),0)</f>
        <v>2</v>
      </c>
      <c r="CL425" s="712">
        <f>(WWWW[[#This Row],['#_Constructed latrines_by_WASHAgencies]]+WWWW[[#This Row],['#_Non Cluster partner latrines]])-WWWW[[#This Row],['#_Non-functional latrines]]</f>
        <v>0</v>
      </c>
      <c r="CM42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5" s="712">
        <f>IF(WWWW[[#This Row],[Location Type 1]]="Village","NA",IF(WWWW[[#This Row],['#_Constructed/Existing latrines in TLS]]*50&gt;WWWW[[#This Row],['#_students at TLS_CFS]],WWWW[[#This Row],['#_students at TLS_CFS]],(WWWW[[#This Row],['#_Constructed/Existing latrines in TLS]]*50)))</f>
        <v>0</v>
      </c>
      <c r="CQ425" s="712">
        <f>ROUND(IF(WWWW[[#This Row],[Location Type 1]]="camp",WWWW[[#This Row],[Total PoP ]]/20,IF(WWWW[[#This Row],[Location Type 1]]="Temporary Location",WWWW[[#This Row],[Total PoP ]]/50,(WWWW[[#This Row],[Total PoP ]]/6))),0)</f>
        <v>19</v>
      </c>
      <c r="CR425" s="712">
        <f>IF(WWWW[[#This Row],[Total required Latrines]]-(WWWW[[#This Row],['#_Constructed latrines_by_WASHAgencies]]+WWWW[[#This Row],['#_Non Cluster partner latrines]])&lt;0,0,WWWW[[#This Row],[Total required Latrines]]-(WWWW[[#This Row],['#_Constructed latrines_by_WASHAgencies]]+WWWW[[#This Row],['#_Non Cluster partner latrines]]))</f>
        <v>19</v>
      </c>
      <c r="CS425" s="716">
        <f>1-WWWW[[#This Row],[% people access to functioning Latrine]]</f>
        <v>1</v>
      </c>
      <c r="CT425" s="713">
        <f>IF(OR(WWWW[[#This Row],['#_Non-functional latrines]]="",WWWW[[#This Row],['#_Non-functional latrines]]=0),0,WWWW[[#This Row],['#_Non-functional latrines]]/(WWWW[[#This Row],['#_Constructed latrines_by_WASHAgencies]]+WWWW[[#This Row],['#_Non Cluster partner latrines]]))</f>
        <v>0</v>
      </c>
      <c r="CU425" s="708">
        <f>IF(500*(WWWW[[#This Row],['#_male hygiene promoters]]+WWWW[[#This Row],['#_female hygiene promoters]])&gt;WWWW[[#This Row],[Total PoP ]],WWWW[[#This Row],[Total PoP ]],500*(WWWW[[#This Row],['#_male hygiene promoters]]+WWWW[[#This Row],['#_female hygiene promoters]]))</f>
        <v>0</v>
      </c>
      <c r="CV42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2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25" s="712">
        <f>IF(WWWW[[#This Row],['# People with access to soap]]&gt;WWWW[[#This Row],['# People with access to Sanity Pads]],WWWW[[#This Row],['# People with access to soap]],WWWW[[#This Row],['# People with access to Sanity Pads]])</f>
        <v>0</v>
      </c>
      <c r="CY42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25" s="714">
        <f>IF(WWWW[[#This Row],[HRP3]]/WWWW[[#This Row],[Total PoP ]]&gt;100%,100%,WWWW[[#This Row],[HRP3]]/WWWW[[#This Row],[Total PoP ]])</f>
        <v>0</v>
      </c>
      <c r="DA425" s="713">
        <f>1-WWWW[[#This Row],[Hygiene Coverage%]]</f>
        <v>1</v>
      </c>
      <c r="DB425" s="710">
        <f>WWWW[[#This Row],['# people reached by regular dedicated hygiene promotion_5]]/WWWW[[#This Row],[Total PoP ]]</f>
        <v>0</v>
      </c>
      <c r="DC425" s="710">
        <f>IF(WWWW[[#This Row],['#_households that received standard amount of soap for this quarter]]/WWWW[[#This Row],[Total HH]]&gt;1,1,WWWW[[#This Row],['#_households that received standard amount of soap for this quarter]]/WWWW[[#This Row],[Total HH]])</f>
        <v>0</v>
      </c>
      <c r="DD425" s="710">
        <f>IF(WWWW[[#This Row],['#_households that received standard amount of sanitary pads for this quarter]]/WWWW[[#This Row],[Total HH]]&gt;1,1,WWWW[[#This Row],['#_households that received standard amount of sanitary pads for this quarter]]/WWWW[[#This Row],[Total HH]])</f>
        <v>0</v>
      </c>
      <c r="DE425" s="712">
        <f>WWWW[[#This Row],['#_Constructed/Existing hand washing stations]]-WWWW[[#This Row],['#_Non-Functional_hand_washing_stations]]</f>
        <v>0</v>
      </c>
      <c r="DF425" s="757">
        <f>IF(WWWW[[#This Row],['# Functional hand washing stations during reporting period]]*20&gt;WWWW[[#This Row],[Total HH]],WWWW[[#This Row],[Total HH]],WWWW[[#This Row],['# Functional hand washing stations during reporting period]]*20)</f>
        <v>0</v>
      </c>
      <c r="DG425" s="708">
        <f>IF(WWWW[[#This Row],[Is sufficient soap available for TLS? (Yes/No)]]="yes",WWWW[[#This Row],['#_Constructed/Existing hand washing stations at TLS]],0)</f>
        <v>0</v>
      </c>
      <c r="DH425" s="585">
        <f>IF(WWWW[[#This Row],['# Functional hand washing stations during reporting period]]*100&gt;WWWW[[#This Row],[Total PoP ]],WWWW[[#This Row],[Total PoP ]],WWWW[[#This Row],['# Functional hand washing stations during reporting period]]*100)</f>
        <v>0</v>
      </c>
      <c r="DI425" s="585" t="str">
        <f>IF(OR(WWWW[[#This Row],['#_students at TLS_CFS]]="",WWWW[[#This Row],['#_students at TLS_CFS]]=0),"No","Yes")</f>
        <v>No</v>
      </c>
      <c r="DJ425" s="711">
        <f>VLOOKUP(WWWW[[#This Row],[Site Name]],SiteDB6[[Site Name]:[CCCM Management]],6,FALSE)</f>
        <v>0</v>
      </c>
      <c r="DK425" s="711">
        <f>VLOOKUP(WWWW[[#This Row],[Site Name]],SiteDB6[[Site Name]:[CCCM Focal Agency]],7,FALSE)</f>
        <v>0</v>
      </c>
      <c r="DL425" s="711" t="str">
        <f>VLOOKUP(WWWW[[#This Row],[Site Name]],SiteDB6[[Site Name]:[Location Type 1]],9,FALSE)</f>
        <v>Temporary location</v>
      </c>
      <c r="DM425" s="711" t="str">
        <f>VLOOKUP(WWWW[[#This Row],[Site Name]],SiteDB6[[Site Name]:[Type of Accommodation]],10,FALSE)</f>
        <v>Temporary location</v>
      </c>
      <c r="DN425" s="711">
        <f>VLOOKUP(WWWW[[#This Row],[Site Name]],SiteDB6[[Site Name]:[Ethnic or GCA/NGCA]],11,FALSE)</f>
        <v>0</v>
      </c>
      <c r="DO425" s="711">
        <f>VLOOKUP(WWWW[[#This Row],[Site Name]],SiteDB6[[Site Name]:[Lat]],12,FALSE)</f>
        <v>20.599809646606399</v>
      </c>
      <c r="DP425" s="711">
        <f>VLOOKUP(WWWW[[#This Row],[Site Name]],SiteDB6[[Site Name]:[Long]],13,FALSE)</f>
        <v>93.265541076660199</v>
      </c>
      <c r="DQ425" s="711">
        <f>VLOOKUP(WWWW[[#This Row],[Site Name]],SiteDB6[[Site Name]:[Pcode]],3,FALSE)</f>
        <v>197051</v>
      </c>
      <c r="DR425" s="709" t="str">
        <f t="shared" si="13"/>
        <v>Notcovered</v>
      </c>
      <c r="DS425" s="709"/>
      <c r="DV425" s="572"/>
    </row>
    <row r="426" spans="1:126">
      <c r="A426" s="552" t="s">
        <v>2518</v>
      </c>
      <c r="B426" s="701" t="s">
        <v>249</v>
      </c>
      <c r="C426" s="701" t="s">
        <v>332</v>
      </c>
      <c r="D426" s="702"/>
      <c r="E426" s="703" t="s">
        <v>3006</v>
      </c>
      <c r="F426" s="702" t="s">
        <v>330</v>
      </c>
      <c r="G426" s="704" t="str">
        <f>VLOOKUP(WWWW[[#This Row],[Site Name]],SiteDB6[[Site Name]:[Location Type]],8,FALSE)</f>
        <v>New Temporary Site</v>
      </c>
      <c r="H426" s="702" t="s">
        <v>3141</v>
      </c>
      <c r="I426" s="705">
        <v>467</v>
      </c>
      <c r="J426" s="705">
        <v>1663</v>
      </c>
      <c r="K426" s="706"/>
      <c r="L426" s="707"/>
      <c r="M426" s="705"/>
      <c r="N426" s="705"/>
      <c r="O426" s="705"/>
      <c r="P426" s="705"/>
      <c r="Q426" s="708"/>
      <c r="R426" s="705"/>
      <c r="S426" s="705"/>
      <c r="T426" s="312"/>
      <c r="U426" s="705"/>
      <c r="V426" s="705"/>
      <c r="W426" s="705"/>
      <c r="X426" s="705"/>
      <c r="Y426" s="705"/>
      <c r="Z426" s="705"/>
      <c r="AA426" s="705"/>
      <c r="AB426" s="705"/>
      <c r="AC426" s="705"/>
      <c r="AD426" s="705"/>
      <c r="AE426" s="705"/>
      <c r="AF426" s="705"/>
      <c r="AG426" s="705"/>
      <c r="AH426" s="705"/>
      <c r="AI426" s="705"/>
      <c r="AJ426" s="705"/>
      <c r="AK426" s="705"/>
      <c r="AL426" s="705"/>
      <c r="AM426" s="705"/>
      <c r="AN426" s="705"/>
      <c r="AO426" s="709"/>
      <c r="AP426" s="705"/>
      <c r="AQ426" s="705"/>
      <c r="AR426" s="710"/>
      <c r="AS426" s="705"/>
      <c r="AT426" s="705"/>
      <c r="AU426" s="705"/>
      <c r="AV426" s="705"/>
      <c r="AW426" s="705"/>
      <c r="AX426" s="711"/>
      <c r="AY426" s="709"/>
      <c r="AZ426" s="705"/>
      <c r="BA426" s="705"/>
      <c r="BB426" s="705"/>
      <c r="BC426" s="711"/>
      <c r="BD426" s="705"/>
      <c r="BE426" s="705"/>
      <c r="BF426" s="705"/>
      <c r="BG426" s="705"/>
      <c r="BH426" s="705"/>
      <c r="BI426" s="705"/>
      <c r="BJ426" s="705"/>
      <c r="BK426" s="705">
        <v>467</v>
      </c>
      <c r="BL426" s="705">
        <v>467</v>
      </c>
      <c r="BM426" s="711"/>
      <c r="BN426" s="712"/>
      <c r="BO426" s="710"/>
      <c r="BP426" s="711"/>
      <c r="BQ426" s="713" t="str">
        <f>IFERROR(WWWW[[#This Row],['#_Water sources treated]]/WWWW[[#This Row],['#_Water sources tested for contamination]],"no test")</f>
        <v>no test</v>
      </c>
      <c r="BR426" s="710" t="str">
        <f>IFERROR(WWWW[[#This Row],['#_Household received remediation action due to contamination]]/WWWW[[#This Row],['#_Household water samples tested for contamination]],"no test")</f>
        <v>no test</v>
      </c>
      <c r="BS426" s="712" t="str">
        <f>IF(AND(WWWW[[#This Row],[% of water sources treated]]="no test",WWWW[[#This Row],[% Household received corrective actions]]="no test"),"No Test","Tested")</f>
        <v>No Test</v>
      </c>
      <c r="BT426" s="712">
        <f>WWWW[[#This Row],['#_Constructed/existing protected hand dug well]]-WWWW[[#This Row],['#_Non-functional protected hand dug well]]</f>
        <v>0</v>
      </c>
      <c r="BU426" s="712">
        <f>(WWWW[[#This Row],['#_Constructed/Existing tube wells/boreholes/handpumps_WASH_agency]]+WWWW[[#This Row],['#_Non-Cluster partner water tube-wells/boreholes/handpumps]])-WWWW[[#This Row],['#_Non-functional tube wells/boreholes/handpumps]]</f>
        <v>0</v>
      </c>
      <c r="BV426" s="712">
        <f>WWWW[[#This Row],['#_Constructed/Existingwater storage tank with gravity fed reticulation system]]-WWWW[[#This Row],['#_Non-functional storage tank gravity fed reticulation system]]</f>
        <v>0</v>
      </c>
      <c r="BW426" s="712">
        <f>WWWW[[#This Row],['#_Water boating or water trucking]]</f>
        <v>0</v>
      </c>
      <c r="BX426" s="712">
        <f>WWWW[[#This Row],['#_Constructed/Existing water distribution system from river or natural spring]]</f>
        <v>0</v>
      </c>
      <c r="BY42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6" s="710">
        <f>IF(WWWW[[#This Row],[Location Type 1]]="Village",WWWW[[#This Row],[Access to safe drinking water for Village]],WWWW[[#This Row],[Access to safe drinking water for Camp]])</f>
        <v>0</v>
      </c>
      <c r="CB426" s="708">
        <f>WWWW[[#This Row],[%Equitable and continuous access to sufficient quantity of safe drinking water]]*WWWW[[#This Row],[Total PoP ]]</f>
        <v>0</v>
      </c>
      <c r="CC426" s="710">
        <f>IF((WWWW[[#This Row],['#_Constructed/Existing protected/fenced ponds]]*250)/WWWW[[#This Row],[Total PoP ]]&gt;1,1,(WWWW[[#This Row],['#_Constructed/Existing protected/fenced ponds]]*250)/WWWW[[#This Row],[Total PoP ]])</f>
        <v>0</v>
      </c>
      <c r="CD426" s="708">
        <f>WWWW[[#This Row],[% Access to unimproved water points]]*WWWW[[#This Row],[Total PoP ]]</f>
        <v>0</v>
      </c>
      <c r="CE42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6" s="708">
        <f>WWWW[[#This Row],[HRP1]]/500</f>
        <v>0</v>
      </c>
      <c r="CH426" s="714">
        <f>1-WWWW[[#This Row],[% Equitable and continuous access to sufficient quantity of domestic water]]</f>
        <v>1</v>
      </c>
      <c r="CI426" s="708">
        <f>WWWW[[#This Row],[%equitable and continuous access to sufficient quantity of safe drinking and domestic water''s GAP]]*WWWW[[#This Row],[Total PoP ]]</f>
        <v>1663</v>
      </c>
      <c r="CJ426" s="712">
        <f>IF(WWWW[[#This Row],[Total required water points]]-WWWW[[#This Row],['#Water points coverage]]&lt;0,0,WWWW[[#This Row],[Total required water points]]-WWWW[[#This Row],['#Water points coverage]])</f>
        <v>3</v>
      </c>
      <c r="CK426" s="712">
        <f>ROUND(IF(WWWW[[#This Row],[Total PoP ]]&lt;500,1,WWWW[[#This Row],[Total PoP ]]/500),0)</f>
        <v>3</v>
      </c>
      <c r="CL426" s="712">
        <f>(WWWW[[#This Row],['#_Constructed latrines_by_WASHAgencies]]+WWWW[[#This Row],['#_Non Cluster partner latrines]])-WWWW[[#This Row],['#_Non-functional latrines]]</f>
        <v>0</v>
      </c>
      <c r="CM42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6" s="712">
        <f>IF(WWWW[[#This Row],[Location Type 1]]="Village","NA",IF(WWWW[[#This Row],['#_Constructed/Existing latrines in TLS]]*50&gt;WWWW[[#This Row],['#_students at TLS_CFS]],WWWW[[#This Row],['#_students at TLS_CFS]],(WWWW[[#This Row],['#_Constructed/Existing latrines in TLS]]*50)))</f>
        <v>0</v>
      </c>
      <c r="CQ426" s="712">
        <f>ROUND(IF(WWWW[[#This Row],[Location Type 1]]="camp",WWWW[[#This Row],[Total PoP ]]/20,IF(WWWW[[#This Row],[Location Type 1]]="Temporary Location",WWWW[[#This Row],[Total PoP ]]/50,(WWWW[[#This Row],[Total PoP ]]/6))),0)</f>
        <v>33</v>
      </c>
      <c r="CR426" s="712">
        <f>IF(WWWW[[#This Row],[Total required Latrines]]-(WWWW[[#This Row],['#_Constructed latrines_by_WASHAgencies]]+WWWW[[#This Row],['#_Non Cluster partner latrines]])&lt;0,0,WWWW[[#This Row],[Total required Latrines]]-(WWWW[[#This Row],['#_Constructed latrines_by_WASHAgencies]]+WWWW[[#This Row],['#_Non Cluster partner latrines]]))</f>
        <v>33</v>
      </c>
      <c r="CS426" s="716">
        <f>1-WWWW[[#This Row],[% people access to functioning Latrine]]</f>
        <v>1</v>
      </c>
      <c r="CT426" s="713">
        <f>IF(OR(WWWW[[#This Row],['#_Non-functional latrines]]="",WWWW[[#This Row],['#_Non-functional latrines]]=0),0,WWWW[[#This Row],['#_Non-functional latrines]]/(WWWW[[#This Row],['#_Constructed latrines_by_WASHAgencies]]+WWWW[[#This Row],['#_Non Cluster partner latrines]]))</f>
        <v>0</v>
      </c>
      <c r="CU426" s="708">
        <f>IF(500*(WWWW[[#This Row],['#_male hygiene promoters]]+WWWW[[#This Row],['#_female hygiene promoters]])&gt;WWWW[[#This Row],[Total PoP ]],WWWW[[#This Row],[Total PoP ]],500*(WWWW[[#This Row],['#_male hygiene promoters]]+WWWW[[#This Row],['#_female hygiene promoters]]))</f>
        <v>0</v>
      </c>
      <c r="CV42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1663</v>
      </c>
      <c r="CW42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1663</v>
      </c>
      <c r="CX426" s="712">
        <f>IF(WWWW[[#This Row],['# People with access to soap]]&gt;WWWW[[#This Row],['# People with access to Sanity Pads]],WWWW[[#This Row],['# People with access to soap]],WWWW[[#This Row],['# People with access to Sanity Pads]])</f>
        <v>1663</v>
      </c>
      <c r="CY426" s="712">
        <f>IF(WWWW[[#This Row],['# people reached by regular dedicated hygiene promotion_5]]&gt;WWWW[[#This Row],['# People received regular supply of hygiene items_6]],WWWW[[#This Row],['# people reached by regular dedicated hygiene promotion_5]],WWWW[[#This Row],['# People received regular supply of hygiene items_6]])</f>
        <v>1663</v>
      </c>
      <c r="CZ426" s="714">
        <f>IF(WWWW[[#This Row],[HRP3]]/WWWW[[#This Row],[Total PoP ]]&gt;100%,100%,WWWW[[#This Row],[HRP3]]/WWWW[[#This Row],[Total PoP ]])</f>
        <v>1</v>
      </c>
      <c r="DA426" s="713">
        <f>1-WWWW[[#This Row],[Hygiene Coverage%]]</f>
        <v>0</v>
      </c>
      <c r="DB426" s="710">
        <f>WWWW[[#This Row],['# people reached by regular dedicated hygiene promotion_5]]/WWWW[[#This Row],[Total PoP ]]</f>
        <v>0</v>
      </c>
      <c r="DC426" s="710">
        <f>IF(WWWW[[#This Row],['#_households that received standard amount of soap for this quarter]]/WWWW[[#This Row],[Total HH]]&gt;1,1,WWWW[[#This Row],['#_households that received standard amount of soap for this quarter]]/WWWW[[#This Row],[Total HH]])</f>
        <v>1</v>
      </c>
      <c r="DD426" s="710">
        <f>IF(WWWW[[#This Row],['#_households that received standard amount of sanitary pads for this quarter]]/WWWW[[#This Row],[Total HH]]&gt;1,1,WWWW[[#This Row],['#_households that received standard amount of sanitary pads for this quarter]]/WWWW[[#This Row],[Total HH]])</f>
        <v>1</v>
      </c>
      <c r="DE426" s="712">
        <f>WWWW[[#This Row],['#_Constructed/Existing hand washing stations]]-WWWW[[#This Row],['#_Non-Functional_hand_washing_stations]]</f>
        <v>0</v>
      </c>
      <c r="DF426" s="757">
        <f>IF(WWWW[[#This Row],['# Functional hand washing stations during reporting period]]*20&gt;WWWW[[#This Row],[Total HH]],WWWW[[#This Row],[Total HH]],WWWW[[#This Row],['# Functional hand washing stations during reporting period]]*20)</f>
        <v>0</v>
      </c>
      <c r="DG426" s="708">
        <f>IF(WWWW[[#This Row],[Is sufficient soap available for TLS? (Yes/No)]]="yes",WWWW[[#This Row],['#_Constructed/Existing hand washing stations at TLS]],0)</f>
        <v>0</v>
      </c>
      <c r="DH426" s="585">
        <f>IF(WWWW[[#This Row],['# Functional hand washing stations during reporting period]]*100&gt;WWWW[[#This Row],[Total PoP ]],WWWW[[#This Row],[Total PoP ]],WWWW[[#This Row],['# Functional hand washing stations during reporting period]]*100)</f>
        <v>0</v>
      </c>
      <c r="DI426" s="585" t="str">
        <f>IF(OR(WWWW[[#This Row],['#_students at TLS_CFS]]="",WWWW[[#This Row],['#_students at TLS_CFS]]=0),"No","Yes")</f>
        <v>No</v>
      </c>
      <c r="DJ426" s="711">
        <f>VLOOKUP(WWWW[[#This Row],[Site Name]],SiteDB6[[Site Name]:[CCCM Management]],6,FALSE)</f>
        <v>0</v>
      </c>
      <c r="DK426" s="711">
        <f>VLOOKUP(WWWW[[#This Row],[Site Name]],SiteDB6[[Site Name]:[CCCM Focal Agency]],7,FALSE)</f>
        <v>0</v>
      </c>
      <c r="DL426" s="711" t="str">
        <f>VLOOKUP(WWWW[[#This Row],[Site Name]],SiteDB6[[Site Name]:[Location Type 1]],9,FALSE)</f>
        <v>Temporary location</v>
      </c>
      <c r="DM426" s="711" t="str">
        <f>VLOOKUP(WWWW[[#This Row],[Site Name]],SiteDB6[[Site Name]:[Type of Accommodation]],10,FALSE)</f>
        <v>Temporary location</v>
      </c>
      <c r="DN426" s="711">
        <f>VLOOKUP(WWWW[[#This Row],[Site Name]],SiteDB6[[Site Name]:[Ethnic or GCA/NGCA]],11,FALSE)</f>
        <v>0</v>
      </c>
      <c r="DO426" s="711">
        <f>VLOOKUP(WWWW[[#This Row],[Site Name]],SiteDB6[[Site Name]:[Lat]],12,FALSE)</f>
        <v>0</v>
      </c>
      <c r="DP426" s="711">
        <f>VLOOKUP(WWWW[[#This Row],[Site Name]],SiteDB6[[Site Name]:[Long]],13,FALSE)</f>
        <v>0</v>
      </c>
      <c r="DQ426" s="711">
        <f>VLOOKUP(WWWW[[#This Row],[Site Name]],SiteDB6[[Site Name]:[Pcode]],3,FALSE)</f>
        <v>0</v>
      </c>
      <c r="DR426" s="709" t="str">
        <f t="shared" si="13"/>
        <v>Covered</v>
      </c>
      <c r="DS426" s="709"/>
      <c r="DV426" s="572"/>
    </row>
    <row r="427" spans="1:126">
      <c r="A427" s="552" t="s">
        <v>2518</v>
      </c>
      <c r="B427" s="701" t="s">
        <v>3138</v>
      </c>
      <c r="C427" s="701" t="s">
        <v>3211</v>
      </c>
      <c r="D427" s="702"/>
      <c r="E427" s="703" t="s">
        <v>3006</v>
      </c>
      <c r="F427" s="702" t="s">
        <v>330</v>
      </c>
      <c r="G427" s="704" t="str">
        <f>VLOOKUP(WWWW[[#This Row],[Site Name]],SiteDB6[[Site Name]:[Location Type]],8,FALSE)</f>
        <v>New Temporary Site</v>
      </c>
      <c r="H427" s="702" t="s">
        <v>3142</v>
      </c>
      <c r="I427" s="705">
        <v>36</v>
      </c>
      <c r="J427" s="705">
        <v>144</v>
      </c>
      <c r="K427" s="706"/>
      <c r="L427" s="707"/>
      <c r="M427" s="705"/>
      <c r="N427" s="705"/>
      <c r="O427" s="705"/>
      <c r="P427" s="705"/>
      <c r="Q427" s="708"/>
      <c r="R427" s="705"/>
      <c r="S427" s="705"/>
      <c r="T427" s="312"/>
      <c r="U427" s="705"/>
      <c r="V427" s="705"/>
      <c r="W427" s="705"/>
      <c r="X427" s="705"/>
      <c r="Y427" s="705"/>
      <c r="Z427" s="705"/>
      <c r="AA427" s="705"/>
      <c r="AB427" s="705"/>
      <c r="AC427" s="705"/>
      <c r="AD427" s="705"/>
      <c r="AE427" s="705"/>
      <c r="AF427" s="705"/>
      <c r="AG427" s="705"/>
      <c r="AH427" s="705"/>
      <c r="AI427" s="705"/>
      <c r="AJ427" s="705"/>
      <c r="AK427" s="705"/>
      <c r="AL427" s="705"/>
      <c r="AM427" s="705"/>
      <c r="AN427" s="705"/>
      <c r="AO427" s="709"/>
      <c r="AP427" s="705"/>
      <c r="AQ427" s="705"/>
      <c r="AR427" s="710"/>
      <c r="AS427" s="705"/>
      <c r="AT427" s="705"/>
      <c r="AU427" s="705"/>
      <c r="AV427" s="705"/>
      <c r="AW427" s="705"/>
      <c r="AX427" s="711"/>
      <c r="AY427" s="709"/>
      <c r="AZ427" s="705"/>
      <c r="BA427" s="705"/>
      <c r="BB427" s="705"/>
      <c r="BC427" s="711"/>
      <c r="BD427" s="705"/>
      <c r="BE427" s="705"/>
      <c r="BF427" s="705"/>
      <c r="BG427" s="705"/>
      <c r="BH427" s="705"/>
      <c r="BI427" s="705"/>
      <c r="BJ427" s="705"/>
      <c r="BK427" s="705">
        <v>36</v>
      </c>
      <c r="BL427" s="705">
        <v>36</v>
      </c>
      <c r="BM427" s="711"/>
      <c r="BN427" s="712"/>
      <c r="BO427" s="710"/>
      <c r="BP427" s="711"/>
      <c r="BQ427" s="713" t="str">
        <f>IFERROR(WWWW[[#This Row],['#_Water sources treated]]/WWWW[[#This Row],['#_Water sources tested for contamination]],"no test")</f>
        <v>no test</v>
      </c>
      <c r="BR427" s="710" t="str">
        <f>IFERROR(WWWW[[#This Row],['#_Household received remediation action due to contamination]]/WWWW[[#This Row],['#_Household water samples tested for contamination]],"no test")</f>
        <v>no test</v>
      </c>
      <c r="BS427" s="712" t="str">
        <f>IF(AND(WWWW[[#This Row],[% of water sources treated]]="no test",WWWW[[#This Row],[% Household received corrective actions]]="no test"),"No Test","Tested")</f>
        <v>No Test</v>
      </c>
      <c r="BT427" s="712">
        <f>WWWW[[#This Row],['#_Constructed/existing protected hand dug well]]-WWWW[[#This Row],['#_Non-functional protected hand dug well]]</f>
        <v>0</v>
      </c>
      <c r="BU427" s="712">
        <f>(WWWW[[#This Row],['#_Constructed/Existing tube wells/boreholes/handpumps_WASH_agency]]+WWWW[[#This Row],['#_Non-Cluster partner water tube-wells/boreholes/handpumps]])-WWWW[[#This Row],['#_Non-functional tube wells/boreholes/handpumps]]</f>
        <v>0</v>
      </c>
      <c r="BV427" s="712">
        <f>WWWW[[#This Row],['#_Constructed/Existingwater storage tank with gravity fed reticulation system]]-WWWW[[#This Row],['#_Non-functional storage tank gravity fed reticulation system]]</f>
        <v>0</v>
      </c>
      <c r="BW427" s="712">
        <f>WWWW[[#This Row],['#_Water boating or water trucking]]</f>
        <v>0</v>
      </c>
      <c r="BX427" s="712">
        <f>WWWW[[#This Row],['#_Constructed/Existing water distribution system from river or natural spring]]</f>
        <v>0</v>
      </c>
      <c r="BY42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7" s="710">
        <f>IF(WWWW[[#This Row],[Location Type 1]]="Village",WWWW[[#This Row],[Access to safe drinking water for Village]],WWWW[[#This Row],[Access to safe drinking water for Camp]])</f>
        <v>0</v>
      </c>
      <c r="CB427" s="708">
        <f>WWWW[[#This Row],[%Equitable and continuous access to sufficient quantity of safe drinking water]]*WWWW[[#This Row],[Total PoP ]]</f>
        <v>0</v>
      </c>
      <c r="CC427" s="710">
        <f>IF((WWWW[[#This Row],['#_Constructed/Existing protected/fenced ponds]]*250)/WWWW[[#This Row],[Total PoP ]]&gt;1,1,(WWWW[[#This Row],['#_Constructed/Existing protected/fenced ponds]]*250)/WWWW[[#This Row],[Total PoP ]])</f>
        <v>0</v>
      </c>
      <c r="CD427" s="708">
        <f>WWWW[[#This Row],[% Access to unimproved water points]]*WWWW[[#This Row],[Total PoP ]]</f>
        <v>0</v>
      </c>
      <c r="CE42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7" s="708">
        <f>WWWW[[#This Row],[HRP1]]/500</f>
        <v>0</v>
      </c>
      <c r="CH427" s="714">
        <f>1-WWWW[[#This Row],[% Equitable and continuous access to sufficient quantity of domestic water]]</f>
        <v>1</v>
      </c>
      <c r="CI427" s="708">
        <f>WWWW[[#This Row],[%equitable and continuous access to sufficient quantity of safe drinking and domestic water''s GAP]]*WWWW[[#This Row],[Total PoP ]]</f>
        <v>144</v>
      </c>
      <c r="CJ427" s="712">
        <f>IF(WWWW[[#This Row],[Total required water points]]-WWWW[[#This Row],['#Water points coverage]]&lt;0,0,WWWW[[#This Row],[Total required water points]]-WWWW[[#This Row],['#Water points coverage]])</f>
        <v>1</v>
      </c>
      <c r="CK427" s="712">
        <f>ROUND(IF(WWWW[[#This Row],[Total PoP ]]&lt;500,1,WWWW[[#This Row],[Total PoP ]]/500),0)</f>
        <v>1</v>
      </c>
      <c r="CL427" s="712">
        <f>(WWWW[[#This Row],['#_Constructed latrines_by_WASHAgencies]]+WWWW[[#This Row],['#_Non Cluster partner latrines]])-WWWW[[#This Row],['#_Non-functional latrines]]</f>
        <v>0</v>
      </c>
      <c r="CM42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2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2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7" s="712">
        <f>IF(WWWW[[#This Row],[Location Type 1]]="Village","NA",IF(WWWW[[#This Row],['#_Constructed/Existing latrines in TLS]]*50&gt;WWWW[[#This Row],['#_students at TLS_CFS]],WWWW[[#This Row],['#_students at TLS_CFS]],(WWWW[[#This Row],['#_Constructed/Existing latrines in TLS]]*50)))</f>
        <v>0</v>
      </c>
      <c r="CQ427" s="712">
        <f>ROUND(IF(WWWW[[#This Row],[Location Type 1]]="camp",WWWW[[#This Row],[Total PoP ]]/20,IF(WWWW[[#This Row],[Location Type 1]]="Temporary Location",WWWW[[#This Row],[Total PoP ]]/50,(WWWW[[#This Row],[Total PoP ]]/6))),0)</f>
        <v>3</v>
      </c>
      <c r="CR427" s="712">
        <f>IF(WWWW[[#This Row],[Total required Latrines]]-(WWWW[[#This Row],['#_Constructed latrines_by_WASHAgencies]]+WWWW[[#This Row],['#_Non Cluster partner latrines]])&lt;0,0,WWWW[[#This Row],[Total required Latrines]]-(WWWW[[#This Row],['#_Constructed latrines_by_WASHAgencies]]+WWWW[[#This Row],['#_Non Cluster partner latrines]]))</f>
        <v>3</v>
      </c>
      <c r="CS427" s="716">
        <f>1-WWWW[[#This Row],[% people access to functioning Latrine]]</f>
        <v>1</v>
      </c>
      <c r="CT427" s="713">
        <f>IF(OR(WWWW[[#This Row],['#_Non-functional latrines]]="",WWWW[[#This Row],['#_Non-functional latrines]]=0),0,WWWW[[#This Row],['#_Non-functional latrines]]/(WWWW[[#This Row],['#_Constructed latrines_by_WASHAgencies]]+WWWW[[#This Row],['#_Non Cluster partner latrines]]))</f>
        <v>0</v>
      </c>
      <c r="CU427" s="708">
        <f>IF(500*(WWWW[[#This Row],['#_male hygiene promoters]]+WWWW[[#This Row],['#_female hygiene promoters]])&gt;WWWW[[#This Row],[Total PoP ]],WWWW[[#This Row],[Total PoP ]],500*(WWWW[[#This Row],['#_male hygiene promoters]]+WWWW[[#This Row],['#_female hygiene promoters]]))</f>
        <v>0</v>
      </c>
      <c r="CV42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144</v>
      </c>
      <c r="CW42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144</v>
      </c>
      <c r="CX427" s="712">
        <f>IF(WWWW[[#This Row],['# People with access to soap]]&gt;WWWW[[#This Row],['# People with access to Sanity Pads]],WWWW[[#This Row],['# People with access to soap]],WWWW[[#This Row],['# People with access to Sanity Pads]])</f>
        <v>144</v>
      </c>
      <c r="CY427" s="712">
        <f>IF(WWWW[[#This Row],['# people reached by regular dedicated hygiene promotion_5]]&gt;WWWW[[#This Row],['# People received regular supply of hygiene items_6]],WWWW[[#This Row],['# people reached by regular dedicated hygiene promotion_5]],WWWW[[#This Row],['# People received regular supply of hygiene items_6]])</f>
        <v>144</v>
      </c>
      <c r="CZ427" s="714">
        <f>IF(WWWW[[#This Row],[HRP3]]/WWWW[[#This Row],[Total PoP ]]&gt;100%,100%,WWWW[[#This Row],[HRP3]]/WWWW[[#This Row],[Total PoP ]])</f>
        <v>1</v>
      </c>
      <c r="DA427" s="713">
        <f>1-WWWW[[#This Row],[Hygiene Coverage%]]</f>
        <v>0</v>
      </c>
      <c r="DB427" s="710">
        <f>WWWW[[#This Row],['# people reached by regular dedicated hygiene promotion_5]]/WWWW[[#This Row],[Total PoP ]]</f>
        <v>0</v>
      </c>
      <c r="DC427" s="710">
        <f>IF(WWWW[[#This Row],['#_households that received standard amount of soap for this quarter]]/WWWW[[#This Row],[Total HH]]&gt;1,1,WWWW[[#This Row],['#_households that received standard amount of soap for this quarter]]/WWWW[[#This Row],[Total HH]])</f>
        <v>1</v>
      </c>
      <c r="DD427" s="710">
        <f>IF(WWWW[[#This Row],['#_households that received standard amount of sanitary pads for this quarter]]/WWWW[[#This Row],[Total HH]]&gt;1,1,WWWW[[#This Row],['#_households that received standard amount of sanitary pads for this quarter]]/WWWW[[#This Row],[Total HH]])</f>
        <v>1</v>
      </c>
      <c r="DE427" s="712">
        <f>WWWW[[#This Row],['#_Constructed/Existing hand washing stations]]-WWWW[[#This Row],['#_Non-Functional_hand_washing_stations]]</f>
        <v>0</v>
      </c>
      <c r="DF427" s="757">
        <f>IF(WWWW[[#This Row],['# Functional hand washing stations during reporting period]]*20&gt;WWWW[[#This Row],[Total HH]],WWWW[[#This Row],[Total HH]],WWWW[[#This Row],['# Functional hand washing stations during reporting period]]*20)</f>
        <v>0</v>
      </c>
      <c r="DG427" s="708">
        <f>IF(WWWW[[#This Row],[Is sufficient soap available for TLS? (Yes/No)]]="yes",WWWW[[#This Row],['#_Constructed/Existing hand washing stations at TLS]],0)</f>
        <v>0</v>
      </c>
      <c r="DH427" s="585">
        <f>IF(WWWW[[#This Row],['# Functional hand washing stations during reporting period]]*100&gt;WWWW[[#This Row],[Total PoP ]],WWWW[[#This Row],[Total PoP ]],WWWW[[#This Row],['# Functional hand washing stations during reporting period]]*100)</f>
        <v>0</v>
      </c>
      <c r="DI427" s="585" t="str">
        <f>IF(OR(WWWW[[#This Row],['#_students at TLS_CFS]]="",WWWW[[#This Row],['#_students at TLS_CFS]]=0),"No","Yes")</f>
        <v>No</v>
      </c>
      <c r="DJ427" s="711">
        <f>VLOOKUP(WWWW[[#This Row],[Site Name]],SiteDB6[[Site Name]:[CCCM Management]],6,FALSE)</f>
        <v>0</v>
      </c>
      <c r="DK427" s="711">
        <f>VLOOKUP(WWWW[[#This Row],[Site Name]],SiteDB6[[Site Name]:[CCCM Focal Agency]],7,FALSE)</f>
        <v>0</v>
      </c>
      <c r="DL427" s="711" t="str">
        <f>VLOOKUP(WWWW[[#This Row],[Site Name]],SiteDB6[[Site Name]:[Location Type 1]],9,FALSE)</f>
        <v>Temporary location</v>
      </c>
      <c r="DM427" s="711" t="str">
        <f>VLOOKUP(WWWW[[#This Row],[Site Name]],SiteDB6[[Site Name]:[Type of Accommodation]],10,FALSE)</f>
        <v>Temporary location</v>
      </c>
      <c r="DN427" s="711">
        <f>VLOOKUP(WWWW[[#This Row],[Site Name]],SiteDB6[[Site Name]:[Ethnic or GCA/NGCA]],11,FALSE)</f>
        <v>0</v>
      </c>
      <c r="DO427" s="711">
        <f>VLOOKUP(WWWW[[#This Row],[Site Name]],SiteDB6[[Site Name]:[Lat]],12,FALSE)</f>
        <v>20.454280853271499</v>
      </c>
      <c r="DP427" s="711">
        <f>VLOOKUP(WWWW[[#This Row],[Site Name]],SiteDB6[[Site Name]:[Long]],13,FALSE)</f>
        <v>93.281562805175795</v>
      </c>
      <c r="DQ427" s="711">
        <f>VLOOKUP(WWWW[[#This Row],[Site Name]],SiteDB6[[Site Name]:[Pcode]],3,FALSE)</f>
        <v>197047</v>
      </c>
      <c r="DR427" s="709" t="str">
        <f t="shared" si="13"/>
        <v>Covered</v>
      </c>
      <c r="DS427" s="709"/>
      <c r="DV427" s="572"/>
    </row>
    <row r="428" spans="1:126">
      <c r="A428" s="552" t="s">
        <v>2518</v>
      </c>
      <c r="B428" s="701" t="s">
        <v>3207</v>
      </c>
      <c r="C428" s="701" t="s">
        <v>3207</v>
      </c>
      <c r="D428" s="702"/>
      <c r="E428" s="703" t="s">
        <v>3006</v>
      </c>
      <c r="F428" s="702" t="s">
        <v>470</v>
      </c>
      <c r="G428" s="704" t="str">
        <f>VLOOKUP(WWWW[[#This Row],[Site Name]],SiteDB6[[Site Name]:[Location Type]],8,FALSE)</f>
        <v>New Temporary Site</v>
      </c>
      <c r="H428" s="702" t="s">
        <v>3226</v>
      </c>
      <c r="I428" s="705">
        <v>116</v>
      </c>
      <c r="J428" s="705">
        <v>508</v>
      </c>
      <c r="K428" s="706"/>
      <c r="L428" s="707"/>
      <c r="M428" s="705"/>
      <c r="N428" s="705"/>
      <c r="O428" s="705"/>
      <c r="P428" s="705"/>
      <c r="Q428" s="708"/>
      <c r="R428" s="705"/>
      <c r="S428" s="705"/>
      <c r="T428" s="312"/>
      <c r="U428" s="705"/>
      <c r="V428" s="705"/>
      <c r="W428" s="705"/>
      <c r="X428" s="705"/>
      <c r="Y428" s="705"/>
      <c r="Z428" s="705"/>
      <c r="AA428" s="705"/>
      <c r="AB428" s="705"/>
      <c r="AC428" s="705"/>
      <c r="AD428" s="705"/>
      <c r="AE428" s="705"/>
      <c r="AF428" s="705"/>
      <c r="AG428" s="705"/>
      <c r="AH428" s="705"/>
      <c r="AI428" s="705"/>
      <c r="AJ428" s="705"/>
      <c r="AK428" s="705"/>
      <c r="AL428" s="705"/>
      <c r="AM428" s="705"/>
      <c r="AN428" s="705"/>
      <c r="AO428" s="709"/>
      <c r="AP428" s="705">
        <v>10</v>
      </c>
      <c r="AQ428" s="705"/>
      <c r="AR428" s="710"/>
      <c r="AS428" s="705"/>
      <c r="AT428" s="705"/>
      <c r="AU428" s="705"/>
      <c r="AV428" s="705"/>
      <c r="AW428" s="705"/>
      <c r="AX428" s="711"/>
      <c r="AY428" s="709"/>
      <c r="AZ428" s="705"/>
      <c r="BA428" s="705"/>
      <c r="BB428" s="705"/>
      <c r="BC428" s="711"/>
      <c r="BD428" s="705"/>
      <c r="BE428" s="705"/>
      <c r="BF428" s="705"/>
      <c r="BG428" s="705"/>
      <c r="BH428" s="705"/>
      <c r="BI428" s="705"/>
      <c r="BJ428" s="705"/>
      <c r="BK428" s="705">
        <v>232</v>
      </c>
      <c r="BL428" s="705">
        <v>232</v>
      </c>
      <c r="BM428" s="711"/>
      <c r="BN428" s="712"/>
      <c r="BO428" s="710"/>
      <c r="BP428" s="711"/>
      <c r="BQ428" s="713" t="str">
        <f>IFERROR(WWWW[[#This Row],['#_Water sources treated]]/WWWW[[#This Row],['#_Water sources tested for contamination]],"no test")</f>
        <v>no test</v>
      </c>
      <c r="BR428" s="710" t="str">
        <f>IFERROR(WWWW[[#This Row],['#_Household received remediation action due to contamination]]/WWWW[[#This Row],['#_Household water samples tested for contamination]],"no test")</f>
        <v>no test</v>
      </c>
      <c r="BS428" s="712" t="str">
        <f>IF(AND(WWWW[[#This Row],[% of water sources treated]]="no test",WWWW[[#This Row],[% Household received corrective actions]]="no test"),"No Test","Tested")</f>
        <v>No Test</v>
      </c>
      <c r="BT428" s="712">
        <f>WWWW[[#This Row],['#_Constructed/existing protected hand dug well]]-WWWW[[#This Row],['#_Non-functional protected hand dug well]]</f>
        <v>0</v>
      </c>
      <c r="BU428" s="712">
        <f>(WWWW[[#This Row],['#_Constructed/Existing tube wells/boreholes/handpumps_WASH_agency]]+WWWW[[#This Row],['#_Non-Cluster partner water tube-wells/boreholes/handpumps]])-WWWW[[#This Row],['#_Non-functional tube wells/boreholes/handpumps]]</f>
        <v>0</v>
      </c>
      <c r="BV428" s="712">
        <f>WWWW[[#This Row],['#_Constructed/Existingwater storage tank with gravity fed reticulation system]]-WWWW[[#This Row],['#_Non-functional storage tank gravity fed reticulation system]]</f>
        <v>0</v>
      </c>
      <c r="BW428" s="712">
        <f>WWWW[[#This Row],['#_Water boating or water trucking]]</f>
        <v>0</v>
      </c>
      <c r="BX428" s="712">
        <f>WWWW[[#This Row],['#_Constructed/Existing water distribution system from river or natural spring]]</f>
        <v>0</v>
      </c>
      <c r="BY42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8" s="710">
        <f>IF(WWWW[[#This Row],[Location Type 1]]="Village",WWWW[[#This Row],[Access to safe drinking water for Village]],WWWW[[#This Row],[Access to safe drinking water for Camp]])</f>
        <v>0</v>
      </c>
      <c r="CB428" s="708">
        <f>WWWW[[#This Row],[%Equitable and continuous access to sufficient quantity of safe drinking water]]*WWWW[[#This Row],[Total PoP ]]</f>
        <v>0</v>
      </c>
      <c r="CC428" s="710">
        <f>IF((WWWW[[#This Row],['#_Constructed/Existing protected/fenced ponds]]*250)/WWWW[[#This Row],[Total PoP ]]&gt;1,1,(WWWW[[#This Row],['#_Constructed/Existing protected/fenced ponds]]*250)/WWWW[[#This Row],[Total PoP ]])</f>
        <v>0</v>
      </c>
      <c r="CD428" s="708">
        <f>WWWW[[#This Row],[% Access to unimproved water points]]*WWWW[[#This Row],[Total PoP ]]</f>
        <v>0</v>
      </c>
      <c r="CE42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8" s="708">
        <f>WWWW[[#This Row],[HRP1]]/500</f>
        <v>0</v>
      </c>
      <c r="CH428" s="714">
        <f>1-WWWW[[#This Row],[% Equitable and continuous access to sufficient quantity of domestic water]]</f>
        <v>1</v>
      </c>
      <c r="CI428" s="708">
        <f>WWWW[[#This Row],[%equitable and continuous access to sufficient quantity of safe drinking and domestic water''s GAP]]*WWWW[[#This Row],[Total PoP ]]</f>
        <v>508</v>
      </c>
      <c r="CJ428" s="712">
        <f>IF(WWWW[[#This Row],[Total required water points]]-WWWW[[#This Row],['#Water points coverage]]&lt;0,0,WWWW[[#This Row],[Total required water points]]-WWWW[[#This Row],['#Water points coverage]])</f>
        <v>1</v>
      </c>
      <c r="CK428" s="712">
        <f>ROUND(IF(WWWW[[#This Row],[Total PoP ]]&lt;500,1,WWWW[[#This Row],[Total PoP ]]/500),0)</f>
        <v>1</v>
      </c>
      <c r="CL428" s="712">
        <f>(WWWW[[#This Row],['#_Constructed latrines_by_WASHAgencies]]+WWWW[[#This Row],['#_Non Cluster partner latrines]])-WWWW[[#This Row],['#_Non-functional latrines]]</f>
        <v>10</v>
      </c>
      <c r="CM42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0.98425196850393704</v>
      </c>
      <c r="CN42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500</v>
      </c>
      <c r="CO42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8" s="712">
        <f>IF(WWWW[[#This Row],[Location Type 1]]="Village","NA",IF(WWWW[[#This Row],['#_Constructed/Existing latrines in TLS]]*50&gt;WWWW[[#This Row],['#_students at TLS_CFS]],WWWW[[#This Row],['#_students at TLS_CFS]],(WWWW[[#This Row],['#_Constructed/Existing latrines in TLS]]*50)))</f>
        <v>0</v>
      </c>
      <c r="CQ428" s="712">
        <f>ROUND(IF(WWWW[[#This Row],[Location Type 1]]="camp",WWWW[[#This Row],[Total PoP ]]/20,IF(WWWW[[#This Row],[Location Type 1]]="Temporary Location",WWWW[[#This Row],[Total PoP ]]/50,(WWWW[[#This Row],[Total PoP ]]/6))),0)</f>
        <v>10</v>
      </c>
      <c r="CR428" s="712">
        <f>IF(WWWW[[#This Row],[Total required Latrines]]-(WWWW[[#This Row],['#_Constructed latrines_by_WASHAgencies]]+WWWW[[#This Row],['#_Non Cluster partner latrines]])&lt;0,0,WWWW[[#This Row],[Total required Latrines]]-(WWWW[[#This Row],['#_Constructed latrines_by_WASHAgencies]]+WWWW[[#This Row],['#_Non Cluster partner latrines]]))</f>
        <v>0</v>
      </c>
      <c r="CS428" s="716">
        <f>1-WWWW[[#This Row],[% people access to functioning Latrine]]</f>
        <v>1.5748031496062964E-2</v>
      </c>
      <c r="CT428" s="713">
        <f>IF(OR(WWWW[[#This Row],['#_Non-functional latrines]]="",WWWW[[#This Row],['#_Non-functional latrines]]=0),0,WWWW[[#This Row],['#_Non-functional latrines]]/(WWWW[[#This Row],['#_Constructed latrines_by_WASHAgencies]]+WWWW[[#This Row],['#_Non Cluster partner latrines]]))</f>
        <v>0</v>
      </c>
      <c r="CU428" s="708">
        <f>IF(500*(WWWW[[#This Row],['#_male hygiene promoters]]+WWWW[[#This Row],['#_female hygiene promoters]])&gt;WWWW[[#This Row],[Total PoP ]],WWWW[[#This Row],[Total PoP ]],500*(WWWW[[#This Row],['#_male hygiene promoters]]+WWWW[[#This Row],['#_female hygiene promoters]]))</f>
        <v>0</v>
      </c>
      <c r="CV42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508</v>
      </c>
      <c r="CW42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508</v>
      </c>
      <c r="CX428" s="712">
        <f>IF(WWWW[[#This Row],['# People with access to soap]]&gt;WWWW[[#This Row],['# People with access to Sanity Pads]],WWWW[[#This Row],['# People with access to soap]],WWWW[[#This Row],['# People with access to Sanity Pads]])</f>
        <v>508</v>
      </c>
      <c r="CY428" s="712">
        <f>IF(WWWW[[#This Row],['# people reached by regular dedicated hygiene promotion_5]]&gt;WWWW[[#This Row],['# People received regular supply of hygiene items_6]],WWWW[[#This Row],['# people reached by regular dedicated hygiene promotion_5]],WWWW[[#This Row],['# People received regular supply of hygiene items_6]])</f>
        <v>508</v>
      </c>
      <c r="CZ428" s="714">
        <f>IF(WWWW[[#This Row],[HRP3]]/WWWW[[#This Row],[Total PoP ]]&gt;100%,100%,WWWW[[#This Row],[HRP3]]/WWWW[[#This Row],[Total PoP ]])</f>
        <v>1</v>
      </c>
      <c r="DA428" s="713">
        <f>1-WWWW[[#This Row],[Hygiene Coverage%]]</f>
        <v>0</v>
      </c>
      <c r="DB428" s="710">
        <f>WWWW[[#This Row],['# people reached by regular dedicated hygiene promotion_5]]/WWWW[[#This Row],[Total PoP ]]</f>
        <v>0</v>
      </c>
      <c r="DC428" s="710">
        <f>IF(WWWW[[#This Row],['#_households that received standard amount of soap for this quarter]]/WWWW[[#This Row],[Total HH]]&gt;1,1,WWWW[[#This Row],['#_households that received standard amount of soap for this quarter]]/WWWW[[#This Row],[Total HH]])</f>
        <v>1</v>
      </c>
      <c r="DD428" s="710">
        <f>IF(WWWW[[#This Row],['#_households that received standard amount of sanitary pads for this quarter]]/WWWW[[#This Row],[Total HH]]&gt;1,1,WWWW[[#This Row],['#_households that received standard amount of sanitary pads for this quarter]]/WWWW[[#This Row],[Total HH]])</f>
        <v>1</v>
      </c>
      <c r="DE428" s="712">
        <f>WWWW[[#This Row],['#_Constructed/Existing hand washing stations]]-WWWW[[#This Row],['#_Non-Functional_hand_washing_stations]]</f>
        <v>0</v>
      </c>
      <c r="DF428" s="757">
        <f>IF(WWWW[[#This Row],['# Functional hand washing stations during reporting period]]*20&gt;WWWW[[#This Row],[Total HH]],WWWW[[#This Row],[Total HH]],WWWW[[#This Row],['# Functional hand washing stations during reporting period]]*20)</f>
        <v>0</v>
      </c>
      <c r="DG428" s="708">
        <f>IF(WWWW[[#This Row],[Is sufficient soap available for TLS? (Yes/No)]]="yes",WWWW[[#This Row],['#_Constructed/Existing hand washing stations at TLS]],0)</f>
        <v>0</v>
      </c>
      <c r="DH428" s="585">
        <f>IF(WWWW[[#This Row],['# Functional hand washing stations during reporting period]]*100&gt;WWWW[[#This Row],[Total PoP ]],WWWW[[#This Row],[Total PoP ]],WWWW[[#This Row],['# Functional hand washing stations during reporting period]]*100)</f>
        <v>0</v>
      </c>
      <c r="DI428" s="585" t="str">
        <f>IF(OR(WWWW[[#This Row],['#_students at TLS_CFS]]="",WWWW[[#This Row],['#_students at TLS_CFS]]=0),"No","Yes")</f>
        <v>No</v>
      </c>
      <c r="DJ428" s="711">
        <f>VLOOKUP(WWWW[[#This Row],[Site Name]],SiteDB6[[Site Name]:[CCCM Management]],6,FALSE)</f>
        <v>0</v>
      </c>
      <c r="DK428" s="711">
        <f>VLOOKUP(WWWW[[#This Row],[Site Name]],SiteDB6[[Site Name]:[CCCM Focal Agency]],7,FALSE)</f>
        <v>0</v>
      </c>
      <c r="DL428" s="711" t="str">
        <f>VLOOKUP(WWWW[[#This Row],[Site Name]],SiteDB6[[Site Name]:[Location Type 1]],9,FALSE)</f>
        <v>Temporary location</v>
      </c>
      <c r="DM428" s="711" t="str">
        <f>VLOOKUP(WWWW[[#This Row],[Site Name]],SiteDB6[[Site Name]:[Type of Accommodation]],10,FALSE)</f>
        <v>Temporary location</v>
      </c>
      <c r="DN428" s="711" t="str">
        <f>VLOOKUP(WWWW[[#This Row],[Site Name]],SiteDB6[[Site Name]:[Ethnic or GCA/NGCA]],11,FALSE)</f>
        <v>Mro/ Kha Mee</v>
      </c>
      <c r="DO428" s="711">
        <f>VLOOKUP(WWWW[[#This Row],[Site Name]],SiteDB6[[Site Name]:[Lat]],12,FALSE)</f>
        <v>20.61741065979</v>
      </c>
      <c r="DP428" s="711">
        <f>VLOOKUP(WWWW[[#This Row],[Site Name]],SiteDB6[[Site Name]:[Long]],13,FALSE)</f>
        <v>92.932502746582003</v>
      </c>
      <c r="DQ428" s="711">
        <f>VLOOKUP(WWWW[[#This Row],[Site Name]],SiteDB6[[Site Name]:[Pcode]],3,FALSE)</f>
        <v>196310</v>
      </c>
      <c r="DR428" s="709" t="str">
        <f t="shared" si="13"/>
        <v>Covered</v>
      </c>
      <c r="DS428" s="709"/>
      <c r="DV428" s="572"/>
    </row>
    <row r="429" spans="1:126">
      <c r="A429" s="552" t="s">
        <v>2518</v>
      </c>
      <c r="B429" s="701" t="s">
        <v>3192</v>
      </c>
      <c r="C429" s="701" t="s">
        <v>3192</v>
      </c>
      <c r="D429" s="702"/>
      <c r="E429" s="703" t="s">
        <v>3006</v>
      </c>
      <c r="F429" s="702" t="s">
        <v>470</v>
      </c>
      <c r="G429" s="704" t="str">
        <f>VLOOKUP(WWWW[[#This Row],[Site Name]],SiteDB6[[Site Name]:[Location Type]],8,FALSE)</f>
        <v>New Temporary Site</v>
      </c>
      <c r="H429" s="702" t="s">
        <v>3125</v>
      </c>
      <c r="I429" s="705">
        <v>58</v>
      </c>
      <c r="J429" s="705">
        <v>332</v>
      </c>
      <c r="K429" s="706"/>
      <c r="L429" s="707"/>
      <c r="M429" s="705"/>
      <c r="N429" s="705"/>
      <c r="O429" s="705"/>
      <c r="P429" s="705"/>
      <c r="Q429" s="708"/>
      <c r="R429" s="705"/>
      <c r="S429" s="705"/>
      <c r="T429" s="312"/>
      <c r="U429" s="705"/>
      <c r="V429" s="705"/>
      <c r="W429" s="705"/>
      <c r="X429" s="705"/>
      <c r="Y429" s="705"/>
      <c r="Z429" s="705"/>
      <c r="AA429" s="705"/>
      <c r="AB429" s="705"/>
      <c r="AC429" s="705"/>
      <c r="AD429" s="705"/>
      <c r="AE429" s="705"/>
      <c r="AF429" s="705"/>
      <c r="AG429" s="705"/>
      <c r="AH429" s="705"/>
      <c r="AI429" s="705"/>
      <c r="AJ429" s="705"/>
      <c r="AK429" s="705"/>
      <c r="AL429" s="705"/>
      <c r="AM429" s="705"/>
      <c r="AN429" s="705"/>
      <c r="AO429" s="709"/>
      <c r="AP429" s="705">
        <v>47</v>
      </c>
      <c r="AQ429" s="705"/>
      <c r="AR429" s="710"/>
      <c r="AS429" s="705"/>
      <c r="AT429" s="705"/>
      <c r="AU429" s="705"/>
      <c r="AV429" s="705"/>
      <c r="AW429" s="705"/>
      <c r="AX429" s="711"/>
      <c r="AY429" s="709"/>
      <c r="AZ429" s="705"/>
      <c r="BA429" s="705"/>
      <c r="BB429" s="705"/>
      <c r="BC429" s="711"/>
      <c r="BD429" s="705"/>
      <c r="BE429" s="705"/>
      <c r="BF429" s="705"/>
      <c r="BG429" s="705"/>
      <c r="BH429" s="705"/>
      <c r="BI429" s="705"/>
      <c r="BJ429" s="705"/>
      <c r="BK429" s="705">
        <v>58</v>
      </c>
      <c r="BL429" s="705">
        <v>58</v>
      </c>
      <c r="BM429" s="711"/>
      <c r="BN429" s="712"/>
      <c r="BO429" s="710"/>
      <c r="BP429" s="711"/>
      <c r="BQ429" s="713" t="str">
        <f>IFERROR(WWWW[[#This Row],['#_Water sources treated]]/WWWW[[#This Row],['#_Water sources tested for contamination]],"no test")</f>
        <v>no test</v>
      </c>
      <c r="BR429" s="710" t="str">
        <f>IFERROR(WWWW[[#This Row],['#_Household received remediation action due to contamination]]/WWWW[[#This Row],['#_Household water samples tested for contamination]],"no test")</f>
        <v>no test</v>
      </c>
      <c r="BS429" s="712" t="str">
        <f>IF(AND(WWWW[[#This Row],[% of water sources treated]]="no test",WWWW[[#This Row],[% Household received corrective actions]]="no test"),"No Test","Tested")</f>
        <v>No Test</v>
      </c>
      <c r="BT429" s="712">
        <f>WWWW[[#This Row],['#_Constructed/existing protected hand dug well]]-WWWW[[#This Row],['#_Non-functional protected hand dug well]]</f>
        <v>0</v>
      </c>
      <c r="BU429" s="712">
        <f>(WWWW[[#This Row],['#_Constructed/Existing tube wells/boreholes/handpumps_WASH_agency]]+WWWW[[#This Row],['#_Non-Cluster partner water tube-wells/boreholes/handpumps]])-WWWW[[#This Row],['#_Non-functional tube wells/boreholes/handpumps]]</f>
        <v>0</v>
      </c>
      <c r="BV429" s="712">
        <f>WWWW[[#This Row],['#_Constructed/Existingwater storage tank with gravity fed reticulation system]]-WWWW[[#This Row],['#_Non-functional storage tank gravity fed reticulation system]]</f>
        <v>0</v>
      </c>
      <c r="BW429" s="712">
        <f>WWWW[[#This Row],['#_Water boating or water trucking]]</f>
        <v>0</v>
      </c>
      <c r="BX429" s="712">
        <f>WWWW[[#This Row],['#_Constructed/Existing water distribution system from river or natural spring]]</f>
        <v>0</v>
      </c>
      <c r="BY42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2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29" s="710">
        <f>IF(WWWW[[#This Row],[Location Type 1]]="Village",WWWW[[#This Row],[Access to safe drinking water for Village]],WWWW[[#This Row],[Access to safe drinking water for Camp]])</f>
        <v>0</v>
      </c>
      <c r="CB429" s="708">
        <f>WWWW[[#This Row],[%Equitable and continuous access to sufficient quantity of safe drinking water]]*WWWW[[#This Row],[Total PoP ]]</f>
        <v>0</v>
      </c>
      <c r="CC429" s="710">
        <f>IF((WWWW[[#This Row],['#_Constructed/Existing protected/fenced ponds]]*250)/WWWW[[#This Row],[Total PoP ]]&gt;1,1,(WWWW[[#This Row],['#_Constructed/Existing protected/fenced ponds]]*250)/WWWW[[#This Row],[Total PoP ]])</f>
        <v>0</v>
      </c>
      <c r="CD429" s="708">
        <f>WWWW[[#This Row],[% Access to unimproved water points]]*WWWW[[#This Row],[Total PoP ]]</f>
        <v>0</v>
      </c>
      <c r="CE42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2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29" s="708">
        <f>WWWW[[#This Row],[HRP1]]/500</f>
        <v>0</v>
      </c>
      <c r="CH429" s="714">
        <f>1-WWWW[[#This Row],[% Equitable and continuous access to sufficient quantity of domestic water]]</f>
        <v>1</v>
      </c>
      <c r="CI429" s="708">
        <f>WWWW[[#This Row],[%equitable and continuous access to sufficient quantity of safe drinking and domestic water''s GAP]]*WWWW[[#This Row],[Total PoP ]]</f>
        <v>332</v>
      </c>
      <c r="CJ429" s="712">
        <f>IF(WWWW[[#This Row],[Total required water points]]-WWWW[[#This Row],['#Water points coverage]]&lt;0,0,WWWW[[#This Row],[Total required water points]]-WWWW[[#This Row],['#Water points coverage]])</f>
        <v>1</v>
      </c>
      <c r="CK429" s="712">
        <f>ROUND(IF(WWWW[[#This Row],[Total PoP ]]&lt;500,1,WWWW[[#This Row],[Total PoP ]]/500),0)</f>
        <v>1</v>
      </c>
      <c r="CL429" s="712">
        <f>(WWWW[[#This Row],['#_Constructed latrines_by_WASHAgencies]]+WWWW[[#This Row],['#_Non Cluster partner latrines]])-WWWW[[#This Row],['#_Non-functional latrines]]</f>
        <v>47</v>
      </c>
      <c r="CM42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2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332</v>
      </c>
      <c r="CO42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29" s="712">
        <f>IF(WWWW[[#This Row],[Location Type 1]]="Village","NA",IF(WWWW[[#This Row],['#_Constructed/Existing latrines in TLS]]*50&gt;WWWW[[#This Row],['#_students at TLS_CFS]],WWWW[[#This Row],['#_students at TLS_CFS]],(WWWW[[#This Row],['#_Constructed/Existing latrines in TLS]]*50)))</f>
        <v>0</v>
      </c>
      <c r="CQ429" s="712">
        <f>ROUND(IF(WWWW[[#This Row],[Location Type 1]]="camp",WWWW[[#This Row],[Total PoP ]]/20,IF(WWWW[[#This Row],[Location Type 1]]="Temporary Location",WWWW[[#This Row],[Total PoP ]]/50,(WWWW[[#This Row],[Total PoP ]]/6))),0)</f>
        <v>7</v>
      </c>
      <c r="CR429" s="712">
        <f>IF(WWWW[[#This Row],[Total required Latrines]]-(WWWW[[#This Row],['#_Constructed latrines_by_WASHAgencies]]+WWWW[[#This Row],['#_Non Cluster partner latrines]])&lt;0,0,WWWW[[#This Row],[Total required Latrines]]-(WWWW[[#This Row],['#_Constructed latrines_by_WASHAgencies]]+WWWW[[#This Row],['#_Non Cluster partner latrines]]))</f>
        <v>0</v>
      </c>
      <c r="CS429" s="716">
        <f>1-WWWW[[#This Row],[% people access to functioning Latrine]]</f>
        <v>0</v>
      </c>
      <c r="CT429" s="713">
        <f>IF(OR(WWWW[[#This Row],['#_Non-functional latrines]]="",WWWW[[#This Row],['#_Non-functional latrines]]=0),0,WWWW[[#This Row],['#_Non-functional latrines]]/(WWWW[[#This Row],['#_Constructed latrines_by_WASHAgencies]]+WWWW[[#This Row],['#_Non Cluster partner latrines]]))</f>
        <v>0</v>
      </c>
      <c r="CU429" s="708">
        <f>IF(500*(WWWW[[#This Row],['#_male hygiene promoters]]+WWWW[[#This Row],['#_female hygiene promoters]])&gt;WWWW[[#This Row],[Total PoP ]],WWWW[[#This Row],[Total PoP ]],500*(WWWW[[#This Row],['#_male hygiene promoters]]+WWWW[[#This Row],['#_female hygiene promoters]]))</f>
        <v>0</v>
      </c>
      <c r="CV42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332</v>
      </c>
      <c r="CW42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332</v>
      </c>
      <c r="CX429" s="712">
        <f>IF(WWWW[[#This Row],['# People with access to soap]]&gt;WWWW[[#This Row],['# People with access to Sanity Pads]],WWWW[[#This Row],['# People with access to soap]],WWWW[[#This Row],['# People with access to Sanity Pads]])</f>
        <v>332</v>
      </c>
      <c r="CY429" s="712">
        <f>IF(WWWW[[#This Row],['# people reached by regular dedicated hygiene promotion_5]]&gt;WWWW[[#This Row],['# People received regular supply of hygiene items_6]],WWWW[[#This Row],['# people reached by regular dedicated hygiene promotion_5]],WWWW[[#This Row],['# People received regular supply of hygiene items_6]])</f>
        <v>332</v>
      </c>
      <c r="CZ429" s="714">
        <f>IF(WWWW[[#This Row],[HRP3]]/WWWW[[#This Row],[Total PoP ]]&gt;100%,100%,WWWW[[#This Row],[HRP3]]/WWWW[[#This Row],[Total PoP ]])</f>
        <v>1</v>
      </c>
      <c r="DA429" s="713">
        <f>1-WWWW[[#This Row],[Hygiene Coverage%]]</f>
        <v>0</v>
      </c>
      <c r="DB429" s="710">
        <f>WWWW[[#This Row],['# people reached by regular dedicated hygiene promotion_5]]/WWWW[[#This Row],[Total PoP ]]</f>
        <v>0</v>
      </c>
      <c r="DC429" s="710">
        <f>IF(WWWW[[#This Row],['#_households that received standard amount of soap for this quarter]]/WWWW[[#This Row],[Total HH]]&gt;1,1,WWWW[[#This Row],['#_households that received standard amount of soap for this quarter]]/WWWW[[#This Row],[Total HH]])</f>
        <v>1</v>
      </c>
      <c r="DD429" s="710">
        <f>IF(WWWW[[#This Row],['#_households that received standard amount of sanitary pads for this quarter]]/WWWW[[#This Row],[Total HH]]&gt;1,1,WWWW[[#This Row],['#_households that received standard amount of sanitary pads for this quarter]]/WWWW[[#This Row],[Total HH]])</f>
        <v>1</v>
      </c>
      <c r="DE429" s="712">
        <f>WWWW[[#This Row],['#_Constructed/Existing hand washing stations]]-WWWW[[#This Row],['#_Non-Functional_hand_washing_stations]]</f>
        <v>0</v>
      </c>
      <c r="DF429" s="757">
        <f>IF(WWWW[[#This Row],['# Functional hand washing stations during reporting period]]*20&gt;WWWW[[#This Row],[Total HH]],WWWW[[#This Row],[Total HH]],WWWW[[#This Row],['# Functional hand washing stations during reporting period]]*20)</f>
        <v>0</v>
      </c>
      <c r="DG429" s="708">
        <f>IF(WWWW[[#This Row],[Is sufficient soap available for TLS? (Yes/No)]]="yes",WWWW[[#This Row],['#_Constructed/Existing hand washing stations at TLS]],0)</f>
        <v>0</v>
      </c>
      <c r="DH429" s="585">
        <f>IF(WWWW[[#This Row],['# Functional hand washing stations during reporting period]]*100&gt;WWWW[[#This Row],[Total PoP ]],WWWW[[#This Row],[Total PoP ]],WWWW[[#This Row],['# Functional hand washing stations during reporting period]]*100)</f>
        <v>0</v>
      </c>
      <c r="DI429" s="585" t="str">
        <f>IF(OR(WWWW[[#This Row],['#_students at TLS_CFS]]="",WWWW[[#This Row],['#_students at TLS_CFS]]=0),"No","Yes")</f>
        <v>No</v>
      </c>
      <c r="DJ429" s="711">
        <f>VLOOKUP(WWWW[[#This Row],[Site Name]],SiteDB6[[Site Name]:[CCCM Management]],6,FALSE)</f>
        <v>0</v>
      </c>
      <c r="DK429" s="711">
        <f>VLOOKUP(WWWW[[#This Row],[Site Name]],SiteDB6[[Site Name]:[CCCM Focal Agency]],7,FALSE)</f>
        <v>0</v>
      </c>
      <c r="DL429" s="711" t="str">
        <f>VLOOKUP(WWWW[[#This Row],[Site Name]],SiteDB6[[Site Name]:[Location Type 1]],9,FALSE)</f>
        <v>Temporary location</v>
      </c>
      <c r="DM429" s="711" t="str">
        <f>VLOOKUP(WWWW[[#This Row],[Site Name]],SiteDB6[[Site Name]:[Type of Accommodation]],10,FALSE)</f>
        <v>Temporary location</v>
      </c>
      <c r="DN429" s="711">
        <f>VLOOKUP(WWWW[[#This Row],[Site Name]],SiteDB6[[Site Name]:[Ethnic or GCA/NGCA]],11,FALSE)</f>
        <v>0</v>
      </c>
      <c r="DO429" s="711">
        <f>VLOOKUP(WWWW[[#This Row],[Site Name]],SiteDB6[[Site Name]:[Lat]],12,FALSE)</f>
        <v>20.643140792846701</v>
      </c>
      <c r="DP429" s="711">
        <f>VLOOKUP(WWWW[[#This Row],[Site Name]],SiteDB6[[Site Name]:[Long]],13,FALSE)</f>
        <v>92.851875305175795</v>
      </c>
      <c r="DQ429" s="711">
        <f>VLOOKUP(WWWW[[#This Row],[Site Name]],SiteDB6[[Site Name]:[Pcode]],3,FALSE)</f>
        <v>196217</v>
      </c>
      <c r="DR429" s="709" t="str">
        <f t="shared" si="13"/>
        <v>Covered</v>
      </c>
      <c r="DS429" s="709"/>
      <c r="DV429" s="572"/>
    </row>
    <row r="430" spans="1:126">
      <c r="A430" s="552" t="s">
        <v>2518</v>
      </c>
      <c r="B430" s="701" t="s">
        <v>3143</v>
      </c>
      <c r="C430" s="701" t="s">
        <v>3143</v>
      </c>
      <c r="D430" s="702"/>
      <c r="E430" s="703" t="s">
        <v>3006</v>
      </c>
      <c r="F430" s="702" t="s">
        <v>470</v>
      </c>
      <c r="G430" s="704" t="str">
        <f>VLOOKUP(WWWW[[#This Row],[Site Name]],SiteDB6[[Site Name]:[Location Type]],8,FALSE)</f>
        <v>New Temporary Site</v>
      </c>
      <c r="H430" s="584" t="s">
        <v>3227</v>
      </c>
      <c r="I430" s="705">
        <v>94</v>
      </c>
      <c r="J430" s="705">
        <v>376</v>
      </c>
      <c r="K430" s="706"/>
      <c r="L430" s="707"/>
      <c r="M430" s="705"/>
      <c r="N430" s="705"/>
      <c r="O430" s="705"/>
      <c r="P430" s="705"/>
      <c r="Q430" s="708"/>
      <c r="R430" s="705"/>
      <c r="S430" s="705"/>
      <c r="T430" s="312"/>
      <c r="U430" s="705"/>
      <c r="V430" s="705"/>
      <c r="W430" s="705"/>
      <c r="X430" s="705"/>
      <c r="Y430" s="705"/>
      <c r="Z430" s="705"/>
      <c r="AA430" s="705"/>
      <c r="AB430" s="705"/>
      <c r="AC430" s="705"/>
      <c r="AD430" s="705"/>
      <c r="AE430" s="705"/>
      <c r="AF430" s="705"/>
      <c r="AG430" s="705"/>
      <c r="AH430" s="705"/>
      <c r="AI430" s="705"/>
      <c r="AJ430" s="705"/>
      <c r="AK430" s="705"/>
      <c r="AL430" s="705"/>
      <c r="AM430" s="705"/>
      <c r="AN430" s="705"/>
      <c r="AO430" s="709"/>
      <c r="AP430" s="705">
        <v>14</v>
      </c>
      <c r="AQ430" s="705"/>
      <c r="AR430" s="710"/>
      <c r="AS430" s="705"/>
      <c r="AT430" s="705"/>
      <c r="AU430" s="705"/>
      <c r="AV430" s="705"/>
      <c r="AW430" s="705"/>
      <c r="AX430" s="711"/>
      <c r="AY430" s="709"/>
      <c r="AZ430" s="705"/>
      <c r="BA430" s="705"/>
      <c r="BB430" s="705"/>
      <c r="BC430" s="711"/>
      <c r="BD430" s="705"/>
      <c r="BE430" s="705"/>
      <c r="BF430" s="705"/>
      <c r="BG430" s="705"/>
      <c r="BH430" s="705"/>
      <c r="BI430" s="705"/>
      <c r="BJ430" s="705"/>
      <c r="BK430" s="705"/>
      <c r="BL430" s="705"/>
      <c r="BM430" s="711"/>
      <c r="BN430" s="712"/>
      <c r="BO430" s="710"/>
      <c r="BP430" s="711"/>
      <c r="BQ430" s="713" t="str">
        <f>IFERROR(WWWW[[#This Row],['#_Water sources treated]]/WWWW[[#This Row],['#_Water sources tested for contamination]],"no test")</f>
        <v>no test</v>
      </c>
      <c r="BR430" s="710" t="str">
        <f>IFERROR(WWWW[[#This Row],['#_Household received remediation action due to contamination]]/WWWW[[#This Row],['#_Household water samples tested for contamination]],"no test")</f>
        <v>no test</v>
      </c>
      <c r="BS430" s="712" t="str">
        <f>IF(AND(WWWW[[#This Row],[% of water sources treated]]="no test",WWWW[[#This Row],[% Household received corrective actions]]="no test"),"No Test","Tested")</f>
        <v>No Test</v>
      </c>
      <c r="BT430" s="712">
        <f>WWWW[[#This Row],['#_Constructed/existing protected hand dug well]]-WWWW[[#This Row],['#_Non-functional protected hand dug well]]</f>
        <v>0</v>
      </c>
      <c r="BU430" s="712">
        <f>(WWWW[[#This Row],['#_Constructed/Existing tube wells/boreholes/handpumps_WASH_agency]]+WWWW[[#This Row],['#_Non-Cluster partner water tube-wells/boreholes/handpumps]])-WWWW[[#This Row],['#_Non-functional tube wells/boreholes/handpumps]]</f>
        <v>0</v>
      </c>
      <c r="BV430" s="712">
        <f>WWWW[[#This Row],['#_Constructed/Existingwater storage tank with gravity fed reticulation system]]-WWWW[[#This Row],['#_Non-functional storage tank gravity fed reticulation system]]</f>
        <v>0</v>
      </c>
      <c r="BW430" s="712">
        <f>WWWW[[#This Row],['#_Water boating or water trucking]]</f>
        <v>0</v>
      </c>
      <c r="BX430" s="712">
        <f>WWWW[[#This Row],['#_Constructed/Existing water distribution system from river or natural spring]]</f>
        <v>0</v>
      </c>
      <c r="BY43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0" s="710">
        <f>IF(WWWW[[#This Row],[Location Type 1]]="Village",WWWW[[#This Row],[Access to safe drinking water for Village]],WWWW[[#This Row],[Access to safe drinking water for Camp]])</f>
        <v>0</v>
      </c>
      <c r="CB430" s="708">
        <f>WWWW[[#This Row],[%Equitable and continuous access to sufficient quantity of safe drinking water]]*WWWW[[#This Row],[Total PoP ]]</f>
        <v>0</v>
      </c>
      <c r="CC430" s="710">
        <f>IF((WWWW[[#This Row],['#_Constructed/Existing protected/fenced ponds]]*250)/WWWW[[#This Row],[Total PoP ]]&gt;1,1,(WWWW[[#This Row],['#_Constructed/Existing protected/fenced ponds]]*250)/WWWW[[#This Row],[Total PoP ]])</f>
        <v>0</v>
      </c>
      <c r="CD430" s="708">
        <f>WWWW[[#This Row],[% Access to unimproved water points]]*WWWW[[#This Row],[Total PoP ]]</f>
        <v>0</v>
      </c>
      <c r="CE43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0" s="708">
        <f>WWWW[[#This Row],[HRP1]]/500</f>
        <v>0</v>
      </c>
      <c r="CH430" s="714">
        <f>1-WWWW[[#This Row],[% Equitable and continuous access to sufficient quantity of domestic water]]</f>
        <v>1</v>
      </c>
      <c r="CI430" s="708">
        <f>WWWW[[#This Row],[%equitable and continuous access to sufficient quantity of safe drinking and domestic water''s GAP]]*WWWW[[#This Row],[Total PoP ]]</f>
        <v>376</v>
      </c>
      <c r="CJ430" s="712">
        <f>IF(WWWW[[#This Row],[Total required water points]]-WWWW[[#This Row],['#Water points coverage]]&lt;0,0,WWWW[[#This Row],[Total required water points]]-WWWW[[#This Row],['#Water points coverage]])</f>
        <v>1</v>
      </c>
      <c r="CK430" s="712">
        <f>ROUND(IF(WWWW[[#This Row],[Total PoP ]]&lt;500,1,WWWW[[#This Row],[Total PoP ]]/500),0)</f>
        <v>1</v>
      </c>
      <c r="CL430" s="712">
        <f>(WWWW[[#This Row],['#_Constructed latrines_by_WASHAgencies]]+WWWW[[#This Row],['#_Non Cluster partner latrines]])-WWWW[[#This Row],['#_Non-functional latrines]]</f>
        <v>14</v>
      </c>
      <c r="CM43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3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376</v>
      </c>
      <c r="CO43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0" s="712">
        <f>IF(WWWW[[#This Row],[Location Type 1]]="Village","NA",IF(WWWW[[#This Row],['#_Constructed/Existing latrines in TLS]]*50&gt;WWWW[[#This Row],['#_students at TLS_CFS]],WWWW[[#This Row],['#_students at TLS_CFS]],(WWWW[[#This Row],['#_Constructed/Existing latrines in TLS]]*50)))</f>
        <v>0</v>
      </c>
      <c r="CQ430" s="712">
        <f>ROUND(IF(WWWW[[#This Row],[Location Type 1]]="camp",WWWW[[#This Row],[Total PoP ]]/20,IF(WWWW[[#This Row],[Location Type 1]]="Temporary Location",WWWW[[#This Row],[Total PoP ]]/50,(WWWW[[#This Row],[Total PoP ]]/6))),0)</f>
        <v>8</v>
      </c>
      <c r="CR430" s="712">
        <f>IF(WWWW[[#This Row],[Total required Latrines]]-(WWWW[[#This Row],['#_Constructed latrines_by_WASHAgencies]]+WWWW[[#This Row],['#_Non Cluster partner latrines]])&lt;0,0,WWWW[[#This Row],[Total required Latrines]]-(WWWW[[#This Row],['#_Constructed latrines_by_WASHAgencies]]+WWWW[[#This Row],['#_Non Cluster partner latrines]]))</f>
        <v>0</v>
      </c>
      <c r="CS430" s="716">
        <f>1-WWWW[[#This Row],[% people access to functioning Latrine]]</f>
        <v>0</v>
      </c>
      <c r="CT430" s="713">
        <f>IF(OR(WWWW[[#This Row],['#_Non-functional latrines]]="",WWWW[[#This Row],['#_Non-functional latrines]]=0),0,WWWW[[#This Row],['#_Non-functional latrines]]/(WWWW[[#This Row],['#_Constructed latrines_by_WASHAgencies]]+WWWW[[#This Row],['#_Non Cluster partner latrines]]))</f>
        <v>0</v>
      </c>
      <c r="CU430" s="708">
        <f>IF(500*(WWWW[[#This Row],['#_male hygiene promoters]]+WWWW[[#This Row],['#_female hygiene promoters]])&gt;WWWW[[#This Row],[Total PoP ]],WWWW[[#This Row],[Total PoP ]],500*(WWWW[[#This Row],['#_male hygiene promoters]]+WWWW[[#This Row],['#_female hygiene promoters]]))</f>
        <v>0</v>
      </c>
      <c r="CV43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0" s="712">
        <f>IF(WWWW[[#This Row],['# People with access to soap]]&gt;WWWW[[#This Row],['# People with access to Sanity Pads]],WWWW[[#This Row],['# People with access to soap]],WWWW[[#This Row],['# People with access to Sanity Pads]])</f>
        <v>0</v>
      </c>
      <c r="CY43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0" s="714">
        <f>IF(WWWW[[#This Row],[HRP3]]/WWWW[[#This Row],[Total PoP ]]&gt;100%,100%,WWWW[[#This Row],[HRP3]]/WWWW[[#This Row],[Total PoP ]])</f>
        <v>0</v>
      </c>
      <c r="DA430" s="713">
        <f>1-WWWW[[#This Row],[Hygiene Coverage%]]</f>
        <v>1</v>
      </c>
      <c r="DB430" s="710">
        <f>WWWW[[#This Row],['# people reached by regular dedicated hygiene promotion_5]]/WWWW[[#This Row],[Total PoP ]]</f>
        <v>0</v>
      </c>
      <c r="DC430" s="710">
        <f>IF(WWWW[[#This Row],['#_households that received standard amount of soap for this quarter]]/WWWW[[#This Row],[Total HH]]&gt;1,1,WWWW[[#This Row],['#_households that received standard amount of soap for this quarter]]/WWWW[[#This Row],[Total HH]])</f>
        <v>0</v>
      </c>
      <c r="DD430" s="710">
        <f>IF(WWWW[[#This Row],['#_households that received standard amount of sanitary pads for this quarter]]/WWWW[[#This Row],[Total HH]]&gt;1,1,WWWW[[#This Row],['#_households that received standard amount of sanitary pads for this quarter]]/WWWW[[#This Row],[Total HH]])</f>
        <v>0</v>
      </c>
      <c r="DE430" s="712">
        <f>WWWW[[#This Row],['#_Constructed/Existing hand washing stations]]-WWWW[[#This Row],['#_Non-Functional_hand_washing_stations]]</f>
        <v>0</v>
      </c>
      <c r="DF430" s="757">
        <f>IF(WWWW[[#This Row],['# Functional hand washing stations during reporting period]]*20&gt;WWWW[[#This Row],[Total HH]],WWWW[[#This Row],[Total HH]],WWWW[[#This Row],['# Functional hand washing stations during reporting period]]*20)</f>
        <v>0</v>
      </c>
      <c r="DG430" s="708">
        <f>IF(WWWW[[#This Row],[Is sufficient soap available for TLS? (Yes/No)]]="yes",WWWW[[#This Row],['#_Constructed/Existing hand washing stations at TLS]],0)</f>
        <v>0</v>
      </c>
      <c r="DH430" s="585">
        <f>IF(WWWW[[#This Row],['# Functional hand washing stations during reporting period]]*100&gt;WWWW[[#This Row],[Total PoP ]],WWWW[[#This Row],[Total PoP ]],WWWW[[#This Row],['# Functional hand washing stations during reporting period]]*100)</f>
        <v>0</v>
      </c>
      <c r="DI430" s="585" t="str">
        <f>IF(OR(WWWW[[#This Row],['#_students at TLS_CFS]]="",WWWW[[#This Row],['#_students at TLS_CFS]]=0),"No","Yes")</f>
        <v>No</v>
      </c>
      <c r="DJ430" s="711">
        <f>VLOOKUP(WWWW[[#This Row],[Site Name]],SiteDB6[[Site Name]:[CCCM Management]],6,FALSE)</f>
        <v>0</v>
      </c>
      <c r="DK430" s="711">
        <f>VLOOKUP(WWWW[[#This Row],[Site Name]],SiteDB6[[Site Name]:[CCCM Focal Agency]],7,FALSE)</f>
        <v>0</v>
      </c>
      <c r="DL430" s="711" t="str">
        <f>VLOOKUP(WWWW[[#This Row],[Site Name]],SiteDB6[[Site Name]:[Location Type 1]],9,FALSE)</f>
        <v>Temporary location</v>
      </c>
      <c r="DM430" s="711" t="str">
        <f>VLOOKUP(WWWW[[#This Row],[Site Name]],SiteDB6[[Site Name]:[Type of Accommodation]],10,FALSE)</f>
        <v>Temporary location</v>
      </c>
      <c r="DN430" s="711">
        <f>VLOOKUP(WWWW[[#This Row],[Site Name]],SiteDB6[[Site Name]:[Ethnic or GCA/NGCA]],11,FALSE)</f>
        <v>0</v>
      </c>
      <c r="DO430" s="711">
        <f>VLOOKUP(WWWW[[#This Row],[Site Name]],SiteDB6[[Site Name]:[Lat]],12,FALSE)</f>
        <v>20.623949050903299</v>
      </c>
      <c r="DP430" s="711">
        <f>VLOOKUP(WWWW[[#This Row],[Site Name]],SiteDB6[[Site Name]:[Long]],13,FALSE)</f>
        <v>92.950813293457003</v>
      </c>
      <c r="DQ430" s="711">
        <f>VLOOKUP(WWWW[[#This Row],[Site Name]],SiteDB6[[Site Name]:[Pcode]],3,FALSE)</f>
        <v>196309</v>
      </c>
      <c r="DR430" s="709" t="str">
        <f t="shared" si="13"/>
        <v>Covered</v>
      </c>
      <c r="DS430" s="709"/>
      <c r="DV430" s="572"/>
    </row>
    <row r="431" spans="1:126">
      <c r="A431" s="552" t="s">
        <v>2518</v>
      </c>
      <c r="B431" s="701" t="s">
        <v>249</v>
      </c>
      <c r="C431" s="701" t="s">
        <v>249</v>
      </c>
      <c r="D431" s="702"/>
      <c r="E431" s="703" t="s">
        <v>3006</v>
      </c>
      <c r="F431" s="702" t="s">
        <v>470</v>
      </c>
      <c r="G431" s="704" t="str">
        <f>VLOOKUP(WWWW[[#This Row],[Site Name]],SiteDB6[[Site Name]:[Location Type]],8,FALSE)</f>
        <v>New Temporary Site</v>
      </c>
      <c r="H431" s="702" t="s">
        <v>2828</v>
      </c>
      <c r="I431" s="705">
        <v>107</v>
      </c>
      <c r="J431" s="705">
        <v>609</v>
      </c>
      <c r="K431" s="706"/>
      <c r="L431" s="707"/>
      <c r="M431" s="705"/>
      <c r="N431" s="705"/>
      <c r="O431" s="705"/>
      <c r="P431" s="705"/>
      <c r="Q431" s="708"/>
      <c r="R431" s="705"/>
      <c r="S431" s="705"/>
      <c r="T431" s="312"/>
      <c r="U431" s="705"/>
      <c r="V431" s="705"/>
      <c r="W431" s="705"/>
      <c r="X431" s="705"/>
      <c r="Y431" s="705"/>
      <c r="Z431" s="705"/>
      <c r="AA431" s="705"/>
      <c r="AB431" s="705"/>
      <c r="AC431" s="705"/>
      <c r="AD431" s="705"/>
      <c r="AE431" s="705"/>
      <c r="AF431" s="705"/>
      <c r="AG431" s="705"/>
      <c r="AH431" s="705"/>
      <c r="AI431" s="705"/>
      <c r="AJ431" s="705"/>
      <c r="AK431" s="705"/>
      <c r="AL431" s="705"/>
      <c r="AM431" s="705"/>
      <c r="AN431" s="705"/>
      <c r="AO431" s="709"/>
      <c r="AP431" s="705"/>
      <c r="AQ431" s="705"/>
      <c r="AR431" s="710"/>
      <c r="AS431" s="705"/>
      <c r="AT431" s="705"/>
      <c r="AU431" s="705"/>
      <c r="AV431" s="705"/>
      <c r="AW431" s="705"/>
      <c r="AX431" s="711"/>
      <c r="AY431" s="709"/>
      <c r="AZ431" s="705"/>
      <c r="BA431" s="705"/>
      <c r="BB431" s="705"/>
      <c r="BC431" s="711"/>
      <c r="BD431" s="705"/>
      <c r="BE431" s="705"/>
      <c r="BF431" s="705"/>
      <c r="BG431" s="705"/>
      <c r="BH431" s="705"/>
      <c r="BI431" s="705"/>
      <c r="BJ431" s="705"/>
      <c r="BK431" s="705">
        <v>107</v>
      </c>
      <c r="BL431" s="705">
        <v>107</v>
      </c>
      <c r="BM431" s="711"/>
      <c r="BN431" s="712"/>
      <c r="BO431" s="710"/>
      <c r="BP431" s="711"/>
      <c r="BQ431" s="713" t="str">
        <f>IFERROR(WWWW[[#This Row],['#_Water sources treated]]/WWWW[[#This Row],['#_Water sources tested for contamination]],"no test")</f>
        <v>no test</v>
      </c>
      <c r="BR431" s="710" t="str">
        <f>IFERROR(WWWW[[#This Row],['#_Household received remediation action due to contamination]]/WWWW[[#This Row],['#_Household water samples tested for contamination]],"no test")</f>
        <v>no test</v>
      </c>
      <c r="BS431" s="712" t="str">
        <f>IF(AND(WWWW[[#This Row],[% of water sources treated]]="no test",WWWW[[#This Row],[% Household received corrective actions]]="no test"),"No Test","Tested")</f>
        <v>No Test</v>
      </c>
      <c r="BT431" s="712">
        <f>WWWW[[#This Row],['#_Constructed/existing protected hand dug well]]-WWWW[[#This Row],['#_Non-functional protected hand dug well]]</f>
        <v>0</v>
      </c>
      <c r="BU431" s="712">
        <f>(WWWW[[#This Row],['#_Constructed/Existing tube wells/boreholes/handpumps_WASH_agency]]+WWWW[[#This Row],['#_Non-Cluster partner water tube-wells/boreholes/handpumps]])-WWWW[[#This Row],['#_Non-functional tube wells/boreholes/handpumps]]</f>
        <v>0</v>
      </c>
      <c r="BV431" s="712">
        <f>WWWW[[#This Row],['#_Constructed/Existingwater storage tank with gravity fed reticulation system]]-WWWW[[#This Row],['#_Non-functional storage tank gravity fed reticulation system]]</f>
        <v>0</v>
      </c>
      <c r="BW431" s="712">
        <f>WWWW[[#This Row],['#_Water boating or water trucking]]</f>
        <v>0</v>
      </c>
      <c r="BX431" s="712">
        <f>WWWW[[#This Row],['#_Constructed/Existing water distribution system from river or natural spring]]</f>
        <v>0</v>
      </c>
      <c r="BY43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1" s="710">
        <f>IF(WWWW[[#This Row],[Location Type 1]]="Village",WWWW[[#This Row],[Access to safe drinking water for Village]],WWWW[[#This Row],[Access to safe drinking water for Camp]])</f>
        <v>0</v>
      </c>
      <c r="CB431" s="708">
        <f>WWWW[[#This Row],[%Equitable and continuous access to sufficient quantity of safe drinking water]]*WWWW[[#This Row],[Total PoP ]]</f>
        <v>0</v>
      </c>
      <c r="CC431" s="710">
        <f>IF((WWWW[[#This Row],['#_Constructed/Existing protected/fenced ponds]]*250)/WWWW[[#This Row],[Total PoP ]]&gt;1,1,(WWWW[[#This Row],['#_Constructed/Existing protected/fenced ponds]]*250)/WWWW[[#This Row],[Total PoP ]])</f>
        <v>0</v>
      </c>
      <c r="CD431" s="708">
        <f>WWWW[[#This Row],[% Access to unimproved water points]]*WWWW[[#This Row],[Total PoP ]]</f>
        <v>0</v>
      </c>
      <c r="CE43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1" s="708">
        <f>WWWW[[#This Row],[HRP1]]/500</f>
        <v>0</v>
      </c>
      <c r="CH431" s="714">
        <f>1-WWWW[[#This Row],[% Equitable and continuous access to sufficient quantity of domestic water]]</f>
        <v>1</v>
      </c>
      <c r="CI431" s="708">
        <f>WWWW[[#This Row],[%equitable and continuous access to sufficient quantity of safe drinking and domestic water''s GAP]]*WWWW[[#This Row],[Total PoP ]]</f>
        <v>609</v>
      </c>
      <c r="CJ431" s="712">
        <f>IF(WWWW[[#This Row],[Total required water points]]-WWWW[[#This Row],['#Water points coverage]]&lt;0,0,WWWW[[#This Row],[Total required water points]]-WWWW[[#This Row],['#Water points coverage]])</f>
        <v>1</v>
      </c>
      <c r="CK431" s="712">
        <f>ROUND(IF(WWWW[[#This Row],[Total PoP ]]&lt;500,1,WWWW[[#This Row],[Total PoP ]]/500),0)</f>
        <v>1</v>
      </c>
      <c r="CL431" s="712">
        <f>(WWWW[[#This Row],['#_Constructed latrines_by_WASHAgencies]]+WWWW[[#This Row],['#_Non Cluster partner latrines]])-WWWW[[#This Row],['#_Non-functional latrines]]</f>
        <v>0</v>
      </c>
      <c r="CM43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1" s="712">
        <f>IF(WWWW[[#This Row],[Location Type 1]]="Village","NA",IF(WWWW[[#This Row],['#_Constructed/Existing latrines in TLS]]*50&gt;WWWW[[#This Row],['#_students at TLS_CFS]],WWWW[[#This Row],['#_students at TLS_CFS]],(WWWW[[#This Row],['#_Constructed/Existing latrines in TLS]]*50)))</f>
        <v>0</v>
      </c>
      <c r="CQ431" s="712">
        <f>ROUND(IF(WWWW[[#This Row],[Location Type 1]]="camp",WWWW[[#This Row],[Total PoP ]]/20,IF(WWWW[[#This Row],[Location Type 1]]="Temporary Location",WWWW[[#This Row],[Total PoP ]]/50,(WWWW[[#This Row],[Total PoP ]]/6))),0)</f>
        <v>12</v>
      </c>
      <c r="CR431" s="712">
        <f>IF(WWWW[[#This Row],[Total required Latrines]]-(WWWW[[#This Row],['#_Constructed latrines_by_WASHAgencies]]+WWWW[[#This Row],['#_Non Cluster partner latrines]])&lt;0,0,WWWW[[#This Row],[Total required Latrines]]-(WWWW[[#This Row],['#_Constructed latrines_by_WASHAgencies]]+WWWW[[#This Row],['#_Non Cluster partner latrines]]))</f>
        <v>12</v>
      </c>
      <c r="CS431" s="716">
        <f>1-WWWW[[#This Row],[% people access to functioning Latrine]]</f>
        <v>1</v>
      </c>
      <c r="CT431" s="713">
        <f>IF(OR(WWWW[[#This Row],['#_Non-functional latrines]]="",WWWW[[#This Row],['#_Non-functional latrines]]=0),0,WWWW[[#This Row],['#_Non-functional latrines]]/(WWWW[[#This Row],['#_Constructed latrines_by_WASHAgencies]]+WWWW[[#This Row],['#_Non Cluster partner latrines]]))</f>
        <v>0</v>
      </c>
      <c r="CU431" s="708">
        <f>IF(500*(WWWW[[#This Row],['#_male hygiene promoters]]+WWWW[[#This Row],['#_female hygiene promoters]])&gt;WWWW[[#This Row],[Total PoP ]],WWWW[[#This Row],[Total PoP ]],500*(WWWW[[#This Row],['#_male hygiene promoters]]+WWWW[[#This Row],['#_female hygiene promoters]]))</f>
        <v>0</v>
      </c>
      <c r="CV43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609</v>
      </c>
      <c r="CW43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609</v>
      </c>
      <c r="CX431" s="712">
        <f>IF(WWWW[[#This Row],['# People with access to soap]]&gt;WWWW[[#This Row],['# People with access to Sanity Pads]],WWWW[[#This Row],['# People with access to soap]],WWWW[[#This Row],['# People with access to Sanity Pads]])</f>
        <v>609</v>
      </c>
      <c r="CY431" s="712">
        <f>IF(WWWW[[#This Row],['# people reached by regular dedicated hygiene promotion_5]]&gt;WWWW[[#This Row],['# People received regular supply of hygiene items_6]],WWWW[[#This Row],['# people reached by regular dedicated hygiene promotion_5]],WWWW[[#This Row],['# People received regular supply of hygiene items_6]])</f>
        <v>609</v>
      </c>
      <c r="CZ431" s="714">
        <f>IF(WWWW[[#This Row],[HRP3]]/WWWW[[#This Row],[Total PoP ]]&gt;100%,100%,WWWW[[#This Row],[HRP3]]/WWWW[[#This Row],[Total PoP ]])</f>
        <v>1</v>
      </c>
      <c r="DA431" s="713">
        <f>1-WWWW[[#This Row],[Hygiene Coverage%]]</f>
        <v>0</v>
      </c>
      <c r="DB431" s="710">
        <f>WWWW[[#This Row],['# people reached by regular dedicated hygiene promotion_5]]/WWWW[[#This Row],[Total PoP ]]</f>
        <v>0</v>
      </c>
      <c r="DC431" s="710">
        <f>IF(WWWW[[#This Row],['#_households that received standard amount of soap for this quarter]]/WWWW[[#This Row],[Total HH]]&gt;1,1,WWWW[[#This Row],['#_households that received standard amount of soap for this quarter]]/WWWW[[#This Row],[Total HH]])</f>
        <v>1</v>
      </c>
      <c r="DD431" s="710">
        <f>IF(WWWW[[#This Row],['#_households that received standard amount of sanitary pads for this quarter]]/WWWW[[#This Row],[Total HH]]&gt;1,1,WWWW[[#This Row],['#_households that received standard amount of sanitary pads for this quarter]]/WWWW[[#This Row],[Total HH]])</f>
        <v>1</v>
      </c>
      <c r="DE431" s="712">
        <f>WWWW[[#This Row],['#_Constructed/Existing hand washing stations]]-WWWW[[#This Row],['#_Non-Functional_hand_washing_stations]]</f>
        <v>0</v>
      </c>
      <c r="DF431" s="757">
        <f>IF(WWWW[[#This Row],['# Functional hand washing stations during reporting period]]*20&gt;WWWW[[#This Row],[Total HH]],WWWW[[#This Row],[Total HH]],WWWW[[#This Row],['# Functional hand washing stations during reporting period]]*20)</f>
        <v>0</v>
      </c>
      <c r="DG431" s="708">
        <f>IF(WWWW[[#This Row],[Is sufficient soap available for TLS? (Yes/No)]]="yes",WWWW[[#This Row],['#_Constructed/Existing hand washing stations at TLS]],0)</f>
        <v>0</v>
      </c>
      <c r="DH431" s="585">
        <f>IF(WWWW[[#This Row],['# Functional hand washing stations during reporting period]]*100&gt;WWWW[[#This Row],[Total PoP ]],WWWW[[#This Row],[Total PoP ]],WWWW[[#This Row],['# Functional hand washing stations during reporting period]]*100)</f>
        <v>0</v>
      </c>
      <c r="DI431" s="585" t="str">
        <f>IF(OR(WWWW[[#This Row],['#_students at TLS_CFS]]="",WWWW[[#This Row],['#_students at TLS_CFS]]=0),"No","Yes")</f>
        <v>No</v>
      </c>
      <c r="DJ431" s="711">
        <f>VLOOKUP(WWWW[[#This Row],[Site Name]],SiteDB6[[Site Name]:[CCCM Management]],6,FALSE)</f>
        <v>0</v>
      </c>
      <c r="DK431" s="711">
        <f>VLOOKUP(WWWW[[#This Row],[Site Name]],SiteDB6[[Site Name]:[CCCM Focal Agency]],7,FALSE)</f>
        <v>0</v>
      </c>
      <c r="DL431" s="711" t="str">
        <f>VLOOKUP(WWWW[[#This Row],[Site Name]],SiteDB6[[Site Name]:[Location Type 1]],9,FALSE)</f>
        <v>Temporary location</v>
      </c>
      <c r="DM431" s="711" t="str">
        <f>VLOOKUP(WWWW[[#This Row],[Site Name]],SiteDB6[[Site Name]:[Type of Accommodation]],10,FALSE)</f>
        <v>Temporary location</v>
      </c>
      <c r="DN431" s="711" t="str">
        <f>VLOOKUP(WWWW[[#This Row],[Site Name]],SiteDB6[[Site Name]:[Ethnic or GCA/NGCA]],11,FALSE)</f>
        <v>Mro/ Kha Mee</v>
      </c>
      <c r="DO431" s="711">
        <f>VLOOKUP(WWWW[[#This Row],[Site Name]],SiteDB6[[Site Name]:[Lat]],12,FALSE)</f>
        <v>0</v>
      </c>
      <c r="DP431" s="711">
        <f>VLOOKUP(WWWW[[#This Row],[Site Name]],SiteDB6[[Site Name]:[Long]],13,FALSE)</f>
        <v>0</v>
      </c>
      <c r="DQ431" s="711">
        <f>VLOOKUP(WWWW[[#This Row],[Site Name]],SiteDB6[[Site Name]:[Pcode]],3,FALSE)</f>
        <v>220611</v>
      </c>
      <c r="DR431" s="709" t="str">
        <f t="shared" si="13"/>
        <v>Covered</v>
      </c>
      <c r="DS431" s="709"/>
      <c r="DV431" s="572"/>
    </row>
    <row r="432" spans="1:126">
      <c r="A432" s="552" t="s">
        <v>2518</v>
      </c>
      <c r="B432" s="808" t="s">
        <v>317</v>
      </c>
      <c r="C432" s="808" t="s">
        <v>317</v>
      </c>
      <c r="D432" s="702"/>
      <c r="E432" s="703" t="s">
        <v>3006</v>
      </c>
      <c r="F432" s="702" t="s">
        <v>470</v>
      </c>
      <c r="G432" s="704" t="str">
        <f>VLOOKUP(WWWW[[#This Row],[Site Name]],SiteDB6[[Site Name]:[Location Type]],8,FALSE)</f>
        <v>New Temporary Site</v>
      </c>
      <c r="H432" s="702" t="s">
        <v>3166</v>
      </c>
      <c r="I432" s="705">
        <v>17</v>
      </c>
      <c r="J432" s="705">
        <v>65</v>
      </c>
      <c r="K432" s="706"/>
      <c r="L432" s="707"/>
      <c r="M432" s="705"/>
      <c r="N432" s="705"/>
      <c r="O432" s="705"/>
      <c r="P432" s="705"/>
      <c r="Q432" s="708"/>
      <c r="R432" s="705"/>
      <c r="S432" s="705"/>
      <c r="T432" s="312"/>
      <c r="U432" s="705"/>
      <c r="V432" s="705"/>
      <c r="W432" s="705"/>
      <c r="X432" s="705"/>
      <c r="Y432" s="705"/>
      <c r="Z432" s="705"/>
      <c r="AA432" s="705"/>
      <c r="AB432" s="705"/>
      <c r="AC432" s="705"/>
      <c r="AD432" s="705"/>
      <c r="AE432" s="705"/>
      <c r="AF432" s="705"/>
      <c r="AG432" s="705"/>
      <c r="AH432" s="705"/>
      <c r="AI432" s="705"/>
      <c r="AJ432" s="705"/>
      <c r="AK432" s="705"/>
      <c r="AL432" s="705"/>
      <c r="AM432" s="705"/>
      <c r="AN432" s="705"/>
      <c r="AO432" s="709"/>
      <c r="AP432" s="705"/>
      <c r="AQ432" s="705"/>
      <c r="AR432" s="710"/>
      <c r="AS432" s="705"/>
      <c r="AT432" s="705"/>
      <c r="AU432" s="705"/>
      <c r="AV432" s="705"/>
      <c r="AW432" s="705"/>
      <c r="AX432" s="711"/>
      <c r="AY432" s="709"/>
      <c r="AZ432" s="705"/>
      <c r="BA432" s="705"/>
      <c r="BB432" s="705"/>
      <c r="BC432" s="711"/>
      <c r="BD432" s="705"/>
      <c r="BE432" s="705"/>
      <c r="BF432" s="705"/>
      <c r="BG432" s="705"/>
      <c r="BH432" s="705"/>
      <c r="BI432" s="705"/>
      <c r="BJ432" s="705"/>
      <c r="BK432" s="705"/>
      <c r="BL432" s="705"/>
      <c r="BM432" s="711"/>
      <c r="BN432" s="712"/>
      <c r="BO432" s="710"/>
      <c r="BP432" s="711"/>
      <c r="BQ432" s="713" t="str">
        <f>IFERROR(WWWW[[#This Row],['#_Water sources treated]]/WWWW[[#This Row],['#_Water sources tested for contamination]],"no test")</f>
        <v>no test</v>
      </c>
      <c r="BR432" s="710" t="str">
        <f>IFERROR(WWWW[[#This Row],['#_Household received remediation action due to contamination]]/WWWW[[#This Row],['#_Household water samples tested for contamination]],"no test")</f>
        <v>no test</v>
      </c>
      <c r="BS432" s="712" t="str">
        <f>IF(AND(WWWW[[#This Row],[% of water sources treated]]="no test",WWWW[[#This Row],[% Household received corrective actions]]="no test"),"No Test","Tested")</f>
        <v>No Test</v>
      </c>
      <c r="BT432" s="712">
        <f>WWWW[[#This Row],['#_Constructed/existing protected hand dug well]]-WWWW[[#This Row],['#_Non-functional protected hand dug well]]</f>
        <v>0</v>
      </c>
      <c r="BU432" s="712">
        <f>(WWWW[[#This Row],['#_Constructed/Existing tube wells/boreholes/handpumps_WASH_agency]]+WWWW[[#This Row],['#_Non-Cluster partner water tube-wells/boreholes/handpumps]])-WWWW[[#This Row],['#_Non-functional tube wells/boreholes/handpumps]]</f>
        <v>0</v>
      </c>
      <c r="BV432" s="712">
        <f>WWWW[[#This Row],['#_Constructed/Existingwater storage tank with gravity fed reticulation system]]-WWWW[[#This Row],['#_Non-functional storage tank gravity fed reticulation system]]</f>
        <v>0</v>
      </c>
      <c r="BW432" s="712">
        <f>WWWW[[#This Row],['#_Water boating or water trucking]]</f>
        <v>0</v>
      </c>
      <c r="BX432" s="712">
        <f>WWWW[[#This Row],['#_Constructed/Existing water distribution system from river or natural spring]]</f>
        <v>0</v>
      </c>
      <c r="BY43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2" s="710">
        <f>IF(WWWW[[#This Row],[Location Type 1]]="Village",WWWW[[#This Row],[Access to safe drinking water for Village]],WWWW[[#This Row],[Access to safe drinking water for Camp]])</f>
        <v>0</v>
      </c>
      <c r="CB432" s="708">
        <f>WWWW[[#This Row],[%Equitable and continuous access to sufficient quantity of safe drinking water]]*WWWW[[#This Row],[Total PoP ]]</f>
        <v>0</v>
      </c>
      <c r="CC432" s="710">
        <f>IF((WWWW[[#This Row],['#_Constructed/Existing protected/fenced ponds]]*250)/WWWW[[#This Row],[Total PoP ]]&gt;1,1,(WWWW[[#This Row],['#_Constructed/Existing protected/fenced ponds]]*250)/WWWW[[#This Row],[Total PoP ]])</f>
        <v>0</v>
      </c>
      <c r="CD432" s="708">
        <f>WWWW[[#This Row],[% Access to unimproved water points]]*WWWW[[#This Row],[Total PoP ]]</f>
        <v>0</v>
      </c>
      <c r="CE43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2" s="708">
        <f>WWWW[[#This Row],[HRP1]]/500</f>
        <v>0</v>
      </c>
      <c r="CH432" s="714">
        <f>1-WWWW[[#This Row],[% Equitable and continuous access to sufficient quantity of domestic water]]</f>
        <v>1</v>
      </c>
      <c r="CI432" s="708">
        <f>WWWW[[#This Row],[%equitable and continuous access to sufficient quantity of safe drinking and domestic water''s GAP]]*WWWW[[#This Row],[Total PoP ]]</f>
        <v>65</v>
      </c>
      <c r="CJ432" s="712">
        <f>IF(WWWW[[#This Row],[Total required water points]]-WWWW[[#This Row],['#Water points coverage]]&lt;0,0,WWWW[[#This Row],[Total required water points]]-WWWW[[#This Row],['#Water points coverage]])</f>
        <v>1</v>
      </c>
      <c r="CK432" s="712">
        <f>ROUND(IF(WWWW[[#This Row],[Total PoP ]]&lt;500,1,WWWW[[#This Row],[Total PoP ]]/500),0)</f>
        <v>1</v>
      </c>
      <c r="CL432" s="712">
        <f>(WWWW[[#This Row],['#_Constructed latrines_by_WASHAgencies]]+WWWW[[#This Row],['#_Non Cluster partner latrines]])-WWWW[[#This Row],['#_Non-functional latrines]]</f>
        <v>0</v>
      </c>
      <c r="CM43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2" s="712">
        <f>IF(WWWW[[#This Row],[Location Type 1]]="Village","NA",IF(WWWW[[#This Row],['#_Constructed/Existing latrines in TLS]]*50&gt;WWWW[[#This Row],['#_students at TLS_CFS]],WWWW[[#This Row],['#_students at TLS_CFS]],(WWWW[[#This Row],['#_Constructed/Existing latrines in TLS]]*50)))</f>
        <v>0</v>
      </c>
      <c r="CQ432" s="712">
        <f>ROUND(IF(WWWW[[#This Row],[Location Type 1]]="camp",WWWW[[#This Row],[Total PoP ]]/20,IF(WWWW[[#This Row],[Location Type 1]]="Temporary Location",WWWW[[#This Row],[Total PoP ]]/50,(WWWW[[#This Row],[Total PoP ]]/6))),0)</f>
        <v>1</v>
      </c>
      <c r="CR432" s="712">
        <f>IF(WWWW[[#This Row],[Total required Latrines]]-(WWWW[[#This Row],['#_Constructed latrines_by_WASHAgencies]]+WWWW[[#This Row],['#_Non Cluster partner latrines]])&lt;0,0,WWWW[[#This Row],[Total required Latrines]]-(WWWW[[#This Row],['#_Constructed latrines_by_WASHAgencies]]+WWWW[[#This Row],['#_Non Cluster partner latrines]]))</f>
        <v>1</v>
      </c>
      <c r="CS432" s="716">
        <f>1-WWWW[[#This Row],[% people access to functioning Latrine]]</f>
        <v>1</v>
      </c>
      <c r="CT432" s="713">
        <f>IF(OR(WWWW[[#This Row],['#_Non-functional latrines]]="",WWWW[[#This Row],['#_Non-functional latrines]]=0),0,WWWW[[#This Row],['#_Non-functional latrines]]/(WWWW[[#This Row],['#_Constructed latrines_by_WASHAgencies]]+WWWW[[#This Row],['#_Non Cluster partner latrines]]))</f>
        <v>0</v>
      </c>
      <c r="CU432" s="708">
        <f>IF(500*(WWWW[[#This Row],['#_male hygiene promoters]]+WWWW[[#This Row],['#_female hygiene promoters]])&gt;WWWW[[#This Row],[Total PoP ]],WWWW[[#This Row],[Total PoP ]],500*(WWWW[[#This Row],['#_male hygiene promoters]]+WWWW[[#This Row],['#_female hygiene promoters]]))</f>
        <v>0</v>
      </c>
      <c r="CV43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2" s="712">
        <f>IF(WWWW[[#This Row],['# People with access to soap]]&gt;WWWW[[#This Row],['# People with access to Sanity Pads]],WWWW[[#This Row],['# People with access to soap]],WWWW[[#This Row],['# People with access to Sanity Pads]])</f>
        <v>0</v>
      </c>
      <c r="CY43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2" s="714">
        <f>IF(WWWW[[#This Row],[HRP3]]/WWWW[[#This Row],[Total PoP ]]&gt;100%,100%,WWWW[[#This Row],[HRP3]]/WWWW[[#This Row],[Total PoP ]])</f>
        <v>0</v>
      </c>
      <c r="DA432" s="713">
        <f>1-WWWW[[#This Row],[Hygiene Coverage%]]</f>
        <v>1</v>
      </c>
      <c r="DB432" s="710">
        <f>WWWW[[#This Row],['# people reached by regular dedicated hygiene promotion_5]]/WWWW[[#This Row],[Total PoP ]]</f>
        <v>0</v>
      </c>
      <c r="DC432" s="710">
        <f>IF(WWWW[[#This Row],['#_households that received standard amount of soap for this quarter]]/WWWW[[#This Row],[Total HH]]&gt;1,1,WWWW[[#This Row],['#_households that received standard amount of soap for this quarter]]/WWWW[[#This Row],[Total HH]])</f>
        <v>0</v>
      </c>
      <c r="DD432" s="710">
        <f>IF(WWWW[[#This Row],['#_households that received standard amount of sanitary pads for this quarter]]/WWWW[[#This Row],[Total HH]]&gt;1,1,WWWW[[#This Row],['#_households that received standard amount of sanitary pads for this quarter]]/WWWW[[#This Row],[Total HH]])</f>
        <v>0</v>
      </c>
      <c r="DE432" s="712">
        <f>WWWW[[#This Row],['#_Constructed/Existing hand washing stations]]-WWWW[[#This Row],['#_Non-Functional_hand_washing_stations]]</f>
        <v>0</v>
      </c>
      <c r="DF432" s="757">
        <f>IF(WWWW[[#This Row],['# Functional hand washing stations during reporting period]]*20&gt;WWWW[[#This Row],[Total HH]],WWWW[[#This Row],[Total HH]],WWWW[[#This Row],['# Functional hand washing stations during reporting period]]*20)</f>
        <v>0</v>
      </c>
      <c r="DG432" s="708">
        <f>IF(WWWW[[#This Row],[Is sufficient soap available for TLS? (Yes/No)]]="yes",WWWW[[#This Row],['#_Constructed/Existing hand washing stations at TLS]],0)</f>
        <v>0</v>
      </c>
      <c r="DH432" s="585">
        <f>IF(WWWW[[#This Row],['# Functional hand washing stations during reporting period]]*100&gt;WWWW[[#This Row],[Total PoP ]],WWWW[[#This Row],[Total PoP ]],WWWW[[#This Row],['# Functional hand washing stations during reporting period]]*100)</f>
        <v>0</v>
      </c>
      <c r="DI432" s="585" t="str">
        <f>IF(OR(WWWW[[#This Row],['#_students at TLS_CFS]]="",WWWW[[#This Row],['#_students at TLS_CFS]]=0),"No","Yes")</f>
        <v>No</v>
      </c>
      <c r="DJ432" s="711">
        <f>VLOOKUP(WWWW[[#This Row],[Site Name]],SiteDB6[[Site Name]:[CCCM Management]],6,FALSE)</f>
        <v>0</v>
      </c>
      <c r="DK432" s="711">
        <f>VLOOKUP(WWWW[[#This Row],[Site Name]],SiteDB6[[Site Name]:[CCCM Focal Agency]],7,FALSE)</f>
        <v>0</v>
      </c>
      <c r="DL432" s="711" t="str">
        <f>VLOOKUP(WWWW[[#This Row],[Site Name]],SiteDB6[[Site Name]:[Location Type 1]],9,FALSE)</f>
        <v>Temporary location</v>
      </c>
      <c r="DM432" s="711" t="str">
        <f>VLOOKUP(WWWW[[#This Row],[Site Name]],SiteDB6[[Site Name]:[Type of Accommodation]],10,FALSE)</f>
        <v>Temporary location</v>
      </c>
      <c r="DN432" s="711">
        <f>VLOOKUP(WWWW[[#This Row],[Site Name]],SiteDB6[[Site Name]:[Ethnic or GCA/NGCA]],11,FALSE)</f>
        <v>0</v>
      </c>
      <c r="DO432" s="711">
        <f>VLOOKUP(WWWW[[#This Row],[Site Name]],SiteDB6[[Site Name]:[Lat]],12,FALSE)</f>
        <v>0</v>
      </c>
      <c r="DP432" s="711">
        <f>VLOOKUP(WWWW[[#This Row],[Site Name]],SiteDB6[[Site Name]:[Long]],13,FALSE)</f>
        <v>0</v>
      </c>
      <c r="DQ432" s="711">
        <f>VLOOKUP(WWWW[[#This Row],[Site Name]],SiteDB6[[Site Name]:[Pcode]],3,FALSE)</f>
        <v>0</v>
      </c>
      <c r="DR432" s="709" t="str">
        <f t="shared" si="13"/>
        <v>Notcovered</v>
      </c>
      <c r="DS432" s="709"/>
      <c r="DV432" s="572"/>
    </row>
    <row r="433" spans="1:126">
      <c r="A433" s="552" t="s">
        <v>2518</v>
      </c>
      <c r="B433" s="808" t="s">
        <v>317</v>
      </c>
      <c r="C433" s="808" t="s">
        <v>317</v>
      </c>
      <c r="D433" s="702"/>
      <c r="E433" s="703" t="s">
        <v>3006</v>
      </c>
      <c r="F433" s="702" t="s">
        <v>470</v>
      </c>
      <c r="G433" s="704" t="str">
        <f>VLOOKUP(WWWW[[#This Row],[Site Name]],SiteDB6[[Site Name]:[Location Type]],8,FALSE)</f>
        <v>New Temporary Site</v>
      </c>
      <c r="H433" s="702" t="s">
        <v>3170</v>
      </c>
      <c r="I433" s="705">
        <v>21</v>
      </c>
      <c r="J433" s="705">
        <v>80</v>
      </c>
      <c r="K433" s="706"/>
      <c r="L433" s="707"/>
      <c r="M433" s="705"/>
      <c r="N433" s="705"/>
      <c r="O433" s="705"/>
      <c r="P433" s="705"/>
      <c r="Q433" s="708"/>
      <c r="R433" s="705"/>
      <c r="S433" s="705"/>
      <c r="T433" s="312"/>
      <c r="U433" s="705"/>
      <c r="V433" s="705"/>
      <c r="W433" s="705"/>
      <c r="X433" s="705"/>
      <c r="Y433" s="705"/>
      <c r="Z433" s="705"/>
      <c r="AA433" s="705"/>
      <c r="AB433" s="705"/>
      <c r="AC433" s="705"/>
      <c r="AD433" s="705"/>
      <c r="AE433" s="705"/>
      <c r="AF433" s="705"/>
      <c r="AG433" s="705"/>
      <c r="AH433" s="705"/>
      <c r="AI433" s="705"/>
      <c r="AJ433" s="705"/>
      <c r="AK433" s="705"/>
      <c r="AL433" s="705"/>
      <c r="AM433" s="705"/>
      <c r="AN433" s="705"/>
      <c r="AO433" s="709"/>
      <c r="AP433" s="705"/>
      <c r="AQ433" s="705"/>
      <c r="AR433" s="710"/>
      <c r="AS433" s="705"/>
      <c r="AT433" s="705"/>
      <c r="AU433" s="705"/>
      <c r="AV433" s="705"/>
      <c r="AW433" s="705"/>
      <c r="AX433" s="711"/>
      <c r="AY433" s="709"/>
      <c r="AZ433" s="705"/>
      <c r="BA433" s="705"/>
      <c r="BB433" s="705"/>
      <c r="BC433" s="711"/>
      <c r="BD433" s="705"/>
      <c r="BE433" s="705"/>
      <c r="BF433" s="705"/>
      <c r="BG433" s="705"/>
      <c r="BH433" s="705"/>
      <c r="BI433" s="705"/>
      <c r="BJ433" s="705"/>
      <c r="BK433" s="705"/>
      <c r="BL433" s="705"/>
      <c r="BM433" s="711"/>
      <c r="BN433" s="712"/>
      <c r="BO433" s="710"/>
      <c r="BP433" s="711"/>
      <c r="BQ433" s="713" t="str">
        <f>IFERROR(WWWW[[#This Row],['#_Water sources treated]]/WWWW[[#This Row],['#_Water sources tested for contamination]],"no test")</f>
        <v>no test</v>
      </c>
      <c r="BR433" s="710" t="str">
        <f>IFERROR(WWWW[[#This Row],['#_Household received remediation action due to contamination]]/WWWW[[#This Row],['#_Household water samples tested for contamination]],"no test")</f>
        <v>no test</v>
      </c>
      <c r="BS433" s="712" t="str">
        <f>IF(AND(WWWW[[#This Row],[% of water sources treated]]="no test",WWWW[[#This Row],[% Household received corrective actions]]="no test"),"No Test","Tested")</f>
        <v>No Test</v>
      </c>
      <c r="BT433" s="712">
        <f>WWWW[[#This Row],['#_Constructed/existing protected hand dug well]]-WWWW[[#This Row],['#_Non-functional protected hand dug well]]</f>
        <v>0</v>
      </c>
      <c r="BU433" s="712">
        <f>(WWWW[[#This Row],['#_Constructed/Existing tube wells/boreholes/handpumps_WASH_agency]]+WWWW[[#This Row],['#_Non-Cluster partner water tube-wells/boreholes/handpumps]])-WWWW[[#This Row],['#_Non-functional tube wells/boreholes/handpumps]]</f>
        <v>0</v>
      </c>
      <c r="BV433" s="712">
        <f>WWWW[[#This Row],['#_Constructed/Existingwater storage tank with gravity fed reticulation system]]-WWWW[[#This Row],['#_Non-functional storage tank gravity fed reticulation system]]</f>
        <v>0</v>
      </c>
      <c r="BW433" s="712">
        <f>WWWW[[#This Row],['#_Water boating or water trucking]]</f>
        <v>0</v>
      </c>
      <c r="BX433" s="712">
        <f>WWWW[[#This Row],['#_Constructed/Existing water distribution system from river or natural spring]]</f>
        <v>0</v>
      </c>
      <c r="BY43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3" s="710">
        <f>IF(WWWW[[#This Row],[Location Type 1]]="Village",WWWW[[#This Row],[Access to safe drinking water for Village]],WWWW[[#This Row],[Access to safe drinking water for Camp]])</f>
        <v>0</v>
      </c>
      <c r="CB433" s="708">
        <f>WWWW[[#This Row],[%Equitable and continuous access to sufficient quantity of safe drinking water]]*WWWW[[#This Row],[Total PoP ]]</f>
        <v>0</v>
      </c>
      <c r="CC433" s="710">
        <f>IF((WWWW[[#This Row],['#_Constructed/Existing protected/fenced ponds]]*250)/WWWW[[#This Row],[Total PoP ]]&gt;1,1,(WWWW[[#This Row],['#_Constructed/Existing protected/fenced ponds]]*250)/WWWW[[#This Row],[Total PoP ]])</f>
        <v>0</v>
      </c>
      <c r="CD433" s="708">
        <f>WWWW[[#This Row],[% Access to unimproved water points]]*WWWW[[#This Row],[Total PoP ]]</f>
        <v>0</v>
      </c>
      <c r="CE43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3" s="708">
        <f>WWWW[[#This Row],[HRP1]]/500</f>
        <v>0</v>
      </c>
      <c r="CH433" s="714">
        <f>1-WWWW[[#This Row],[% Equitable and continuous access to sufficient quantity of domestic water]]</f>
        <v>1</v>
      </c>
      <c r="CI433" s="708">
        <f>WWWW[[#This Row],[%equitable and continuous access to sufficient quantity of safe drinking and domestic water''s GAP]]*WWWW[[#This Row],[Total PoP ]]</f>
        <v>80</v>
      </c>
      <c r="CJ433" s="712">
        <f>IF(WWWW[[#This Row],[Total required water points]]-WWWW[[#This Row],['#Water points coverage]]&lt;0,0,WWWW[[#This Row],[Total required water points]]-WWWW[[#This Row],['#Water points coverage]])</f>
        <v>1</v>
      </c>
      <c r="CK433" s="712">
        <f>ROUND(IF(WWWW[[#This Row],[Total PoP ]]&lt;500,1,WWWW[[#This Row],[Total PoP ]]/500),0)</f>
        <v>1</v>
      </c>
      <c r="CL433" s="712">
        <f>(WWWW[[#This Row],['#_Constructed latrines_by_WASHAgencies]]+WWWW[[#This Row],['#_Non Cluster partner latrines]])-WWWW[[#This Row],['#_Non-functional latrines]]</f>
        <v>0</v>
      </c>
      <c r="CM43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3" s="712">
        <f>IF(WWWW[[#This Row],[Location Type 1]]="Village","NA",IF(WWWW[[#This Row],['#_Constructed/Existing latrines in TLS]]*50&gt;WWWW[[#This Row],['#_students at TLS_CFS]],WWWW[[#This Row],['#_students at TLS_CFS]],(WWWW[[#This Row],['#_Constructed/Existing latrines in TLS]]*50)))</f>
        <v>0</v>
      </c>
      <c r="CQ433" s="712">
        <f>ROUND(IF(WWWW[[#This Row],[Location Type 1]]="camp",WWWW[[#This Row],[Total PoP ]]/20,IF(WWWW[[#This Row],[Location Type 1]]="Temporary Location",WWWW[[#This Row],[Total PoP ]]/50,(WWWW[[#This Row],[Total PoP ]]/6))),0)</f>
        <v>2</v>
      </c>
      <c r="CR433" s="712">
        <f>IF(WWWW[[#This Row],[Total required Latrines]]-(WWWW[[#This Row],['#_Constructed latrines_by_WASHAgencies]]+WWWW[[#This Row],['#_Non Cluster partner latrines]])&lt;0,0,WWWW[[#This Row],[Total required Latrines]]-(WWWW[[#This Row],['#_Constructed latrines_by_WASHAgencies]]+WWWW[[#This Row],['#_Non Cluster partner latrines]]))</f>
        <v>2</v>
      </c>
      <c r="CS433" s="716">
        <f>1-WWWW[[#This Row],[% people access to functioning Latrine]]</f>
        <v>1</v>
      </c>
      <c r="CT433" s="713">
        <f>IF(OR(WWWW[[#This Row],['#_Non-functional latrines]]="",WWWW[[#This Row],['#_Non-functional latrines]]=0),0,WWWW[[#This Row],['#_Non-functional latrines]]/(WWWW[[#This Row],['#_Constructed latrines_by_WASHAgencies]]+WWWW[[#This Row],['#_Non Cluster partner latrines]]))</f>
        <v>0</v>
      </c>
      <c r="CU433" s="708">
        <f>IF(500*(WWWW[[#This Row],['#_male hygiene promoters]]+WWWW[[#This Row],['#_female hygiene promoters]])&gt;WWWW[[#This Row],[Total PoP ]],WWWW[[#This Row],[Total PoP ]],500*(WWWW[[#This Row],['#_male hygiene promoters]]+WWWW[[#This Row],['#_female hygiene promoters]]))</f>
        <v>0</v>
      </c>
      <c r="CV43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3" s="712">
        <f>IF(WWWW[[#This Row],['# People with access to soap]]&gt;WWWW[[#This Row],['# People with access to Sanity Pads]],WWWW[[#This Row],['# People with access to soap]],WWWW[[#This Row],['# People with access to Sanity Pads]])</f>
        <v>0</v>
      </c>
      <c r="CY43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3" s="714">
        <f>IF(WWWW[[#This Row],[HRP3]]/WWWW[[#This Row],[Total PoP ]]&gt;100%,100%,WWWW[[#This Row],[HRP3]]/WWWW[[#This Row],[Total PoP ]])</f>
        <v>0</v>
      </c>
      <c r="DA433" s="713">
        <f>1-WWWW[[#This Row],[Hygiene Coverage%]]</f>
        <v>1</v>
      </c>
      <c r="DB433" s="710">
        <f>WWWW[[#This Row],['# people reached by regular dedicated hygiene promotion_5]]/WWWW[[#This Row],[Total PoP ]]</f>
        <v>0</v>
      </c>
      <c r="DC433" s="710">
        <f>IF(WWWW[[#This Row],['#_households that received standard amount of soap for this quarter]]/WWWW[[#This Row],[Total HH]]&gt;1,1,WWWW[[#This Row],['#_households that received standard amount of soap for this quarter]]/WWWW[[#This Row],[Total HH]])</f>
        <v>0</v>
      </c>
      <c r="DD433" s="710">
        <f>IF(WWWW[[#This Row],['#_households that received standard amount of sanitary pads for this quarter]]/WWWW[[#This Row],[Total HH]]&gt;1,1,WWWW[[#This Row],['#_households that received standard amount of sanitary pads for this quarter]]/WWWW[[#This Row],[Total HH]])</f>
        <v>0</v>
      </c>
      <c r="DE433" s="712">
        <f>WWWW[[#This Row],['#_Constructed/Existing hand washing stations]]-WWWW[[#This Row],['#_Non-Functional_hand_washing_stations]]</f>
        <v>0</v>
      </c>
      <c r="DF433" s="757">
        <f>IF(WWWW[[#This Row],['# Functional hand washing stations during reporting period]]*20&gt;WWWW[[#This Row],[Total HH]],WWWW[[#This Row],[Total HH]],WWWW[[#This Row],['# Functional hand washing stations during reporting period]]*20)</f>
        <v>0</v>
      </c>
      <c r="DG433" s="708">
        <f>IF(WWWW[[#This Row],[Is sufficient soap available for TLS? (Yes/No)]]="yes",WWWW[[#This Row],['#_Constructed/Existing hand washing stations at TLS]],0)</f>
        <v>0</v>
      </c>
      <c r="DH433" s="585">
        <f>IF(WWWW[[#This Row],['# Functional hand washing stations during reporting period]]*100&gt;WWWW[[#This Row],[Total PoP ]],WWWW[[#This Row],[Total PoP ]],WWWW[[#This Row],['# Functional hand washing stations during reporting period]]*100)</f>
        <v>0</v>
      </c>
      <c r="DI433" s="585" t="str">
        <f>IF(OR(WWWW[[#This Row],['#_students at TLS_CFS]]="",WWWW[[#This Row],['#_students at TLS_CFS]]=0),"No","Yes")</f>
        <v>No</v>
      </c>
      <c r="DJ433" s="711">
        <f>VLOOKUP(WWWW[[#This Row],[Site Name]],SiteDB6[[Site Name]:[CCCM Management]],6,FALSE)</f>
        <v>0</v>
      </c>
      <c r="DK433" s="711">
        <f>VLOOKUP(WWWW[[#This Row],[Site Name]],SiteDB6[[Site Name]:[CCCM Focal Agency]],7,FALSE)</f>
        <v>0</v>
      </c>
      <c r="DL433" s="711" t="str">
        <f>VLOOKUP(WWWW[[#This Row],[Site Name]],SiteDB6[[Site Name]:[Location Type 1]],9,FALSE)</f>
        <v>Temporary location</v>
      </c>
      <c r="DM433" s="711" t="str">
        <f>VLOOKUP(WWWW[[#This Row],[Site Name]],SiteDB6[[Site Name]:[Type of Accommodation]],10,FALSE)</f>
        <v>Temporary location</v>
      </c>
      <c r="DN433" s="711">
        <f>VLOOKUP(WWWW[[#This Row],[Site Name]],SiteDB6[[Site Name]:[Ethnic or GCA/NGCA]],11,FALSE)</f>
        <v>0</v>
      </c>
      <c r="DO433" s="711">
        <f>VLOOKUP(WWWW[[#This Row],[Site Name]],SiteDB6[[Site Name]:[Lat]],12,FALSE)</f>
        <v>20.5511798858643</v>
      </c>
      <c r="DP433" s="711">
        <f>VLOOKUP(WWWW[[#This Row],[Site Name]],SiteDB6[[Site Name]:[Long]],13,FALSE)</f>
        <v>93.065322875976605</v>
      </c>
      <c r="DQ433" s="711">
        <f>VLOOKUP(WWWW[[#This Row],[Site Name]],SiteDB6[[Site Name]:[Pcode]],3,FALSE)</f>
        <v>196329</v>
      </c>
      <c r="DR433" s="709" t="str">
        <f t="shared" si="13"/>
        <v>Notcovered</v>
      </c>
      <c r="DS433" s="709"/>
      <c r="DV433" s="572"/>
    </row>
    <row r="434" spans="1:126">
      <c r="A434" s="552" t="s">
        <v>2518</v>
      </c>
      <c r="B434" s="808" t="s">
        <v>317</v>
      </c>
      <c r="C434" s="808" t="s">
        <v>317</v>
      </c>
      <c r="D434" s="702"/>
      <c r="E434" s="703" t="s">
        <v>3006</v>
      </c>
      <c r="F434" s="702" t="s">
        <v>470</v>
      </c>
      <c r="G434" s="704" t="str">
        <f>VLOOKUP(WWWW[[#This Row],[Site Name]],SiteDB6[[Site Name]:[Location Type]],8,FALSE)</f>
        <v>New Temporary Site</v>
      </c>
      <c r="H434" s="702" t="s">
        <v>3163</v>
      </c>
      <c r="I434" s="705">
        <v>36</v>
      </c>
      <c r="J434" s="705">
        <v>207</v>
      </c>
      <c r="K434" s="706"/>
      <c r="L434" s="707"/>
      <c r="M434" s="705"/>
      <c r="N434" s="705"/>
      <c r="O434" s="705"/>
      <c r="P434" s="705"/>
      <c r="Q434" s="708"/>
      <c r="R434" s="705"/>
      <c r="S434" s="705"/>
      <c r="T434" s="312"/>
      <c r="U434" s="705"/>
      <c r="V434" s="705"/>
      <c r="W434" s="705"/>
      <c r="X434" s="705"/>
      <c r="Y434" s="705"/>
      <c r="Z434" s="705"/>
      <c r="AA434" s="705"/>
      <c r="AB434" s="705"/>
      <c r="AC434" s="705"/>
      <c r="AD434" s="705"/>
      <c r="AE434" s="705"/>
      <c r="AF434" s="705"/>
      <c r="AG434" s="705"/>
      <c r="AH434" s="705"/>
      <c r="AI434" s="705"/>
      <c r="AJ434" s="705"/>
      <c r="AK434" s="705"/>
      <c r="AL434" s="705"/>
      <c r="AM434" s="705"/>
      <c r="AN434" s="705"/>
      <c r="AO434" s="709"/>
      <c r="AP434" s="705"/>
      <c r="AQ434" s="705"/>
      <c r="AR434" s="710"/>
      <c r="AS434" s="705"/>
      <c r="AT434" s="705"/>
      <c r="AU434" s="705"/>
      <c r="AV434" s="705"/>
      <c r="AW434" s="705"/>
      <c r="AX434" s="711"/>
      <c r="AY434" s="709"/>
      <c r="AZ434" s="705"/>
      <c r="BA434" s="705"/>
      <c r="BB434" s="705"/>
      <c r="BC434" s="711"/>
      <c r="BD434" s="705"/>
      <c r="BE434" s="705"/>
      <c r="BF434" s="705"/>
      <c r="BG434" s="705"/>
      <c r="BH434" s="705"/>
      <c r="BI434" s="705"/>
      <c r="BJ434" s="705"/>
      <c r="BK434" s="705"/>
      <c r="BL434" s="705"/>
      <c r="BM434" s="711"/>
      <c r="BN434" s="712"/>
      <c r="BO434" s="710"/>
      <c r="BP434" s="711"/>
      <c r="BQ434" s="713" t="str">
        <f>IFERROR(WWWW[[#This Row],['#_Water sources treated]]/WWWW[[#This Row],['#_Water sources tested for contamination]],"no test")</f>
        <v>no test</v>
      </c>
      <c r="BR434" s="710" t="str">
        <f>IFERROR(WWWW[[#This Row],['#_Household received remediation action due to contamination]]/WWWW[[#This Row],['#_Household water samples tested for contamination]],"no test")</f>
        <v>no test</v>
      </c>
      <c r="BS434" s="712" t="str">
        <f>IF(AND(WWWW[[#This Row],[% of water sources treated]]="no test",WWWW[[#This Row],[% Household received corrective actions]]="no test"),"No Test","Tested")</f>
        <v>No Test</v>
      </c>
      <c r="BT434" s="712">
        <f>WWWW[[#This Row],['#_Constructed/existing protected hand dug well]]-WWWW[[#This Row],['#_Non-functional protected hand dug well]]</f>
        <v>0</v>
      </c>
      <c r="BU434" s="712">
        <f>(WWWW[[#This Row],['#_Constructed/Existing tube wells/boreholes/handpumps_WASH_agency]]+WWWW[[#This Row],['#_Non-Cluster partner water tube-wells/boreholes/handpumps]])-WWWW[[#This Row],['#_Non-functional tube wells/boreholes/handpumps]]</f>
        <v>0</v>
      </c>
      <c r="BV434" s="712">
        <f>WWWW[[#This Row],['#_Constructed/Existingwater storage tank with gravity fed reticulation system]]-WWWW[[#This Row],['#_Non-functional storage tank gravity fed reticulation system]]</f>
        <v>0</v>
      </c>
      <c r="BW434" s="712">
        <f>WWWW[[#This Row],['#_Water boating or water trucking]]</f>
        <v>0</v>
      </c>
      <c r="BX434" s="712">
        <f>WWWW[[#This Row],['#_Constructed/Existing water distribution system from river or natural spring]]</f>
        <v>0</v>
      </c>
      <c r="BY43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4" s="710">
        <f>IF(WWWW[[#This Row],[Location Type 1]]="Village",WWWW[[#This Row],[Access to safe drinking water for Village]],WWWW[[#This Row],[Access to safe drinking water for Camp]])</f>
        <v>0</v>
      </c>
      <c r="CB434" s="708">
        <f>WWWW[[#This Row],[%Equitable and continuous access to sufficient quantity of safe drinking water]]*WWWW[[#This Row],[Total PoP ]]</f>
        <v>0</v>
      </c>
      <c r="CC434" s="710">
        <f>IF((WWWW[[#This Row],['#_Constructed/Existing protected/fenced ponds]]*250)/WWWW[[#This Row],[Total PoP ]]&gt;1,1,(WWWW[[#This Row],['#_Constructed/Existing protected/fenced ponds]]*250)/WWWW[[#This Row],[Total PoP ]])</f>
        <v>0</v>
      </c>
      <c r="CD434" s="708">
        <f>WWWW[[#This Row],[% Access to unimproved water points]]*WWWW[[#This Row],[Total PoP ]]</f>
        <v>0</v>
      </c>
      <c r="CE43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4" s="708">
        <f>WWWW[[#This Row],[HRP1]]/500</f>
        <v>0</v>
      </c>
      <c r="CH434" s="714">
        <f>1-WWWW[[#This Row],[% Equitable and continuous access to sufficient quantity of domestic water]]</f>
        <v>1</v>
      </c>
      <c r="CI434" s="708">
        <f>WWWW[[#This Row],[%equitable and continuous access to sufficient quantity of safe drinking and domestic water''s GAP]]*WWWW[[#This Row],[Total PoP ]]</f>
        <v>207</v>
      </c>
      <c r="CJ434" s="712">
        <f>IF(WWWW[[#This Row],[Total required water points]]-WWWW[[#This Row],['#Water points coverage]]&lt;0,0,WWWW[[#This Row],[Total required water points]]-WWWW[[#This Row],['#Water points coverage]])</f>
        <v>1</v>
      </c>
      <c r="CK434" s="712">
        <f>ROUND(IF(WWWW[[#This Row],[Total PoP ]]&lt;500,1,WWWW[[#This Row],[Total PoP ]]/500),0)</f>
        <v>1</v>
      </c>
      <c r="CL434" s="712">
        <f>(WWWW[[#This Row],['#_Constructed latrines_by_WASHAgencies]]+WWWW[[#This Row],['#_Non Cluster partner latrines]])-WWWW[[#This Row],['#_Non-functional latrines]]</f>
        <v>0</v>
      </c>
      <c r="CM43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4" s="712">
        <f>IF(WWWW[[#This Row],[Location Type 1]]="Village","NA",IF(WWWW[[#This Row],['#_Constructed/Existing latrines in TLS]]*50&gt;WWWW[[#This Row],['#_students at TLS_CFS]],WWWW[[#This Row],['#_students at TLS_CFS]],(WWWW[[#This Row],['#_Constructed/Existing latrines in TLS]]*50)))</f>
        <v>0</v>
      </c>
      <c r="CQ434" s="712">
        <f>ROUND(IF(WWWW[[#This Row],[Location Type 1]]="camp",WWWW[[#This Row],[Total PoP ]]/20,IF(WWWW[[#This Row],[Location Type 1]]="Temporary Location",WWWW[[#This Row],[Total PoP ]]/50,(WWWW[[#This Row],[Total PoP ]]/6))),0)</f>
        <v>4</v>
      </c>
      <c r="CR434" s="712">
        <f>IF(WWWW[[#This Row],[Total required Latrines]]-(WWWW[[#This Row],['#_Constructed latrines_by_WASHAgencies]]+WWWW[[#This Row],['#_Non Cluster partner latrines]])&lt;0,0,WWWW[[#This Row],[Total required Latrines]]-(WWWW[[#This Row],['#_Constructed latrines_by_WASHAgencies]]+WWWW[[#This Row],['#_Non Cluster partner latrines]]))</f>
        <v>4</v>
      </c>
      <c r="CS434" s="716">
        <f>1-WWWW[[#This Row],[% people access to functioning Latrine]]</f>
        <v>1</v>
      </c>
      <c r="CT434" s="713">
        <f>IF(OR(WWWW[[#This Row],['#_Non-functional latrines]]="",WWWW[[#This Row],['#_Non-functional latrines]]=0),0,WWWW[[#This Row],['#_Non-functional latrines]]/(WWWW[[#This Row],['#_Constructed latrines_by_WASHAgencies]]+WWWW[[#This Row],['#_Non Cluster partner latrines]]))</f>
        <v>0</v>
      </c>
      <c r="CU434" s="708">
        <f>IF(500*(WWWW[[#This Row],['#_male hygiene promoters]]+WWWW[[#This Row],['#_female hygiene promoters]])&gt;WWWW[[#This Row],[Total PoP ]],WWWW[[#This Row],[Total PoP ]],500*(WWWW[[#This Row],['#_male hygiene promoters]]+WWWW[[#This Row],['#_female hygiene promoters]]))</f>
        <v>0</v>
      </c>
      <c r="CV43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4" s="712">
        <f>IF(WWWW[[#This Row],['# People with access to soap]]&gt;WWWW[[#This Row],['# People with access to Sanity Pads]],WWWW[[#This Row],['# People with access to soap]],WWWW[[#This Row],['# People with access to Sanity Pads]])</f>
        <v>0</v>
      </c>
      <c r="CY43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4" s="714">
        <f>IF(WWWW[[#This Row],[HRP3]]/WWWW[[#This Row],[Total PoP ]]&gt;100%,100%,WWWW[[#This Row],[HRP3]]/WWWW[[#This Row],[Total PoP ]])</f>
        <v>0</v>
      </c>
      <c r="DA434" s="713">
        <f>1-WWWW[[#This Row],[Hygiene Coverage%]]</f>
        <v>1</v>
      </c>
      <c r="DB434" s="710">
        <f>WWWW[[#This Row],['# people reached by regular dedicated hygiene promotion_5]]/WWWW[[#This Row],[Total PoP ]]</f>
        <v>0</v>
      </c>
      <c r="DC434" s="710">
        <f>IF(WWWW[[#This Row],['#_households that received standard amount of soap for this quarter]]/WWWW[[#This Row],[Total HH]]&gt;1,1,WWWW[[#This Row],['#_households that received standard amount of soap for this quarter]]/WWWW[[#This Row],[Total HH]])</f>
        <v>0</v>
      </c>
      <c r="DD434" s="710">
        <f>IF(WWWW[[#This Row],['#_households that received standard amount of sanitary pads for this quarter]]/WWWW[[#This Row],[Total HH]]&gt;1,1,WWWW[[#This Row],['#_households that received standard amount of sanitary pads for this quarter]]/WWWW[[#This Row],[Total HH]])</f>
        <v>0</v>
      </c>
      <c r="DE434" s="712">
        <f>WWWW[[#This Row],['#_Constructed/Existing hand washing stations]]-WWWW[[#This Row],['#_Non-Functional_hand_washing_stations]]</f>
        <v>0</v>
      </c>
      <c r="DF434" s="757">
        <f>IF(WWWW[[#This Row],['# Functional hand washing stations during reporting period]]*20&gt;WWWW[[#This Row],[Total HH]],WWWW[[#This Row],[Total HH]],WWWW[[#This Row],['# Functional hand washing stations during reporting period]]*20)</f>
        <v>0</v>
      </c>
      <c r="DG434" s="708">
        <f>IF(WWWW[[#This Row],[Is sufficient soap available for TLS? (Yes/No)]]="yes",WWWW[[#This Row],['#_Constructed/Existing hand washing stations at TLS]],0)</f>
        <v>0</v>
      </c>
      <c r="DH434" s="585">
        <f>IF(WWWW[[#This Row],['# Functional hand washing stations during reporting period]]*100&gt;WWWW[[#This Row],[Total PoP ]],WWWW[[#This Row],[Total PoP ]],WWWW[[#This Row],['# Functional hand washing stations during reporting period]]*100)</f>
        <v>0</v>
      </c>
      <c r="DI434" s="585" t="str">
        <f>IF(OR(WWWW[[#This Row],['#_students at TLS_CFS]]="",WWWW[[#This Row],['#_students at TLS_CFS]]=0),"No","Yes")</f>
        <v>No</v>
      </c>
      <c r="DJ434" s="711">
        <f>VLOOKUP(WWWW[[#This Row],[Site Name]],SiteDB6[[Site Name]:[CCCM Management]],6,FALSE)</f>
        <v>0</v>
      </c>
      <c r="DK434" s="711">
        <f>VLOOKUP(WWWW[[#This Row],[Site Name]],SiteDB6[[Site Name]:[CCCM Focal Agency]],7,FALSE)</f>
        <v>0</v>
      </c>
      <c r="DL434" s="711" t="str">
        <f>VLOOKUP(WWWW[[#This Row],[Site Name]],SiteDB6[[Site Name]:[Location Type 1]],9,FALSE)</f>
        <v>Temporary location</v>
      </c>
      <c r="DM434" s="711" t="str">
        <f>VLOOKUP(WWWW[[#This Row],[Site Name]],SiteDB6[[Site Name]:[Type of Accommodation]],10,FALSE)</f>
        <v>Temporary location</v>
      </c>
      <c r="DN434" s="711">
        <f>VLOOKUP(WWWW[[#This Row],[Site Name]],SiteDB6[[Site Name]:[Ethnic or GCA/NGCA]],11,FALSE)</f>
        <v>0</v>
      </c>
      <c r="DO434" s="711">
        <f>VLOOKUP(WWWW[[#This Row],[Site Name]],SiteDB6[[Site Name]:[Lat]],12,FALSE)</f>
        <v>20.709392547607401</v>
      </c>
      <c r="DP434" s="711">
        <f>VLOOKUP(WWWW[[#This Row],[Site Name]],SiteDB6[[Site Name]:[Long]],13,FALSE)</f>
        <v>92.815086364746094</v>
      </c>
      <c r="DQ434" s="711">
        <f>VLOOKUP(WWWW[[#This Row],[Site Name]],SiteDB6[[Site Name]:[Pcode]],3,FALSE)</f>
        <v>196218</v>
      </c>
      <c r="DR434" s="709" t="str">
        <f t="shared" si="13"/>
        <v>Notcovered</v>
      </c>
      <c r="DS434" s="709"/>
      <c r="DV434" s="572"/>
    </row>
    <row r="435" spans="1:126">
      <c r="A435" s="552" t="s">
        <v>2518</v>
      </c>
      <c r="B435" s="808" t="s">
        <v>317</v>
      </c>
      <c r="C435" s="808" t="s">
        <v>317</v>
      </c>
      <c r="D435" s="702"/>
      <c r="E435" s="703" t="s">
        <v>3006</v>
      </c>
      <c r="F435" s="702" t="s">
        <v>470</v>
      </c>
      <c r="G435" s="704" t="str">
        <f>VLOOKUP(WWWW[[#This Row],[Site Name]],SiteDB6[[Site Name]:[Location Type]],8,FALSE)</f>
        <v>New Temporary Site</v>
      </c>
      <c r="H435" s="702" t="s">
        <v>3164</v>
      </c>
      <c r="I435" s="705">
        <v>6</v>
      </c>
      <c r="J435" s="705">
        <v>30</v>
      </c>
      <c r="K435" s="706"/>
      <c r="L435" s="707"/>
      <c r="M435" s="705"/>
      <c r="N435" s="705"/>
      <c r="O435" s="705"/>
      <c r="P435" s="705"/>
      <c r="Q435" s="708"/>
      <c r="R435" s="705"/>
      <c r="S435" s="705"/>
      <c r="T435" s="312"/>
      <c r="U435" s="705"/>
      <c r="V435" s="705"/>
      <c r="W435" s="705"/>
      <c r="X435" s="705"/>
      <c r="Y435" s="705"/>
      <c r="Z435" s="705"/>
      <c r="AA435" s="705"/>
      <c r="AB435" s="705"/>
      <c r="AC435" s="705"/>
      <c r="AD435" s="705"/>
      <c r="AE435" s="705"/>
      <c r="AF435" s="705"/>
      <c r="AG435" s="705"/>
      <c r="AH435" s="705"/>
      <c r="AI435" s="705"/>
      <c r="AJ435" s="705"/>
      <c r="AK435" s="705"/>
      <c r="AL435" s="705"/>
      <c r="AM435" s="705"/>
      <c r="AN435" s="705"/>
      <c r="AO435" s="709"/>
      <c r="AP435" s="705"/>
      <c r="AQ435" s="705"/>
      <c r="AR435" s="710"/>
      <c r="AS435" s="705"/>
      <c r="AT435" s="705"/>
      <c r="AU435" s="705"/>
      <c r="AV435" s="705"/>
      <c r="AW435" s="705"/>
      <c r="AX435" s="711"/>
      <c r="AY435" s="709"/>
      <c r="AZ435" s="705"/>
      <c r="BA435" s="705"/>
      <c r="BB435" s="705"/>
      <c r="BC435" s="711"/>
      <c r="BD435" s="705"/>
      <c r="BE435" s="705"/>
      <c r="BF435" s="705"/>
      <c r="BG435" s="705"/>
      <c r="BH435" s="705"/>
      <c r="BI435" s="705"/>
      <c r="BJ435" s="705"/>
      <c r="BK435" s="705"/>
      <c r="BL435" s="705"/>
      <c r="BM435" s="711"/>
      <c r="BN435" s="712"/>
      <c r="BO435" s="710"/>
      <c r="BP435" s="711"/>
      <c r="BQ435" s="713" t="str">
        <f>IFERROR(WWWW[[#This Row],['#_Water sources treated]]/WWWW[[#This Row],['#_Water sources tested for contamination]],"no test")</f>
        <v>no test</v>
      </c>
      <c r="BR435" s="710" t="str">
        <f>IFERROR(WWWW[[#This Row],['#_Household received remediation action due to contamination]]/WWWW[[#This Row],['#_Household water samples tested for contamination]],"no test")</f>
        <v>no test</v>
      </c>
      <c r="BS435" s="712" t="str">
        <f>IF(AND(WWWW[[#This Row],[% of water sources treated]]="no test",WWWW[[#This Row],[% Household received corrective actions]]="no test"),"No Test","Tested")</f>
        <v>No Test</v>
      </c>
      <c r="BT435" s="712">
        <f>WWWW[[#This Row],['#_Constructed/existing protected hand dug well]]-WWWW[[#This Row],['#_Non-functional protected hand dug well]]</f>
        <v>0</v>
      </c>
      <c r="BU435" s="712">
        <f>(WWWW[[#This Row],['#_Constructed/Existing tube wells/boreholes/handpumps_WASH_agency]]+WWWW[[#This Row],['#_Non-Cluster partner water tube-wells/boreholes/handpumps]])-WWWW[[#This Row],['#_Non-functional tube wells/boreholes/handpumps]]</f>
        <v>0</v>
      </c>
      <c r="BV435" s="712">
        <f>WWWW[[#This Row],['#_Constructed/Existingwater storage tank with gravity fed reticulation system]]-WWWW[[#This Row],['#_Non-functional storage tank gravity fed reticulation system]]</f>
        <v>0</v>
      </c>
      <c r="BW435" s="712">
        <f>WWWW[[#This Row],['#_Water boating or water trucking]]</f>
        <v>0</v>
      </c>
      <c r="BX435" s="712">
        <f>WWWW[[#This Row],['#_Constructed/Existing water distribution system from river or natural spring]]</f>
        <v>0</v>
      </c>
      <c r="BY43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5" s="710">
        <f>IF(WWWW[[#This Row],[Location Type 1]]="Village",WWWW[[#This Row],[Access to safe drinking water for Village]],WWWW[[#This Row],[Access to safe drinking water for Camp]])</f>
        <v>0</v>
      </c>
      <c r="CB435" s="708">
        <f>WWWW[[#This Row],[%Equitable and continuous access to sufficient quantity of safe drinking water]]*WWWW[[#This Row],[Total PoP ]]</f>
        <v>0</v>
      </c>
      <c r="CC435" s="710">
        <f>IF((WWWW[[#This Row],['#_Constructed/Existing protected/fenced ponds]]*250)/WWWW[[#This Row],[Total PoP ]]&gt;1,1,(WWWW[[#This Row],['#_Constructed/Existing protected/fenced ponds]]*250)/WWWW[[#This Row],[Total PoP ]])</f>
        <v>0</v>
      </c>
      <c r="CD435" s="708">
        <f>WWWW[[#This Row],[% Access to unimproved water points]]*WWWW[[#This Row],[Total PoP ]]</f>
        <v>0</v>
      </c>
      <c r="CE43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5" s="708">
        <f>WWWW[[#This Row],[HRP1]]/500</f>
        <v>0</v>
      </c>
      <c r="CH435" s="714">
        <f>1-WWWW[[#This Row],[% Equitable and continuous access to sufficient quantity of domestic water]]</f>
        <v>1</v>
      </c>
      <c r="CI435" s="708">
        <f>WWWW[[#This Row],[%equitable and continuous access to sufficient quantity of safe drinking and domestic water''s GAP]]*WWWW[[#This Row],[Total PoP ]]</f>
        <v>30</v>
      </c>
      <c r="CJ435" s="712">
        <f>IF(WWWW[[#This Row],[Total required water points]]-WWWW[[#This Row],['#Water points coverage]]&lt;0,0,WWWW[[#This Row],[Total required water points]]-WWWW[[#This Row],['#Water points coverage]])</f>
        <v>1</v>
      </c>
      <c r="CK435" s="712">
        <f>ROUND(IF(WWWW[[#This Row],[Total PoP ]]&lt;500,1,WWWW[[#This Row],[Total PoP ]]/500),0)</f>
        <v>1</v>
      </c>
      <c r="CL435" s="712">
        <f>(WWWW[[#This Row],['#_Constructed latrines_by_WASHAgencies]]+WWWW[[#This Row],['#_Non Cluster partner latrines]])-WWWW[[#This Row],['#_Non-functional latrines]]</f>
        <v>0</v>
      </c>
      <c r="CM43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5" s="712">
        <f>IF(WWWW[[#This Row],[Location Type 1]]="Village","NA",IF(WWWW[[#This Row],['#_Constructed/Existing latrines in TLS]]*50&gt;WWWW[[#This Row],['#_students at TLS_CFS]],WWWW[[#This Row],['#_students at TLS_CFS]],(WWWW[[#This Row],['#_Constructed/Existing latrines in TLS]]*50)))</f>
        <v>0</v>
      </c>
      <c r="CQ435" s="712">
        <f>ROUND(IF(WWWW[[#This Row],[Location Type 1]]="camp",WWWW[[#This Row],[Total PoP ]]/20,IF(WWWW[[#This Row],[Location Type 1]]="Temporary Location",WWWW[[#This Row],[Total PoP ]]/50,(WWWW[[#This Row],[Total PoP ]]/6))),0)</f>
        <v>1</v>
      </c>
      <c r="CR435" s="712">
        <f>IF(WWWW[[#This Row],[Total required Latrines]]-(WWWW[[#This Row],['#_Constructed latrines_by_WASHAgencies]]+WWWW[[#This Row],['#_Non Cluster partner latrines]])&lt;0,0,WWWW[[#This Row],[Total required Latrines]]-(WWWW[[#This Row],['#_Constructed latrines_by_WASHAgencies]]+WWWW[[#This Row],['#_Non Cluster partner latrines]]))</f>
        <v>1</v>
      </c>
      <c r="CS435" s="716">
        <f>1-WWWW[[#This Row],[% people access to functioning Latrine]]</f>
        <v>1</v>
      </c>
      <c r="CT435" s="713">
        <f>IF(OR(WWWW[[#This Row],['#_Non-functional latrines]]="",WWWW[[#This Row],['#_Non-functional latrines]]=0),0,WWWW[[#This Row],['#_Non-functional latrines]]/(WWWW[[#This Row],['#_Constructed latrines_by_WASHAgencies]]+WWWW[[#This Row],['#_Non Cluster partner latrines]]))</f>
        <v>0</v>
      </c>
      <c r="CU435" s="708">
        <f>IF(500*(WWWW[[#This Row],['#_male hygiene promoters]]+WWWW[[#This Row],['#_female hygiene promoters]])&gt;WWWW[[#This Row],[Total PoP ]],WWWW[[#This Row],[Total PoP ]],500*(WWWW[[#This Row],['#_male hygiene promoters]]+WWWW[[#This Row],['#_female hygiene promoters]]))</f>
        <v>0</v>
      </c>
      <c r="CV43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5" s="712">
        <f>IF(WWWW[[#This Row],['# People with access to soap]]&gt;WWWW[[#This Row],['# People with access to Sanity Pads]],WWWW[[#This Row],['# People with access to soap]],WWWW[[#This Row],['# People with access to Sanity Pads]])</f>
        <v>0</v>
      </c>
      <c r="CY43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5" s="714">
        <f>IF(WWWW[[#This Row],[HRP3]]/WWWW[[#This Row],[Total PoP ]]&gt;100%,100%,WWWW[[#This Row],[HRP3]]/WWWW[[#This Row],[Total PoP ]])</f>
        <v>0</v>
      </c>
      <c r="DA435" s="713">
        <f>1-WWWW[[#This Row],[Hygiene Coverage%]]</f>
        <v>1</v>
      </c>
      <c r="DB435" s="710">
        <f>WWWW[[#This Row],['# people reached by regular dedicated hygiene promotion_5]]/WWWW[[#This Row],[Total PoP ]]</f>
        <v>0</v>
      </c>
      <c r="DC435" s="710">
        <f>IF(WWWW[[#This Row],['#_households that received standard amount of soap for this quarter]]/WWWW[[#This Row],[Total HH]]&gt;1,1,WWWW[[#This Row],['#_households that received standard amount of soap for this quarter]]/WWWW[[#This Row],[Total HH]])</f>
        <v>0</v>
      </c>
      <c r="DD435" s="710">
        <f>IF(WWWW[[#This Row],['#_households that received standard amount of sanitary pads for this quarter]]/WWWW[[#This Row],[Total HH]]&gt;1,1,WWWW[[#This Row],['#_households that received standard amount of sanitary pads for this quarter]]/WWWW[[#This Row],[Total HH]])</f>
        <v>0</v>
      </c>
      <c r="DE435" s="712">
        <f>WWWW[[#This Row],['#_Constructed/Existing hand washing stations]]-WWWW[[#This Row],['#_Non-Functional_hand_washing_stations]]</f>
        <v>0</v>
      </c>
      <c r="DF435" s="757">
        <f>IF(WWWW[[#This Row],['# Functional hand washing stations during reporting period]]*20&gt;WWWW[[#This Row],[Total HH]],WWWW[[#This Row],[Total HH]],WWWW[[#This Row],['# Functional hand washing stations during reporting period]]*20)</f>
        <v>0</v>
      </c>
      <c r="DG435" s="708">
        <f>IF(WWWW[[#This Row],[Is sufficient soap available for TLS? (Yes/No)]]="yes",WWWW[[#This Row],['#_Constructed/Existing hand washing stations at TLS]],0)</f>
        <v>0</v>
      </c>
      <c r="DH435" s="585">
        <f>IF(WWWW[[#This Row],['# Functional hand washing stations during reporting period]]*100&gt;WWWW[[#This Row],[Total PoP ]],WWWW[[#This Row],[Total PoP ]],WWWW[[#This Row],['# Functional hand washing stations during reporting period]]*100)</f>
        <v>0</v>
      </c>
      <c r="DI435" s="585" t="str">
        <f>IF(OR(WWWW[[#This Row],['#_students at TLS_CFS]]="",WWWW[[#This Row],['#_students at TLS_CFS]]=0),"No","Yes")</f>
        <v>No</v>
      </c>
      <c r="DJ435" s="711">
        <f>VLOOKUP(WWWW[[#This Row],[Site Name]],SiteDB6[[Site Name]:[CCCM Management]],6,FALSE)</f>
        <v>0</v>
      </c>
      <c r="DK435" s="711">
        <f>VLOOKUP(WWWW[[#This Row],[Site Name]],SiteDB6[[Site Name]:[CCCM Focal Agency]],7,FALSE)</f>
        <v>0</v>
      </c>
      <c r="DL435" s="711" t="str">
        <f>VLOOKUP(WWWW[[#This Row],[Site Name]],SiteDB6[[Site Name]:[Location Type 1]],9,FALSE)</f>
        <v>Temporary location</v>
      </c>
      <c r="DM435" s="711" t="str">
        <f>VLOOKUP(WWWW[[#This Row],[Site Name]],SiteDB6[[Site Name]:[Type of Accommodation]],10,FALSE)</f>
        <v>Temporary location</v>
      </c>
      <c r="DN435" s="711">
        <f>VLOOKUP(WWWW[[#This Row],[Site Name]],SiteDB6[[Site Name]:[Ethnic or GCA/NGCA]],11,FALSE)</f>
        <v>0</v>
      </c>
      <c r="DO435" s="711">
        <f>VLOOKUP(WWWW[[#This Row],[Site Name]],SiteDB6[[Site Name]:[Lat]],12,FALSE)</f>
        <v>20.303350448608398</v>
      </c>
      <c r="DP435" s="711">
        <f>VLOOKUP(WWWW[[#This Row],[Site Name]],SiteDB6[[Site Name]:[Long]],13,FALSE)</f>
        <v>92.927062988281307</v>
      </c>
      <c r="DQ435" s="711">
        <f>VLOOKUP(WWWW[[#This Row],[Site Name]],SiteDB6[[Site Name]:[Pcode]],3,FALSE)</f>
        <v>196403</v>
      </c>
      <c r="DR435" s="709" t="str">
        <f t="shared" si="13"/>
        <v>Notcovered</v>
      </c>
      <c r="DS435" s="709"/>
      <c r="DV435" s="572"/>
    </row>
    <row r="436" spans="1:126">
      <c r="A436" s="552" t="s">
        <v>2518</v>
      </c>
      <c r="B436" s="701" t="s">
        <v>2864</v>
      </c>
      <c r="C436" s="701" t="s">
        <v>2864</v>
      </c>
      <c r="D436" s="702"/>
      <c r="E436" s="703" t="s">
        <v>3006</v>
      </c>
      <c r="F436" s="702" t="s">
        <v>470</v>
      </c>
      <c r="G436" s="704" t="str">
        <f>VLOOKUP(WWWW[[#This Row],[Site Name]],SiteDB6[[Site Name]:[Location Type]],8,FALSE)</f>
        <v>New Temporary Site</v>
      </c>
      <c r="H436" s="584" t="s">
        <v>3228</v>
      </c>
      <c r="I436" s="705">
        <v>70</v>
      </c>
      <c r="J436" s="705">
        <v>245</v>
      </c>
      <c r="K436" s="706"/>
      <c r="L436" s="707"/>
      <c r="M436" s="705"/>
      <c r="N436" s="705"/>
      <c r="O436" s="705"/>
      <c r="P436" s="705"/>
      <c r="Q436" s="708"/>
      <c r="R436" s="705"/>
      <c r="S436" s="705"/>
      <c r="T436" s="312"/>
      <c r="U436" s="705"/>
      <c r="V436" s="705"/>
      <c r="W436" s="705"/>
      <c r="X436" s="705"/>
      <c r="Y436" s="705"/>
      <c r="Z436" s="705"/>
      <c r="AA436" s="705"/>
      <c r="AB436" s="705"/>
      <c r="AC436" s="705"/>
      <c r="AD436" s="705"/>
      <c r="AE436" s="705"/>
      <c r="AF436" s="705"/>
      <c r="AG436" s="705"/>
      <c r="AH436" s="705"/>
      <c r="AI436" s="705"/>
      <c r="AJ436" s="705"/>
      <c r="AK436" s="705"/>
      <c r="AL436" s="705"/>
      <c r="AM436" s="705"/>
      <c r="AN436" s="705"/>
      <c r="AO436" s="709"/>
      <c r="AP436" s="705"/>
      <c r="AQ436" s="705"/>
      <c r="AR436" s="710"/>
      <c r="AS436" s="705"/>
      <c r="AT436" s="705"/>
      <c r="AU436" s="705"/>
      <c r="AV436" s="705"/>
      <c r="AW436" s="705"/>
      <c r="AX436" s="711"/>
      <c r="AY436" s="709"/>
      <c r="AZ436" s="705"/>
      <c r="BA436" s="705"/>
      <c r="BB436" s="705"/>
      <c r="BC436" s="711"/>
      <c r="BD436" s="705"/>
      <c r="BE436" s="705"/>
      <c r="BF436" s="705"/>
      <c r="BG436" s="705"/>
      <c r="BH436" s="705"/>
      <c r="BI436" s="705"/>
      <c r="BJ436" s="705"/>
      <c r="BK436" s="705">
        <v>70</v>
      </c>
      <c r="BL436" s="705">
        <v>70</v>
      </c>
      <c r="BM436" s="711"/>
      <c r="BN436" s="712"/>
      <c r="BO436" s="710"/>
      <c r="BP436" s="711"/>
      <c r="BQ436" s="713" t="str">
        <f>IFERROR(WWWW[[#This Row],['#_Water sources treated]]/WWWW[[#This Row],['#_Water sources tested for contamination]],"no test")</f>
        <v>no test</v>
      </c>
      <c r="BR436" s="710" t="str">
        <f>IFERROR(WWWW[[#This Row],['#_Household received remediation action due to contamination]]/WWWW[[#This Row],['#_Household water samples tested for contamination]],"no test")</f>
        <v>no test</v>
      </c>
      <c r="BS436" s="712" t="str">
        <f>IF(AND(WWWW[[#This Row],[% of water sources treated]]="no test",WWWW[[#This Row],[% Household received corrective actions]]="no test"),"No Test","Tested")</f>
        <v>No Test</v>
      </c>
      <c r="BT436" s="712">
        <f>WWWW[[#This Row],['#_Constructed/existing protected hand dug well]]-WWWW[[#This Row],['#_Non-functional protected hand dug well]]</f>
        <v>0</v>
      </c>
      <c r="BU436" s="712">
        <f>(WWWW[[#This Row],['#_Constructed/Existing tube wells/boreholes/handpumps_WASH_agency]]+WWWW[[#This Row],['#_Non-Cluster partner water tube-wells/boreholes/handpumps]])-WWWW[[#This Row],['#_Non-functional tube wells/boreholes/handpumps]]</f>
        <v>0</v>
      </c>
      <c r="BV436" s="712">
        <f>WWWW[[#This Row],['#_Constructed/Existingwater storage tank with gravity fed reticulation system]]-WWWW[[#This Row],['#_Non-functional storage tank gravity fed reticulation system]]</f>
        <v>0</v>
      </c>
      <c r="BW436" s="712">
        <f>WWWW[[#This Row],['#_Water boating or water trucking]]</f>
        <v>0</v>
      </c>
      <c r="BX436" s="712">
        <f>WWWW[[#This Row],['#_Constructed/Existing water distribution system from river or natural spring]]</f>
        <v>0</v>
      </c>
      <c r="BY43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6" s="710">
        <f>IF(WWWW[[#This Row],[Location Type 1]]="Village",WWWW[[#This Row],[Access to safe drinking water for Village]],WWWW[[#This Row],[Access to safe drinking water for Camp]])</f>
        <v>0</v>
      </c>
      <c r="CB436" s="708">
        <f>WWWW[[#This Row],[%Equitable and continuous access to sufficient quantity of safe drinking water]]*WWWW[[#This Row],[Total PoP ]]</f>
        <v>0</v>
      </c>
      <c r="CC436" s="710">
        <f>IF((WWWW[[#This Row],['#_Constructed/Existing protected/fenced ponds]]*250)/WWWW[[#This Row],[Total PoP ]]&gt;1,1,(WWWW[[#This Row],['#_Constructed/Existing protected/fenced ponds]]*250)/WWWW[[#This Row],[Total PoP ]])</f>
        <v>0</v>
      </c>
      <c r="CD436" s="708">
        <f>WWWW[[#This Row],[% Access to unimproved water points]]*WWWW[[#This Row],[Total PoP ]]</f>
        <v>0</v>
      </c>
      <c r="CE43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6" s="708">
        <f>WWWW[[#This Row],[HRP1]]/500</f>
        <v>0</v>
      </c>
      <c r="CH436" s="714">
        <f>1-WWWW[[#This Row],[% Equitable and continuous access to sufficient quantity of domestic water]]</f>
        <v>1</v>
      </c>
      <c r="CI436" s="708">
        <f>WWWW[[#This Row],[%equitable and continuous access to sufficient quantity of safe drinking and domestic water''s GAP]]*WWWW[[#This Row],[Total PoP ]]</f>
        <v>245</v>
      </c>
      <c r="CJ436" s="712">
        <f>IF(WWWW[[#This Row],[Total required water points]]-WWWW[[#This Row],['#Water points coverage]]&lt;0,0,WWWW[[#This Row],[Total required water points]]-WWWW[[#This Row],['#Water points coverage]])</f>
        <v>1</v>
      </c>
      <c r="CK436" s="712">
        <f>ROUND(IF(WWWW[[#This Row],[Total PoP ]]&lt;500,1,WWWW[[#This Row],[Total PoP ]]/500),0)</f>
        <v>1</v>
      </c>
      <c r="CL436" s="712">
        <f>(WWWW[[#This Row],['#_Constructed latrines_by_WASHAgencies]]+WWWW[[#This Row],['#_Non Cluster partner latrines]])-WWWW[[#This Row],['#_Non-functional latrines]]</f>
        <v>0</v>
      </c>
      <c r="CM43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6" s="712">
        <f>IF(WWWW[[#This Row],[Location Type 1]]="Village","NA",IF(WWWW[[#This Row],['#_Constructed/Existing latrines in TLS]]*50&gt;WWWW[[#This Row],['#_students at TLS_CFS]],WWWW[[#This Row],['#_students at TLS_CFS]],(WWWW[[#This Row],['#_Constructed/Existing latrines in TLS]]*50)))</f>
        <v>0</v>
      </c>
      <c r="CQ436" s="712">
        <f>ROUND(IF(WWWW[[#This Row],[Location Type 1]]="camp",WWWW[[#This Row],[Total PoP ]]/20,IF(WWWW[[#This Row],[Location Type 1]]="Temporary Location",WWWW[[#This Row],[Total PoP ]]/50,(WWWW[[#This Row],[Total PoP ]]/6))),0)</f>
        <v>5</v>
      </c>
      <c r="CR436" s="712">
        <f>IF(WWWW[[#This Row],[Total required Latrines]]-(WWWW[[#This Row],['#_Constructed latrines_by_WASHAgencies]]+WWWW[[#This Row],['#_Non Cluster partner latrines]])&lt;0,0,WWWW[[#This Row],[Total required Latrines]]-(WWWW[[#This Row],['#_Constructed latrines_by_WASHAgencies]]+WWWW[[#This Row],['#_Non Cluster partner latrines]]))</f>
        <v>5</v>
      </c>
      <c r="CS436" s="716">
        <f>1-WWWW[[#This Row],[% people access to functioning Latrine]]</f>
        <v>1</v>
      </c>
      <c r="CT436" s="713">
        <f>IF(OR(WWWW[[#This Row],['#_Non-functional latrines]]="",WWWW[[#This Row],['#_Non-functional latrines]]=0),0,WWWW[[#This Row],['#_Non-functional latrines]]/(WWWW[[#This Row],['#_Constructed latrines_by_WASHAgencies]]+WWWW[[#This Row],['#_Non Cluster partner latrines]]))</f>
        <v>0</v>
      </c>
      <c r="CU436" s="708">
        <f>IF(500*(WWWW[[#This Row],['#_male hygiene promoters]]+WWWW[[#This Row],['#_female hygiene promoters]])&gt;WWWW[[#This Row],[Total PoP ]],WWWW[[#This Row],[Total PoP ]],500*(WWWW[[#This Row],['#_male hygiene promoters]]+WWWW[[#This Row],['#_female hygiene promoters]]))</f>
        <v>0</v>
      </c>
      <c r="CV43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245</v>
      </c>
      <c r="CW43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245</v>
      </c>
      <c r="CX436" s="712">
        <f>IF(WWWW[[#This Row],['# People with access to soap]]&gt;WWWW[[#This Row],['# People with access to Sanity Pads]],WWWW[[#This Row],['# People with access to soap]],WWWW[[#This Row],['# People with access to Sanity Pads]])</f>
        <v>245</v>
      </c>
      <c r="CY436" s="712">
        <f>IF(WWWW[[#This Row],['# people reached by regular dedicated hygiene promotion_5]]&gt;WWWW[[#This Row],['# People received regular supply of hygiene items_6]],WWWW[[#This Row],['# people reached by regular dedicated hygiene promotion_5]],WWWW[[#This Row],['# People received regular supply of hygiene items_6]])</f>
        <v>245</v>
      </c>
      <c r="CZ436" s="714">
        <f>IF(WWWW[[#This Row],[HRP3]]/WWWW[[#This Row],[Total PoP ]]&gt;100%,100%,WWWW[[#This Row],[HRP3]]/WWWW[[#This Row],[Total PoP ]])</f>
        <v>1</v>
      </c>
      <c r="DA436" s="713">
        <f>1-WWWW[[#This Row],[Hygiene Coverage%]]</f>
        <v>0</v>
      </c>
      <c r="DB436" s="710">
        <f>WWWW[[#This Row],['# people reached by regular dedicated hygiene promotion_5]]/WWWW[[#This Row],[Total PoP ]]</f>
        <v>0</v>
      </c>
      <c r="DC436" s="710">
        <f>IF(WWWW[[#This Row],['#_households that received standard amount of soap for this quarter]]/WWWW[[#This Row],[Total HH]]&gt;1,1,WWWW[[#This Row],['#_households that received standard amount of soap for this quarter]]/WWWW[[#This Row],[Total HH]])</f>
        <v>1</v>
      </c>
      <c r="DD436" s="710">
        <f>IF(WWWW[[#This Row],['#_households that received standard amount of sanitary pads for this quarter]]/WWWW[[#This Row],[Total HH]]&gt;1,1,WWWW[[#This Row],['#_households that received standard amount of sanitary pads for this quarter]]/WWWW[[#This Row],[Total HH]])</f>
        <v>1</v>
      </c>
      <c r="DE436" s="712">
        <f>WWWW[[#This Row],['#_Constructed/Existing hand washing stations]]-WWWW[[#This Row],['#_Non-Functional_hand_washing_stations]]</f>
        <v>0</v>
      </c>
      <c r="DF436" s="757">
        <f>IF(WWWW[[#This Row],['# Functional hand washing stations during reporting period]]*20&gt;WWWW[[#This Row],[Total HH]],WWWW[[#This Row],[Total HH]],WWWW[[#This Row],['# Functional hand washing stations during reporting period]]*20)</f>
        <v>0</v>
      </c>
      <c r="DG436" s="708">
        <f>IF(WWWW[[#This Row],[Is sufficient soap available for TLS? (Yes/No)]]="yes",WWWW[[#This Row],['#_Constructed/Existing hand washing stations at TLS]],0)</f>
        <v>0</v>
      </c>
      <c r="DH436" s="585">
        <f>IF(WWWW[[#This Row],['# Functional hand washing stations during reporting period]]*100&gt;WWWW[[#This Row],[Total PoP ]],WWWW[[#This Row],[Total PoP ]],WWWW[[#This Row],['# Functional hand washing stations during reporting period]]*100)</f>
        <v>0</v>
      </c>
      <c r="DI436" s="585" t="str">
        <f>IF(OR(WWWW[[#This Row],['#_students at TLS_CFS]]="",WWWW[[#This Row],['#_students at TLS_CFS]]=0),"No","Yes")</f>
        <v>No</v>
      </c>
      <c r="DJ436" s="711">
        <f>VLOOKUP(WWWW[[#This Row],[Site Name]],SiteDB6[[Site Name]:[CCCM Management]],6,FALSE)</f>
        <v>0</v>
      </c>
      <c r="DK436" s="711">
        <f>VLOOKUP(WWWW[[#This Row],[Site Name]],SiteDB6[[Site Name]:[CCCM Focal Agency]],7,FALSE)</f>
        <v>0</v>
      </c>
      <c r="DL436" s="711" t="str">
        <f>VLOOKUP(WWWW[[#This Row],[Site Name]],SiteDB6[[Site Name]:[Location Type 1]],9,FALSE)</f>
        <v>Temporary location</v>
      </c>
      <c r="DM436" s="711" t="str">
        <f>VLOOKUP(WWWW[[#This Row],[Site Name]],SiteDB6[[Site Name]:[Type of Accommodation]],10,FALSE)</f>
        <v>Temporary location</v>
      </c>
      <c r="DN436" s="711">
        <f>VLOOKUP(WWWW[[#This Row],[Site Name]],SiteDB6[[Site Name]:[Ethnic or GCA/NGCA]],11,FALSE)</f>
        <v>0</v>
      </c>
      <c r="DO436" s="711">
        <f>VLOOKUP(WWWW[[#This Row],[Site Name]],SiteDB6[[Site Name]:[Lat]],12,FALSE)</f>
        <v>20.5702304840088</v>
      </c>
      <c r="DP436" s="711">
        <f>VLOOKUP(WWWW[[#This Row],[Site Name]],SiteDB6[[Site Name]:[Long]],13,FALSE)</f>
        <v>92.977378845214801</v>
      </c>
      <c r="DQ436" s="711">
        <f>VLOOKUP(WWWW[[#This Row],[Site Name]],SiteDB6[[Site Name]:[Pcode]],3,FALSE)</f>
        <v>196302</v>
      </c>
      <c r="DR436" s="709" t="str">
        <f t="shared" si="13"/>
        <v>Covered</v>
      </c>
      <c r="DS436" s="709"/>
      <c r="DV436" s="572"/>
    </row>
    <row r="437" spans="1:126">
      <c r="A437" s="552" t="s">
        <v>2518</v>
      </c>
      <c r="B437" s="808" t="s">
        <v>317</v>
      </c>
      <c r="C437" s="808" t="s">
        <v>317</v>
      </c>
      <c r="D437" s="702"/>
      <c r="E437" s="703" t="s">
        <v>3006</v>
      </c>
      <c r="F437" s="702" t="s">
        <v>470</v>
      </c>
      <c r="G437" s="704" t="str">
        <f>VLOOKUP(WWWW[[#This Row],[Site Name]],SiteDB6[[Site Name]:[Location Type]],8,FALSE)</f>
        <v>New Temporary Site</v>
      </c>
      <c r="H437" s="702" t="s">
        <v>3168</v>
      </c>
      <c r="I437" s="705">
        <v>28</v>
      </c>
      <c r="J437" s="705">
        <v>143</v>
      </c>
      <c r="K437" s="706"/>
      <c r="L437" s="707"/>
      <c r="M437" s="705"/>
      <c r="N437" s="705"/>
      <c r="O437" s="705"/>
      <c r="P437" s="705"/>
      <c r="Q437" s="708"/>
      <c r="R437" s="705"/>
      <c r="S437" s="705"/>
      <c r="T437" s="312"/>
      <c r="U437" s="705"/>
      <c r="V437" s="705"/>
      <c r="W437" s="705"/>
      <c r="X437" s="705"/>
      <c r="Y437" s="705"/>
      <c r="Z437" s="705"/>
      <c r="AA437" s="705"/>
      <c r="AB437" s="705"/>
      <c r="AC437" s="705"/>
      <c r="AD437" s="705"/>
      <c r="AE437" s="705"/>
      <c r="AF437" s="705"/>
      <c r="AG437" s="705"/>
      <c r="AH437" s="705"/>
      <c r="AI437" s="705"/>
      <c r="AJ437" s="705"/>
      <c r="AK437" s="705"/>
      <c r="AL437" s="705"/>
      <c r="AM437" s="705"/>
      <c r="AN437" s="705"/>
      <c r="AO437" s="709"/>
      <c r="AP437" s="705"/>
      <c r="AQ437" s="705"/>
      <c r="AR437" s="710"/>
      <c r="AS437" s="705"/>
      <c r="AT437" s="705"/>
      <c r="AU437" s="705"/>
      <c r="AV437" s="705"/>
      <c r="AW437" s="705"/>
      <c r="AX437" s="711"/>
      <c r="AY437" s="709"/>
      <c r="AZ437" s="705"/>
      <c r="BA437" s="705"/>
      <c r="BB437" s="705"/>
      <c r="BC437" s="711"/>
      <c r="BD437" s="705"/>
      <c r="BE437" s="705"/>
      <c r="BF437" s="705"/>
      <c r="BG437" s="705"/>
      <c r="BH437" s="705"/>
      <c r="BI437" s="705"/>
      <c r="BJ437" s="705"/>
      <c r="BK437" s="705"/>
      <c r="BL437" s="705"/>
      <c r="BM437" s="711"/>
      <c r="BN437" s="712"/>
      <c r="BO437" s="710"/>
      <c r="BP437" s="711"/>
      <c r="BQ437" s="713" t="str">
        <f>IFERROR(WWWW[[#This Row],['#_Water sources treated]]/WWWW[[#This Row],['#_Water sources tested for contamination]],"no test")</f>
        <v>no test</v>
      </c>
      <c r="BR437" s="710" t="str">
        <f>IFERROR(WWWW[[#This Row],['#_Household received remediation action due to contamination]]/WWWW[[#This Row],['#_Household water samples tested for contamination]],"no test")</f>
        <v>no test</v>
      </c>
      <c r="BS437" s="712" t="str">
        <f>IF(AND(WWWW[[#This Row],[% of water sources treated]]="no test",WWWW[[#This Row],[% Household received corrective actions]]="no test"),"No Test","Tested")</f>
        <v>No Test</v>
      </c>
      <c r="BT437" s="712">
        <f>WWWW[[#This Row],['#_Constructed/existing protected hand dug well]]-WWWW[[#This Row],['#_Non-functional protected hand dug well]]</f>
        <v>0</v>
      </c>
      <c r="BU437" s="712">
        <f>(WWWW[[#This Row],['#_Constructed/Existing tube wells/boreholes/handpumps_WASH_agency]]+WWWW[[#This Row],['#_Non-Cluster partner water tube-wells/boreholes/handpumps]])-WWWW[[#This Row],['#_Non-functional tube wells/boreholes/handpumps]]</f>
        <v>0</v>
      </c>
      <c r="BV437" s="712">
        <f>WWWW[[#This Row],['#_Constructed/Existingwater storage tank with gravity fed reticulation system]]-WWWW[[#This Row],['#_Non-functional storage tank gravity fed reticulation system]]</f>
        <v>0</v>
      </c>
      <c r="BW437" s="712">
        <f>WWWW[[#This Row],['#_Water boating or water trucking]]</f>
        <v>0</v>
      </c>
      <c r="BX437" s="712">
        <f>WWWW[[#This Row],['#_Constructed/Existing water distribution system from river or natural spring]]</f>
        <v>0</v>
      </c>
      <c r="BY43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7" s="710">
        <f>IF(WWWW[[#This Row],[Location Type 1]]="Village",WWWW[[#This Row],[Access to safe drinking water for Village]],WWWW[[#This Row],[Access to safe drinking water for Camp]])</f>
        <v>0</v>
      </c>
      <c r="CB437" s="708">
        <f>WWWW[[#This Row],[%Equitable and continuous access to sufficient quantity of safe drinking water]]*WWWW[[#This Row],[Total PoP ]]</f>
        <v>0</v>
      </c>
      <c r="CC437" s="710">
        <f>IF((WWWW[[#This Row],['#_Constructed/Existing protected/fenced ponds]]*250)/WWWW[[#This Row],[Total PoP ]]&gt;1,1,(WWWW[[#This Row],['#_Constructed/Existing protected/fenced ponds]]*250)/WWWW[[#This Row],[Total PoP ]])</f>
        <v>0</v>
      </c>
      <c r="CD437" s="708">
        <f>WWWW[[#This Row],[% Access to unimproved water points]]*WWWW[[#This Row],[Total PoP ]]</f>
        <v>0</v>
      </c>
      <c r="CE43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7" s="708">
        <f>WWWW[[#This Row],[HRP1]]/500</f>
        <v>0</v>
      </c>
      <c r="CH437" s="714">
        <f>1-WWWW[[#This Row],[% Equitable and continuous access to sufficient quantity of domestic water]]</f>
        <v>1</v>
      </c>
      <c r="CI437" s="708">
        <f>WWWW[[#This Row],[%equitable and continuous access to sufficient quantity of safe drinking and domestic water''s GAP]]*WWWW[[#This Row],[Total PoP ]]</f>
        <v>143</v>
      </c>
      <c r="CJ437" s="712">
        <f>IF(WWWW[[#This Row],[Total required water points]]-WWWW[[#This Row],['#Water points coverage]]&lt;0,0,WWWW[[#This Row],[Total required water points]]-WWWW[[#This Row],['#Water points coverage]])</f>
        <v>1</v>
      </c>
      <c r="CK437" s="712">
        <f>ROUND(IF(WWWW[[#This Row],[Total PoP ]]&lt;500,1,WWWW[[#This Row],[Total PoP ]]/500),0)</f>
        <v>1</v>
      </c>
      <c r="CL437" s="712">
        <f>(WWWW[[#This Row],['#_Constructed latrines_by_WASHAgencies]]+WWWW[[#This Row],['#_Non Cluster partner latrines]])-WWWW[[#This Row],['#_Non-functional latrines]]</f>
        <v>0</v>
      </c>
      <c r="CM43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7" s="712">
        <f>IF(WWWW[[#This Row],[Location Type 1]]="Village","NA",IF(WWWW[[#This Row],['#_Constructed/Existing latrines in TLS]]*50&gt;WWWW[[#This Row],['#_students at TLS_CFS]],WWWW[[#This Row],['#_students at TLS_CFS]],(WWWW[[#This Row],['#_Constructed/Existing latrines in TLS]]*50)))</f>
        <v>0</v>
      </c>
      <c r="CQ437" s="712">
        <f>ROUND(IF(WWWW[[#This Row],[Location Type 1]]="camp",WWWW[[#This Row],[Total PoP ]]/20,IF(WWWW[[#This Row],[Location Type 1]]="Temporary Location",WWWW[[#This Row],[Total PoP ]]/50,(WWWW[[#This Row],[Total PoP ]]/6))),0)</f>
        <v>3</v>
      </c>
      <c r="CR437" s="712">
        <f>IF(WWWW[[#This Row],[Total required Latrines]]-(WWWW[[#This Row],['#_Constructed latrines_by_WASHAgencies]]+WWWW[[#This Row],['#_Non Cluster partner latrines]])&lt;0,0,WWWW[[#This Row],[Total required Latrines]]-(WWWW[[#This Row],['#_Constructed latrines_by_WASHAgencies]]+WWWW[[#This Row],['#_Non Cluster partner latrines]]))</f>
        <v>3</v>
      </c>
      <c r="CS437" s="716">
        <f>1-WWWW[[#This Row],[% people access to functioning Latrine]]</f>
        <v>1</v>
      </c>
      <c r="CT437" s="713">
        <f>IF(OR(WWWW[[#This Row],['#_Non-functional latrines]]="",WWWW[[#This Row],['#_Non-functional latrines]]=0),0,WWWW[[#This Row],['#_Non-functional latrines]]/(WWWW[[#This Row],['#_Constructed latrines_by_WASHAgencies]]+WWWW[[#This Row],['#_Non Cluster partner latrines]]))</f>
        <v>0</v>
      </c>
      <c r="CU437" s="708">
        <f>IF(500*(WWWW[[#This Row],['#_male hygiene promoters]]+WWWW[[#This Row],['#_female hygiene promoters]])&gt;WWWW[[#This Row],[Total PoP ]],WWWW[[#This Row],[Total PoP ]],500*(WWWW[[#This Row],['#_male hygiene promoters]]+WWWW[[#This Row],['#_female hygiene promoters]]))</f>
        <v>0</v>
      </c>
      <c r="CV43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7" s="712">
        <f>IF(WWWW[[#This Row],['# People with access to soap]]&gt;WWWW[[#This Row],['# People with access to Sanity Pads]],WWWW[[#This Row],['# People with access to soap]],WWWW[[#This Row],['# People with access to Sanity Pads]])</f>
        <v>0</v>
      </c>
      <c r="CY43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7" s="714">
        <f>IF(WWWW[[#This Row],[HRP3]]/WWWW[[#This Row],[Total PoP ]]&gt;100%,100%,WWWW[[#This Row],[HRP3]]/WWWW[[#This Row],[Total PoP ]])</f>
        <v>0</v>
      </c>
      <c r="DA437" s="713">
        <f>1-WWWW[[#This Row],[Hygiene Coverage%]]</f>
        <v>1</v>
      </c>
      <c r="DB437" s="710">
        <f>WWWW[[#This Row],['# people reached by regular dedicated hygiene promotion_5]]/WWWW[[#This Row],[Total PoP ]]</f>
        <v>0</v>
      </c>
      <c r="DC437" s="710">
        <f>IF(WWWW[[#This Row],['#_households that received standard amount of soap for this quarter]]/WWWW[[#This Row],[Total HH]]&gt;1,1,WWWW[[#This Row],['#_households that received standard amount of soap for this quarter]]/WWWW[[#This Row],[Total HH]])</f>
        <v>0</v>
      </c>
      <c r="DD437" s="710">
        <f>IF(WWWW[[#This Row],['#_households that received standard amount of sanitary pads for this quarter]]/WWWW[[#This Row],[Total HH]]&gt;1,1,WWWW[[#This Row],['#_households that received standard amount of sanitary pads for this quarter]]/WWWW[[#This Row],[Total HH]])</f>
        <v>0</v>
      </c>
      <c r="DE437" s="712">
        <f>WWWW[[#This Row],['#_Constructed/Existing hand washing stations]]-WWWW[[#This Row],['#_Non-Functional_hand_washing_stations]]</f>
        <v>0</v>
      </c>
      <c r="DF437" s="757">
        <f>IF(WWWW[[#This Row],['# Functional hand washing stations during reporting period]]*20&gt;WWWW[[#This Row],[Total HH]],WWWW[[#This Row],[Total HH]],WWWW[[#This Row],['# Functional hand washing stations during reporting period]]*20)</f>
        <v>0</v>
      </c>
      <c r="DG437" s="708">
        <f>IF(WWWW[[#This Row],[Is sufficient soap available for TLS? (Yes/No)]]="yes",WWWW[[#This Row],['#_Constructed/Existing hand washing stations at TLS]],0)</f>
        <v>0</v>
      </c>
      <c r="DH437" s="585">
        <f>IF(WWWW[[#This Row],['# Functional hand washing stations during reporting period]]*100&gt;WWWW[[#This Row],[Total PoP ]],WWWW[[#This Row],[Total PoP ]],WWWW[[#This Row],['# Functional hand washing stations during reporting period]]*100)</f>
        <v>0</v>
      </c>
      <c r="DI437" s="585" t="str">
        <f>IF(OR(WWWW[[#This Row],['#_students at TLS_CFS]]="",WWWW[[#This Row],['#_students at TLS_CFS]]=0),"No","Yes")</f>
        <v>No</v>
      </c>
      <c r="DJ437" s="711">
        <f>VLOOKUP(WWWW[[#This Row],[Site Name]],SiteDB6[[Site Name]:[CCCM Management]],6,FALSE)</f>
        <v>0</v>
      </c>
      <c r="DK437" s="711">
        <f>VLOOKUP(WWWW[[#This Row],[Site Name]],SiteDB6[[Site Name]:[CCCM Focal Agency]],7,FALSE)</f>
        <v>0</v>
      </c>
      <c r="DL437" s="711" t="str">
        <f>VLOOKUP(WWWW[[#This Row],[Site Name]],SiteDB6[[Site Name]:[Location Type 1]],9,FALSE)</f>
        <v>Temporary location</v>
      </c>
      <c r="DM437" s="711" t="str">
        <f>VLOOKUP(WWWW[[#This Row],[Site Name]],SiteDB6[[Site Name]:[Type of Accommodation]],10,FALSE)</f>
        <v>Temporary location</v>
      </c>
      <c r="DN437" s="711">
        <f>VLOOKUP(WWWW[[#This Row],[Site Name]],SiteDB6[[Site Name]:[Ethnic or GCA/NGCA]],11,FALSE)</f>
        <v>0</v>
      </c>
      <c r="DO437" s="711">
        <f>VLOOKUP(WWWW[[#This Row],[Site Name]],SiteDB6[[Site Name]:[Lat]],12,FALSE)</f>
        <v>20.616569519043001</v>
      </c>
      <c r="DP437" s="711">
        <f>VLOOKUP(WWWW[[#This Row],[Site Name]],SiteDB6[[Site Name]:[Long]],13,FALSE)</f>
        <v>92.991638183593807</v>
      </c>
      <c r="DQ437" s="711">
        <f>VLOOKUP(WWWW[[#This Row],[Site Name]],SiteDB6[[Site Name]:[Pcode]],3,FALSE)</f>
        <v>196317</v>
      </c>
      <c r="DR437" s="709" t="str">
        <f t="shared" ref="DR437:DR466" si="14">IF(C437="none","Notcovered","Covered")</f>
        <v>Notcovered</v>
      </c>
      <c r="DS437" s="709"/>
      <c r="DV437" s="572"/>
    </row>
    <row r="438" spans="1:126">
      <c r="A438" s="552" t="s">
        <v>2518</v>
      </c>
      <c r="B438" s="808" t="s">
        <v>317</v>
      </c>
      <c r="C438" s="808" t="s">
        <v>317</v>
      </c>
      <c r="D438" s="702"/>
      <c r="E438" s="703" t="s">
        <v>3006</v>
      </c>
      <c r="F438" s="702" t="s">
        <v>470</v>
      </c>
      <c r="G438" s="704" t="str">
        <f>VLOOKUP(WWWW[[#This Row],[Site Name]],SiteDB6[[Site Name]:[Location Type]],8,FALSE)</f>
        <v>New Temporary Site</v>
      </c>
      <c r="H438" s="702" t="s">
        <v>3169</v>
      </c>
      <c r="I438" s="705">
        <v>34</v>
      </c>
      <c r="J438" s="705">
        <v>124</v>
      </c>
      <c r="K438" s="706"/>
      <c r="L438" s="707"/>
      <c r="M438" s="705"/>
      <c r="N438" s="705"/>
      <c r="O438" s="705"/>
      <c r="P438" s="705"/>
      <c r="Q438" s="708"/>
      <c r="R438" s="705"/>
      <c r="S438" s="705"/>
      <c r="T438" s="312"/>
      <c r="U438" s="705"/>
      <c r="V438" s="705"/>
      <c r="W438" s="705"/>
      <c r="X438" s="705"/>
      <c r="Y438" s="705"/>
      <c r="Z438" s="705"/>
      <c r="AA438" s="705"/>
      <c r="AB438" s="705"/>
      <c r="AC438" s="705"/>
      <c r="AD438" s="705"/>
      <c r="AE438" s="705"/>
      <c r="AF438" s="705"/>
      <c r="AG438" s="705"/>
      <c r="AH438" s="705"/>
      <c r="AI438" s="705"/>
      <c r="AJ438" s="705"/>
      <c r="AK438" s="705"/>
      <c r="AL438" s="705"/>
      <c r="AM438" s="705"/>
      <c r="AN438" s="705"/>
      <c r="AO438" s="709"/>
      <c r="AP438" s="705"/>
      <c r="AQ438" s="705"/>
      <c r="AR438" s="710"/>
      <c r="AS438" s="705"/>
      <c r="AT438" s="705"/>
      <c r="AU438" s="705"/>
      <c r="AV438" s="705"/>
      <c r="AW438" s="705"/>
      <c r="AX438" s="711"/>
      <c r="AY438" s="709"/>
      <c r="AZ438" s="705"/>
      <c r="BA438" s="705"/>
      <c r="BB438" s="705"/>
      <c r="BC438" s="711"/>
      <c r="BD438" s="705"/>
      <c r="BE438" s="705"/>
      <c r="BF438" s="705"/>
      <c r="BG438" s="705"/>
      <c r="BH438" s="705"/>
      <c r="BI438" s="705"/>
      <c r="BJ438" s="705"/>
      <c r="BK438" s="705"/>
      <c r="BL438" s="705"/>
      <c r="BM438" s="711"/>
      <c r="BN438" s="712"/>
      <c r="BO438" s="710"/>
      <c r="BP438" s="711"/>
      <c r="BQ438" s="713" t="str">
        <f>IFERROR(WWWW[[#This Row],['#_Water sources treated]]/WWWW[[#This Row],['#_Water sources tested for contamination]],"no test")</f>
        <v>no test</v>
      </c>
      <c r="BR438" s="710" t="str">
        <f>IFERROR(WWWW[[#This Row],['#_Household received remediation action due to contamination]]/WWWW[[#This Row],['#_Household water samples tested for contamination]],"no test")</f>
        <v>no test</v>
      </c>
      <c r="BS438" s="712" t="str">
        <f>IF(AND(WWWW[[#This Row],[% of water sources treated]]="no test",WWWW[[#This Row],[% Household received corrective actions]]="no test"),"No Test","Tested")</f>
        <v>No Test</v>
      </c>
      <c r="BT438" s="712">
        <f>WWWW[[#This Row],['#_Constructed/existing protected hand dug well]]-WWWW[[#This Row],['#_Non-functional protected hand dug well]]</f>
        <v>0</v>
      </c>
      <c r="BU438" s="712">
        <f>(WWWW[[#This Row],['#_Constructed/Existing tube wells/boreholes/handpumps_WASH_agency]]+WWWW[[#This Row],['#_Non-Cluster partner water tube-wells/boreholes/handpumps]])-WWWW[[#This Row],['#_Non-functional tube wells/boreholes/handpumps]]</f>
        <v>0</v>
      </c>
      <c r="BV438" s="712">
        <f>WWWW[[#This Row],['#_Constructed/Existingwater storage tank with gravity fed reticulation system]]-WWWW[[#This Row],['#_Non-functional storage tank gravity fed reticulation system]]</f>
        <v>0</v>
      </c>
      <c r="BW438" s="712">
        <f>WWWW[[#This Row],['#_Water boating or water trucking]]</f>
        <v>0</v>
      </c>
      <c r="BX438" s="712">
        <f>WWWW[[#This Row],['#_Constructed/Existing water distribution system from river or natural spring]]</f>
        <v>0</v>
      </c>
      <c r="BY43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8" s="710">
        <f>IF(WWWW[[#This Row],[Location Type 1]]="Village",WWWW[[#This Row],[Access to safe drinking water for Village]],WWWW[[#This Row],[Access to safe drinking water for Camp]])</f>
        <v>0</v>
      </c>
      <c r="CB438" s="708">
        <f>WWWW[[#This Row],[%Equitable and continuous access to sufficient quantity of safe drinking water]]*WWWW[[#This Row],[Total PoP ]]</f>
        <v>0</v>
      </c>
      <c r="CC438" s="710">
        <f>IF((WWWW[[#This Row],['#_Constructed/Existing protected/fenced ponds]]*250)/WWWW[[#This Row],[Total PoP ]]&gt;1,1,(WWWW[[#This Row],['#_Constructed/Existing protected/fenced ponds]]*250)/WWWW[[#This Row],[Total PoP ]])</f>
        <v>0</v>
      </c>
      <c r="CD438" s="708">
        <f>WWWW[[#This Row],[% Access to unimproved water points]]*WWWW[[#This Row],[Total PoP ]]</f>
        <v>0</v>
      </c>
      <c r="CE43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8" s="708">
        <f>WWWW[[#This Row],[HRP1]]/500</f>
        <v>0</v>
      </c>
      <c r="CH438" s="714">
        <f>1-WWWW[[#This Row],[% Equitable and continuous access to sufficient quantity of domestic water]]</f>
        <v>1</v>
      </c>
      <c r="CI438" s="708">
        <f>WWWW[[#This Row],[%equitable and continuous access to sufficient quantity of safe drinking and domestic water''s GAP]]*WWWW[[#This Row],[Total PoP ]]</f>
        <v>124</v>
      </c>
      <c r="CJ438" s="712">
        <f>IF(WWWW[[#This Row],[Total required water points]]-WWWW[[#This Row],['#Water points coverage]]&lt;0,0,WWWW[[#This Row],[Total required water points]]-WWWW[[#This Row],['#Water points coverage]])</f>
        <v>1</v>
      </c>
      <c r="CK438" s="712">
        <f>ROUND(IF(WWWW[[#This Row],[Total PoP ]]&lt;500,1,WWWW[[#This Row],[Total PoP ]]/500),0)</f>
        <v>1</v>
      </c>
      <c r="CL438" s="712">
        <f>(WWWW[[#This Row],['#_Constructed latrines_by_WASHAgencies]]+WWWW[[#This Row],['#_Non Cluster partner latrines]])-WWWW[[#This Row],['#_Non-functional latrines]]</f>
        <v>0</v>
      </c>
      <c r="CM43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3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3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8" s="712">
        <f>IF(WWWW[[#This Row],[Location Type 1]]="Village","NA",IF(WWWW[[#This Row],['#_Constructed/Existing latrines in TLS]]*50&gt;WWWW[[#This Row],['#_students at TLS_CFS]],WWWW[[#This Row],['#_students at TLS_CFS]],(WWWW[[#This Row],['#_Constructed/Existing latrines in TLS]]*50)))</f>
        <v>0</v>
      </c>
      <c r="CQ438" s="712">
        <f>ROUND(IF(WWWW[[#This Row],[Location Type 1]]="camp",WWWW[[#This Row],[Total PoP ]]/20,IF(WWWW[[#This Row],[Location Type 1]]="Temporary Location",WWWW[[#This Row],[Total PoP ]]/50,(WWWW[[#This Row],[Total PoP ]]/6))),0)</f>
        <v>2</v>
      </c>
      <c r="CR438" s="712">
        <f>IF(WWWW[[#This Row],[Total required Latrines]]-(WWWW[[#This Row],['#_Constructed latrines_by_WASHAgencies]]+WWWW[[#This Row],['#_Non Cluster partner latrines]])&lt;0,0,WWWW[[#This Row],[Total required Latrines]]-(WWWW[[#This Row],['#_Constructed latrines_by_WASHAgencies]]+WWWW[[#This Row],['#_Non Cluster partner latrines]]))</f>
        <v>2</v>
      </c>
      <c r="CS438" s="716">
        <f>1-WWWW[[#This Row],[% people access to functioning Latrine]]</f>
        <v>1</v>
      </c>
      <c r="CT438" s="713">
        <f>IF(OR(WWWW[[#This Row],['#_Non-functional latrines]]="",WWWW[[#This Row],['#_Non-functional latrines]]=0),0,WWWW[[#This Row],['#_Non-functional latrines]]/(WWWW[[#This Row],['#_Constructed latrines_by_WASHAgencies]]+WWWW[[#This Row],['#_Non Cluster partner latrines]]))</f>
        <v>0</v>
      </c>
      <c r="CU438" s="708">
        <f>IF(500*(WWWW[[#This Row],['#_male hygiene promoters]]+WWWW[[#This Row],['#_female hygiene promoters]])&gt;WWWW[[#This Row],[Total PoP ]],WWWW[[#This Row],[Total PoP ]],500*(WWWW[[#This Row],['#_male hygiene promoters]]+WWWW[[#This Row],['#_female hygiene promoters]]))</f>
        <v>0</v>
      </c>
      <c r="CV43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3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38" s="712">
        <f>IF(WWWW[[#This Row],['# People with access to soap]]&gt;WWWW[[#This Row],['# People with access to Sanity Pads]],WWWW[[#This Row],['# People with access to soap]],WWWW[[#This Row],['# People with access to Sanity Pads]])</f>
        <v>0</v>
      </c>
      <c r="CY43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38" s="714">
        <f>IF(WWWW[[#This Row],[HRP3]]/WWWW[[#This Row],[Total PoP ]]&gt;100%,100%,WWWW[[#This Row],[HRP3]]/WWWW[[#This Row],[Total PoP ]])</f>
        <v>0</v>
      </c>
      <c r="DA438" s="713">
        <f>1-WWWW[[#This Row],[Hygiene Coverage%]]</f>
        <v>1</v>
      </c>
      <c r="DB438" s="710">
        <f>WWWW[[#This Row],['# people reached by regular dedicated hygiene promotion_5]]/WWWW[[#This Row],[Total PoP ]]</f>
        <v>0</v>
      </c>
      <c r="DC438" s="710">
        <f>IF(WWWW[[#This Row],['#_households that received standard amount of soap for this quarter]]/WWWW[[#This Row],[Total HH]]&gt;1,1,WWWW[[#This Row],['#_households that received standard amount of soap for this quarter]]/WWWW[[#This Row],[Total HH]])</f>
        <v>0</v>
      </c>
      <c r="DD438" s="710">
        <f>IF(WWWW[[#This Row],['#_households that received standard amount of sanitary pads for this quarter]]/WWWW[[#This Row],[Total HH]]&gt;1,1,WWWW[[#This Row],['#_households that received standard amount of sanitary pads for this quarter]]/WWWW[[#This Row],[Total HH]])</f>
        <v>0</v>
      </c>
      <c r="DE438" s="712">
        <f>WWWW[[#This Row],['#_Constructed/Existing hand washing stations]]-WWWW[[#This Row],['#_Non-Functional_hand_washing_stations]]</f>
        <v>0</v>
      </c>
      <c r="DF438" s="757">
        <f>IF(WWWW[[#This Row],['# Functional hand washing stations during reporting period]]*20&gt;WWWW[[#This Row],[Total HH]],WWWW[[#This Row],[Total HH]],WWWW[[#This Row],['# Functional hand washing stations during reporting period]]*20)</f>
        <v>0</v>
      </c>
      <c r="DG438" s="708">
        <f>IF(WWWW[[#This Row],[Is sufficient soap available for TLS? (Yes/No)]]="yes",WWWW[[#This Row],['#_Constructed/Existing hand washing stations at TLS]],0)</f>
        <v>0</v>
      </c>
      <c r="DH438" s="585">
        <f>IF(WWWW[[#This Row],['# Functional hand washing stations during reporting period]]*100&gt;WWWW[[#This Row],[Total PoP ]],WWWW[[#This Row],[Total PoP ]],WWWW[[#This Row],['# Functional hand washing stations during reporting period]]*100)</f>
        <v>0</v>
      </c>
      <c r="DI438" s="585" t="str">
        <f>IF(OR(WWWW[[#This Row],['#_students at TLS_CFS]]="",WWWW[[#This Row],['#_students at TLS_CFS]]=0),"No","Yes")</f>
        <v>No</v>
      </c>
      <c r="DJ438" s="711">
        <f>VLOOKUP(WWWW[[#This Row],[Site Name]],SiteDB6[[Site Name]:[CCCM Management]],6,FALSE)</f>
        <v>0</v>
      </c>
      <c r="DK438" s="711">
        <f>VLOOKUP(WWWW[[#This Row],[Site Name]],SiteDB6[[Site Name]:[CCCM Focal Agency]],7,FALSE)</f>
        <v>0</v>
      </c>
      <c r="DL438" s="711" t="str">
        <f>VLOOKUP(WWWW[[#This Row],[Site Name]],SiteDB6[[Site Name]:[Location Type 1]],9,FALSE)</f>
        <v>Temporary location</v>
      </c>
      <c r="DM438" s="711" t="str">
        <f>VLOOKUP(WWWW[[#This Row],[Site Name]],SiteDB6[[Site Name]:[Type of Accommodation]],10,FALSE)</f>
        <v>Temporary location</v>
      </c>
      <c r="DN438" s="711">
        <f>VLOOKUP(WWWW[[#This Row],[Site Name]],SiteDB6[[Site Name]:[Ethnic or GCA/NGCA]],11,FALSE)</f>
        <v>0</v>
      </c>
      <c r="DO438" s="711">
        <f>VLOOKUP(WWWW[[#This Row],[Site Name]],SiteDB6[[Site Name]:[Lat]],12,FALSE)</f>
        <v>20.622760772705099</v>
      </c>
      <c r="DP438" s="711">
        <f>VLOOKUP(WWWW[[#This Row],[Site Name]],SiteDB6[[Site Name]:[Long]],13,FALSE)</f>
        <v>92.954826354980497</v>
      </c>
      <c r="DQ438" s="711">
        <f>VLOOKUP(WWWW[[#This Row],[Site Name]],SiteDB6[[Site Name]:[Pcode]],3,FALSE)</f>
        <v>196315</v>
      </c>
      <c r="DR438" s="709" t="str">
        <f t="shared" si="14"/>
        <v>Notcovered</v>
      </c>
      <c r="DS438" s="709"/>
      <c r="DV438" s="572"/>
    </row>
    <row r="439" spans="1:126">
      <c r="A439" s="552" t="s">
        <v>2518</v>
      </c>
      <c r="B439" s="701" t="s">
        <v>3192</v>
      </c>
      <c r="C439" s="701" t="s">
        <v>3192</v>
      </c>
      <c r="D439" s="702"/>
      <c r="E439" s="703" t="s">
        <v>3006</v>
      </c>
      <c r="F439" s="702" t="s">
        <v>470</v>
      </c>
      <c r="G439" s="704" t="str">
        <f>VLOOKUP(WWWW[[#This Row],[Site Name]],SiteDB6[[Site Name]:[Location Type]],8,FALSE)</f>
        <v>New Temporary Site</v>
      </c>
      <c r="H439" s="702" t="s">
        <v>3229</v>
      </c>
      <c r="I439" s="705">
        <v>25</v>
      </c>
      <c r="J439" s="705">
        <v>117</v>
      </c>
      <c r="K439" s="706"/>
      <c r="L439" s="707"/>
      <c r="M439" s="705"/>
      <c r="N439" s="705"/>
      <c r="O439" s="705"/>
      <c r="P439" s="705"/>
      <c r="Q439" s="708"/>
      <c r="R439" s="705"/>
      <c r="S439" s="705"/>
      <c r="T439" s="312"/>
      <c r="U439" s="705"/>
      <c r="V439" s="705"/>
      <c r="W439" s="705"/>
      <c r="X439" s="705"/>
      <c r="Y439" s="705"/>
      <c r="Z439" s="705"/>
      <c r="AA439" s="705"/>
      <c r="AB439" s="705"/>
      <c r="AC439" s="705"/>
      <c r="AD439" s="705"/>
      <c r="AE439" s="705"/>
      <c r="AF439" s="705"/>
      <c r="AG439" s="705"/>
      <c r="AH439" s="705"/>
      <c r="AI439" s="705"/>
      <c r="AJ439" s="705"/>
      <c r="AK439" s="705"/>
      <c r="AL439" s="705"/>
      <c r="AM439" s="705"/>
      <c r="AN439" s="705"/>
      <c r="AO439" s="709"/>
      <c r="AP439" s="705">
        <v>6</v>
      </c>
      <c r="AQ439" s="705"/>
      <c r="AR439" s="710"/>
      <c r="AS439" s="705"/>
      <c r="AT439" s="705"/>
      <c r="AU439" s="705"/>
      <c r="AV439" s="705"/>
      <c r="AW439" s="705"/>
      <c r="AX439" s="711"/>
      <c r="AY439" s="709"/>
      <c r="AZ439" s="705"/>
      <c r="BA439" s="705"/>
      <c r="BB439" s="705"/>
      <c r="BC439" s="711"/>
      <c r="BD439" s="705"/>
      <c r="BE439" s="705"/>
      <c r="BF439" s="705"/>
      <c r="BG439" s="705"/>
      <c r="BH439" s="705"/>
      <c r="BI439" s="705"/>
      <c r="BJ439" s="705"/>
      <c r="BK439" s="705">
        <v>39</v>
      </c>
      <c r="BL439" s="705">
        <v>39</v>
      </c>
      <c r="BM439" s="711"/>
      <c r="BN439" s="712"/>
      <c r="BO439" s="710"/>
      <c r="BP439" s="711"/>
      <c r="BQ439" s="713" t="str">
        <f>IFERROR(WWWW[[#This Row],['#_Water sources treated]]/WWWW[[#This Row],['#_Water sources tested for contamination]],"no test")</f>
        <v>no test</v>
      </c>
      <c r="BR439" s="710" t="str">
        <f>IFERROR(WWWW[[#This Row],['#_Household received remediation action due to contamination]]/WWWW[[#This Row],['#_Household water samples tested for contamination]],"no test")</f>
        <v>no test</v>
      </c>
      <c r="BS439" s="712" t="str">
        <f>IF(AND(WWWW[[#This Row],[% of water sources treated]]="no test",WWWW[[#This Row],[% Household received corrective actions]]="no test"),"No Test","Tested")</f>
        <v>No Test</v>
      </c>
      <c r="BT439" s="712">
        <f>WWWW[[#This Row],['#_Constructed/existing protected hand dug well]]-WWWW[[#This Row],['#_Non-functional protected hand dug well]]</f>
        <v>0</v>
      </c>
      <c r="BU439" s="712">
        <f>(WWWW[[#This Row],['#_Constructed/Existing tube wells/boreholes/handpumps_WASH_agency]]+WWWW[[#This Row],['#_Non-Cluster partner water tube-wells/boreholes/handpumps]])-WWWW[[#This Row],['#_Non-functional tube wells/boreholes/handpumps]]</f>
        <v>0</v>
      </c>
      <c r="BV439" s="712">
        <f>WWWW[[#This Row],['#_Constructed/Existingwater storage tank with gravity fed reticulation system]]-WWWW[[#This Row],['#_Non-functional storage tank gravity fed reticulation system]]</f>
        <v>0</v>
      </c>
      <c r="BW439" s="712">
        <f>WWWW[[#This Row],['#_Water boating or water trucking]]</f>
        <v>0</v>
      </c>
      <c r="BX439" s="712">
        <f>WWWW[[#This Row],['#_Constructed/Existing water distribution system from river or natural spring]]</f>
        <v>0</v>
      </c>
      <c r="BY43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3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39" s="710">
        <f>IF(WWWW[[#This Row],[Location Type 1]]="Village",WWWW[[#This Row],[Access to safe drinking water for Village]],WWWW[[#This Row],[Access to safe drinking water for Camp]])</f>
        <v>0</v>
      </c>
      <c r="CB439" s="708">
        <f>WWWW[[#This Row],[%Equitable and continuous access to sufficient quantity of safe drinking water]]*WWWW[[#This Row],[Total PoP ]]</f>
        <v>0</v>
      </c>
      <c r="CC439" s="710">
        <f>IF((WWWW[[#This Row],['#_Constructed/Existing protected/fenced ponds]]*250)/WWWW[[#This Row],[Total PoP ]]&gt;1,1,(WWWW[[#This Row],['#_Constructed/Existing protected/fenced ponds]]*250)/WWWW[[#This Row],[Total PoP ]])</f>
        <v>0</v>
      </c>
      <c r="CD439" s="708">
        <f>WWWW[[#This Row],[% Access to unimproved water points]]*WWWW[[#This Row],[Total PoP ]]</f>
        <v>0</v>
      </c>
      <c r="CE43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3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39" s="708">
        <f>WWWW[[#This Row],[HRP1]]/500</f>
        <v>0</v>
      </c>
      <c r="CH439" s="714">
        <f>1-WWWW[[#This Row],[% Equitable and continuous access to sufficient quantity of domestic water]]</f>
        <v>1</v>
      </c>
      <c r="CI439" s="708">
        <f>WWWW[[#This Row],[%equitable and continuous access to sufficient quantity of safe drinking and domestic water''s GAP]]*WWWW[[#This Row],[Total PoP ]]</f>
        <v>117</v>
      </c>
      <c r="CJ439" s="712">
        <f>IF(WWWW[[#This Row],[Total required water points]]-WWWW[[#This Row],['#Water points coverage]]&lt;0,0,WWWW[[#This Row],[Total required water points]]-WWWW[[#This Row],['#Water points coverage]])</f>
        <v>1</v>
      </c>
      <c r="CK439" s="712">
        <f>ROUND(IF(WWWW[[#This Row],[Total PoP ]]&lt;500,1,WWWW[[#This Row],[Total PoP ]]/500),0)</f>
        <v>1</v>
      </c>
      <c r="CL439" s="712">
        <f>(WWWW[[#This Row],['#_Constructed latrines_by_WASHAgencies]]+WWWW[[#This Row],['#_Non Cluster partner latrines]])-WWWW[[#This Row],['#_Non-functional latrines]]</f>
        <v>6</v>
      </c>
      <c r="CM43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3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117</v>
      </c>
      <c r="CO43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39" s="712">
        <f>IF(WWWW[[#This Row],[Location Type 1]]="Village","NA",IF(WWWW[[#This Row],['#_Constructed/Existing latrines in TLS]]*50&gt;WWWW[[#This Row],['#_students at TLS_CFS]],WWWW[[#This Row],['#_students at TLS_CFS]],(WWWW[[#This Row],['#_Constructed/Existing latrines in TLS]]*50)))</f>
        <v>0</v>
      </c>
      <c r="CQ439" s="712">
        <f>ROUND(IF(WWWW[[#This Row],[Location Type 1]]="camp",WWWW[[#This Row],[Total PoP ]]/20,IF(WWWW[[#This Row],[Location Type 1]]="Temporary Location",WWWW[[#This Row],[Total PoP ]]/50,(WWWW[[#This Row],[Total PoP ]]/6))),0)</f>
        <v>2</v>
      </c>
      <c r="CR439" s="712">
        <f>IF(WWWW[[#This Row],[Total required Latrines]]-(WWWW[[#This Row],['#_Constructed latrines_by_WASHAgencies]]+WWWW[[#This Row],['#_Non Cluster partner latrines]])&lt;0,0,WWWW[[#This Row],[Total required Latrines]]-(WWWW[[#This Row],['#_Constructed latrines_by_WASHAgencies]]+WWWW[[#This Row],['#_Non Cluster partner latrines]]))</f>
        <v>0</v>
      </c>
      <c r="CS439" s="716">
        <f>1-WWWW[[#This Row],[% people access to functioning Latrine]]</f>
        <v>0</v>
      </c>
      <c r="CT439" s="713">
        <f>IF(OR(WWWW[[#This Row],['#_Non-functional latrines]]="",WWWW[[#This Row],['#_Non-functional latrines]]=0),0,WWWW[[#This Row],['#_Non-functional latrines]]/(WWWW[[#This Row],['#_Constructed latrines_by_WASHAgencies]]+WWWW[[#This Row],['#_Non Cluster partner latrines]]))</f>
        <v>0</v>
      </c>
      <c r="CU439" s="708">
        <f>IF(500*(WWWW[[#This Row],['#_male hygiene promoters]]+WWWW[[#This Row],['#_female hygiene promoters]])&gt;WWWW[[#This Row],[Total PoP ]],WWWW[[#This Row],[Total PoP ]],500*(WWWW[[#This Row],['#_male hygiene promoters]]+WWWW[[#This Row],['#_female hygiene promoters]]))</f>
        <v>0</v>
      </c>
      <c r="CV43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117</v>
      </c>
      <c r="CW43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117</v>
      </c>
      <c r="CX439" s="712">
        <f>IF(WWWW[[#This Row],['# People with access to soap]]&gt;WWWW[[#This Row],['# People with access to Sanity Pads]],WWWW[[#This Row],['# People with access to soap]],WWWW[[#This Row],['# People with access to Sanity Pads]])</f>
        <v>117</v>
      </c>
      <c r="CY439" s="712">
        <f>IF(WWWW[[#This Row],['# people reached by regular dedicated hygiene promotion_5]]&gt;WWWW[[#This Row],['# People received regular supply of hygiene items_6]],WWWW[[#This Row],['# people reached by regular dedicated hygiene promotion_5]],WWWW[[#This Row],['# People received regular supply of hygiene items_6]])</f>
        <v>117</v>
      </c>
      <c r="CZ439" s="714">
        <f>IF(WWWW[[#This Row],[HRP3]]/WWWW[[#This Row],[Total PoP ]]&gt;100%,100%,WWWW[[#This Row],[HRP3]]/WWWW[[#This Row],[Total PoP ]])</f>
        <v>1</v>
      </c>
      <c r="DA439" s="713">
        <f>1-WWWW[[#This Row],[Hygiene Coverage%]]</f>
        <v>0</v>
      </c>
      <c r="DB439" s="710">
        <f>WWWW[[#This Row],['# people reached by regular dedicated hygiene promotion_5]]/WWWW[[#This Row],[Total PoP ]]</f>
        <v>0</v>
      </c>
      <c r="DC439" s="710">
        <f>IF(WWWW[[#This Row],['#_households that received standard amount of soap for this quarter]]/WWWW[[#This Row],[Total HH]]&gt;1,1,WWWW[[#This Row],['#_households that received standard amount of soap for this quarter]]/WWWW[[#This Row],[Total HH]])</f>
        <v>1</v>
      </c>
      <c r="DD439" s="710">
        <f>IF(WWWW[[#This Row],['#_households that received standard amount of sanitary pads for this quarter]]/WWWW[[#This Row],[Total HH]]&gt;1,1,WWWW[[#This Row],['#_households that received standard amount of sanitary pads for this quarter]]/WWWW[[#This Row],[Total HH]])</f>
        <v>1</v>
      </c>
      <c r="DE439" s="712">
        <f>WWWW[[#This Row],['#_Constructed/Existing hand washing stations]]-WWWW[[#This Row],['#_Non-Functional_hand_washing_stations]]</f>
        <v>0</v>
      </c>
      <c r="DF439" s="757">
        <f>IF(WWWW[[#This Row],['# Functional hand washing stations during reporting period]]*20&gt;WWWW[[#This Row],[Total HH]],WWWW[[#This Row],[Total HH]],WWWW[[#This Row],['# Functional hand washing stations during reporting period]]*20)</f>
        <v>0</v>
      </c>
      <c r="DG439" s="708">
        <f>IF(WWWW[[#This Row],[Is sufficient soap available for TLS? (Yes/No)]]="yes",WWWW[[#This Row],['#_Constructed/Existing hand washing stations at TLS]],0)</f>
        <v>0</v>
      </c>
      <c r="DH439" s="585">
        <f>IF(WWWW[[#This Row],['# Functional hand washing stations during reporting period]]*100&gt;WWWW[[#This Row],[Total PoP ]],WWWW[[#This Row],[Total PoP ]],WWWW[[#This Row],['# Functional hand washing stations during reporting period]]*100)</f>
        <v>0</v>
      </c>
      <c r="DI439" s="585" t="str">
        <f>IF(OR(WWWW[[#This Row],['#_students at TLS_CFS]]="",WWWW[[#This Row],['#_students at TLS_CFS]]=0),"No","Yes")</f>
        <v>No</v>
      </c>
      <c r="DJ439" s="711">
        <f>VLOOKUP(WWWW[[#This Row],[Site Name]],SiteDB6[[Site Name]:[CCCM Management]],6,FALSE)</f>
        <v>0</v>
      </c>
      <c r="DK439" s="711">
        <f>VLOOKUP(WWWW[[#This Row],[Site Name]],SiteDB6[[Site Name]:[CCCM Focal Agency]],7,FALSE)</f>
        <v>0</v>
      </c>
      <c r="DL439" s="711" t="str">
        <f>VLOOKUP(WWWW[[#This Row],[Site Name]],SiteDB6[[Site Name]:[Location Type 1]],9,FALSE)</f>
        <v>Temporary location</v>
      </c>
      <c r="DM439" s="711" t="str">
        <f>VLOOKUP(WWWW[[#This Row],[Site Name]],SiteDB6[[Site Name]:[Type of Accommodation]],10,FALSE)</f>
        <v>Temporary location</v>
      </c>
      <c r="DN439" s="711">
        <f>VLOOKUP(WWWW[[#This Row],[Site Name]],SiteDB6[[Site Name]:[Ethnic or GCA/NGCA]],11,FALSE)</f>
        <v>0</v>
      </c>
      <c r="DO439" s="711">
        <f>VLOOKUP(WWWW[[#This Row],[Site Name]],SiteDB6[[Site Name]:[Lat]],12,FALSE)</f>
        <v>20.580810546875</v>
      </c>
      <c r="DP439" s="711">
        <f>VLOOKUP(WWWW[[#This Row],[Site Name]],SiteDB6[[Site Name]:[Long]],13,FALSE)</f>
        <v>92.869346618652301</v>
      </c>
      <c r="DQ439" s="711">
        <f>VLOOKUP(WWWW[[#This Row],[Site Name]],SiteDB6[[Site Name]:[Pcode]],3,FALSE)</f>
        <v>196234</v>
      </c>
      <c r="DR439" s="709" t="str">
        <f t="shared" si="14"/>
        <v>Covered</v>
      </c>
      <c r="DS439" s="709"/>
      <c r="DV439" s="572"/>
    </row>
    <row r="440" spans="1:126">
      <c r="A440" s="552" t="s">
        <v>2518</v>
      </c>
      <c r="B440" s="808" t="s">
        <v>317</v>
      </c>
      <c r="C440" s="808" t="s">
        <v>317</v>
      </c>
      <c r="D440" s="702"/>
      <c r="E440" s="703" t="s">
        <v>3006</v>
      </c>
      <c r="F440" s="702" t="s">
        <v>470</v>
      </c>
      <c r="G440" s="704" t="str">
        <f>VLOOKUP(WWWW[[#This Row],[Site Name]],SiteDB6[[Site Name]:[Location Type]],8,FALSE)</f>
        <v>New Temporary Site</v>
      </c>
      <c r="H440" s="702" t="s">
        <v>1772</v>
      </c>
      <c r="I440" s="705">
        <v>10</v>
      </c>
      <c r="J440" s="705">
        <v>45</v>
      </c>
      <c r="K440" s="706"/>
      <c r="L440" s="707"/>
      <c r="M440" s="705"/>
      <c r="N440" s="705"/>
      <c r="O440" s="705"/>
      <c r="P440" s="705"/>
      <c r="Q440" s="708"/>
      <c r="R440" s="705"/>
      <c r="S440" s="705"/>
      <c r="T440" s="312"/>
      <c r="U440" s="705"/>
      <c r="V440" s="705"/>
      <c r="W440" s="705"/>
      <c r="X440" s="705"/>
      <c r="Y440" s="705"/>
      <c r="Z440" s="705"/>
      <c r="AA440" s="705"/>
      <c r="AB440" s="705"/>
      <c r="AC440" s="705"/>
      <c r="AD440" s="705"/>
      <c r="AE440" s="705"/>
      <c r="AF440" s="705"/>
      <c r="AG440" s="705"/>
      <c r="AH440" s="705"/>
      <c r="AI440" s="705"/>
      <c r="AJ440" s="705"/>
      <c r="AK440" s="705"/>
      <c r="AL440" s="705"/>
      <c r="AM440" s="705"/>
      <c r="AN440" s="705"/>
      <c r="AO440" s="709"/>
      <c r="AP440" s="705"/>
      <c r="AQ440" s="705"/>
      <c r="AR440" s="710"/>
      <c r="AS440" s="705"/>
      <c r="AT440" s="705"/>
      <c r="AU440" s="705"/>
      <c r="AV440" s="705"/>
      <c r="AW440" s="705"/>
      <c r="AX440" s="711"/>
      <c r="AY440" s="709"/>
      <c r="AZ440" s="705"/>
      <c r="BA440" s="705"/>
      <c r="BB440" s="705"/>
      <c r="BC440" s="711"/>
      <c r="BD440" s="705"/>
      <c r="BE440" s="705"/>
      <c r="BF440" s="705"/>
      <c r="BG440" s="705"/>
      <c r="BH440" s="705"/>
      <c r="BI440" s="705"/>
      <c r="BJ440" s="705"/>
      <c r="BK440" s="705"/>
      <c r="BL440" s="705"/>
      <c r="BM440" s="711"/>
      <c r="BN440" s="712"/>
      <c r="BO440" s="710"/>
      <c r="BP440" s="711"/>
      <c r="BQ440" s="713" t="str">
        <f>IFERROR(WWWW[[#This Row],['#_Water sources treated]]/WWWW[[#This Row],['#_Water sources tested for contamination]],"no test")</f>
        <v>no test</v>
      </c>
      <c r="BR440" s="710" t="str">
        <f>IFERROR(WWWW[[#This Row],['#_Household received remediation action due to contamination]]/WWWW[[#This Row],['#_Household water samples tested for contamination]],"no test")</f>
        <v>no test</v>
      </c>
      <c r="BS440" s="712" t="str">
        <f>IF(AND(WWWW[[#This Row],[% of water sources treated]]="no test",WWWW[[#This Row],[% Household received corrective actions]]="no test"),"No Test","Tested")</f>
        <v>No Test</v>
      </c>
      <c r="BT440" s="712">
        <f>WWWW[[#This Row],['#_Constructed/existing protected hand dug well]]-WWWW[[#This Row],['#_Non-functional protected hand dug well]]</f>
        <v>0</v>
      </c>
      <c r="BU440" s="712">
        <f>(WWWW[[#This Row],['#_Constructed/Existing tube wells/boreholes/handpumps_WASH_agency]]+WWWW[[#This Row],['#_Non-Cluster partner water tube-wells/boreholes/handpumps]])-WWWW[[#This Row],['#_Non-functional tube wells/boreholes/handpumps]]</f>
        <v>0</v>
      </c>
      <c r="BV440" s="712">
        <f>WWWW[[#This Row],['#_Constructed/Existingwater storage tank with gravity fed reticulation system]]-WWWW[[#This Row],['#_Non-functional storage tank gravity fed reticulation system]]</f>
        <v>0</v>
      </c>
      <c r="BW440" s="712">
        <f>WWWW[[#This Row],['#_Water boating or water trucking]]</f>
        <v>0</v>
      </c>
      <c r="BX440" s="712">
        <f>WWWW[[#This Row],['#_Constructed/Existing water distribution system from river or natural spring]]</f>
        <v>0</v>
      </c>
      <c r="BY44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0" s="710">
        <f>IF(WWWW[[#This Row],[Location Type 1]]="Village",WWWW[[#This Row],[Access to safe drinking water for Village]],WWWW[[#This Row],[Access to safe drinking water for Camp]])</f>
        <v>0</v>
      </c>
      <c r="CB440" s="708">
        <f>WWWW[[#This Row],[%Equitable and continuous access to sufficient quantity of safe drinking water]]*WWWW[[#This Row],[Total PoP ]]</f>
        <v>0</v>
      </c>
      <c r="CC440" s="710">
        <f>IF((WWWW[[#This Row],['#_Constructed/Existing protected/fenced ponds]]*250)/WWWW[[#This Row],[Total PoP ]]&gt;1,1,(WWWW[[#This Row],['#_Constructed/Existing protected/fenced ponds]]*250)/WWWW[[#This Row],[Total PoP ]])</f>
        <v>0</v>
      </c>
      <c r="CD440" s="708">
        <f>WWWW[[#This Row],[% Access to unimproved water points]]*WWWW[[#This Row],[Total PoP ]]</f>
        <v>0</v>
      </c>
      <c r="CE44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0" s="708">
        <f>WWWW[[#This Row],[HRP1]]/500</f>
        <v>0</v>
      </c>
      <c r="CH440" s="714">
        <f>1-WWWW[[#This Row],[% Equitable and continuous access to sufficient quantity of domestic water]]</f>
        <v>1</v>
      </c>
      <c r="CI440" s="708">
        <f>WWWW[[#This Row],[%equitable and continuous access to sufficient quantity of safe drinking and domestic water''s GAP]]*WWWW[[#This Row],[Total PoP ]]</f>
        <v>45</v>
      </c>
      <c r="CJ440" s="712">
        <f>IF(WWWW[[#This Row],[Total required water points]]-WWWW[[#This Row],['#Water points coverage]]&lt;0,0,WWWW[[#This Row],[Total required water points]]-WWWW[[#This Row],['#Water points coverage]])</f>
        <v>1</v>
      </c>
      <c r="CK440" s="712">
        <f>ROUND(IF(WWWW[[#This Row],[Total PoP ]]&lt;500,1,WWWW[[#This Row],[Total PoP ]]/500),0)</f>
        <v>1</v>
      </c>
      <c r="CL440" s="712">
        <f>(WWWW[[#This Row],['#_Constructed latrines_by_WASHAgencies]]+WWWW[[#This Row],['#_Non Cluster partner latrines]])-WWWW[[#This Row],['#_Non-functional latrines]]</f>
        <v>0</v>
      </c>
      <c r="CM44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0" s="712">
        <f>IF(WWWW[[#This Row],[Location Type 1]]="Village","NA",IF(WWWW[[#This Row],['#_Constructed/Existing latrines in TLS]]*50&gt;WWWW[[#This Row],['#_students at TLS_CFS]],WWWW[[#This Row],['#_students at TLS_CFS]],(WWWW[[#This Row],['#_Constructed/Existing latrines in TLS]]*50)))</f>
        <v>0</v>
      </c>
      <c r="CQ440" s="712">
        <f>ROUND(IF(WWWW[[#This Row],[Location Type 1]]="camp",WWWW[[#This Row],[Total PoP ]]/20,IF(WWWW[[#This Row],[Location Type 1]]="Temporary Location",WWWW[[#This Row],[Total PoP ]]/50,(WWWW[[#This Row],[Total PoP ]]/6))),0)</f>
        <v>1</v>
      </c>
      <c r="CR440" s="712">
        <f>IF(WWWW[[#This Row],[Total required Latrines]]-(WWWW[[#This Row],['#_Constructed latrines_by_WASHAgencies]]+WWWW[[#This Row],['#_Non Cluster partner latrines]])&lt;0,0,WWWW[[#This Row],[Total required Latrines]]-(WWWW[[#This Row],['#_Constructed latrines_by_WASHAgencies]]+WWWW[[#This Row],['#_Non Cluster partner latrines]]))</f>
        <v>1</v>
      </c>
      <c r="CS440" s="716">
        <f>1-WWWW[[#This Row],[% people access to functioning Latrine]]</f>
        <v>1</v>
      </c>
      <c r="CT440" s="713">
        <f>IF(OR(WWWW[[#This Row],['#_Non-functional latrines]]="",WWWW[[#This Row],['#_Non-functional latrines]]=0),0,WWWW[[#This Row],['#_Non-functional latrines]]/(WWWW[[#This Row],['#_Constructed latrines_by_WASHAgencies]]+WWWW[[#This Row],['#_Non Cluster partner latrines]]))</f>
        <v>0</v>
      </c>
      <c r="CU440" s="708">
        <f>IF(500*(WWWW[[#This Row],['#_male hygiene promoters]]+WWWW[[#This Row],['#_female hygiene promoters]])&gt;WWWW[[#This Row],[Total PoP ]],WWWW[[#This Row],[Total PoP ]],500*(WWWW[[#This Row],['#_male hygiene promoters]]+WWWW[[#This Row],['#_female hygiene promoters]]))</f>
        <v>0</v>
      </c>
      <c r="CV44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0" s="712">
        <f>IF(WWWW[[#This Row],['# People with access to soap]]&gt;WWWW[[#This Row],['# People with access to Sanity Pads]],WWWW[[#This Row],['# People with access to soap]],WWWW[[#This Row],['# People with access to Sanity Pads]])</f>
        <v>0</v>
      </c>
      <c r="CY44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0" s="714">
        <f>IF(WWWW[[#This Row],[HRP3]]/WWWW[[#This Row],[Total PoP ]]&gt;100%,100%,WWWW[[#This Row],[HRP3]]/WWWW[[#This Row],[Total PoP ]])</f>
        <v>0</v>
      </c>
      <c r="DA440" s="713">
        <f>1-WWWW[[#This Row],[Hygiene Coverage%]]</f>
        <v>1</v>
      </c>
      <c r="DB440" s="710">
        <f>WWWW[[#This Row],['# people reached by regular dedicated hygiene promotion_5]]/WWWW[[#This Row],[Total PoP ]]</f>
        <v>0</v>
      </c>
      <c r="DC440" s="710">
        <f>IF(WWWW[[#This Row],['#_households that received standard amount of soap for this quarter]]/WWWW[[#This Row],[Total HH]]&gt;1,1,WWWW[[#This Row],['#_households that received standard amount of soap for this quarter]]/WWWW[[#This Row],[Total HH]])</f>
        <v>0</v>
      </c>
      <c r="DD440" s="710">
        <f>IF(WWWW[[#This Row],['#_households that received standard amount of sanitary pads for this quarter]]/WWWW[[#This Row],[Total HH]]&gt;1,1,WWWW[[#This Row],['#_households that received standard amount of sanitary pads for this quarter]]/WWWW[[#This Row],[Total HH]])</f>
        <v>0</v>
      </c>
      <c r="DE440" s="712">
        <f>WWWW[[#This Row],['#_Constructed/Existing hand washing stations]]-WWWW[[#This Row],['#_Non-Functional_hand_washing_stations]]</f>
        <v>0</v>
      </c>
      <c r="DF440" s="757">
        <f>IF(WWWW[[#This Row],['# Functional hand washing stations during reporting period]]*20&gt;WWWW[[#This Row],[Total HH]],WWWW[[#This Row],[Total HH]],WWWW[[#This Row],['# Functional hand washing stations during reporting period]]*20)</f>
        <v>0</v>
      </c>
      <c r="DG440" s="708">
        <f>IF(WWWW[[#This Row],[Is sufficient soap available for TLS? (Yes/No)]]="yes",WWWW[[#This Row],['#_Constructed/Existing hand washing stations at TLS]],0)</f>
        <v>0</v>
      </c>
      <c r="DH440" s="585">
        <f>IF(WWWW[[#This Row],['# Functional hand washing stations during reporting period]]*100&gt;WWWW[[#This Row],[Total PoP ]],WWWW[[#This Row],[Total PoP ]],WWWW[[#This Row],['# Functional hand washing stations during reporting period]]*100)</f>
        <v>0</v>
      </c>
      <c r="DI440" s="585" t="str">
        <f>IF(OR(WWWW[[#This Row],['#_students at TLS_CFS]]="",WWWW[[#This Row],['#_students at TLS_CFS]]=0),"No","Yes")</f>
        <v>No</v>
      </c>
      <c r="DJ440" s="711">
        <f>VLOOKUP(WWWW[[#This Row],[Site Name]],SiteDB6[[Site Name]:[CCCM Management]],6,FALSE)</f>
        <v>0</v>
      </c>
      <c r="DK440" s="711">
        <f>VLOOKUP(WWWW[[#This Row],[Site Name]],SiteDB6[[Site Name]:[CCCM Focal Agency]],7,FALSE)</f>
        <v>0</v>
      </c>
      <c r="DL440" s="711" t="str">
        <f>VLOOKUP(WWWW[[#This Row],[Site Name]],SiteDB6[[Site Name]:[Location Type 1]],9,FALSE)</f>
        <v>Temporary location</v>
      </c>
      <c r="DM440" s="711" t="str">
        <f>VLOOKUP(WWWW[[#This Row],[Site Name]],SiteDB6[[Site Name]:[Type of Accommodation]],10,FALSE)</f>
        <v>Temporary location</v>
      </c>
      <c r="DN440" s="711">
        <f>VLOOKUP(WWWW[[#This Row],[Site Name]],SiteDB6[[Site Name]:[Ethnic or GCA/NGCA]],11,FALSE)</f>
        <v>0</v>
      </c>
      <c r="DO440" s="711">
        <f>VLOOKUP(WWWW[[#This Row],[Site Name]],SiteDB6[[Site Name]:[Lat]],12,FALSE)</f>
        <v>20.337610244751001</v>
      </c>
      <c r="DP440" s="711">
        <f>VLOOKUP(WWWW[[#This Row],[Site Name]],SiteDB6[[Site Name]:[Long]],13,FALSE)</f>
        <v>92.969711303710895</v>
      </c>
      <c r="DQ440" s="711">
        <f>VLOOKUP(WWWW[[#This Row],[Site Name]],SiteDB6[[Site Name]:[Pcode]],3,FALSE)</f>
        <v>196369</v>
      </c>
      <c r="DR440" s="709" t="str">
        <f t="shared" si="14"/>
        <v>Notcovered</v>
      </c>
      <c r="DS440" s="709"/>
      <c r="DV440" s="572"/>
    </row>
    <row r="441" spans="1:126">
      <c r="A441" s="552" t="s">
        <v>2518</v>
      </c>
      <c r="B441" s="808" t="s">
        <v>317</v>
      </c>
      <c r="C441" s="808" t="s">
        <v>317</v>
      </c>
      <c r="D441" s="702"/>
      <c r="E441" s="703" t="s">
        <v>3006</v>
      </c>
      <c r="F441" s="702" t="s">
        <v>470</v>
      </c>
      <c r="G441" s="704" t="str">
        <f>VLOOKUP(WWWW[[#This Row],[Site Name]],SiteDB6[[Site Name]:[Location Type]],8,FALSE)</f>
        <v>New Temporary Site</v>
      </c>
      <c r="H441" s="702" t="s">
        <v>3165</v>
      </c>
      <c r="I441" s="705">
        <v>10</v>
      </c>
      <c r="J441" s="705">
        <v>45</v>
      </c>
      <c r="K441" s="706"/>
      <c r="L441" s="707"/>
      <c r="M441" s="705"/>
      <c r="N441" s="705"/>
      <c r="O441" s="705"/>
      <c r="P441" s="705"/>
      <c r="Q441" s="708"/>
      <c r="R441" s="705"/>
      <c r="S441" s="705"/>
      <c r="T441" s="312"/>
      <c r="U441" s="705"/>
      <c r="V441" s="705"/>
      <c r="W441" s="705"/>
      <c r="X441" s="705"/>
      <c r="Y441" s="705"/>
      <c r="Z441" s="705"/>
      <c r="AA441" s="705"/>
      <c r="AB441" s="705"/>
      <c r="AC441" s="705"/>
      <c r="AD441" s="705"/>
      <c r="AE441" s="705"/>
      <c r="AF441" s="705"/>
      <c r="AG441" s="705"/>
      <c r="AH441" s="705"/>
      <c r="AI441" s="705"/>
      <c r="AJ441" s="705"/>
      <c r="AK441" s="705"/>
      <c r="AL441" s="705"/>
      <c r="AM441" s="705"/>
      <c r="AN441" s="705"/>
      <c r="AO441" s="709"/>
      <c r="AP441" s="705"/>
      <c r="AQ441" s="705"/>
      <c r="AR441" s="710"/>
      <c r="AS441" s="705"/>
      <c r="AT441" s="705"/>
      <c r="AU441" s="705"/>
      <c r="AV441" s="705"/>
      <c r="AW441" s="705"/>
      <c r="AX441" s="711"/>
      <c r="AY441" s="709"/>
      <c r="AZ441" s="705"/>
      <c r="BA441" s="705"/>
      <c r="BB441" s="705"/>
      <c r="BC441" s="711"/>
      <c r="BD441" s="705"/>
      <c r="BE441" s="705"/>
      <c r="BF441" s="705"/>
      <c r="BG441" s="705"/>
      <c r="BH441" s="705"/>
      <c r="BI441" s="705"/>
      <c r="BJ441" s="705"/>
      <c r="BK441" s="705"/>
      <c r="BL441" s="705"/>
      <c r="BM441" s="711"/>
      <c r="BN441" s="712"/>
      <c r="BO441" s="710"/>
      <c r="BP441" s="711"/>
      <c r="BQ441" s="713" t="str">
        <f>IFERROR(WWWW[[#This Row],['#_Water sources treated]]/WWWW[[#This Row],['#_Water sources tested for contamination]],"no test")</f>
        <v>no test</v>
      </c>
      <c r="BR441" s="710" t="str">
        <f>IFERROR(WWWW[[#This Row],['#_Household received remediation action due to contamination]]/WWWW[[#This Row],['#_Household water samples tested for contamination]],"no test")</f>
        <v>no test</v>
      </c>
      <c r="BS441" s="712" t="str">
        <f>IF(AND(WWWW[[#This Row],[% of water sources treated]]="no test",WWWW[[#This Row],[% Household received corrective actions]]="no test"),"No Test","Tested")</f>
        <v>No Test</v>
      </c>
      <c r="BT441" s="712">
        <f>WWWW[[#This Row],['#_Constructed/existing protected hand dug well]]-WWWW[[#This Row],['#_Non-functional protected hand dug well]]</f>
        <v>0</v>
      </c>
      <c r="BU441" s="712">
        <f>(WWWW[[#This Row],['#_Constructed/Existing tube wells/boreholes/handpumps_WASH_agency]]+WWWW[[#This Row],['#_Non-Cluster partner water tube-wells/boreholes/handpumps]])-WWWW[[#This Row],['#_Non-functional tube wells/boreholes/handpumps]]</f>
        <v>0</v>
      </c>
      <c r="BV441" s="712">
        <f>WWWW[[#This Row],['#_Constructed/Existingwater storage tank with gravity fed reticulation system]]-WWWW[[#This Row],['#_Non-functional storage tank gravity fed reticulation system]]</f>
        <v>0</v>
      </c>
      <c r="BW441" s="712">
        <f>WWWW[[#This Row],['#_Water boating or water trucking]]</f>
        <v>0</v>
      </c>
      <c r="BX441" s="712">
        <f>WWWW[[#This Row],['#_Constructed/Existing water distribution system from river or natural spring]]</f>
        <v>0</v>
      </c>
      <c r="BY44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1" s="710">
        <f>IF(WWWW[[#This Row],[Location Type 1]]="Village",WWWW[[#This Row],[Access to safe drinking water for Village]],WWWW[[#This Row],[Access to safe drinking water for Camp]])</f>
        <v>0</v>
      </c>
      <c r="CB441" s="708">
        <f>WWWW[[#This Row],[%Equitable and continuous access to sufficient quantity of safe drinking water]]*WWWW[[#This Row],[Total PoP ]]</f>
        <v>0</v>
      </c>
      <c r="CC441" s="710">
        <f>IF((WWWW[[#This Row],['#_Constructed/Existing protected/fenced ponds]]*250)/WWWW[[#This Row],[Total PoP ]]&gt;1,1,(WWWW[[#This Row],['#_Constructed/Existing protected/fenced ponds]]*250)/WWWW[[#This Row],[Total PoP ]])</f>
        <v>0</v>
      </c>
      <c r="CD441" s="708">
        <f>WWWW[[#This Row],[% Access to unimproved water points]]*WWWW[[#This Row],[Total PoP ]]</f>
        <v>0</v>
      </c>
      <c r="CE44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1" s="708">
        <f>WWWW[[#This Row],[HRP1]]/500</f>
        <v>0</v>
      </c>
      <c r="CH441" s="714">
        <f>1-WWWW[[#This Row],[% Equitable and continuous access to sufficient quantity of domestic water]]</f>
        <v>1</v>
      </c>
      <c r="CI441" s="708">
        <f>WWWW[[#This Row],[%equitable and continuous access to sufficient quantity of safe drinking and domestic water''s GAP]]*WWWW[[#This Row],[Total PoP ]]</f>
        <v>45</v>
      </c>
      <c r="CJ441" s="712">
        <f>IF(WWWW[[#This Row],[Total required water points]]-WWWW[[#This Row],['#Water points coverage]]&lt;0,0,WWWW[[#This Row],[Total required water points]]-WWWW[[#This Row],['#Water points coverage]])</f>
        <v>1</v>
      </c>
      <c r="CK441" s="712">
        <f>ROUND(IF(WWWW[[#This Row],[Total PoP ]]&lt;500,1,WWWW[[#This Row],[Total PoP ]]/500),0)</f>
        <v>1</v>
      </c>
      <c r="CL441" s="712">
        <f>(WWWW[[#This Row],['#_Constructed latrines_by_WASHAgencies]]+WWWW[[#This Row],['#_Non Cluster partner latrines]])-WWWW[[#This Row],['#_Non-functional latrines]]</f>
        <v>0</v>
      </c>
      <c r="CM44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1" s="712">
        <f>IF(WWWW[[#This Row],[Location Type 1]]="Village","NA",IF(WWWW[[#This Row],['#_Constructed/Existing latrines in TLS]]*50&gt;WWWW[[#This Row],['#_students at TLS_CFS]],WWWW[[#This Row],['#_students at TLS_CFS]],(WWWW[[#This Row],['#_Constructed/Existing latrines in TLS]]*50)))</f>
        <v>0</v>
      </c>
      <c r="CQ441" s="712">
        <f>ROUND(IF(WWWW[[#This Row],[Location Type 1]]="camp",WWWW[[#This Row],[Total PoP ]]/20,IF(WWWW[[#This Row],[Location Type 1]]="Temporary Location",WWWW[[#This Row],[Total PoP ]]/50,(WWWW[[#This Row],[Total PoP ]]/6))),0)</f>
        <v>1</v>
      </c>
      <c r="CR441" s="712">
        <f>IF(WWWW[[#This Row],[Total required Latrines]]-(WWWW[[#This Row],['#_Constructed latrines_by_WASHAgencies]]+WWWW[[#This Row],['#_Non Cluster partner latrines]])&lt;0,0,WWWW[[#This Row],[Total required Latrines]]-(WWWW[[#This Row],['#_Constructed latrines_by_WASHAgencies]]+WWWW[[#This Row],['#_Non Cluster partner latrines]]))</f>
        <v>1</v>
      </c>
      <c r="CS441" s="716">
        <f>1-WWWW[[#This Row],[% people access to functioning Latrine]]</f>
        <v>1</v>
      </c>
      <c r="CT441" s="713">
        <f>IF(OR(WWWW[[#This Row],['#_Non-functional latrines]]="",WWWW[[#This Row],['#_Non-functional latrines]]=0),0,WWWW[[#This Row],['#_Non-functional latrines]]/(WWWW[[#This Row],['#_Constructed latrines_by_WASHAgencies]]+WWWW[[#This Row],['#_Non Cluster partner latrines]]))</f>
        <v>0</v>
      </c>
      <c r="CU441" s="708">
        <f>IF(500*(WWWW[[#This Row],['#_male hygiene promoters]]+WWWW[[#This Row],['#_female hygiene promoters]])&gt;WWWW[[#This Row],[Total PoP ]],WWWW[[#This Row],[Total PoP ]],500*(WWWW[[#This Row],['#_male hygiene promoters]]+WWWW[[#This Row],['#_female hygiene promoters]]))</f>
        <v>0</v>
      </c>
      <c r="CV44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1" s="712">
        <f>IF(WWWW[[#This Row],['# People with access to soap]]&gt;WWWW[[#This Row],['# People with access to Sanity Pads]],WWWW[[#This Row],['# People with access to soap]],WWWW[[#This Row],['# People with access to Sanity Pads]])</f>
        <v>0</v>
      </c>
      <c r="CY44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1" s="714">
        <f>IF(WWWW[[#This Row],[HRP3]]/WWWW[[#This Row],[Total PoP ]]&gt;100%,100%,WWWW[[#This Row],[HRP3]]/WWWW[[#This Row],[Total PoP ]])</f>
        <v>0</v>
      </c>
      <c r="DA441" s="713">
        <f>1-WWWW[[#This Row],[Hygiene Coverage%]]</f>
        <v>1</v>
      </c>
      <c r="DB441" s="710">
        <f>WWWW[[#This Row],['# people reached by regular dedicated hygiene promotion_5]]/WWWW[[#This Row],[Total PoP ]]</f>
        <v>0</v>
      </c>
      <c r="DC441" s="710">
        <f>IF(WWWW[[#This Row],['#_households that received standard amount of soap for this quarter]]/WWWW[[#This Row],[Total HH]]&gt;1,1,WWWW[[#This Row],['#_households that received standard amount of soap for this quarter]]/WWWW[[#This Row],[Total HH]])</f>
        <v>0</v>
      </c>
      <c r="DD441" s="710">
        <f>IF(WWWW[[#This Row],['#_households that received standard amount of sanitary pads for this quarter]]/WWWW[[#This Row],[Total HH]]&gt;1,1,WWWW[[#This Row],['#_households that received standard amount of sanitary pads for this quarter]]/WWWW[[#This Row],[Total HH]])</f>
        <v>0</v>
      </c>
      <c r="DE441" s="712">
        <f>WWWW[[#This Row],['#_Constructed/Existing hand washing stations]]-WWWW[[#This Row],['#_Non-Functional_hand_washing_stations]]</f>
        <v>0</v>
      </c>
      <c r="DF441" s="757">
        <f>IF(WWWW[[#This Row],['# Functional hand washing stations during reporting period]]*20&gt;WWWW[[#This Row],[Total HH]],WWWW[[#This Row],[Total HH]],WWWW[[#This Row],['# Functional hand washing stations during reporting period]]*20)</f>
        <v>0</v>
      </c>
      <c r="DG441" s="708">
        <f>IF(WWWW[[#This Row],[Is sufficient soap available for TLS? (Yes/No)]]="yes",WWWW[[#This Row],['#_Constructed/Existing hand washing stations at TLS]],0)</f>
        <v>0</v>
      </c>
      <c r="DH441" s="585">
        <f>IF(WWWW[[#This Row],['# Functional hand washing stations during reporting period]]*100&gt;WWWW[[#This Row],[Total PoP ]],WWWW[[#This Row],[Total PoP ]],WWWW[[#This Row],['# Functional hand washing stations during reporting period]]*100)</f>
        <v>0</v>
      </c>
      <c r="DI441" s="585" t="str">
        <f>IF(OR(WWWW[[#This Row],['#_students at TLS_CFS]]="",WWWW[[#This Row],['#_students at TLS_CFS]]=0),"No","Yes")</f>
        <v>No</v>
      </c>
      <c r="DJ441" s="711">
        <f>VLOOKUP(WWWW[[#This Row],[Site Name]],SiteDB6[[Site Name]:[CCCM Management]],6,FALSE)</f>
        <v>0</v>
      </c>
      <c r="DK441" s="711">
        <f>VLOOKUP(WWWW[[#This Row],[Site Name]],SiteDB6[[Site Name]:[CCCM Focal Agency]],7,FALSE)</f>
        <v>0</v>
      </c>
      <c r="DL441" s="711" t="str">
        <f>VLOOKUP(WWWW[[#This Row],[Site Name]],SiteDB6[[Site Name]:[Location Type 1]],9,FALSE)</f>
        <v>Temporary location</v>
      </c>
      <c r="DM441" s="711" t="str">
        <f>VLOOKUP(WWWW[[#This Row],[Site Name]],SiteDB6[[Site Name]:[Type of Accommodation]],10,FALSE)</f>
        <v>Temporary location</v>
      </c>
      <c r="DN441" s="711">
        <f>VLOOKUP(WWWW[[#This Row],[Site Name]],SiteDB6[[Site Name]:[Ethnic or GCA/NGCA]],11,FALSE)</f>
        <v>0</v>
      </c>
      <c r="DO441" s="711">
        <f>VLOOKUP(WWWW[[#This Row],[Site Name]],SiteDB6[[Site Name]:[Lat]],12,FALSE)</f>
        <v>20.337610244751001</v>
      </c>
      <c r="DP441" s="711">
        <f>VLOOKUP(WWWW[[#This Row],[Site Name]],SiteDB6[[Site Name]:[Long]],13,FALSE)</f>
        <v>92.969711303710895</v>
      </c>
      <c r="DQ441" s="711">
        <f>VLOOKUP(WWWW[[#This Row],[Site Name]],SiteDB6[[Site Name]:[Pcode]],3,FALSE)</f>
        <v>196369</v>
      </c>
      <c r="DR441" s="709" t="str">
        <f t="shared" si="14"/>
        <v>Notcovered</v>
      </c>
      <c r="DS441" s="709"/>
      <c r="DV441" s="572"/>
    </row>
    <row r="442" spans="1:126">
      <c r="A442" s="552" t="s">
        <v>2518</v>
      </c>
      <c r="B442" s="808" t="s">
        <v>317</v>
      </c>
      <c r="C442" s="808" t="s">
        <v>317</v>
      </c>
      <c r="D442" s="702"/>
      <c r="E442" s="703" t="s">
        <v>3006</v>
      </c>
      <c r="F442" s="702" t="s">
        <v>320</v>
      </c>
      <c r="G442" s="704" t="s">
        <v>3017</v>
      </c>
      <c r="H442" s="584" t="s">
        <v>3235</v>
      </c>
      <c r="I442" s="705">
        <v>15</v>
      </c>
      <c r="J442" s="705">
        <v>32</v>
      </c>
      <c r="K442" s="706"/>
      <c r="L442" s="707"/>
      <c r="M442" s="705"/>
      <c r="N442" s="705"/>
      <c r="O442" s="705"/>
      <c r="P442" s="705"/>
      <c r="Q442" s="708"/>
      <c r="R442" s="705"/>
      <c r="S442" s="705"/>
      <c r="T442" s="312"/>
      <c r="U442" s="705"/>
      <c r="V442" s="705"/>
      <c r="W442" s="705"/>
      <c r="X442" s="705"/>
      <c r="Y442" s="705"/>
      <c r="Z442" s="705"/>
      <c r="AA442" s="705"/>
      <c r="AB442" s="705"/>
      <c r="AC442" s="705"/>
      <c r="AD442" s="705"/>
      <c r="AE442" s="705"/>
      <c r="AF442" s="705"/>
      <c r="AG442" s="705"/>
      <c r="AH442" s="705"/>
      <c r="AI442" s="705"/>
      <c r="AJ442" s="705"/>
      <c r="AK442" s="705"/>
      <c r="AL442" s="705"/>
      <c r="AM442" s="705"/>
      <c r="AN442" s="705"/>
      <c r="AO442" s="709"/>
      <c r="AP442" s="705"/>
      <c r="AQ442" s="705"/>
      <c r="AR442" s="710"/>
      <c r="AS442" s="705"/>
      <c r="AT442" s="705"/>
      <c r="AU442" s="705"/>
      <c r="AV442" s="705"/>
      <c r="AW442" s="705"/>
      <c r="AX442" s="711"/>
      <c r="AY442" s="709"/>
      <c r="AZ442" s="705"/>
      <c r="BA442" s="705"/>
      <c r="BB442" s="705"/>
      <c r="BC442" s="711"/>
      <c r="BD442" s="705"/>
      <c r="BE442" s="705"/>
      <c r="BF442" s="705"/>
      <c r="BG442" s="705"/>
      <c r="BH442" s="705"/>
      <c r="BI442" s="705"/>
      <c r="BJ442" s="705"/>
      <c r="BK442" s="705"/>
      <c r="BL442" s="705"/>
      <c r="BM442" s="711"/>
      <c r="BN442" s="712"/>
      <c r="BO442" s="710"/>
      <c r="BP442" s="711"/>
      <c r="BQ442" s="713" t="str">
        <f>IFERROR(WWWW[[#This Row],['#_Water sources treated]]/WWWW[[#This Row],['#_Water sources tested for contamination]],"no test")</f>
        <v>no test</v>
      </c>
      <c r="BR442" s="710" t="str">
        <f>IFERROR(WWWW[[#This Row],['#_Household received remediation action due to contamination]]/WWWW[[#This Row],['#_Household water samples tested for contamination]],"no test")</f>
        <v>no test</v>
      </c>
      <c r="BS442" s="712" t="str">
        <f>IF(AND(WWWW[[#This Row],[% of water sources treated]]="no test",WWWW[[#This Row],[% Household received corrective actions]]="no test"),"No Test","Tested")</f>
        <v>No Test</v>
      </c>
      <c r="BT442" s="712">
        <f>WWWW[[#This Row],['#_Constructed/existing protected hand dug well]]-WWWW[[#This Row],['#_Non-functional protected hand dug well]]</f>
        <v>0</v>
      </c>
      <c r="BU442" s="712">
        <f>(WWWW[[#This Row],['#_Constructed/Existing tube wells/boreholes/handpumps_WASH_agency]]+WWWW[[#This Row],['#_Non-Cluster partner water tube-wells/boreholes/handpumps]])-WWWW[[#This Row],['#_Non-functional tube wells/boreholes/handpumps]]</f>
        <v>0</v>
      </c>
      <c r="BV442" s="712">
        <f>WWWW[[#This Row],['#_Constructed/Existingwater storage tank with gravity fed reticulation system]]-WWWW[[#This Row],['#_Non-functional storage tank gravity fed reticulation system]]</f>
        <v>0</v>
      </c>
      <c r="BW442" s="712">
        <f>WWWW[[#This Row],['#_Water boating or water trucking]]</f>
        <v>0</v>
      </c>
      <c r="BX442" s="712">
        <f>WWWW[[#This Row],['#_Constructed/Existing water distribution system from river or natural spring]]</f>
        <v>0</v>
      </c>
      <c r="BY44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2" s="710">
        <f>IF(WWWW[[#This Row],[Location Type 1]]="Village",WWWW[[#This Row],[Access to safe drinking water for Village]],WWWW[[#This Row],[Access to safe drinking water for Camp]])</f>
        <v>0</v>
      </c>
      <c r="CB442" s="708">
        <f>WWWW[[#This Row],[%Equitable and continuous access to sufficient quantity of safe drinking water]]*WWWW[[#This Row],[Total PoP ]]</f>
        <v>0</v>
      </c>
      <c r="CC442" s="710">
        <f>IF((WWWW[[#This Row],['#_Constructed/Existing protected/fenced ponds]]*250)/WWWW[[#This Row],[Total PoP ]]&gt;1,1,(WWWW[[#This Row],['#_Constructed/Existing protected/fenced ponds]]*250)/WWWW[[#This Row],[Total PoP ]])</f>
        <v>0</v>
      </c>
      <c r="CD442" s="708">
        <f>WWWW[[#This Row],[% Access to unimproved water points]]*WWWW[[#This Row],[Total PoP ]]</f>
        <v>0</v>
      </c>
      <c r="CE44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2" s="708">
        <f>WWWW[[#This Row],[HRP1]]/500</f>
        <v>0</v>
      </c>
      <c r="CH442" s="714">
        <f>1-WWWW[[#This Row],[% Equitable and continuous access to sufficient quantity of domestic water]]</f>
        <v>1</v>
      </c>
      <c r="CI442" s="708">
        <f>WWWW[[#This Row],[%equitable and continuous access to sufficient quantity of safe drinking and domestic water''s GAP]]*WWWW[[#This Row],[Total PoP ]]</f>
        <v>32</v>
      </c>
      <c r="CJ442" s="712">
        <f>IF(WWWW[[#This Row],[Total required water points]]-WWWW[[#This Row],['#Water points coverage]]&lt;0,0,WWWW[[#This Row],[Total required water points]]-WWWW[[#This Row],['#Water points coverage]])</f>
        <v>1</v>
      </c>
      <c r="CK442" s="712">
        <f>ROUND(IF(WWWW[[#This Row],[Total PoP ]]&lt;500,1,WWWW[[#This Row],[Total PoP ]]/500),0)</f>
        <v>1</v>
      </c>
      <c r="CL442" s="712">
        <f>(WWWW[[#This Row],['#_Constructed latrines_by_WASHAgencies]]+WWWW[[#This Row],['#_Non Cluster partner latrines]])-WWWW[[#This Row],['#_Non-functional latrines]]</f>
        <v>0</v>
      </c>
      <c r="CM44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2" s="712">
        <f>IF(WWWW[[#This Row],[Location Type 1]]="Village","NA",IF(WWWW[[#This Row],['#_Constructed/Existing latrines in TLS]]*50&gt;WWWW[[#This Row],['#_students at TLS_CFS]],WWWW[[#This Row],['#_students at TLS_CFS]],(WWWW[[#This Row],['#_Constructed/Existing latrines in TLS]]*50)))</f>
        <v>0</v>
      </c>
      <c r="CQ442" s="712">
        <f>ROUND(IF(WWWW[[#This Row],[Location Type 1]]="camp",WWWW[[#This Row],[Total PoP ]]/20,IF(WWWW[[#This Row],[Location Type 1]]="Temporary Location",WWWW[[#This Row],[Total PoP ]]/50,(WWWW[[#This Row],[Total PoP ]]/6))),0)</f>
        <v>1</v>
      </c>
      <c r="CR442" s="712">
        <f>IF(WWWW[[#This Row],[Total required Latrines]]-(WWWW[[#This Row],['#_Constructed latrines_by_WASHAgencies]]+WWWW[[#This Row],['#_Non Cluster partner latrines]])&lt;0,0,WWWW[[#This Row],[Total required Latrines]]-(WWWW[[#This Row],['#_Constructed latrines_by_WASHAgencies]]+WWWW[[#This Row],['#_Non Cluster partner latrines]]))</f>
        <v>1</v>
      </c>
      <c r="CS442" s="716">
        <f>1-WWWW[[#This Row],[% people access to functioning Latrine]]</f>
        <v>1</v>
      </c>
      <c r="CT442" s="713">
        <f>IF(OR(WWWW[[#This Row],['#_Non-functional latrines]]="",WWWW[[#This Row],['#_Non-functional latrines]]=0),0,WWWW[[#This Row],['#_Non-functional latrines]]/(WWWW[[#This Row],['#_Constructed latrines_by_WASHAgencies]]+WWWW[[#This Row],['#_Non Cluster partner latrines]]))</f>
        <v>0</v>
      </c>
      <c r="CU442" s="708">
        <f>IF(500*(WWWW[[#This Row],['#_male hygiene promoters]]+WWWW[[#This Row],['#_female hygiene promoters]])&gt;WWWW[[#This Row],[Total PoP ]],WWWW[[#This Row],[Total PoP ]],500*(WWWW[[#This Row],['#_male hygiene promoters]]+WWWW[[#This Row],['#_female hygiene promoters]]))</f>
        <v>0</v>
      </c>
      <c r="CV44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2" s="712">
        <f>IF(WWWW[[#This Row],['# People with access to soap]]&gt;WWWW[[#This Row],['# People with access to Sanity Pads]],WWWW[[#This Row],['# People with access to soap]],WWWW[[#This Row],['# People with access to Sanity Pads]])</f>
        <v>0</v>
      </c>
      <c r="CY44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2" s="714">
        <f>IF(WWWW[[#This Row],[HRP3]]/WWWW[[#This Row],[Total PoP ]]&gt;100%,100%,WWWW[[#This Row],[HRP3]]/WWWW[[#This Row],[Total PoP ]])</f>
        <v>0</v>
      </c>
      <c r="DA442" s="713">
        <f>1-WWWW[[#This Row],[Hygiene Coverage%]]</f>
        <v>1</v>
      </c>
      <c r="DB442" s="710">
        <f>WWWW[[#This Row],['# people reached by regular dedicated hygiene promotion_5]]/WWWW[[#This Row],[Total PoP ]]</f>
        <v>0</v>
      </c>
      <c r="DC442" s="710">
        <f>IF(WWWW[[#This Row],['#_households that received standard amount of soap for this quarter]]/WWWW[[#This Row],[Total HH]]&gt;1,1,WWWW[[#This Row],['#_households that received standard amount of soap for this quarter]]/WWWW[[#This Row],[Total HH]])</f>
        <v>0</v>
      </c>
      <c r="DD442" s="710">
        <f>IF(WWWW[[#This Row],['#_households that received standard amount of sanitary pads for this quarter]]/WWWW[[#This Row],[Total HH]]&gt;1,1,WWWW[[#This Row],['#_households that received standard amount of sanitary pads for this quarter]]/WWWW[[#This Row],[Total HH]])</f>
        <v>0</v>
      </c>
      <c r="DE442" s="712">
        <f>WWWW[[#This Row],['#_Constructed/Existing hand washing stations]]-WWWW[[#This Row],['#_Non-Functional_hand_washing_stations]]</f>
        <v>0</v>
      </c>
      <c r="DF442" s="757">
        <f>IF(WWWW[[#This Row],['# Functional hand washing stations during reporting period]]*20&gt;WWWW[[#This Row],[Total HH]],WWWW[[#This Row],[Total HH]],WWWW[[#This Row],['# Functional hand washing stations during reporting period]]*20)</f>
        <v>0</v>
      </c>
      <c r="DG442" s="708">
        <f>IF(WWWW[[#This Row],[Is sufficient soap available for TLS? (Yes/No)]]="yes",WWWW[[#This Row],['#_Constructed/Existing hand washing stations at TLS]],0)</f>
        <v>0</v>
      </c>
      <c r="DH442" s="585">
        <f>IF(WWWW[[#This Row],['# Functional hand washing stations during reporting period]]*100&gt;WWWW[[#This Row],[Total PoP ]],WWWW[[#This Row],[Total PoP ]],WWWW[[#This Row],['# Functional hand washing stations during reporting period]]*100)</f>
        <v>0</v>
      </c>
      <c r="DI442" s="585" t="str">
        <f>IF(OR(WWWW[[#This Row],['#_students at TLS_CFS]]="",WWWW[[#This Row],['#_students at TLS_CFS]]=0),"No","Yes")</f>
        <v>No</v>
      </c>
      <c r="DJ442" s="711">
        <f>VLOOKUP(WWWW[[#This Row],[Site Name]],SiteDB6[[Site Name]:[CCCM Management]],6,FALSE)</f>
        <v>0</v>
      </c>
      <c r="DK442" s="711">
        <f>VLOOKUP(WWWW[[#This Row],[Site Name]],SiteDB6[[Site Name]:[CCCM Focal Agency]],7,FALSE)</f>
        <v>0</v>
      </c>
      <c r="DL442" s="711" t="str">
        <f>VLOOKUP(WWWW[[#This Row],[Site Name]],SiteDB6[[Site Name]:[Location Type 1]],9,FALSE)</f>
        <v>Temporary location</v>
      </c>
      <c r="DM442" s="711" t="str">
        <f>VLOOKUP(WWWW[[#This Row],[Site Name]],SiteDB6[[Site Name]:[Type of Accommodation]],10,FALSE)</f>
        <v>Temporary location</v>
      </c>
      <c r="DN442" s="711">
        <f>VLOOKUP(WWWW[[#This Row],[Site Name]],SiteDB6[[Site Name]:[Ethnic or GCA/NGCA]],11,FALSE)</f>
        <v>0</v>
      </c>
      <c r="DO442" s="711">
        <f>VLOOKUP(WWWW[[#This Row],[Site Name]],SiteDB6[[Site Name]:[Lat]],12,FALSE)</f>
        <v>0</v>
      </c>
      <c r="DP442" s="711">
        <f>VLOOKUP(WWWW[[#This Row],[Site Name]],SiteDB6[[Site Name]:[Long]],13,FALSE)</f>
        <v>0</v>
      </c>
      <c r="DQ442" s="711">
        <f>VLOOKUP(WWWW[[#This Row],[Site Name]],SiteDB6[[Site Name]:[Pcode]],3,FALSE)</f>
        <v>0</v>
      </c>
      <c r="DR442" s="709" t="str">
        <f t="shared" si="14"/>
        <v>Notcovered</v>
      </c>
      <c r="DS442" s="709"/>
      <c r="DV442" s="572"/>
    </row>
    <row r="443" spans="1:126">
      <c r="A443" s="552" t="s">
        <v>2518</v>
      </c>
      <c r="B443" s="808" t="s">
        <v>317</v>
      </c>
      <c r="C443" s="808" t="s">
        <v>317</v>
      </c>
      <c r="D443" s="702"/>
      <c r="E443" s="703" t="s">
        <v>3006</v>
      </c>
      <c r="F443" s="702" t="s">
        <v>320</v>
      </c>
      <c r="G443" s="704" t="str">
        <f>VLOOKUP(WWWW[[#This Row],[Site Name]],SiteDB6[[Site Name]:[Location Type]],8,FALSE)</f>
        <v>New Temporary Site</v>
      </c>
      <c r="H443" s="702" t="s">
        <v>3171</v>
      </c>
      <c r="I443" s="705">
        <v>22</v>
      </c>
      <c r="J443" s="705">
        <v>42</v>
      </c>
      <c r="K443" s="706"/>
      <c r="L443" s="707"/>
      <c r="M443" s="705"/>
      <c r="N443" s="705"/>
      <c r="O443" s="705"/>
      <c r="P443" s="705"/>
      <c r="Q443" s="708"/>
      <c r="R443" s="705"/>
      <c r="S443" s="705"/>
      <c r="T443" s="312"/>
      <c r="U443" s="705"/>
      <c r="V443" s="705"/>
      <c r="W443" s="705"/>
      <c r="X443" s="705"/>
      <c r="Y443" s="705"/>
      <c r="Z443" s="705"/>
      <c r="AA443" s="705"/>
      <c r="AB443" s="705"/>
      <c r="AC443" s="705"/>
      <c r="AD443" s="705"/>
      <c r="AE443" s="705"/>
      <c r="AF443" s="705"/>
      <c r="AG443" s="705"/>
      <c r="AH443" s="705"/>
      <c r="AI443" s="705"/>
      <c r="AJ443" s="705"/>
      <c r="AK443" s="705"/>
      <c r="AL443" s="705"/>
      <c r="AM443" s="705"/>
      <c r="AN443" s="705"/>
      <c r="AO443" s="709"/>
      <c r="AP443" s="705"/>
      <c r="AQ443" s="705"/>
      <c r="AR443" s="710"/>
      <c r="AS443" s="705"/>
      <c r="AT443" s="705"/>
      <c r="AU443" s="705"/>
      <c r="AV443" s="705"/>
      <c r="AW443" s="705"/>
      <c r="AX443" s="711"/>
      <c r="AY443" s="709"/>
      <c r="AZ443" s="705"/>
      <c r="BA443" s="705"/>
      <c r="BB443" s="705"/>
      <c r="BC443" s="711"/>
      <c r="BD443" s="705"/>
      <c r="BE443" s="705"/>
      <c r="BF443" s="705"/>
      <c r="BG443" s="705"/>
      <c r="BH443" s="705"/>
      <c r="BI443" s="705"/>
      <c r="BJ443" s="705"/>
      <c r="BK443" s="705"/>
      <c r="BL443" s="705"/>
      <c r="BM443" s="711"/>
      <c r="BN443" s="712"/>
      <c r="BO443" s="710"/>
      <c r="BP443" s="711"/>
      <c r="BQ443" s="713" t="str">
        <f>IFERROR(WWWW[[#This Row],['#_Water sources treated]]/WWWW[[#This Row],['#_Water sources tested for contamination]],"no test")</f>
        <v>no test</v>
      </c>
      <c r="BR443" s="710" t="str">
        <f>IFERROR(WWWW[[#This Row],['#_Household received remediation action due to contamination]]/WWWW[[#This Row],['#_Household water samples tested for contamination]],"no test")</f>
        <v>no test</v>
      </c>
      <c r="BS443" s="712" t="str">
        <f>IF(AND(WWWW[[#This Row],[% of water sources treated]]="no test",WWWW[[#This Row],[% Household received corrective actions]]="no test"),"No Test","Tested")</f>
        <v>No Test</v>
      </c>
      <c r="BT443" s="712">
        <f>WWWW[[#This Row],['#_Constructed/existing protected hand dug well]]-WWWW[[#This Row],['#_Non-functional protected hand dug well]]</f>
        <v>0</v>
      </c>
      <c r="BU443" s="712">
        <f>(WWWW[[#This Row],['#_Constructed/Existing tube wells/boreholes/handpumps_WASH_agency]]+WWWW[[#This Row],['#_Non-Cluster partner water tube-wells/boreholes/handpumps]])-WWWW[[#This Row],['#_Non-functional tube wells/boreholes/handpumps]]</f>
        <v>0</v>
      </c>
      <c r="BV443" s="712">
        <f>WWWW[[#This Row],['#_Constructed/Existingwater storage tank with gravity fed reticulation system]]-WWWW[[#This Row],['#_Non-functional storage tank gravity fed reticulation system]]</f>
        <v>0</v>
      </c>
      <c r="BW443" s="712">
        <f>WWWW[[#This Row],['#_Water boating or water trucking]]</f>
        <v>0</v>
      </c>
      <c r="BX443" s="712">
        <f>WWWW[[#This Row],['#_Constructed/Existing water distribution system from river or natural spring]]</f>
        <v>0</v>
      </c>
      <c r="BY44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3" s="710">
        <f>IF(WWWW[[#This Row],[Location Type 1]]="Village",WWWW[[#This Row],[Access to safe drinking water for Village]],WWWW[[#This Row],[Access to safe drinking water for Camp]])</f>
        <v>0</v>
      </c>
      <c r="CB443" s="708">
        <f>WWWW[[#This Row],[%Equitable and continuous access to sufficient quantity of safe drinking water]]*WWWW[[#This Row],[Total PoP ]]</f>
        <v>0</v>
      </c>
      <c r="CC443" s="710">
        <f>IF((WWWW[[#This Row],['#_Constructed/Existing protected/fenced ponds]]*250)/WWWW[[#This Row],[Total PoP ]]&gt;1,1,(WWWW[[#This Row],['#_Constructed/Existing protected/fenced ponds]]*250)/WWWW[[#This Row],[Total PoP ]])</f>
        <v>0</v>
      </c>
      <c r="CD443" s="708">
        <f>WWWW[[#This Row],[% Access to unimproved water points]]*WWWW[[#This Row],[Total PoP ]]</f>
        <v>0</v>
      </c>
      <c r="CE44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3" s="708">
        <f>WWWW[[#This Row],[HRP1]]/500</f>
        <v>0</v>
      </c>
      <c r="CH443" s="714">
        <f>1-WWWW[[#This Row],[% Equitable and continuous access to sufficient quantity of domestic water]]</f>
        <v>1</v>
      </c>
      <c r="CI443" s="708">
        <f>WWWW[[#This Row],[%equitable and continuous access to sufficient quantity of safe drinking and domestic water''s GAP]]*WWWW[[#This Row],[Total PoP ]]</f>
        <v>42</v>
      </c>
      <c r="CJ443" s="712">
        <f>IF(WWWW[[#This Row],[Total required water points]]-WWWW[[#This Row],['#Water points coverage]]&lt;0,0,WWWW[[#This Row],[Total required water points]]-WWWW[[#This Row],['#Water points coverage]])</f>
        <v>1</v>
      </c>
      <c r="CK443" s="712">
        <f>ROUND(IF(WWWW[[#This Row],[Total PoP ]]&lt;500,1,WWWW[[#This Row],[Total PoP ]]/500),0)</f>
        <v>1</v>
      </c>
      <c r="CL443" s="712">
        <f>(WWWW[[#This Row],['#_Constructed latrines_by_WASHAgencies]]+WWWW[[#This Row],['#_Non Cluster partner latrines]])-WWWW[[#This Row],['#_Non-functional latrines]]</f>
        <v>0</v>
      </c>
      <c r="CM44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3" s="712">
        <f>IF(WWWW[[#This Row],[Location Type 1]]="Village","NA",IF(WWWW[[#This Row],['#_Constructed/Existing latrines in TLS]]*50&gt;WWWW[[#This Row],['#_students at TLS_CFS]],WWWW[[#This Row],['#_students at TLS_CFS]],(WWWW[[#This Row],['#_Constructed/Existing latrines in TLS]]*50)))</f>
        <v>0</v>
      </c>
      <c r="CQ443" s="712">
        <f>ROUND(IF(WWWW[[#This Row],[Location Type 1]]="camp",WWWW[[#This Row],[Total PoP ]]/20,IF(WWWW[[#This Row],[Location Type 1]]="Temporary Location",WWWW[[#This Row],[Total PoP ]]/50,(WWWW[[#This Row],[Total PoP ]]/6))),0)</f>
        <v>1</v>
      </c>
      <c r="CR443" s="712">
        <f>IF(WWWW[[#This Row],[Total required Latrines]]-(WWWW[[#This Row],['#_Constructed latrines_by_WASHAgencies]]+WWWW[[#This Row],['#_Non Cluster partner latrines]])&lt;0,0,WWWW[[#This Row],[Total required Latrines]]-(WWWW[[#This Row],['#_Constructed latrines_by_WASHAgencies]]+WWWW[[#This Row],['#_Non Cluster partner latrines]]))</f>
        <v>1</v>
      </c>
      <c r="CS443" s="716">
        <f>1-WWWW[[#This Row],[% people access to functioning Latrine]]</f>
        <v>1</v>
      </c>
      <c r="CT443" s="713">
        <f>IF(OR(WWWW[[#This Row],['#_Non-functional latrines]]="",WWWW[[#This Row],['#_Non-functional latrines]]=0),0,WWWW[[#This Row],['#_Non-functional latrines]]/(WWWW[[#This Row],['#_Constructed latrines_by_WASHAgencies]]+WWWW[[#This Row],['#_Non Cluster partner latrines]]))</f>
        <v>0</v>
      </c>
      <c r="CU443" s="708">
        <f>IF(500*(WWWW[[#This Row],['#_male hygiene promoters]]+WWWW[[#This Row],['#_female hygiene promoters]])&gt;WWWW[[#This Row],[Total PoP ]],WWWW[[#This Row],[Total PoP ]],500*(WWWW[[#This Row],['#_male hygiene promoters]]+WWWW[[#This Row],['#_female hygiene promoters]]))</f>
        <v>0</v>
      </c>
      <c r="CV44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3" s="712">
        <f>IF(WWWW[[#This Row],['# People with access to soap]]&gt;WWWW[[#This Row],['# People with access to Sanity Pads]],WWWW[[#This Row],['# People with access to soap]],WWWW[[#This Row],['# People with access to Sanity Pads]])</f>
        <v>0</v>
      </c>
      <c r="CY44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3" s="714">
        <f>IF(WWWW[[#This Row],[HRP3]]/WWWW[[#This Row],[Total PoP ]]&gt;100%,100%,WWWW[[#This Row],[HRP3]]/WWWW[[#This Row],[Total PoP ]])</f>
        <v>0</v>
      </c>
      <c r="DA443" s="713">
        <f>1-WWWW[[#This Row],[Hygiene Coverage%]]</f>
        <v>1</v>
      </c>
      <c r="DB443" s="710">
        <f>WWWW[[#This Row],['# people reached by regular dedicated hygiene promotion_5]]/WWWW[[#This Row],[Total PoP ]]</f>
        <v>0</v>
      </c>
      <c r="DC443" s="710">
        <f>IF(WWWW[[#This Row],['#_households that received standard amount of soap for this quarter]]/WWWW[[#This Row],[Total HH]]&gt;1,1,WWWW[[#This Row],['#_households that received standard amount of soap for this quarter]]/WWWW[[#This Row],[Total HH]])</f>
        <v>0</v>
      </c>
      <c r="DD443" s="710">
        <f>IF(WWWW[[#This Row],['#_households that received standard amount of sanitary pads for this quarter]]/WWWW[[#This Row],[Total HH]]&gt;1,1,WWWW[[#This Row],['#_households that received standard amount of sanitary pads for this quarter]]/WWWW[[#This Row],[Total HH]])</f>
        <v>0</v>
      </c>
      <c r="DE443" s="712">
        <f>WWWW[[#This Row],['#_Constructed/Existing hand washing stations]]-WWWW[[#This Row],['#_Non-Functional_hand_washing_stations]]</f>
        <v>0</v>
      </c>
      <c r="DF443" s="757">
        <f>IF(WWWW[[#This Row],['# Functional hand washing stations during reporting period]]*20&gt;WWWW[[#This Row],[Total HH]],WWWW[[#This Row],[Total HH]],WWWW[[#This Row],['# Functional hand washing stations during reporting period]]*20)</f>
        <v>0</v>
      </c>
      <c r="DG443" s="708">
        <f>IF(WWWW[[#This Row],[Is sufficient soap available for TLS? (Yes/No)]]="yes",WWWW[[#This Row],['#_Constructed/Existing hand washing stations at TLS]],0)</f>
        <v>0</v>
      </c>
      <c r="DH443" s="585">
        <f>IF(WWWW[[#This Row],['# Functional hand washing stations during reporting period]]*100&gt;WWWW[[#This Row],[Total PoP ]],WWWW[[#This Row],[Total PoP ]],WWWW[[#This Row],['# Functional hand washing stations during reporting period]]*100)</f>
        <v>0</v>
      </c>
      <c r="DI443" s="585" t="str">
        <f>IF(OR(WWWW[[#This Row],['#_students at TLS_CFS]]="",WWWW[[#This Row],['#_students at TLS_CFS]]=0),"No","Yes")</f>
        <v>No</v>
      </c>
      <c r="DJ443" s="711">
        <f>VLOOKUP(WWWW[[#This Row],[Site Name]],SiteDB6[[Site Name]:[CCCM Management]],6,FALSE)</f>
        <v>0</v>
      </c>
      <c r="DK443" s="711">
        <f>VLOOKUP(WWWW[[#This Row],[Site Name]],SiteDB6[[Site Name]:[CCCM Focal Agency]],7,FALSE)</f>
        <v>0</v>
      </c>
      <c r="DL443" s="711" t="str">
        <f>VLOOKUP(WWWW[[#This Row],[Site Name]],SiteDB6[[Site Name]:[Location Type 1]],9,FALSE)</f>
        <v>Temporary location</v>
      </c>
      <c r="DM443" s="711" t="str">
        <f>VLOOKUP(WWWW[[#This Row],[Site Name]],SiteDB6[[Site Name]:[Type of Accommodation]],10,FALSE)</f>
        <v>Temporary location</v>
      </c>
      <c r="DN443" s="711">
        <f>VLOOKUP(WWWW[[#This Row],[Site Name]],SiteDB6[[Site Name]:[Ethnic or GCA/NGCA]],11,FALSE)</f>
        <v>0</v>
      </c>
      <c r="DO443" s="711">
        <f>VLOOKUP(WWWW[[#This Row],[Site Name]],SiteDB6[[Site Name]:[Lat]],12,FALSE)</f>
        <v>20.746028900146499</v>
      </c>
      <c r="DP443" s="711">
        <f>VLOOKUP(WWWW[[#This Row],[Site Name]],SiteDB6[[Site Name]:[Long]],13,FALSE)</f>
        <v>92.839714050292997</v>
      </c>
      <c r="DQ443" s="711">
        <f>VLOOKUP(WWWW[[#This Row],[Site Name]],SiteDB6[[Site Name]:[Pcode]],3,FALSE)</f>
        <v>220632</v>
      </c>
      <c r="DR443" s="709" t="str">
        <f t="shared" si="14"/>
        <v>Notcovered</v>
      </c>
      <c r="DS443" s="709"/>
      <c r="DV443" s="572"/>
    </row>
    <row r="444" spans="1:126">
      <c r="A444" s="552" t="s">
        <v>2518</v>
      </c>
      <c r="B444" s="701" t="s">
        <v>3207</v>
      </c>
      <c r="C444" s="701" t="s">
        <v>3207</v>
      </c>
      <c r="D444" s="702"/>
      <c r="E444" s="703" t="s">
        <v>3006</v>
      </c>
      <c r="F444" s="702" t="s">
        <v>320</v>
      </c>
      <c r="G444" s="704" t="str">
        <f>VLOOKUP(WWWW[[#This Row],[Site Name]],SiteDB6[[Site Name]:[Location Type]],8,FALSE)</f>
        <v>New Temporary Site</v>
      </c>
      <c r="H444" s="702" t="s">
        <v>2830</v>
      </c>
      <c r="I444" s="705">
        <v>22</v>
      </c>
      <c r="J444" s="705">
        <v>82</v>
      </c>
      <c r="K444" s="706"/>
      <c r="L444" s="707"/>
      <c r="M444" s="705"/>
      <c r="N444" s="705"/>
      <c r="O444" s="705"/>
      <c r="P444" s="705"/>
      <c r="Q444" s="708"/>
      <c r="R444" s="705"/>
      <c r="S444" s="705"/>
      <c r="T444" s="312"/>
      <c r="U444" s="705"/>
      <c r="V444" s="705"/>
      <c r="W444" s="705"/>
      <c r="X444" s="705"/>
      <c r="Y444" s="705"/>
      <c r="Z444" s="705"/>
      <c r="AA444" s="705"/>
      <c r="AB444" s="705"/>
      <c r="AC444" s="705"/>
      <c r="AD444" s="705"/>
      <c r="AE444" s="705"/>
      <c r="AF444" s="705"/>
      <c r="AG444" s="705"/>
      <c r="AH444" s="705"/>
      <c r="AI444" s="705"/>
      <c r="AJ444" s="705"/>
      <c r="AK444" s="705"/>
      <c r="AL444" s="705"/>
      <c r="AM444" s="705"/>
      <c r="AN444" s="705"/>
      <c r="AO444" s="709"/>
      <c r="AP444" s="705"/>
      <c r="AQ444" s="705"/>
      <c r="AR444" s="710"/>
      <c r="AS444" s="705"/>
      <c r="AT444" s="705"/>
      <c r="AU444" s="705"/>
      <c r="AV444" s="705"/>
      <c r="AW444" s="705"/>
      <c r="AX444" s="711"/>
      <c r="AY444" s="709"/>
      <c r="AZ444" s="705"/>
      <c r="BA444" s="705"/>
      <c r="BB444" s="705"/>
      <c r="BC444" s="711"/>
      <c r="BD444" s="705"/>
      <c r="BE444" s="705"/>
      <c r="BF444" s="705"/>
      <c r="BG444" s="705"/>
      <c r="BH444" s="705"/>
      <c r="BI444" s="705"/>
      <c r="BJ444" s="705"/>
      <c r="BK444" s="705">
        <v>22</v>
      </c>
      <c r="BL444" s="705">
        <v>22</v>
      </c>
      <c r="BM444" s="711"/>
      <c r="BN444" s="712"/>
      <c r="BO444" s="710"/>
      <c r="BP444" s="711"/>
      <c r="BQ444" s="713" t="str">
        <f>IFERROR(WWWW[[#This Row],['#_Water sources treated]]/WWWW[[#This Row],['#_Water sources tested for contamination]],"no test")</f>
        <v>no test</v>
      </c>
      <c r="BR444" s="710" t="str">
        <f>IFERROR(WWWW[[#This Row],['#_Household received remediation action due to contamination]]/WWWW[[#This Row],['#_Household water samples tested for contamination]],"no test")</f>
        <v>no test</v>
      </c>
      <c r="BS444" s="712" t="str">
        <f>IF(AND(WWWW[[#This Row],[% of water sources treated]]="no test",WWWW[[#This Row],[% Household received corrective actions]]="no test"),"No Test","Tested")</f>
        <v>No Test</v>
      </c>
      <c r="BT444" s="712">
        <f>WWWW[[#This Row],['#_Constructed/existing protected hand dug well]]-WWWW[[#This Row],['#_Non-functional protected hand dug well]]</f>
        <v>0</v>
      </c>
      <c r="BU444" s="712">
        <f>(WWWW[[#This Row],['#_Constructed/Existing tube wells/boreholes/handpumps_WASH_agency]]+WWWW[[#This Row],['#_Non-Cluster partner water tube-wells/boreholes/handpumps]])-WWWW[[#This Row],['#_Non-functional tube wells/boreholes/handpumps]]</f>
        <v>0</v>
      </c>
      <c r="BV444" s="712">
        <f>WWWW[[#This Row],['#_Constructed/Existingwater storage tank with gravity fed reticulation system]]-WWWW[[#This Row],['#_Non-functional storage tank gravity fed reticulation system]]</f>
        <v>0</v>
      </c>
      <c r="BW444" s="712">
        <f>WWWW[[#This Row],['#_Water boating or water trucking]]</f>
        <v>0</v>
      </c>
      <c r="BX444" s="712">
        <f>WWWW[[#This Row],['#_Constructed/Existing water distribution system from river or natural spring]]</f>
        <v>0</v>
      </c>
      <c r="BY44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4" s="710">
        <f>IF(WWWW[[#This Row],[Location Type 1]]="Village",WWWW[[#This Row],[Access to safe drinking water for Village]],WWWW[[#This Row],[Access to safe drinking water for Camp]])</f>
        <v>0</v>
      </c>
      <c r="CB444" s="708">
        <f>WWWW[[#This Row],[%Equitable and continuous access to sufficient quantity of safe drinking water]]*WWWW[[#This Row],[Total PoP ]]</f>
        <v>0</v>
      </c>
      <c r="CC444" s="710">
        <f>IF((WWWW[[#This Row],['#_Constructed/Existing protected/fenced ponds]]*250)/WWWW[[#This Row],[Total PoP ]]&gt;1,1,(WWWW[[#This Row],['#_Constructed/Existing protected/fenced ponds]]*250)/WWWW[[#This Row],[Total PoP ]])</f>
        <v>0</v>
      </c>
      <c r="CD444" s="708">
        <f>WWWW[[#This Row],[% Access to unimproved water points]]*WWWW[[#This Row],[Total PoP ]]</f>
        <v>0</v>
      </c>
      <c r="CE44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4" s="708">
        <f>WWWW[[#This Row],[HRP1]]/500</f>
        <v>0</v>
      </c>
      <c r="CH444" s="714">
        <f>1-WWWW[[#This Row],[% Equitable and continuous access to sufficient quantity of domestic water]]</f>
        <v>1</v>
      </c>
      <c r="CI444" s="708">
        <f>WWWW[[#This Row],[%equitable and continuous access to sufficient quantity of safe drinking and domestic water''s GAP]]*WWWW[[#This Row],[Total PoP ]]</f>
        <v>82</v>
      </c>
      <c r="CJ444" s="712">
        <f>IF(WWWW[[#This Row],[Total required water points]]-WWWW[[#This Row],['#Water points coverage]]&lt;0,0,WWWW[[#This Row],[Total required water points]]-WWWW[[#This Row],['#Water points coverage]])</f>
        <v>1</v>
      </c>
      <c r="CK444" s="712">
        <f>ROUND(IF(WWWW[[#This Row],[Total PoP ]]&lt;500,1,WWWW[[#This Row],[Total PoP ]]/500),0)</f>
        <v>1</v>
      </c>
      <c r="CL444" s="712">
        <f>(WWWW[[#This Row],['#_Constructed latrines_by_WASHAgencies]]+WWWW[[#This Row],['#_Non Cluster partner latrines]])-WWWW[[#This Row],['#_Non-functional latrines]]</f>
        <v>0</v>
      </c>
      <c r="CM44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4" s="712">
        <f>IF(WWWW[[#This Row],[Location Type 1]]="Village","NA",IF(WWWW[[#This Row],['#_Constructed/Existing latrines in TLS]]*50&gt;WWWW[[#This Row],['#_students at TLS_CFS]],WWWW[[#This Row],['#_students at TLS_CFS]],(WWWW[[#This Row],['#_Constructed/Existing latrines in TLS]]*50)))</f>
        <v>0</v>
      </c>
      <c r="CQ444" s="712">
        <f>ROUND(IF(WWWW[[#This Row],[Location Type 1]]="camp",WWWW[[#This Row],[Total PoP ]]/20,IF(WWWW[[#This Row],[Location Type 1]]="Temporary Location",WWWW[[#This Row],[Total PoP ]]/50,(WWWW[[#This Row],[Total PoP ]]/6))),0)</f>
        <v>2</v>
      </c>
      <c r="CR444" s="712">
        <f>IF(WWWW[[#This Row],[Total required Latrines]]-(WWWW[[#This Row],['#_Constructed latrines_by_WASHAgencies]]+WWWW[[#This Row],['#_Non Cluster partner latrines]])&lt;0,0,WWWW[[#This Row],[Total required Latrines]]-(WWWW[[#This Row],['#_Constructed latrines_by_WASHAgencies]]+WWWW[[#This Row],['#_Non Cluster partner latrines]]))</f>
        <v>2</v>
      </c>
      <c r="CS444" s="716">
        <f>1-WWWW[[#This Row],[% people access to functioning Latrine]]</f>
        <v>1</v>
      </c>
      <c r="CT444" s="713">
        <f>IF(OR(WWWW[[#This Row],['#_Non-functional latrines]]="",WWWW[[#This Row],['#_Non-functional latrines]]=0),0,WWWW[[#This Row],['#_Non-functional latrines]]/(WWWW[[#This Row],['#_Constructed latrines_by_WASHAgencies]]+WWWW[[#This Row],['#_Non Cluster partner latrines]]))</f>
        <v>0</v>
      </c>
      <c r="CU444" s="708">
        <f>IF(500*(WWWW[[#This Row],['#_male hygiene promoters]]+WWWW[[#This Row],['#_female hygiene promoters]])&gt;WWWW[[#This Row],[Total PoP ]],WWWW[[#This Row],[Total PoP ]],500*(WWWW[[#This Row],['#_male hygiene promoters]]+WWWW[[#This Row],['#_female hygiene promoters]]))</f>
        <v>0</v>
      </c>
      <c r="CV44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82</v>
      </c>
      <c r="CW44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82</v>
      </c>
      <c r="CX444" s="712">
        <f>IF(WWWW[[#This Row],['# People with access to soap]]&gt;WWWW[[#This Row],['# People with access to Sanity Pads]],WWWW[[#This Row],['# People with access to soap]],WWWW[[#This Row],['# People with access to Sanity Pads]])</f>
        <v>82</v>
      </c>
      <c r="CY444" s="712">
        <f>IF(WWWW[[#This Row],['# people reached by regular dedicated hygiene promotion_5]]&gt;WWWW[[#This Row],['# People received regular supply of hygiene items_6]],WWWW[[#This Row],['# people reached by regular dedicated hygiene promotion_5]],WWWW[[#This Row],['# People received regular supply of hygiene items_6]])</f>
        <v>82</v>
      </c>
      <c r="CZ444" s="714">
        <f>IF(WWWW[[#This Row],[HRP3]]/WWWW[[#This Row],[Total PoP ]]&gt;100%,100%,WWWW[[#This Row],[HRP3]]/WWWW[[#This Row],[Total PoP ]])</f>
        <v>1</v>
      </c>
      <c r="DA444" s="713">
        <f>1-WWWW[[#This Row],[Hygiene Coverage%]]</f>
        <v>0</v>
      </c>
      <c r="DB444" s="710">
        <f>WWWW[[#This Row],['# people reached by regular dedicated hygiene promotion_5]]/WWWW[[#This Row],[Total PoP ]]</f>
        <v>0</v>
      </c>
      <c r="DC444" s="710">
        <f>IF(WWWW[[#This Row],['#_households that received standard amount of soap for this quarter]]/WWWW[[#This Row],[Total HH]]&gt;1,1,WWWW[[#This Row],['#_households that received standard amount of soap for this quarter]]/WWWW[[#This Row],[Total HH]])</f>
        <v>1</v>
      </c>
      <c r="DD444" s="710">
        <f>IF(WWWW[[#This Row],['#_households that received standard amount of sanitary pads for this quarter]]/WWWW[[#This Row],[Total HH]]&gt;1,1,WWWW[[#This Row],['#_households that received standard amount of sanitary pads for this quarter]]/WWWW[[#This Row],[Total HH]])</f>
        <v>1</v>
      </c>
      <c r="DE444" s="712">
        <f>WWWW[[#This Row],['#_Constructed/Existing hand washing stations]]-WWWW[[#This Row],['#_Non-Functional_hand_washing_stations]]</f>
        <v>0</v>
      </c>
      <c r="DF444" s="757">
        <f>IF(WWWW[[#This Row],['# Functional hand washing stations during reporting period]]*20&gt;WWWW[[#This Row],[Total HH]],WWWW[[#This Row],[Total HH]],WWWW[[#This Row],['# Functional hand washing stations during reporting period]]*20)</f>
        <v>0</v>
      </c>
      <c r="DG444" s="708">
        <f>IF(WWWW[[#This Row],[Is sufficient soap available for TLS? (Yes/No)]]="yes",WWWW[[#This Row],['#_Constructed/Existing hand washing stations at TLS]],0)</f>
        <v>0</v>
      </c>
      <c r="DH444" s="585">
        <f>IF(WWWW[[#This Row],['# Functional hand washing stations during reporting period]]*100&gt;WWWW[[#This Row],[Total PoP ]],WWWW[[#This Row],[Total PoP ]],WWWW[[#This Row],['# Functional hand washing stations during reporting period]]*100)</f>
        <v>0</v>
      </c>
      <c r="DI444" s="585" t="str">
        <f>IF(OR(WWWW[[#This Row],['#_students at TLS_CFS]]="",WWWW[[#This Row],['#_students at TLS_CFS]]=0),"No","Yes")</f>
        <v>No</v>
      </c>
      <c r="DJ444" s="711">
        <f>VLOOKUP(WWWW[[#This Row],[Site Name]],SiteDB6[[Site Name]:[CCCM Management]],6,FALSE)</f>
        <v>0</v>
      </c>
      <c r="DK444" s="711">
        <f>VLOOKUP(WWWW[[#This Row],[Site Name]],SiteDB6[[Site Name]:[CCCM Focal Agency]],7,FALSE)</f>
        <v>0</v>
      </c>
      <c r="DL444" s="711" t="str">
        <f>VLOOKUP(WWWW[[#This Row],[Site Name]],SiteDB6[[Site Name]:[Location Type 1]],9,FALSE)</f>
        <v>Temporary location</v>
      </c>
      <c r="DM444" s="711" t="str">
        <f>VLOOKUP(WWWW[[#This Row],[Site Name]],SiteDB6[[Site Name]:[Type of Accommodation]],10,FALSE)</f>
        <v>Temporary location</v>
      </c>
      <c r="DN444" s="711">
        <f>VLOOKUP(WWWW[[#This Row],[Site Name]],SiteDB6[[Site Name]:[Ethnic or GCA/NGCA]],11,FALSE)</f>
        <v>0</v>
      </c>
      <c r="DO444" s="711">
        <f>VLOOKUP(WWWW[[#This Row],[Site Name]],SiteDB6[[Site Name]:[Lat]],12,FALSE)</f>
        <v>0</v>
      </c>
      <c r="DP444" s="711">
        <f>VLOOKUP(WWWW[[#This Row],[Site Name]],SiteDB6[[Site Name]:[Long]],13,FALSE)</f>
        <v>0</v>
      </c>
      <c r="DQ444" s="711">
        <f>VLOOKUP(WWWW[[#This Row],[Site Name]],SiteDB6[[Site Name]:[Pcode]],3,FALSE)</f>
        <v>196673</v>
      </c>
      <c r="DR444" s="709" t="str">
        <f t="shared" si="14"/>
        <v>Covered</v>
      </c>
      <c r="DS444" s="709"/>
      <c r="DV444" s="572"/>
    </row>
    <row r="445" spans="1:126">
      <c r="A445" s="552" t="s">
        <v>2518</v>
      </c>
      <c r="B445" s="701" t="s">
        <v>249</v>
      </c>
      <c r="C445" s="701" t="s">
        <v>249</v>
      </c>
      <c r="D445" s="702"/>
      <c r="E445" s="703" t="s">
        <v>3006</v>
      </c>
      <c r="F445" s="702" t="s">
        <v>320</v>
      </c>
      <c r="G445" s="704" t="str">
        <f>VLOOKUP(WWWW[[#This Row],[Site Name]],SiteDB6[[Site Name]:[Location Type]],8,FALSE)</f>
        <v>New Temporary Site</v>
      </c>
      <c r="H445" s="702" t="s">
        <v>3214</v>
      </c>
      <c r="I445" s="705">
        <v>232</v>
      </c>
      <c r="J445" s="705">
        <v>1228</v>
      </c>
      <c r="K445" s="706"/>
      <c r="L445" s="707"/>
      <c r="M445" s="705"/>
      <c r="N445" s="705"/>
      <c r="O445" s="705"/>
      <c r="P445" s="705"/>
      <c r="Q445" s="708"/>
      <c r="R445" s="705"/>
      <c r="S445" s="705"/>
      <c r="T445" s="312"/>
      <c r="U445" s="705"/>
      <c r="V445" s="705"/>
      <c r="W445" s="705"/>
      <c r="X445" s="705"/>
      <c r="Y445" s="705"/>
      <c r="Z445" s="705"/>
      <c r="AA445" s="705"/>
      <c r="AB445" s="705"/>
      <c r="AC445" s="705"/>
      <c r="AD445" s="705"/>
      <c r="AE445" s="705"/>
      <c r="AF445" s="705"/>
      <c r="AG445" s="705"/>
      <c r="AH445" s="705"/>
      <c r="AI445" s="705"/>
      <c r="AJ445" s="705"/>
      <c r="AK445" s="705"/>
      <c r="AL445" s="705"/>
      <c r="AM445" s="705"/>
      <c r="AN445" s="705"/>
      <c r="AO445" s="709"/>
      <c r="AP445" s="705"/>
      <c r="AQ445" s="705"/>
      <c r="AR445" s="710"/>
      <c r="AS445" s="705"/>
      <c r="AT445" s="705"/>
      <c r="AU445" s="705"/>
      <c r="AV445" s="705"/>
      <c r="AW445" s="705"/>
      <c r="AX445" s="711"/>
      <c r="AY445" s="709"/>
      <c r="AZ445" s="705"/>
      <c r="BA445" s="705"/>
      <c r="BB445" s="705"/>
      <c r="BC445" s="711"/>
      <c r="BD445" s="705"/>
      <c r="BE445" s="705"/>
      <c r="BF445" s="705"/>
      <c r="BG445" s="705"/>
      <c r="BH445" s="705"/>
      <c r="BI445" s="705"/>
      <c r="BJ445" s="705"/>
      <c r="BK445" s="705">
        <v>232</v>
      </c>
      <c r="BL445" s="705">
        <v>232</v>
      </c>
      <c r="BM445" s="711"/>
      <c r="BN445" s="712"/>
      <c r="BO445" s="710"/>
      <c r="BP445" s="711"/>
      <c r="BQ445" s="713" t="str">
        <f>IFERROR(WWWW[[#This Row],['#_Water sources treated]]/WWWW[[#This Row],['#_Water sources tested for contamination]],"no test")</f>
        <v>no test</v>
      </c>
      <c r="BR445" s="710" t="str">
        <f>IFERROR(WWWW[[#This Row],['#_Household received remediation action due to contamination]]/WWWW[[#This Row],['#_Household water samples tested for contamination]],"no test")</f>
        <v>no test</v>
      </c>
      <c r="BS445" s="712" t="str">
        <f>IF(AND(WWWW[[#This Row],[% of water sources treated]]="no test",WWWW[[#This Row],[% Household received corrective actions]]="no test"),"No Test","Tested")</f>
        <v>No Test</v>
      </c>
      <c r="BT445" s="712">
        <f>WWWW[[#This Row],['#_Constructed/existing protected hand dug well]]-WWWW[[#This Row],['#_Non-functional protected hand dug well]]</f>
        <v>0</v>
      </c>
      <c r="BU445" s="712">
        <f>(WWWW[[#This Row],['#_Constructed/Existing tube wells/boreholes/handpumps_WASH_agency]]+WWWW[[#This Row],['#_Non-Cluster partner water tube-wells/boreholes/handpumps]])-WWWW[[#This Row],['#_Non-functional tube wells/boreholes/handpumps]]</f>
        <v>0</v>
      </c>
      <c r="BV445" s="712">
        <f>WWWW[[#This Row],['#_Constructed/Existingwater storage tank with gravity fed reticulation system]]-WWWW[[#This Row],['#_Non-functional storage tank gravity fed reticulation system]]</f>
        <v>0</v>
      </c>
      <c r="BW445" s="712">
        <f>WWWW[[#This Row],['#_Water boating or water trucking]]</f>
        <v>0</v>
      </c>
      <c r="BX445" s="712">
        <f>WWWW[[#This Row],['#_Constructed/Existing water distribution system from river or natural spring]]</f>
        <v>0</v>
      </c>
      <c r="BY44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5" s="710">
        <f>IF(WWWW[[#This Row],[Location Type 1]]="Village",WWWW[[#This Row],[Access to safe drinking water for Village]],WWWW[[#This Row],[Access to safe drinking water for Camp]])</f>
        <v>0</v>
      </c>
      <c r="CB445" s="708">
        <f>WWWW[[#This Row],[%Equitable and continuous access to sufficient quantity of safe drinking water]]*WWWW[[#This Row],[Total PoP ]]</f>
        <v>0</v>
      </c>
      <c r="CC445" s="710">
        <f>IF((WWWW[[#This Row],['#_Constructed/Existing protected/fenced ponds]]*250)/WWWW[[#This Row],[Total PoP ]]&gt;1,1,(WWWW[[#This Row],['#_Constructed/Existing protected/fenced ponds]]*250)/WWWW[[#This Row],[Total PoP ]])</f>
        <v>0</v>
      </c>
      <c r="CD445" s="708">
        <f>WWWW[[#This Row],[% Access to unimproved water points]]*WWWW[[#This Row],[Total PoP ]]</f>
        <v>0</v>
      </c>
      <c r="CE44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5" s="708">
        <f>WWWW[[#This Row],[HRP1]]/500</f>
        <v>0</v>
      </c>
      <c r="CH445" s="714">
        <f>1-WWWW[[#This Row],[% Equitable and continuous access to sufficient quantity of domestic water]]</f>
        <v>1</v>
      </c>
      <c r="CI445" s="708">
        <f>WWWW[[#This Row],[%equitable and continuous access to sufficient quantity of safe drinking and domestic water''s GAP]]*WWWW[[#This Row],[Total PoP ]]</f>
        <v>1228</v>
      </c>
      <c r="CJ445" s="712">
        <f>IF(WWWW[[#This Row],[Total required water points]]-WWWW[[#This Row],['#Water points coverage]]&lt;0,0,WWWW[[#This Row],[Total required water points]]-WWWW[[#This Row],['#Water points coverage]])</f>
        <v>2</v>
      </c>
      <c r="CK445" s="712">
        <f>ROUND(IF(WWWW[[#This Row],[Total PoP ]]&lt;500,1,WWWW[[#This Row],[Total PoP ]]/500),0)</f>
        <v>2</v>
      </c>
      <c r="CL445" s="712">
        <f>(WWWW[[#This Row],['#_Constructed latrines_by_WASHAgencies]]+WWWW[[#This Row],['#_Non Cluster partner latrines]])-WWWW[[#This Row],['#_Non-functional latrines]]</f>
        <v>0</v>
      </c>
      <c r="CM44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5" s="712">
        <f>IF(WWWW[[#This Row],[Location Type 1]]="Village","NA",IF(WWWW[[#This Row],['#_Constructed/Existing latrines in TLS]]*50&gt;WWWW[[#This Row],['#_students at TLS_CFS]],WWWW[[#This Row],['#_students at TLS_CFS]],(WWWW[[#This Row],['#_Constructed/Existing latrines in TLS]]*50)))</f>
        <v>0</v>
      </c>
      <c r="CQ445" s="712">
        <f>ROUND(IF(WWWW[[#This Row],[Location Type 1]]="camp",WWWW[[#This Row],[Total PoP ]]/20,IF(WWWW[[#This Row],[Location Type 1]]="Temporary Location",WWWW[[#This Row],[Total PoP ]]/50,(WWWW[[#This Row],[Total PoP ]]/6))),0)</f>
        <v>25</v>
      </c>
      <c r="CR445" s="712">
        <f>IF(WWWW[[#This Row],[Total required Latrines]]-(WWWW[[#This Row],['#_Constructed latrines_by_WASHAgencies]]+WWWW[[#This Row],['#_Non Cluster partner latrines]])&lt;0,0,WWWW[[#This Row],[Total required Latrines]]-(WWWW[[#This Row],['#_Constructed latrines_by_WASHAgencies]]+WWWW[[#This Row],['#_Non Cluster partner latrines]]))</f>
        <v>25</v>
      </c>
      <c r="CS445" s="716">
        <f>1-WWWW[[#This Row],[% people access to functioning Latrine]]</f>
        <v>1</v>
      </c>
      <c r="CT445" s="713">
        <f>IF(OR(WWWW[[#This Row],['#_Non-functional latrines]]="",WWWW[[#This Row],['#_Non-functional latrines]]=0),0,WWWW[[#This Row],['#_Non-functional latrines]]/(WWWW[[#This Row],['#_Constructed latrines_by_WASHAgencies]]+WWWW[[#This Row],['#_Non Cluster partner latrines]]))</f>
        <v>0</v>
      </c>
      <c r="CU445" s="708">
        <f>IF(500*(WWWW[[#This Row],['#_male hygiene promoters]]+WWWW[[#This Row],['#_female hygiene promoters]])&gt;WWWW[[#This Row],[Total PoP ]],WWWW[[#This Row],[Total PoP ]],500*(WWWW[[#This Row],['#_male hygiene promoters]]+WWWW[[#This Row],['#_female hygiene promoters]]))</f>
        <v>0</v>
      </c>
      <c r="CV44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1228</v>
      </c>
      <c r="CW44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1228</v>
      </c>
      <c r="CX445" s="712">
        <f>IF(WWWW[[#This Row],['# People with access to soap]]&gt;WWWW[[#This Row],['# People with access to Sanity Pads]],WWWW[[#This Row],['# People with access to soap]],WWWW[[#This Row],['# People with access to Sanity Pads]])</f>
        <v>1228</v>
      </c>
      <c r="CY445" s="712">
        <f>IF(WWWW[[#This Row],['# people reached by regular dedicated hygiene promotion_5]]&gt;WWWW[[#This Row],['# People received regular supply of hygiene items_6]],WWWW[[#This Row],['# people reached by regular dedicated hygiene promotion_5]],WWWW[[#This Row],['# People received regular supply of hygiene items_6]])</f>
        <v>1228</v>
      </c>
      <c r="CZ445" s="714">
        <f>IF(WWWW[[#This Row],[HRP3]]/WWWW[[#This Row],[Total PoP ]]&gt;100%,100%,WWWW[[#This Row],[HRP3]]/WWWW[[#This Row],[Total PoP ]])</f>
        <v>1</v>
      </c>
      <c r="DA445" s="713">
        <f>1-WWWW[[#This Row],[Hygiene Coverage%]]</f>
        <v>0</v>
      </c>
      <c r="DB445" s="710">
        <f>WWWW[[#This Row],['# people reached by regular dedicated hygiene promotion_5]]/WWWW[[#This Row],[Total PoP ]]</f>
        <v>0</v>
      </c>
      <c r="DC445" s="710">
        <f>IF(WWWW[[#This Row],['#_households that received standard amount of soap for this quarter]]/WWWW[[#This Row],[Total HH]]&gt;1,1,WWWW[[#This Row],['#_households that received standard amount of soap for this quarter]]/WWWW[[#This Row],[Total HH]])</f>
        <v>1</v>
      </c>
      <c r="DD445" s="710">
        <f>IF(WWWW[[#This Row],['#_households that received standard amount of sanitary pads for this quarter]]/WWWW[[#This Row],[Total HH]]&gt;1,1,WWWW[[#This Row],['#_households that received standard amount of sanitary pads for this quarter]]/WWWW[[#This Row],[Total HH]])</f>
        <v>1</v>
      </c>
      <c r="DE445" s="712">
        <f>WWWW[[#This Row],['#_Constructed/Existing hand washing stations]]-WWWW[[#This Row],['#_Non-Functional_hand_washing_stations]]</f>
        <v>0</v>
      </c>
      <c r="DF445" s="757">
        <f>IF(WWWW[[#This Row],['# Functional hand washing stations during reporting period]]*20&gt;WWWW[[#This Row],[Total HH]],WWWW[[#This Row],[Total HH]],WWWW[[#This Row],['# Functional hand washing stations during reporting period]]*20)</f>
        <v>0</v>
      </c>
      <c r="DG445" s="708">
        <f>IF(WWWW[[#This Row],[Is sufficient soap available for TLS? (Yes/No)]]="yes",WWWW[[#This Row],['#_Constructed/Existing hand washing stations at TLS]],0)</f>
        <v>0</v>
      </c>
      <c r="DH445" s="585">
        <f>IF(WWWW[[#This Row],['# Functional hand washing stations during reporting period]]*100&gt;WWWW[[#This Row],[Total PoP ]],WWWW[[#This Row],[Total PoP ]],WWWW[[#This Row],['# Functional hand washing stations during reporting period]]*100)</f>
        <v>0</v>
      </c>
      <c r="DI445" s="585" t="str">
        <f>IF(OR(WWWW[[#This Row],['#_students at TLS_CFS]]="",WWWW[[#This Row],['#_students at TLS_CFS]]=0),"No","Yes")</f>
        <v>No</v>
      </c>
      <c r="DJ445" s="711">
        <f>VLOOKUP(WWWW[[#This Row],[Site Name]],SiteDB6[[Site Name]:[CCCM Management]],6,FALSE)</f>
        <v>0</v>
      </c>
      <c r="DK445" s="711">
        <f>VLOOKUP(WWWW[[#This Row],[Site Name]],SiteDB6[[Site Name]:[CCCM Focal Agency]],7,FALSE)</f>
        <v>0</v>
      </c>
      <c r="DL445" s="711" t="str">
        <f>VLOOKUP(WWWW[[#This Row],[Site Name]],SiteDB6[[Site Name]:[Location Type 1]],9,FALSE)</f>
        <v>Temporary location</v>
      </c>
      <c r="DM445" s="711" t="str">
        <f>VLOOKUP(WWWW[[#This Row],[Site Name]],SiteDB6[[Site Name]:[Type of Accommodation]],10,FALSE)</f>
        <v>Temporary location</v>
      </c>
      <c r="DN445" s="711">
        <f>VLOOKUP(WWWW[[#This Row],[Site Name]],SiteDB6[[Site Name]:[Ethnic or GCA/NGCA]],11,FALSE)</f>
        <v>0</v>
      </c>
      <c r="DO445" s="711">
        <f>VLOOKUP(WWWW[[#This Row],[Site Name]],SiteDB6[[Site Name]:[Lat]],12,FALSE)</f>
        <v>20.675489425659201</v>
      </c>
      <c r="DP445" s="711">
        <f>VLOOKUP(WWWW[[#This Row],[Site Name]],SiteDB6[[Site Name]:[Long]],13,FALSE)</f>
        <v>92.916961669921903</v>
      </c>
      <c r="DQ445" s="711">
        <f>VLOOKUP(WWWW[[#This Row],[Site Name]],SiteDB6[[Site Name]:[Pcode]],3,FALSE)</f>
        <v>196923</v>
      </c>
      <c r="DR445" s="709" t="str">
        <f t="shared" si="14"/>
        <v>Covered</v>
      </c>
      <c r="DS445" s="709"/>
      <c r="DV445" s="572"/>
    </row>
    <row r="446" spans="1:126">
      <c r="A446" s="552" t="s">
        <v>2518</v>
      </c>
      <c r="B446" s="701" t="s">
        <v>3133</v>
      </c>
      <c r="C446" s="701" t="s">
        <v>3133</v>
      </c>
      <c r="D446" s="702"/>
      <c r="E446" s="703" t="s">
        <v>3006</v>
      </c>
      <c r="F446" s="702" t="s">
        <v>320</v>
      </c>
      <c r="G446" s="704" t="str">
        <f>VLOOKUP(WWWW[[#This Row],[Site Name]],SiteDB6[[Site Name]:[Location Type]],8,FALSE)</f>
        <v>New Temporary Site</v>
      </c>
      <c r="H446" s="702" t="s">
        <v>3130</v>
      </c>
      <c r="I446" s="705">
        <v>167</v>
      </c>
      <c r="J446" s="705">
        <v>586</v>
      </c>
      <c r="K446" s="706"/>
      <c r="L446" s="707"/>
      <c r="M446" s="705"/>
      <c r="N446" s="705"/>
      <c r="O446" s="705"/>
      <c r="P446" s="705"/>
      <c r="Q446" s="708"/>
      <c r="R446" s="705"/>
      <c r="S446" s="705"/>
      <c r="T446" s="312"/>
      <c r="U446" s="705"/>
      <c r="V446" s="705"/>
      <c r="W446" s="705"/>
      <c r="X446" s="705"/>
      <c r="Y446" s="705"/>
      <c r="Z446" s="705"/>
      <c r="AA446" s="705"/>
      <c r="AB446" s="705"/>
      <c r="AC446" s="705"/>
      <c r="AD446" s="705"/>
      <c r="AE446" s="705"/>
      <c r="AF446" s="705"/>
      <c r="AG446" s="705"/>
      <c r="AH446" s="705"/>
      <c r="AI446" s="705"/>
      <c r="AJ446" s="705"/>
      <c r="AK446" s="705"/>
      <c r="AL446" s="705"/>
      <c r="AM446" s="705"/>
      <c r="AN446" s="705"/>
      <c r="AO446" s="709"/>
      <c r="AP446" s="705">
        <v>31</v>
      </c>
      <c r="AQ446" s="705"/>
      <c r="AR446" s="710"/>
      <c r="AS446" s="705"/>
      <c r="AT446" s="705"/>
      <c r="AU446" s="705"/>
      <c r="AV446" s="705"/>
      <c r="AW446" s="705"/>
      <c r="AX446" s="711"/>
      <c r="AY446" s="709"/>
      <c r="AZ446" s="705"/>
      <c r="BA446" s="705"/>
      <c r="BB446" s="705"/>
      <c r="BC446" s="711"/>
      <c r="BD446" s="705"/>
      <c r="BE446" s="705"/>
      <c r="BF446" s="705"/>
      <c r="BG446" s="705"/>
      <c r="BH446" s="705"/>
      <c r="BI446" s="705"/>
      <c r="BJ446" s="705"/>
      <c r="BK446" s="705"/>
      <c r="BL446" s="705"/>
      <c r="BM446" s="711"/>
      <c r="BN446" s="712"/>
      <c r="BO446" s="710"/>
      <c r="BP446" s="711"/>
      <c r="BQ446" s="713" t="str">
        <f>IFERROR(WWWW[[#This Row],['#_Water sources treated]]/WWWW[[#This Row],['#_Water sources tested for contamination]],"no test")</f>
        <v>no test</v>
      </c>
      <c r="BR446" s="710" t="str">
        <f>IFERROR(WWWW[[#This Row],['#_Household received remediation action due to contamination]]/WWWW[[#This Row],['#_Household water samples tested for contamination]],"no test")</f>
        <v>no test</v>
      </c>
      <c r="BS446" s="712" t="str">
        <f>IF(AND(WWWW[[#This Row],[% of water sources treated]]="no test",WWWW[[#This Row],[% Household received corrective actions]]="no test"),"No Test","Tested")</f>
        <v>No Test</v>
      </c>
      <c r="BT446" s="712">
        <f>WWWW[[#This Row],['#_Constructed/existing protected hand dug well]]-WWWW[[#This Row],['#_Non-functional protected hand dug well]]</f>
        <v>0</v>
      </c>
      <c r="BU446" s="712">
        <f>(WWWW[[#This Row],['#_Constructed/Existing tube wells/boreholes/handpumps_WASH_agency]]+WWWW[[#This Row],['#_Non-Cluster partner water tube-wells/boreholes/handpumps]])-WWWW[[#This Row],['#_Non-functional tube wells/boreholes/handpumps]]</f>
        <v>0</v>
      </c>
      <c r="BV446" s="712">
        <f>WWWW[[#This Row],['#_Constructed/Existingwater storage tank with gravity fed reticulation system]]-WWWW[[#This Row],['#_Non-functional storage tank gravity fed reticulation system]]</f>
        <v>0</v>
      </c>
      <c r="BW446" s="712">
        <f>WWWW[[#This Row],['#_Water boating or water trucking]]</f>
        <v>0</v>
      </c>
      <c r="BX446" s="712">
        <f>WWWW[[#This Row],['#_Constructed/Existing water distribution system from river or natural spring]]</f>
        <v>0</v>
      </c>
      <c r="BY44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6" s="710">
        <f>IF(WWWW[[#This Row],[Location Type 1]]="Village",WWWW[[#This Row],[Access to safe drinking water for Village]],WWWW[[#This Row],[Access to safe drinking water for Camp]])</f>
        <v>0</v>
      </c>
      <c r="CB446" s="708">
        <f>WWWW[[#This Row],[%Equitable and continuous access to sufficient quantity of safe drinking water]]*WWWW[[#This Row],[Total PoP ]]</f>
        <v>0</v>
      </c>
      <c r="CC446" s="710">
        <f>IF((WWWW[[#This Row],['#_Constructed/Existing protected/fenced ponds]]*250)/WWWW[[#This Row],[Total PoP ]]&gt;1,1,(WWWW[[#This Row],['#_Constructed/Existing protected/fenced ponds]]*250)/WWWW[[#This Row],[Total PoP ]])</f>
        <v>0</v>
      </c>
      <c r="CD446" s="708">
        <f>WWWW[[#This Row],[% Access to unimproved water points]]*WWWW[[#This Row],[Total PoP ]]</f>
        <v>0</v>
      </c>
      <c r="CE44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6" s="708">
        <f>WWWW[[#This Row],[HRP1]]/500</f>
        <v>0</v>
      </c>
      <c r="CH446" s="714">
        <f>1-WWWW[[#This Row],[% Equitable and continuous access to sufficient quantity of domestic water]]</f>
        <v>1</v>
      </c>
      <c r="CI446" s="708">
        <f>WWWW[[#This Row],[%equitable and continuous access to sufficient quantity of safe drinking and domestic water''s GAP]]*WWWW[[#This Row],[Total PoP ]]</f>
        <v>586</v>
      </c>
      <c r="CJ446" s="712">
        <f>IF(WWWW[[#This Row],[Total required water points]]-WWWW[[#This Row],['#Water points coverage]]&lt;0,0,WWWW[[#This Row],[Total required water points]]-WWWW[[#This Row],['#Water points coverage]])</f>
        <v>1</v>
      </c>
      <c r="CK446" s="712">
        <f>ROUND(IF(WWWW[[#This Row],[Total PoP ]]&lt;500,1,WWWW[[#This Row],[Total PoP ]]/500),0)</f>
        <v>1</v>
      </c>
      <c r="CL446" s="712">
        <f>(WWWW[[#This Row],['#_Constructed latrines_by_WASHAgencies]]+WWWW[[#This Row],['#_Non Cluster partner latrines]])-WWWW[[#This Row],['#_Non-functional latrines]]</f>
        <v>31</v>
      </c>
      <c r="CM44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4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586</v>
      </c>
      <c r="CO44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6" s="712">
        <f>IF(WWWW[[#This Row],[Location Type 1]]="Village","NA",IF(WWWW[[#This Row],['#_Constructed/Existing latrines in TLS]]*50&gt;WWWW[[#This Row],['#_students at TLS_CFS]],WWWW[[#This Row],['#_students at TLS_CFS]],(WWWW[[#This Row],['#_Constructed/Existing latrines in TLS]]*50)))</f>
        <v>0</v>
      </c>
      <c r="CQ446" s="712">
        <f>ROUND(IF(WWWW[[#This Row],[Location Type 1]]="camp",WWWW[[#This Row],[Total PoP ]]/20,IF(WWWW[[#This Row],[Location Type 1]]="Temporary Location",WWWW[[#This Row],[Total PoP ]]/50,(WWWW[[#This Row],[Total PoP ]]/6))),0)</f>
        <v>12</v>
      </c>
      <c r="CR446" s="712">
        <f>IF(WWWW[[#This Row],[Total required Latrines]]-(WWWW[[#This Row],['#_Constructed latrines_by_WASHAgencies]]+WWWW[[#This Row],['#_Non Cluster partner latrines]])&lt;0,0,WWWW[[#This Row],[Total required Latrines]]-(WWWW[[#This Row],['#_Constructed latrines_by_WASHAgencies]]+WWWW[[#This Row],['#_Non Cluster partner latrines]]))</f>
        <v>0</v>
      </c>
      <c r="CS446" s="716">
        <f>1-WWWW[[#This Row],[% people access to functioning Latrine]]</f>
        <v>0</v>
      </c>
      <c r="CT446" s="713">
        <f>IF(OR(WWWW[[#This Row],['#_Non-functional latrines]]="",WWWW[[#This Row],['#_Non-functional latrines]]=0),0,WWWW[[#This Row],['#_Non-functional latrines]]/(WWWW[[#This Row],['#_Constructed latrines_by_WASHAgencies]]+WWWW[[#This Row],['#_Non Cluster partner latrines]]))</f>
        <v>0</v>
      </c>
      <c r="CU446" s="708">
        <f>IF(500*(WWWW[[#This Row],['#_male hygiene promoters]]+WWWW[[#This Row],['#_female hygiene promoters]])&gt;WWWW[[#This Row],[Total PoP ]],WWWW[[#This Row],[Total PoP ]],500*(WWWW[[#This Row],['#_male hygiene promoters]]+WWWW[[#This Row],['#_female hygiene promoters]]))</f>
        <v>0</v>
      </c>
      <c r="CV44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6" s="712">
        <f>IF(WWWW[[#This Row],['# People with access to soap]]&gt;WWWW[[#This Row],['# People with access to Sanity Pads]],WWWW[[#This Row],['# People with access to soap]],WWWW[[#This Row],['# People with access to Sanity Pads]])</f>
        <v>0</v>
      </c>
      <c r="CY44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6" s="714">
        <f>IF(WWWW[[#This Row],[HRP3]]/WWWW[[#This Row],[Total PoP ]]&gt;100%,100%,WWWW[[#This Row],[HRP3]]/WWWW[[#This Row],[Total PoP ]])</f>
        <v>0</v>
      </c>
      <c r="DA446" s="713">
        <f>1-WWWW[[#This Row],[Hygiene Coverage%]]</f>
        <v>1</v>
      </c>
      <c r="DB446" s="710">
        <f>WWWW[[#This Row],['# people reached by regular dedicated hygiene promotion_5]]/WWWW[[#This Row],[Total PoP ]]</f>
        <v>0</v>
      </c>
      <c r="DC446" s="710">
        <f>IF(WWWW[[#This Row],['#_households that received standard amount of soap for this quarter]]/WWWW[[#This Row],[Total HH]]&gt;1,1,WWWW[[#This Row],['#_households that received standard amount of soap for this quarter]]/WWWW[[#This Row],[Total HH]])</f>
        <v>0</v>
      </c>
      <c r="DD446" s="710">
        <f>IF(WWWW[[#This Row],['#_households that received standard amount of sanitary pads for this quarter]]/WWWW[[#This Row],[Total HH]]&gt;1,1,WWWW[[#This Row],['#_households that received standard amount of sanitary pads for this quarter]]/WWWW[[#This Row],[Total HH]])</f>
        <v>0</v>
      </c>
      <c r="DE446" s="712">
        <f>WWWW[[#This Row],['#_Constructed/Existing hand washing stations]]-WWWW[[#This Row],['#_Non-Functional_hand_washing_stations]]</f>
        <v>0</v>
      </c>
      <c r="DF446" s="757">
        <f>IF(WWWW[[#This Row],['# Functional hand washing stations during reporting period]]*20&gt;WWWW[[#This Row],[Total HH]],WWWW[[#This Row],[Total HH]],WWWW[[#This Row],['# Functional hand washing stations during reporting period]]*20)</f>
        <v>0</v>
      </c>
      <c r="DG446" s="708">
        <f>IF(WWWW[[#This Row],[Is sufficient soap available for TLS? (Yes/No)]]="yes",WWWW[[#This Row],['#_Constructed/Existing hand washing stations at TLS]],0)</f>
        <v>0</v>
      </c>
      <c r="DH446" s="585">
        <f>IF(WWWW[[#This Row],['# Functional hand washing stations during reporting period]]*100&gt;WWWW[[#This Row],[Total PoP ]],WWWW[[#This Row],[Total PoP ]],WWWW[[#This Row],['# Functional hand washing stations during reporting period]]*100)</f>
        <v>0</v>
      </c>
      <c r="DI446" s="585" t="str">
        <f>IF(OR(WWWW[[#This Row],['#_students at TLS_CFS]]="",WWWW[[#This Row],['#_students at TLS_CFS]]=0),"No","Yes")</f>
        <v>No</v>
      </c>
      <c r="DJ446" s="711">
        <f>VLOOKUP(WWWW[[#This Row],[Site Name]],SiteDB6[[Site Name]:[CCCM Management]],6,FALSE)</f>
        <v>0</v>
      </c>
      <c r="DK446" s="711">
        <f>VLOOKUP(WWWW[[#This Row],[Site Name]],SiteDB6[[Site Name]:[CCCM Focal Agency]],7,FALSE)</f>
        <v>0</v>
      </c>
      <c r="DL446" s="711" t="str">
        <f>VLOOKUP(WWWW[[#This Row],[Site Name]],SiteDB6[[Site Name]:[Location Type 1]],9,FALSE)</f>
        <v>Temporary location</v>
      </c>
      <c r="DM446" s="711" t="str">
        <f>VLOOKUP(WWWW[[#This Row],[Site Name]],SiteDB6[[Site Name]:[Type of Accommodation]],10,FALSE)</f>
        <v>Temporary location</v>
      </c>
      <c r="DN446" s="711">
        <f>VLOOKUP(WWWW[[#This Row],[Site Name]],SiteDB6[[Site Name]:[Ethnic or GCA/NGCA]],11,FALSE)</f>
        <v>0</v>
      </c>
      <c r="DO446" s="711">
        <f>VLOOKUP(WWWW[[#This Row],[Site Name]],SiteDB6[[Site Name]:[Lat]],12,FALSE)</f>
        <v>20.680830001831101</v>
      </c>
      <c r="DP446" s="711">
        <f>VLOOKUP(WWWW[[#This Row],[Site Name]],SiteDB6[[Site Name]:[Long]],13,FALSE)</f>
        <v>92.917633056640597</v>
      </c>
      <c r="DQ446" s="711">
        <f>VLOOKUP(WWWW[[#This Row],[Site Name]],SiteDB6[[Site Name]:[Pcode]],3,FALSE)</f>
        <v>196906</v>
      </c>
      <c r="DR446" s="709" t="str">
        <f t="shared" si="14"/>
        <v>Covered</v>
      </c>
      <c r="DS446" s="709"/>
      <c r="DV446" s="572"/>
    </row>
    <row r="447" spans="1:126">
      <c r="A447" s="552" t="s">
        <v>2518</v>
      </c>
      <c r="B447" s="701" t="s">
        <v>3133</v>
      </c>
      <c r="C447" s="701" t="s">
        <v>3133</v>
      </c>
      <c r="D447" s="702"/>
      <c r="E447" s="703" t="s">
        <v>3006</v>
      </c>
      <c r="F447" s="702" t="s">
        <v>320</v>
      </c>
      <c r="G447" s="704" t="str">
        <f>VLOOKUP(WWWW[[#This Row],[Site Name]],SiteDB6[[Site Name]:[Location Type]],8,FALSE)</f>
        <v>New Temporary Site</v>
      </c>
      <c r="H447" s="702" t="s">
        <v>3131</v>
      </c>
      <c r="I447" s="705">
        <v>138</v>
      </c>
      <c r="J447" s="705">
        <v>637</v>
      </c>
      <c r="K447" s="706"/>
      <c r="L447" s="707"/>
      <c r="M447" s="705"/>
      <c r="N447" s="705"/>
      <c r="O447" s="705"/>
      <c r="P447" s="705"/>
      <c r="Q447" s="708"/>
      <c r="R447" s="705"/>
      <c r="S447" s="705"/>
      <c r="T447" s="312"/>
      <c r="U447" s="705"/>
      <c r="V447" s="705"/>
      <c r="W447" s="705"/>
      <c r="X447" s="705"/>
      <c r="Y447" s="705"/>
      <c r="Z447" s="705"/>
      <c r="AA447" s="705"/>
      <c r="AB447" s="705"/>
      <c r="AC447" s="705"/>
      <c r="AD447" s="705"/>
      <c r="AE447" s="705"/>
      <c r="AF447" s="705"/>
      <c r="AG447" s="705"/>
      <c r="AH447" s="705"/>
      <c r="AI447" s="705"/>
      <c r="AJ447" s="705"/>
      <c r="AK447" s="705"/>
      <c r="AL447" s="705"/>
      <c r="AM447" s="705"/>
      <c r="AN447" s="705"/>
      <c r="AO447" s="709"/>
      <c r="AP447" s="705">
        <v>32</v>
      </c>
      <c r="AQ447" s="705"/>
      <c r="AR447" s="710"/>
      <c r="AS447" s="705"/>
      <c r="AT447" s="705"/>
      <c r="AU447" s="705"/>
      <c r="AV447" s="705"/>
      <c r="AW447" s="705"/>
      <c r="AX447" s="711"/>
      <c r="AY447" s="709"/>
      <c r="AZ447" s="705"/>
      <c r="BA447" s="705"/>
      <c r="BB447" s="705"/>
      <c r="BC447" s="711"/>
      <c r="BD447" s="705"/>
      <c r="BE447" s="705"/>
      <c r="BF447" s="705"/>
      <c r="BG447" s="705"/>
      <c r="BH447" s="705"/>
      <c r="BI447" s="705"/>
      <c r="BJ447" s="705"/>
      <c r="BK447" s="705"/>
      <c r="BL447" s="705"/>
      <c r="BM447" s="711"/>
      <c r="BN447" s="712"/>
      <c r="BO447" s="710"/>
      <c r="BP447" s="711"/>
      <c r="BQ447" s="713" t="str">
        <f>IFERROR(WWWW[[#This Row],['#_Water sources treated]]/WWWW[[#This Row],['#_Water sources tested for contamination]],"no test")</f>
        <v>no test</v>
      </c>
      <c r="BR447" s="710" t="str">
        <f>IFERROR(WWWW[[#This Row],['#_Household received remediation action due to contamination]]/WWWW[[#This Row],['#_Household water samples tested for contamination]],"no test")</f>
        <v>no test</v>
      </c>
      <c r="BS447" s="712" t="str">
        <f>IF(AND(WWWW[[#This Row],[% of water sources treated]]="no test",WWWW[[#This Row],[% Household received corrective actions]]="no test"),"No Test","Tested")</f>
        <v>No Test</v>
      </c>
      <c r="BT447" s="712">
        <f>WWWW[[#This Row],['#_Constructed/existing protected hand dug well]]-WWWW[[#This Row],['#_Non-functional protected hand dug well]]</f>
        <v>0</v>
      </c>
      <c r="BU447" s="712">
        <f>(WWWW[[#This Row],['#_Constructed/Existing tube wells/boreholes/handpumps_WASH_agency]]+WWWW[[#This Row],['#_Non-Cluster partner water tube-wells/boreholes/handpumps]])-WWWW[[#This Row],['#_Non-functional tube wells/boreholes/handpumps]]</f>
        <v>0</v>
      </c>
      <c r="BV447" s="712">
        <f>WWWW[[#This Row],['#_Constructed/Existingwater storage tank with gravity fed reticulation system]]-WWWW[[#This Row],['#_Non-functional storage tank gravity fed reticulation system]]</f>
        <v>0</v>
      </c>
      <c r="BW447" s="712">
        <f>WWWW[[#This Row],['#_Water boating or water trucking]]</f>
        <v>0</v>
      </c>
      <c r="BX447" s="712">
        <f>WWWW[[#This Row],['#_Constructed/Existing water distribution system from river or natural spring]]</f>
        <v>0</v>
      </c>
      <c r="BY44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7" s="710">
        <f>IF(WWWW[[#This Row],[Location Type 1]]="Village",WWWW[[#This Row],[Access to safe drinking water for Village]],WWWW[[#This Row],[Access to safe drinking water for Camp]])</f>
        <v>0</v>
      </c>
      <c r="CB447" s="708">
        <f>WWWW[[#This Row],[%Equitable and continuous access to sufficient quantity of safe drinking water]]*WWWW[[#This Row],[Total PoP ]]</f>
        <v>0</v>
      </c>
      <c r="CC447" s="710">
        <f>IF((WWWW[[#This Row],['#_Constructed/Existing protected/fenced ponds]]*250)/WWWW[[#This Row],[Total PoP ]]&gt;1,1,(WWWW[[#This Row],['#_Constructed/Existing protected/fenced ponds]]*250)/WWWW[[#This Row],[Total PoP ]])</f>
        <v>0</v>
      </c>
      <c r="CD447" s="708">
        <f>WWWW[[#This Row],[% Access to unimproved water points]]*WWWW[[#This Row],[Total PoP ]]</f>
        <v>0</v>
      </c>
      <c r="CE44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7" s="708">
        <f>WWWW[[#This Row],[HRP1]]/500</f>
        <v>0</v>
      </c>
      <c r="CH447" s="714">
        <f>1-WWWW[[#This Row],[% Equitable and continuous access to sufficient quantity of domestic water]]</f>
        <v>1</v>
      </c>
      <c r="CI447" s="708">
        <f>WWWW[[#This Row],[%equitable and continuous access to sufficient quantity of safe drinking and domestic water''s GAP]]*WWWW[[#This Row],[Total PoP ]]</f>
        <v>637</v>
      </c>
      <c r="CJ447" s="712">
        <f>IF(WWWW[[#This Row],[Total required water points]]-WWWW[[#This Row],['#Water points coverage]]&lt;0,0,WWWW[[#This Row],[Total required water points]]-WWWW[[#This Row],['#Water points coverage]])</f>
        <v>1</v>
      </c>
      <c r="CK447" s="712">
        <f>ROUND(IF(WWWW[[#This Row],[Total PoP ]]&lt;500,1,WWWW[[#This Row],[Total PoP ]]/500),0)</f>
        <v>1</v>
      </c>
      <c r="CL447" s="712">
        <f>(WWWW[[#This Row],['#_Constructed latrines_by_WASHAgencies]]+WWWW[[#This Row],['#_Non Cluster partner latrines]])-WWWW[[#This Row],['#_Non-functional latrines]]</f>
        <v>32</v>
      </c>
      <c r="CM44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4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637</v>
      </c>
      <c r="CO44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7" s="712">
        <f>IF(WWWW[[#This Row],[Location Type 1]]="Village","NA",IF(WWWW[[#This Row],['#_Constructed/Existing latrines in TLS]]*50&gt;WWWW[[#This Row],['#_students at TLS_CFS]],WWWW[[#This Row],['#_students at TLS_CFS]],(WWWW[[#This Row],['#_Constructed/Existing latrines in TLS]]*50)))</f>
        <v>0</v>
      </c>
      <c r="CQ447" s="712">
        <f>ROUND(IF(WWWW[[#This Row],[Location Type 1]]="camp",WWWW[[#This Row],[Total PoP ]]/20,IF(WWWW[[#This Row],[Location Type 1]]="Temporary Location",WWWW[[#This Row],[Total PoP ]]/50,(WWWW[[#This Row],[Total PoP ]]/6))),0)</f>
        <v>13</v>
      </c>
      <c r="CR447" s="712">
        <f>IF(WWWW[[#This Row],[Total required Latrines]]-(WWWW[[#This Row],['#_Constructed latrines_by_WASHAgencies]]+WWWW[[#This Row],['#_Non Cluster partner latrines]])&lt;0,0,WWWW[[#This Row],[Total required Latrines]]-(WWWW[[#This Row],['#_Constructed latrines_by_WASHAgencies]]+WWWW[[#This Row],['#_Non Cluster partner latrines]]))</f>
        <v>0</v>
      </c>
      <c r="CS447" s="716">
        <f>1-WWWW[[#This Row],[% people access to functioning Latrine]]</f>
        <v>0</v>
      </c>
      <c r="CT447" s="713">
        <f>IF(OR(WWWW[[#This Row],['#_Non-functional latrines]]="",WWWW[[#This Row],['#_Non-functional latrines]]=0),0,WWWW[[#This Row],['#_Non-functional latrines]]/(WWWW[[#This Row],['#_Constructed latrines_by_WASHAgencies]]+WWWW[[#This Row],['#_Non Cluster partner latrines]]))</f>
        <v>0</v>
      </c>
      <c r="CU447" s="708">
        <f>IF(500*(WWWW[[#This Row],['#_male hygiene promoters]]+WWWW[[#This Row],['#_female hygiene promoters]])&gt;WWWW[[#This Row],[Total PoP ]],WWWW[[#This Row],[Total PoP ]],500*(WWWW[[#This Row],['#_male hygiene promoters]]+WWWW[[#This Row],['#_female hygiene promoters]]))</f>
        <v>0</v>
      </c>
      <c r="CV44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7" s="712">
        <f>IF(WWWW[[#This Row],['# People with access to soap]]&gt;WWWW[[#This Row],['# People with access to Sanity Pads]],WWWW[[#This Row],['# People with access to soap]],WWWW[[#This Row],['# People with access to Sanity Pads]])</f>
        <v>0</v>
      </c>
      <c r="CY44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7" s="714">
        <f>IF(WWWW[[#This Row],[HRP3]]/WWWW[[#This Row],[Total PoP ]]&gt;100%,100%,WWWW[[#This Row],[HRP3]]/WWWW[[#This Row],[Total PoP ]])</f>
        <v>0</v>
      </c>
      <c r="DA447" s="713">
        <f>1-WWWW[[#This Row],[Hygiene Coverage%]]</f>
        <v>1</v>
      </c>
      <c r="DB447" s="710">
        <f>WWWW[[#This Row],['# people reached by regular dedicated hygiene promotion_5]]/WWWW[[#This Row],[Total PoP ]]</f>
        <v>0</v>
      </c>
      <c r="DC447" s="710">
        <f>IF(WWWW[[#This Row],['#_households that received standard amount of soap for this quarter]]/WWWW[[#This Row],[Total HH]]&gt;1,1,WWWW[[#This Row],['#_households that received standard amount of soap for this quarter]]/WWWW[[#This Row],[Total HH]])</f>
        <v>0</v>
      </c>
      <c r="DD447" s="710">
        <f>IF(WWWW[[#This Row],['#_households that received standard amount of sanitary pads for this quarter]]/WWWW[[#This Row],[Total HH]]&gt;1,1,WWWW[[#This Row],['#_households that received standard amount of sanitary pads for this quarter]]/WWWW[[#This Row],[Total HH]])</f>
        <v>0</v>
      </c>
      <c r="DE447" s="712">
        <f>WWWW[[#This Row],['#_Constructed/Existing hand washing stations]]-WWWW[[#This Row],['#_Non-Functional_hand_washing_stations]]</f>
        <v>0</v>
      </c>
      <c r="DF447" s="757">
        <f>IF(WWWW[[#This Row],['# Functional hand washing stations during reporting period]]*20&gt;WWWW[[#This Row],[Total HH]],WWWW[[#This Row],[Total HH]],WWWW[[#This Row],['# Functional hand washing stations during reporting period]]*20)</f>
        <v>0</v>
      </c>
      <c r="DG447" s="708">
        <f>IF(WWWW[[#This Row],[Is sufficient soap available for TLS? (Yes/No)]]="yes",WWWW[[#This Row],['#_Constructed/Existing hand washing stations at TLS]],0)</f>
        <v>0</v>
      </c>
      <c r="DH447" s="585">
        <f>IF(WWWW[[#This Row],['# Functional hand washing stations during reporting period]]*100&gt;WWWW[[#This Row],[Total PoP ]],WWWW[[#This Row],[Total PoP ]],WWWW[[#This Row],['# Functional hand washing stations during reporting period]]*100)</f>
        <v>0</v>
      </c>
      <c r="DI447" s="585" t="str">
        <f>IF(OR(WWWW[[#This Row],['#_students at TLS_CFS]]="",WWWW[[#This Row],['#_students at TLS_CFS]]=0),"No","Yes")</f>
        <v>No</v>
      </c>
      <c r="DJ447" s="711">
        <f>VLOOKUP(WWWW[[#This Row],[Site Name]],SiteDB6[[Site Name]:[CCCM Management]],6,FALSE)</f>
        <v>0</v>
      </c>
      <c r="DK447" s="711">
        <f>VLOOKUP(WWWW[[#This Row],[Site Name]],SiteDB6[[Site Name]:[CCCM Focal Agency]],7,FALSE)</f>
        <v>0</v>
      </c>
      <c r="DL447" s="711" t="str">
        <f>VLOOKUP(WWWW[[#This Row],[Site Name]],SiteDB6[[Site Name]:[Location Type 1]],9,FALSE)</f>
        <v>Temporary location</v>
      </c>
      <c r="DM447" s="711" t="str">
        <f>VLOOKUP(WWWW[[#This Row],[Site Name]],SiteDB6[[Site Name]:[Type of Accommodation]],10,FALSE)</f>
        <v>Temporary location</v>
      </c>
      <c r="DN447" s="711">
        <f>VLOOKUP(WWWW[[#This Row],[Site Name]],SiteDB6[[Site Name]:[Ethnic or GCA/NGCA]],11,FALSE)</f>
        <v>0</v>
      </c>
      <c r="DO447" s="711">
        <f>VLOOKUP(WWWW[[#This Row],[Site Name]],SiteDB6[[Site Name]:[Lat]],12,FALSE)</f>
        <v>20.674160003662099</v>
      </c>
      <c r="DP447" s="711">
        <f>VLOOKUP(WWWW[[#This Row],[Site Name]],SiteDB6[[Site Name]:[Long]],13,FALSE)</f>
        <v>92.9078369140625</v>
      </c>
      <c r="DQ447" s="711">
        <f>VLOOKUP(WWWW[[#This Row],[Site Name]],SiteDB6[[Site Name]:[Pcode]],3,FALSE)</f>
        <v>196911</v>
      </c>
      <c r="DR447" s="709" t="str">
        <f t="shared" si="14"/>
        <v>Covered</v>
      </c>
      <c r="DS447" s="709"/>
      <c r="DV447" s="572"/>
    </row>
    <row r="448" spans="1:126">
      <c r="A448" s="552" t="s">
        <v>2518</v>
      </c>
      <c r="B448" s="808" t="s">
        <v>317</v>
      </c>
      <c r="C448" s="808" t="s">
        <v>317</v>
      </c>
      <c r="D448" s="702"/>
      <c r="E448" s="703" t="s">
        <v>3006</v>
      </c>
      <c r="F448" s="702" t="s">
        <v>320</v>
      </c>
      <c r="G448" s="704" t="str">
        <f>VLOOKUP(WWWW[[#This Row],[Site Name]],SiteDB6[[Site Name]:[Location Type]],8,FALSE)</f>
        <v>New Temporary Site</v>
      </c>
      <c r="H448" s="702" t="s">
        <v>3172</v>
      </c>
      <c r="I448" s="705">
        <v>3</v>
      </c>
      <c r="J448" s="705">
        <v>16</v>
      </c>
      <c r="K448" s="706"/>
      <c r="L448" s="707"/>
      <c r="M448" s="705"/>
      <c r="N448" s="705"/>
      <c r="O448" s="705"/>
      <c r="P448" s="705"/>
      <c r="Q448" s="708"/>
      <c r="R448" s="705"/>
      <c r="S448" s="705"/>
      <c r="T448" s="312"/>
      <c r="U448" s="705"/>
      <c r="V448" s="705"/>
      <c r="W448" s="705"/>
      <c r="X448" s="705"/>
      <c r="Y448" s="705"/>
      <c r="Z448" s="705"/>
      <c r="AA448" s="705"/>
      <c r="AB448" s="705"/>
      <c r="AC448" s="705"/>
      <c r="AD448" s="705"/>
      <c r="AE448" s="705"/>
      <c r="AF448" s="705"/>
      <c r="AG448" s="705"/>
      <c r="AH448" s="705"/>
      <c r="AI448" s="705"/>
      <c r="AJ448" s="705"/>
      <c r="AK448" s="705"/>
      <c r="AL448" s="705"/>
      <c r="AM448" s="705"/>
      <c r="AN448" s="705"/>
      <c r="AO448" s="709"/>
      <c r="AP448" s="705"/>
      <c r="AQ448" s="705"/>
      <c r="AR448" s="710"/>
      <c r="AS448" s="705"/>
      <c r="AT448" s="705"/>
      <c r="AU448" s="705"/>
      <c r="AV448" s="705"/>
      <c r="AW448" s="705"/>
      <c r="AX448" s="711"/>
      <c r="AY448" s="709"/>
      <c r="AZ448" s="705"/>
      <c r="BA448" s="705"/>
      <c r="BB448" s="705"/>
      <c r="BC448" s="711"/>
      <c r="BD448" s="705"/>
      <c r="BE448" s="705"/>
      <c r="BF448" s="705"/>
      <c r="BG448" s="705"/>
      <c r="BH448" s="705"/>
      <c r="BI448" s="705"/>
      <c r="BJ448" s="705"/>
      <c r="BK448" s="705"/>
      <c r="BL448" s="705"/>
      <c r="BM448" s="711"/>
      <c r="BN448" s="712"/>
      <c r="BO448" s="710"/>
      <c r="BP448" s="711"/>
      <c r="BQ448" s="713" t="str">
        <f>IFERROR(WWWW[[#This Row],['#_Water sources treated]]/WWWW[[#This Row],['#_Water sources tested for contamination]],"no test")</f>
        <v>no test</v>
      </c>
      <c r="BR448" s="710" t="str">
        <f>IFERROR(WWWW[[#This Row],['#_Household received remediation action due to contamination]]/WWWW[[#This Row],['#_Household water samples tested for contamination]],"no test")</f>
        <v>no test</v>
      </c>
      <c r="BS448" s="712" t="str">
        <f>IF(AND(WWWW[[#This Row],[% of water sources treated]]="no test",WWWW[[#This Row],[% Household received corrective actions]]="no test"),"No Test","Tested")</f>
        <v>No Test</v>
      </c>
      <c r="BT448" s="712">
        <f>WWWW[[#This Row],['#_Constructed/existing protected hand dug well]]-WWWW[[#This Row],['#_Non-functional protected hand dug well]]</f>
        <v>0</v>
      </c>
      <c r="BU448" s="712">
        <f>(WWWW[[#This Row],['#_Constructed/Existing tube wells/boreholes/handpumps_WASH_agency]]+WWWW[[#This Row],['#_Non-Cluster partner water tube-wells/boreholes/handpumps]])-WWWW[[#This Row],['#_Non-functional tube wells/boreholes/handpumps]]</f>
        <v>0</v>
      </c>
      <c r="BV448" s="712">
        <f>WWWW[[#This Row],['#_Constructed/Existingwater storage tank with gravity fed reticulation system]]-WWWW[[#This Row],['#_Non-functional storage tank gravity fed reticulation system]]</f>
        <v>0</v>
      </c>
      <c r="BW448" s="712">
        <f>WWWW[[#This Row],['#_Water boating or water trucking]]</f>
        <v>0</v>
      </c>
      <c r="BX448" s="712">
        <f>WWWW[[#This Row],['#_Constructed/Existing water distribution system from river or natural spring]]</f>
        <v>0</v>
      </c>
      <c r="BY44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8" s="710">
        <f>IF(WWWW[[#This Row],[Location Type 1]]="Village",WWWW[[#This Row],[Access to safe drinking water for Village]],WWWW[[#This Row],[Access to safe drinking water for Camp]])</f>
        <v>0</v>
      </c>
      <c r="CB448" s="708">
        <f>WWWW[[#This Row],[%Equitable and continuous access to sufficient quantity of safe drinking water]]*WWWW[[#This Row],[Total PoP ]]</f>
        <v>0</v>
      </c>
      <c r="CC448" s="710">
        <f>IF((WWWW[[#This Row],['#_Constructed/Existing protected/fenced ponds]]*250)/WWWW[[#This Row],[Total PoP ]]&gt;1,1,(WWWW[[#This Row],['#_Constructed/Existing protected/fenced ponds]]*250)/WWWW[[#This Row],[Total PoP ]])</f>
        <v>0</v>
      </c>
      <c r="CD448" s="708">
        <f>WWWW[[#This Row],[% Access to unimproved water points]]*WWWW[[#This Row],[Total PoP ]]</f>
        <v>0</v>
      </c>
      <c r="CE44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8" s="708">
        <f>WWWW[[#This Row],[HRP1]]/500</f>
        <v>0</v>
      </c>
      <c r="CH448" s="714">
        <f>1-WWWW[[#This Row],[% Equitable and continuous access to sufficient quantity of domestic water]]</f>
        <v>1</v>
      </c>
      <c r="CI448" s="708">
        <f>WWWW[[#This Row],[%equitable and continuous access to sufficient quantity of safe drinking and domestic water''s GAP]]*WWWW[[#This Row],[Total PoP ]]</f>
        <v>16</v>
      </c>
      <c r="CJ448" s="712">
        <f>IF(WWWW[[#This Row],[Total required water points]]-WWWW[[#This Row],['#Water points coverage]]&lt;0,0,WWWW[[#This Row],[Total required water points]]-WWWW[[#This Row],['#Water points coverage]])</f>
        <v>1</v>
      </c>
      <c r="CK448" s="712">
        <f>ROUND(IF(WWWW[[#This Row],[Total PoP ]]&lt;500,1,WWWW[[#This Row],[Total PoP ]]/500),0)</f>
        <v>1</v>
      </c>
      <c r="CL448" s="712">
        <f>(WWWW[[#This Row],['#_Constructed latrines_by_WASHAgencies]]+WWWW[[#This Row],['#_Non Cluster partner latrines]])-WWWW[[#This Row],['#_Non-functional latrines]]</f>
        <v>0</v>
      </c>
      <c r="CM44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8" s="712">
        <f>IF(WWWW[[#This Row],[Location Type 1]]="Village","NA",IF(WWWW[[#This Row],['#_Constructed/Existing latrines in TLS]]*50&gt;WWWW[[#This Row],['#_students at TLS_CFS]],WWWW[[#This Row],['#_students at TLS_CFS]],(WWWW[[#This Row],['#_Constructed/Existing latrines in TLS]]*50)))</f>
        <v>0</v>
      </c>
      <c r="CQ448" s="712">
        <f>ROUND(IF(WWWW[[#This Row],[Location Type 1]]="camp",WWWW[[#This Row],[Total PoP ]]/20,IF(WWWW[[#This Row],[Location Type 1]]="Temporary Location",WWWW[[#This Row],[Total PoP ]]/50,(WWWW[[#This Row],[Total PoP ]]/6))),0)</f>
        <v>0</v>
      </c>
      <c r="CR448" s="712">
        <f>IF(WWWW[[#This Row],[Total required Latrines]]-(WWWW[[#This Row],['#_Constructed latrines_by_WASHAgencies]]+WWWW[[#This Row],['#_Non Cluster partner latrines]])&lt;0,0,WWWW[[#This Row],[Total required Latrines]]-(WWWW[[#This Row],['#_Constructed latrines_by_WASHAgencies]]+WWWW[[#This Row],['#_Non Cluster partner latrines]]))</f>
        <v>0</v>
      </c>
      <c r="CS448" s="716">
        <f>1-WWWW[[#This Row],[% people access to functioning Latrine]]</f>
        <v>1</v>
      </c>
      <c r="CT448" s="713">
        <f>IF(OR(WWWW[[#This Row],['#_Non-functional latrines]]="",WWWW[[#This Row],['#_Non-functional latrines]]=0),0,WWWW[[#This Row],['#_Non-functional latrines]]/(WWWW[[#This Row],['#_Constructed latrines_by_WASHAgencies]]+WWWW[[#This Row],['#_Non Cluster partner latrines]]))</f>
        <v>0</v>
      </c>
      <c r="CU448" s="708">
        <f>IF(500*(WWWW[[#This Row],['#_male hygiene promoters]]+WWWW[[#This Row],['#_female hygiene promoters]])&gt;WWWW[[#This Row],[Total PoP ]],WWWW[[#This Row],[Total PoP ]],500*(WWWW[[#This Row],['#_male hygiene promoters]]+WWWW[[#This Row],['#_female hygiene promoters]]))</f>
        <v>0</v>
      </c>
      <c r="CV44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8" s="712">
        <f>IF(WWWW[[#This Row],['# People with access to soap]]&gt;WWWW[[#This Row],['# People with access to Sanity Pads]],WWWW[[#This Row],['# People with access to soap]],WWWW[[#This Row],['# People with access to Sanity Pads]])</f>
        <v>0</v>
      </c>
      <c r="CY44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8" s="714">
        <f>IF(WWWW[[#This Row],[HRP3]]/WWWW[[#This Row],[Total PoP ]]&gt;100%,100%,WWWW[[#This Row],[HRP3]]/WWWW[[#This Row],[Total PoP ]])</f>
        <v>0</v>
      </c>
      <c r="DA448" s="713">
        <f>1-WWWW[[#This Row],[Hygiene Coverage%]]</f>
        <v>1</v>
      </c>
      <c r="DB448" s="710">
        <f>WWWW[[#This Row],['# people reached by regular dedicated hygiene promotion_5]]/WWWW[[#This Row],[Total PoP ]]</f>
        <v>0</v>
      </c>
      <c r="DC448" s="710">
        <f>IF(WWWW[[#This Row],['#_households that received standard amount of soap for this quarter]]/WWWW[[#This Row],[Total HH]]&gt;1,1,WWWW[[#This Row],['#_households that received standard amount of soap for this quarter]]/WWWW[[#This Row],[Total HH]])</f>
        <v>0</v>
      </c>
      <c r="DD448" s="710">
        <f>IF(WWWW[[#This Row],['#_households that received standard amount of sanitary pads for this quarter]]/WWWW[[#This Row],[Total HH]]&gt;1,1,WWWW[[#This Row],['#_households that received standard amount of sanitary pads for this quarter]]/WWWW[[#This Row],[Total HH]])</f>
        <v>0</v>
      </c>
      <c r="DE448" s="712">
        <f>WWWW[[#This Row],['#_Constructed/Existing hand washing stations]]-WWWW[[#This Row],['#_Non-Functional_hand_washing_stations]]</f>
        <v>0</v>
      </c>
      <c r="DF448" s="757">
        <f>IF(WWWW[[#This Row],['# Functional hand washing stations during reporting period]]*20&gt;WWWW[[#This Row],[Total HH]],WWWW[[#This Row],[Total HH]],WWWW[[#This Row],['# Functional hand washing stations during reporting period]]*20)</f>
        <v>0</v>
      </c>
      <c r="DG448" s="708">
        <f>IF(WWWW[[#This Row],[Is sufficient soap available for TLS? (Yes/No)]]="yes",WWWW[[#This Row],['#_Constructed/Existing hand washing stations at TLS]],0)</f>
        <v>0</v>
      </c>
      <c r="DH448" s="585">
        <f>IF(WWWW[[#This Row],['# Functional hand washing stations during reporting period]]*100&gt;WWWW[[#This Row],[Total PoP ]],WWWW[[#This Row],[Total PoP ]],WWWW[[#This Row],['# Functional hand washing stations during reporting period]]*100)</f>
        <v>0</v>
      </c>
      <c r="DI448" s="585" t="str">
        <f>IF(OR(WWWW[[#This Row],['#_students at TLS_CFS]]="",WWWW[[#This Row],['#_students at TLS_CFS]]=0),"No","Yes")</f>
        <v>No</v>
      </c>
      <c r="DJ448" s="711">
        <f>VLOOKUP(WWWW[[#This Row],[Site Name]],SiteDB6[[Site Name]:[CCCM Management]],6,FALSE)</f>
        <v>0</v>
      </c>
      <c r="DK448" s="711">
        <f>VLOOKUP(WWWW[[#This Row],[Site Name]],SiteDB6[[Site Name]:[CCCM Focal Agency]],7,FALSE)</f>
        <v>0</v>
      </c>
      <c r="DL448" s="711" t="str">
        <f>VLOOKUP(WWWW[[#This Row],[Site Name]],SiteDB6[[Site Name]:[Location Type 1]],9,FALSE)</f>
        <v>Temporary location</v>
      </c>
      <c r="DM448" s="711" t="str">
        <f>VLOOKUP(WWWW[[#This Row],[Site Name]],SiteDB6[[Site Name]:[Type of Accommodation]],10,FALSE)</f>
        <v>Temporary location</v>
      </c>
      <c r="DN448" s="711">
        <f>VLOOKUP(WWWW[[#This Row],[Site Name]],SiteDB6[[Site Name]:[Ethnic or GCA/NGCA]],11,FALSE)</f>
        <v>0</v>
      </c>
      <c r="DO448" s="711">
        <f>VLOOKUP(WWWW[[#This Row],[Site Name]],SiteDB6[[Site Name]:[Lat]],12,FALSE)</f>
        <v>0</v>
      </c>
      <c r="DP448" s="711">
        <f>VLOOKUP(WWWW[[#This Row],[Site Name]],SiteDB6[[Site Name]:[Long]],13,FALSE)</f>
        <v>0</v>
      </c>
      <c r="DQ448" s="711">
        <f>VLOOKUP(WWWW[[#This Row],[Site Name]],SiteDB6[[Site Name]:[Pcode]],3,FALSE)</f>
        <v>0</v>
      </c>
      <c r="DR448" s="709" t="str">
        <f t="shared" si="14"/>
        <v>Notcovered</v>
      </c>
      <c r="DS448" s="709"/>
      <c r="DV448" s="572"/>
    </row>
    <row r="449" spans="1:126">
      <c r="A449" s="552" t="s">
        <v>2518</v>
      </c>
      <c r="B449" s="808" t="s">
        <v>317</v>
      </c>
      <c r="C449" s="808" t="s">
        <v>317</v>
      </c>
      <c r="D449" s="702"/>
      <c r="E449" s="703" t="s">
        <v>3006</v>
      </c>
      <c r="F449" s="702" t="s">
        <v>320</v>
      </c>
      <c r="G449" s="704" t="str">
        <f>VLOOKUP(WWWW[[#This Row],[Site Name]],SiteDB6[[Site Name]:[Location Type]],8,FALSE)</f>
        <v>New Temporary Site</v>
      </c>
      <c r="H449" s="702" t="s">
        <v>3173</v>
      </c>
      <c r="I449" s="705">
        <v>28</v>
      </c>
      <c r="J449" s="705">
        <v>116</v>
      </c>
      <c r="K449" s="706"/>
      <c r="L449" s="707"/>
      <c r="M449" s="705"/>
      <c r="N449" s="705"/>
      <c r="O449" s="705"/>
      <c r="P449" s="705"/>
      <c r="Q449" s="708"/>
      <c r="R449" s="705"/>
      <c r="S449" s="705"/>
      <c r="T449" s="312"/>
      <c r="U449" s="705"/>
      <c r="V449" s="705"/>
      <c r="W449" s="705"/>
      <c r="X449" s="705"/>
      <c r="Y449" s="705"/>
      <c r="Z449" s="705"/>
      <c r="AA449" s="705"/>
      <c r="AB449" s="705"/>
      <c r="AC449" s="705"/>
      <c r="AD449" s="705"/>
      <c r="AE449" s="705"/>
      <c r="AF449" s="705"/>
      <c r="AG449" s="705"/>
      <c r="AH449" s="705"/>
      <c r="AI449" s="705"/>
      <c r="AJ449" s="705"/>
      <c r="AK449" s="705"/>
      <c r="AL449" s="705"/>
      <c r="AM449" s="705"/>
      <c r="AN449" s="705"/>
      <c r="AO449" s="709"/>
      <c r="AP449" s="705"/>
      <c r="AQ449" s="705"/>
      <c r="AR449" s="710"/>
      <c r="AS449" s="705"/>
      <c r="AT449" s="705"/>
      <c r="AU449" s="705"/>
      <c r="AV449" s="705"/>
      <c r="AW449" s="705"/>
      <c r="AX449" s="711"/>
      <c r="AY449" s="709"/>
      <c r="AZ449" s="705"/>
      <c r="BA449" s="705"/>
      <c r="BB449" s="705"/>
      <c r="BC449" s="711"/>
      <c r="BD449" s="705"/>
      <c r="BE449" s="705"/>
      <c r="BF449" s="705"/>
      <c r="BG449" s="705"/>
      <c r="BH449" s="705"/>
      <c r="BI449" s="705"/>
      <c r="BJ449" s="705"/>
      <c r="BK449" s="705"/>
      <c r="BL449" s="705"/>
      <c r="BM449" s="711"/>
      <c r="BN449" s="712"/>
      <c r="BO449" s="710"/>
      <c r="BP449" s="711"/>
      <c r="BQ449" s="713" t="str">
        <f>IFERROR(WWWW[[#This Row],['#_Water sources treated]]/WWWW[[#This Row],['#_Water sources tested for contamination]],"no test")</f>
        <v>no test</v>
      </c>
      <c r="BR449" s="710" t="str">
        <f>IFERROR(WWWW[[#This Row],['#_Household received remediation action due to contamination]]/WWWW[[#This Row],['#_Household water samples tested for contamination]],"no test")</f>
        <v>no test</v>
      </c>
      <c r="BS449" s="712" t="str">
        <f>IF(AND(WWWW[[#This Row],[% of water sources treated]]="no test",WWWW[[#This Row],[% Household received corrective actions]]="no test"),"No Test","Tested")</f>
        <v>No Test</v>
      </c>
      <c r="BT449" s="712">
        <f>WWWW[[#This Row],['#_Constructed/existing protected hand dug well]]-WWWW[[#This Row],['#_Non-functional protected hand dug well]]</f>
        <v>0</v>
      </c>
      <c r="BU449" s="712">
        <f>(WWWW[[#This Row],['#_Constructed/Existing tube wells/boreholes/handpumps_WASH_agency]]+WWWW[[#This Row],['#_Non-Cluster partner water tube-wells/boreholes/handpumps]])-WWWW[[#This Row],['#_Non-functional tube wells/boreholes/handpumps]]</f>
        <v>0</v>
      </c>
      <c r="BV449" s="712">
        <f>WWWW[[#This Row],['#_Constructed/Existingwater storage tank with gravity fed reticulation system]]-WWWW[[#This Row],['#_Non-functional storage tank gravity fed reticulation system]]</f>
        <v>0</v>
      </c>
      <c r="BW449" s="712">
        <f>WWWW[[#This Row],['#_Water boating or water trucking]]</f>
        <v>0</v>
      </c>
      <c r="BX449" s="712">
        <f>WWWW[[#This Row],['#_Constructed/Existing water distribution system from river or natural spring]]</f>
        <v>0</v>
      </c>
      <c r="BY44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4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49" s="710">
        <f>IF(WWWW[[#This Row],[Location Type 1]]="Village",WWWW[[#This Row],[Access to safe drinking water for Village]],WWWW[[#This Row],[Access to safe drinking water for Camp]])</f>
        <v>0</v>
      </c>
      <c r="CB449" s="708">
        <f>WWWW[[#This Row],[%Equitable and continuous access to sufficient quantity of safe drinking water]]*WWWW[[#This Row],[Total PoP ]]</f>
        <v>0</v>
      </c>
      <c r="CC449" s="710">
        <f>IF((WWWW[[#This Row],['#_Constructed/Existing protected/fenced ponds]]*250)/WWWW[[#This Row],[Total PoP ]]&gt;1,1,(WWWW[[#This Row],['#_Constructed/Existing protected/fenced ponds]]*250)/WWWW[[#This Row],[Total PoP ]])</f>
        <v>0</v>
      </c>
      <c r="CD449" s="708">
        <f>WWWW[[#This Row],[% Access to unimproved water points]]*WWWW[[#This Row],[Total PoP ]]</f>
        <v>0</v>
      </c>
      <c r="CE44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4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49" s="708">
        <f>WWWW[[#This Row],[HRP1]]/500</f>
        <v>0</v>
      </c>
      <c r="CH449" s="714">
        <f>1-WWWW[[#This Row],[% Equitable and continuous access to sufficient quantity of domestic water]]</f>
        <v>1</v>
      </c>
      <c r="CI449" s="708">
        <f>WWWW[[#This Row],[%equitable and continuous access to sufficient quantity of safe drinking and domestic water''s GAP]]*WWWW[[#This Row],[Total PoP ]]</f>
        <v>116</v>
      </c>
      <c r="CJ449" s="712">
        <f>IF(WWWW[[#This Row],[Total required water points]]-WWWW[[#This Row],['#Water points coverage]]&lt;0,0,WWWW[[#This Row],[Total required water points]]-WWWW[[#This Row],['#Water points coverage]])</f>
        <v>1</v>
      </c>
      <c r="CK449" s="712">
        <f>ROUND(IF(WWWW[[#This Row],[Total PoP ]]&lt;500,1,WWWW[[#This Row],[Total PoP ]]/500),0)</f>
        <v>1</v>
      </c>
      <c r="CL449" s="712">
        <f>(WWWW[[#This Row],['#_Constructed latrines_by_WASHAgencies]]+WWWW[[#This Row],['#_Non Cluster partner latrines]])-WWWW[[#This Row],['#_Non-functional latrines]]</f>
        <v>0</v>
      </c>
      <c r="CM44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4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4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49" s="712">
        <f>IF(WWWW[[#This Row],[Location Type 1]]="Village","NA",IF(WWWW[[#This Row],['#_Constructed/Existing latrines in TLS]]*50&gt;WWWW[[#This Row],['#_students at TLS_CFS]],WWWW[[#This Row],['#_students at TLS_CFS]],(WWWW[[#This Row],['#_Constructed/Existing latrines in TLS]]*50)))</f>
        <v>0</v>
      </c>
      <c r="CQ449" s="712">
        <f>ROUND(IF(WWWW[[#This Row],[Location Type 1]]="camp",WWWW[[#This Row],[Total PoP ]]/20,IF(WWWW[[#This Row],[Location Type 1]]="Temporary Location",WWWW[[#This Row],[Total PoP ]]/50,(WWWW[[#This Row],[Total PoP ]]/6))),0)</f>
        <v>2</v>
      </c>
      <c r="CR449" s="712">
        <f>IF(WWWW[[#This Row],[Total required Latrines]]-(WWWW[[#This Row],['#_Constructed latrines_by_WASHAgencies]]+WWWW[[#This Row],['#_Non Cluster partner latrines]])&lt;0,0,WWWW[[#This Row],[Total required Latrines]]-(WWWW[[#This Row],['#_Constructed latrines_by_WASHAgencies]]+WWWW[[#This Row],['#_Non Cluster partner latrines]]))</f>
        <v>2</v>
      </c>
      <c r="CS449" s="716">
        <f>1-WWWW[[#This Row],[% people access to functioning Latrine]]</f>
        <v>1</v>
      </c>
      <c r="CT449" s="713">
        <f>IF(OR(WWWW[[#This Row],['#_Non-functional latrines]]="",WWWW[[#This Row],['#_Non-functional latrines]]=0),0,WWWW[[#This Row],['#_Non-functional latrines]]/(WWWW[[#This Row],['#_Constructed latrines_by_WASHAgencies]]+WWWW[[#This Row],['#_Non Cluster partner latrines]]))</f>
        <v>0</v>
      </c>
      <c r="CU449" s="708">
        <f>IF(500*(WWWW[[#This Row],['#_male hygiene promoters]]+WWWW[[#This Row],['#_female hygiene promoters]])&gt;WWWW[[#This Row],[Total PoP ]],WWWW[[#This Row],[Total PoP ]],500*(WWWW[[#This Row],['#_male hygiene promoters]]+WWWW[[#This Row],['#_female hygiene promoters]]))</f>
        <v>0</v>
      </c>
      <c r="CV44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4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49" s="712">
        <f>IF(WWWW[[#This Row],['# People with access to soap]]&gt;WWWW[[#This Row],['# People with access to Sanity Pads]],WWWW[[#This Row],['# People with access to soap]],WWWW[[#This Row],['# People with access to Sanity Pads]])</f>
        <v>0</v>
      </c>
      <c r="CY44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49" s="714">
        <f>IF(WWWW[[#This Row],[HRP3]]/WWWW[[#This Row],[Total PoP ]]&gt;100%,100%,WWWW[[#This Row],[HRP3]]/WWWW[[#This Row],[Total PoP ]])</f>
        <v>0</v>
      </c>
      <c r="DA449" s="713">
        <f>1-WWWW[[#This Row],[Hygiene Coverage%]]</f>
        <v>1</v>
      </c>
      <c r="DB449" s="710">
        <f>WWWW[[#This Row],['# people reached by regular dedicated hygiene promotion_5]]/WWWW[[#This Row],[Total PoP ]]</f>
        <v>0</v>
      </c>
      <c r="DC449" s="710">
        <f>IF(WWWW[[#This Row],['#_households that received standard amount of soap for this quarter]]/WWWW[[#This Row],[Total HH]]&gt;1,1,WWWW[[#This Row],['#_households that received standard amount of soap for this quarter]]/WWWW[[#This Row],[Total HH]])</f>
        <v>0</v>
      </c>
      <c r="DD449" s="710">
        <f>IF(WWWW[[#This Row],['#_households that received standard amount of sanitary pads for this quarter]]/WWWW[[#This Row],[Total HH]]&gt;1,1,WWWW[[#This Row],['#_households that received standard amount of sanitary pads for this quarter]]/WWWW[[#This Row],[Total HH]])</f>
        <v>0</v>
      </c>
      <c r="DE449" s="712">
        <f>WWWW[[#This Row],['#_Constructed/Existing hand washing stations]]-WWWW[[#This Row],['#_Non-Functional_hand_washing_stations]]</f>
        <v>0</v>
      </c>
      <c r="DF449" s="757">
        <f>IF(WWWW[[#This Row],['# Functional hand washing stations during reporting period]]*20&gt;WWWW[[#This Row],[Total HH]],WWWW[[#This Row],[Total HH]],WWWW[[#This Row],['# Functional hand washing stations during reporting period]]*20)</f>
        <v>0</v>
      </c>
      <c r="DG449" s="708">
        <f>IF(WWWW[[#This Row],[Is sufficient soap available for TLS? (Yes/No)]]="yes",WWWW[[#This Row],['#_Constructed/Existing hand washing stations at TLS]],0)</f>
        <v>0</v>
      </c>
      <c r="DH449" s="585">
        <f>IF(WWWW[[#This Row],['# Functional hand washing stations during reporting period]]*100&gt;WWWW[[#This Row],[Total PoP ]],WWWW[[#This Row],[Total PoP ]],WWWW[[#This Row],['# Functional hand washing stations during reporting period]]*100)</f>
        <v>0</v>
      </c>
      <c r="DI449" s="585" t="str">
        <f>IF(OR(WWWW[[#This Row],['#_students at TLS_CFS]]="",WWWW[[#This Row],['#_students at TLS_CFS]]=0),"No","Yes")</f>
        <v>No</v>
      </c>
      <c r="DJ449" s="711">
        <f>VLOOKUP(WWWW[[#This Row],[Site Name]],SiteDB6[[Site Name]:[CCCM Management]],6,FALSE)</f>
        <v>0</v>
      </c>
      <c r="DK449" s="711">
        <f>VLOOKUP(WWWW[[#This Row],[Site Name]],SiteDB6[[Site Name]:[CCCM Focal Agency]],7,FALSE)</f>
        <v>0</v>
      </c>
      <c r="DL449" s="711" t="str">
        <f>VLOOKUP(WWWW[[#This Row],[Site Name]],SiteDB6[[Site Name]:[Location Type 1]],9,FALSE)</f>
        <v>Temporary location</v>
      </c>
      <c r="DM449" s="711" t="str">
        <f>VLOOKUP(WWWW[[#This Row],[Site Name]],SiteDB6[[Site Name]:[Type of Accommodation]],10,FALSE)</f>
        <v>Temporary location</v>
      </c>
      <c r="DN449" s="711">
        <f>VLOOKUP(WWWW[[#This Row],[Site Name]],SiteDB6[[Site Name]:[Ethnic or GCA/NGCA]],11,FALSE)</f>
        <v>0</v>
      </c>
      <c r="DO449" s="711">
        <f>VLOOKUP(WWWW[[#This Row],[Site Name]],SiteDB6[[Site Name]:[Lat]],12,FALSE)</f>
        <v>20.705930710000001</v>
      </c>
      <c r="DP449" s="711">
        <f>VLOOKUP(WWWW[[#This Row],[Site Name]],SiteDB6[[Site Name]:[Long]],13,FALSE)</f>
        <v>93.001953130000004</v>
      </c>
      <c r="DQ449" s="711">
        <f>VLOOKUP(WWWW[[#This Row],[Site Name]],SiteDB6[[Site Name]:[Pcode]],3,FALSE)</f>
        <v>196943</v>
      </c>
      <c r="DR449" s="709" t="str">
        <f t="shared" si="14"/>
        <v>Notcovered</v>
      </c>
      <c r="DS449" s="709"/>
      <c r="DV449" s="572"/>
    </row>
    <row r="450" spans="1:126">
      <c r="A450" s="552" t="s">
        <v>2518</v>
      </c>
      <c r="B450" s="808" t="s">
        <v>317</v>
      </c>
      <c r="C450" s="808" t="s">
        <v>317</v>
      </c>
      <c r="D450" s="702"/>
      <c r="E450" s="703" t="s">
        <v>3006</v>
      </c>
      <c r="F450" s="702" t="s">
        <v>320</v>
      </c>
      <c r="G450" s="704" t="str">
        <f>VLOOKUP(WWWW[[#This Row],[Site Name]],SiteDB6[[Site Name]:[Location Type]],8,FALSE)</f>
        <v>New Temporary Site</v>
      </c>
      <c r="H450" s="702" t="s">
        <v>3174</v>
      </c>
      <c r="I450" s="705">
        <v>34</v>
      </c>
      <c r="J450" s="705">
        <v>137</v>
      </c>
      <c r="K450" s="706"/>
      <c r="L450" s="707"/>
      <c r="M450" s="705"/>
      <c r="N450" s="705"/>
      <c r="O450" s="705"/>
      <c r="P450" s="705"/>
      <c r="Q450" s="708"/>
      <c r="R450" s="705"/>
      <c r="S450" s="705"/>
      <c r="T450" s="312"/>
      <c r="U450" s="705"/>
      <c r="V450" s="705"/>
      <c r="W450" s="705"/>
      <c r="X450" s="705"/>
      <c r="Y450" s="705"/>
      <c r="Z450" s="705"/>
      <c r="AA450" s="705"/>
      <c r="AB450" s="705"/>
      <c r="AC450" s="705"/>
      <c r="AD450" s="705"/>
      <c r="AE450" s="705"/>
      <c r="AF450" s="705"/>
      <c r="AG450" s="705"/>
      <c r="AH450" s="705"/>
      <c r="AI450" s="705"/>
      <c r="AJ450" s="705"/>
      <c r="AK450" s="705"/>
      <c r="AL450" s="705"/>
      <c r="AM450" s="705"/>
      <c r="AN450" s="705"/>
      <c r="AO450" s="709"/>
      <c r="AP450" s="705"/>
      <c r="AQ450" s="705"/>
      <c r="AR450" s="710"/>
      <c r="AS450" s="705"/>
      <c r="AT450" s="705"/>
      <c r="AU450" s="705"/>
      <c r="AV450" s="705"/>
      <c r="AW450" s="705"/>
      <c r="AX450" s="711"/>
      <c r="AY450" s="709"/>
      <c r="AZ450" s="705"/>
      <c r="BA450" s="705"/>
      <c r="BB450" s="705"/>
      <c r="BC450" s="711"/>
      <c r="BD450" s="705"/>
      <c r="BE450" s="705"/>
      <c r="BF450" s="705"/>
      <c r="BG450" s="705"/>
      <c r="BH450" s="705"/>
      <c r="BI450" s="705"/>
      <c r="BJ450" s="705"/>
      <c r="BK450" s="705"/>
      <c r="BL450" s="705"/>
      <c r="BM450" s="711"/>
      <c r="BN450" s="712"/>
      <c r="BO450" s="710"/>
      <c r="BP450" s="711"/>
      <c r="BQ450" s="713" t="str">
        <f>IFERROR(WWWW[[#This Row],['#_Water sources treated]]/WWWW[[#This Row],['#_Water sources tested for contamination]],"no test")</f>
        <v>no test</v>
      </c>
      <c r="BR450" s="710" t="str">
        <f>IFERROR(WWWW[[#This Row],['#_Household received remediation action due to contamination]]/WWWW[[#This Row],['#_Household water samples tested for contamination]],"no test")</f>
        <v>no test</v>
      </c>
      <c r="BS450" s="712" t="str">
        <f>IF(AND(WWWW[[#This Row],[% of water sources treated]]="no test",WWWW[[#This Row],[% Household received corrective actions]]="no test"),"No Test","Tested")</f>
        <v>No Test</v>
      </c>
      <c r="BT450" s="712">
        <f>WWWW[[#This Row],['#_Constructed/existing protected hand dug well]]-WWWW[[#This Row],['#_Non-functional protected hand dug well]]</f>
        <v>0</v>
      </c>
      <c r="BU450" s="712">
        <f>(WWWW[[#This Row],['#_Constructed/Existing tube wells/boreholes/handpumps_WASH_agency]]+WWWW[[#This Row],['#_Non-Cluster partner water tube-wells/boreholes/handpumps]])-WWWW[[#This Row],['#_Non-functional tube wells/boreholes/handpumps]]</f>
        <v>0</v>
      </c>
      <c r="BV450" s="712">
        <f>WWWW[[#This Row],['#_Constructed/Existingwater storage tank with gravity fed reticulation system]]-WWWW[[#This Row],['#_Non-functional storage tank gravity fed reticulation system]]</f>
        <v>0</v>
      </c>
      <c r="BW450" s="712">
        <f>WWWW[[#This Row],['#_Water boating or water trucking]]</f>
        <v>0</v>
      </c>
      <c r="BX450" s="712">
        <f>WWWW[[#This Row],['#_Constructed/Existing water distribution system from river or natural spring]]</f>
        <v>0</v>
      </c>
      <c r="BY45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0" s="710">
        <f>IF(WWWW[[#This Row],[Location Type 1]]="Village",WWWW[[#This Row],[Access to safe drinking water for Village]],WWWW[[#This Row],[Access to safe drinking water for Camp]])</f>
        <v>0</v>
      </c>
      <c r="CB450" s="708">
        <f>WWWW[[#This Row],[%Equitable and continuous access to sufficient quantity of safe drinking water]]*WWWW[[#This Row],[Total PoP ]]</f>
        <v>0</v>
      </c>
      <c r="CC450" s="710">
        <f>IF((WWWW[[#This Row],['#_Constructed/Existing protected/fenced ponds]]*250)/WWWW[[#This Row],[Total PoP ]]&gt;1,1,(WWWW[[#This Row],['#_Constructed/Existing protected/fenced ponds]]*250)/WWWW[[#This Row],[Total PoP ]])</f>
        <v>0</v>
      </c>
      <c r="CD450" s="708">
        <f>WWWW[[#This Row],[% Access to unimproved water points]]*WWWW[[#This Row],[Total PoP ]]</f>
        <v>0</v>
      </c>
      <c r="CE45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0" s="708">
        <f>WWWW[[#This Row],[HRP1]]/500</f>
        <v>0</v>
      </c>
      <c r="CH450" s="714">
        <f>1-WWWW[[#This Row],[% Equitable and continuous access to sufficient quantity of domestic water]]</f>
        <v>1</v>
      </c>
      <c r="CI450" s="708">
        <f>WWWW[[#This Row],[%equitable and continuous access to sufficient quantity of safe drinking and domestic water''s GAP]]*WWWW[[#This Row],[Total PoP ]]</f>
        <v>137</v>
      </c>
      <c r="CJ450" s="712">
        <f>IF(WWWW[[#This Row],[Total required water points]]-WWWW[[#This Row],['#Water points coverage]]&lt;0,0,WWWW[[#This Row],[Total required water points]]-WWWW[[#This Row],['#Water points coverage]])</f>
        <v>1</v>
      </c>
      <c r="CK450" s="712">
        <f>ROUND(IF(WWWW[[#This Row],[Total PoP ]]&lt;500,1,WWWW[[#This Row],[Total PoP ]]/500),0)</f>
        <v>1</v>
      </c>
      <c r="CL450" s="712">
        <f>(WWWW[[#This Row],['#_Constructed latrines_by_WASHAgencies]]+WWWW[[#This Row],['#_Non Cluster partner latrines]])-WWWW[[#This Row],['#_Non-functional latrines]]</f>
        <v>0</v>
      </c>
      <c r="CM45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0" s="712">
        <f>IF(WWWW[[#This Row],[Location Type 1]]="Village","NA",IF(WWWW[[#This Row],['#_Constructed/Existing latrines in TLS]]*50&gt;WWWW[[#This Row],['#_students at TLS_CFS]],WWWW[[#This Row],['#_students at TLS_CFS]],(WWWW[[#This Row],['#_Constructed/Existing latrines in TLS]]*50)))</f>
        <v>0</v>
      </c>
      <c r="CQ450" s="712">
        <f>ROUND(IF(WWWW[[#This Row],[Location Type 1]]="camp",WWWW[[#This Row],[Total PoP ]]/20,IF(WWWW[[#This Row],[Location Type 1]]="Temporary Location",WWWW[[#This Row],[Total PoP ]]/50,(WWWW[[#This Row],[Total PoP ]]/6))),0)</f>
        <v>3</v>
      </c>
      <c r="CR450" s="712">
        <f>IF(WWWW[[#This Row],[Total required Latrines]]-(WWWW[[#This Row],['#_Constructed latrines_by_WASHAgencies]]+WWWW[[#This Row],['#_Non Cluster partner latrines]])&lt;0,0,WWWW[[#This Row],[Total required Latrines]]-(WWWW[[#This Row],['#_Constructed latrines_by_WASHAgencies]]+WWWW[[#This Row],['#_Non Cluster partner latrines]]))</f>
        <v>3</v>
      </c>
      <c r="CS450" s="716">
        <f>1-WWWW[[#This Row],[% people access to functioning Latrine]]</f>
        <v>1</v>
      </c>
      <c r="CT450" s="713">
        <f>IF(OR(WWWW[[#This Row],['#_Non-functional latrines]]="",WWWW[[#This Row],['#_Non-functional latrines]]=0),0,WWWW[[#This Row],['#_Non-functional latrines]]/(WWWW[[#This Row],['#_Constructed latrines_by_WASHAgencies]]+WWWW[[#This Row],['#_Non Cluster partner latrines]]))</f>
        <v>0</v>
      </c>
      <c r="CU450" s="708">
        <f>IF(500*(WWWW[[#This Row],['#_male hygiene promoters]]+WWWW[[#This Row],['#_female hygiene promoters]])&gt;WWWW[[#This Row],[Total PoP ]],WWWW[[#This Row],[Total PoP ]],500*(WWWW[[#This Row],['#_male hygiene promoters]]+WWWW[[#This Row],['#_female hygiene promoters]]))</f>
        <v>0</v>
      </c>
      <c r="CV45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0" s="712">
        <f>IF(WWWW[[#This Row],['# People with access to soap]]&gt;WWWW[[#This Row],['# People with access to Sanity Pads]],WWWW[[#This Row],['# People with access to soap]],WWWW[[#This Row],['# People with access to Sanity Pads]])</f>
        <v>0</v>
      </c>
      <c r="CY45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0" s="714">
        <f>IF(WWWW[[#This Row],[HRP3]]/WWWW[[#This Row],[Total PoP ]]&gt;100%,100%,WWWW[[#This Row],[HRP3]]/WWWW[[#This Row],[Total PoP ]])</f>
        <v>0</v>
      </c>
      <c r="DA450" s="713">
        <f>1-WWWW[[#This Row],[Hygiene Coverage%]]</f>
        <v>1</v>
      </c>
      <c r="DB450" s="710">
        <f>WWWW[[#This Row],['# people reached by regular dedicated hygiene promotion_5]]/WWWW[[#This Row],[Total PoP ]]</f>
        <v>0</v>
      </c>
      <c r="DC450" s="710">
        <f>IF(WWWW[[#This Row],['#_households that received standard amount of soap for this quarter]]/WWWW[[#This Row],[Total HH]]&gt;1,1,WWWW[[#This Row],['#_households that received standard amount of soap for this quarter]]/WWWW[[#This Row],[Total HH]])</f>
        <v>0</v>
      </c>
      <c r="DD450" s="710">
        <f>IF(WWWW[[#This Row],['#_households that received standard amount of sanitary pads for this quarter]]/WWWW[[#This Row],[Total HH]]&gt;1,1,WWWW[[#This Row],['#_households that received standard amount of sanitary pads for this quarter]]/WWWW[[#This Row],[Total HH]])</f>
        <v>0</v>
      </c>
      <c r="DE450" s="712">
        <f>WWWW[[#This Row],['#_Constructed/Existing hand washing stations]]-WWWW[[#This Row],['#_Non-Functional_hand_washing_stations]]</f>
        <v>0</v>
      </c>
      <c r="DF450" s="757">
        <f>IF(WWWW[[#This Row],['# Functional hand washing stations during reporting period]]*20&gt;WWWW[[#This Row],[Total HH]],WWWW[[#This Row],[Total HH]],WWWW[[#This Row],['# Functional hand washing stations during reporting period]]*20)</f>
        <v>0</v>
      </c>
      <c r="DG450" s="708">
        <f>IF(WWWW[[#This Row],[Is sufficient soap available for TLS? (Yes/No)]]="yes",WWWW[[#This Row],['#_Constructed/Existing hand washing stations at TLS]],0)</f>
        <v>0</v>
      </c>
      <c r="DH450" s="585">
        <f>IF(WWWW[[#This Row],['# Functional hand washing stations during reporting period]]*100&gt;WWWW[[#This Row],[Total PoP ]],WWWW[[#This Row],[Total PoP ]],WWWW[[#This Row],['# Functional hand washing stations during reporting period]]*100)</f>
        <v>0</v>
      </c>
      <c r="DI450" s="585" t="str">
        <f>IF(OR(WWWW[[#This Row],['#_students at TLS_CFS]]="",WWWW[[#This Row],['#_students at TLS_CFS]]=0),"No","Yes")</f>
        <v>No</v>
      </c>
      <c r="DJ450" s="711">
        <f>VLOOKUP(WWWW[[#This Row],[Site Name]],SiteDB6[[Site Name]:[CCCM Management]],6,FALSE)</f>
        <v>0</v>
      </c>
      <c r="DK450" s="711">
        <f>VLOOKUP(WWWW[[#This Row],[Site Name]],SiteDB6[[Site Name]:[CCCM Focal Agency]],7,FALSE)</f>
        <v>0</v>
      </c>
      <c r="DL450" s="711" t="str">
        <f>VLOOKUP(WWWW[[#This Row],[Site Name]],SiteDB6[[Site Name]:[Location Type 1]],9,FALSE)</f>
        <v>Temporary location</v>
      </c>
      <c r="DM450" s="711" t="str">
        <f>VLOOKUP(WWWW[[#This Row],[Site Name]],SiteDB6[[Site Name]:[Type of Accommodation]],10,FALSE)</f>
        <v>Temporary location</v>
      </c>
      <c r="DN450" s="711">
        <f>VLOOKUP(WWWW[[#This Row],[Site Name]],SiteDB6[[Site Name]:[Ethnic or GCA/NGCA]],11,FALSE)</f>
        <v>0</v>
      </c>
      <c r="DO450" s="711">
        <f>VLOOKUP(WWWW[[#This Row],[Site Name]],SiteDB6[[Site Name]:[Lat]],12,FALSE)</f>
        <v>0</v>
      </c>
      <c r="DP450" s="711">
        <f>VLOOKUP(WWWW[[#This Row],[Site Name]],SiteDB6[[Site Name]:[Long]],13,FALSE)</f>
        <v>0</v>
      </c>
      <c r="DQ450" s="711" t="str">
        <f>VLOOKUP(WWWW[[#This Row],[Site Name]],SiteDB6[[Site Name]:[Pcode]],3,FALSE)</f>
        <v>MMR012004701502</v>
      </c>
      <c r="DR450" s="709" t="str">
        <f t="shared" si="14"/>
        <v>Notcovered</v>
      </c>
      <c r="DS450" s="709"/>
      <c r="DV450" s="572"/>
    </row>
    <row r="451" spans="1:126">
      <c r="A451" s="552" t="s">
        <v>2518</v>
      </c>
      <c r="B451" s="808" t="s">
        <v>317</v>
      </c>
      <c r="C451" s="808" t="s">
        <v>317</v>
      </c>
      <c r="D451" s="702"/>
      <c r="E451" s="703" t="s">
        <v>3006</v>
      </c>
      <c r="F451" s="702" t="s">
        <v>320</v>
      </c>
      <c r="G451" s="704" t="str">
        <f>VLOOKUP(WWWW[[#This Row],[Site Name]],SiteDB6[[Site Name]:[Location Type]],8,FALSE)</f>
        <v>New Temporary Site</v>
      </c>
      <c r="H451" s="702" t="s">
        <v>3175</v>
      </c>
      <c r="I451" s="705">
        <v>49</v>
      </c>
      <c r="J451" s="705">
        <v>148</v>
      </c>
      <c r="K451" s="706"/>
      <c r="L451" s="707"/>
      <c r="M451" s="705"/>
      <c r="N451" s="705"/>
      <c r="O451" s="705"/>
      <c r="P451" s="705"/>
      <c r="Q451" s="708"/>
      <c r="R451" s="705"/>
      <c r="S451" s="705"/>
      <c r="T451" s="312"/>
      <c r="U451" s="705"/>
      <c r="V451" s="705"/>
      <c r="W451" s="705"/>
      <c r="X451" s="705"/>
      <c r="Y451" s="705"/>
      <c r="Z451" s="705"/>
      <c r="AA451" s="705"/>
      <c r="AB451" s="705"/>
      <c r="AC451" s="705"/>
      <c r="AD451" s="705"/>
      <c r="AE451" s="705"/>
      <c r="AF451" s="705"/>
      <c r="AG451" s="705"/>
      <c r="AH451" s="705"/>
      <c r="AI451" s="705"/>
      <c r="AJ451" s="705"/>
      <c r="AK451" s="705"/>
      <c r="AL451" s="705"/>
      <c r="AM451" s="705"/>
      <c r="AN451" s="705"/>
      <c r="AO451" s="709"/>
      <c r="AP451" s="705"/>
      <c r="AQ451" s="705"/>
      <c r="AR451" s="710"/>
      <c r="AS451" s="705"/>
      <c r="AT451" s="705"/>
      <c r="AU451" s="705"/>
      <c r="AV451" s="705"/>
      <c r="AW451" s="705"/>
      <c r="AX451" s="711"/>
      <c r="AY451" s="709"/>
      <c r="AZ451" s="705"/>
      <c r="BA451" s="705"/>
      <c r="BB451" s="705"/>
      <c r="BC451" s="711"/>
      <c r="BD451" s="705"/>
      <c r="BE451" s="705"/>
      <c r="BF451" s="705"/>
      <c r="BG451" s="705"/>
      <c r="BH451" s="705"/>
      <c r="BI451" s="705"/>
      <c r="BJ451" s="705"/>
      <c r="BK451" s="705"/>
      <c r="BL451" s="705"/>
      <c r="BM451" s="711"/>
      <c r="BN451" s="712"/>
      <c r="BO451" s="710"/>
      <c r="BP451" s="711"/>
      <c r="BQ451" s="713" t="str">
        <f>IFERROR(WWWW[[#This Row],['#_Water sources treated]]/WWWW[[#This Row],['#_Water sources tested for contamination]],"no test")</f>
        <v>no test</v>
      </c>
      <c r="BR451" s="710" t="str">
        <f>IFERROR(WWWW[[#This Row],['#_Household received remediation action due to contamination]]/WWWW[[#This Row],['#_Household water samples tested for contamination]],"no test")</f>
        <v>no test</v>
      </c>
      <c r="BS451" s="712" t="str">
        <f>IF(AND(WWWW[[#This Row],[% of water sources treated]]="no test",WWWW[[#This Row],[% Household received corrective actions]]="no test"),"No Test","Tested")</f>
        <v>No Test</v>
      </c>
      <c r="BT451" s="712">
        <f>WWWW[[#This Row],['#_Constructed/existing protected hand dug well]]-WWWW[[#This Row],['#_Non-functional protected hand dug well]]</f>
        <v>0</v>
      </c>
      <c r="BU451" s="712">
        <f>(WWWW[[#This Row],['#_Constructed/Existing tube wells/boreholes/handpumps_WASH_agency]]+WWWW[[#This Row],['#_Non-Cluster partner water tube-wells/boreholes/handpumps]])-WWWW[[#This Row],['#_Non-functional tube wells/boreholes/handpumps]]</f>
        <v>0</v>
      </c>
      <c r="BV451" s="712">
        <f>WWWW[[#This Row],['#_Constructed/Existingwater storage tank with gravity fed reticulation system]]-WWWW[[#This Row],['#_Non-functional storage tank gravity fed reticulation system]]</f>
        <v>0</v>
      </c>
      <c r="BW451" s="712">
        <f>WWWW[[#This Row],['#_Water boating or water trucking]]</f>
        <v>0</v>
      </c>
      <c r="BX451" s="712">
        <f>WWWW[[#This Row],['#_Constructed/Existing water distribution system from river or natural spring]]</f>
        <v>0</v>
      </c>
      <c r="BY45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1" s="710">
        <f>IF(WWWW[[#This Row],[Location Type 1]]="Village",WWWW[[#This Row],[Access to safe drinking water for Village]],WWWW[[#This Row],[Access to safe drinking water for Camp]])</f>
        <v>0</v>
      </c>
      <c r="CB451" s="708">
        <f>WWWW[[#This Row],[%Equitable and continuous access to sufficient quantity of safe drinking water]]*WWWW[[#This Row],[Total PoP ]]</f>
        <v>0</v>
      </c>
      <c r="CC451" s="710">
        <f>IF((WWWW[[#This Row],['#_Constructed/Existing protected/fenced ponds]]*250)/WWWW[[#This Row],[Total PoP ]]&gt;1,1,(WWWW[[#This Row],['#_Constructed/Existing protected/fenced ponds]]*250)/WWWW[[#This Row],[Total PoP ]])</f>
        <v>0</v>
      </c>
      <c r="CD451" s="708">
        <f>WWWW[[#This Row],[% Access to unimproved water points]]*WWWW[[#This Row],[Total PoP ]]</f>
        <v>0</v>
      </c>
      <c r="CE45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1" s="708">
        <f>WWWW[[#This Row],[HRP1]]/500</f>
        <v>0</v>
      </c>
      <c r="CH451" s="714">
        <f>1-WWWW[[#This Row],[% Equitable and continuous access to sufficient quantity of domestic water]]</f>
        <v>1</v>
      </c>
      <c r="CI451" s="708">
        <f>WWWW[[#This Row],[%equitable and continuous access to sufficient quantity of safe drinking and domestic water''s GAP]]*WWWW[[#This Row],[Total PoP ]]</f>
        <v>148</v>
      </c>
      <c r="CJ451" s="712">
        <f>IF(WWWW[[#This Row],[Total required water points]]-WWWW[[#This Row],['#Water points coverage]]&lt;0,0,WWWW[[#This Row],[Total required water points]]-WWWW[[#This Row],['#Water points coverage]])</f>
        <v>1</v>
      </c>
      <c r="CK451" s="712">
        <f>ROUND(IF(WWWW[[#This Row],[Total PoP ]]&lt;500,1,WWWW[[#This Row],[Total PoP ]]/500),0)</f>
        <v>1</v>
      </c>
      <c r="CL451" s="712">
        <f>(WWWW[[#This Row],['#_Constructed latrines_by_WASHAgencies]]+WWWW[[#This Row],['#_Non Cluster partner latrines]])-WWWW[[#This Row],['#_Non-functional latrines]]</f>
        <v>0</v>
      </c>
      <c r="CM45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1" s="712">
        <f>IF(WWWW[[#This Row],[Location Type 1]]="Village","NA",IF(WWWW[[#This Row],['#_Constructed/Existing latrines in TLS]]*50&gt;WWWW[[#This Row],['#_students at TLS_CFS]],WWWW[[#This Row],['#_students at TLS_CFS]],(WWWW[[#This Row],['#_Constructed/Existing latrines in TLS]]*50)))</f>
        <v>0</v>
      </c>
      <c r="CQ451" s="712">
        <f>ROUND(IF(WWWW[[#This Row],[Location Type 1]]="camp",WWWW[[#This Row],[Total PoP ]]/20,IF(WWWW[[#This Row],[Location Type 1]]="Temporary Location",WWWW[[#This Row],[Total PoP ]]/50,(WWWW[[#This Row],[Total PoP ]]/6))),0)</f>
        <v>3</v>
      </c>
      <c r="CR451" s="712">
        <f>IF(WWWW[[#This Row],[Total required Latrines]]-(WWWW[[#This Row],['#_Constructed latrines_by_WASHAgencies]]+WWWW[[#This Row],['#_Non Cluster partner latrines]])&lt;0,0,WWWW[[#This Row],[Total required Latrines]]-(WWWW[[#This Row],['#_Constructed latrines_by_WASHAgencies]]+WWWW[[#This Row],['#_Non Cluster partner latrines]]))</f>
        <v>3</v>
      </c>
      <c r="CS451" s="716">
        <f>1-WWWW[[#This Row],[% people access to functioning Latrine]]</f>
        <v>1</v>
      </c>
      <c r="CT451" s="713">
        <f>IF(OR(WWWW[[#This Row],['#_Non-functional latrines]]="",WWWW[[#This Row],['#_Non-functional latrines]]=0),0,WWWW[[#This Row],['#_Non-functional latrines]]/(WWWW[[#This Row],['#_Constructed latrines_by_WASHAgencies]]+WWWW[[#This Row],['#_Non Cluster partner latrines]]))</f>
        <v>0</v>
      </c>
      <c r="CU451" s="708">
        <f>IF(500*(WWWW[[#This Row],['#_male hygiene promoters]]+WWWW[[#This Row],['#_female hygiene promoters]])&gt;WWWW[[#This Row],[Total PoP ]],WWWW[[#This Row],[Total PoP ]],500*(WWWW[[#This Row],['#_male hygiene promoters]]+WWWW[[#This Row],['#_female hygiene promoters]]))</f>
        <v>0</v>
      </c>
      <c r="CV45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1" s="712">
        <f>IF(WWWW[[#This Row],['# People with access to soap]]&gt;WWWW[[#This Row],['# People with access to Sanity Pads]],WWWW[[#This Row],['# People with access to soap]],WWWW[[#This Row],['# People with access to Sanity Pads]])</f>
        <v>0</v>
      </c>
      <c r="CY45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1" s="714">
        <f>IF(WWWW[[#This Row],[HRP3]]/WWWW[[#This Row],[Total PoP ]]&gt;100%,100%,WWWW[[#This Row],[HRP3]]/WWWW[[#This Row],[Total PoP ]])</f>
        <v>0</v>
      </c>
      <c r="DA451" s="713">
        <f>1-WWWW[[#This Row],[Hygiene Coverage%]]</f>
        <v>1</v>
      </c>
      <c r="DB451" s="710">
        <f>WWWW[[#This Row],['# people reached by regular dedicated hygiene promotion_5]]/WWWW[[#This Row],[Total PoP ]]</f>
        <v>0</v>
      </c>
      <c r="DC451" s="710">
        <f>IF(WWWW[[#This Row],['#_households that received standard amount of soap for this quarter]]/WWWW[[#This Row],[Total HH]]&gt;1,1,WWWW[[#This Row],['#_households that received standard amount of soap for this quarter]]/WWWW[[#This Row],[Total HH]])</f>
        <v>0</v>
      </c>
      <c r="DD451" s="710">
        <f>IF(WWWW[[#This Row],['#_households that received standard amount of sanitary pads for this quarter]]/WWWW[[#This Row],[Total HH]]&gt;1,1,WWWW[[#This Row],['#_households that received standard amount of sanitary pads for this quarter]]/WWWW[[#This Row],[Total HH]])</f>
        <v>0</v>
      </c>
      <c r="DE451" s="712">
        <f>WWWW[[#This Row],['#_Constructed/Existing hand washing stations]]-WWWW[[#This Row],['#_Non-Functional_hand_washing_stations]]</f>
        <v>0</v>
      </c>
      <c r="DF451" s="757">
        <f>IF(WWWW[[#This Row],['# Functional hand washing stations during reporting period]]*20&gt;WWWW[[#This Row],[Total HH]],WWWW[[#This Row],[Total HH]],WWWW[[#This Row],['# Functional hand washing stations during reporting period]]*20)</f>
        <v>0</v>
      </c>
      <c r="DG451" s="708">
        <f>IF(WWWW[[#This Row],[Is sufficient soap available for TLS? (Yes/No)]]="yes",WWWW[[#This Row],['#_Constructed/Existing hand washing stations at TLS]],0)</f>
        <v>0</v>
      </c>
      <c r="DH451" s="585">
        <f>IF(WWWW[[#This Row],['# Functional hand washing stations during reporting period]]*100&gt;WWWW[[#This Row],[Total PoP ]],WWWW[[#This Row],[Total PoP ]],WWWW[[#This Row],['# Functional hand washing stations during reporting period]]*100)</f>
        <v>0</v>
      </c>
      <c r="DI451" s="585" t="str">
        <f>IF(OR(WWWW[[#This Row],['#_students at TLS_CFS]]="",WWWW[[#This Row],['#_students at TLS_CFS]]=0),"No","Yes")</f>
        <v>No</v>
      </c>
      <c r="DJ451" s="711">
        <f>VLOOKUP(WWWW[[#This Row],[Site Name]],SiteDB6[[Site Name]:[CCCM Management]],6,FALSE)</f>
        <v>0</v>
      </c>
      <c r="DK451" s="711">
        <f>VLOOKUP(WWWW[[#This Row],[Site Name]],SiteDB6[[Site Name]:[CCCM Focal Agency]],7,FALSE)</f>
        <v>0</v>
      </c>
      <c r="DL451" s="711" t="str">
        <f>VLOOKUP(WWWW[[#This Row],[Site Name]],SiteDB6[[Site Name]:[Location Type 1]],9,FALSE)</f>
        <v>Temporary location</v>
      </c>
      <c r="DM451" s="711" t="str">
        <f>VLOOKUP(WWWW[[#This Row],[Site Name]],SiteDB6[[Site Name]:[Type of Accommodation]],10,FALSE)</f>
        <v>Temporary location</v>
      </c>
      <c r="DN451" s="711">
        <f>VLOOKUP(WWWW[[#This Row],[Site Name]],SiteDB6[[Site Name]:[Ethnic or GCA/NGCA]],11,FALSE)</f>
        <v>0</v>
      </c>
      <c r="DO451" s="711">
        <f>VLOOKUP(WWWW[[#This Row],[Site Name]],SiteDB6[[Site Name]:[Lat]],12,FALSE)</f>
        <v>0</v>
      </c>
      <c r="DP451" s="711">
        <f>VLOOKUP(WWWW[[#This Row],[Site Name]],SiteDB6[[Site Name]:[Long]],13,FALSE)</f>
        <v>0</v>
      </c>
      <c r="DQ451" s="711" t="str">
        <f>VLOOKUP(WWWW[[#This Row],[Site Name]],SiteDB6[[Site Name]:[Pcode]],3,FALSE)</f>
        <v>MMR012004701505</v>
      </c>
      <c r="DR451" s="709" t="str">
        <f t="shared" si="14"/>
        <v>Notcovered</v>
      </c>
      <c r="DS451" s="709"/>
      <c r="DV451" s="572"/>
    </row>
    <row r="452" spans="1:126">
      <c r="A452" s="552" t="s">
        <v>2518</v>
      </c>
      <c r="B452" s="808" t="s">
        <v>317</v>
      </c>
      <c r="C452" s="808" t="s">
        <v>317</v>
      </c>
      <c r="D452" s="702"/>
      <c r="E452" s="703" t="s">
        <v>3006</v>
      </c>
      <c r="F452" s="702" t="s">
        <v>320</v>
      </c>
      <c r="G452" s="704" t="str">
        <f>VLOOKUP(WWWW[[#This Row],[Site Name]],SiteDB6[[Site Name]:[Location Type]],8,FALSE)</f>
        <v>New Temporary Site</v>
      </c>
      <c r="H452" s="702" t="s">
        <v>3176</v>
      </c>
      <c r="I452" s="705">
        <v>93</v>
      </c>
      <c r="J452" s="705">
        <v>372</v>
      </c>
      <c r="K452" s="706"/>
      <c r="L452" s="707"/>
      <c r="M452" s="705"/>
      <c r="N452" s="705"/>
      <c r="O452" s="705"/>
      <c r="P452" s="705"/>
      <c r="Q452" s="708"/>
      <c r="R452" s="705"/>
      <c r="S452" s="705"/>
      <c r="T452" s="312"/>
      <c r="U452" s="705"/>
      <c r="V452" s="705"/>
      <c r="W452" s="705"/>
      <c r="X452" s="705"/>
      <c r="Y452" s="705"/>
      <c r="Z452" s="705"/>
      <c r="AA452" s="705"/>
      <c r="AB452" s="705"/>
      <c r="AC452" s="705"/>
      <c r="AD452" s="705"/>
      <c r="AE452" s="705"/>
      <c r="AF452" s="705"/>
      <c r="AG452" s="705"/>
      <c r="AH452" s="705"/>
      <c r="AI452" s="705"/>
      <c r="AJ452" s="705"/>
      <c r="AK452" s="705"/>
      <c r="AL452" s="705"/>
      <c r="AM452" s="705"/>
      <c r="AN452" s="705"/>
      <c r="AO452" s="709"/>
      <c r="AP452" s="705"/>
      <c r="AQ452" s="705"/>
      <c r="AR452" s="710"/>
      <c r="AS452" s="705"/>
      <c r="AT452" s="705"/>
      <c r="AU452" s="705"/>
      <c r="AV452" s="705"/>
      <c r="AW452" s="705"/>
      <c r="AX452" s="711"/>
      <c r="AY452" s="709"/>
      <c r="AZ452" s="705"/>
      <c r="BA452" s="705"/>
      <c r="BB452" s="705"/>
      <c r="BC452" s="711"/>
      <c r="BD452" s="705"/>
      <c r="BE452" s="705"/>
      <c r="BF452" s="705"/>
      <c r="BG452" s="705"/>
      <c r="BH452" s="705"/>
      <c r="BI452" s="705"/>
      <c r="BJ452" s="705"/>
      <c r="BK452" s="705"/>
      <c r="BL452" s="705"/>
      <c r="BM452" s="711"/>
      <c r="BN452" s="712"/>
      <c r="BO452" s="710"/>
      <c r="BP452" s="711"/>
      <c r="BQ452" s="713" t="str">
        <f>IFERROR(WWWW[[#This Row],['#_Water sources treated]]/WWWW[[#This Row],['#_Water sources tested for contamination]],"no test")</f>
        <v>no test</v>
      </c>
      <c r="BR452" s="710" t="str">
        <f>IFERROR(WWWW[[#This Row],['#_Household received remediation action due to contamination]]/WWWW[[#This Row],['#_Household water samples tested for contamination]],"no test")</f>
        <v>no test</v>
      </c>
      <c r="BS452" s="712" t="str">
        <f>IF(AND(WWWW[[#This Row],[% of water sources treated]]="no test",WWWW[[#This Row],[% Household received corrective actions]]="no test"),"No Test","Tested")</f>
        <v>No Test</v>
      </c>
      <c r="BT452" s="712">
        <f>WWWW[[#This Row],['#_Constructed/existing protected hand dug well]]-WWWW[[#This Row],['#_Non-functional protected hand dug well]]</f>
        <v>0</v>
      </c>
      <c r="BU452" s="712">
        <f>(WWWW[[#This Row],['#_Constructed/Existing tube wells/boreholes/handpumps_WASH_agency]]+WWWW[[#This Row],['#_Non-Cluster partner water tube-wells/boreholes/handpumps]])-WWWW[[#This Row],['#_Non-functional tube wells/boreholes/handpumps]]</f>
        <v>0</v>
      </c>
      <c r="BV452" s="712">
        <f>WWWW[[#This Row],['#_Constructed/Existingwater storage tank with gravity fed reticulation system]]-WWWW[[#This Row],['#_Non-functional storage tank gravity fed reticulation system]]</f>
        <v>0</v>
      </c>
      <c r="BW452" s="712">
        <f>WWWW[[#This Row],['#_Water boating or water trucking]]</f>
        <v>0</v>
      </c>
      <c r="BX452" s="712">
        <f>WWWW[[#This Row],['#_Constructed/Existing water distribution system from river or natural spring]]</f>
        <v>0</v>
      </c>
      <c r="BY45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2" s="710">
        <f>IF(WWWW[[#This Row],[Location Type 1]]="Village",WWWW[[#This Row],[Access to safe drinking water for Village]],WWWW[[#This Row],[Access to safe drinking water for Camp]])</f>
        <v>0</v>
      </c>
      <c r="CB452" s="708">
        <f>WWWW[[#This Row],[%Equitable and continuous access to sufficient quantity of safe drinking water]]*WWWW[[#This Row],[Total PoP ]]</f>
        <v>0</v>
      </c>
      <c r="CC452" s="710">
        <f>IF((WWWW[[#This Row],['#_Constructed/Existing protected/fenced ponds]]*250)/WWWW[[#This Row],[Total PoP ]]&gt;1,1,(WWWW[[#This Row],['#_Constructed/Existing protected/fenced ponds]]*250)/WWWW[[#This Row],[Total PoP ]])</f>
        <v>0</v>
      </c>
      <c r="CD452" s="708">
        <f>WWWW[[#This Row],[% Access to unimproved water points]]*WWWW[[#This Row],[Total PoP ]]</f>
        <v>0</v>
      </c>
      <c r="CE45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2" s="708">
        <f>WWWW[[#This Row],[HRP1]]/500</f>
        <v>0</v>
      </c>
      <c r="CH452" s="714">
        <f>1-WWWW[[#This Row],[% Equitable and continuous access to sufficient quantity of domestic water]]</f>
        <v>1</v>
      </c>
      <c r="CI452" s="708">
        <f>WWWW[[#This Row],[%equitable and continuous access to sufficient quantity of safe drinking and domestic water''s GAP]]*WWWW[[#This Row],[Total PoP ]]</f>
        <v>372</v>
      </c>
      <c r="CJ452" s="712">
        <f>IF(WWWW[[#This Row],[Total required water points]]-WWWW[[#This Row],['#Water points coverage]]&lt;0,0,WWWW[[#This Row],[Total required water points]]-WWWW[[#This Row],['#Water points coverage]])</f>
        <v>1</v>
      </c>
      <c r="CK452" s="712">
        <f>ROUND(IF(WWWW[[#This Row],[Total PoP ]]&lt;500,1,WWWW[[#This Row],[Total PoP ]]/500),0)</f>
        <v>1</v>
      </c>
      <c r="CL452" s="712">
        <f>(WWWW[[#This Row],['#_Constructed latrines_by_WASHAgencies]]+WWWW[[#This Row],['#_Non Cluster partner latrines]])-WWWW[[#This Row],['#_Non-functional latrines]]</f>
        <v>0</v>
      </c>
      <c r="CM45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2" s="712">
        <f>IF(WWWW[[#This Row],[Location Type 1]]="Village","NA",IF(WWWW[[#This Row],['#_Constructed/Existing latrines in TLS]]*50&gt;WWWW[[#This Row],['#_students at TLS_CFS]],WWWW[[#This Row],['#_students at TLS_CFS]],(WWWW[[#This Row],['#_Constructed/Existing latrines in TLS]]*50)))</f>
        <v>0</v>
      </c>
      <c r="CQ452" s="712">
        <f>ROUND(IF(WWWW[[#This Row],[Location Type 1]]="camp",WWWW[[#This Row],[Total PoP ]]/20,IF(WWWW[[#This Row],[Location Type 1]]="Temporary Location",WWWW[[#This Row],[Total PoP ]]/50,(WWWW[[#This Row],[Total PoP ]]/6))),0)</f>
        <v>7</v>
      </c>
      <c r="CR452" s="712">
        <f>IF(WWWW[[#This Row],[Total required Latrines]]-(WWWW[[#This Row],['#_Constructed latrines_by_WASHAgencies]]+WWWW[[#This Row],['#_Non Cluster partner latrines]])&lt;0,0,WWWW[[#This Row],[Total required Latrines]]-(WWWW[[#This Row],['#_Constructed latrines_by_WASHAgencies]]+WWWW[[#This Row],['#_Non Cluster partner latrines]]))</f>
        <v>7</v>
      </c>
      <c r="CS452" s="716">
        <f>1-WWWW[[#This Row],[% people access to functioning Latrine]]</f>
        <v>1</v>
      </c>
      <c r="CT452" s="713">
        <f>IF(OR(WWWW[[#This Row],['#_Non-functional latrines]]="",WWWW[[#This Row],['#_Non-functional latrines]]=0),0,WWWW[[#This Row],['#_Non-functional latrines]]/(WWWW[[#This Row],['#_Constructed latrines_by_WASHAgencies]]+WWWW[[#This Row],['#_Non Cluster partner latrines]]))</f>
        <v>0</v>
      </c>
      <c r="CU452" s="708">
        <f>IF(500*(WWWW[[#This Row],['#_male hygiene promoters]]+WWWW[[#This Row],['#_female hygiene promoters]])&gt;WWWW[[#This Row],[Total PoP ]],WWWW[[#This Row],[Total PoP ]],500*(WWWW[[#This Row],['#_male hygiene promoters]]+WWWW[[#This Row],['#_female hygiene promoters]]))</f>
        <v>0</v>
      </c>
      <c r="CV45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2" s="712">
        <f>IF(WWWW[[#This Row],['# People with access to soap]]&gt;WWWW[[#This Row],['# People with access to Sanity Pads]],WWWW[[#This Row],['# People with access to soap]],WWWW[[#This Row],['# People with access to Sanity Pads]])</f>
        <v>0</v>
      </c>
      <c r="CY45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2" s="714">
        <f>IF(WWWW[[#This Row],[HRP3]]/WWWW[[#This Row],[Total PoP ]]&gt;100%,100%,WWWW[[#This Row],[HRP3]]/WWWW[[#This Row],[Total PoP ]])</f>
        <v>0</v>
      </c>
      <c r="DA452" s="713">
        <f>1-WWWW[[#This Row],[Hygiene Coverage%]]</f>
        <v>1</v>
      </c>
      <c r="DB452" s="710">
        <f>WWWW[[#This Row],['# people reached by regular dedicated hygiene promotion_5]]/WWWW[[#This Row],[Total PoP ]]</f>
        <v>0</v>
      </c>
      <c r="DC452" s="710">
        <f>IF(WWWW[[#This Row],['#_households that received standard amount of soap for this quarter]]/WWWW[[#This Row],[Total HH]]&gt;1,1,WWWW[[#This Row],['#_households that received standard amount of soap for this quarter]]/WWWW[[#This Row],[Total HH]])</f>
        <v>0</v>
      </c>
      <c r="DD452" s="710">
        <f>IF(WWWW[[#This Row],['#_households that received standard amount of sanitary pads for this quarter]]/WWWW[[#This Row],[Total HH]]&gt;1,1,WWWW[[#This Row],['#_households that received standard amount of sanitary pads for this quarter]]/WWWW[[#This Row],[Total HH]])</f>
        <v>0</v>
      </c>
      <c r="DE452" s="712">
        <f>WWWW[[#This Row],['#_Constructed/Existing hand washing stations]]-WWWW[[#This Row],['#_Non-Functional_hand_washing_stations]]</f>
        <v>0</v>
      </c>
      <c r="DF452" s="757">
        <f>IF(WWWW[[#This Row],['# Functional hand washing stations during reporting period]]*20&gt;WWWW[[#This Row],[Total HH]],WWWW[[#This Row],[Total HH]],WWWW[[#This Row],['# Functional hand washing stations during reporting period]]*20)</f>
        <v>0</v>
      </c>
      <c r="DG452" s="708">
        <f>IF(WWWW[[#This Row],[Is sufficient soap available for TLS? (Yes/No)]]="yes",WWWW[[#This Row],['#_Constructed/Existing hand washing stations at TLS]],0)</f>
        <v>0</v>
      </c>
      <c r="DH452" s="585">
        <f>IF(WWWW[[#This Row],['# Functional hand washing stations during reporting period]]*100&gt;WWWW[[#This Row],[Total PoP ]],WWWW[[#This Row],[Total PoP ]],WWWW[[#This Row],['# Functional hand washing stations during reporting period]]*100)</f>
        <v>0</v>
      </c>
      <c r="DI452" s="585" t="str">
        <f>IF(OR(WWWW[[#This Row],['#_students at TLS_CFS]]="",WWWW[[#This Row],['#_students at TLS_CFS]]=0),"No","Yes")</f>
        <v>No</v>
      </c>
      <c r="DJ452" s="711">
        <f>VLOOKUP(WWWW[[#This Row],[Site Name]],SiteDB6[[Site Name]:[CCCM Management]],6,FALSE)</f>
        <v>0</v>
      </c>
      <c r="DK452" s="711">
        <f>VLOOKUP(WWWW[[#This Row],[Site Name]],SiteDB6[[Site Name]:[CCCM Focal Agency]],7,FALSE)</f>
        <v>0</v>
      </c>
      <c r="DL452" s="711" t="str">
        <f>VLOOKUP(WWWW[[#This Row],[Site Name]],SiteDB6[[Site Name]:[Location Type 1]],9,FALSE)</f>
        <v>Temporary location</v>
      </c>
      <c r="DM452" s="711" t="str">
        <f>VLOOKUP(WWWW[[#This Row],[Site Name]],SiteDB6[[Site Name]:[Type of Accommodation]],10,FALSE)</f>
        <v>Temporary location</v>
      </c>
      <c r="DN452" s="711">
        <f>VLOOKUP(WWWW[[#This Row],[Site Name]],SiteDB6[[Site Name]:[Ethnic or GCA/NGCA]],11,FALSE)</f>
        <v>0</v>
      </c>
      <c r="DO452" s="711">
        <f>VLOOKUP(WWWW[[#This Row],[Site Name]],SiteDB6[[Site Name]:[Lat]],12,FALSE)</f>
        <v>20.6715202331543</v>
      </c>
      <c r="DP452" s="711">
        <f>VLOOKUP(WWWW[[#This Row],[Site Name]],SiteDB6[[Site Name]:[Long]],13,FALSE)</f>
        <v>92.998092651367202</v>
      </c>
      <c r="DQ452" s="711">
        <f>VLOOKUP(WWWW[[#This Row],[Site Name]],SiteDB6[[Site Name]:[Pcode]],3,FALSE)</f>
        <v>196942</v>
      </c>
      <c r="DR452" s="709" t="str">
        <f t="shared" si="14"/>
        <v>Notcovered</v>
      </c>
      <c r="DS452" s="709"/>
      <c r="DV452" s="572"/>
    </row>
    <row r="453" spans="1:126">
      <c r="A453" s="552" t="s">
        <v>2518</v>
      </c>
      <c r="B453" s="808" t="s">
        <v>317</v>
      </c>
      <c r="C453" s="808" t="s">
        <v>317</v>
      </c>
      <c r="D453" s="702"/>
      <c r="E453" s="703" t="s">
        <v>3006</v>
      </c>
      <c r="F453" s="702" t="s">
        <v>320</v>
      </c>
      <c r="G453" s="704" t="str">
        <f>VLOOKUP(WWWW[[#This Row],[Site Name]],SiteDB6[[Site Name]:[Location Type]],8,FALSE)</f>
        <v>New Temporary Site</v>
      </c>
      <c r="H453" s="702" t="s">
        <v>3177</v>
      </c>
      <c r="I453" s="705">
        <v>97</v>
      </c>
      <c r="J453" s="705">
        <v>281</v>
      </c>
      <c r="K453" s="706"/>
      <c r="L453" s="707"/>
      <c r="M453" s="705"/>
      <c r="N453" s="705"/>
      <c r="O453" s="705"/>
      <c r="P453" s="705"/>
      <c r="Q453" s="708"/>
      <c r="R453" s="705"/>
      <c r="S453" s="705"/>
      <c r="T453" s="312"/>
      <c r="U453" s="705"/>
      <c r="V453" s="705"/>
      <c r="W453" s="705"/>
      <c r="X453" s="705"/>
      <c r="Y453" s="705"/>
      <c r="Z453" s="705"/>
      <c r="AA453" s="705"/>
      <c r="AB453" s="705"/>
      <c r="AC453" s="705"/>
      <c r="AD453" s="705"/>
      <c r="AE453" s="705"/>
      <c r="AF453" s="705"/>
      <c r="AG453" s="705"/>
      <c r="AH453" s="705"/>
      <c r="AI453" s="705"/>
      <c r="AJ453" s="705"/>
      <c r="AK453" s="705"/>
      <c r="AL453" s="705"/>
      <c r="AM453" s="705"/>
      <c r="AN453" s="705"/>
      <c r="AO453" s="709"/>
      <c r="AP453" s="705"/>
      <c r="AQ453" s="705"/>
      <c r="AR453" s="710"/>
      <c r="AS453" s="705"/>
      <c r="AT453" s="705"/>
      <c r="AU453" s="705"/>
      <c r="AV453" s="705"/>
      <c r="AW453" s="705"/>
      <c r="AX453" s="711"/>
      <c r="AY453" s="709"/>
      <c r="AZ453" s="705"/>
      <c r="BA453" s="705"/>
      <c r="BB453" s="705"/>
      <c r="BC453" s="711"/>
      <c r="BD453" s="705"/>
      <c r="BE453" s="705"/>
      <c r="BF453" s="705"/>
      <c r="BG453" s="705"/>
      <c r="BH453" s="705"/>
      <c r="BI453" s="705"/>
      <c r="BJ453" s="705"/>
      <c r="BK453" s="705"/>
      <c r="BL453" s="705"/>
      <c r="BM453" s="711"/>
      <c r="BN453" s="712"/>
      <c r="BO453" s="710"/>
      <c r="BP453" s="711"/>
      <c r="BQ453" s="713" t="str">
        <f>IFERROR(WWWW[[#This Row],['#_Water sources treated]]/WWWW[[#This Row],['#_Water sources tested for contamination]],"no test")</f>
        <v>no test</v>
      </c>
      <c r="BR453" s="710" t="str">
        <f>IFERROR(WWWW[[#This Row],['#_Household received remediation action due to contamination]]/WWWW[[#This Row],['#_Household water samples tested for contamination]],"no test")</f>
        <v>no test</v>
      </c>
      <c r="BS453" s="712" t="str">
        <f>IF(AND(WWWW[[#This Row],[% of water sources treated]]="no test",WWWW[[#This Row],[% Household received corrective actions]]="no test"),"No Test","Tested")</f>
        <v>No Test</v>
      </c>
      <c r="BT453" s="712">
        <f>WWWW[[#This Row],['#_Constructed/existing protected hand dug well]]-WWWW[[#This Row],['#_Non-functional protected hand dug well]]</f>
        <v>0</v>
      </c>
      <c r="BU453" s="712">
        <f>(WWWW[[#This Row],['#_Constructed/Existing tube wells/boreholes/handpumps_WASH_agency]]+WWWW[[#This Row],['#_Non-Cluster partner water tube-wells/boreholes/handpumps]])-WWWW[[#This Row],['#_Non-functional tube wells/boreholes/handpumps]]</f>
        <v>0</v>
      </c>
      <c r="BV453" s="712">
        <f>WWWW[[#This Row],['#_Constructed/Existingwater storage tank with gravity fed reticulation system]]-WWWW[[#This Row],['#_Non-functional storage tank gravity fed reticulation system]]</f>
        <v>0</v>
      </c>
      <c r="BW453" s="712">
        <f>WWWW[[#This Row],['#_Water boating or water trucking]]</f>
        <v>0</v>
      </c>
      <c r="BX453" s="712">
        <f>WWWW[[#This Row],['#_Constructed/Existing water distribution system from river or natural spring]]</f>
        <v>0</v>
      </c>
      <c r="BY45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3" s="710">
        <f>IF(WWWW[[#This Row],[Location Type 1]]="Village",WWWW[[#This Row],[Access to safe drinking water for Village]],WWWW[[#This Row],[Access to safe drinking water for Camp]])</f>
        <v>0</v>
      </c>
      <c r="CB453" s="708">
        <f>WWWW[[#This Row],[%Equitable and continuous access to sufficient quantity of safe drinking water]]*WWWW[[#This Row],[Total PoP ]]</f>
        <v>0</v>
      </c>
      <c r="CC453" s="710">
        <f>IF((WWWW[[#This Row],['#_Constructed/Existing protected/fenced ponds]]*250)/WWWW[[#This Row],[Total PoP ]]&gt;1,1,(WWWW[[#This Row],['#_Constructed/Existing protected/fenced ponds]]*250)/WWWW[[#This Row],[Total PoP ]])</f>
        <v>0</v>
      </c>
      <c r="CD453" s="708">
        <f>WWWW[[#This Row],[% Access to unimproved water points]]*WWWW[[#This Row],[Total PoP ]]</f>
        <v>0</v>
      </c>
      <c r="CE45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3" s="708">
        <f>WWWW[[#This Row],[HRP1]]/500</f>
        <v>0</v>
      </c>
      <c r="CH453" s="714">
        <f>1-WWWW[[#This Row],[% Equitable and continuous access to sufficient quantity of domestic water]]</f>
        <v>1</v>
      </c>
      <c r="CI453" s="708">
        <f>WWWW[[#This Row],[%equitable and continuous access to sufficient quantity of safe drinking and domestic water''s GAP]]*WWWW[[#This Row],[Total PoP ]]</f>
        <v>281</v>
      </c>
      <c r="CJ453" s="712">
        <f>IF(WWWW[[#This Row],[Total required water points]]-WWWW[[#This Row],['#Water points coverage]]&lt;0,0,WWWW[[#This Row],[Total required water points]]-WWWW[[#This Row],['#Water points coverage]])</f>
        <v>1</v>
      </c>
      <c r="CK453" s="712">
        <f>ROUND(IF(WWWW[[#This Row],[Total PoP ]]&lt;500,1,WWWW[[#This Row],[Total PoP ]]/500),0)</f>
        <v>1</v>
      </c>
      <c r="CL453" s="712">
        <f>(WWWW[[#This Row],['#_Constructed latrines_by_WASHAgencies]]+WWWW[[#This Row],['#_Non Cluster partner latrines]])-WWWW[[#This Row],['#_Non-functional latrines]]</f>
        <v>0</v>
      </c>
      <c r="CM45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3" s="712">
        <f>IF(WWWW[[#This Row],[Location Type 1]]="Village","NA",IF(WWWW[[#This Row],['#_Constructed/Existing latrines in TLS]]*50&gt;WWWW[[#This Row],['#_students at TLS_CFS]],WWWW[[#This Row],['#_students at TLS_CFS]],(WWWW[[#This Row],['#_Constructed/Existing latrines in TLS]]*50)))</f>
        <v>0</v>
      </c>
      <c r="CQ453" s="712">
        <f>ROUND(IF(WWWW[[#This Row],[Location Type 1]]="camp",WWWW[[#This Row],[Total PoP ]]/20,IF(WWWW[[#This Row],[Location Type 1]]="Temporary Location",WWWW[[#This Row],[Total PoP ]]/50,(WWWW[[#This Row],[Total PoP ]]/6))),0)</f>
        <v>6</v>
      </c>
      <c r="CR453" s="712">
        <f>IF(WWWW[[#This Row],[Total required Latrines]]-(WWWW[[#This Row],['#_Constructed latrines_by_WASHAgencies]]+WWWW[[#This Row],['#_Non Cluster partner latrines]])&lt;0,0,WWWW[[#This Row],[Total required Latrines]]-(WWWW[[#This Row],['#_Constructed latrines_by_WASHAgencies]]+WWWW[[#This Row],['#_Non Cluster partner latrines]]))</f>
        <v>6</v>
      </c>
      <c r="CS453" s="716">
        <f>1-WWWW[[#This Row],[% people access to functioning Latrine]]</f>
        <v>1</v>
      </c>
      <c r="CT453" s="713">
        <f>IF(OR(WWWW[[#This Row],['#_Non-functional latrines]]="",WWWW[[#This Row],['#_Non-functional latrines]]=0),0,WWWW[[#This Row],['#_Non-functional latrines]]/(WWWW[[#This Row],['#_Constructed latrines_by_WASHAgencies]]+WWWW[[#This Row],['#_Non Cluster partner latrines]]))</f>
        <v>0</v>
      </c>
      <c r="CU453" s="708">
        <f>IF(500*(WWWW[[#This Row],['#_male hygiene promoters]]+WWWW[[#This Row],['#_female hygiene promoters]])&gt;WWWW[[#This Row],[Total PoP ]],WWWW[[#This Row],[Total PoP ]],500*(WWWW[[#This Row],['#_male hygiene promoters]]+WWWW[[#This Row],['#_female hygiene promoters]]))</f>
        <v>0</v>
      </c>
      <c r="CV45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3" s="712">
        <f>IF(WWWW[[#This Row],['# People with access to soap]]&gt;WWWW[[#This Row],['# People with access to Sanity Pads]],WWWW[[#This Row],['# People with access to soap]],WWWW[[#This Row],['# People with access to Sanity Pads]])</f>
        <v>0</v>
      </c>
      <c r="CY45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3" s="714">
        <f>IF(WWWW[[#This Row],[HRP3]]/WWWW[[#This Row],[Total PoP ]]&gt;100%,100%,WWWW[[#This Row],[HRP3]]/WWWW[[#This Row],[Total PoP ]])</f>
        <v>0</v>
      </c>
      <c r="DA453" s="713">
        <f>1-WWWW[[#This Row],[Hygiene Coverage%]]</f>
        <v>1</v>
      </c>
      <c r="DB453" s="710">
        <f>WWWW[[#This Row],['# people reached by regular dedicated hygiene promotion_5]]/WWWW[[#This Row],[Total PoP ]]</f>
        <v>0</v>
      </c>
      <c r="DC453" s="710">
        <f>IF(WWWW[[#This Row],['#_households that received standard amount of soap for this quarter]]/WWWW[[#This Row],[Total HH]]&gt;1,1,WWWW[[#This Row],['#_households that received standard amount of soap for this quarter]]/WWWW[[#This Row],[Total HH]])</f>
        <v>0</v>
      </c>
      <c r="DD453" s="710">
        <f>IF(WWWW[[#This Row],['#_households that received standard amount of sanitary pads for this quarter]]/WWWW[[#This Row],[Total HH]]&gt;1,1,WWWW[[#This Row],['#_households that received standard amount of sanitary pads for this quarter]]/WWWW[[#This Row],[Total HH]])</f>
        <v>0</v>
      </c>
      <c r="DE453" s="712">
        <f>WWWW[[#This Row],['#_Constructed/Existing hand washing stations]]-WWWW[[#This Row],['#_Non-Functional_hand_washing_stations]]</f>
        <v>0</v>
      </c>
      <c r="DF453" s="757">
        <f>IF(WWWW[[#This Row],['# Functional hand washing stations during reporting period]]*20&gt;WWWW[[#This Row],[Total HH]],WWWW[[#This Row],[Total HH]],WWWW[[#This Row],['# Functional hand washing stations during reporting period]]*20)</f>
        <v>0</v>
      </c>
      <c r="DG453" s="708">
        <f>IF(WWWW[[#This Row],[Is sufficient soap available for TLS? (Yes/No)]]="yes",WWWW[[#This Row],['#_Constructed/Existing hand washing stations at TLS]],0)</f>
        <v>0</v>
      </c>
      <c r="DH453" s="585">
        <f>IF(WWWW[[#This Row],['# Functional hand washing stations during reporting period]]*100&gt;WWWW[[#This Row],[Total PoP ]],WWWW[[#This Row],[Total PoP ]],WWWW[[#This Row],['# Functional hand washing stations during reporting period]]*100)</f>
        <v>0</v>
      </c>
      <c r="DI453" s="585" t="str">
        <f>IF(OR(WWWW[[#This Row],['#_students at TLS_CFS]]="",WWWW[[#This Row],['#_students at TLS_CFS]]=0),"No","Yes")</f>
        <v>No</v>
      </c>
      <c r="DJ453" s="711">
        <f>VLOOKUP(WWWW[[#This Row],[Site Name]],SiteDB6[[Site Name]:[CCCM Management]],6,FALSE)</f>
        <v>0</v>
      </c>
      <c r="DK453" s="711">
        <f>VLOOKUP(WWWW[[#This Row],[Site Name]],SiteDB6[[Site Name]:[CCCM Focal Agency]],7,FALSE)</f>
        <v>0</v>
      </c>
      <c r="DL453" s="711" t="str">
        <f>VLOOKUP(WWWW[[#This Row],[Site Name]],SiteDB6[[Site Name]:[Location Type 1]],9,FALSE)</f>
        <v>Temporary location</v>
      </c>
      <c r="DM453" s="711" t="str">
        <f>VLOOKUP(WWWW[[#This Row],[Site Name]],SiteDB6[[Site Name]:[Type of Accommodation]],10,FALSE)</f>
        <v>Temporary location</v>
      </c>
      <c r="DN453" s="711">
        <f>VLOOKUP(WWWW[[#This Row],[Site Name]],SiteDB6[[Site Name]:[Ethnic or GCA/NGCA]],11,FALSE)</f>
        <v>0</v>
      </c>
      <c r="DO453" s="711">
        <f>VLOOKUP(WWWW[[#This Row],[Site Name]],SiteDB6[[Site Name]:[Lat]],12,FALSE)</f>
        <v>20.64656067</v>
      </c>
      <c r="DP453" s="711">
        <f>VLOOKUP(WWWW[[#This Row],[Site Name]],SiteDB6[[Site Name]:[Long]],13,FALSE)</f>
        <v>92.976043700000005</v>
      </c>
      <c r="DQ453" s="711">
        <f>VLOOKUP(WWWW[[#This Row],[Site Name]],SiteDB6[[Site Name]:[Pcode]],3,FALSE)</f>
        <v>196937</v>
      </c>
      <c r="DR453" s="709" t="str">
        <f t="shared" si="14"/>
        <v>Notcovered</v>
      </c>
      <c r="DS453" s="709"/>
      <c r="DV453" s="572"/>
    </row>
    <row r="454" spans="1:126">
      <c r="A454" s="552" t="s">
        <v>2518</v>
      </c>
      <c r="B454" s="808" t="s">
        <v>317</v>
      </c>
      <c r="C454" s="808" t="s">
        <v>317</v>
      </c>
      <c r="D454" s="702"/>
      <c r="E454" s="703" t="s">
        <v>3006</v>
      </c>
      <c r="F454" s="702" t="s">
        <v>320</v>
      </c>
      <c r="G454" s="704" t="str">
        <f>VLOOKUP(WWWW[[#This Row],[Site Name]],SiteDB6[[Site Name]:[Location Type]],8,FALSE)</f>
        <v>New Temporary Site</v>
      </c>
      <c r="H454" s="702" t="s">
        <v>3178</v>
      </c>
      <c r="I454" s="705">
        <v>42</v>
      </c>
      <c r="J454" s="705">
        <v>169</v>
      </c>
      <c r="K454" s="706"/>
      <c r="L454" s="707"/>
      <c r="M454" s="705"/>
      <c r="N454" s="705"/>
      <c r="O454" s="705"/>
      <c r="P454" s="705"/>
      <c r="Q454" s="708"/>
      <c r="R454" s="705"/>
      <c r="S454" s="705"/>
      <c r="T454" s="312"/>
      <c r="U454" s="705"/>
      <c r="V454" s="705"/>
      <c r="W454" s="705"/>
      <c r="X454" s="705"/>
      <c r="Y454" s="705"/>
      <c r="Z454" s="705"/>
      <c r="AA454" s="705"/>
      <c r="AB454" s="705"/>
      <c r="AC454" s="705"/>
      <c r="AD454" s="705"/>
      <c r="AE454" s="705"/>
      <c r="AF454" s="705"/>
      <c r="AG454" s="705"/>
      <c r="AH454" s="705"/>
      <c r="AI454" s="705"/>
      <c r="AJ454" s="705"/>
      <c r="AK454" s="705"/>
      <c r="AL454" s="705"/>
      <c r="AM454" s="705"/>
      <c r="AN454" s="705"/>
      <c r="AO454" s="709"/>
      <c r="AP454" s="705"/>
      <c r="AQ454" s="705"/>
      <c r="AR454" s="710"/>
      <c r="AS454" s="705"/>
      <c r="AT454" s="705"/>
      <c r="AU454" s="705"/>
      <c r="AV454" s="705"/>
      <c r="AW454" s="705"/>
      <c r="AX454" s="711"/>
      <c r="AY454" s="709"/>
      <c r="AZ454" s="705"/>
      <c r="BA454" s="705"/>
      <c r="BB454" s="705"/>
      <c r="BC454" s="711"/>
      <c r="BD454" s="705"/>
      <c r="BE454" s="705"/>
      <c r="BF454" s="705"/>
      <c r="BG454" s="705"/>
      <c r="BH454" s="705"/>
      <c r="BI454" s="705"/>
      <c r="BJ454" s="705"/>
      <c r="BK454" s="705"/>
      <c r="BL454" s="705"/>
      <c r="BM454" s="711"/>
      <c r="BN454" s="712"/>
      <c r="BO454" s="710"/>
      <c r="BP454" s="711"/>
      <c r="BQ454" s="713" t="str">
        <f>IFERROR(WWWW[[#This Row],['#_Water sources treated]]/WWWW[[#This Row],['#_Water sources tested for contamination]],"no test")</f>
        <v>no test</v>
      </c>
      <c r="BR454" s="710" t="str">
        <f>IFERROR(WWWW[[#This Row],['#_Household received remediation action due to contamination]]/WWWW[[#This Row],['#_Household water samples tested for contamination]],"no test")</f>
        <v>no test</v>
      </c>
      <c r="BS454" s="712" t="str">
        <f>IF(AND(WWWW[[#This Row],[% of water sources treated]]="no test",WWWW[[#This Row],[% Household received corrective actions]]="no test"),"No Test","Tested")</f>
        <v>No Test</v>
      </c>
      <c r="BT454" s="712">
        <f>WWWW[[#This Row],['#_Constructed/existing protected hand dug well]]-WWWW[[#This Row],['#_Non-functional protected hand dug well]]</f>
        <v>0</v>
      </c>
      <c r="BU454" s="712">
        <f>(WWWW[[#This Row],['#_Constructed/Existing tube wells/boreholes/handpumps_WASH_agency]]+WWWW[[#This Row],['#_Non-Cluster partner water tube-wells/boreholes/handpumps]])-WWWW[[#This Row],['#_Non-functional tube wells/boreholes/handpumps]]</f>
        <v>0</v>
      </c>
      <c r="BV454" s="712">
        <f>WWWW[[#This Row],['#_Constructed/Existingwater storage tank with gravity fed reticulation system]]-WWWW[[#This Row],['#_Non-functional storage tank gravity fed reticulation system]]</f>
        <v>0</v>
      </c>
      <c r="BW454" s="712">
        <f>WWWW[[#This Row],['#_Water boating or water trucking]]</f>
        <v>0</v>
      </c>
      <c r="BX454" s="712">
        <f>WWWW[[#This Row],['#_Constructed/Existing water distribution system from river or natural spring]]</f>
        <v>0</v>
      </c>
      <c r="BY45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4" s="710">
        <f>IF(WWWW[[#This Row],[Location Type 1]]="Village",WWWW[[#This Row],[Access to safe drinking water for Village]],WWWW[[#This Row],[Access to safe drinking water for Camp]])</f>
        <v>0</v>
      </c>
      <c r="CB454" s="708">
        <f>WWWW[[#This Row],[%Equitable and continuous access to sufficient quantity of safe drinking water]]*WWWW[[#This Row],[Total PoP ]]</f>
        <v>0</v>
      </c>
      <c r="CC454" s="710">
        <f>IF((WWWW[[#This Row],['#_Constructed/Existing protected/fenced ponds]]*250)/WWWW[[#This Row],[Total PoP ]]&gt;1,1,(WWWW[[#This Row],['#_Constructed/Existing protected/fenced ponds]]*250)/WWWW[[#This Row],[Total PoP ]])</f>
        <v>0</v>
      </c>
      <c r="CD454" s="708">
        <f>WWWW[[#This Row],[% Access to unimproved water points]]*WWWW[[#This Row],[Total PoP ]]</f>
        <v>0</v>
      </c>
      <c r="CE45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4" s="708">
        <f>WWWW[[#This Row],[HRP1]]/500</f>
        <v>0</v>
      </c>
      <c r="CH454" s="714">
        <f>1-WWWW[[#This Row],[% Equitable and continuous access to sufficient quantity of domestic water]]</f>
        <v>1</v>
      </c>
      <c r="CI454" s="708">
        <f>WWWW[[#This Row],[%equitable and continuous access to sufficient quantity of safe drinking and domestic water''s GAP]]*WWWW[[#This Row],[Total PoP ]]</f>
        <v>169</v>
      </c>
      <c r="CJ454" s="712">
        <f>IF(WWWW[[#This Row],[Total required water points]]-WWWW[[#This Row],['#Water points coverage]]&lt;0,0,WWWW[[#This Row],[Total required water points]]-WWWW[[#This Row],['#Water points coverage]])</f>
        <v>1</v>
      </c>
      <c r="CK454" s="712">
        <f>ROUND(IF(WWWW[[#This Row],[Total PoP ]]&lt;500,1,WWWW[[#This Row],[Total PoP ]]/500),0)</f>
        <v>1</v>
      </c>
      <c r="CL454" s="712">
        <f>(WWWW[[#This Row],['#_Constructed latrines_by_WASHAgencies]]+WWWW[[#This Row],['#_Non Cluster partner latrines]])-WWWW[[#This Row],['#_Non-functional latrines]]</f>
        <v>0</v>
      </c>
      <c r="CM45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4" s="712">
        <f>IF(WWWW[[#This Row],[Location Type 1]]="Village","NA",IF(WWWW[[#This Row],['#_Constructed/Existing latrines in TLS]]*50&gt;WWWW[[#This Row],['#_students at TLS_CFS]],WWWW[[#This Row],['#_students at TLS_CFS]],(WWWW[[#This Row],['#_Constructed/Existing latrines in TLS]]*50)))</f>
        <v>0</v>
      </c>
      <c r="CQ454" s="712">
        <f>ROUND(IF(WWWW[[#This Row],[Location Type 1]]="camp",WWWW[[#This Row],[Total PoP ]]/20,IF(WWWW[[#This Row],[Location Type 1]]="Temporary Location",WWWW[[#This Row],[Total PoP ]]/50,(WWWW[[#This Row],[Total PoP ]]/6))),0)</f>
        <v>3</v>
      </c>
      <c r="CR454" s="712">
        <f>IF(WWWW[[#This Row],[Total required Latrines]]-(WWWW[[#This Row],['#_Constructed latrines_by_WASHAgencies]]+WWWW[[#This Row],['#_Non Cluster partner latrines]])&lt;0,0,WWWW[[#This Row],[Total required Latrines]]-(WWWW[[#This Row],['#_Constructed latrines_by_WASHAgencies]]+WWWW[[#This Row],['#_Non Cluster partner latrines]]))</f>
        <v>3</v>
      </c>
      <c r="CS454" s="716">
        <f>1-WWWW[[#This Row],[% people access to functioning Latrine]]</f>
        <v>1</v>
      </c>
      <c r="CT454" s="713">
        <f>IF(OR(WWWW[[#This Row],['#_Non-functional latrines]]="",WWWW[[#This Row],['#_Non-functional latrines]]=0),0,WWWW[[#This Row],['#_Non-functional latrines]]/(WWWW[[#This Row],['#_Constructed latrines_by_WASHAgencies]]+WWWW[[#This Row],['#_Non Cluster partner latrines]]))</f>
        <v>0</v>
      </c>
      <c r="CU454" s="708">
        <f>IF(500*(WWWW[[#This Row],['#_male hygiene promoters]]+WWWW[[#This Row],['#_female hygiene promoters]])&gt;WWWW[[#This Row],[Total PoP ]],WWWW[[#This Row],[Total PoP ]],500*(WWWW[[#This Row],['#_male hygiene promoters]]+WWWW[[#This Row],['#_female hygiene promoters]]))</f>
        <v>0</v>
      </c>
      <c r="CV45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4" s="712">
        <f>IF(WWWW[[#This Row],['# People with access to soap]]&gt;WWWW[[#This Row],['# People with access to Sanity Pads]],WWWW[[#This Row],['# People with access to soap]],WWWW[[#This Row],['# People with access to Sanity Pads]])</f>
        <v>0</v>
      </c>
      <c r="CY45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4" s="714">
        <f>IF(WWWW[[#This Row],[HRP3]]/WWWW[[#This Row],[Total PoP ]]&gt;100%,100%,WWWW[[#This Row],[HRP3]]/WWWW[[#This Row],[Total PoP ]])</f>
        <v>0</v>
      </c>
      <c r="DA454" s="713">
        <f>1-WWWW[[#This Row],[Hygiene Coverage%]]</f>
        <v>1</v>
      </c>
      <c r="DB454" s="710">
        <f>WWWW[[#This Row],['# people reached by regular dedicated hygiene promotion_5]]/WWWW[[#This Row],[Total PoP ]]</f>
        <v>0</v>
      </c>
      <c r="DC454" s="710">
        <f>IF(WWWW[[#This Row],['#_households that received standard amount of soap for this quarter]]/WWWW[[#This Row],[Total HH]]&gt;1,1,WWWW[[#This Row],['#_households that received standard amount of soap for this quarter]]/WWWW[[#This Row],[Total HH]])</f>
        <v>0</v>
      </c>
      <c r="DD454" s="710">
        <f>IF(WWWW[[#This Row],['#_households that received standard amount of sanitary pads for this quarter]]/WWWW[[#This Row],[Total HH]]&gt;1,1,WWWW[[#This Row],['#_households that received standard amount of sanitary pads for this quarter]]/WWWW[[#This Row],[Total HH]])</f>
        <v>0</v>
      </c>
      <c r="DE454" s="712">
        <f>WWWW[[#This Row],['#_Constructed/Existing hand washing stations]]-WWWW[[#This Row],['#_Non-Functional_hand_washing_stations]]</f>
        <v>0</v>
      </c>
      <c r="DF454" s="757">
        <f>IF(WWWW[[#This Row],['# Functional hand washing stations during reporting period]]*20&gt;WWWW[[#This Row],[Total HH]],WWWW[[#This Row],[Total HH]],WWWW[[#This Row],['# Functional hand washing stations during reporting period]]*20)</f>
        <v>0</v>
      </c>
      <c r="DG454" s="708">
        <f>IF(WWWW[[#This Row],[Is sufficient soap available for TLS? (Yes/No)]]="yes",WWWW[[#This Row],['#_Constructed/Existing hand washing stations at TLS]],0)</f>
        <v>0</v>
      </c>
      <c r="DH454" s="585">
        <f>IF(WWWW[[#This Row],['# Functional hand washing stations during reporting period]]*100&gt;WWWW[[#This Row],[Total PoP ]],WWWW[[#This Row],[Total PoP ]],WWWW[[#This Row],['# Functional hand washing stations during reporting period]]*100)</f>
        <v>0</v>
      </c>
      <c r="DI454" s="585" t="str">
        <f>IF(OR(WWWW[[#This Row],['#_students at TLS_CFS]]="",WWWW[[#This Row],['#_students at TLS_CFS]]=0),"No","Yes")</f>
        <v>No</v>
      </c>
      <c r="DJ454" s="711">
        <f>VLOOKUP(WWWW[[#This Row],[Site Name]],SiteDB6[[Site Name]:[CCCM Management]],6,FALSE)</f>
        <v>0</v>
      </c>
      <c r="DK454" s="711">
        <f>VLOOKUP(WWWW[[#This Row],[Site Name]],SiteDB6[[Site Name]:[CCCM Focal Agency]],7,FALSE)</f>
        <v>0</v>
      </c>
      <c r="DL454" s="711" t="str">
        <f>VLOOKUP(WWWW[[#This Row],[Site Name]],SiteDB6[[Site Name]:[Location Type 1]],9,FALSE)</f>
        <v>Temporary location</v>
      </c>
      <c r="DM454" s="711" t="str">
        <f>VLOOKUP(WWWW[[#This Row],[Site Name]],SiteDB6[[Site Name]:[Type of Accommodation]],10,FALSE)</f>
        <v>Temporary location</v>
      </c>
      <c r="DN454" s="711">
        <f>VLOOKUP(WWWW[[#This Row],[Site Name]],SiteDB6[[Site Name]:[Ethnic or GCA/NGCA]],11,FALSE)</f>
        <v>0</v>
      </c>
      <c r="DO454" s="711">
        <f>VLOOKUP(WWWW[[#This Row],[Site Name]],SiteDB6[[Site Name]:[Lat]],12,FALSE)</f>
        <v>20.6563606262207</v>
      </c>
      <c r="DP454" s="711">
        <f>VLOOKUP(WWWW[[#This Row],[Site Name]],SiteDB6[[Site Name]:[Long]],13,FALSE)</f>
        <v>92.998542785644503</v>
      </c>
      <c r="DQ454" s="711">
        <f>VLOOKUP(WWWW[[#This Row],[Site Name]],SiteDB6[[Site Name]:[Pcode]],3,FALSE)</f>
        <v>196940</v>
      </c>
      <c r="DR454" s="709" t="str">
        <f t="shared" si="14"/>
        <v>Notcovered</v>
      </c>
      <c r="DS454" s="709"/>
      <c r="DV454" s="572"/>
    </row>
    <row r="455" spans="1:126">
      <c r="A455" s="552" t="s">
        <v>2518</v>
      </c>
      <c r="B455" s="808" t="s">
        <v>317</v>
      </c>
      <c r="C455" s="808" t="s">
        <v>317</v>
      </c>
      <c r="D455" s="702"/>
      <c r="E455" s="703" t="s">
        <v>3006</v>
      </c>
      <c r="F455" s="702" t="s">
        <v>320</v>
      </c>
      <c r="G455" s="704" t="str">
        <f>VLOOKUP(WWWW[[#This Row],[Site Name]],SiteDB6[[Site Name]:[Location Type]],8,FALSE)</f>
        <v>New Temporary Site</v>
      </c>
      <c r="H455" s="702" t="s">
        <v>3179</v>
      </c>
      <c r="I455" s="705">
        <v>4</v>
      </c>
      <c r="J455" s="705">
        <v>20</v>
      </c>
      <c r="K455" s="706"/>
      <c r="L455" s="707"/>
      <c r="M455" s="705"/>
      <c r="N455" s="705"/>
      <c r="O455" s="705"/>
      <c r="P455" s="705"/>
      <c r="Q455" s="708"/>
      <c r="R455" s="705"/>
      <c r="S455" s="705"/>
      <c r="T455" s="312"/>
      <c r="U455" s="705"/>
      <c r="V455" s="705"/>
      <c r="W455" s="705"/>
      <c r="X455" s="705"/>
      <c r="Y455" s="705"/>
      <c r="Z455" s="705"/>
      <c r="AA455" s="705"/>
      <c r="AB455" s="705"/>
      <c r="AC455" s="705"/>
      <c r="AD455" s="705"/>
      <c r="AE455" s="705"/>
      <c r="AF455" s="705"/>
      <c r="AG455" s="705"/>
      <c r="AH455" s="705"/>
      <c r="AI455" s="705"/>
      <c r="AJ455" s="705"/>
      <c r="AK455" s="705"/>
      <c r="AL455" s="705"/>
      <c r="AM455" s="705"/>
      <c r="AN455" s="705"/>
      <c r="AO455" s="709"/>
      <c r="AP455" s="705"/>
      <c r="AQ455" s="705"/>
      <c r="AR455" s="710"/>
      <c r="AS455" s="705"/>
      <c r="AT455" s="705"/>
      <c r="AU455" s="705"/>
      <c r="AV455" s="705"/>
      <c r="AW455" s="705"/>
      <c r="AX455" s="711"/>
      <c r="AY455" s="709"/>
      <c r="AZ455" s="705"/>
      <c r="BA455" s="705"/>
      <c r="BB455" s="705"/>
      <c r="BC455" s="711"/>
      <c r="BD455" s="705"/>
      <c r="BE455" s="705"/>
      <c r="BF455" s="705"/>
      <c r="BG455" s="705"/>
      <c r="BH455" s="705"/>
      <c r="BI455" s="705"/>
      <c r="BJ455" s="705"/>
      <c r="BK455" s="705"/>
      <c r="BL455" s="705"/>
      <c r="BM455" s="711"/>
      <c r="BN455" s="712"/>
      <c r="BO455" s="710"/>
      <c r="BP455" s="711"/>
      <c r="BQ455" s="713" t="str">
        <f>IFERROR(WWWW[[#This Row],['#_Water sources treated]]/WWWW[[#This Row],['#_Water sources tested for contamination]],"no test")</f>
        <v>no test</v>
      </c>
      <c r="BR455" s="710" t="str">
        <f>IFERROR(WWWW[[#This Row],['#_Household received remediation action due to contamination]]/WWWW[[#This Row],['#_Household water samples tested for contamination]],"no test")</f>
        <v>no test</v>
      </c>
      <c r="BS455" s="712" t="str">
        <f>IF(AND(WWWW[[#This Row],[% of water sources treated]]="no test",WWWW[[#This Row],[% Household received corrective actions]]="no test"),"No Test","Tested")</f>
        <v>No Test</v>
      </c>
      <c r="BT455" s="712">
        <f>WWWW[[#This Row],['#_Constructed/existing protected hand dug well]]-WWWW[[#This Row],['#_Non-functional protected hand dug well]]</f>
        <v>0</v>
      </c>
      <c r="BU455" s="712">
        <f>(WWWW[[#This Row],['#_Constructed/Existing tube wells/boreholes/handpumps_WASH_agency]]+WWWW[[#This Row],['#_Non-Cluster partner water tube-wells/boreholes/handpumps]])-WWWW[[#This Row],['#_Non-functional tube wells/boreholes/handpumps]]</f>
        <v>0</v>
      </c>
      <c r="BV455" s="712">
        <f>WWWW[[#This Row],['#_Constructed/Existingwater storage tank with gravity fed reticulation system]]-WWWW[[#This Row],['#_Non-functional storage tank gravity fed reticulation system]]</f>
        <v>0</v>
      </c>
      <c r="BW455" s="712">
        <f>WWWW[[#This Row],['#_Water boating or water trucking]]</f>
        <v>0</v>
      </c>
      <c r="BX455" s="712">
        <f>WWWW[[#This Row],['#_Constructed/Existing water distribution system from river or natural spring]]</f>
        <v>0</v>
      </c>
      <c r="BY45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5" s="710">
        <f>IF(WWWW[[#This Row],[Location Type 1]]="Village",WWWW[[#This Row],[Access to safe drinking water for Village]],WWWW[[#This Row],[Access to safe drinking water for Camp]])</f>
        <v>0</v>
      </c>
      <c r="CB455" s="708">
        <f>WWWW[[#This Row],[%Equitable and continuous access to sufficient quantity of safe drinking water]]*WWWW[[#This Row],[Total PoP ]]</f>
        <v>0</v>
      </c>
      <c r="CC455" s="710">
        <f>IF((WWWW[[#This Row],['#_Constructed/Existing protected/fenced ponds]]*250)/WWWW[[#This Row],[Total PoP ]]&gt;1,1,(WWWW[[#This Row],['#_Constructed/Existing protected/fenced ponds]]*250)/WWWW[[#This Row],[Total PoP ]])</f>
        <v>0</v>
      </c>
      <c r="CD455" s="708">
        <f>WWWW[[#This Row],[% Access to unimproved water points]]*WWWW[[#This Row],[Total PoP ]]</f>
        <v>0</v>
      </c>
      <c r="CE45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5" s="708">
        <f>WWWW[[#This Row],[HRP1]]/500</f>
        <v>0</v>
      </c>
      <c r="CH455" s="714">
        <f>1-WWWW[[#This Row],[% Equitable and continuous access to sufficient quantity of domestic water]]</f>
        <v>1</v>
      </c>
      <c r="CI455" s="708">
        <f>WWWW[[#This Row],[%equitable and continuous access to sufficient quantity of safe drinking and domestic water''s GAP]]*WWWW[[#This Row],[Total PoP ]]</f>
        <v>20</v>
      </c>
      <c r="CJ455" s="712">
        <f>IF(WWWW[[#This Row],[Total required water points]]-WWWW[[#This Row],['#Water points coverage]]&lt;0,0,WWWW[[#This Row],[Total required water points]]-WWWW[[#This Row],['#Water points coverage]])</f>
        <v>1</v>
      </c>
      <c r="CK455" s="712">
        <f>ROUND(IF(WWWW[[#This Row],[Total PoP ]]&lt;500,1,WWWW[[#This Row],[Total PoP ]]/500),0)</f>
        <v>1</v>
      </c>
      <c r="CL455" s="712">
        <f>(WWWW[[#This Row],['#_Constructed latrines_by_WASHAgencies]]+WWWW[[#This Row],['#_Non Cluster partner latrines]])-WWWW[[#This Row],['#_Non-functional latrines]]</f>
        <v>0</v>
      </c>
      <c r="CM45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5" s="712">
        <f>IF(WWWW[[#This Row],[Location Type 1]]="Village","NA",IF(WWWW[[#This Row],['#_Constructed/Existing latrines in TLS]]*50&gt;WWWW[[#This Row],['#_students at TLS_CFS]],WWWW[[#This Row],['#_students at TLS_CFS]],(WWWW[[#This Row],['#_Constructed/Existing latrines in TLS]]*50)))</f>
        <v>0</v>
      </c>
      <c r="CQ455" s="712">
        <f>ROUND(IF(WWWW[[#This Row],[Location Type 1]]="camp",WWWW[[#This Row],[Total PoP ]]/20,IF(WWWW[[#This Row],[Location Type 1]]="Temporary Location",WWWW[[#This Row],[Total PoP ]]/50,(WWWW[[#This Row],[Total PoP ]]/6))),0)</f>
        <v>0</v>
      </c>
      <c r="CR455" s="712">
        <f>IF(WWWW[[#This Row],[Total required Latrines]]-(WWWW[[#This Row],['#_Constructed latrines_by_WASHAgencies]]+WWWW[[#This Row],['#_Non Cluster partner latrines]])&lt;0,0,WWWW[[#This Row],[Total required Latrines]]-(WWWW[[#This Row],['#_Constructed latrines_by_WASHAgencies]]+WWWW[[#This Row],['#_Non Cluster partner latrines]]))</f>
        <v>0</v>
      </c>
      <c r="CS455" s="716">
        <f>1-WWWW[[#This Row],[% people access to functioning Latrine]]</f>
        <v>1</v>
      </c>
      <c r="CT455" s="713">
        <f>IF(OR(WWWW[[#This Row],['#_Non-functional latrines]]="",WWWW[[#This Row],['#_Non-functional latrines]]=0),0,WWWW[[#This Row],['#_Non-functional latrines]]/(WWWW[[#This Row],['#_Constructed latrines_by_WASHAgencies]]+WWWW[[#This Row],['#_Non Cluster partner latrines]]))</f>
        <v>0</v>
      </c>
      <c r="CU455" s="708">
        <f>IF(500*(WWWW[[#This Row],['#_male hygiene promoters]]+WWWW[[#This Row],['#_female hygiene promoters]])&gt;WWWW[[#This Row],[Total PoP ]],WWWW[[#This Row],[Total PoP ]],500*(WWWW[[#This Row],['#_male hygiene promoters]]+WWWW[[#This Row],['#_female hygiene promoters]]))</f>
        <v>0</v>
      </c>
      <c r="CV45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5" s="712">
        <f>IF(WWWW[[#This Row],['# People with access to soap]]&gt;WWWW[[#This Row],['# People with access to Sanity Pads]],WWWW[[#This Row],['# People with access to soap]],WWWW[[#This Row],['# People with access to Sanity Pads]])</f>
        <v>0</v>
      </c>
      <c r="CY45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5" s="714">
        <f>IF(WWWW[[#This Row],[HRP3]]/WWWW[[#This Row],[Total PoP ]]&gt;100%,100%,WWWW[[#This Row],[HRP3]]/WWWW[[#This Row],[Total PoP ]])</f>
        <v>0</v>
      </c>
      <c r="DA455" s="713">
        <f>1-WWWW[[#This Row],[Hygiene Coverage%]]</f>
        <v>1</v>
      </c>
      <c r="DB455" s="710">
        <f>WWWW[[#This Row],['# people reached by regular dedicated hygiene promotion_5]]/WWWW[[#This Row],[Total PoP ]]</f>
        <v>0</v>
      </c>
      <c r="DC455" s="710">
        <f>IF(WWWW[[#This Row],['#_households that received standard amount of soap for this quarter]]/WWWW[[#This Row],[Total HH]]&gt;1,1,WWWW[[#This Row],['#_households that received standard amount of soap for this quarter]]/WWWW[[#This Row],[Total HH]])</f>
        <v>0</v>
      </c>
      <c r="DD455" s="710">
        <f>IF(WWWW[[#This Row],['#_households that received standard amount of sanitary pads for this quarter]]/WWWW[[#This Row],[Total HH]]&gt;1,1,WWWW[[#This Row],['#_households that received standard amount of sanitary pads for this quarter]]/WWWW[[#This Row],[Total HH]])</f>
        <v>0</v>
      </c>
      <c r="DE455" s="712">
        <f>WWWW[[#This Row],['#_Constructed/Existing hand washing stations]]-WWWW[[#This Row],['#_Non-Functional_hand_washing_stations]]</f>
        <v>0</v>
      </c>
      <c r="DF455" s="757">
        <f>IF(WWWW[[#This Row],['# Functional hand washing stations during reporting period]]*20&gt;WWWW[[#This Row],[Total HH]],WWWW[[#This Row],[Total HH]],WWWW[[#This Row],['# Functional hand washing stations during reporting period]]*20)</f>
        <v>0</v>
      </c>
      <c r="DG455" s="708">
        <f>IF(WWWW[[#This Row],[Is sufficient soap available for TLS? (Yes/No)]]="yes",WWWW[[#This Row],['#_Constructed/Existing hand washing stations at TLS]],0)</f>
        <v>0</v>
      </c>
      <c r="DH455" s="585">
        <f>IF(WWWW[[#This Row],['# Functional hand washing stations during reporting period]]*100&gt;WWWW[[#This Row],[Total PoP ]],WWWW[[#This Row],[Total PoP ]],WWWW[[#This Row],['# Functional hand washing stations during reporting period]]*100)</f>
        <v>0</v>
      </c>
      <c r="DI455" s="585" t="str">
        <f>IF(OR(WWWW[[#This Row],['#_students at TLS_CFS]]="",WWWW[[#This Row],['#_students at TLS_CFS]]=0),"No","Yes")</f>
        <v>No</v>
      </c>
      <c r="DJ455" s="711">
        <f>VLOOKUP(WWWW[[#This Row],[Site Name]],SiteDB6[[Site Name]:[CCCM Management]],6,FALSE)</f>
        <v>0</v>
      </c>
      <c r="DK455" s="711">
        <f>VLOOKUP(WWWW[[#This Row],[Site Name]],SiteDB6[[Site Name]:[CCCM Focal Agency]],7,FALSE)</f>
        <v>0</v>
      </c>
      <c r="DL455" s="711" t="str">
        <f>VLOOKUP(WWWW[[#This Row],[Site Name]],SiteDB6[[Site Name]:[Location Type 1]],9,FALSE)</f>
        <v>Temporary location</v>
      </c>
      <c r="DM455" s="711" t="str">
        <f>VLOOKUP(WWWW[[#This Row],[Site Name]],SiteDB6[[Site Name]:[Type of Accommodation]],10,FALSE)</f>
        <v>Temporary location</v>
      </c>
      <c r="DN455" s="711">
        <f>VLOOKUP(WWWW[[#This Row],[Site Name]],SiteDB6[[Site Name]:[Ethnic or GCA/NGCA]],11,FALSE)</f>
        <v>0</v>
      </c>
      <c r="DO455" s="711">
        <f>VLOOKUP(WWWW[[#This Row],[Site Name]],SiteDB6[[Site Name]:[Lat]],12,FALSE)</f>
        <v>20.8122158050537</v>
      </c>
      <c r="DP455" s="711">
        <f>VLOOKUP(WWWW[[#This Row],[Site Name]],SiteDB6[[Site Name]:[Long]],13,FALSE)</f>
        <v>93.061012268066406</v>
      </c>
      <c r="DQ455" s="711">
        <f>VLOOKUP(WWWW[[#This Row],[Site Name]],SiteDB6[[Site Name]:[Pcode]],3,FALSE)</f>
        <v>196865</v>
      </c>
      <c r="DR455" s="709" t="str">
        <f t="shared" si="14"/>
        <v>Notcovered</v>
      </c>
      <c r="DS455" s="709"/>
      <c r="DV455" s="572"/>
    </row>
    <row r="456" spans="1:126">
      <c r="A456" s="552" t="s">
        <v>2518</v>
      </c>
      <c r="B456" s="808" t="s">
        <v>317</v>
      </c>
      <c r="C456" s="808" t="s">
        <v>317</v>
      </c>
      <c r="D456" s="702"/>
      <c r="E456" s="703" t="s">
        <v>3006</v>
      </c>
      <c r="F456" s="702" t="s">
        <v>320</v>
      </c>
      <c r="G456" s="704" t="str">
        <f>VLOOKUP(WWWW[[#This Row],[Site Name]],SiteDB6[[Site Name]:[Location Type]],8,FALSE)</f>
        <v>New Temporary Site</v>
      </c>
      <c r="H456" s="702" t="s">
        <v>3180</v>
      </c>
      <c r="I456" s="705">
        <v>22</v>
      </c>
      <c r="J456" s="705">
        <v>100</v>
      </c>
      <c r="K456" s="706"/>
      <c r="L456" s="707"/>
      <c r="M456" s="705"/>
      <c r="N456" s="705"/>
      <c r="O456" s="705"/>
      <c r="P456" s="705"/>
      <c r="Q456" s="708"/>
      <c r="R456" s="705"/>
      <c r="S456" s="705"/>
      <c r="T456" s="312"/>
      <c r="U456" s="705"/>
      <c r="V456" s="705"/>
      <c r="W456" s="705"/>
      <c r="X456" s="705"/>
      <c r="Y456" s="705"/>
      <c r="Z456" s="705"/>
      <c r="AA456" s="705"/>
      <c r="AB456" s="705"/>
      <c r="AC456" s="705"/>
      <c r="AD456" s="705"/>
      <c r="AE456" s="705"/>
      <c r="AF456" s="705"/>
      <c r="AG456" s="705"/>
      <c r="AH456" s="705"/>
      <c r="AI456" s="705"/>
      <c r="AJ456" s="705"/>
      <c r="AK456" s="705"/>
      <c r="AL456" s="705"/>
      <c r="AM456" s="705"/>
      <c r="AN456" s="705"/>
      <c r="AO456" s="709"/>
      <c r="AP456" s="705"/>
      <c r="AQ456" s="705"/>
      <c r="AR456" s="710"/>
      <c r="AS456" s="705"/>
      <c r="AT456" s="705"/>
      <c r="AU456" s="705"/>
      <c r="AV456" s="705"/>
      <c r="AW456" s="705"/>
      <c r="AX456" s="711"/>
      <c r="AY456" s="709"/>
      <c r="AZ456" s="705"/>
      <c r="BA456" s="705"/>
      <c r="BB456" s="705"/>
      <c r="BC456" s="711"/>
      <c r="BD456" s="705"/>
      <c r="BE456" s="705"/>
      <c r="BF456" s="705"/>
      <c r="BG456" s="705"/>
      <c r="BH456" s="705"/>
      <c r="BI456" s="705"/>
      <c r="BJ456" s="705"/>
      <c r="BK456" s="705"/>
      <c r="BL456" s="705"/>
      <c r="BM456" s="711"/>
      <c r="BN456" s="712"/>
      <c r="BO456" s="710"/>
      <c r="BP456" s="711"/>
      <c r="BQ456" s="713" t="str">
        <f>IFERROR(WWWW[[#This Row],['#_Water sources treated]]/WWWW[[#This Row],['#_Water sources tested for contamination]],"no test")</f>
        <v>no test</v>
      </c>
      <c r="BR456" s="710" t="str">
        <f>IFERROR(WWWW[[#This Row],['#_Household received remediation action due to contamination]]/WWWW[[#This Row],['#_Household water samples tested for contamination]],"no test")</f>
        <v>no test</v>
      </c>
      <c r="BS456" s="712" t="str">
        <f>IF(AND(WWWW[[#This Row],[% of water sources treated]]="no test",WWWW[[#This Row],[% Household received corrective actions]]="no test"),"No Test","Tested")</f>
        <v>No Test</v>
      </c>
      <c r="BT456" s="712">
        <f>WWWW[[#This Row],['#_Constructed/existing protected hand dug well]]-WWWW[[#This Row],['#_Non-functional protected hand dug well]]</f>
        <v>0</v>
      </c>
      <c r="BU456" s="712">
        <f>(WWWW[[#This Row],['#_Constructed/Existing tube wells/boreholes/handpumps_WASH_agency]]+WWWW[[#This Row],['#_Non-Cluster partner water tube-wells/boreholes/handpumps]])-WWWW[[#This Row],['#_Non-functional tube wells/boreholes/handpumps]]</f>
        <v>0</v>
      </c>
      <c r="BV456" s="712">
        <f>WWWW[[#This Row],['#_Constructed/Existingwater storage tank with gravity fed reticulation system]]-WWWW[[#This Row],['#_Non-functional storage tank gravity fed reticulation system]]</f>
        <v>0</v>
      </c>
      <c r="BW456" s="712">
        <f>WWWW[[#This Row],['#_Water boating or water trucking]]</f>
        <v>0</v>
      </c>
      <c r="BX456" s="712">
        <f>WWWW[[#This Row],['#_Constructed/Existing water distribution system from river or natural spring]]</f>
        <v>0</v>
      </c>
      <c r="BY45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6" s="710">
        <f>IF(WWWW[[#This Row],[Location Type 1]]="Village",WWWW[[#This Row],[Access to safe drinking water for Village]],WWWW[[#This Row],[Access to safe drinking water for Camp]])</f>
        <v>0</v>
      </c>
      <c r="CB456" s="708">
        <f>WWWW[[#This Row],[%Equitable and continuous access to sufficient quantity of safe drinking water]]*WWWW[[#This Row],[Total PoP ]]</f>
        <v>0</v>
      </c>
      <c r="CC456" s="710">
        <f>IF((WWWW[[#This Row],['#_Constructed/Existing protected/fenced ponds]]*250)/WWWW[[#This Row],[Total PoP ]]&gt;1,1,(WWWW[[#This Row],['#_Constructed/Existing protected/fenced ponds]]*250)/WWWW[[#This Row],[Total PoP ]])</f>
        <v>0</v>
      </c>
      <c r="CD456" s="708">
        <f>WWWW[[#This Row],[% Access to unimproved water points]]*WWWW[[#This Row],[Total PoP ]]</f>
        <v>0</v>
      </c>
      <c r="CE45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6" s="708">
        <f>WWWW[[#This Row],[HRP1]]/500</f>
        <v>0</v>
      </c>
      <c r="CH456" s="714">
        <f>1-WWWW[[#This Row],[% Equitable and continuous access to sufficient quantity of domestic water]]</f>
        <v>1</v>
      </c>
      <c r="CI456" s="708">
        <f>WWWW[[#This Row],[%equitable and continuous access to sufficient quantity of safe drinking and domestic water''s GAP]]*WWWW[[#This Row],[Total PoP ]]</f>
        <v>100</v>
      </c>
      <c r="CJ456" s="712">
        <f>IF(WWWW[[#This Row],[Total required water points]]-WWWW[[#This Row],['#Water points coverage]]&lt;0,0,WWWW[[#This Row],[Total required water points]]-WWWW[[#This Row],['#Water points coverage]])</f>
        <v>1</v>
      </c>
      <c r="CK456" s="712">
        <f>ROUND(IF(WWWW[[#This Row],[Total PoP ]]&lt;500,1,WWWW[[#This Row],[Total PoP ]]/500),0)</f>
        <v>1</v>
      </c>
      <c r="CL456" s="712">
        <f>(WWWW[[#This Row],['#_Constructed latrines_by_WASHAgencies]]+WWWW[[#This Row],['#_Non Cluster partner latrines]])-WWWW[[#This Row],['#_Non-functional latrines]]</f>
        <v>0</v>
      </c>
      <c r="CM45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6" s="712">
        <f>IF(WWWW[[#This Row],[Location Type 1]]="Village","NA",IF(WWWW[[#This Row],['#_Constructed/Existing latrines in TLS]]*50&gt;WWWW[[#This Row],['#_students at TLS_CFS]],WWWW[[#This Row],['#_students at TLS_CFS]],(WWWW[[#This Row],['#_Constructed/Existing latrines in TLS]]*50)))</f>
        <v>0</v>
      </c>
      <c r="CQ456" s="712">
        <f>ROUND(IF(WWWW[[#This Row],[Location Type 1]]="camp",WWWW[[#This Row],[Total PoP ]]/20,IF(WWWW[[#This Row],[Location Type 1]]="Temporary Location",WWWW[[#This Row],[Total PoP ]]/50,(WWWW[[#This Row],[Total PoP ]]/6))),0)</f>
        <v>2</v>
      </c>
      <c r="CR456" s="712">
        <f>IF(WWWW[[#This Row],[Total required Latrines]]-(WWWW[[#This Row],['#_Constructed latrines_by_WASHAgencies]]+WWWW[[#This Row],['#_Non Cluster partner latrines]])&lt;0,0,WWWW[[#This Row],[Total required Latrines]]-(WWWW[[#This Row],['#_Constructed latrines_by_WASHAgencies]]+WWWW[[#This Row],['#_Non Cluster partner latrines]]))</f>
        <v>2</v>
      </c>
      <c r="CS456" s="716">
        <f>1-WWWW[[#This Row],[% people access to functioning Latrine]]</f>
        <v>1</v>
      </c>
      <c r="CT456" s="713">
        <f>IF(OR(WWWW[[#This Row],['#_Non-functional latrines]]="",WWWW[[#This Row],['#_Non-functional latrines]]=0),0,WWWW[[#This Row],['#_Non-functional latrines]]/(WWWW[[#This Row],['#_Constructed latrines_by_WASHAgencies]]+WWWW[[#This Row],['#_Non Cluster partner latrines]]))</f>
        <v>0</v>
      </c>
      <c r="CU456" s="708">
        <f>IF(500*(WWWW[[#This Row],['#_male hygiene promoters]]+WWWW[[#This Row],['#_female hygiene promoters]])&gt;WWWW[[#This Row],[Total PoP ]],WWWW[[#This Row],[Total PoP ]],500*(WWWW[[#This Row],['#_male hygiene promoters]]+WWWW[[#This Row],['#_female hygiene promoters]]))</f>
        <v>0</v>
      </c>
      <c r="CV45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6" s="712">
        <f>IF(WWWW[[#This Row],['# People with access to soap]]&gt;WWWW[[#This Row],['# People with access to Sanity Pads]],WWWW[[#This Row],['# People with access to soap]],WWWW[[#This Row],['# People with access to Sanity Pads]])</f>
        <v>0</v>
      </c>
      <c r="CY45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6" s="714">
        <f>IF(WWWW[[#This Row],[HRP3]]/WWWW[[#This Row],[Total PoP ]]&gt;100%,100%,WWWW[[#This Row],[HRP3]]/WWWW[[#This Row],[Total PoP ]])</f>
        <v>0</v>
      </c>
      <c r="DA456" s="713">
        <f>1-WWWW[[#This Row],[Hygiene Coverage%]]</f>
        <v>1</v>
      </c>
      <c r="DB456" s="710">
        <f>WWWW[[#This Row],['# people reached by regular dedicated hygiene promotion_5]]/WWWW[[#This Row],[Total PoP ]]</f>
        <v>0</v>
      </c>
      <c r="DC456" s="710">
        <f>IF(WWWW[[#This Row],['#_households that received standard amount of soap for this quarter]]/WWWW[[#This Row],[Total HH]]&gt;1,1,WWWW[[#This Row],['#_households that received standard amount of soap for this quarter]]/WWWW[[#This Row],[Total HH]])</f>
        <v>0</v>
      </c>
      <c r="DD456" s="710">
        <f>IF(WWWW[[#This Row],['#_households that received standard amount of sanitary pads for this quarter]]/WWWW[[#This Row],[Total HH]]&gt;1,1,WWWW[[#This Row],['#_households that received standard amount of sanitary pads for this quarter]]/WWWW[[#This Row],[Total HH]])</f>
        <v>0</v>
      </c>
      <c r="DE456" s="712">
        <f>WWWW[[#This Row],['#_Constructed/Existing hand washing stations]]-WWWW[[#This Row],['#_Non-Functional_hand_washing_stations]]</f>
        <v>0</v>
      </c>
      <c r="DF456" s="757">
        <f>IF(WWWW[[#This Row],['# Functional hand washing stations during reporting period]]*20&gt;WWWW[[#This Row],[Total HH]],WWWW[[#This Row],[Total HH]],WWWW[[#This Row],['# Functional hand washing stations during reporting period]]*20)</f>
        <v>0</v>
      </c>
      <c r="DG456" s="708">
        <f>IF(WWWW[[#This Row],[Is sufficient soap available for TLS? (Yes/No)]]="yes",WWWW[[#This Row],['#_Constructed/Existing hand washing stations at TLS]],0)</f>
        <v>0</v>
      </c>
      <c r="DH456" s="585">
        <f>IF(WWWW[[#This Row],['# Functional hand washing stations during reporting period]]*100&gt;WWWW[[#This Row],[Total PoP ]],WWWW[[#This Row],[Total PoP ]],WWWW[[#This Row],['# Functional hand washing stations during reporting period]]*100)</f>
        <v>0</v>
      </c>
      <c r="DI456" s="585" t="str">
        <f>IF(OR(WWWW[[#This Row],['#_students at TLS_CFS]]="",WWWW[[#This Row],['#_students at TLS_CFS]]=0),"No","Yes")</f>
        <v>No</v>
      </c>
      <c r="DJ456" s="711">
        <f>VLOOKUP(WWWW[[#This Row],[Site Name]],SiteDB6[[Site Name]:[CCCM Management]],6,FALSE)</f>
        <v>0</v>
      </c>
      <c r="DK456" s="711">
        <f>VLOOKUP(WWWW[[#This Row],[Site Name]],SiteDB6[[Site Name]:[CCCM Focal Agency]],7,FALSE)</f>
        <v>0</v>
      </c>
      <c r="DL456" s="711" t="str">
        <f>VLOOKUP(WWWW[[#This Row],[Site Name]],SiteDB6[[Site Name]:[Location Type 1]],9,FALSE)</f>
        <v>Temporary location</v>
      </c>
      <c r="DM456" s="711" t="str">
        <f>VLOOKUP(WWWW[[#This Row],[Site Name]],SiteDB6[[Site Name]:[Type of Accommodation]],10,FALSE)</f>
        <v>Temporary location</v>
      </c>
      <c r="DN456" s="711">
        <f>VLOOKUP(WWWW[[#This Row],[Site Name]],SiteDB6[[Site Name]:[Ethnic or GCA/NGCA]],11,FALSE)</f>
        <v>0</v>
      </c>
      <c r="DO456" s="711">
        <f>VLOOKUP(WWWW[[#This Row],[Site Name]],SiteDB6[[Site Name]:[Lat]],12,FALSE)</f>
        <v>20.656810760498001</v>
      </c>
      <c r="DP456" s="711">
        <f>VLOOKUP(WWWW[[#This Row],[Site Name]],SiteDB6[[Site Name]:[Long]],13,FALSE)</f>
        <v>93.029953002929702</v>
      </c>
      <c r="DQ456" s="711">
        <f>VLOOKUP(WWWW[[#This Row],[Site Name]],SiteDB6[[Site Name]:[Pcode]],3,FALSE)</f>
        <v>196981</v>
      </c>
      <c r="DR456" s="709" t="str">
        <f t="shared" si="14"/>
        <v>Notcovered</v>
      </c>
      <c r="DS456" s="709"/>
      <c r="DV456" s="572"/>
    </row>
    <row r="457" spans="1:126">
      <c r="A457" s="552" t="s">
        <v>2518</v>
      </c>
      <c r="B457" s="808" t="s">
        <v>317</v>
      </c>
      <c r="C457" s="808" t="s">
        <v>317</v>
      </c>
      <c r="D457" s="702"/>
      <c r="E457" s="703" t="s">
        <v>3005</v>
      </c>
      <c r="F457" s="702" t="s">
        <v>337</v>
      </c>
      <c r="G457" s="704" t="s">
        <v>3017</v>
      </c>
      <c r="H457" s="702" t="s">
        <v>3213</v>
      </c>
      <c r="I457" s="705">
        <v>25</v>
      </c>
      <c r="J457" s="705">
        <v>100</v>
      </c>
      <c r="K457" s="706"/>
      <c r="L457" s="707"/>
      <c r="M457" s="705"/>
      <c r="N457" s="705"/>
      <c r="O457" s="705"/>
      <c r="P457" s="705"/>
      <c r="Q457" s="708"/>
      <c r="R457" s="705"/>
      <c r="S457" s="705"/>
      <c r="T457" s="312"/>
      <c r="U457" s="705"/>
      <c r="V457" s="705"/>
      <c r="W457" s="705"/>
      <c r="X457" s="705"/>
      <c r="Y457" s="705"/>
      <c r="Z457" s="705"/>
      <c r="AA457" s="705"/>
      <c r="AB457" s="705"/>
      <c r="AC457" s="705"/>
      <c r="AD457" s="705"/>
      <c r="AE457" s="705"/>
      <c r="AF457" s="705"/>
      <c r="AG457" s="705"/>
      <c r="AH457" s="705"/>
      <c r="AI457" s="705"/>
      <c r="AJ457" s="705"/>
      <c r="AK457" s="705"/>
      <c r="AL457" s="705"/>
      <c r="AM457" s="705"/>
      <c r="AN457" s="705"/>
      <c r="AO457" s="709"/>
      <c r="AP457" s="705"/>
      <c r="AQ457" s="705"/>
      <c r="AR457" s="710"/>
      <c r="AS457" s="705"/>
      <c r="AT457" s="705"/>
      <c r="AU457" s="705"/>
      <c r="AV457" s="705"/>
      <c r="AW457" s="705"/>
      <c r="AX457" s="711"/>
      <c r="AY457" s="709"/>
      <c r="AZ457" s="705"/>
      <c r="BA457" s="705"/>
      <c r="BB457" s="705"/>
      <c r="BC457" s="711"/>
      <c r="BD457" s="705"/>
      <c r="BE457" s="705"/>
      <c r="BF457" s="705"/>
      <c r="BG457" s="705"/>
      <c r="BH457" s="705"/>
      <c r="BI457" s="705"/>
      <c r="BJ457" s="705"/>
      <c r="BK457" s="705"/>
      <c r="BL457" s="705"/>
      <c r="BM457" s="711"/>
      <c r="BN457" s="712"/>
      <c r="BO457" s="710"/>
      <c r="BP457" s="711"/>
      <c r="BQ457" s="713" t="str">
        <f>IFERROR(WWWW[[#This Row],['#_Water sources treated]]/WWWW[[#This Row],['#_Water sources tested for contamination]],"no test")</f>
        <v>no test</v>
      </c>
      <c r="BR457" s="710" t="str">
        <f>IFERROR(WWWW[[#This Row],['#_Household received remediation action due to contamination]]/WWWW[[#This Row],['#_Household water samples tested for contamination]],"no test")</f>
        <v>no test</v>
      </c>
      <c r="BS457" s="712" t="str">
        <f>IF(AND(WWWW[[#This Row],[% of water sources treated]]="no test",WWWW[[#This Row],[% Household received corrective actions]]="no test"),"No Test","Tested")</f>
        <v>No Test</v>
      </c>
      <c r="BT457" s="712">
        <f>WWWW[[#This Row],['#_Constructed/existing protected hand dug well]]-WWWW[[#This Row],['#_Non-functional protected hand dug well]]</f>
        <v>0</v>
      </c>
      <c r="BU457" s="712">
        <f>(WWWW[[#This Row],['#_Constructed/Existing tube wells/boreholes/handpumps_WASH_agency]]+WWWW[[#This Row],['#_Non-Cluster partner water tube-wells/boreholes/handpumps]])-WWWW[[#This Row],['#_Non-functional tube wells/boreholes/handpumps]]</f>
        <v>0</v>
      </c>
      <c r="BV457" s="712">
        <f>WWWW[[#This Row],['#_Constructed/Existingwater storage tank with gravity fed reticulation system]]-WWWW[[#This Row],['#_Non-functional storage tank gravity fed reticulation system]]</f>
        <v>0</v>
      </c>
      <c r="BW457" s="712">
        <f>WWWW[[#This Row],['#_Water boating or water trucking]]</f>
        <v>0</v>
      </c>
      <c r="BX457" s="712">
        <f>WWWW[[#This Row],['#_Constructed/Existing water distribution system from river or natural spring]]</f>
        <v>0</v>
      </c>
      <c r="BY45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7" s="710">
        <f>IF(WWWW[[#This Row],[Location Type 1]]="Village",WWWW[[#This Row],[Access to safe drinking water for Village]],WWWW[[#This Row],[Access to safe drinking water for Camp]])</f>
        <v>0</v>
      </c>
      <c r="CB457" s="708">
        <f>WWWW[[#This Row],[%Equitable and continuous access to sufficient quantity of safe drinking water]]*WWWW[[#This Row],[Total PoP ]]</f>
        <v>0</v>
      </c>
      <c r="CC457" s="710">
        <f>IF((WWWW[[#This Row],['#_Constructed/Existing protected/fenced ponds]]*250)/WWWW[[#This Row],[Total PoP ]]&gt;1,1,(WWWW[[#This Row],['#_Constructed/Existing protected/fenced ponds]]*250)/WWWW[[#This Row],[Total PoP ]])</f>
        <v>0</v>
      </c>
      <c r="CD457" s="708">
        <f>WWWW[[#This Row],[% Access to unimproved water points]]*WWWW[[#This Row],[Total PoP ]]</f>
        <v>0</v>
      </c>
      <c r="CE45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7" s="708">
        <f>WWWW[[#This Row],[HRP1]]/500</f>
        <v>0</v>
      </c>
      <c r="CH457" s="714">
        <f>1-WWWW[[#This Row],[% Equitable and continuous access to sufficient quantity of domestic water]]</f>
        <v>1</v>
      </c>
      <c r="CI457" s="708">
        <f>WWWW[[#This Row],[%equitable and continuous access to sufficient quantity of safe drinking and domestic water''s GAP]]*WWWW[[#This Row],[Total PoP ]]</f>
        <v>100</v>
      </c>
      <c r="CJ457" s="712">
        <f>IF(WWWW[[#This Row],[Total required water points]]-WWWW[[#This Row],['#Water points coverage]]&lt;0,0,WWWW[[#This Row],[Total required water points]]-WWWW[[#This Row],['#Water points coverage]])</f>
        <v>1</v>
      </c>
      <c r="CK457" s="712">
        <f>ROUND(IF(WWWW[[#This Row],[Total PoP ]]&lt;500,1,WWWW[[#This Row],[Total PoP ]]/500),0)</f>
        <v>1</v>
      </c>
      <c r="CL457" s="712">
        <f>(WWWW[[#This Row],['#_Constructed latrines_by_WASHAgencies]]+WWWW[[#This Row],['#_Non Cluster partner latrines]])-WWWW[[#This Row],['#_Non-functional latrines]]</f>
        <v>0</v>
      </c>
      <c r="CM45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7" s="712">
        <f>IF(WWWW[[#This Row],[Location Type 1]]="Village","NA",IF(WWWW[[#This Row],['#_Constructed/Existing latrines in TLS]]*50&gt;WWWW[[#This Row],['#_students at TLS_CFS]],WWWW[[#This Row],['#_students at TLS_CFS]],(WWWW[[#This Row],['#_Constructed/Existing latrines in TLS]]*50)))</f>
        <v>0</v>
      </c>
      <c r="CQ457" s="712">
        <f>ROUND(IF(WWWW[[#This Row],[Location Type 1]]="camp",WWWW[[#This Row],[Total PoP ]]/20,IF(WWWW[[#This Row],[Location Type 1]]="Temporary Location",WWWW[[#This Row],[Total PoP ]]/50,(WWWW[[#This Row],[Total PoP ]]/6))),0)</f>
        <v>2</v>
      </c>
      <c r="CR457" s="712">
        <f>IF(WWWW[[#This Row],[Total required Latrines]]-(WWWW[[#This Row],['#_Constructed latrines_by_WASHAgencies]]+WWWW[[#This Row],['#_Non Cluster partner latrines]])&lt;0,0,WWWW[[#This Row],[Total required Latrines]]-(WWWW[[#This Row],['#_Constructed latrines_by_WASHAgencies]]+WWWW[[#This Row],['#_Non Cluster partner latrines]]))</f>
        <v>2</v>
      </c>
      <c r="CS457" s="716">
        <f>1-WWWW[[#This Row],[% people access to functioning Latrine]]</f>
        <v>1</v>
      </c>
      <c r="CT457" s="713">
        <f>IF(OR(WWWW[[#This Row],['#_Non-functional latrines]]="",WWWW[[#This Row],['#_Non-functional latrines]]=0),0,WWWW[[#This Row],['#_Non-functional latrines]]/(WWWW[[#This Row],['#_Constructed latrines_by_WASHAgencies]]+WWWW[[#This Row],['#_Non Cluster partner latrines]]))</f>
        <v>0</v>
      </c>
      <c r="CU457" s="708">
        <f>IF(500*(WWWW[[#This Row],['#_male hygiene promoters]]+WWWW[[#This Row],['#_female hygiene promoters]])&gt;WWWW[[#This Row],[Total PoP ]],WWWW[[#This Row],[Total PoP ]],500*(WWWW[[#This Row],['#_male hygiene promoters]]+WWWW[[#This Row],['#_female hygiene promoters]]))</f>
        <v>0</v>
      </c>
      <c r="CV45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7" s="712">
        <f>IF(WWWW[[#This Row],['# People with access to soap]]&gt;WWWW[[#This Row],['# People with access to Sanity Pads]],WWWW[[#This Row],['# People with access to soap]],WWWW[[#This Row],['# People with access to Sanity Pads]])</f>
        <v>0</v>
      </c>
      <c r="CY45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57" s="714">
        <f>IF(WWWW[[#This Row],[HRP3]]/WWWW[[#This Row],[Total PoP ]]&gt;100%,100%,WWWW[[#This Row],[HRP3]]/WWWW[[#This Row],[Total PoP ]])</f>
        <v>0</v>
      </c>
      <c r="DA457" s="713">
        <f>1-WWWW[[#This Row],[Hygiene Coverage%]]</f>
        <v>1</v>
      </c>
      <c r="DB457" s="710">
        <f>WWWW[[#This Row],['# people reached by regular dedicated hygiene promotion_5]]/WWWW[[#This Row],[Total PoP ]]</f>
        <v>0</v>
      </c>
      <c r="DC457" s="710">
        <f>IF(WWWW[[#This Row],['#_households that received standard amount of soap for this quarter]]/WWWW[[#This Row],[Total HH]]&gt;1,1,WWWW[[#This Row],['#_households that received standard amount of soap for this quarter]]/WWWW[[#This Row],[Total HH]])</f>
        <v>0</v>
      </c>
      <c r="DD457" s="710">
        <f>IF(WWWW[[#This Row],['#_households that received standard amount of sanitary pads for this quarter]]/WWWW[[#This Row],[Total HH]]&gt;1,1,WWWW[[#This Row],['#_households that received standard amount of sanitary pads for this quarter]]/WWWW[[#This Row],[Total HH]])</f>
        <v>0</v>
      </c>
      <c r="DE457" s="712">
        <f>WWWW[[#This Row],['#_Constructed/Existing hand washing stations]]-WWWW[[#This Row],['#_Non-Functional_hand_washing_stations]]</f>
        <v>0</v>
      </c>
      <c r="DF457" s="757">
        <f>IF(WWWW[[#This Row],['# Functional hand washing stations during reporting period]]*20&gt;WWWW[[#This Row],[Total HH]],WWWW[[#This Row],[Total HH]],WWWW[[#This Row],['# Functional hand washing stations during reporting period]]*20)</f>
        <v>0</v>
      </c>
      <c r="DG457" s="708">
        <f>IF(WWWW[[#This Row],[Is sufficient soap available for TLS? (Yes/No)]]="yes",WWWW[[#This Row],['#_Constructed/Existing hand washing stations at TLS]],0)</f>
        <v>0</v>
      </c>
      <c r="DH457" s="585">
        <f>IF(WWWW[[#This Row],['# Functional hand washing stations during reporting period]]*100&gt;WWWW[[#This Row],[Total PoP ]],WWWW[[#This Row],[Total PoP ]],WWWW[[#This Row],['# Functional hand washing stations during reporting period]]*100)</f>
        <v>0</v>
      </c>
      <c r="DI457" s="585" t="str">
        <f>IF(OR(WWWW[[#This Row],['#_students at TLS_CFS]]="",WWWW[[#This Row],['#_students at TLS_CFS]]=0),"No","Yes")</f>
        <v>No</v>
      </c>
      <c r="DJ457" s="711">
        <f>VLOOKUP(WWWW[[#This Row],[Site Name]],SiteDB6[[Site Name]:[CCCM Management]],6,FALSE)</f>
        <v>0</v>
      </c>
      <c r="DK457" s="711">
        <f>VLOOKUP(WWWW[[#This Row],[Site Name]],SiteDB6[[Site Name]:[CCCM Focal Agency]],7,FALSE)</f>
        <v>0</v>
      </c>
      <c r="DL457" s="711" t="str">
        <f>VLOOKUP(WWWW[[#This Row],[Site Name]],SiteDB6[[Site Name]:[Location Type 1]],9,FALSE)</f>
        <v>Temporary location</v>
      </c>
      <c r="DM457" s="711" t="str">
        <f>VLOOKUP(WWWW[[#This Row],[Site Name]],SiteDB6[[Site Name]:[Type of Accommodation]],10,FALSE)</f>
        <v>Temporary location</v>
      </c>
      <c r="DN457" s="711">
        <f>VLOOKUP(WWWW[[#This Row],[Site Name]],SiteDB6[[Site Name]:[Ethnic or GCA/NGCA]],11,FALSE)</f>
        <v>0</v>
      </c>
      <c r="DO457" s="711">
        <f>VLOOKUP(WWWW[[#This Row],[Site Name]],SiteDB6[[Site Name]:[Lat]],12,FALSE)</f>
        <v>20.734859466552699</v>
      </c>
      <c r="DP457" s="711">
        <f>VLOOKUP(WWWW[[#This Row],[Site Name]],SiteDB6[[Site Name]:[Long]],13,FALSE)</f>
        <v>92.657089233398395</v>
      </c>
      <c r="DQ457" s="711">
        <f>VLOOKUP(WWWW[[#This Row],[Site Name]],SiteDB6[[Site Name]:[Pcode]],3,FALSE)</f>
        <v>198415</v>
      </c>
      <c r="DR457" s="709" t="str">
        <f t="shared" si="14"/>
        <v>Notcovered</v>
      </c>
      <c r="DS457" s="709"/>
      <c r="DV457" s="572"/>
    </row>
    <row r="458" spans="1:126">
      <c r="A458" s="552" t="s">
        <v>2518</v>
      </c>
      <c r="B458" s="701" t="s">
        <v>249</v>
      </c>
      <c r="C458" s="701" t="s">
        <v>249</v>
      </c>
      <c r="D458" s="702"/>
      <c r="E458" s="703" t="s">
        <v>3005</v>
      </c>
      <c r="F458" s="702" t="s">
        <v>337</v>
      </c>
      <c r="G458" s="704" t="str">
        <f>VLOOKUP(WWWW[[#This Row],[Site Name]],SiteDB6[[Site Name]:[Location Type]],8,FALSE)</f>
        <v>New Temporary Site</v>
      </c>
      <c r="H458" s="702" t="s">
        <v>2936</v>
      </c>
      <c r="I458" s="705">
        <v>31</v>
      </c>
      <c r="J458" s="705">
        <v>127</v>
      </c>
      <c r="K458" s="706"/>
      <c r="L458" s="707"/>
      <c r="M458" s="705"/>
      <c r="N458" s="705"/>
      <c r="O458" s="705"/>
      <c r="P458" s="705"/>
      <c r="Q458" s="708"/>
      <c r="R458" s="705"/>
      <c r="S458" s="705"/>
      <c r="T458" s="312"/>
      <c r="U458" s="705"/>
      <c r="V458" s="705"/>
      <c r="W458" s="705"/>
      <c r="X458" s="705"/>
      <c r="Y458" s="705"/>
      <c r="Z458" s="705"/>
      <c r="AA458" s="705"/>
      <c r="AB458" s="705"/>
      <c r="AC458" s="705"/>
      <c r="AD458" s="705"/>
      <c r="AE458" s="705"/>
      <c r="AF458" s="705"/>
      <c r="AG458" s="705"/>
      <c r="AH458" s="705"/>
      <c r="AI458" s="705"/>
      <c r="AJ458" s="705"/>
      <c r="AK458" s="705"/>
      <c r="AL458" s="705"/>
      <c r="AM458" s="705"/>
      <c r="AN458" s="705"/>
      <c r="AO458" s="709"/>
      <c r="AP458" s="705"/>
      <c r="AQ458" s="705"/>
      <c r="AR458" s="710"/>
      <c r="AS458" s="705"/>
      <c r="AT458" s="705"/>
      <c r="AU458" s="705"/>
      <c r="AV458" s="705"/>
      <c r="AW458" s="705"/>
      <c r="AX458" s="711"/>
      <c r="AY458" s="709"/>
      <c r="AZ458" s="705"/>
      <c r="BA458" s="705"/>
      <c r="BB458" s="705"/>
      <c r="BC458" s="711"/>
      <c r="BD458" s="705"/>
      <c r="BE458" s="705"/>
      <c r="BF458" s="705"/>
      <c r="BG458" s="705"/>
      <c r="BH458" s="705"/>
      <c r="BI458" s="705"/>
      <c r="BJ458" s="705"/>
      <c r="BK458" s="705">
        <v>31</v>
      </c>
      <c r="BL458" s="705">
        <v>31</v>
      </c>
      <c r="BM458" s="711"/>
      <c r="BN458" s="712"/>
      <c r="BO458" s="710"/>
      <c r="BP458" s="711"/>
      <c r="BQ458" s="713" t="str">
        <f>IFERROR(WWWW[[#This Row],['#_Water sources treated]]/WWWW[[#This Row],['#_Water sources tested for contamination]],"no test")</f>
        <v>no test</v>
      </c>
      <c r="BR458" s="710" t="str">
        <f>IFERROR(WWWW[[#This Row],['#_Household received remediation action due to contamination]]/WWWW[[#This Row],['#_Household water samples tested for contamination]],"no test")</f>
        <v>no test</v>
      </c>
      <c r="BS458" s="712" t="str">
        <f>IF(AND(WWWW[[#This Row],[% of water sources treated]]="no test",WWWW[[#This Row],[% Household received corrective actions]]="no test"),"No Test","Tested")</f>
        <v>No Test</v>
      </c>
      <c r="BT458" s="712">
        <f>WWWW[[#This Row],['#_Constructed/existing protected hand dug well]]-WWWW[[#This Row],['#_Non-functional protected hand dug well]]</f>
        <v>0</v>
      </c>
      <c r="BU458" s="712">
        <f>(WWWW[[#This Row],['#_Constructed/Existing tube wells/boreholes/handpumps_WASH_agency]]+WWWW[[#This Row],['#_Non-Cluster partner water tube-wells/boreholes/handpumps]])-WWWW[[#This Row],['#_Non-functional tube wells/boreholes/handpumps]]</f>
        <v>0</v>
      </c>
      <c r="BV458" s="712">
        <f>WWWW[[#This Row],['#_Constructed/Existingwater storage tank with gravity fed reticulation system]]-WWWW[[#This Row],['#_Non-functional storage tank gravity fed reticulation system]]</f>
        <v>0</v>
      </c>
      <c r="BW458" s="712">
        <f>WWWW[[#This Row],['#_Water boating or water trucking]]</f>
        <v>0</v>
      </c>
      <c r="BX458" s="712">
        <f>WWWW[[#This Row],['#_Constructed/Existing water distribution system from river or natural spring]]</f>
        <v>0</v>
      </c>
      <c r="BY45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8" s="710">
        <f>IF(WWWW[[#This Row],[Location Type 1]]="Village",WWWW[[#This Row],[Access to safe drinking water for Village]],WWWW[[#This Row],[Access to safe drinking water for Camp]])</f>
        <v>0</v>
      </c>
      <c r="CB458" s="708">
        <f>WWWW[[#This Row],[%Equitable and continuous access to sufficient quantity of safe drinking water]]*WWWW[[#This Row],[Total PoP ]]</f>
        <v>0</v>
      </c>
      <c r="CC458" s="710">
        <f>IF((WWWW[[#This Row],['#_Constructed/Existing protected/fenced ponds]]*250)/WWWW[[#This Row],[Total PoP ]]&gt;1,1,(WWWW[[#This Row],['#_Constructed/Existing protected/fenced ponds]]*250)/WWWW[[#This Row],[Total PoP ]])</f>
        <v>0</v>
      </c>
      <c r="CD458" s="708">
        <f>WWWW[[#This Row],[% Access to unimproved water points]]*WWWW[[#This Row],[Total PoP ]]</f>
        <v>0</v>
      </c>
      <c r="CE45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8" s="708">
        <f>WWWW[[#This Row],[HRP1]]/500</f>
        <v>0</v>
      </c>
      <c r="CH458" s="714">
        <f>1-WWWW[[#This Row],[% Equitable and continuous access to sufficient quantity of domestic water]]</f>
        <v>1</v>
      </c>
      <c r="CI458" s="708">
        <f>WWWW[[#This Row],[%equitable and continuous access to sufficient quantity of safe drinking and domestic water''s GAP]]*WWWW[[#This Row],[Total PoP ]]</f>
        <v>127</v>
      </c>
      <c r="CJ458" s="712">
        <f>IF(WWWW[[#This Row],[Total required water points]]-WWWW[[#This Row],['#Water points coverage]]&lt;0,0,WWWW[[#This Row],[Total required water points]]-WWWW[[#This Row],['#Water points coverage]])</f>
        <v>1</v>
      </c>
      <c r="CK458" s="712">
        <f>ROUND(IF(WWWW[[#This Row],[Total PoP ]]&lt;500,1,WWWW[[#This Row],[Total PoP ]]/500),0)</f>
        <v>1</v>
      </c>
      <c r="CL458" s="712">
        <f>(WWWW[[#This Row],['#_Constructed latrines_by_WASHAgencies]]+WWWW[[#This Row],['#_Non Cluster partner latrines]])-WWWW[[#This Row],['#_Non-functional latrines]]</f>
        <v>0</v>
      </c>
      <c r="CM45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8" s="712">
        <f>IF(WWWW[[#This Row],[Location Type 1]]="Village","NA",IF(WWWW[[#This Row],['#_Constructed/Existing latrines in TLS]]*50&gt;WWWW[[#This Row],['#_students at TLS_CFS]],WWWW[[#This Row],['#_students at TLS_CFS]],(WWWW[[#This Row],['#_Constructed/Existing latrines in TLS]]*50)))</f>
        <v>0</v>
      </c>
      <c r="CQ458" s="712">
        <f>ROUND(IF(WWWW[[#This Row],[Location Type 1]]="camp",WWWW[[#This Row],[Total PoP ]]/20,IF(WWWW[[#This Row],[Location Type 1]]="Temporary Location",WWWW[[#This Row],[Total PoP ]]/50,(WWWW[[#This Row],[Total PoP ]]/6))),0)</f>
        <v>3</v>
      </c>
      <c r="CR458" s="712">
        <f>IF(WWWW[[#This Row],[Total required Latrines]]-(WWWW[[#This Row],['#_Constructed latrines_by_WASHAgencies]]+WWWW[[#This Row],['#_Non Cluster partner latrines]])&lt;0,0,WWWW[[#This Row],[Total required Latrines]]-(WWWW[[#This Row],['#_Constructed latrines_by_WASHAgencies]]+WWWW[[#This Row],['#_Non Cluster partner latrines]]))</f>
        <v>3</v>
      </c>
      <c r="CS458" s="716">
        <f>1-WWWW[[#This Row],[% people access to functioning Latrine]]</f>
        <v>1</v>
      </c>
      <c r="CT458" s="713">
        <f>IF(OR(WWWW[[#This Row],['#_Non-functional latrines]]="",WWWW[[#This Row],['#_Non-functional latrines]]=0),0,WWWW[[#This Row],['#_Non-functional latrines]]/(WWWW[[#This Row],['#_Constructed latrines_by_WASHAgencies]]+WWWW[[#This Row],['#_Non Cluster partner latrines]]))</f>
        <v>0</v>
      </c>
      <c r="CU458" s="708">
        <f>IF(500*(WWWW[[#This Row],['#_male hygiene promoters]]+WWWW[[#This Row],['#_female hygiene promoters]])&gt;WWWW[[#This Row],[Total PoP ]],WWWW[[#This Row],[Total PoP ]],500*(WWWW[[#This Row],['#_male hygiene promoters]]+WWWW[[#This Row],['#_female hygiene promoters]]))</f>
        <v>0</v>
      </c>
      <c r="CV45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127</v>
      </c>
      <c r="CW45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127</v>
      </c>
      <c r="CX458" s="712">
        <f>IF(WWWW[[#This Row],['# People with access to soap]]&gt;WWWW[[#This Row],['# People with access to Sanity Pads]],WWWW[[#This Row],['# People with access to soap]],WWWW[[#This Row],['# People with access to Sanity Pads]])</f>
        <v>127</v>
      </c>
      <c r="CY458" s="712">
        <f>IF(WWWW[[#This Row],['# people reached by regular dedicated hygiene promotion_5]]&gt;WWWW[[#This Row],['# People received regular supply of hygiene items_6]],WWWW[[#This Row],['# people reached by regular dedicated hygiene promotion_5]],WWWW[[#This Row],['# People received regular supply of hygiene items_6]])</f>
        <v>127</v>
      </c>
      <c r="CZ458" s="714">
        <f>IF(WWWW[[#This Row],[HRP3]]/WWWW[[#This Row],[Total PoP ]]&gt;100%,100%,WWWW[[#This Row],[HRP3]]/WWWW[[#This Row],[Total PoP ]])</f>
        <v>1</v>
      </c>
      <c r="DA458" s="713">
        <f>1-WWWW[[#This Row],[Hygiene Coverage%]]</f>
        <v>0</v>
      </c>
      <c r="DB458" s="710">
        <f>WWWW[[#This Row],['# people reached by regular dedicated hygiene promotion_5]]/WWWW[[#This Row],[Total PoP ]]</f>
        <v>0</v>
      </c>
      <c r="DC458" s="710">
        <f>IF(WWWW[[#This Row],['#_households that received standard amount of soap for this quarter]]/WWWW[[#This Row],[Total HH]]&gt;1,1,WWWW[[#This Row],['#_households that received standard amount of soap for this quarter]]/WWWW[[#This Row],[Total HH]])</f>
        <v>1</v>
      </c>
      <c r="DD458" s="710">
        <f>IF(WWWW[[#This Row],['#_households that received standard amount of sanitary pads for this quarter]]/WWWW[[#This Row],[Total HH]]&gt;1,1,WWWW[[#This Row],['#_households that received standard amount of sanitary pads for this quarter]]/WWWW[[#This Row],[Total HH]])</f>
        <v>1</v>
      </c>
      <c r="DE458" s="712">
        <f>WWWW[[#This Row],['#_Constructed/Existing hand washing stations]]-WWWW[[#This Row],['#_Non-Functional_hand_washing_stations]]</f>
        <v>0</v>
      </c>
      <c r="DF458" s="757">
        <f>IF(WWWW[[#This Row],['# Functional hand washing stations during reporting period]]*20&gt;WWWW[[#This Row],[Total HH]],WWWW[[#This Row],[Total HH]],WWWW[[#This Row],['# Functional hand washing stations during reporting period]]*20)</f>
        <v>0</v>
      </c>
      <c r="DG458" s="708">
        <f>IF(WWWW[[#This Row],[Is sufficient soap available for TLS? (Yes/No)]]="yes",WWWW[[#This Row],['#_Constructed/Existing hand washing stations at TLS]],0)</f>
        <v>0</v>
      </c>
      <c r="DH458" s="585">
        <f>IF(WWWW[[#This Row],['# Functional hand washing stations during reporting period]]*100&gt;WWWW[[#This Row],[Total PoP ]],WWWW[[#This Row],[Total PoP ]],WWWW[[#This Row],['# Functional hand washing stations during reporting period]]*100)</f>
        <v>0</v>
      </c>
      <c r="DI458" s="585" t="str">
        <f>IF(OR(WWWW[[#This Row],['#_students at TLS_CFS]]="",WWWW[[#This Row],['#_students at TLS_CFS]]=0),"No","Yes")</f>
        <v>No</v>
      </c>
      <c r="DJ458" s="711">
        <f>VLOOKUP(WWWW[[#This Row],[Site Name]],SiteDB6[[Site Name]:[CCCM Management]],6,FALSE)</f>
        <v>0</v>
      </c>
      <c r="DK458" s="711">
        <f>VLOOKUP(WWWW[[#This Row],[Site Name]],SiteDB6[[Site Name]:[CCCM Focal Agency]],7,FALSE)</f>
        <v>0</v>
      </c>
      <c r="DL458" s="711" t="str">
        <f>VLOOKUP(WWWW[[#This Row],[Site Name]],SiteDB6[[Site Name]:[Location Type 1]],9,FALSE)</f>
        <v>Temporary location</v>
      </c>
      <c r="DM458" s="711" t="str">
        <f>VLOOKUP(WWWW[[#This Row],[Site Name]],SiteDB6[[Site Name]:[Type of Accommodation]],10,FALSE)</f>
        <v>Temporary location</v>
      </c>
      <c r="DN458" s="711">
        <f>VLOOKUP(WWWW[[#This Row],[Site Name]],SiteDB6[[Site Name]:[Ethnic or GCA/NGCA]],11,FALSE)</f>
        <v>0</v>
      </c>
      <c r="DO458" s="711">
        <f>VLOOKUP(WWWW[[#This Row],[Site Name]],SiteDB6[[Site Name]:[Lat]],12,FALSE)</f>
        <v>0</v>
      </c>
      <c r="DP458" s="711">
        <f>VLOOKUP(WWWW[[#This Row],[Site Name]],SiteDB6[[Site Name]:[Long]],13,FALSE)</f>
        <v>0</v>
      </c>
      <c r="DQ458" s="711">
        <f>VLOOKUP(WWWW[[#This Row],[Site Name]],SiteDB6[[Site Name]:[Pcode]],3,FALSE)</f>
        <v>198369</v>
      </c>
      <c r="DR458" s="709" t="str">
        <f t="shared" si="14"/>
        <v>Covered</v>
      </c>
      <c r="DS458" s="709"/>
      <c r="DV458" s="572"/>
    </row>
    <row r="459" spans="1:126">
      <c r="A459" s="552" t="s">
        <v>2518</v>
      </c>
      <c r="B459" s="552" t="s">
        <v>2795</v>
      </c>
      <c r="C459" s="555" t="s">
        <v>387</v>
      </c>
      <c r="D459" s="555" t="s">
        <v>2796</v>
      </c>
      <c r="E459" s="735" t="s">
        <v>3005</v>
      </c>
      <c r="F459" s="555" t="s">
        <v>337</v>
      </c>
      <c r="G459" s="735" t="str">
        <f>VLOOKUP(WWWW[[#This Row],[Site Name]],SiteDB6[[Site Name]:[Location Type]],8,FALSE)</f>
        <v>New Temporary Site</v>
      </c>
      <c r="H459" s="555" t="s">
        <v>2811</v>
      </c>
      <c r="I459" s="733">
        <v>30</v>
      </c>
      <c r="J459" s="733">
        <v>123</v>
      </c>
      <c r="K459" s="564">
        <v>43480</v>
      </c>
      <c r="L459" s="565">
        <v>43723</v>
      </c>
      <c r="M459" s="557"/>
      <c r="N459" s="557"/>
      <c r="O459" s="557"/>
      <c r="P459" s="557"/>
      <c r="Q459" s="556"/>
      <c r="R459" s="557"/>
      <c r="S459" s="557"/>
      <c r="T459" s="557"/>
      <c r="U459" s="557"/>
      <c r="V459" s="557"/>
      <c r="W459" s="557"/>
      <c r="X459" s="557"/>
      <c r="Y459" s="557"/>
      <c r="Z459" s="557"/>
      <c r="AA459" s="557"/>
      <c r="AB459" s="557"/>
      <c r="AC459" s="557"/>
      <c r="AD459" s="557"/>
      <c r="AE459" s="557"/>
      <c r="AF459" s="557"/>
      <c r="AG459" s="557"/>
      <c r="AH459" s="557"/>
      <c r="AI459" s="557"/>
      <c r="AJ459" s="557"/>
      <c r="AK459" s="557"/>
      <c r="AL459" s="557"/>
      <c r="AM459" s="557"/>
      <c r="AN459" s="557"/>
      <c r="AO459" s="563"/>
      <c r="AP459" s="557"/>
      <c r="AQ459" s="557"/>
      <c r="AR459" s="559"/>
      <c r="AS459" s="557"/>
      <c r="AT459" s="557"/>
      <c r="AU459" s="557"/>
      <c r="AV459" s="557"/>
      <c r="AW459" s="557"/>
      <c r="AX459" s="554"/>
      <c r="AY459" s="563"/>
      <c r="AZ459" s="557"/>
      <c r="BA459" s="557"/>
      <c r="BB459" s="557"/>
      <c r="BC459" s="554"/>
      <c r="BD459" s="557"/>
      <c r="BE459" s="557"/>
      <c r="BF459" s="557"/>
      <c r="BG459" s="557"/>
      <c r="BH459" s="557"/>
      <c r="BI459" s="557">
        <v>30</v>
      </c>
      <c r="BJ459" s="557">
        <v>30</v>
      </c>
      <c r="BK459" s="557"/>
      <c r="BL459" s="557"/>
      <c r="BM459" s="554"/>
      <c r="BN459" s="558"/>
      <c r="BO459" s="559"/>
      <c r="BP459" s="554"/>
      <c r="BQ459" s="560" t="str">
        <f>IFERROR(WWWW[[#This Row],['#_Water sources treated]]/WWWW[[#This Row],['#_Water sources tested for contamination]],"no test")</f>
        <v>no test</v>
      </c>
      <c r="BR459" s="559" t="str">
        <f>IFERROR(WWWW[[#This Row],['#_Household received remediation action due to contamination]]/WWWW[[#This Row],['#_Household water samples tested for contamination]],"no test")</f>
        <v>no test</v>
      </c>
      <c r="BS459" s="558" t="str">
        <f>IF(AND(WWWW[[#This Row],[% of water sources treated]]="no test",WWWW[[#This Row],[% Household received corrective actions]]="no test"),"No Test","Tested")</f>
        <v>No Test</v>
      </c>
      <c r="BT459" s="558">
        <f>WWWW[[#This Row],['#_Constructed/existing protected hand dug well]]-WWWW[[#This Row],['#_Non-functional protected hand dug well]]</f>
        <v>0</v>
      </c>
      <c r="BU459" s="558">
        <f>(WWWW[[#This Row],['#_Constructed/Existing tube wells/boreholes/handpumps_WASH_agency]]+WWWW[[#This Row],['#_Non-Cluster partner water tube-wells/boreholes/handpumps]])-WWWW[[#This Row],['#_Non-functional tube wells/boreholes/handpumps]]</f>
        <v>0</v>
      </c>
      <c r="BV459" s="558">
        <f>WWWW[[#This Row],['#_Constructed/Existingwater storage tank with gravity fed reticulation system]]-WWWW[[#This Row],['#_Non-functional storage tank gravity fed reticulation system]]</f>
        <v>0</v>
      </c>
      <c r="BW459" s="558">
        <f>WWWW[[#This Row],['#_Water boating or water trucking]]</f>
        <v>0</v>
      </c>
      <c r="BX459" s="558">
        <f>WWWW[[#This Row],['#_Constructed/Existing water distribution system from river or natural spring]]</f>
        <v>0</v>
      </c>
      <c r="BY45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5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59" s="559">
        <f>IF(WWWW[[#This Row],[Location Type 1]]="Village",WWWW[[#This Row],[Access to safe drinking water for Village]],WWWW[[#This Row],[Access to safe drinking water for Camp]])</f>
        <v>0</v>
      </c>
      <c r="CB459" s="556">
        <f>WWWW[[#This Row],[%Equitable and continuous access to sufficient quantity of safe drinking water]]*WWWW[[#This Row],[Total PoP ]]</f>
        <v>0</v>
      </c>
      <c r="CC459" s="559">
        <f>IF((WWWW[[#This Row],['#_Constructed/Existing protected/fenced ponds]]*250)/WWWW[[#This Row],[Total PoP ]]&gt;1,1,(WWWW[[#This Row],['#_Constructed/Existing protected/fenced ponds]]*250)/WWWW[[#This Row],[Total PoP ]])</f>
        <v>0</v>
      </c>
      <c r="CD459" s="556">
        <f>WWWW[[#This Row],[% Access to unimproved water points]]*WWWW[[#This Row],[Total PoP ]]</f>
        <v>0</v>
      </c>
      <c r="CE45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5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59" s="556">
        <f>WWWW[[#This Row],[HRP1]]/500</f>
        <v>0</v>
      </c>
      <c r="CH459" s="561">
        <f>1-WWWW[[#This Row],[% Equitable and continuous access to sufficient quantity of domestic water]]</f>
        <v>1</v>
      </c>
      <c r="CI459" s="556">
        <f>WWWW[[#This Row],[%equitable and continuous access to sufficient quantity of safe drinking and domestic water''s GAP]]*WWWW[[#This Row],[Total PoP ]]</f>
        <v>123</v>
      </c>
      <c r="CJ459" s="558">
        <f>IF(WWWW[[#This Row],[Total required water points]]-WWWW[[#This Row],['#Water points coverage]]&lt;0,0,WWWW[[#This Row],[Total required water points]]-WWWW[[#This Row],['#Water points coverage]])</f>
        <v>1</v>
      </c>
      <c r="CK459" s="558">
        <f>ROUND(IF(WWWW[[#This Row],[Total PoP ]]&lt;500,1,WWWW[[#This Row],[Total PoP ]]/500),0)</f>
        <v>1</v>
      </c>
      <c r="CL459" s="558">
        <f>(WWWW[[#This Row],['#_Constructed latrines_by_WASHAgencies]]+WWWW[[#This Row],['#_Non Cluster partner latrines]])-WWWW[[#This Row],['#_Non-functional latrines]]</f>
        <v>0</v>
      </c>
      <c r="CM45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5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59"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59" s="558">
        <f>IF(WWWW[[#This Row],[Location Type 1]]="Village","NA",IF(WWWW[[#This Row],['#_Constructed/Existing latrines in TLS]]*50&gt;WWWW[[#This Row],['#_students at TLS_CFS]],WWWW[[#This Row],['#_students at TLS_CFS]],(WWWW[[#This Row],['#_Constructed/Existing latrines in TLS]]*50)))</f>
        <v>0</v>
      </c>
      <c r="CQ459" s="558">
        <f>ROUND(IF(WWWW[[#This Row],[Location Type 1]]="camp",WWWW[[#This Row],[Total PoP ]]/20,IF(WWWW[[#This Row],[Location Type 1]]="Temporary Location",WWWW[[#This Row],[Total PoP ]]/50,(WWWW[[#This Row],[Total PoP ]]/6))),0)</f>
        <v>2</v>
      </c>
      <c r="CR459" s="558">
        <f>IF(WWWW[[#This Row],[Total required Latrines]]-(WWWW[[#This Row],['#_Constructed latrines_by_WASHAgencies]]+WWWW[[#This Row],['#_Non Cluster partner latrines]])&lt;0,0,WWWW[[#This Row],[Total required Latrines]]-(WWWW[[#This Row],['#_Constructed latrines_by_WASHAgencies]]+WWWW[[#This Row],['#_Non Cluster partner latrines]]))</f>
        <v>2</v>
      </c>
      <c r="CS459" s="78">
        <f>1-WWWW[[#This Row],[% people access to functioning Latrine]]</f>
        <v>1</v>
      </c>
      <c r="CT459" s="560">
        <f>IF(OR(WWWW[[#This Row],['#_Non-functional latrines]]="",WWWW[[#This Row],['#_Non-functional latrines]]=0),0,WWWW[[#This Row],['#_Non-functional latrines]]/(WWWW[[#This Row],['#_Constructed latrines_by_WASHAgencies]]+WWWW[[#This Row],['#_Non Cluster partner latrines]]))</f>
        <v>0</v>
      </c>
      <c r="CU459" s="556">
        <f>IF(500*(WWWW[[#This Row],['#_male hygiene promoters]]+WWWW[[#This Row],['#_female hygiene promoters]])&gt;WWWW[[#This Row],[Total PoP ]],WWWW[[#This Row],[Total PoP ]],500*(WWWW[[#This Row],['#_male hygiene promoters]]+WWWW[[#This Row],['#_female hygiene promoters]]))</f>
        <v>123</v>
      </c>
      <c r="CV45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5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59" s="558">
        <f>IF(WWWW[[#This Row],['# People with access to soap]]&gt;WWWW[[#This Row],['# People with access to Sanity Pads]],WWWW[[#This Row],['# People with access to soap]],WWWW[[#This Row],['# People with access to Sanity Pads]])</f>
        <v>0</v>
      </c>
      <c r="CY459" s="558">
        <f>IF(WWWW[[#This Row],['# people reached by regular dedicated hygiene promotion_5]]&gt;WWWW[[#This Row],['# People received regular supply of hygiene items_6]],WWWW[[#This Row],['# people reached by regular dedicated hygiene promotion_5]],WWWW[[#This Row],['# People received regular supply of hygiene items_6]])</f>
        <v>123</v>
      </c>
      <c r="CZ459" s="561">
        <f>IF(WWWW[[#This Row],[HRP3]]/WWWW[[#This Row],[Total PoP ]]&gt;100%,100%,WWWW[[#This Row],[HRP3]]/WWWW[[#This Row],[Total PoP ]])</f>
        <v>1</v>
      </c>
      <c r="DA459" s="560">
        <f>1-WWWW[[#This Row],[Hygiene Coverage%]]</f>
        <v>0</v>
      </c>
      <c r="DB459" s="559">
        <f>WWWW[[#This Row],['# people reached by regular dedicated hygiene promotion_5]]/WWWW[[#This Row],[Total PoP ]]</f>
        <v>1</v>
      </c>
      <c r="DC459" s="559">
        <f>IF(WWWW[[#This Row],['#_households that received standard amount of soap for this quarter]]/WWWW[[#This Row],[Total HH]]&gt;1,1,WWWW[[#This Row],['#_households that received standard amount of soap for this quarter]]/WWWW[[#This Row],[Total HH]])</f>
        <v>0</v>
      </c>
      <c r="DD459" s="559">
        <f>IF(WWWW[[#This Row],['#_households that received standard amount of sanitary pads for this quarter]]/WWWW[[#This Row],[Total HH]]&gt;1,1,WWWW[[#This Row],['#_households that received standard amount of sanitary pads for this quarter]]/WWWW[[#This Row],[Total HH]])</f>
        <v>0</v>
      </c>
      <c r="DE459" s="558">
        <f>WWWW[[#This Row],['#_Constructed/Existing hand washing stations]]-WWWW[[#This Row],['#_Non-Functional_hand_washing_stations]]</f>
        <v>0</v>
      </c>
      <c r="DF459" s="757">
        <f>IF(WWWW[[#This Row],['# Functional hand washing stations during reporting period]]*20&gt;WWWW[[#This Row],[Total HH]],WWWW[[#This Row],[Total HH]],WWWW[[#This Row],['# Functional hand washing stations during reporting period]]*20)</f>
        <v>0</v>
      </c>
      <c r="DG459" s="556">
        <f>IF(WWWW[[#This Row],[Is sufficient soap available for TLS? (Yes/No)]]="yes",WWWW[[#This Row],['#_Constructed/Existing hand washing stations at TLS]],0)</f>
        <v>0</v>
      </c>
      <c r="DH459" s="556">
        <f>IF(WWWW[[#This Row],['# Functional hand washing stations during reporting period]]*100&gt;WWWW[[#This Row],[Total PoP ]],WWWW[[#This Row],[Total PoP ]],WWWW[[#This Row],['# Functional hand washing stations during reporting period]]*100)</f>
        <v>0</v>
      </c>
      <c r="DI459" s="556" t="str">
        <f>IF(OR(WWWW[[#This Row],['#_students at TLS_CFS]]="",WWWW[[#This Row],['#_students at TLS_CFS]]=0),"No","Yes")</f>
        <v>No</v>
      </c>
      <c r="DJ459" s="554">
        <f>VLOOKUP(WWWW[[#This Row],[Site Name]],SiteDB6[[Site Name]:[CCCM Management]],6,FALSE)</f>
        <v>0</v>
      </c>
      <c r="DK459" s="554">
        <f>VLOOKUP(WWWW[[#This Row],[Site Name]],SiteDB6[[Site Name]:[CCCM Focal Agency]],7,FALSE)</f>
        <v>0</v>
      </c>
      <c r="DL459" s="554" t="str">
        <f>VLOOKUP(WWWW[[#This Row],[Site Name]],SiteDB6[[Site Name]:[Location Type 1]],9,FALSE)</f>
        <v>Temporary location</v>
      </c>
      <c r="DM459" s="554" t="str">
        <f>VLOOKUP(WWWW[[#This Row],[Site Name]],SiteDB6[[Site Name]:[Type of Accommodation]],10,FALSE)</f>
        <v>Temporary location</v>
      </c>
      <c r="DN459" s="554" t="str">
        <f>VLOOKUP(WWWW[[#This Row],[Site Name]],SiteDB6[[Site Name]:[Ethnic or GCA/NGCA]],11,FALSE)</f>
        <v>Rakhine</v>
      </c>
      <c r="DO459" s="554">
        <f>VLOOKUP(WWWW[[#This Row],[Site Name]],SiteDB6[[Site Name]:[Lat]],12,FALSE)</f>
        <v>20.769779209999999</v>
      </c>
      <c r="DP459" s="554">
        <f>VLOOKUP(WWWW[[#This Row],[Site Name]],SiteDB6[[Site Name]:[Long]],13,FALSE)</f>
        <v>92.604240419999996</v>
      </c>
      <c r="DQ459" s="554">
        <f>VLOOKUP(WWWW[[#This Row],[Site Name]],SiteDB6[[Site Name]:[Pcode]],3,FALSE)</f>
        <v>198404</v>
      </c>
      <c r="DR459" s="563" t="str">
        <f t="shared" si="14"/>
        <v>Covered</v>
      </c>
      <c r="DS459" s="563"/>
      <c r="DV459" s="572"/>
    </row>
    <row r="460" spans="1:126">
      <c r="A460" s="552" t="s">
        <v>2518</v>
      </c>
      <c r="B460" s="808" t="s">
        <v>317</v>
      </c>
      <c r="C460" s="808" t="s">
        <v>317</v>
      </c>
      <c r="D460" s="702"/>
      <c r="E460" s="703" t="s">
        <v>3005</v>
      </c>
      <c r="F460" s="702" t="s">
        <v>337</v>
      </c>
      <c r="G460" s="704" t="str">
        <f>VLOOKUP(WWWW[[#This Row],[Site Name]],SiteDB6[[Site Name]:[Location Type]],8,FALSE)</f>
        <v>New Temporary Site</v>
      </c>
      <c r="H460" s="702" t="s">
        <v>3181</v>
      </c>
      <c r="I460" s="705">
        <v>58</v>
      </c>
      <c r="J460" s="705">
        <v>302</v>
      </c>
      <c r="K460" s="706"/>
      <c r="L460" s="707"/>
      <c r="M460" s="705"/>
      <c r="N460" s="705"/>
      <c r="O460" s="705"/>
      <c r="P460" s="705"/>
      <c r="Q460" s="708"/>
      <c r="R460" s="705"/>
      <c r="S460" s="705"/>
      <c r="T460" s="312"/>
      <c r="U460" s="705"/>
      <c r="V460" s="705"/>
      <c r="W460" s="705"/>
      <c r="X460" s="705"/>
      <c r="Y460" s="705"/>
      <c r="Z460" s="705"/>
      <c r="AA460" s="705"/>
      <c r="AB460" s="705"/>
      <c r="AC460" s="705"/>
      <c r="AD460" s="705"/>
      <c r="AE460" s="705"/>
      <c r="AF460" s="705"/>
      <c r="AG460" s="705"/>
      <c r="AH460" s="705"/>
      <c r="AI460" s="705"/>
      <c r="AJ460" s="705"/>
      <c r="AK460" s="705"/>
      <c r="AL460" s="705"/>
      <c r="AM460" s="705"/>
      <c r="AN460" s="705"/>
      <c r="AO460" s="709"/>
      <c r="AP460" s="705"/>
      <c r="AQ460" s="705"/>
      <c r="AR460" s="710"/>
      <c r="AS460" s="705"/>
      <c r="AT460" s="705"/>
      <c r="AU460" s="705"/>
      <c r="AV460" s="705"/>
      <c r="AW460" s="705"/>
      <c r="AX460" s="711"/>
      <c r="AY460" s="709"/>
      <c r="AZ460" s="705"/>
      <c r="BA460" s="705"/>
      <c r="BB460" s="705"/>
      <c r="BC460" s="711"/>
      <c r="BD460" s="705"/>
      <c r="BE460" s="705"/>
      <c r="BF460" s="705"/>
      <c r="BG460" s="705"/>
      <c r="BH460" s="705"/>
      <c r="BI460" s="705"/>
      <c r="BJ460" s="705"/>
      <c r="BK460" s="705"/>
      <c r="BL460" s="705"/>
      <c r="BM460" s="711"/>
      <c r="BN460" s="712"/>
      <c r="BO460" s="710"/>
      <c r="BP460" s="711"/>
      <c r="BQ460" s="713" t="str">
        <f>IFERROR(WWWW[[#This Row],['#_Water sources treated]]/WWWW[[#This Row],['#_Water sources tested for contamination]],"no test")</f>
        <v>no test</v>
      </c>
      <c r="BR460" s="710" t="str">
        <f>IFERROR(WWWW[[#This Row],['#_Household received remediation action due to contamination]]/WWWW[[#This Row],['#_Household water samples tested for contamination]],"no test")</f>
        <v>no test</v>
      </c>
      <c r="BS460" s="712" t="str">
        <f>IF(AND(WWWW[[#This Row],[% of water sources treated]]="no test",WWWW[[#This Row],[% Household received corrective actions]]="no test"),"No Test","Tested")</f>
        <v>No Test</v>
      </c>
      <c r="BT460" s="712">
        <f>WWWW[[#This Row],['#_Constructed/existing protected hand dug well]]-WWWW[[#This Row],['#_Non-functional protected hand dug well]]</f>
        <v>0</v>
      </c>
      <c r="BU460" s="712">
        <f>(WWWW[[#This Row],['#_Constructed/Existing tube wells/boreholes/handpumps_WASH_agency]]+WWWW[[#This Row],['#_Non-Cluster partner water tube-wells/boreholes/handpumps]])-WWWW[[#This Row],['#_Non-functional tube wells/boreholes/handpumps]]</f>
        <v>0</v>
      </c>
      <c r="BV460" s="712">
        <f>WWWW[[#This Row],['#_Constructed/Existingwater storage tank with gravity fed reticulation system]]-WWWW[[#This Row],['#_Non-functional storage tank gravity fed reticulation system]]</f>
        <v>0</v>
      </c>
      <c r="BW460" s="712">
        <f>WWWW[[#This Row],['#_Water boating or water trucking]]</f>
        <v>0</v>
      </c>
      <c r="BX460" s="712">
        <f>WWWW[[#This Row],['#_Constructed/Existing water distribution system from river or natural spring]]</f>
        <v>0</v>
      </c>
      <c r="BY46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0" s="710">
        <f>IF(WWWW[[#This Row],[Location Type 1]]="Village",WWWW[[#This Row],[Access to safe drinking water for Village]],WWWW[[#This Row],[Access to safe drinking water for Camp]])</f>
        <v>0</v>
      </c>
      <c r="CB460" s="708">
        <f>WWWW[[#This Row],[%Equitable and continuous access to sufficient quantity of safe drinking water]]*WWWW[[#This Row],[Total PoP ]]</f>
        <v>0</v>
      </c>
      <c r="CC460" s="710">
        <f>IF((WWWW[[#This Row],['#_Constructed/Existing protected/fenced ponds]]*250)/WWWW[[#This Row],[Total PoP ]]&gt;1,1,(WWWW[[#This Row],['#_Constructed/Existing protected/fenced ponds]]*250)/WWWW[[#This Row],[Total PoP ]])</f>
        <v>0</v>
      </c>
      <c r="CD460" s="708">
        <f>WWWW[[#This Row],[% Access to unimproved water points]]*WWWW[[#This Row],[Total PoP ]]</f>
        <v>0</v>
      </c>
      <c r="CE46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0" s="708">
        <f>WWWW[[#This Row],[HRP1]]/500</f>
        <v>0</v>
      </c>
      <c r="CH460" s="714">
        <f>1-WWWW[[#This Row],[% Equitable and continuous access to sufficient quantity of domestic water]]</f>
        <v>1</v>
      </c>
      <c r="CI460" s="708">
        <f>WWWW[[#This Row],[%equitable and continuous access to sufficient quantity of safe drinking and domestic water''s GAP]]*WWWW[[#This Row],[Total PoP ]]</f>
        <v>302</v>
      </c>
      <c r="CJ460" s="712">
        <f>IF(WWWW[[#This Row],[Total required water points]]-WWWW[[#This Row],['#Water points coverage]]&lt;0,0,WWWW[[#This Row],[Total required water points]]-WWWW[[#This Row],['#Water points coverage]])</f>
        <v>1</v>
      </c>
      <c r="CK460" s="712">
        <f>ROUND(IF(WWWW[[#This Row],[Total PoP ]]&lt;500,1,WWWW[[#This Row],[Total PoP ]]/500),0)</f>
        <v>1</v>
      </c>
      <c r="CL460" s="712">
        <f>(WWWW[[#This Row],['#_Constructed latrines_by_WASHAgencies]]+WWWW[[#This Row],['#_Non Cluster partner latrines]])-WWWW[[#This Row],['#_Non-functional latrines]]</f>
        <v>0</v>
      </c>
      <c r="CM46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0" s="712">
        <f>IF(WWWW[[#This Row],[Location Type 1]]="Village","NA",IF(WWWW[[#This Row],['#_Constructed/Existing latrines in TLS]]*50&gt;WWWW[[#This Row],['#_students at TLS_CFS]],WWWW[[#This Row],['#_students at TLS_CFS]],(WWWW[[#This Row],['#_Constructed/Existing latrines in TLS]]*50)))</f>
        <v>0</v>
      </c>
      <c r="CQ460" s="712">
        <f>ROUND(IF(WWWW[[#This Row],[Location Type 1]]="camp",WWWW[[#This Row],[Total PoP ]]/20,IF(WWWW[[#This Row],[Location Type 1]]="Temporary Location",WWWW[[#This Row],[Total PoP ]]/50,(WWWW[[#This Row],[Total PoP ]]/6))),0)</f>
        <v>6</v>
      </c>
      <c r="CR460" s="712">
        <f>IF(WWWW[[#This Row],[Total required Latrines]]-(WWWW[[#This Row],['#_Constructed latrines_by_WASHAgencies]]+WWWW[[#This Row],['#_Non Cluster partner latrines]])&lt;0,0,WWWW[[#This Row],[Total required Latrines]]-(WWWW[[#This Row],['#_Constructed latrines_by_WASHAgencies]]+WWWW[[#This Row],['#_Non Cluster partner latrines]]))</f>
        <v>6</v>
      </c>
      <c r="CS460" s="716">
        <f>1-WWWW[[#This Row],[% people access to functioning Latrine]]</f>
        <v>1</v>
      </c>
      <c r="CT460" s="713">
        <f>IF(OR(WWWW[[#This Row],['#_Non-functional latrines]]="",WWWW[[#This Row],['#_Non-functional latrines]]=0),0,WWWW[[#This Row],['#_Non-functional latrines]]/(WWWW[[#This Row],['#_Constructed latrines_by_WASHAgencies]]+WWWW[[#This Row],['#_Non Cluster partner latrines]]))</f>
        <v>0</v>
      </c>
      <c r="CU460" s="708">
        <f>IF(500*(WWWW[[#This Row],['#_male hygiene promoters]]+WWWW[[#This Row],['#_female hygiene promoters]])&gt;WWWW[[#This Row],[Total PoP ]],WWWW[[#This Row],[Total PoP ]],500*(WWWW[[#This Row],['#_male hygiene promoters]]+WWWW[[#This Row],['#_female hygiene promoters]]))</f>
        <v>0</v>
      </c>
      <c r="CV46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0" s="712">
        <f>IF(WWWW[[#This Row],['# People with access to soap]]&gt;WWWW[[#This Row],['# People with access to Sanity Pads]],WWWW[[#This Row],['# People with access to soap]],WWWW[[#This Row],['# People with access to Sanity Pads]])</f>
        <v>0</v>
      </c>
      <c r="CY46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0" s="714">
        <f>IF(WWWW[[#This Row],[HRP3]]/WWWW[[#This Row],[Total PoP ]]&gt;100%,100%,WWWW[[#This Row],[HRP3]]/WWWW[[#This Row],[Total PoP ]])</f>
        <v>0</v>
      </c>
      <c r="DA460" s="713">
        <f>1-WWWW[[#This Row],[Hygiene Coverage%]]</f>
        <v>1</v>
      </c>
      <c r="DB460" s="710">
        <f>WWWW[[#This Row],['# people reached by regular dedicated hygiene promotion_5]]/WWWW[[#This Row],[Total PoP ]]</f>
        <v>0</v>
      </c>
      <c r="DC460" s="710">
        <f>IF(WWWW[[#This Row],['#_households that received standard amount of soap for this quarter]]/WWWW[[#This Row],[Total HH]]&gt;1,1,WWWW[[#This Row],['#_households that received standard amount of soap for this quarter]]/WWWW[[#This Row],[Total HH]])</f>
        <v>0</v>
      </c>
      <c r="DD460" s="710">
        <f>IF(WWWW[[#This Row],['#_households that received standard amount of sanitary pads for this quarter]]/WWWW[[#This Row],[Total HH]]&gt;1,1,WWWW[[#This Row],['#_households that received standard amount of sanitary pads for this quarter]]/WWWW[[#This Row],[Total HH]])</f>
        <v>0</v>
      </c>
      <c r="DE460" s="712">
        <f>WWWW[[#This Row],['#_Constructed/Existing hand washing stations]]-WWWW[[#This Row],['#_Non-Functional_hand_washing_stations]]</f>
        <v>0</v>
      </c>
      <c r="DF460" s="757">
        <f>IF(WWWW[[#This Row],['# Functional hand washing stations during reporting period]]*20&gt;WWWW[[#This Row],[Total HH]],WWWW[[#This Row],[Total HH]],WWWW[[#This Row],['# Functional hand washing stations during reporting period]]*20)</f>
        <v>0</v>
      </c>
      <c r="DG460" s="708">
        <f>IF(WWWW[[#This Row],[Is sufficient soap available for TLS? (Yes/No)]]="yes",WWWW[[#This Row],['#_Constructed/Existing hand washing stations at TLS]],0)</f>
        <v>0</v>
      </c>
      <c r="DH460" s="585">
        <f>IF(WWWW[[#This Row],['# Functional hand washing stations during reporting period]]*100&gt;WWWW[[#This Row],[Total PoP ]],WWWW[[#This Row],[Total PoP ]],WWWW[[#This Row],['# Functional hand washing stations during reporting period]]*100)</f>
        <v>0</v>
      </c>
      <c r="DI460" s="585" t="str">
        <f>IF(OR(WWWW[[#This Row],['#_students at TLS_CFS]]="",WWWW[[#This Row],['#_students at TLS_CFS]]=0),"No","Yes")</f>
        <v>No</v>
      </c>
      <c r="DJ460" s="711">
        <f>VLOOKUP(WWWW[[#This Row],[Site Name]],SiteDB6[[Site Name]:[CCCM Management]],6,FALSE)</f>
        <v>0</v>
      </c>
      <c r="DK460" s="711">
        <f>VLOOKUP(WWWW[[#This Row],[Site Name]],SiteDB6[[Site Name]:[CCCM Focal Agency]],7,FALSE)</f>
        <v>0</v>
      </c>
      <c r="DL460" s="711" t="str">
        <f>VLOOKUP(WWWW[[#This Row],[Site Name]],SiteDB6[[Site Name]:[Location Type 1]],9,FALSE)</f>
        <v>Temporary location</v>
      </c>
      <c r="DM460" s="711" t="str">
        <f>VLOOKUP(WWWW[[#This Row],[Site Name]],SiteDB6[[Site Name]:[Type of Accommodation]],10,FALSE)</f>
        <v>Temporary location</v>
      </c>
      <c r="DN460" s="711">
        <f>VLOOKUP(WWWW[[#This Row],[Site Name]],SiteDB6[[Site Name]:[Ethnic or GCA/NGCA]],11,FALSE)</f>
        <v>0</v>
      </c>
      <c r="DO460" s="711">
        <f>VLOOKUP(WWWW[[#This Row],[Site Name]],SiteDB6[[Site Name]:[Lat]],12,FALSE)</f>
        <v>20.838279724121101</v>
      </c>
      <c r="DP460" s="711">
        <f>VLOOKUP(WWWW[[#This Row],[Site Name]],SiteDB6[[Site Name]:[Long]],13,FALSE)</f>
        <v>92.610900878906307</v>
      </c>
      <c r="DQ460" s="711">
        <f>VLOOKUP(WWWW[[#This Row],[Site Name]],SiteDB6[[Site Name]:[Pcode]],3,FALSE)</f>
        <v>198289</v>
      </c>
      <c r="DR460" s="709" t="str">
        <f t="shared" si="14"/>
        <v>Notcovered</v>
      </c>
      <c r="DS460" s="709"/>
      <c r="DV460" s="572"/>
    </row>
    <row r="461" spans="1:126">
      <c r="A461" s="552" t="s">
        <v>2518</v>
      </c>
      <c r="B461" s="701" t="s">
        <v>249</v>
      </c>
      <c r="C461" s="701" t="s">
        <v>249</v>
      </c>
      <c r="D461" s="702"/>
      <c r="E461" s="703" t="s">
        <v>3005</v>
      </c>
      <c r="F461" s="702" t="s">
        <v>337</v>
      </c>
      <c r="G461" s="704" t="str">
        <f>VLOOKUP(WWWW[[#This Row],[Site Name]],SiteDB6[[Site Name]:[Location Type]],8,FALSE)</f>
        <v>New Temporary Site</v>
      </c>
      <c r="H461" s="702" t="s">
        <v>2832</v>
      </c>
      <c r="I461" s="705">
        <v>57</v>
      </c>
      <c r="J461" s="705">
        <v>280</v>
      </c>
      <c r="K461" s="706"/>
      <c r="L461" s="707"/>
      <c r="M461" s="705"/>
      <c r="N461" s="705"/>
      <c r="O461" s="705"/>
      <c r="P461" s="705"/>
      <c r="Q461" s="708"/>
      <c r="R461" s="705"/>
      <c r="S461" s="705"/>
      <c r="T461" s="312"/>
      <c r="U461" s="705"/>
      <c r="V461" s="705"/>
      <c r="W461" s="705"/>
      <c r="X461" s="705"/>
      <c r="Y461" s="705"/>
      <c r="Z461" s="705"/>
      <c r="AA461" s="705"/>
      <c r="AB461" s="705"/>
      <c r="AC461" s="705"/>
      <c r="AD461" s="705"/>
      <c r="AE461" s="705"/>
      <c r="AF461" s="705"/>
      <c r="AG461" s="705"/>
      <c r="AH461" s="705"/>
      <c r="AI461" s="705"/>
      <c r="AJ461" s="705"/>
      <c r="AK461" s="705"/>
      <c r="AL461" s="705"/>
      <c r="AM461" s="705"/>
      <c r="AN461" s="705"/>
      <c r="AO461" s="709"/>
      <c r="AP461" s="705"/>
      <c r="AQ461" s="705"/>
      <c r="AR461" s="710"/>
      <c r="AS461" s="705"/>
      <c r="AT461" s="705"/>
      <c r="AU461" s="705"/>
      <c r="AV461" s="705"/>
      <c r="AW461" s="705"/>
      <c r="AX461" s="711"/>
      <c r="AY461" s="709"/>
      <c r="AZ461" s="705"/>
      <c r="BA461" s="705"/>
      <c r="BB461" s="705"/>
      <c r="BC461" s="711"/>
      <c r="BD461" s="705"/>
      <c r="BE461" s="705"/>
      <c r="BF461" s="705"/>
      <c r="BG461" s="705"/>
      <c r="BH461" s="705"/>
      <c r="BI461" s="705"/>
      <c r="BJ461" s="705"/>
      <c r="BK461" s="705">
        <v>57</v>
      </c>
      <c r="BL461" s="705">
        <v>57</v>
      </c>
      <c r="BM461" s="711"/>
      <c r="BN461" s="712"/>
      <c r="BO461" s="710"/>
      <c r="BP461" s="711"/>
      <c r="BQ461" s="713" t="str">
        <f>IFERROR(WWWW[[#This Row],['#_Water sources treated]]/WWWW[[#This Row],['#_Water sources tested for contamination]],"no test")</f>
        <v>no test</v>
      </c>
      <c r="BR461" s="710" t="str">
        <f>IFERROR(WWWW[[#This Row],['#_Household received remediation action due to contamination]]/WWWW[[#This Row],['#_Household water samples tested for contamination]],"no test")</f>
        <v>no test</v>
      </c>
      <c r="BS461" s="712" t="str">
        <f>IF(AND(WWWW[[#This Row],[% of water sources treated]]="no test",WWWW[[#This Row],[% Household received corrective actions]]="no test"),"No Test","Tested")</f>
        <v>No Test</v>
      </c>
      <c r="BT461" s="712">
        <f>WWWW[[#This Row],['#_Constructed/existing protected hand dug well]]-WWWW[[#This Row],['#_Non-functional protected hand dug well]]</f>
        <v>0</v>
      </c>
      <c r="BU461" s="712">
        <f>(WWWW[[#This Row],['#_Constructed/Existing tube wells/boreholes/handpumps_WASH_agency]]+WWWW[[#This Row],['#_Non-Cluster partner water tube-wells/boreholes/handpumps]])-WWWW[[#This Row],['#_Non-functional tube wells/boreholes/handpumps]]</f>
        <v>0</v>
      </c>
      <c r="BV461" s="712">
        <f>WWWW[[#This Row],['#_Constructed/Existingwater storage tank with gravity fed reticulation system]]-WWWW[[#This Row],['#_Non-functional storage tank gravity fed reticulation system]]</f>
        <v>0</v>
      </c>
      <c r="BW461" s="712">
        <f>WWWW[[#This Row],['#_Water boating or water trucking]]</f>
        <v>0</v>
      </c>
      <c r="BX461" s="712">
        <f>WWWW[[#This Row],['#_Constructed/Existing water distribution system from river or natural spring]]</f>
        <v>0</v>
      </c>
      <c r="BY46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1" s="710">
        <f>IF(WWWW[[#This Row],[Location Type 1]]="Village",WWWW[[#This Row],[Access to safe drinking water for Village]],WWWW[[#This Row],[Access to safe drinking water for Camp]])</f>
        <v>0</v>
      </c>
      <c r="CB461" s="708">
        <f>WWWW[[#This Row],[%Equitable and continuous access to sufficient quantity of safe drinking water]]*WWWW[[#This Row],[Total PoP ]]</f>
        <v>0</v>
      </c>
      <c r="CC461" s="710">
        <f>IF((WWWW[[#This Row],['#_Constructed/Existing protected/fenced ponds]]*250)/WWWW[[#This Row],[Total PoP ]]&gt;1,1,(WWWW[[#This Row],['#_Constructed/Existing protected/fenced ponds]]*250)/WWWW[[#This Row],[Total PoP ]])</f>
        <v>0</v>
      </c>
      <c r="CD461" s="708">
        <f>WWWW[[#This Row],[% Access to unimproved water points]]*WWWW[[#This Row],[Total PoP ]]</f>
        <v>0</v>
      </c>
      <c r="CE46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1" s="708">
        <f>WWWW[[#This Row],[HRP1]]/500</f>
        <v>0</v>
      </c>
      <c r="CH461" s="714">
        <f>1-WWWW[[#This Row],[% Equitable and continuous access to sufficient quantity of domestic water]]</f>
        <v>1</v>
      </c>
      <c r="CI461" s="708">
        <f>WWWW[[#This Row],[%equitable and continuous access to sufficient quantity of safe drinking and domestic water''s GAP]]*WWWW[[#This Row],[Total PoP ]]</f>
        <v>280</v>
      </c>
      <c r="CJ461" s="712">
        <f>IF(WWWW[[#This Row],[Total required water points]]-WWWW[[#This Row],['#Water points coverage]]&lt;0,0,WWWW[[#This Row],[Total required water points]]-WWWW[[#This Row],['#Water points coverage]])</f>
        <v>1</v>
      </c>
      <c r="CK461" s="712">
        <f>ROUND(IF(WWWW[[#This Row],[Total PoP ]]&lt;500,1,WWWW[[#This Row],[Total PoP ]]/500),0)</f>
        <v>1</v>
      </c>
      <c r="CL461" s="712">
        <f>(WWWW[[#This Row],['#_Constructed latrines_by_WASHAgencies]]+WWWW[[#This Row],['#_Non Cluster partner latrines]])-WWWW[[#This Row],['#_Non-functional latrines]]</f>
        <v>0</v>
      </c>
      <c r="CM46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1" s="712">
        <f>IF(WWWW[[#This Row],[Location Type 1]]="Village","NA",IF(WWWW[[#This Row],['#_Constructed/Existing latrines in TLS]]*50&gt;WWWW[[#This Row],['#_students at TLS_CFS]],WWWW[[#This Row],['#_students at TLS_CFS]],(WWWW[[#This Row],['#_Constructed/Existing latrines in TLS]]*50)))</f>
        <v>0</v>
      </c>
      <c r="CQ461" s="712">
        <f>ROUND(IF(WWWW[[#This Row],[Location Type 1]]="camp",WWWW[[#This Row],[Total PoP ]]/20,IF(WWWW[[#This Row],[Location Type 1]]="Temporary Location",WWWW[[#This Row],[Total PoP ]]/50,(WWWW[[#This Row],[Total PoP ]]/6))),0)</f>
        <v>6</v>
      </c>
      <c r="CR461" s="712">
        <f>IF(WWWW[[#This Row],[Total required Latrines]]-(WWWW[[#This Row],['#_Constructed latrines_by_WASHAgencies]]+WWWW[[#This Row],['#_Non Cluster partner latrines]])&lt;0,0,WWWW[[#This Row],[Total required Latrines]]-(WWWW[[#This Row],['#_Constructed latrines_by_WASHAgencies]]+WWWW[[#This Row],['#_Non Cluster partner latrines]]))</f>
        <v>6</v>
      </c>
      <c r="CS461" s="716">
        <f>1-WWWW[[#This Row],[% people access to functioning Latrine]]</f>
        <v>1</v>
      </c>
      <c r="CT461" s="713">
        <f>IF(OR(WWWW[[#This Row],['#_Non-functional latrines]]="",WWWW[[#This Row],['#_Non-functional latrines]]=0),0,WWWW[[#This Row],['#_Non-functional latrines]]/(WWWW[[#This Row],['#_Constructed latrines_by_WASHAgencies]]+WWWW[[#This Row],['#_Non Cluster partner latrines]]))</f>
        <v>0</v>
      </c>
      <c r="CU461" s="708">
        <f>IF(500*(WWWW[[#This Row],['#_male hygiene promoters]]+WWWW[[#This Row],['#_female hygiene promoters]])&gt;WWWW[[#This Row],[Total PoP ]],WWWW[[#This Row],[Total PoP ]],500*(WWWW[[#This Row],['#_male hygiene promoters]]+WWWW[[#This Row],['#_female hygiene promoters]]))</f>
        <v>0</v>
      </c>
      <c r="CV46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280</v>
      </c>
      <c r="CW46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280</v>
      </c>
      <c r="CX461" s="712">
        <f>IF(WWWW[[#This Row],['# People with access to soap]]&gt;WWWW[[#This Row],['# People with access to Sanity Pads]],WWWW[[#This Row],['# People with access to soap]],WWWW[[#This Row],['# People with access to Sanity Pads]])</f>
        <v>280</v>
      </c>
      <c r="CY461" s="712">
        <f>IF(WWWW[[#This Row],['# people reached by regular dedicated hygiene promotion_5]]&gt;WWWW[[#This Row],['# People received regular supply of hygiene items_6]],WWWW[[#This Row],['# people reached by regular dedicated hygiene promotion_5]],WWWW[[#This Row],['# People received regular supply of hygiene items_6]])</f>
        <v>280</v>
      </c>
      <c r="CZ461" s="714">
        <f>IF(WWWW[[#This Row],[HRP3]]/WWWW[[#This Row],[Total PoP ]]&gt;100%,100%,WWWW[[#This Row],[HRP3]]/WWWW[[#This Row],[Total PoP ]])</f>
        <v>1</v>
      </c>
      <c r="DA461" s="713">
        <f>1-WWWW[[#This Row],[Hygiene Coverage%]]</f>
        <v>0</v>
      </c>
      <c r="DB461" s="710">
        <f>WWWW[[#This Row],['# people reached by regular dedicated hygiene promotion_5]]/WWWW[[#This Row],[Total PoP ]]</f>
        <v>0</v>
      </c>
      <c r="DC461" s="710">
        <f>IF(WWWW[[#This Row],['#_households that received standard amount of soap for this quarter]]/WWWW[[#This Row],[Total HH]]&gt;1,1,WWWW[[#This Row],['#_households that received standard amount of soap for this quarter]]/WWWW[[#This Row],[Total HH]])</f>
        <v>1</v>
      </c>
      <c r="DD461" s="710">
        <f>IF(WWWW[[#This Row],['#_households that received standard amount of sanitary pads for this quarter]]/WWWW[[#This Row],[Total HH]]&gt;1,1,WWWW[[#This Row],['#_households that received standard amount of sanitary pads for this quarter]]/WWWW[[#This Row],[Total HH]])</f>
        <v>1</v>
      </c>
      <c r="DE461" s="712">
        <f>WWWW[[#This Row],['#_Constructed/Existing hand washing stations]]-WWWW[[#This Row],['#_Non-Functional_hand_washing_stations]]</f>
        <v>0</v>
      </c>
      <c r="DF461" s="757">
        <f>IF(WWWW[[#This Row],['# Functional hand washing stations during reporting period]]*20&gt;WWWW[[#This Row],[Total HH]],WWWW[[#This Row],[Total HH]],WWWW[[#This Row],['# Functional hand washing stations during reporting period]]*20)</f>
        <v>0</v>
      </c>
      <c r="DG461" s="708">
        <f>IF(WWWW[[#This Row],[Is sufficient soap available for TLS? (Yes/No)]]="yes",WWWW[[#This Row],['#_Constructed/Existing hand washing stations at TLS]],0)</f>
        <v>0</v>
      </c>
      <c r="DH461" s="585">
        <f>IF(WWWW[[#This Row],['# Functional hand washing stations during reporting period]]*100&gt;WWWW[[#This Row],[Total PoP ]],WWWW[[#This Row],[Total PoP ]],WWWW[[#This Row],['# Functional hand washing stations during reporting period]]*100)</f>
        <v>0</v>
      </c>
      <c r="DI461" s="585" t="str">
        <f>IF(OR(WWWW[[#This Row],['#_students at TLS_CFS]]="",WWWW[[#This Row],['#_students at TLS_CFS]]=0),"No","Yes")</f>
        <v>No</v>
      </c>
      <c r="DJ461" s="711">
        <f>VLOOKUP(WWWW[[#This Row],[Site Name]],SiteDB6[[Site Name]:[CCCM Management]],6,FALSE)</f>
        <v>0</v>
      </c>
      <c r="DK461" s="711">
        <f>VLOOKUP(WWWW[[#This Row],[Site Name]],SiteDB6[[Site Name]:[CCCM Focal Agency]],7,FALSE)</f>
        <v>0</v>
      </c>
      <c r="DL461" s="711" t="str">
        <f>VLOOKUP(WWWW[[#This Row],[Site Name]],SiteDB6[[Site Name]:[Location Type 1]],9,FALSE)</f>
        <v>Temporary location</v>
      </c>
      <c r="DM461" s="711" t="str">
        <f>VLOOKUP(WWWW[[#This Row],[Site Name]],SiteDB6[[Site Name]:[Type of Accommodation]],10,FALSE)</f>
        <v>Temporary location</v>
      </c>
      <c r="DN461" s="711">
        <f>VLOOKUP(WWWW[[#This Row],[Site Name]],SiteDB6[[Site Name]:[Ethnic or GCA/NGCA]],11,FALSE)</f>
        <v>0</v>
      </c>
      <c r="DO461" s="711">
        <f>VLOOKUP(WWWW[[#This Row],[Site Name]],SiteDB6[[Site Name]:[Lat]],12,FALSE)</f>
        <v>0</v>
      </c>
      <c r="DP461" s="711">
        <f>VLOOKUP(WWWW[[#This Row],[Site Name]],SiteDB6[[Site Name]:[Long]],13,FALSE)</f>
        <v>0</v>
      </c>
      <c r="DQ461" s="711">
        <f>VLOOKUP(WWWW[[#This Row],[Site Name]],SiteDB6[[Site Name]:[Pcode]],3,FALSE)</f>
        <v>0</v>
      </c>
      <c r="DR461" s="709" t="str">
        <f t="shared" si="14"/>
        <v>Covered</v>
      </c>
      <c r="DS461" s="709"/>
      <c r="DV461" s="572"/>
    </row>
    <row r="462" spans="1:126">
      <c r="A462" s="552" t="s">
        <v>2518</v>
      </c>
      <c r="B462" s="701" t="s">
        <v>249</v>
      </c>
      <c r="C462" s="701" t="s">
        <v>3137</v>
      </c>
      <c r="D462" s="702"/>
      <c r="E462" s="703" t="s">
        <v>3005</v>
      </c>
      <c r="F462" s="702" t="s">
        <v>337</v>
      </c>
      <c r="G462" s="704" t="str">
        <f>VLOOKUP(WWWW[[#This Row],[Site Name]],SiteDB6[[Site Name]:[Location Type]],8,FALSE)</f>
        <v>New Temporary Site</v>
      </c>
      <c r="H462" s="702" t="s">
        <v>3134</v>
      </c>
      <c r="I462" s="705">
        <v>200</v>
      </c>
      <c r="J462" s="705">
        <v>1891</v>
      </c>
      <c r="K462" s="706"/>
      <c r="L462" s="707"/>
      <c r="M462" s="705"/>
      <c r="N462" s="705"/>
      <c r="O462" s="705"/>
      <c r="P462" s="705"/>
      <c r="Q462" s="708"/>
      <c r="R462" s="705"/>
      <c r="S462" s="705"/>
      <c r="T462" s="312"/>
      <c r="U462" s="705"/>
      <c r="V462" s="705"/>
      <c r="W462" s="705"/>
      <c r="X462" s="705"/>
      <c r="Y462" s="705"/>
      <c r="Z462" s="705"/>
      <c r="AA462" s="705"/>
      <c r="AB462" s="705"/>
      <c r="AC462" s="705"/>
      <c r="AD462" s="705"/>
      <c r="AE462" s="705"/>
      <c r="AF462" s="705"/>
      <c r="AG462" s="705"/>
      <c r="AH462" s="705"/>
      <c r="AI462" s="705"/>
      <c r="AJ462" s="705"/>
      <c r="AK462" s="705"/>
      <c r="AL462" s="705"/>
      <c r="AM462" s="705"/>
      <c r="AN462" s="705"/>
      <c r="AO462" s="709"/>
      <c r="AP462" s="705"/>
      <c r="AQ462" s="705"/>
      <c r="AR462" s="710"/>
      <c r="AS462" s="705"/>
      <c r="AT462" s="705"/>
      <c r="AU462" s="705"/>
      <c r="AV462" s="705"/>
      <c r="AW462" s="705"/>
      <c r="AX462" s="711"/>
      <c r="AY462" s="709"/>
      <c r="AZ462" s="705"/>
      <c r="BA462" s="705"/>
      <c r="BB462" s="705"/>
      <c r="BC462" s="711"/>
      <c r="BD462" s="705"/>
      <c r="BE462" s="705"/>
      <c r="BF462" s="705"/>
      <c r="BG462" s="705"/>
      <c r="BH462" s="705"/>
      <c r="BI462" s="705"/>
      <c r="BJ462" s="705"/>
      <c r="BK462" s="705">
        <v>82</v>
      </c>
      <c r="BL462" s="705">
        <v>82</v>
      </c>
      <c r="BM462" s="711"/>
      <c r="BN462" s="712"/>
      <c r="BO462" s="710"/>
      <c r="BP462" s="711"/>
      <c r="BQ462" s="713" t="str">
        <f>IFERROR(WWWW[[#This Row],['#_Water sources treated]]/WWWW[[#This Row],['#_Water sources tested for contamination]],"no test")</f>
        <v>no test</v>
      </c>
      <c r="BR462" s="710" t="str">
        <f>IFERROR(WWWW[[#This Row],['#_Household received remediation action due to contamination]]/WWWW[[#This Row],['#_Household water samples tested for contamination]],"no test")</f>
        <v>no test</v>
      </c>
      <c r="BS462" s="712" t="str">
        <f>IF(AND(WWWW[[#This Row],[% of water sources treated]]="no test",WWWW[[#This Row],[% Household received corrective actions]]="no test"),"No Test","Tested")</f>
        <v>No Test</v>
      </c>
      <c r="BT462" s="712">
        <f>WWWW[[#This Row],['#_Constructed/existing protected hand dug well]]-WWWW[[#This Row],['#_Non-functional protected hand dug well]]</f>
        <v>0</v>
      </c>
      <c r="BU462" s="712">
        <f>(WWWW[[#This Row],['#_Constructed/Existing tube wells/boreholes/handpumps_WASH_agency]]+WWWW[[#This Row],['#_Non-Cluster partner water tube-wells/boreholes/handpumps]])-WWWW[[#This Row],['#_Non-functional tube wells/boreholes/handpumps]]</f>
        <v>0</v>
      </c>
      <c r="BV462" s="712">
        <f>WWWW[[#This Row],['#_Constructed/Existingwater storage tank with gravity fed reticulation system]]-WWWW[[#This Row],['#_Non-functional storage tank gravity fed reticulation system]]</f>
        <v>0</v>
      </c>
      <c r="BW462" s="712">
        <f>WWWW[[#This Row],['#_Water boating or water trucking]]</f>
        <v>0</v>
      </c>
      <c r="BX462" s="712">
        <f>WWWW[[#This Row],['#_Constructed/Existing water distribution system from river or natural spring]]</f>
        <v>0</v>
      </c>
      <c r="BY46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2" s="710">
        <f>IF(WWWW[[#This Row],[Location Type 1]]="Village",WWWW[[#This Row],[Access to safe drinking water for Village]],WWWW[[#This Row],[Access to safe drinking water for Camp]])</f>
        <v>0</v>
      </c>
      <c r="CB462" s="708">
        <f>WWWW[[#This Row],[%Equitable and continuous access to sufficient quantity of safe drinking water]]*WWWW[[#This Row],[Total PoP ]]</f>
        <v>0</v>
      </c>
      <c r="CC462" s="710">
        <f>IF((WWWW[[#This Row],['#_Constructed/Existing protected/fenced ponds]]*250)/WWWW[[#This Row],[Total PoP ]]&gt;1,1,(WWWW[[#This Row],['#_Constructed/Existing protected/fenced ponds]]*250)/WWWW[[#This Row],[Total PoP ]])</f>
        <v>0</v>
      </c>
      <c r="CD462" s="708">
        <f>WWWW[[#This Row],[% Access to unimproved water points]]*WWWW[[#This Row],[Total PoP ]]</f>
        <v>0</v>
      </c>
      <c r="CE46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2" s="708">
        <f>WWWW[[#This Row],[HRP1]]/500</f>
        <v>0</v>
      </c>
      <c r="CH462" s="714">
        <f>1-WWWW[[#This Row],[% Equitable and continuous access to sufficient quantity of domestic water]]</f>
        <v>1</v>
      </c>
      <c r="CI462" s="708">
        <f>WWWW[[#This Row],[%equitable and continuous access to sufficient quantity of safe drinking and domestic water''s GAP]]*WWWW[[#This Row],[Total PoP ]]</f>
        <v>1891</v>
      </c>
      <c r="CJ462" s="712">
        <f>IF(WWWW[[#This Row],[Total required water points]]-WWWW[[#This Row],['#Water points coverage]]&lt;0,0,WWWW[[#This Row],[Total required water points]]-WWWW[[#This Row],['#Water points coverage]])</f>
        <v>4</v>
      </c>
      <c r="CK462" s="712">
        <f>ROUND(IF(WWWW[[#This Row],[Total PoP ]]&lt;500,1,WWWW[[#This Row],[Total PoP ]]/500),0)</f>
        <v>4</v>
      </c>
      <c r="CL462" s="712">
        <f>(WWWW[[#This Row],['#_Constructed latrines_by_WASHAgencies]]+WWWW[[#This Row],['#_Non Cluster partner latrines]])-WWWW[[#This Row],['#_Non-functional latrines]]</f>
        <v>0</v>
      </c>
      <c r="CM46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2" s="712">
        <f>IF(WWWW[[#This Row],[Location Type 1]]="Village","NA",IF(WWWW[[#This Row],['#_Constructed/Existing latrines in TLS]]*50&gt;WWWW[[#This Row],['#_students at TLS_CFS]],WWWW[[#This Row],['#_students at TLS_CFS]],(WWWW[[#This Row],['#_Constructed/Existing latrines in TLS]]*50)))</f>
        <v>0</v>
      </c>
      <c r="CQ462" s="712">
        <f>ROUND(IF(WWWW[[#This Row],[Location Type 1]]="camp",WWWW[[#This Row],[Total PoP ]]/20,IF(WWWW[[#This Row],[Location Type 1]]="Temporary Location",WWWW[[#This Row],[Total PoP ]]/50,(WWWW[[#This Row],[Total PoP ]]/6))),0)</f>
        <v>38</v>
      </c>
      <c r="CR462" s="712">
        <f>IF(WWWW[[#This Row],[Total required Latrines]]-(WWWW[[#This Row],['#_Constructed latrines_by_WASHAgencies]]+WWWW[[#This Row],['#_Non Cluster partner latrines]])&lt;0,0,WWWW[[#This Row],[Total required Latrines]]-(WWWW[[#This Row],['#_Constructed latrines_by_WASHAgencies]]+WWWW[[#This Row],['#_Non Cluster partner latrines]]))</f>
        <v>38</v>
      </c>
      <c r="CS462" s="716">
        <f>1-WWWW[[#This Row],[% people access to functioning Latrine]]</f>
        <v>1</v>
      </c>
      <c r="CT462" s="713">
        <f>IF(OR(WWWW[[#This Row],['#_Non-functional latrines]]="",WWWW[[#This Row],['#_Non-functional latrines]]=0),0,WWWW[[#This Row],['#_Non-functional latrines]]/(WWWW[[#This Row],['#_Constructed latrines_by_WASHAgencies]]+WWWW[[#This Row],['#_Non Cluster partner latrines]]))</f>
        <v>0</v>
      </c>
      <c r="CU462" s="708">
        <f>IF(500*(WWWW[[#This Row],['#_male hygiene promoters]]+WWWW[[#This Row],['#_female hygiene promoters]])&gt;WWWW[[#This Row],[Total PoP ]],WWWW[[#This Row],[Total PoP ]],500*(WWWW[[#This Row],['#_male hygiene promoters]]+WWWW[[#This Row],['#_female hygiene promoters]]))</f>
        <v>0</v>
      </c>
      <c r="CV46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410</v>
      </c>
      <c r="CW46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410</v>
      </c>
      <c r="CX462" s="712">
        <f>IF(WWWW[[#This Row],['# People with access to soap]]&gt;WWWW[[#This Row],['# People with access to Sanity Pads]],WWWW[[#This Row],['# People with access to soap]],WWWW[[#This Row],['# People with access to Sanity Pads]])</f>
        <v>410</v>
      </c>
      <c r="CY462" s="712">
        <f>IF(WWWW[[#This Row],['# people reached by regular dedicated hygiene promotion_5]]&gt;WWWW[[#This Row],['# People received regular supply of hygiene items_6]],WWWW[[#This Row],['# people reached by regular dedicated hygiene promotion_5]],WWWW[[#This Row],['# People received regular supply of hygiene items_6]])</f>
        <v>410</v>
      </c>
      <c r="CZ462" s="714">
        <f>IF(WWWW[[#This Row],[HRP3]]/WWWW[[#This Row],[Total PoP ]]&gt;100%,100%,WWWW[[#This Row],[HRP3]]/WWWW[[#This Row],[Total PoP ]])</f>
        <v>0.2168164992067689</v>
      </c>
      <c r="DA462" s="713">
        <f>1-WWWW[[#This Row],[Hygiene Coverage%]]</f>
        <v>0.78318350079323107</v>
      </c>
      <c r="DB462" s="710">
        <f>WWWW[[#This Row],['# people reached by regular dedicated hygiene promotion_5]]/WWWW[[#This Row],[Total PoP ]]</f>
        <v>0</v>
      </c>
      <c r="DC462" s="710">
        <f>IF(WWWW[[#This Row],['#_households that received standard amount of soap for this quarter]]/WWWW[[#This Row],[Total HH]]&gt;1,1,WWWW[[#This Row],['#_households that received standard amount of soap for this quarter]]/WWWW[[#This Row],[Total HH]])</f>
        <v>0.41</v>
      </c>
      <c r="DD462" s="710">
        <f>IF(WWWW[[#This Row],['#_households that received standard amount of sanitary pads for this quarter]]/WWWW[[#This Row],[Total HH]]&gt;1,1,WWWW[[#This Row],['#_households that received standard amount of sanitary pads for this quarter]]/WWWW[[#This Row],[Total HH]])</f>
        <v>0.41</v>
      </c>
      <c r="DE462" s="712">
        <f>WWWW[[#This Row],['#_Constructed/Existing hand washing stations]]-WWWW[[#This Row],['#_Non-Functional_hand_washing_stations]]</f>
        <v>0</v>
      </c>
      <c r="DF462" s="757">
        <f>IF(WWWW[[#This Row],['# Functional hand washing stations during reporting period]]*20&gt;WWWW[[#This Row],[Total HH]],WWWW[[#This Row],[Total HH]],WWWW[[#This Row],['# Functional hand washing stations during reporting period]]*20)</f>
        <v>0</v>
      </c>
      <c r="DG462" s="708">
        <f>IF(WWWW[[#This Row],[Is sufficient soap available for TLS? (Yes/No)]]="yes",WWWW[[#This Row],['#_Constructed/Existing hand washing stations at TLS]],0)</f>
        <v>0</v>
      </c>
      <c r="DH462" s="585">
        <f>IF(WWWW[[#This Row],['# Functional hand washing stations during reporting period]]*100&gt;WWWW[[#This Row],[Total PoP ]],WWWW[[#This Row],[Total PoP ]],WWWW[[#This Row],['# Functional hand washing stations during reporting period]]*100)</f>
        <v>0</v>
      </c>
      <c r="DI462" s="585" t="str">
        <f>IF(OR(WWWW[[#This Row],['#_students at TLS_CFS]]="",WWWW[[#This Row],['#_students at TLS_CFS]]=0),"No","Yes")</f>
        <v>No</v>
      </c>
      <c r="DJ462" s="711">
        <f>VLOOKUP(WWWW[[#This Row],[Site Name]],SiteDB6[[Site Name]:[CCCM Management]],6,FALSE)</f>
        <v>0</v>
      </c>
      <c r="DK462" s="711">
        <f>VLOOKUP(WWWW[[#This Row],[Site Name]],SiteDB6[[Site Name]:[CCCM Focal Agency]],7,FALSE)</f>
        <v>0</v>
      </c>
      <c r="DL462" s="711" t="str">
        <f>VLOOKUP(WWWW[[#This Row],[Site Name]],SiteDB6[[Site Name]:[Location Type 1]],9,FALSE)</f>
        <v>Temporary location</v>
      </c>
      <c r="DM462" s="711" t="str">
        <f>VLOOKUP(WWWW[[#This Row],[Site Name]],SiteDB6[[Site Name]:[Type of Accommodation]],10,FALSE)</f>
        <v>Temporary location</v>
      </c>
      <c r="DN462" s="711">
        <f>VLOOKUP(WWWW[[#This Row],[Site Name]],SiteDB6[[Site Name]:[Ethnic or GCA/NGCA]],11,FALSE)</f>
        <v>0</v>
      </c>
      <c r="DO462" s="711">
        <f>VLOOKUP(WWWW[[#This Row],[Site Name]],SiteDB6[[Site Name]:[Lat]],12,FALSE)</f>
        <v>20.765670776367202</v>
      </c>
      <c r="DP462" s="711">
        <f>VLOOKUP(WWWW[[#This Row],[Site Name]],SiteDB6[[Site Name]:[Long]],13,FALSE)</f>
        <v>92.577812194824205</v>
      </c>
      <c r="DQ462" s="711">
        <f>VLOOKUP(WWWW[[#This Row],[Site Name]],SiteDB6[[Site Name]:[Pcode]],3,FALSE)</f>
        <v>198401</v>
      </c>
      <c r="DR462" s="709" t="str">
        <f t="shared" si="14"/>
        <v>Covered</v>
      </c>
      <c r="DS462" s="709"/>
      <c r="DV462" s="572"/>
    </row>
    <row r="463" spans="1:126">
      <c r="A463" s="552" t="s">
        <v>2518</v>
      </c>
      <c r="B463" s="701" t="s">
        <v>249</v>
      </c>
      <c r="C463" s="701" t="s">
        <v>249</v>
      </c>
      <c r="D463" s="702"/>
      <c r="E463" s="703" t="s">
        <v>3005</v>
      </c>
      <c r="F463" s="702" t="s">
        <v>337</v>
      </c>
      <c r="G463" s="704" t="str">
        <f>VLOOKUP(WWWW[[#This Row],[Site Name]],SiteDB6[[Site Name]:[Location Type]],8,FALSE)</f>
        <v>New Temporary Site</v>
      </c>
      <c r="H463" s="702" t="s">
        <v>3212</v>
      </c>
      <c r="I463" s="705">
        <v>10</v>
      </c>
      <c r="J463" s="705">
        <v>61</v>
      </c>
      <c r="K463" s="706"/>
      <c r="L463" s="707"/>
      <c r="M463" s="705"/>
      <c r="N463" s="705"/>
      <c r="O463" s="705"/>
      <c r="P463" s="705"/>
      <c r="Q463" s="708"/>
      <c r="R463" s="705"/>
      <c r="S463" s="705"/>
      <c r="T463" s="312"/>
      <c r="U463" s="705"/>
      <c r="V463" s="705"/>
      <c r="W463" s="705"/>
      <c r="X463" s="705"/>
      <c r="Y463" s="705"/>
      <c r="Z463" s="705"/>
      <c r="AA463" s="705"/>
      <c r="AB463" s="705"/>
      <c r="AC463" s="705"/>
      <c r="AD463" s="705"/>
      <c r="AE463" s="705"/>
      <c r="AF463" s="705"/>
      <c r="AG463" s="705"/>
      <c r="AH463" s="705"/>
      <c r="AI463" s="705"/>
      <c r="AJ463" s="705"/>
      <c r="AK463" s="705"/>
      <c r="AL463" s="705"/>
      <c r="AM463" s="705"/>
      <c r="AN463" s="705"/>
      <c r="AO463" s="709"/>
      <c r="AP463" s="705"/>
      <c r="AQ463" s="705"/>
      <c r="AR463" s="710"/>
      <c r="AS463" s="705"/>
      <c r="AT463" s="705"/>
      <c r="AU463" s="705"/>
      <c r="AV463" s="705"/>
      <c r="AW463" s="705"/>
      <c r="AX463" s="711"/>
      <c r="AY463" s="709"/>
      <c r="AZ463" s="705"/>
      <c r="BA463" s="705"/>
      <c r="BB463" s="705"/>
      <c r="BC463" s="711"/>
      <c r="BD463" s="705"/>
      <c r="BE463" s="705"/>
      <c r="BF463" s="705"/>
      <c r="BG463" s="705"/>
      <c r="BH463" s="705"/>
      <c r="BI463" s="705"/>
      <c r="BJ463" s="705"/>
      <c r="BK463" s="705">
        <v>10</v>
      </c>
      <c r="BL463" s="705">
        <v>10</v>
      </c>
      <c r="BM463" s="711"/>
      <c r="BN463" s="712"/>
      <c r="BO463" s="710"/>
      <c r="BP463" s="711"/>
      <c r="BQ463" s="713" t="str">
        <f>IFERROR(WWWW[[#This Row],['#_Water sources treated]]/WWWW[[#This Row],['#_Water sources tested for contamination]],"no test")</f>
        <v>no test</v>
      </c>
      <c r="BR463" s="710" t="str">
        <f>IFERROR(WWWW[[#This Row],['#_Household received remediation action due to contamination]]/WWWW[[#This Row],['#_Household water samples tested for contamination]],"no test")</f>
        <v>no test</v>
      </c>
      <c r="BS463" s="712" t="str">
        <f>IF(AND(WWWW[[#This Row],[% of water sources treated]]="no test",WWWW[[#This Row],[% Household received corrective actions]]="no test"),"No Test","Tested")</f>
        <v>No Test</v>
      </c>
      <c r="BT463" s="712">
        <f>WWWW[[#This Row],['#_Constructed/existing protected hand dug well]]-WWWW[[#This Row],['#_Non-functional protected hand dug well]]</f>
        <v>0</v>
      </c>
      <c r="BU463" s="712">
        <f>(WWWW[[#This Row],['#_Constructed/Existing tube wells/boreholes/handpumps_WASH_agency]]+WWWW[[#This Row],['#_Non-Cluster partner water tube-wells/boreholes/handpumps]])-WWWW[[#This Row],['#_Non-functional tube wells/boreholes/handpumps]]</f>
        <v>0</v>
      </c>
      <c r="BV463" s="712">
        <f>WWWW[[#This Row],['#_Constructed/Existingwater storage tank with gravity fed reticulation system]]-WWWW[[#This Row],['#_Non-functional storage tank gravity fed reticulation system]]</f>
        <v>0</v>
      </c>
      <c r="BW463" s="712">
        <f>WWWW[[#This Row],['#_Water boating or water trucking]]</f>
        <v>0</v>
      </c>
      <c r="BX463" s="712">
        <f>WWWW[[#This Row],['#_Constructed/Existing water distribution system from river or natural spring]]</f>
        <v>0</v>
      </c>
      <c r="BY46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3" s="710">
        <f>IF(WWWW[[#This Row],[Location Type 1]]="Village",WWWW[[#This Row],[Access to safe drinking water for Village]],WWWW[[#This Row],[Access to safe drinking water for Camp]])</f>
        <v>0</v>
      </c>
      <c r="CB463" s="708">
        <f>WWWW[[#This Row],[%Equitable and continuous access to sufficient quantity of safe drinking water]]*WWWW[[#This Row],[Total PoP ]]</f>
        <v>0</v>
      </c>
      <c r="CC463" s="710">
        <f>IF((WWWW[[#This Row],['#_Constructed/Existing protected/fenced ponds]]*250)/WWWW[[#This Row],[Total PoP ]]&gt;1,1,(WWWW[[#This Row],['#_Constructed/Existing protected/fenced ponds]]*250)/WWWW[[#This Row],[Total PoP ]])</f>
        <v>0</v>
      </c>
      <c r="CD463" s="708">
        <f>WWWW[[#This Row],[% Access to unimproved water points]]*WWWW[[#This Row],[Total PoP ]]</f>
        <v>0</v>
      </c>
      <c r="CE46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3" s="708">
        <f>WWWW[[#This Row],[HRP1]]/500</f>
        <v>0</v>
      </c>
      <c r="CH463" s="714">
        <f>1-WWWW[[#This Row],[% Equitable and continuous access to sufficient quantity of domestic water]]</f>
        <v>1</v>
      </c>
      <c r="CI463" s="708">
        <f>WWWW[[#This Row],[%equitable and continuous access to sufficient quantity of safe drinking and domestic water''s GAP]]*WWWW[[#This Row],[Total PoP ]]</f>
        <v>61</v>
      </c>
      <c r="CJ463" s="712">
        <f>IF(WWWW[[#This Row],[Total required water points]]-WWWW[[#This Row],['#Water points coverage]]&lt;0,0,WWWW[[#This Row],[Total required water points]]-WWWW[[#This Row],['#Water points coverage]])</f>
        <v>1</v>
      </c>
      <c r="CK463" s="712">
        <f>ROUND(IF(WWWW[[#This Row],[Total PoP ]]&lt;500,1,WWWW[[#This Row],[Total PoP ]]/500),0)</f>
        <v>1</v>
      </c>
      <c r="CL463" s="712">
        <f>(WWWW[[#This Row],['#_Constructed latrines_by_WASHAgencies]]+WWWW[[#This Row],['#_Non Cluster partner latrines]])-WWWW[[#This Row],['#_Non-functional latrines]]</f>
        <v>0</v>
      </c>
      <c r="CM46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3" s="712">
        <f>IF(WWWW[[#This Row],[Location Type 1]]="Village","NA",IF(WWWW[[#This Row],['#_Constructed/Existing latrines in TLS]]*50&gt;WWWW[[#This Row],['#_students at TLS_CFS]],WWWW[[#This Row],['#_students at TLS_CFS]],(WWWW[[#This Row],['#_Constructed/Existing latrines in TLS]]*50)))</f>
        <v>0</v>
      </c>
      <c r="CQ463" s="712">
        <f>ROUND(IF(WWWW[[#This Row],[Location Type 1]]="camp",WWWW[[#This Row],[Total PoP ]]/20,IF(WWWW[[#This Row],[Location Type 1]]="Temporary Location",WWWW[[#This Row],[Total PoP ]]/50,(WWWW[[#This Row],[Total PoP ]]/6))),0)</f>
        <v>1</v>
      </c>
      <c r="CR463" s="712">
        <f>IF(WWWW[[#This Row],[Total required Latrines]]-(WWWW[[#This Row],['#_Constructed latrines_by_WASHAgencies]]+WWWW[[#This Row],['#_Non Cluster partner latrines]])&lt;0,0,WWWW[[#This Row],[Total required Latrines]]-(WWWW[[#This Row],['#_Constructed latrines_by_WASHAgencies]]+WWWW[[#This Row],['#_Non Cluster partner latrines]]))</f>
        <v>1</v>
      </c>
      <c r="CS463" s="716">
        <f>1-WWWW[[#This Row],[% people access to functioning Latrine]]</f>
        <v>1</v>
      </c>
      <c r="CT463" s="713">
        <f>IF(OR(WWWW[[#This Row],['#_Non-functional latrines]]="",WWWW[[#This Row],['#_Non-functional latrines]]=0),0,WWWW[[#This Row],['#_Non-functional latrines]]/(WWWW[[#This Row],['#_Constructed latrines_by_WASHAgencies]]+WWWW[[#This Row],['#_Non Cluster partner latrines]]))</f>
        <v>0</v>
      </c>
      <c r="CU463" s="708">
        <f>IF(500*(WWWW[[#This Row],['#_male hygiene promoters]]+WWWW[[#This Row],['#_female hygiene promoters]])&gt;WWWW[[#This Row],[Total PoP ]],WWWW[[#This Row],[Total PoP ]],500*(WWWW[[#This Row],['#_male hygiene promoters]]+WWWW[[#This Row],['#_female hygiene promoters]]))</f>
        <v>0</v>
      </c>
      <c r="CV46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v>
      </c>
      <c r="CW46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61</v>
      </c>
      <c r="CX463" s="712">
        <f>IF(WWWW[[#This Row],['# People with access to soap]]&gt;WWWW[[#This Row],['# People with access to Sanity Pads]],WWWW[[#This Row],['# People with access to soap]],WWWW[[#This Row],['# People with access to Sanity Pads]])</f>
        <v>61</v>
      </c>
      <c r="CY463" s="712">
        <f>IF(WWWW[[#This Row],['# people reached by regular dedicated hygiene promotion_5]]&gt;WWWW[[#This Row],['# People received regular supply of hygiene items_6]],WWWW[[#This Row],['# people reached by regular dedicated hygiene promotion_5]],WWWW[[#This Row],['# People received regular supply of hygiene items_6]])</f>
        <v>61</v>
      </c>
      <c r="CZ463" s="714">
        <f>IF(WWWW[[#This Row],[HRP3]]/WWWW[[#This Row],[Total PoP ]]&gt;100%,100%,WWWW[[#This Row],[HRP3]]/WWWW[[#This Row],[Total PoP ]])</f>
        <v>1</v>
      </c>
      <c r="DA463" s="713">
        <f>1-WWWW[[#This Row],[Hygiene Coverage%]]</f>
        <v>0</v>
      </c>
      <c r="DB463" s="710">
        <f>WWWW[[#This Row],['# people reached by regular dedicated hygiene promotion_5]]/WWWW[[#This Row],[Total PoP ]]</f>
        <v>0</v>
      </c>
      <c r="DC463" s="710">
        <f>IF(WWWW[[#This Row],['#_households that received standard amount of soap for this quarter]]/WWWW[[#This Row],[Total HH]]&gt;1,1,WWWW[[#This Row],['#_households that received standard amount of soap for this quarter]]/WWWW[[#This Row],[Total HH]])</f>
        <v>1</v>
      </c>
      <c r="DD463" s="710">
        <f>IF(WWWW[[#This Row],['#_households that received standard amount of sanitary pads for this quarter]]/WWWW[[#This Row],[Total HH]]&gt;1,1,WWWW[[#This Row],['#_households that received standard amount of sanitary pads for this quarter]]/WWWW[[#This Row],[Total HH]])</f>
        <v>1</v>
      </c>
      <c r="DE463" s="712">
        <f>WWWW[[#This Row],['#_Constructed/Existing hand washing stations]]-WWWW[[#This Row],['#_Non-Functional_hand_washing_stations]]</f>
        <v>0</v>
      </c>
      <c r="DF463" s="757">
        <f>IF(WWWW[[#This Row],['# Functional hand washing stations during reporting period]]*20&gt;WWWW[[#This Row],[Total HH]],WWWW[[#This Row],[Total HH]],WWWW[[#This Row],['# Functional hand washing stations during reporting period]]*20)</f>
        <v>0</v>
      </c>
      <c r="DG463" s="708">
        <f>IF(WWWW[[#This Row],[Is sufficient soap available for TLS? (Yes/No)]]="yes",WWWW[[#This Row],['#_Constructed/Existing hand washing stations at TLS]],0)</f>
        <v>0</v>
      </c>
      <c r="DH463" s="585">
        <f>IF(WWWW[[#This Row],['# Functional hand washing stations during reporting period]]*100&gt;WWWW[[#This Row],[Total PoP ]],WWWW[[#This Row],[Total PoP ]],WWWW[[#This Row],['# Functional hand washing stations during reporting period]]*100)</f>
        <v>0</v>
      </c>
      <c r="DI463" s="585" t="str">
        <f>IF(OR(WWWW[[#This Row],['#_students at TLS_CFS]]="",WWWW[[#This Row],['#_students at TLS_CFS]]=0),"No","Yes")</f>
        <v>No</v>
      </c>
      <c r="DJ463" s="711">
        <f>VLOOKUP(WWWW[[#This Row],[Site Name]],SiteDB6[[Site Name]:[CCCM Management]],6,FALSE)</f>
        <v>0</v>
      </c>
      <c r="DK463" s="711">
        <f>VLOOKUP(WWWW[[#This Row],[Site Name]],SiteDB6[[Site Name]:[CCCM Focal Agency]],7,FALSE)</f>
        <v>0</v>
      </c>
      <c r="DL463" s="711" t="str">
        <f>VLOOKUP(WWWW[[#This Row],[Site Name]],SiteDB6[[Site Name]:[Location Type 1]],9,FALSE)</f>
        <v>Temporary location</v>
      </c>
      <c r="DM463" s="711" t="str">
        <f>VLOOKUP(WWWW[[#This Row],[Site Name]],SiteDB6[[Site Name]:[Type of Accommodation]],10,FALSE)</f>
        <v>Temporary location</v>
      </c>
      <c r="DN463" s="711">
        <f>VLOOKUP(WWWW[[#This Row],[Site Name]],SiteDB6[[Site Name]:[Ethnic or GCA/NGCA]],11,FALSE)</f>
        <v>0</v>
      </c>
      <c r="DO463" s="711">
        <f>VLOOKUP(WWWW[[#This Row],[Site Name]],SiteDB6[[Site Name]:[Lat]],12,FALSE)</f>
        <v>0</v>
      </c>
      <c r="DP463" s="711">
        <f>VLOOKUP(WWWW[[#This Row],[Site Name]],SiteDB6[[Site Name]:[Long]],13,FALSE)</f>
        <v>0</v>
      </c>
      <c r="DQ463" s="711">
        <f>VLOOKUP(WWWW[[#This Row],[Site Name]],SiteDB6[[Site Name]:[Pcode]],3,FALSE)</f>
        <v>198362</v>
      </c>
      <c r="DR463" s="709" t="str">
        <f t="shared" si="14"/>
        <v>Covered</v>
      </c>
      <c r="DS463" s="709"/>
      <c r="DV463" s="572"/>
    </row>
    <row r="464" spans="1:126">
      <c r="A464" s="552" t="s">
        <v>2518</v>
      </c>
      <c r="B464" s="701" t="s">
        <v>249</v>
      </c>
      <c r="C464" s="701" t="s">
        <v>3137</v>
      </c>
      <c r="D464" s="702"/>
      <c r="E464" s="703" t="s">
        <v>3005</v>
      </c>
      <c r="F464" s="702" t="s">
        <v>337</v>
      </c>
      <c r="G464" s="704" t="str">
        <f>VLOOKUP(WWWW[[#This Row],[Site Name]],SiteDB6[[Site Name]:[Location Type]],8,FALSE)</f>
        <v>New Temporary Site</v>
      </c>
      <c r="H464" s="702" t="s">
        <v>3135</v>
      </c>
      <c r="I464" s="705">
        <v>41</v>
      </c>
      <c r="J464" s="705">
        <v>166</v>
      </c>
      <c r="K464" s="706"/>
      <c r="L464" s="707"/>
      <c r="M464" s="705"/>
      <c r="N464" s="705"/>
      <c r="O464" s="705"/>
      <c r="P464" s="705"/>
      <c r="Q464" s="708"/>
      <c r="R464" s="705"/>
      <c r="S464" s="705"/>
      <c r="T464" s="312"/>
      <c r="U464" s="705"/>
      <c r="V464" s="705"/>
      <c r="W464" s="705"/>
      <c r="X464" s="705"/>
      <c r="Y464" s="705"/>
      <c r="Z464" s="705"/>
      <c r="AA464" s="705"/>
      <c r="AB464" s="705"/>
      <c r="AC464" s="705"/>
      <c r="AD464" s="705"/>
      <c r="AE464" s="705"/>
      <c r="AF464" s="705"/>
      <c r="AG464" s="705"/>
      <c r="AH464" s="705"/>
      <c r="AI464" s="705"/>
      <c r="AJ464" s="705"/>
      <c r="AK464" s="705"/>
      <c r="AL464" s="705"/>
      <c r="AM464" s="705"/>
      <c r="AN464" s="705"/>
      <c r="AO464" s="709"/>
      <c r="AP464" s="705"/>
      <c r="AQ464" s="705"/>
      <c r="AR464" s="710"/>
      <c r="AS464" s="705"/>
      <c r="AT464" s="705"/>
      <c r="AU464" s="705"/>
      <c r="AV464" s="705"/>
      <c r="AW464" s="705"/>
      <c r="AX464" s="711"/>
      <c r="AY464" s="709"/>
      <c r="AZ464" s="705"/>
      <c r="BA464" s="705"/>
      <c r="BB464" s="705"/>
      <c r="BC464" s="711"/>
      <c r="BD464" s="705"/>
      <c r="BE464" s="705"/>
      <c r="BF464" s="705"/>
      <c r="BG464" s="705"/>
      <c r="BH464" s="705"/>
      <c r="BI464" s="705"/>
      <c r="BJ464" s="705"/>
      <c r="BK464" s="705"/>
      <c r="BL464" s="705"/>
      <c r="BM464" s="711"/>
      <c r="BN464" s="712"/>
      <c r="BO464" s="710"/>
      <c r="BP464" s="711"/>
      <c r="BQ464" s="713" t="str">
        <f>IFERROR(WWWW[[#This Row],['#_Water sources treated]]/WWWW[[#This Row],['#_Water sources tested for contamination]],"no test")</f>
        <v>no test</v>
      </c>
      <c r="BR464" s="710" t="str">
        <f>IFERROR(WWWW[[#This Row],['#_Household received remediation action due to contamination]]/WWWW[[#This Row],['#_Household water samples tested for contamination]],"no test")</f>
        <v>no test</v>
      </c>
      <c r="BS464" s="712" t="str">
        <f>IF(AND(WWWW[[#This Row],[% of water sources treated]]="no test",WWWW[[#This Row],[% Household received corrective actions]]="no test"),"No Test","Tested")</f>
        <v>No Test</v>
      </c>
      <c r="BT464" s="712">
        <f>WWWW[[#This Row],['#_Constructed/existing protected hand dug well]]-WWWW[[#This Row],['#_Non-functional protected hand dug well]]</f>
        <v>0</v>
      </c>
      <c r="BU464" s="712">
        <f>(WWWW[[#This Row],['#_Constructed/Existing tube wells/boreholes/handpumps_WASH_agency]]+WWWW[[#This Row],['#_Non-Cluster partner water tube-wells/boreholes/handpumps]])-WWWW[[#This Row],['#_Non-functional tube wells/boreholes/handpumps]]</f>
        <v>0</v>
      </c>
      <c r="BV464" s="712">
        <f>WWWW[[#This Row],['#_Constructed/Existingwater storage tank with gravity fed reticulation system]]-WWWW[[#This Row],['#_Non-functional storage tank gravity fed reticulation system]]</f>
        <v>0</v>
      </c>
      <c r="BW464" s="712">
        <f>WWWW[[#This Row],['#_Water boating or water trucking]]</f>
        <v>0</v>
      </c>
      <c r="BX464" s="712">
        <f>WWWW[[#This Row],['#_Constructed/Existing water distribution system from river or natural spring]]</f>
        <v>0</v>
      </c>
      <c r="BY46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4" s="710">
        <f>IF(WWWW[[#This Row],[Location Type 1]]="Village",WWWW[[#This Row],[Access to safe drinking water for Village]],WWWW[[#This Row],[Access to safe drinking water for Camp]])</f>
        <v>0</v>
      </c>
      <c r="CB464" s="708">
        <f>WWWW[[#This Row],[%Equitable and continuous access to sufficient quantity of safe drinking water]]*WWWW[[#This Row],[Total PoP ]]</f>
        <v>0</v>
      </c>
      <c r="CC464" s="710">
        <f>IF((WWWW[[#This Row],['#_Constructed/Existing protected/fenced ponds]]*250)/WWWW[[#This Row],[Total PoP ]]&gt;1,1,(WWWW[[#This Row],['#_Constructed/Existing protected/fenced ponds]]*250)/WWWW[[#This Row],[Total PoP ]])</f>
        <v>0</v>
      </c>
      <c r="CD464" s="708">
        <f>WWWW[[#This Row],[% Access to unimproved water points]]*WWWW[[#This Row],[Total PoP ]]</f>
        <v>0</v>
      </c>
      <c r="CE46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4" s="708">
        <f>WWWW[[#This Row],[HRP1]]/500</f>
        <v>0</v>
      </c>
      <c r="CH464" s="714">
        <f>1-WWWW[[#This Row],[% Equitable and continuous access to sufficient quantity of domestic water]]</f>
        <v>1</v>
      </c>
      <c r="CI464" s="708">
        <f>WWWW[[#This Row],[%equitable and continuous access to sufficient quantity of safe drinking and domestic water''s GAP]]*WWWW[[#This Row],[Total PoP ]]</f>
        <v>166</v>
      </c>
      <c r="CJ464" s="712">
        <f>IF(WWWW[[#This Row],[Total required water points]]-WWWW[[#This Row],['#Water points coverage]]&lt;0,0,WWWW[[#This Row],[Total required water points]]-WWWW[[#This Row],['#Water points coverage]])</f>
        <v>1</v>
      </c>
      <c r="CK464" s="712">
        <f>ROUND(IF(WWWW[[#This Row],[Total PoP ]]&lt;500,1,WWWW[[#This Row],[Total PoP ]]/500),0)</f>
        <v>1</v>
      </c>
      <c r="CL464" s="712">
        <f>(WWWW[[#This Row],['#_Constructed latrines_by_WASHAgencies]]+WWWW[[#This Row],['#_Non Cluster partner latrines]])-WWWW[[#This Row],['#_Non-functional latrines]]</f>
        <v>0</v>
      </c>
      <c r="CM46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4" s="712">
        <f>IF(WWWW[[#This Row],[Location Type 1]]="Village","NA",IF(WWWW[[#This Row],['#_Constructed/Existing latrines in TLS]]*50&gt;WWWW[[#This Row],['#_students at TLS_CFS]],WWWW[[#This Row],['#_students at TLS_CFS]],(WWWW[[#This Row],['#_Constructed/Existing latrines in TLS]]*50)))</f>
        <v>0</v>
      </c>
      <c r="CQ464" s="712">
        <f>ROUND(IF(WWWW[[#This Row],[Location Type 1]]="camp",WWWW[[#This Row],[Total PoP ]]/20,IF(WWWW[[#This Row],[Location Type 1]]="Temporary Location",WWWW[[#This Row],[Total PoP ]]/50,(WWWW[[#This Row],[Total PoP ]]/6))),0)</f>
        <v>3</v>
      </c>
      <c r="CR464" s="712">
        <f>IF(WWWW[[#This Row],[Total required Latrines]]-(WWWW[[#This Row],['#_Constructed latrines_by_WASHAgencies]]+WWWW[[#This Row],['#_Non Cluster partner latrines]])&lt;0,0,WWWW[[#This Row],[Total required Latrines]]-(WWWW[[#This Row],['#_Constructed latrines_by_WASHAgencies]]+WWWW[[#This Row],['#_Non Cluster partner latrines]]))</f>
        <v>3</v>
      </c>
      <c r="CS464" s="716">
        <f>1-WWWW[[#This Row],[% people access to functioning Latrine]]</f>
        <v>1</v>
      </c>
      <c r="CT464" s="713">
        <f>IF(OR(WWWW[[#This Row],['#_Non-functional latrines]]="",WWWW[[#This Row],['#_Non-functional latrines]]=0),0,WWWW[[#This Row],['#_Non-functional latrines]]/(WWWW[[#This Row],['#_Constructed latrines_by_WASHAgencies]]+WWWW[[#This Row],['#_Non Cluster partner latrines]]))</f>
        <v>0</v>
      </c>
      <c r="CU464" s="708">
        <f>IF(500*(WWWW[[#This Row],['#_male hygiene promoters]]+WWWW[[#This Row],['#_female hygiene promoters]])&gt;WWWW[[#This Row],[Total PoP ]],WWWW[[#This Row],[Total PoP ]],500*(WWWW[[#This Row],['#_male hygiene promoters]]+WWWW[[#This Row],['#_female hygiene promoters]]))</f>
        <v>0</v>
      </c>
      <c r="CV46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4" s="712">
        <f>IF(WWWW[[#This Row],['# People with access to soap]]&gt;WWWW[[#This Row],['# People with access to Sanity Pads]],WWWW[[#This Row],['# People with access to soap]],WWWW[[#This Row],['# People with access to Sanity Pads]])</f>
        <v>0</v>
      </c>
      <c r="CY46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4" s="714">
        <f>IF(WWWW[[#This Row],[HRP3]]/WWWW[[#This Row],[Total PoP ]]&gt;100%,100%,WWWW[[#This Row],[HRP3]]/WWWW[[#This Row],[Total PoP ]])</f>
        <v>0</v>
      </c>
      <c r="DA464" s="713">
        <f>1-WWWW[[#This Row],[Hygiene Coverage%]]</f>
        <v>1</v>
      </c>
      <c r="DB464" s="710">
        <f>WWWW[[#This Row],['# people reached by regular dedicated hygiene promotion_5]]/WWWW[[#This Row],[Total PoP ]]</f>
        <v>0</v>
      </c>
      <c r="DC464" s="710">
        <f>IF(WWWW[[#This Row],['#_households that received standard amount of soap for this quarter]]/WWWW[[#This Row],[Total HH]]&gt;1,1,WWWW[[#This Row],['#_households that received standard amount of soap for this quarter]]/WWWW[[#This Row],[Total HH]])</f>
        <v>0</v>
      </c>
      <c r="DD464" s="710">
        <f>IF(WWWW[[#This Row],['#_households that received standard amount of sanitary pads for this quarter]]/WWWW[[#This Row],[Total HH]]&gt;1,1,WWWW[[#This Row],['#_households that received standard amount of sanitary pads for this quarter]]/WWWW[[#This Row],[Total HH]])</f>
        <v>0</v>
      </c>
      <c r="DE464" s="712">
        <f>WWWW[[#This Row],['#_Constructed/Existing hand washing stations]]-WWWW[[#This Row],['#_Non-Functional_hand_washing_stations]]</f>
        <v>0</v>
      </c>
      <c r="DF464" s="757">
        <f>IF(WWWW[[#This Row],['# Functional hand washing stations during reporting period]]*20&gt;WWWW[[#This Row],[Total HH]],WWWW[[#This Row],[Total HH]],WWWW[[#This Row],['# Functional hand washing stations during reporting period]]*20)</f>
        <v>0</v>
      </c>
      <c r="DG464" s="708">
        <f>IF(WWWW[[#This Row],[Is sufficient soap available for TLS? (Yes/No)]]="yes",WWWW[[#This Row],['#_Constructed/Existing hand washing stations at TLS]],0)</f>
        <v>0</v>
      </c>
      <c r="DH464" s="585">
        <f>IF(WWWW[[#This Row],['# Functional hand washing stations during reporting period]]*100&gt;WWWW[[#This Row],[Total PoP ]],WWWW[[#This Row],[Total PoP ]],WWWW[[#This Row],['# Functional hand washing stations during reporting period]]*100)</f>
        <v>0</v>
      </c>
      <c r="DI464" s="585" t="str">
        <f>IF(OR(WWWW[[#This Row],['#_students at TLS_CFS]]="",WWWW[[#This Row],['#_students at TLS_CFS]]=0),"No","Yes")</f>
        <v>No</v>
      </c>
      <c r="DJ464" s="711">
        <f>VLOOKUP(WWWW[[#This Row],[Site Name]],SiteDB6[[Site Name]:[CCCM Management]],6,FALSE)</f>
        <v>0</v>
      </c>
      <c r="DK464" s="711">
        <f>VLOOKUP(WWWW[[#This Row],[Site Name]],SiteDB6[[Site Name]:[CCCM Focal Agency]],7,FALSE)</f>
        <v>0</v>
      </c>
      <c r="DL464" s="711" t="str">
        <f>VLOOKUP(WWWW[[#This Row],[Site Name]],SiteDB6[[Site Name]:[Location Type 1]],9,FALSE)</f>
        <v>Temporary location</v>
      </c>
      <c r="DM464" s="711" t="str">
        <f>VLOOKUP(WWWW[[#This Row],[Site Name]],SiteDB6[[Site Name]:[Type of Accommodation]],10,FALSE)</f>
        <v>Temporary location</v>
      </c>
      <c r="DN464" s="711">
        <f>VLOOKUP(WWWW[[#This Row],[Site Name]],SiteDB6[[Site Name]:[Ethnic or GCA/NGCA]],11,FALSE)</f>
        <v>0</v>
      </c>
      <c r="DO464" s="711">
        <f>VLOOKUP(WWWW[[#This Row],[Site Name]],SiteDB6[[Site Name]:[Lat]],12,FALSE)</f>
        <v>0</v>
      </c>
      <c r="DP464" s="711">
        <f>VLOOKUP(WWWW[[#This Row],[Site Name]],SiteDB6[[Site Name]:[Long]],13,FALSE)</f>
        <v>0</v>
      </c>
      <c r="DQ464" s="711">
        <f>VLOOKUP(WWWW[[#This Row],[Site Name]],SiteDB6[[Site Name]:[Pcode]],3,FALSE)</f>
        <v>0</v>
      </c>
      <c r="DR464" s="709" t="str">
        <f t="shared" si="14"/>
        <v>Covered</v>
      </c>
      <c r="DS464" s="709"/>
      <c r="DV464" s="572"/>
    </row>
    <row r="465" spans="1:126">
      <c r="A465" s="552" t="s">
        <v>2518</v>
      </c>
      <c r="B465" s="701" t="s">
        <v>249</v>
      </c>
      <c r="C465" s="701" t="s">
        <v>249</v>
      </c>
      <c r="D465" s="702"/>
      <c r="E465" s="703" t="s">
        <v>3005</v>
      </c>
      <c r="F465" s="702" t="s">
        <v>337</v>
      </c>
      <c r="G465" s="704" t="str">
        <f>VLOOKUP(WWWW[[#This Row],[Site Name]],SiteDB6[[Site Name]:[Location Type]],8,FALSE)</f>
        <v>New Temporary Site</v>
      </c>
      <c r="H465" s="702" t="s">
        <v>2833</v>
      </c>
      <c r="I465" s="705">
        <v>55</v>
      </c>
      <c r="J465" s="705">
        <v>314</v>
      </c>
      <c r="K465" s="706"/>
      <c r="L465" s="707"/>
      <c r="M465" s="705"/>
      <c r="N465" s="705"/>
      <c r="O465" s="705"/>
      <c r="P465" s="705"/>
      <c r="Q465" s="708"/>
      <c r="R465" s="705"/>
      <c r="S465" s="705"/>
      <c r="T465" s="312"/>
      <c r="U465" s="705"/>
      <c r="V465" s="705"/>
      <c r="W465" s="705"/>
      <c r="X465" s="705"/>
      <c r="Y465" s="705"/>
      <c r="Z465" s="705"/>
      <c r="AA465" s="705"/>
      <c r="AB465" s="705"/>
      <c r="AC465" s="705"/>
      <c r="AD465" s="705"/>
      <c r="AE465" s="705"/>
      <c r="AF465" s="705"/>
      <c r="AG465" s="705"/>
      <c r="AH465" s="705"/>
      <c r="AI465" s="705"/>
      <c r="AJ465" s="705"/>
      <c r="AK465" s="705"/>
      <c r="AL465" s="705"/>
      <c r="AM465" s="705"/>
      <c r="AN465" s="705"/>
      <c r="AO465" s="709"/>
      <c r="AP465" s="705"/>
      <c r="AQ465" s="705"/>
      <c r="AR465" s="710"/>
      <c r="AS465" s="705"/>
      <c r="AT465" s="705"/>
      <c r="AU465" s="705"/>
      <c r="AV465" s="705"/>
      <c r="AW465" s="705"/>
      <c r="AX465" s="711"/>
      <c r="AY465" s="709"/>
      <c r="AZ465" s="705"/>
      <c r="BA465" s="705"/>
      <c r="BB465" s="705"/>
      <c r="BC465" s="711"/>
      <c r="BD465" s="705"/>
      <c r="BE465" s="705"/>
      <c r="BF465" s="705"/>
      <c r="BG465" s="705"/>
      <c r="BH465" s="705"/>
      <c r="BI465" s="705"/>
      <c r="BJ465" s="705"/>
      <c r="BK465" s="705">
        <v>55</v>
      </c>
      <c r="BL465" s="705">
        <v>55</v>
      </c>
      <c r="BM465" s="711"/>
      <c r="BN465" s="712"/>
      <c r="BO465" s="710"/>
      <c r="BP465" s="711"/>
      <c r="BQ465" s="713" t="str">
        <f>IFERROR(WWWW[[#This Row],['#_Water sources treated]]/WWWW[[#This Row],['#_Water sources tested for contamination]],"no test")</f>
        <v>no test</v>
      </c>
      <c r="BR465" s="710" t="str">
        <f>IFERROR(WWWW[[#This Row],['#_Household received remediation action due to contamination]]/WWWW[[#This Row],['#_Household water samples tested for contamination]],"no test")</f>
        <v>no test</v>
      </c>
      <c r="BS465" s="712" t="str">
        <f>IF(AND(WWWW[[#This Row],[% of water sources treated]]="no test",WWWW[[#This Row],[% Household received corrective actions]]="no test"),"No Test","Tested")</f>
        <v>No Test</v>
      </c>
      <c r="BT465" s="712">
        <f>WWWW[[#This Row],['#_Constructed/existing protected hand dug well]]-WWWW[[#This Row],['#_Non-functional protected hand dug well]]</f>
        <v>0</v>
      </c>
      <c r="BU465" s="712">
        <f>(WWWW[[#This Row],['#_Constructed/Existing tube wells/boreholes/handpumps_WASH_agency]]+WWWW[[#This Row],['#_Non-Cluster partner water tube-wells/boreholes/handpumps]])-WWWW[[#This Row],['#_Non-functional tube wells/boreholes/handpumps]]</f>
        <v>0</v>
      </c>
      <c r="BV465" s="712">
        <f>WWWW[[#This Row],['#_Constructed/Existingwater storage tank with gravity fed reticulation system]]-WWWW[[#This Row],['#_Non-functional storage tank gravity fed reticulation system]]</f>
        <v>0</v>
      </c>
      <c r="BW465" s="712">
        <f>WWWW[[#This Row],['#_Water boating or water trucking]]</f>
        <v>0</v>
      </c>
      <c r="BX465" s="712">
        <f>WWWW[[#This Row],['#_Constructed/Existing water distribution system from river or natural spring]]</f>
        <v>0</v>
      </c>
      <c r="BY46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5" s="710">
        <f>IF(WWWW[[#This Row],[Location Type 1]]="Village",WWWW[[#This Row],[Access to safe drinking water for Village]],WWWW[[#This Row],[Access to safe drinking water for Camp]])</f>
        <v>0</v>
      </c>
      <c r="CB465" s="708">
        <f>WWWW[[#This Row],[%Equitable and continuous access to sufficient quantity of safe drinking water]]*WWWW[[#This Row],[Total PoP ]]</f>
        <v>0</v>
      </c>
      <c r="CC465" s="710">
        <f>IF((WWWW[[#This Row],['#_Constructed/Existing protected/fenced ponds]]*250)/WWWW[[#This Row],[Total PoP ]]&gt;1,1,(WWWW[[#This Row],['#_Constructed/Existing protected/fenced ponds]]*250)/WWWW[[#This Row],[Total PoP ]])</f>
        <v>0</v>
      </c>
      <c r="CD465" s="708">
        <f>WWWW[[#This Row],[% Access to unimproved water points]]*WWWW[[#This Row],[Total PoP ]]</f>
        <v>0</v>
      </c>
      <c r="CE46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5" s="708">
        <f>WWWW[[#This Row],[HRP1]]/500</f>
        <v>0</v>
      </c>
      <c r="CH465" s="714">
        <f>1-WWWW[[#This Row],[% Equitable and continuous access to sufficient quantity of domestic water]]</f>
        <v>1</v>
      </c>
      <c r="CI465" s="708">
        <f>WWWW[[#This Row],[%equitable and continuous access to sufficient quantity of safe drinking and domestic water''s GAP]]*WWWW[[#This Row],[Total PoP ]]</f>
        <v>314</v>
      </c>
      <c r="CJ465" s="712">
        <f>IF(WWWW[[#This Row],[Total required water points]]-WWWW[[#This Row],['#Water points coverage]]&lt;0,0,WWWW[[#This Row],[Total required water points]]-WWWW[[#This Row],['#Water points coverage]])</f>
        <v>1</v>
      </c>
      <c r="CK465" s="712">
        <f>ROUND(IF(WWWW[[#This Row],[Total PoP ]]&lt;500,1,WWWW[[#This Row],[Total PoP ]]/500),0)</f>
        <v>1</v>
      </c>
      <c r="CL465" s="712">
        <f>(WWWW[[#This Row],['#_Constructed latrines_by_WASHAgencies]]+WWWW[[#This Row],['#_Non Cluster partner latrines]])-WWWW[[#This Row],['#_Non-functional latrines]]</f>
        <v>0</v>
      </c>
      <c r="CM46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5" s="712">
        <f>IF(WWWW[[#This Row],[Location Type 1]]="Village","NA",IF(WWWW[[#This Row],['#_Constructed/Existing latrines in TLS]]*50&gt;WWWW[[#This Row],['#_students at TLS_CFS]],WWWW[[#This Row],['#_students at TLS_CFS]],(WWWW[[#This Row],['#_Constructed/Existing latrines in TLS]]*50)))</f>
        <v>0</v>
      </c>
      <c r="CQ465" s="712">
        <f>ROUND(IF(WWWW[[#This Row],[Location Type 1]]="camp",WWWW[[#This Row],[Total PoP ]]/20,IF(WWWW[[#This Row],[Location Type 1]]="Temporary Location",WWWW[[#This Row],[Total PoP ]]/50,(WWWW[[#This Row],[Total PoP ]]/6))),0)</f>
        <v>6</v>
      </c>
      <c r="CR465" s="712">
        <f>IF(WWWW[[#This Row],[Total required Latrines]]-(WWWW[[#This Row],['#_Constructed latrines_by_WASHAgencies]]+WWWW[[#This Row],['#_Non Cluster partner latrines]])&lt;0,0,WWWW[[#This Row],[Total required Latrines]]-(WWWW[[#This Row],['#_Constructed latrines_by_WASHAgencies]]+WWWW[[#This Row],['#_Non Cluster partner latrines]]))</f>
        <v>6</v>
      </c>
      <c r="CS465" s="716">
        <f>1-WWWW[[#This Row],[% people access to functioning Latrine]]</f>
        <v>1</v>
      </c>
      <c r="CT465" s="713">
        <f>IF(OR(WWWW[[#This Row],['#_Non-functional latrines]]="",WWWW[[#This Row],['#_Non-functional latrines]]=0),0,WWWW[[#This Row],['#_Non-functional latrines]]/(WWWW[[#This Row],['#_Constructed latrines_by_WASHAgencies]]+WWWW[[#This Row],['#_Non Cluster partner latrines]]))</f>
        <v>0</v>
      </c>
      <c r="CU465" s="708">
        <f>IF(500*(WWWW[[#This Row],['#_male hygiene promoters]]+WWWW[[#This Row],['#_female hygiene promoters]])&gt;WWWW[[#This Row],[Total PoP ]],WWWW[[#This Row],[Total PoP ]],500*(WWWW[[#This Row],['#_male hygiene promoters]]+WWWW[[#This Row],['#_female hygiene promoters]]))</f>
        <v>0</v>
      </c>
      <c r="CV46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314</v>
      </c>
      <c r="CW46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314</v>
      </c>
      <c r="CX465" s="712">
        <f>IF(WWWW[[#This Row],['# People with access to soap]]&gt;WWWW[[#This Row],['# People with access to Sanity Pads]],WWWW[[#This Row],['# People with access to soap]],WWWW[[#This Row],['# People with access to Sanity Pads]])</f>
        <v>314</v>
      </c>
      <c r="CY465" s="712">
        <f>IF(WWWW[[#This Row],['# people reached by regular dedicated hygiene promotion_5]]&gt;WWWW[[#This Row],['# People received regular supply of hygiene items_6]],WWWW[[#This Row],['# people reached by regular dedicated hygiene promotion_5]],WWWW[[#This Row],['# People received regular supply of hygiene items_6]])</f>
        <v>314</v>
      </c>
      <c r="CZ465" s="714">
        <f>IF(WWWW[[#This Row],[HRP3]]/WWWW[[#This Row],[Total PoP ]]&gt;100%,100%,WWWW[[#This Row],[HRP3]]/WWWW[[#This Row],[Total PoP ]])</f>
        <v>1</v>
      </c>
      <c r="DA465" s="713">
        <f>1-WWWW[[#This Row],[Hygiene Coverage%]]</f>
        <v>0</v>
      </c>
      <c r="DB465" s="710">
        <f>WWWW[[#This Row],['# people reached by regular dedicated hygiene promotion_5]]/WWWW[[#This Row],[Total PoP ]]</f>
        <v>0</v>
      </c>
      <c r="DC465" s="710">
        <f>IF(WWWW[[#This Row],['#_households that received standard amount of soap for this quarter]]/WWWW[[#This Row],[Total HH]]&gt;1,1,WWWW[[#This Row],['#_households that received standard amount of soap for this quarter]]/WWWW[[#This Row],[Total HH]])</f>
        <v>1</v>
      </c>
      <c r="DD465" s="710">
        <f>IF(WWWW[[#This Row],['#_households that received standard amount of sanitary pads for this quarter]]/WWWW[[#This Row],[Total HH]]&gt;1,1,WWWW[[#This Row],['#_households that received standard amount of sanitary pads for this quarter]]/WWWW[[#This Row],[Total HH]])</f>
        <v>1</v>
      </c>
      <c r="DE465" s="712">
        <f>WWWW[[#This Row],['#_Constructed/Existing hand washing stations]]-WWWW[[#This Row],['#_Non-Functional_hand_washing_stations]]</f>
        <v>0</v>
      </c>
      <c r="DF465" s="757">
        <f>IF(WWWW[[#This Row],['# Functional hand washing stations during reporting period]]*20&gt;WWWW[[#This Row],[Total HH]],WWWW[[#This Row],[Total HH]],WWWW[[#This Row],['# Functional hand washing stations during reporting period]]*20)</f>
        <v>0</v>
      </c>
      <c r="DG465" s="708">
        <f>IF(WWWW[[#This Row],[Is sufficient soap available for TLS? (Yes/No)]]="yes",WWWW[[#This Row],['#_Constructed/Existing hand washing stations at TLS]],0)</f>
        <v>0</v>
      </c>
      <c r="DH465" s="585">
        <f>IF(WWWW[[#This Row],['# Functional hand washing stations during reporting period]]*100&gt;WWWW[[#This Row],[Total PoP ]],WWWW[[#This Row],[Total PoP ]],WWWW[[#This Row],['# Functional hand washing stations during reporting period]]*100)</f>
        <v>0</v>
      </c>
      <c r="DI465" s="585" t="str">
        <f>IF(OR(WWWW[[#This Row],['#_students at TLS_CFS]]="",WWWW[[#This Row],['#_students at TLS_CFS]]=0),"No","Yes")</f>
        <v>No</v>
      </c>
      <c r="DJ465" s="711">
        <f>VLOOKUP(WWWW[[#This Row],[Site Name]],SiteDB6[[Site Name]:[CCCM Management]],6,FALSE)</f>
        <v>0</v>
      </c>
      <c r="DK465" s="711">
        <f>VLOOKUP(WWWW[[#This Row],[Site Name]],SiteDB6[[Site Name]:[CCCM Focal Agency]],7,FALSE)</f>
        <v>0</v>
      </c>
      <c r="DL465" s="711" t="str">
        <f>VLOOKUP(WWWW[[#This Row],[Site Name]],SiteDB6[[Site Name]:[Location Type 1]],9,FALSE)</f>
        <v>Temporary location</v>
      </c>
      <c r="DM465" s="711" t="str">
        <f>VLOOKUP(WWWW[[#This Row],[Site Name]],SiteDB6[[Site Name]:[Type of Accommodation]],10,FALSE)</f>
        <v>Temporary location</v>
      </c>
      <c r="DN465" s="711">
        <f>VLOOKUP(WWWW[[#This Row],[Site Name]],SiteDB6[[Site Name]:[Ethnic or GCA/NGCA]],11,FALSE)</f>
        <v>0</v>
      </c>
      <c r="DO465" s="711">
        <f>VLOOKUP(WWWW[[#This Row],[Site Name]],SiteDB6[[Site Name]:[Lat]],12,FALSE)</f>
        <v>0</v>
      </c>
      <c r="DP465" s="711">
        <f>VLOOKUP(WWWW[[#This Row],[Site Name]],SiteDB6[[Site Name]:[Long]],13,FALSE)</f>
        <v>0</v>
      </c>
      <c r="DQ465" s="711">
        <f>VLOOKUP(WWWW[[#This Row],[Site Name]],SiteDB6[[Site Name]:[Pcode]],3,FALSE)</f>
        <v>0</v>
      </c>
      <c r="DR465" s="709" t="str">
        <f t="shared" si="14"/>
        <v>Covered</v>
      </c>
      <c r="DS465" s="709"/>
      <c r="DV465" s="572"/>
    </row>
    <row r="466" spans="1:126">
      <c r="A466" s="552" t="s">
        <v>2518</v>
      </c>
      <c r="B466" s="701" t="s">
        <v>249</v>
      </c>
      <c r="C466" s="701" t="s">
        <v>3137</v>
      </c>
      <c r="D466" s="702"/>
      <c r="E466" s="703" t="s">
        <v>3005</v>
      </c>
      <c r="F466" s="702" t="s">
        <v>337</v>
      </c>
      <c r="G466" s="704" t="str">
        <f>VLOOKUP(WWWW[[#This Row],[Site Name]],SiteDB6[[Site Name]:[Location Type]],8,FALSE)</f>
        <v>New Temporary Site</v>
      </c>
      <c r="H466" s="702" t="s">
        <v>3136</v>
      </c>
      <c r="I466" s="705">
        <v>521</v>
      </c>
      <c r="J466" s="705">
        <v>1995</v>
      </c>
      <c r="K466" s="706"/>
      <c r="L466" s="707"/>
      <c r="M466" s="705"/>
      <c r="N466" s="705"/>
      <c r="O466" s="705"/>
      <c r="P466" s="705"/>
      <c r="Q466" s="708"/>
      <c r="R466" s="705"/>
      <c r="S466" s="705"/>
      <c r="T466" s="312"/>
      <c r="U466" s="705"/>
      <c r="V466" s="705"/>
      <c r="W466" s="705"/>
      <c r="X466" s="705"/>
      <c r="Y466" s="705"/>
      <c r="Z466" s="705"/>
      <c r="AA466" s="705"/>
      <c r="AB466" s="705"/>
      <c r="AC466" s="705"/>
      <c r="AD466" s="705"/>
      <c r="AE466" s="705"/>
      <c r="AF466" s="705"/>
      <c r="AG466" s="705"/>
      <c r="AH466" s="705"/>
      <c r="AI466" s="705"/>
      <c r="AJ466" s="705"/>
      <c r="AK466" s="705"/>
      <c r="AL466" s="705"/>
      <c r="AM466" s="705"/>
      <c r="AN466" s="705"/>
      <c r="AO466" s="709"/>
      <c r="AP466" s="705"/>
      <c r="AQ466" s="705"/>
      <c r="AR466" s="710"/>
      <c r="AS466" s="705"/>
      <c r="AT466" s="705"/>
      <c r="AU466" s="705"/>
      <c r="AV466" s="705"/>
      <c r="AW466" s="705"/>
      <c r="AX466" s="711"/>
      <c r="AY466" s="709"/>
      <c r="AZ466" s="705"/>
      <c r="BA466" s="705"/>
      <c r="BB466" s="705"/>
      <c r="BC466" s="711"/>
      <c r="BD466" s="705"/>
      <c r="BE466" s="705"/>
      <c r="BF466" s="705"/>
      <c r="BG466" s="705"/>
      <c r="BH466" s="705"/>
      <c r="BI466" s="705"/>
      <c r="BJ466" s="705"/>
      <c r="BK466" s="705">
        <v>75</v>
      </c>
      <c r="BL466" s="705">
        <v>75</v>
      </c>
      <c r="BM466" s="711"/>
      <c r="BN466" s="712"/>
      <c r="BO466" s="710"/>
      <c r="BP466" s="711"/>
      <c r="BQ466" s="713" t="str">
        <f>IFERROR(WWWW[[#This Row],['#_Water sources treated]]/WWWW[[#This Row],['#_Water sources tested for contamination]],"no test")</f>
        <v>no test</v>
      </c>
      <c r="BR466" s="710" t="str">
        <f>IFERROR(WWWW[[#This Row],['#_Household received remediation action due to contamination]]/WWWW[[#This Row],['#_Household water samples tested for contamination]],"no test")</f>
        <v>no test</v>
      </c>
      <c r="BS466" s="712" t="str">
        <f>IF(AND(WWWW[[#This Row],[% of water sources treated]]="no test",WWWW[[#This Row],[% Household received corrective actions]]="no test"),"No Test","Tested")</f>
        <v>No Test</v>
      </c>
      <c r="BT466" s="712">
        <f>WWWW[[#This Row],['#_Constructed/existing protected hand dug well]]-WWWW[[#This Row],['#_Non-functional protected hand dug well]]</f>
        <v>0</v>
      </c>
      <c r="BU466" s="712">
        <f>(WWWW[[#This Row],['#_Constructed/Existing tube wells/boreholes/handpumps_WASH_agency]]+WWWW[[#This Row],['#_Non-Cluster partner water tube-wells/boreholes/handpumps]])-WWWW[[#This Row],['#_Non-functional tube wells/boreholes/handpumps]]</f>
        <v>0</v>
      </c>
      <c r="BV466" s="712">
        <f>WWWW[[#This Row],['#_Constructed/Existingwater storage tank with gravity fed reticulation system]]-WWWW[[#This Row],['#_Non-functional storage tank gravity fed reticulation system]]</f>
        <v>0</v>
      </c>
      <c r="BW466" s="712">
        <f>WWWW[[#This Row],['#_Water boating or water trucking]]</f>
        <v>0</v>
      </c>
      <c r="BX466" s="712">
        <f>WWWW[[#This Row],['#_Constructed/Existing water distribution system from river or natural spring]]</f>
        <v>0</v>
      </c>
      <c r="BY46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6" s="710">
        <f>IF(WWWW[[#This Row],[Location Type 1]]="Village",WWWW[[#This Row],[Access to safe drinking water for Village]],WWWW[[#This Row],[Access to safe drinking water for Camp]])</f>
        <v>0</v>
      </c>
      <c r="CB466" s="708">
        <f>WWWW[[#This Row],[%Equitable and continuous access to sufficient quantity of safe drinking water]]*WWWW[[#This Row],[Total PoP ]]</f>
        <v>0</v>
      </c>
      <c r="CC466" s="710">
        <f>IF((WWWW[[#This Row],['#_Constructed/Existing protected/fenced ponds]]*250)/WWWW[[#This Row],[Total PoP ]]&gt;1,1,(WWWW[[#This Row],['#_Constructed/Existing protected/fenced ponds]]*250)/WWWW[[#This Row],[Total PoP ]])</f>
        <v>0</v>
      </c>
      <c r="CD466" s="708">
        <f>WWWW[[#This Row],[% Access to unimproved water points]]*WWWW[[#This Row],[Total PoP ]]</f>
        <v>0</v>
      </c>
      <c r="CE46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6" s="708">
        <f>WWWW[[#This Row],[HRP1]]/500</f>
        <v>0</v>
      </c>
      <c r="CH466" s="714">
        <f>1-WWWW[[#This Row],[% Equitable and continuous access to sufficient quantity of domestic water]]</f>
        <v>1</v>
      </c>
      <c r="CI466" s="708">
        <f>WWWW[[#This Row],[%equitable and continuous access to sufficient quantity of safe drinking and domestic water''s GAP]]*WWWW[[#This Row],[Total PoP ]]</f>
        <v>1995</v>
      </c>
      <c r="CJ466" s="712">
        <f>IF(WWWW[[#This Row],[Total required water points]]-WWWW[[#This Row],['#Water points coverage]]&lt;0,0,WWWW[[#This Row],[Total required water points]]-WWWW[[#This Row],['#Water points coverage]])</f>
        <v>4</v>
      </c>
      <c r="CK466" s="712">
        <f>ROUND(IF(WWWW[[#This Row],[Total PoP ]]&lt;500,1,WWWW[[#This Row],[Total PoP ]]/500),0)</f>
        <v>4</v>
      </c>
      <c r="CL466" s="712">
        <f>(WWWW[[#This Row],['#_Constructed latrines_by_WASHAgencies]]+WWWW[[#This Row],['#_Non Cluster partner latrines]])-WWWW[[#This Row],['#_Non-functional latrines]]</f>
        <v>0</v>
      </c>
      <c r="CM46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6" s="712">
        <f>IF(WWWW[[#This Row],[Location Type 1]]="Village","NA",IF(WWWW[[#This Row],['#_Constructed/Existing latrines in TLS]]*50&gt;WWWW[[#This Row],['#_students at TLS_CFS]],WWWW[[#This Row],['#_students at TLS_CFS]],(WWWW[[#This Row],['#_Constructed/Existing latrines in TLS]]*50)))</f>
        <v>0</v>
      </c>
      <c r="CQ466" s="712">
        <f>ROUND(IF(WWWW[[#This Row],[Location Type 1]]="camp",WWWW[[#This Row],[Total PoP ]]/20,IF(WWWW[[#This Row],[Location Type 1]]="Temporary Location",WWWW[[#This Row],[Total PoP ]]/50,(WWWW[[#This Row],[Total PoP ]]/6))),0)</f>
        <v>40</v>
      </c>
      <c r="CR466" s="712">
        <f>IF(WWWW[[#This Row],[Total required Latrines]]-(WWWW[[#This Row],['#_Constructed latrines_by_WASHAgencies]]+WWWW[[#This Row],['#_Non Cluster partner latrines]])&lt;0,0,WWWW[[#This Row],[Total required Latrines]]-(WWWW[[#This Row],['#_Constructed latrines_by_WASHAgencies]]+WWWW[[#This Row],['#_Non Cluster partner latrines]]))</f>
        <v>40</v>
      </c>
      <c r="CS466" s="716">
        <f>1-WWWW[[#This Row],[% people access to functioning Latrine]]</f>
        <v>1</v>
      </c>
      <c r="CT466" s="713">
        <f>IF(OR(WWWW[[#This Row],['#_Non-functional latrines]]="",WWWW[[#This Row],['#_Non-functional latrines]]=0),0,WWWW[[#This Row],['#_Non-functional latrines]]/(WWWW[[#This Row],['#_Constructed latrines_by_WASHAgencies]]+WWWW[[#This Row],['#_Non Cluster partner latrines]]))</f>
        <v>0</v>
      </c>
      <c r="CU466" s="708">
        <f>IF(500*(WWWW[[#This Row],['#_male hygiene promoters]]+WWWW[[#This Row],['#_female hygiene promoters]])&gt;WWWW[[#This Row],[Total PoP ]],WWWW[[#This Row],[Total PoP ]],500*(WWWW[[#This Row],['#_male hygiene promoters]]+WWWW[[#This Row],['#_female hygiene promoters]]))</f>
        <v>0</v>
      </c>
      <c r="CV46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375</v>
      </c>
      <c r="CW46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375</v>
      </c>
      <c r="CX466" s="712">
        <f>IF(WWWW[[#This Row],['# People with access to soap]]&gt;WWWW[[#This Row],['# People with access to Sanity Pads]],WWWW[[#This Row],['# People with access to soap]],WWWW[[#This Row],['# People with access to Sanity Pads]])</f>
        <v>375</v>
      </c>
      <c r="CY466" s="712">
        <f>IF(WWWW[[#This Row],['# people reached by regular dedicated hygiene promotion_5]]&gt;WWWW[[#This Row],['# People received regular supply of hygiene items_6]],WWWW[[#This Row],['# people reached by regular dedicated hygiene promotion_5]],WWWW[[#This Row],['# People received regular supply of hygiene items_6]])</f>
        <v>375</v>
      </c>
      <c r="CZ466" s="714">
        <f>IF(WWWW[[#This Row],[HRP3]]/WWWW[[#This Row],[Total PoP ]]&gt;100%,100%,WWWW[[#This Row],[HRP3]]/WWWW[[#This Row],[Total PoP ]])</f>
        <v>0.18796992481203006</v>
      </c>
      <c r="DA466" s="713">
        <f>1-WWWW[[#This Row],[Hygiene Coverage%]]</f>
        <v>0.81203007518796988</v>
      </c>
      <c r="DB466" s="710">
        <f>WWWW[[#This Row],['# people reached by regular dedicated hygiene promotion_5]]/WWWW[[#This Row],[Total PoP ]]</f>
        <v>0</v>
      </c>
      <c r="DC466" s="710">
        <f>IF(WWWW[[#This Row],['#_households that received standard amount of soap for this quarter]]/WWWW[[#This Row],[Total HH]]&gt;1,1,WWWW[[#This Row],['#_households that received standard amount of soap for this quarter]]/WWWW[[#This Row],[Total HH]])</f>
        <v>0.14395393474088292</v>
      </c>
      <c r="DD466" s="710">
        <f>IF(WWWW[[#This Row],['#_households that received standard amount of sanitary pads for this quarter]]/WWWW[[#This Row],[Total HH]]&gt;1,1,WWWW[[#This Row],['#_households that received standard amount of sanitary pads for this quarter]]/WWWW[[#This Row],[Total HH]])</f>
        <v>0.14395393474088292</v>
      </c>
      <c r="DE466" s="712">
        <f>WWWW[[#This Row],['#_Constructed/Existing hand washing stations]]-WWWW[[#This Row],['#_Non-Functional_hand_washing_stations]]</f>
        <v>0</v>
      </c>
      <c r="DF466" s="757">
        <f>IF(WWWW[[#This Row],['# Functional hand washing stations during reporting period]]*20&gt;WWWW[[#This Row],[Total HH]],WWWW[[#This Row],[Total HH]],WWWW[[#This Row],['# Functional hand washing stations during reporting period]]*20)</f>
        <v>0</v>
      </c>
      <c r="DG466" s="708">
        <f>IF(WWWW[[#This Row],[Is sufficient soap available for TLS? (Yes/No)]]="yes",WWWW[[#This Row],['#_Constructed/Existing hand washing stations at TLS]],0)</f>
        <v>0</v>
      </c>
      <c r="DH466" s="585">
        <f>IF(WWWW[[#This Row],['# Functional hand washing stations during reporting period]]*100&gt;WWWW[[#This Row],[Total PoP ]],WWWW[[#This Row],[Total PoP ]],WWWW[[#This Row],['# Functional hand washing stations during reporting period]]*100)</f>
        <v>0</v>
      </c>
      <c r="DI466" s="585" t="str">
        <f>IF(OR(WWWW[[#This Row],['#_students at TLS_CFS]]="",WWWW[[#This Row],['#_students at TLS_CFS]]=0),"No","Yes")</f>
        <v>No</v>
      </c>
      <c r="DJ466" s="711">
        <f>VLOOKUP(WWWW[[#This Row],[Site Name]],SiteDB6[[Site Name]:[CCCM Management]],6,FALSE)</f>
        <v>0</v>
      </c>
      <c r="DK466" s="711">
        <f>VLOOKUP(WWWW[[#This Row],[Site Name]],SiteDB6[[Site Name]:[CCCM Focal Agency]],7,FALSE)</f>
        <v>0</v>
      </c>
      <c r="DL466" s="711" t="str">
        <f>VLOOKUP(WWWW[[#This Row],[Site Name]],SiteDB6[[Site Name]:[Location Type 1]],9,FALSE)</f>
        <v>Temporary location</v>
      </c>
      <c r="DM466" s="711" t="str">
        <f>VLOOKUP(WWWW[[#This Row],[Site Name]],SiteDB6[[Site Name]:[Type of Accommodation]],10,FALSE)</f>
        <v>Temporary location</v>
      </c>
      <c r="DN466" s="711">
        <f>VLOOKUP(WWWW[[#This Row],[Site Name]],SiteDB6[[Site Name]:[Ethnic or GCA/NGCA]],11,FALSE)</f>
        <v>0</v>
      </c>
      <c r="DO466" s="711">
        <f>VLOOKUP(WWWW[[#This Row],[Site Name]],SiteDB6[[Site Name]:[Lat]],12,FALSE)</f>
        <v>20.8608493804932</v>
      </c>
      <c r="DP466" s="711">
        <f>VLOOKUP(WWWW[[#This Row],[Site Name]],SiteDB6[[Site Name]:[Long]],13,FALSE)</f>
        <v>92.539390563964801</v>
      </c>
      <c r="DQ466" s="711">
        <f>VLOOKUP(WWWW[[#This Row],[Site Name]],SiteDB6[[Site Name]:[Pcode]],3,FALSE)</f>
        <v>198326</v>
      </c>
      <c r="DR466" s="709" t="str">
        <f t="shared" si="14"/>
        <v>Covered</v>
      </c>
      <c r="DS466" s="709"/>
      <c r="DV466" s="572"/>
    </row>
    <row r="467" spans="1:126">
      <c r="A467" s="552" t="s">
        <v>2518</v>
      </c>
      <c r="B467" s="701" t="s">
        <v>3143</v>
      </c>
      <c r="C467" s="701" t="s">
        <v>3143</v>
      </c>
      <c r="D467" s="702"/>
      <c r="E467" s="703" t="s">
        <v>3005</v>
      </c>
      <c r="F467" s="702" t="s">
        <v>355</v>
      </c>
      <c r="G467" s="704" t="str">
        <f>VLOOKUP(WWWW[[#This Row],[Site Name]],SiteDB6[[Site Name]:[Location Type]],8,FALSE)</f>
        <v>New Temporary Site</v>
      </c>
      <c r="H467" s="702" t="s">
        <v>561</v>
      </c>
      <c r="I467" s="705">
        <v>103</v>
      </c>
      <c r="J467" s="705">
        <v>534</v>
      </c>
      <c r="K467" s="706"/>
      <c r="L467" s="707"/>
      <c r="M467" s="705"/>
      <c r="N467" s="705"/>
      <c r="O467" s="705"/>
      <c r="P467" s="705"/>
      <c r="Q467" s="708"/>
      <c r="R467" s="705"/>
      <c r="S467" s="705"/>
      <c r="T467" s="312"/>
      <c r="U467" s="705"/>
      <c r="V467" s="705"/>
      <c r="W467" s="705"/>
      <c r="X467" s="705"/>
      <c r="Y467" s="705"/>
      <c r="Z467" s="705"/>
      <c r="AA467" s="705"/>
      <c r="AB467" s="705"/>
      <c r="AC467" s="705"/>
      <c r="AD467" s="705"/>
      <c r="AE467" s="705"/>
      <c r="AF467" s="705"/>
      <c r="AG467" s="705"/>
      <c r="AH467" s="705"/>
      <c r="AI467" s="705"/>
      <c r="AJ467" s="705"/>
      <c r="AK467" s="705"/>
      <c r="AL467" s="705"/>
      <c r="AM467" s="705"/>
      <c r="AN467" s="705"/>
      <c r="AO467" s="709"/>
      <c r="AP467" s="705">
        <v>30</v>
      </c>
      <c r="AQ467" s="705"/>
      <c r="AR467" s="710"/>
      <c r="AS467" s="705"/>
      <c r="AT467" s="705"/>
      <c r="AU467" s="705"/>
      <c r="AV467" s="705"/>
      <c r="AW467" s="705"/>
      <c r="AX467" s="711"/>
      <c r="AY467" s="709"/>
      <c r="AZ467" s="705"/>
      <c r="BA467" s="705"/>
      <c r="BB467" s="705"/>
      <c r="BC467" s="711"/>
      <c r="BD467" s="705"/>
      <c r="BE467" s="705"/>
      <c r="BF467" s="705"/>
      <c r="BG467" s="705"/>
      <c r="BH467" s="705"/>
      <c r="BI467" s="705"/>
      <c r="BJ467" s="705"/>
      <c r="BK467" s="705"/>
      <c r="BL467" s="705"/>
      <c r="BM467" s="711"/>
      <c r="BN467" s="712"/>
      <c r="BO467" s="710"/>
      <c r="BP467" s="711"/>
      <c r="BQ467" s="713" t="str">
        <f>IFERROR(WWWW[[#This Row],['#_Water sources treated]]/WWWW[[#This Row],['#_Water sources tested for contamination]],"no test")</f>
        <v>no test</v>
      </c>
      <c r="BR467" s="710" t="str">
        <f>IFERROR(WWWW[[#This Row],['#_Household received remediation action due to contamination]]/WWWW[[#This Row],['#_Household water samples tested for contamination]],"no test")</f>
        <v>no test</v>
      </c>
      <c r="BS467" s="712" t="str">
        <f>IF(AND(WWWW[[#This Row],[% of water sources treated]]="no test",WWWW[[#This Row],[% Household received corrective actions]]="no test"),"No Test","Tested")</f>
        <v>No Test</v>
      </c>
      <c r="BT467" s="712">
        <f>WWWW[[#This Row],['#_Constructed/existing protected hand dug well]]-WWWW[[#This Row],['#_Non-functional protected hand dug well]]</f>
        <v>0</v>
      </c>
      <c r="BU467" s="712">
        <f>(WWWW[[#This Row],['#_Constructed/Existing tube wells/boreholes/handpumps_WASH_agency]]+WWWW[[#This Row],['#_Non-Cluster partner water tube-wells/boreholes/handpumps]])-WWWW[[#This Row],['#_Non-functional tube wells/boreholes/handpumps]]</f>
        <v>0</v>
      </c>
      <c r="BV467" s="712">
        <f>WWWW[[#This Row],['#_Constructed/Existingwater storage tank with gravity fed reticulation system]]-WWWW[[#This Row],['#_Non-functional storage tank gravity fed reticulation system]]</f>
        <v>0</v>
      </c>
      <c r="BW467" s="712">
        <f>WWWW[[#This Row],['#_Water boating or water trucking]]</f>
        <v>0</v>
      </c>
      <c r="BX467" s="712">
        <f>WWWW[[#This Row],['#_Constructed/Existing water distribution system from river or natural spring]]</f>
        <v>0</v>
      </c>
      <c r="BY46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7" s="710">
        <f>IF(WWWW[[#This Row],[Location Type 1]]="Village",WWWW[[#This Row],[Access to safe drinking water for Village]],WWWW[[#This Row],[Access to safe drinking water for Camp]])</f>
        <v>0</v>
      </c>
      <c r="CB467" s="708">
        <f>WWWW[[#This Row],[%Equitable and continuous access to sufficient quantity of safe drinking water]]*WWWW[[#This Row],[Total PoP ]]</f>
        <v>0</v>
      </c>
      <c r="CC467" s="710">
        <f>IF((WWWW[[#This Row],['#_Constructed/Existing protected/fenced ponds]]*250)/WWWW[[#This Row],[Total PoP ]]&gt;1,1,(WWWW[[#This Row],['#_Constructed/Existing protected/fenced ponds]]*250)/WWWW[[#This Row],[Total PoP ]])</f>
        <v>0</v>
      </c>
      <c r="CD467" s="708">
        <f>WWWW[[#This Row],[% Access to unimproved water points]]*WWWW[[#This Row],[Total PoP ]]</f>
        <v>0</v>
      </c>
      <c r="CE46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7" s="708">
        <f>WWWW[[#This Row],[HRP1]]/500</f>
        <v>0</v>
      </c>
      <c r="CH467" s="714">
        <f>1-WWWW[[#This Row],[% Equitable and continuous access to sufficient quantity of domestic water]]</f>
        <v>1</v>
      </c>
      <c r="CI467" s="708">
        <f>WWWW[[#This Row],[%equitable and continuous access to sufficient quantity of safe drinking and domestic water''s GAP]]*WWWW[[#This Row],[Total PoP ]]</f>
        <v>534</v>
      </c>
      <c r="CJ467" s="712">
        <f>IF(WWWW[[#This Row],[Total required water points]]-WWWW[[#This Row],['#Water points coverage]]&lt;0,0,WWWW[[#This Row],[Total required water points]]-WWWW[[#This Row],['#Water points coverage]])</f>
        <v>1</v>
      </c>
      <c r="CK467" s="712">
        <f>ROUND(IF(WWWW[[#This Row],[Total PoP ]]&lt;500,1,WWWW[[#This Row],[Total PoP ]]/500),0)</f>
        <v>1</v>
      </c>
      <c r="CL467" s="712">
        <f>(WWWW[[#This Row],['#_Constructed latrines_by_WASHAgencies]]+WWWW[[#This Row],['#_Non Cluster partner latrines]])-WWWW[[#This Row],['#_Non-functional latrines]]</f>
        <v>30</v>
      </c>
      <c r="CM46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6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534</v>
      </c>
      <c r="CO46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7" s="712">
        <f>IF(WWWW[[#This Row],[Location Type 1]]="Village","NA",IF(WWWW[[#This Row],['#_Constructed/Existing latrines in TLS]]*50&gt;WWWW[[#This Row],['#_students at TLS_CFS]],WWWW[[#This Row],['#_students at TLS_CFS]],(WWWW[[#This Row],['#_Constructed/Existing latrines in TLS]]*50)))</f>
        <v>0</v>
      </c>
      <c r="CQ467" s="712">
        <f>ROUND(IF(WWWW[[#This Row],[Location Type 1]]="camp",WWWW[[#This Row],[Total PoP ]]/20,IF(WWWW[[#This Row],[Location Type 1]]="Temporary Location",WWWW[[#This Row],[Total PoP ]]/50,(WWWW[[#This Row],[Total PoP ]]/6))),0)</f>
        <v>11</v>
      </c>
      <c r="CR467" s="712">
        <f>IF(WWWW[[#This Row],[Total required Latrines]]-(WWWW[[#This Row],['#_Constructed latrines_by_WASHAgencies]]+WWWW[[#This Row],['#_Non Cluster partner latrines]])&lt;0,0,WWWW[[#This Row],[Total required Latrines]]-(WWWW[[#This Row],['#_Constructed latrines_by_WASHAgencies]]+WWWW[[#This Row],['#_Non Cluster partner latrines]]))</f>
        <v>0</v>
      </c>
      <c r="CS467" s="716">
        <f>1-WWWW[[#This Row],[% people access to functioning Latrine]]</f>
        <v>0</v>
      </c>
      <c r="CT467" s="713">
        <f>IF(OR(WWWW[[#This Row],['#_Non-functional latrines]]="",WWWW[[#This Row],['#_Non-functional latrines]]=0),0,WWWW[[#This Row],['#_Non-functional latrines]]/(WWWW[[#This Row],['#_Constructed latrines_by_WASHAgencies]]+WWWW[[#This Row],['#_Non Cluster partner latrines]]))</f>
        <v>0</v>
      </c>
      <c r="CU467" s="708">
        <f>IF(500*(WWWW[[#This Row],['#_male hygiene promoters]]+WWWW[[#This Row],['#_female hygiene promoters]])&gt;WWWW[[#This Row],[Total PoP ]],WWWW[[#This Row],[Total PoP ]],500*(WWWW[[#This Row],['#_male hygiene promoters]]+WWWW[[#This Row],['#_female hygiene promoters]]))</f>
        <v>0</v>
      </c>
      <c r="CV46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7" s="712">
        <f>IF(WWWW[[#This Row],['# People with access to soap]]&gt;WWWW[[#This Row],['# People with access to Sanity Pads]],WWWW[[#This Row],['# People with access to soap]],WWWW[[#This Row],['# People with access to Sanity Pads]])</f>
        <v>0</v>
      </c>
      <c r="CY46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7" s="714">
        <f>IF(WWWW[[#This Row],[HRP3]]/WWWW[[#This Row],[Total PoP ]]&gt;100%,100%,WWWW[[#This Row],[HRP3]]/WWWW[[#This Row],[Total PoP ]])</f>
        <v>0</v>
      </c>
      <c r="DA467" s="713">
        <f>1-WWWW[[#This Row],[Hygiene Coverage%]]</f>
        <v>1</v>
      </c>
      <c r="DB467" s="710">
        <f>WWWW[[#This Row],['# people reached by regular dedicated hygiene promotion_5]]/WWWW[[#This Row],[Total PoP ]]</f>
        <v>0</v>
      </c>
      <c r="DC467" s="710">
        <f>IF(WWWW[[#This Row],['#_households that received standard amount of soap for this quarter]]/WWWW[[#This Row],[Total HH]]&gt;1,1,WWWW[[#This Row],['#_households that received standard amount of soap for this quarter]]/WWWW[[#This Row],[Total HH]])</f>
        <v>0</v>
      </c>
      <c r="DD467" s="710">
        <f>IF(WWWW[[#This Row],['#_households that received standard amount of sanitary pads for this quarter]]/WWWW[[#This Row],[Total HH]]&gt;1,1,WWWW[[#This Row],['#_households that received standard amount of sanitary pads for this quarter]]/WWWW[[#This Row],[Total HH]])</f>
        <v>0</v>
      </c>
      <c r="DE467" s="712">
        <f>WWWW[[#This Row],['#_Constructed/Existing hand washing stations]]-WWWW[[#This Row],['#_Non-Functional_hand_washing_stations]]</f>
        <v>0</v>
      </c>
      <c r="DF467" s="757">
        <f>IF(WWWW[[#This Row],['# Functional hand washing stations during reporting period]]*20&gt;WWWW[[#This Row],[Total HH]],WWWW[[#This Row],[Total HH]],WWWW[[#This Row],['# Functional hand washing stations during reporting period]]*20)</f>
        <v>0</v>
      </c>
      <c r="DG467" s="708">
        <f>IF(WWWW[[#This Row],[Is sufficient soap available for TLS? (Yes/No)]]="yes",WWWW[[#This Row],['#_Constructed/Existing hand washing stations at TLS]],0)</f>
        <v>0</v>
      </c>
      <c r="DH467" s="585">
        <f>IF(WWWW[[#This Row],['# Functional hand washing stations during reporting period]]*100&gt;WWWW[[#This Row],[Total PoP ]],WWWW[[#This Row],[Total PoP ]],WWWW[[#This Row],['# Functional hand washing stations during reporting period]]*100)</f>
        <v>0</v>
      </c>
      <c r="DI467" s="585" t="str">
        <f>IF(OR(WWWW[[#This Row],['#_students at TLS_CFS]]="",WWWW[[#This Row],['#_students at TLS_CFS]]=0),"No","Yes")</f>
        <v>No</v>
      </c>
      <c r="DJ467" s="711">
        <f>VLOOKUP(WWWW[[#This Row],[Site Name]],SiteDB6[[Site Name]:[CCCM Management]],6,FALSE)</f>
        <v>0</v>
      </c>
      <c r="DK467" s="711">
        <f>VLOOKUP(WWWW[[#This Row],[Site Name]],SiteDB6[[Site Name]:[CCCM Focal Agency]],7,FALSE)</f>
        <v>0</v>
      </c>
      <c r="DL467" s="711" t="str">
        <f>VLOOKUP(WWWW[[#This Row],[Site Name]],SiteDB6[[Site Name]:[Location Type 1]],9,FALSE)</f>
        <v>Temporary location</v>
      </c>
      <c r="DM467" s="711" t="str">
        <f>VLOOKUP(WWWW[[#This Row],[Site Name]],SiteDB6[[Site Name]:[Type of Accommodation]],10,FALSE)</f>
        <v>Temporary location</v>
      </c>
      <c r="DN467" s="711" t="str">
        <f>VLOOKUP(WWWW[[#This Row],[Site Name]],SiteDB6[[Site Name]:[Ethnic or GCA/NGCA]],11,FALSE)</f>
        <v>Rakhine</v>
      </c>
      <c r="DO467" s="711">
        <f>VLOOKUP(WWWW[[#This Row],[Site Name]],SiteDB6[[Site Name]:[Lat]],12,FALSE)</f>
        <v>20.688629150000001</v>
      </c>
      <c r="DP467" s="711">
        <f>VLOOKUP(WWWW[[#This Row],[Site Name]],SiteDB6[[Site Name]:[Long]],13,FALSE)</f>
        <v>92.652481080000001</v>
      </c>
      <c r="DQ467" s="711">
        <f>VLOOKUP(WWWW[[#This Row],[Site Name]],SiteDB6[[Site Name]:[Pcode]],3,FALSE)</f>
        <v>197669</v>
      </c>
      <c r="DR467" s="709" t="str">
        <f t="shared" ref="DR467:DR482" si="15">IF(C467="none","Notcovered","Covered")</f>
        <v>Covered</v>
      </c>
      <c r="DS467" s="709"/>
      <c r="DV467" s="572"/>
    </row>
    <row r="468" spans="1:126">
      <c r="A468" s="552" t="s">
        <v>2518</v>
      </c>
      <c r="B468" s="808" t="s">
        <v>317</v>
      </c>
      <c r="C468" s="808" t="s">
        <v>317</v>
      </c>
      <c r="D468" s="702"/>
      <c r="E468" s="703" t="s">
        <v>3005</v>
      </c>
      <c r="F468" s="702" t="s">
        <v>355</v>
      </c>
      <c r="G468" s="704" t="str">
        <f>VLOOKUP(WWWW[[#This Row],[Site Name]],SiteDB6[[Site Name]:[Location Type]],8,FALSE)</f>
        <v>New Temporary Site</v>
      </c>
      <c r="H468" s="702" t="s">
        <v>3230</v>
      </c>
      <c r="I468" s="705">
        <v>8</v>
      </c>
      <c r="J468" s="705">
        <v>16</v>
      </c>
      <c r="K468" s="706"/>
      <c r="L468" s="707"/>
      <c r="M468" s="705"/>
      <c r="N468" s="705"/>
      <c r="O468" s="705"/>
      <c r="P468" s="705"/>
      <c r="Q468" s="708"/>
      <c r="R468" s="705"/>
      <c r="S468" s="705"/>
      <c r="T468" s="312"/>
      <c r="U468" s="705"/>
      <c r="V468" s="705"/>
      <c r="W468" s="705"/>
      <c r="X468" s="705"/>
      <c r="Y468" s="705"/>
      <c r="Z468" s="705"/>
      <c r="AA468" s="705"/>
      <c r="AB468" s="705"/>
      <c r="AC468" s="705"/>
      <c r="AD468" s="705"/>
      <c r="AE468" s="705"/>
      <c r="AF468" s="705"/>
      <c r="AG468" s="705"/>
      <c r="AH468" s="705"/>
      <c r="AI468" s="705"/>
      <c r="AJ468" s="705"/>
      <c r="AK468" s="705"/>
      <c r="AL468" s="705"/>
      <c r="AM468" s="705"/>
      <c r="AN468" s="705"/>
      <c r="AO468" s="709"/>
      <c r="AP468" s="705"/>
      <c r="AQ468" s="705"/>
      <c r="AR468" s="710"/>
      <c r="AS468" s="705"/>
      <c r="AT468" s="705"/>
      <c r="AU468" s="705"/>
      <c r="AV468" s="705"/>
      <c r="AW468" s="705"/>
      <c r="AX468" s="711"/>
      <c r="AY468" s="709"/>
      <c r="AZ468" s="705"/>
      <c r="BA468" s="705"/>
      <c r="BB468" s="705"/>
      <c r="BC468" s="711"/>
      <c r="BD468" s="705"/>
      <c r="BE468" s="705"/>
      <c r="BF468" s="705"/>
      <c r="BG468" s="705"/>
      <c r="BH468" s="705"/>
      <c r="BI468" s="705"/>
      <c r="BJ468" s="705"/>
      <c r="BK468" s="705"/>
      <c r="BL468" s="705"/>
      <c r="BM468" s="711"/>
      <c r="BN468" s="712"/>
      <c r="BO468" s="710"/>
      <c r="BP468" s="711"/>
      <c r="BQ468" s="713" t="str">
        <f>IFERROR(WWWW[[#This Row],['#_Water sources treated]]/WWWW[[#This Row],['#_Water sources tested for contamination]],"no test")</f>
        <v>no test</v>
      </c>
      <c r="BR468" s="710" t="str">
        <f>IFERROR(WWWW[[#This Row],['#_Household received remediation action due to contamination]]/WWWW[[#This Row],['#_Household water samples tested for contamination]],"no test")</f>
        <v>no test</v>
      </c>
      <c r="BS468" s="712" t="str">
        <f>IF(AND(WWWW[[#This Row],[% of water sources treated]]="no test",WWWW[[#This Row],[% Household received corrective actions]]="no test"),"No Test","Tested")</f>
        <v>No Test</v>
      </c>
      <c r="BT468" s="712">
        <f>WWWW[[#This Row],['#_Constructed/existing protected hand dug well]]-WWWW[[#This Row],['#_Non-functional protected hand dug well]]</f>
        <v>0</v>
      </c>
      <c r="BU468" s="712">
        <f>(WWWW[[#This Row],['#_Constructed/Existing tube wells/boreholes/handpumps_WASH_agency]]+WWWW[[#This Row],['#_Non-Cluster partner water tube-wells/boreholes/handpumps]])-WWWW[[#This Row],['#_Non-functional tube wells/boreholes/handpumps]]</f>
        <v>0</v>
      </c>
      <c r="BV468" s="712">
        <f>WWWW[[#This Row],['#_Constructed/Existingwater storage tank with gravity fed reticulation system]]-WWWW[[#This Row],['#_Non-functional storage tank gravity fed reticulation system]]</f>
        <v>0</v>
      </c>
      <c r="BW468" s="712">
        <f>WWWW[[#This Row],['#_Water boating or water trucking]]</f>
        <v>0</v>
      </c>
      <c r="BX468" s="712">
        <f>WWWW[[#This Row],['#_Constructed/Existing water distribution system from river or natural spring]]</f>
        <v>0</v>
      </c>
      <c r="BY46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8" s="710">
        <f>IF(WWWW[[#This Row],[Location Type 1]]="Village",WWWW[[#This Row],[Access to safe drinking water for Village]],WWWW[[#This Row],[Access to safe drinking water for Camp]])</f>
        <v>0</v>
      </c>
      <c r="CB468" s="708">
        <f>WWWW[[#This Row],[%Equitable and continuous access to sufficient quantity of safe drinking water]]*WWWW[[#This Row],[Total PoP ]]</f>
        <v>0</v>
      </c>
      <c r="CC468" s="710">
        <f>IF((WWWW[[#This Row],['#_Constructed/Existing protected/fenced ponds]]*250)/WWWW[[#This Row],[Total PoP ]]&gt;1,1,(WWWW[[#This Row],['#_Constructed/Existing protected/fenced ponds]]*250)/WWWW[[#This Row],[Total PoP ]])</f>
        <v>0</v>
      </c>
      <c r="CD468" s="708">
        <f>WWWW[[#This Row],[% Access to unimproved water points]]*WWWW[[#This Row],[Total PoP ]]</f>
        <v>0</v>
      </c>
      <c r="CE46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8" s="708">
        <f>WWWW[[#This Row],[HRP1]]/500</f>
        <v>0</v>
      </c>
      <c r="CH468" s="714">
        <f>1-WWWW[[#This Row],[% Equitable and continuous access to sufficient quantity of domestic water]]</f>
        <v>1</v>
      </c>
      <c r="CI468" s="708">
        <f>WWWW[[#This Row],[%equitable and continuous access to sufficient quantity of safe drinking and domestic water''s GAP]]*WWWW[[#This Row],[Total PoP ]]</f>
        <v>16</v>
      </c>
      <c r="CJ468" s="712">
        <f>IF(WWWW[[#This Row],[Total required water points]]-WWWW[[#This Row],['#Water points coverage]]&lt;0,0,WWWW[[#This Row],[Total required water points]]-WWWW[[#This Row],['#Water points coverage]])</f>
        <v>1</v>
      </c>
      <c r="CK468" s="712">
        <f>ROUND(IF(WWWW[[#This Row],[Total PoP ]]&lt;500,1,WWWW[[#This Row],[Total PoP ]]/500),0)</f>
        <v>1</v>
      </c>
      <c r="CL468" s="712">
        <f>(WWWW[[#This Row],['#_Constructed latrines_by_WASHAgencies]]+WWWW[[#This Row],['#_Non Cluster partner latrines]])-WWWW[[#This Row],['#_Non-functional latrines]]</f>
        <v>0</v>
      </c>
      <c r="CM46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8" s="712">
        <f>IF(WWWW[[#This Row],[Location Type 1]]="Village","NA",IF(WWWW[[#This Row],['#_Constructed/Existing latrines in TLS]]*50&gt;WWWW[[#This Row],['#_students at TLS_CFS]],WWWW[[#This Row],['#_students at TLS_CFS]],(WWWW[[#This Row],['#_Constructed/Existing latrines in TLS]]*50)))</f>
        <v>0</v>
      </c>
      <c r="CQ468" s="712">
        <f>ROUND(IF(WWWW[[#This Row],[Location Type 1]]="camp",WWWW[[#This Row],[Total PoP ]]/20,IF(WWWW[[#This Row],[Location Type 1]]="Temporary Location",WWWW[[#This Row],[Total PoP ]]/50,(WWWW[[#This Row],[Total PoP ]]/6))),0)</f>
        <v>0</v>
      </c>
      <c r="CR468" s="712">
        <f>IF(WWWW[[#This Row],[Total required Latrines]]-(WWWW[[#This Row],['#_Constructed latrines_by_WASHAgencies]]+WWWW[[#This Row],['#_Non Cluster partner latrines]])&lt;0,0,WWWW[[#This Row],[Total required Latrines]]-(WWWW[[#This Row],['#_Constructed latrines_by_WASHAgencies]]+WWWW[[#This Row],['#_Non Cluster partner latrines]]))</f>
        <v>0</v>
      </c>
      <c r="CS468" s="716">
        <f>1-WWWW[[#This Row],[% people access to functioning Latrine]]</f>
        <v>1</v>
      </c>
      <c r="CT468" s="713">
        <f>IF(OR(WWWW[[#This Row],['#_Non-functional latrines]]="",WWWW[[#This Row],['#_Non-functional latrines]]=0),0,WWWW[[#This Row],['#_Non-functional latrines]]/(WWWW[[#This Row],['#_Constructed latrines_by_WASHAgencies]]+WWWW[[#This Row],['#_Non Cluster partner latrines]]))</f>
        <v>0</v>
      </c>
      <c r="CU468" s="708">
        <f>IF(500*(WWWW[[#This Row],['#_male hygiene promoters]]+WWWW[[#This Row],['#_female hygiene promoters]])&gt;WWWW[[#This Row],[Total PoP ]],WWWW[[#This Row],[Total PoP ]],500*(WWWW[[#This Row],['#_male hygiene promoters]]+WWWW[[#This Row],['#_female hygiene promoters]]))</f>
        <v>0</v>
      </c>
      <c r="CV46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8" s="712">
        <f>IF(WWWW[[#This Row],['# People with access to soap]]&gt;WWWW[[#This Row],['# People with access to Sanity Pads]],WWWW[[#This Row],['# People with access to soap]],WWWW[[#This Row],['# People with access to Sanity Pads]])</f>
        <v>0</v>
      </c>
      <c r="CY46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8" s="714">
        <f>IF(WWWW[[#This Row],[HRP3]]/WWWW[[#This Row],[Total PoP ]]&gt;100%,100%,WWWW[[#This Row],[HRP3]]/WWWW[[#This Row],[Total PoP ]])</f>
        <v>0</v>
      </c>
      <c r="DA468" s="713">
        <f>1-WWWW[[#This Row],[Hygiene Coverage%]]</f>
        <v>1</v>
      </c>
      <c r="DB468" s="710">
        <f>WWWW[[#This Row],['# people reached by regular dedicated hygiene promotion_5]]/WWWW[[#This Row],[Total PoP ]]</f>
        <v>0</v>
      </c>
      <c r="DC468" s="710">
        <f>IF(WWWW[[#This Row],['#_households that received standard amount of soap for this quarter]]/WWWW[[#This Row],[Total HH]]&gt;1,1,WWWW[[#This Row],['#_households that received standard amount of soap for this quarter]]/WWWW[[#This Row],[Total HH]])</f>
        <v>0</v>
      </c>
      <c r="DD468" s="710">
        <f>IF(WWWW[[#This Row],['#_households that received standard amount of sanitary pads for this quarter]]/WWWW[[#This Row],[Total HH]]&gt;1,1,WWWW[[#This Row],['#_households that received standard amount of sanitary pads for this quarter]]/WWWW[[#This Row],[Total HH]])</f>
        <v>0</v>
      </c>
      <c r="DE468" s="712">
        <f>WWWW[[#This Row],['#_Constructed/Existing hand washing stations]]-WWWW[[#This Row],['#_Non-Functional_hand_washing_stations]]</f>
        <v>0</v>
      </c>
      <c r="DF468" s="757">
        <f>IF(WWWW[[#This Row],['# Functional hand washing stations during reporting period]]*20&gt;WWWW[[#This Row],[Total HH]],WWWW[[#This Row],[Total HH]],WWWW[[#This Row],['# Functional hand washing stations during reporting period]]*20)</f>
        <v>0</v>
      </c>
      <c r="DG468" s="708">
        <f>IF(WWWW[[#This Row],[Is sufficient soap available for TLS? (Yes/No)]]="yes",WWWW[[#This Row],['#_Constructed/Existing hand washing stations at TLS]],0)</f>
        <v>0</v>
      </c>
      <c r="DH468" s="585">
        <f>IF(WWWW[[#This Row],['# Functional hand washing stations during reporting period]]*100&gt;WWWW[[#This Row],[Total PoP ]],WWWW[[#This Row],[Total PoP ]],WWWW[[#This Row],['# Functional hand washing stations during reporting period]]*100)</f>
        <v>0</v>
      </c>
      <c r="DI468" s="585" t="str">
        <f>IF(OR(WWWW[[#This Row],['#_students at TLS_CFS]]="",WWWW[[#This Row],['#_students at TLS_CFS]]=0),"No","Yes")</f>
        <v>No</v>
      </c>
      <c r="DJ468" s="711">
        <f>VLOOKUP(WWWW[[#This Row],[Site Name]],SiteDB6[[Site Name]:[CCCM Management]],6,FALSE)</f>
        <v>0</v>
      </c>
      <c r="DK468" s="711">
        <f>VLOOKUP(WWWW[[#This Row],[Site Name]],SiteDB6[[Site Name]:[CCCM Focal Agency]],7,FALSE)</f>
        <v>0</v>
      </c>
      <c r="DL468" s="711" t="str">
        <f>VLOOKUP(WWWW[[#This Row],[Site Name]],SiteDB6[[Site Name]:[Location Type 1]],9,FALSE)</f>
        <v>Temporary location</v>
      </c>
      <c r="DM468" s="711" t="str">
        <f>VLOOKUP(WWWW[[#This Row],[Site Name]],SiteDB6[[Site Name]:[Type of Accommodation]],10,FALSE)</f>
        <v>Temporary location</v>
      </c>
      <c r="DN468" s="711">
        <f>VLOOKUP(WWWW[[#This Row],[Site Name]],SiteDB6[[Site Name]:[Ethnic or GCA/NGCA]],11,FALSE)</f>
        <v>0</v>
      </c>
      <c r="DO468" s="711">
        <f>VLOOKUP(WWWW[[#This Row],[Site Name]],SiteDB6[[Site Name]:[Lat]],12,FALSE)</f>
        <v>20.575780868530298</v>
      </c>
      <c r="DP468" s="711">
        <f>VLOOKUP(WWWW[[#This Row],[Site Name]],SiteDB6[[Site Name]:[Long]],13,FALSE)</f>
        <v>92.670402526855497</v>
      </c>
      <c r="DQ468" s="711">
        <f>VLOOKUP(WWWW[[#This Row],[Site Name]],SiteDB6[[Site Name]:[Pcode]],3,FALSE)</f>
        <v>197589</v>
      </c>
      <c r="DR468" s="709" t="str">
        <f t="shared" si="15"/>
        <v>Notcovered</v>
      </c>
      <c r="DS468" s="709"/>
      <c r="DV468" s="572"/>
    </row>
    <row r="469" spans="1:126">
      <c r="A469" s="552" t="s">
        <v>2518</v>
      </c>
      <c r="B469" s="808" t="s">
        <v>317</v>
      </c>
      <c r="C469" s="808" t="s">
        <v>317</v>
      </c>
      <c r="D469" s="702"/>
      <c r="E469" s="703" t="s">
        <v>3005</v>
      </c>
      <c r="F469" s="702" t="s">
        <v>355</v>
      </c>
      <c r="G469" s="704" t="str">
        <f>VLOOKUP(WWWW[[#This Row],[Site Name]],SiteDB6[[Site Name]:[Location Type]],8,FALSE)</f>
        <v>New Temporary Site</v>
      </c>
      <c r="H469" s="702" t="s">
        <v>541</v>
      </c>
      <c r="I469" s="705">
        <v>59</v>
      </c>
      <c r="J469" s="705">
        <v>255</v>
      </c>
      <c r="K469" s="706"/>
      <c r="L469" s="707"/>
      <c r="M469" s="705"/>
      <c r="N469" s="705"/>
      <c r="O469" s="705"/>
      <c r="P469" s="705"/>
      <c r="Q469" s="708"/>
      <c r="R469" s="705"/>
      <c r="S469" s="705"/>
      <c r="T469" s="312"/>
      <c r="U469" s="705"/>
      <c r="V469" s="705"/>
      <c r="W469" s="705"/>
      <c r="X469" s="705"/>
      <c r="Y469" s="705"/>
      <c r="Z469" s="705"/>
      <c r="AA469" s="705"/>
      <c r="AB469" s="705"/>
      <c r="AC469" s="705"/>
      <c r="AD469" s="705"/>
      <c r="AE469" s="705"/>
      <c r="AF469" s="705"/>
      <c r="AG469" s="705"/>
      <c r="AH469" s="705"/>
      <c r="AI469" s="705"/>
      <c r="AJ469" s="705"/>
      <c r="AK469" s="705"/>
      <c r="AL469" s="705"/>
      <c r="AM469" s="705"/>
      <c r="AN469" s="705"/>
      <c r="AO469" s="709"/>
      <c r="AP469" s="705"/>
      <c r="AQ469" s="705"/>
      <c r="AR469" s="710"/>
      <c r="AS469" s="705"/>
      <c r="AT469" s="705"/>
      <c r="AU469" s="705"/>
      <c r="AV469" s="705"/>
      <c r="AW469" s="705"/>
      <c r="AX469" s="711"/>
      <c r="AY469" s="709"/>
      <c r="AZ469" s="705"/>
      <c r="BA469" s="705"/>
      <c r="BB469" s="705"/>
      <c r="BC469" s="711"/>
      <c r="BD469" s="705"/>
      <c r="BE469" s="705"/>
      <c r="BF469" s="705"/>
      <c r="BG469" s="705"/>
      <c r="BH469" s="705"/>
      <c r="BI469" s="705"/>
      <c r="BJ469" s="705"/>
      <c r="BK469" s="705"/>
      <c r="BL469" s="705"/>
      <c r="BM469" s="711"/>
      <c r="BN469" s="712"/>
      <c r="BO469" s="710"/>
      <c r="BP469" s="711"/>
      <c r="BQ469" s="713" t="str">
        <f>IFERROR(WWWW[[#This Row],['#_Water sources treated]]/WWWW[[#This Row],['#_Water sources tested for contamination]],"no test")</f>
        <v>no test</v>
      </c>
      <c r="BR469" s="710" t="str">
        <f>IFERROR(WWWW[[#This Row],['#_Household received remediation action due to contamination]]/WWWW[[#This Row],['#_Household water samples tested for contamination]],"no test")</f>
        <v>no test</v>
      </c>
      <c r="BS469" s="712" t="str">
        <f>IF(AND(WWWW[[#This Row],[% of water sources treated]]="no test",WWWW[[#This Row],[% Household received corrective actions]]="no test"),"No Test","Tested")</f>
        <v>No Test</v>
      </c>
      <c r="BT469" s="712">
        <f>WWWW[[#This Row],['#_Constructed/existing protected hand dug well]]-WWWW[[#This Row],['#_Non-functional protected hand dug well]]</f>
        <v>0</v>
      </c>
      <c r="BU469" s="712">
        <f>(WWWW[[#This Row],['#_Constructed/Existing tube wells/boreholes/handpumps_WASH_agency]]+WWWW[[#This Row],['#_Non-Cluster partner water tube-wells/boreholes/handpumps]])-WWWW[[#This Row],['#_Non-functional tube wells/boreholes/handpumps]]</f>
        <v>0</v>
      </c>
      <c r="BV469" s="712">
        <f>WWWW[[#This Row],['#_Constructed/Existingwater storage tank with gravity fed reticulation system]]-WWWW[[#This Row],['#_Non-functional storage tank gravity fed reticulation system]]</f>
        <v>0</v>
      </c>
      <c r="BW469" s="712">
        <f>WWWW[[#This Row],['#_Water boating or water trucking]]</f>
        <v>0</v>
      </c>
      <c r="BX469" s="712">
        <f>WWWW[[#This Row],['#_Constructed/Existing water distribution system from river or natural spring]]</f>
        <v>0</v>
      </c>
      <c r="BY46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6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69" s="710">
        <f>IF(WWWW[[#This Row],[Location Type 1]]="Village",WWWW[[#This Row],[Access to safe drinking water for Village]],WWWW[[#This Row],[Access to safe drinking water for Camp]])</f>
        <v>0</v>
      </c>
      <c r="CB469" s="708">
        <f>WWWW[[#This Row],[%Equitable and continuous access to sufficient quantity of safe drinking water]]*WWWW[[#This Row],[Total PoP ]]</f>
        <v>0</v>
      </c>
      <c r="CC469" s="710">
        <f>IF((WWWW[[#This Row],['#_Constructed/Existing protected/fenced ponds]]*250)/WWWW[[#This Row],[Total PoP ]]&gt;1,1,(WWWW[[#This Row],['#_Constructed/Existing protected/fenced ponds]]*250)/WWWW[[#This Row],[Total PoP ]])</f>
        <v>0</v>
      </c>
      <c r="CD469" s="708">
        <f>WWWW[[#This Row],[% Access to unimproved water points]]*WWWW[[#This Row],[Total PoP ]]</f>
        <v>0</v>
      </c>
      <c r="CE46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6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69" s="708">
        <f>WWWW[[#This Row],[HRP1]]/500</f>
        <v>0</v>
      </c>
      <c r="CH469" s="714">
        <f>1-WWWW[[#This Row],[% Equitable and continuous access to sufficient quantity of domestic water]]</f>
        <v>1</v>
      </c>
      <c r="CI469" s="708">
        <f>WWWW[[#This Row],[%equitable and continuous access to sufficient quantity of safe drinking and domestic water''s GAP]]*WWWW[[#This Row],[Total PoP ]]</f>
        <v>255</v>
      </c>
      <c r="CJ469" s="712">
        <f>IF(WWWW[[#This Row],[Total required water points]]-WWWW[[#This Row],['#Water points coverage]]&lt;0,0,WWWW[[#This Row],[Total required water points]]-WWWW[[#This Row],['#Water points coverage]])</f>
        <v>1</v>
      </c>
      <c r="CK469" s="712">
        <f>ROUND(IF(WWWW[[#This Row],[Total PoP ]]&lt;500,1,WWWW[[#This Row],[Total PoP ]]/500),0)</f>
        <v>1</v>
      </c>
      <c r="CL469" s="712">
        <f>(WWWW[[#This Row],['#_Constructed latrines_by_WASHAgencies]]+WWWW[[#This Row],['#_Non Cluster partner latrines]])-WWWW[[#This Row],['#_Non-functional latrines]]</f>
        <v>0</v>
      </c>
      <c r="CM46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6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6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69" s="712">
        <f>IF(WWWW[[#This Row],[Location Type 1]]="Village","NA",IF(WWWW[[#This Row],['#_Constructed/Existing latrines in TLS]]*50&gt;WWWW[[#This Row],['#_students at TLS_CFS]],WWWW[[#This Row],['#_students at TLS_CFS]],(WWWW[[#This Row],['#_Constructed/Existing latrines in TLS]]*50)))</f>
        <v>0</v>
      </c>
      <c r="CQ469" s="712">
        <f>ROUND(IF(WWWW[[#This Row],[Location Type 1]]="camp",WWWW[[#This Row],[Total PoP ]]/20,IF(WWWW[[#This Row],[Location Type 1]]="Temporary Location",WWWW[[#This Row],[Total PoP ]]/50,(WWWW[[#This Row],[Total PoP ]]/6))),0)</f>
        <v>5</v>
      </c>
      <c r="CR469" s="712">
        <f>IF(WWWW[[#This Row],[Total required Latrines]]-(WWWW[[#This Row],['#_Constructed latrines_by_WASHAgencies]]+WWWW[[#This Row],['#_Non Cluster partner latrines]])&lt;0,0,WWWW[[#This Row],[Total required Latrines]]-(WWWW[[#This Row],['#_Constructed latrines_by_WASHAgencies]]+WWWW[[#This Row],['#_Non Cluster partner latrines]]))</f>
        <v>5</v>
      </c>
      <c r="CS469" s="716">
        <f>1-WWWW[[#This Row],[% people access to functioning Latrine]]</f>
        <v>1</v>
      </c>
      <c r="CT469" s="713">
        <f>IF(OR(WWWW[[#This Row],['#_Non-functional latrines]]="",WWWW[[#This Row],['#_Non-functional latrines]]=0),0,WWWW[[#This Row],['#_Non-functional latrines]]/(WWWW[[#This Row],['#_Constructed latrines_by_WASHAgencies]]+WWWW[[#This Row],['#_Non Cluster partner latrines]]))</f>
        <v>0</v>
      </c>
      <c r="CU469" s="708">
        <f>IF(500*(WWWW[[#This Row],['#_male hygiene promoters]]+WWWW[[#This Row],['#_female hygiene promoters]])&gt;WWWW[[#This Row],[Total PoP ]],WWWW[[#This Row],[Total PoP ]],500*(WWWW[[#This Row],['#_male hygiene promoters]]+WWWW[[#This Row],['#_female hygiene promoters]]))</f>
        <v>0</v>
      </c>
      <c r="CV46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6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69" s="712">
        <f>IF(WWWW[[#This Row],['# People with access to soap]]&gt;WWWW[[#This Row],['# People with access to Sanity Pads]],WWWW[[#This Row],['# People with access to soap]],WWWW[[#This Row],['# People with access to Sanity Pads]])</f>
        <v>0</v>
      </c>
      <c r="CY46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69" s="714">
        <f>IF(WWWW[[#This Row],[HRP3]]/WWWW[[#This Row],[Total PoP ]]&gt;100%,100%,WWWW[[#This Row],[HRP3]]/WWWW[[#This Row],[Total PoP ]])</f>
        <v>0</v>
      </c>
      <c r="DA469" s="713">
        <f>1-WWWW[[#This Row],[Hygiene Coverage%]]</f>
        <v>1</v>
      </c>
      <c r="DB469" s="710">
        <f>WWWW[[#This Row],['# people reached by regular dedicated hygiene promotion_5]]/WWWW[[#This Row],[Total PoP ]]</f>
        <v>0</v>
      </c>
      <c r="DC469" s="710">
        <f>IF(WWWW[[#This Row],['#_households that received standard amount of soap for this quarter]]/WWWW[[#This Row],[Total HH]]&gt;1,1,WWWW[[#This Row],['#_households that received standard amount of soap for this quarter]]/WWWW[[#This Row],[Total HH]])</f>
        <v>0</v>
      </c>
      <c r="DD469" s="710">
        <f>IF(WWWW[[#This Row],['#_households that received standard amount of sanitary pads for this quarter]]/WWWW[[#This Row],[Total HH]]&gt;1,1,WWWW[[#This Row],['#_households that received standard amount of sanitary pads for this quarter]]/WWWW[[#This Row],[Total HH]])</f>
        <v>0</v>
      </c>
      <c r="DE469" s="712">
        <f>WWWW[[#This Row],['#_Constructed/Existing hand washing stations]]-WWWW[[#This Row],['#_Non-Functional_hand_washing_stations]]</f>
        <v>0</v>
      </c>
      <c r="DF469" s="757">
        <f>IF(WWWW[[#This Row],['# Functional hand washing stations during reporting period]]*20&gt;WWWW[[#This Row],[Total HH]],WWWW[[#This Row],[Total HH]],WWWW[[#This Row],['# Functional hand washing stations during reporting period]]*20)</f>
        <v>0</v>
      </c>
      <c r="DG469" s="708">
        <f>IF(WWWW[[#This Row],[Is sufficient soap available for TLS? (Yes/No)]]="yes",WWWW[[#This Row],['#_Constructed/Existing hand washing stations at TLS]],0)</f>
        <v>0</v>
      </c>
      <c r="DH469" s="585">
        <f>IF(WWWW[[#This Row],['# Functional hand washing stations during reporting period]]*100&gt;WWWW[[#This Row],[Total PoP ]],WWWW[[#This Row],[Total PoP ]],WWWW[[#This Row],['# Functional hand washing stations during reporting period]]*100)</f>
        <v>0</v>
      </c>
      <c r="DI469" s="585" t="str">
        <f>IF(OR(WWWW[[#This Row],['#_students at TLS_CFS]]="",WWWW[[#This Row],['#_students at TLS_CFS]]=0),"No","Yes")</f>
        <v>No</v>
      </c>
      <c r="DJ469" s="711">
        <f>VLOOKUP(WWWW[[#This Row],[Site Name]],SiteDB6[[Site Name]:[CCCM Management]],6,FALSE)</f>
        <v>0</v>
      </c>
      <c r="DK469" s="711">
        <f>VLOOKUP(WWWW[[#This Row],[Site Name]],SiteDB6[[Site Name]:[CCCM Focal Agency]],7,FALSE)</f>
        <v>0</v>
      </c>
      <c r="DL469" s="711" t="str">
        <f>VLOOKUP(WWWW[[#This Row],[Site Name]],SiteDB6[[Site Name]:[Location Type 1]],9,FALSE)</f>
        <v>Temporary location</v>
      </c>
      <c r="DM469" s="711" t="str">
        <f>VLOOKUP(WWWW[[#This Row],[Site Name]],SiteDB6[[Site Name]:[Type of Accommodation]],10,FALSE)</f>
        <v>Temporary location</v>
      </c>
      <c r="DN469" s="711" t="str">
        <f>VLOOKUP(WWWW[[#This Row],[Site Name]],SiteDB6[[Site Name]:[Ethnic or GCA/NGCA]],11,FALSE)</f>
        <v>Rakhine</v>
      </c>
      <c r="DO469" s="711">
        <f>VLOOKUP(WWWW[[#This Row],[Site Name]],SiteDB6[[Site Name]:[Lat]],12,FALSE)</f>
        <v>20.66592979</v>
      </c>
      <c r="DP469" s="711">
        <f>VLOOKUP(WWWW[[#This Row],[Site Name]],SiteDB6[[Site Name]:[Long]],13,FALSE)</f>
        <v>92.672691349999994</v>
      </c>
      <c r="DQ469" s="711">
        <f>VLOOKUP(WWWW[[#This Row],[Site Name]],SiteDB6[[Site Name]:[Pcode]],3,FALSE)</f>
        <v>197673</v>
      </c>
      <c r="DR469" s="709" t="str">
        <f t="shared" si="15"/>
        <v>Notcovered</v>
      </c>
      <c r="DS469" s="709"/>
      <c r="DV469" s="572"/>
    </row>
    <row r="470" spans="1:126">
      <c r="A470" s="552" t="s">
        <v>2518</v>
      </c>
      <c r="B470" s="808" t="s">
        <v>317</v>
      </c>
      <c r="C470" s="808" t="s">
        <v>317</v>
      </c>
      <c r="D470" s="702"/>
      <c r="E470" s="703" t="s">
        <v>3005</v>
      </c>
      <c r="F470" s="702" t="s">
        <v>355</v>
      </c>
      <c r="G470" s="704" t="str">
        <f>VLOOKUP(WWWW[[#This Row],[Site Name]],SiteDB6[[Site Name]:[Location Type]],8,FALSE)</f>
        <v>New Temporary Site</v>
      </c>
      <c r="H470" s="702" t="s">
        <v>545</v>
      </c>
      <c r="I470" s="705">
        <v>103</v>
      </c>
      <c r="J470" s="705">
        <v>347</v>
      </c>
      <c r="K470" s="706"/>
      <c r="L470" s="707"/>
      <c r="M470" s="705"/>
      <c r="N470" s="705"/>
      <c r="O470" s="705"/>
      <c r="P470" s="705"/>
      <c r="Q470" s="708"/>
      <c r="R470" s="705"/>
      <c r="S470" s="705"/>
      <c r="T470" s="312"/>
      <c r="U470" s="705"/>
      <c r="V470" s="705"/>
      <c r="W470" s="705"/>
      <c r="X470" s="705"/>
      <c r="Y470" s="705"/>
      <c r="Z470" s="705"/>
      <c r="AA470" s="705"/>
      <c r="AB470" s="705"/>
      <c r="AC470" s="705"/>
      <c r="AD470" s="705"/>
      <c r="AE470" s="705"/>
      <c r="AF470" s="705"/>
      <c r="AG470" s="705"/>
      <c r="AH470" s="705"/>
      <c r="AI470" s="705"/>
      <c r="AJ470" s="705"/>
      <c r="AK470" s="705"/>
      <c r="AL470" s="705"/>
      <c r="AM470" s="705"/>
      <c r="AN470" s="705"/>
      <c r="AO470" s="709"/>
      <c r="AP470" s="705"/>
      <c r="AQ470" s="705"/>
      <c r="AR470" s="710"/>
      <c r="AS470" s="705"/>
      <c r="AT470" s="705"/>
      <c r="AU470" s="705"/>
      <c r="AV470" s="705"/>
      <c r="AW470" s="705"/>
      <c r="AX470" s="711"/>
      <c r="AY470" s="709"/>
      <c r="AZ470" s="705"/>
      <c r="BA470" s="705"/>
      <c r="BB470" s="705"/>
      <c r="BC470" s="711"/>
      <c r="BD470" s="705"/>
      <c r="BE470" s="705"/>
      <c r="BF470" s="705"/>
      <c r="BG470" s="705"/>
      <c r="BH470" s="705"/>
      <c r="BI470" s="705"/>
      <c r="BJ470" s="705"/>
      <c r="BK470" s="705"/>
      <c r="BL470" s="705"/>
      <c r="BM470" s="711"/>
      <c r="BN470" s="712"/>
      <c r="BO470" s="710"/>
      <c r="BP470" s="711"/>
      <c r="BQ470" s="713" t="str">
        <f>IFERROR(WWWW[[#This Row],['#_Water sources treated]]/WWWW[[#This Row],['#_Water sources tested for contamination]],"no test")</f>
        <v>no test</v>
      </c>
      <c r="BR470" s="710" t="str">
        <f>IFERROR(WWWW[[#This Row],['#_Household received remediation action due to contamination]]/WWWW[[#This Row],['#_Household water samples tested for contamination]],"no test")</f>
        <v>no test</v>
      </c>
      <c r="BS470" s="712" t="str">
        <f>IF(AND(WWWW[[#This Row],[% of water sources treated]]="no test",WWWW[[#This Row],[% Household received corrective actions]]="no test"),"No Test","Tested")</f>
        <v>No Test</v>
      </c>
      <c r="BT470" s="712">
        <f>WWWW[[#This Row],['#_Constructed/existing protected hand dug well]]-WWWW[[#This Row],['#_Non-functional protected hand dug well]]</f>
        <v>0</v>
      </c>
      <c r="BU470" s="712">
        <f>(WWWW[[#This Row],['#_Constructed/Existing tube wells/boreholes/handpumps_WASH_agency]]+WWWW[[#This Row],['#_Non-Cluster partner water tube-wells/boreholes/handpumps]])-WWWW[[#This Row],['#_Non-functional tube wells/boreholes/handpumps]]</f>
        <v>0</v>
      </c>
      <c r="BV470" s="712">
        <f>WWWW[[#This Row],['#_Constructed/Existingwater storage tank with gravity fed reticulation system]]-WWWW[[#This Row],['#_Non-functional storage tank gravity fed reticulation system]]</f>
        <v>0</v>
      </c>
      <c r="BW470" s="712">
        <f>WWWW[[#This Row],['#_Water boating or water trucking]]</f>
        <v>0</v>
      </c>
      <c r="BX470" s="712">
        <f>WWWW[[#This Row],['#_Constructed/Existing water distribution system from river or natural spring]]</f>
        <v>0</v>
      </c>
      <c r="BY47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0" s="710">
        <f>IF(WWWW[[#This Row],[Location Type 1]]="Village",WWWW[[#This Row],[Access to safe drinking water for Village]],WWWW[[#This Row],[Access to safe drinking water for Camp]])</f>
        <v>0</v>
      </c>
      <c r="CB470" s="708">
        <f>WWWW[[#This Row],[%Equitable and continuous access to sufficient quantity of safe drinking water]]*WWWW[[#This Row],[Total PoP ]]</f>
        <v>0</v>
      </c>
      <c r="CC470" s="710">
        <f>IF((WWWW[[#This Row],['#_Constructed/Existing protected/fenced ponds]]*250)/WWWW[[#This Row],[Total PoP ]]&gt;1,1,(WWWW[[#This Row],['#_Constructed/Existing protected/fenced ponds]]*250)/WWWW[[#This Row],[Total PoP ]])</f>
        <v>0</v>
      </c>
      <c r="CD470" s="708">
        <f>WWWW[[#This Row],[% Access to unimproved water points]]*WWWW[[#This Row],[Total PoP ]]</f>
        <v>0</v>
      </c>
      <c r="CE47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0" s="708">
        <f>WWWW[[#This Row],[HRP1]]/500</f>
        <v>0</v>
      </c>
      <c r="CH470" s="714">
        <f>1-WWWW[[#This Row],[% Equitable and continuous access to sufficient quantity of domestic water]]</f>
        <v>1</v>
      </c>
      <c r="CI470" s="708">
        <f>WWWW[[#This Row],[%equitable and continuous access to sufficient quantity of safe drinking and domestic water''s GAP]]*WWWW[[#This Row],[Total PoP ]]</f>
        <v>347</v>
      </c>
      <c r="CJ470" s="712">
        <f>IF(WWWW[[#This Row],[Total required water points]]-WWWW[[#This Row],['#Water points coverage]]&lt;0,0,WWWW[[#This Row],[Total required water points]]-WWWW[[#This Row],['#Water points coverage]])</f>
        <v>1</v>
      </c>
      <c r="CK470" s="712">
        <f>ROUND(IF(WWWW[[#This Row],[Total PoP ]]&lt;500,1,WWWW[[#This Row],[Total PoP ]]/500),0)</f>
        <v>1</v>
      </c>
      <c r="CL470" s="712">
        <f>(WWWW[[#This Row],['#_Constructed latrines_by_WASHAgencies]]+WWWW[[#This Row],['#_Non Cluster partner latrines]])-WWWW[[#This Row],['#_Non-functional latrines]]</f>
        <v>0</v>
      </c>
      <c r="CM47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0" s="712">
        <f>IF(WWWW[[#This Row],[Location Type 1]]="Village","NA",IF(WWWW[[#This Row],['#_Constructed/Existing latrines in TLS]]*50&gt;WWWW[[#This Row],['#_students at TLS_CFS]],WWWW[[#This Row],['#_students at TLS_CFS]],(WWWW[[#This Row],['#_Constructed/Existing latrines in TLS]]*50)))</f>
        <v>0</v>
      </c>
      <c r="CQ470" s="712">
        <f>ROUND(IF(WWWW[[#This Row],[Location Type 1]]="camp",WWWW[[#This Row],[Total PoP ]]/20,IF(WWWW[[#This Row],[Location Type 1]]="Temporary Location",WWWW[[#This Row],[Total PoP ]]/50,(WWWW[[#This Row],[Total PoP ]]/6))),0)</f>
        <v>7</v>
      </c>
      <c r="CR470" s="712">
        <f>IF(WWWW[[#This Row],[Total required Latrines]]-(WWWW[[#This Row],['#_Constructed latrines_by_WASHAgencies]]+WWWW[[#This Row],['#_Non Cluster partner latrines]])&lt;0,0,WWWW[[#This Row],[Total required Latrines]]-(WWWW[[#This Row],['#_Constructed latrines_by_WASHAgencies]]+WWWW[[#This Row],['#_Non Cluster partner latrines]]))</f>
        <v>7</v>
      </c>
      <c r="CS470" s="716">
        <f>1-WWWW[[#This Row],[% people access to functioning Latrine]]</f>
        <v>1</v>
      </c>
      <c r="CT470" s="713">
        <f>IF(OR(WWWW[[#This Row],['#_Non-functional latrines]]="",WWWW[[#This Row],['#_Non-functional latrines]]=0),0,WWWW[[#This Row],['#_Non-functional latrines]]/(WWWW[[#This Row],['#_Constructed latrines_by_WASHAgencies]]+WWWW[[#This Row],['#_Non Cluster partner latrines]]))</f>
        <v>0</v>
      </c>
      <c r="CU470" s="708">
        <f>IF(500*(WWWW[[#This Row],['#_male hygiene promoters]]+WWWW[[#This Row],['#_female hygiene promoters]])&gt;WWWW[[#This Row],[Total PoP ]],WWWW[[#This Row],[Total PoP ]],500*(WWWW[[#This Row],['#_male hygiene promoters]]+WWWW[[#This Row],['#_female hygiene promoters]]))</f>
        <v>0</v>
      </c>
      <c r="CV47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0" s="712">
        <f>IF(WWWW[[#This Row],['# People with access to soap]]&gt;WWWW[[#This Row],['# People with access to Sanity Pads]],WWWW[[#This Row],['# People with access to soap]],WWWW[[#This Row],['# People with access to Sanity Pads]])</f>
        <v>0</v>
      </c>
      <c r="CY47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0" s="714">
        <f>IF(WWWW[[#This Row],[HRP3]]/WWWW[[#This Row],[Total PoP ]]&gt;100%,100%,WWWW[[#This Row],[HRP3]]/WWWW[[#This Row],[Total PoP ]])</f>
        <v>0</v>
      </c>
      <c r="DA470" s="713">
        <f>1-WWWW[[#This Row],[Hygiene Coverage%]]</f>
        <v>1</v>
      </c>
      <c r="DB470" s="710">
        <f>WWWW[[#This Row],['# people reached by regular dedicated hygiene promotion_5]]/WWWW[[#This Row],[Total PoP ]]</f>
        <v>0</v>
      </c>
      <c r="DC470" s="710">
        <f>IF(WWWW[[#This Row],['#_households that received standard amount of soap for this quarter]]/WWWW[[#This Row],[Total HH]]&gt;1,1,WWWW[[#This Row],['#_households that received standard amount of soap for this quarter]]/WWWW[[#This Row],[Total HH]])</f>
        <v>0</v>
      </c>
      <c r="DD470" s="710">
        <f>IF(WWWW[[#This Row],['#_households that received standard amount of sanitary pads for this quarter]]/WWWW[[#This Row],[Total HH]]&gt;1,1,WWWW[[#This Row],['#_households that received standard amount of sanitary pads for this quarter]]/WWWW[[#This Row],[Total HH]])</f>
        <v>0</v>
      </c>
      <c r="DE470" s="712">
        <f>WWWW[[#This Row],['#_Constructed/Existing hand washing stations]]-WWWW[[#This Row],['#_Non-Functional_hand_washing_stations]]</f>
        <v>0</v>
      </c>
      <c r="DF470" s="757">
        <f>IF(WWWW[[#This Row],['# Functional hand washing stations during reporting period]]*20&gt;WWWW[[#This Row],[Total HH]],WWWW[[#This Row],[Total HH]],WWWW[[#This Row],['# Functional hand washing stations during reporting period]]*20)</f>
        <v>0</v>
      </c>
      <c r="DG470" s="708">
        <f>IF(WWWW[[#This Row],[Is sufficient soap available for TLS? (Yes/No)]]="yes",WWWW[[#This Row],['#_Constructed/Existing hand washing stations at TLS]],0)</f>
        <v>0</v>
      </c>
      <c r="DH470" s="585">
        <f>IF(WWWW[[#This Row],['# Functional hand washing stations during reporting period]]*100&gt;WWWW[[#This Row],[Total PoP ]],WWWW[[#This Row],[Total PoP ]],WWWW[[#This Row],['# Functional hand washing stations during reporting period]]*100)</f>
        <v>0</v>
      </c>
      <c r="DI470" s="585" t="str">
        <f>IF(OR(WWWW[[#This Row],['#_students at TLS_CFS]]="",WWWW[[#This Row],['#_students at TLS_CFS]]=0),"No","Yes")</f>
        <v>No</v>
      </c>
      <c r="DJ470" s="711">
        <f>VLOOKUP(WWWW[[#This Row],[Site Name]],SiteDB6[[Site Name]:[CCCM Management]],6,FALSE)</f>
        <v>0</v>
      </c>
      <c r="DK470" s="711">
        <f>VLOOKUP(WWWW[[#This Row],[Site Name]],SiteDB6[[Site Name]:[CCCM Focal Agency]],7,FALSE)</f>
        <v>0</v>
      </c>
      <c r="DL470" s="711" t="str">
        <f>VLOOKUP(WWWW[[#This Row],[Site Name]],SiteDB6[[Site Name]:[Location Type 1]],9,FALSE)</f>
        <v>Temporary location</v>
      </c>
      <c r="DM470" s="711" t="str">
        <f>VLOOKUP(WWWW[[#This Row],[Site Name]],SiteDB6[[Site Name]:[Type of Accommodation]],10,FALSE)</f>
        <v>Temporary location</v>
      </c>
      <c r="DN470" s="711" t="str">
        <f>VLOOKUP(WWWW[[#This Row],[Site Name]],SiteDB6[[Site Name]:[Ethnic or GCA/NGCA]],11,FALSE)</f>
        <v>Rakhine</v>
      </c>
      <c r="DO470" s="711">
        <f>VLOOKUP(WWWW[[#This Row],[Site Name]],SiteDB6[[Site Name]:[Lat]],12,FALSE)</f>
        <v>20.670539860000002</v>
      </c>
      <c r="DP470" s="711">
        <f>VLOOKUP(WWWW[[#This Row],[Site Name]],SiteDB6[[Site Name]:[Long]],13,FALSE)</f>
        <v>92.703033450000007</v>
      </c>
      <c r="DQ470" s="711">
        <f>VLOOKUP(WWWW[[#This Row],[Site Name]],SiteDB6[[Site Name]:[Pcode]],3,FALSE)</f>
        <v>197675</v>
      </c>
      <c r="DR470" s="709" t="str">
        <f t="shared" si="15"/>
        <v>Notcovered</v>
      </c>
      <c r="DS470" s="709"/>
      <c r="DV470" s="572"/>
    </row>
    <row r="471" spans="1:126">
      <c r="A471" s="552" t="s">
        <v>2518</v>
      </c>
      <c r="B471" s="808" t="s">
        <v>317</v>
      </c>
      <c r="C471" s="808" t="s">
        <v>317</v>
      </c>
      <c r="D471" s="702"/>
      <c r="E471" s="703" t="s">
        <v>3005</v>
      </c>
      <c r="F471" s="702" t="s">
        <v>355</v>
      </c>
      <c r="G471" s="704" t="str">
        <f>VLOOKUP(WWWW[[#This Row],[Site Name]],SiteDB6[[Site Name]:[Location Type]],8,FALSE)</f>
        <v>New Temporary Site</v>
      </c>
      <c r="H471" s="718" t="s">
        <v>3183</v>
      </c>
      <c r="I471" s="705">
        <v>16</v>
      </c>
      <c r="J471" s="705">
        <v>54</v>
      </c>
      <c r="K471" s="706"/>
      <c r="L471" s="707"/>
      <c r="M471" s="705"/>
      <c r="N471" s="705"/>
      <c r="O471" s="705"/>
      <c r="P471" s="705"/>
      <c r="Q471" s="708"/>
      <c r="R471" s="705"/>
      <c r="S471" s="705"/>
      <c r="T471" s="312"/>
      <c r="U471" s="705"/>
      <c r="V471" s="705"/>
      <c r="W471" s="705"/>
      <c r="X471" s="705"/>
      <c r="Y471" s="705"/>
      <c r="Z471" s="705"/>
      <c r="AA471" s="705"/>
      <c r="AB471" s="705"/>
      <c r="AC471" s="705"/>
      <c r="AD471" s="705"/>
      <c r="AE471" s="705"/>
      <c r="AF471" s="705"/>
      <c r="AG471" s="705"/>
      <c r="AH471" s="705"/>
      <c r="AI471" s="705"/>
      <c r="AJ471" s="705"/>
      <c r="AK471" s="705"/>
      <c r="AL471" s="705"/>
      <c r="AM471" s="705"/>
      <c r="AN471" s="705"/>
      <c r="AO471" s="709"/>
      <c r="AP471" s="705"/>
      <c r="AQ471" s="705"/>
      <c r="AR471" s="710"/>
      <c r="AS471" s="705"/>
      <c r="AT471" s="705"/>
      <c r="AU471" s="705"/>
      <c r="AV471" s="705"/>
      <c r="AW471" s="705"/>
      <c r="AX471" s="711"/>
      <c r="AY471" s="709"/>
      <c r="AZ471" s="705"/>
      <c r="BA471" s="705"/>
      <c r="BB471" s="705"/>
      <c r="BC471" s="711"/>
      <c r="BD471" s="705"/>
      <c r="BE471" s="705"/>
      <c r="BF471" s="705"/>
      <c r="BG471" s="705"/>
      <c r="BH471" s="705"/>
      <c r="BI471" s="705"/>
      <c r="BJ471" s="705"/>
      <c r="BK471" s="705"/>
      <c r="BL471" s="705"/>
      <c r="BM471" s="711"/>
      <c r="BN471" s="712"/>
      <c r="BO471" s="710"/>
      <c r="BP471" s="711"/>
      <c r="BQ471" s="713" t="str">
        <f>IFERROR(WWWW[[#This Row],['#_Water sources treated]]/WWWW[[#This Row],['#_Water sources tested for contamination]],"no test")</f>
        <v>no test</v>
      </c>
      <c r="BR471" s="710" t="str">
        <f>IFERROR(WWWW[[#This Row],['#_Household received remediation action due to contamination]]/WWWW[[#This Row],['#_Household water samples tested for contamination]],"no test")</f>
        <v>no test</v>
      </c>
      <c r="BS471" s="712" t="str">
        <f>IF(AND(WWWW[[#This Row],[% of water sources treated]]="no test",WWWW[[#This Row],[% Household received corrective actions]]="no test"),"No Test","Tested")</f>
        <v>No Test</v>
      </c>
      <c r="BT471" s="712">
        <f>WWWW[[#This Row],['#_Constructed/existing protected hand dug well]]-WWWW[[#This Row],['#_Non-functional protected hand dug well]]</f>
        <v>0</v>
      </c>
      <c r="BU471" s="712">
        <f>(WWWW[[#This Row],['#_Constructed/Existing tube wells/boreholes/handpumps_WASH_agency]]+WWWW[[#This Row],['#_Non-Cluster partner water tube-wells/boreholes/handpumps]])-WWWW[[#This Row],['#_Non-functional tube wells/boreholes/handpumps]]</f>
        <v>0</v>
      </c>
      <c r="BV471" s="712">
        <f>WWWW[[#This Row],['#_Constructed/Existingwater storage tank with gravity fed reticulation system]]-WWWW[[#This Row],['#_Non-functional storage tank gravity fed reticulation system]]</f>
        <v>0</v>
      </c>
      <c r="BW471" s="712">
        <f>WWWW[[#This Row],['#_Water boating or water trucking]]</f>
        <v>0</v>
      </c>
      <c r="BX471" s="712">
        <f>WWWW[[#This Row],['#_Constructed/Existing water distribution system from river or natural spring]]</f>
        <v>0</v>
      </c>
      <c r="BY47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1" s="710">
        <f>IF(WWWW[[#This Row],[Location Type 1]]="Village",WWWW[[#This Row],[Access to safe drinking water for Village]],WWWW[[#This Row],[Access to safe drinking water for Camp]])</f>
        <v>0</v>
      </c>
      <c r="CB471" s="708">
        <f>WWWW[[#This Row],[%Equitable and continuous access to sufficient quantity of safe drinking water]]*WWWW[[#This Row],[Total PoP ]]</f>
        <v>0</v>
      </c>
      <c r="CC471" s="710">
        <f>IF((WWWW[[#This Row],['#_Constructed/Existing protected/fenced ponds]]*250)/WWWW[[#This Row],[Total PoP ]]&gt;1,1,(WWWW[[#This Row],['#_Constructed/Existing protected/fenced ponds]]*250)/WWWW[[#This Row],[Total PoP ]])</f>
        <v>0</v>
      </c>
      <c r="CD471" s="708">
        <f>WWWW[[#This Row],[% Access to unimproved water points]]*WWWW[[#This Row],[Total PoP ]]</f>
        <v>0</v>
      </c>
      <c r="CE47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1" s="708">
        <f>WWWW[[#This Row],[HRP1]]/500</f>
        <v>0</v>
      </c>
      <c r="CH471" s="714">
        <f>1-WWWW[[#This Row],[% Equitable and continuous access to sufficient quantity of domestic water]]</f>
        <v>1</v>
      </c>
      <c r="CI471" s="708">
        <f>WWWW[[#This Row],[%equitable and continuous access to sufficient quantity of safe drinking and domestic water''s GAP]]*WWWW[[#This Row],[Total PoP ]]</f>
        <v>54</v>
      </c>
      <c r="CJ471" s="712">
        <f>IF(WWWW[[#This Row],[Total required water points]]-WWWW[[#This Row],['#Water points coverage]]&lt;0,0,WWWW[[#This Row],[Total required water points]]-WWWW[[#This Row],['#Water points coverage]])</f>
        <v>1</v>
      </c>
      <c r="CK471" s="712">
        <f>ROUND(IF(WWWW[[#This Row],[Total PoP ]]&lt;500,1,WWWW[[#This Row],[Total PoP ]]/500),0)</f>
        <v>1</v>
      </c>
      <c r="CL471" s="712">
        <f>(WWWW[[#This Row],['#_Constructed latrines_by_WASHAgencies]]+WWWW[[#This Row],['#_Non Cluster partner latrines]])-WWWW[[#This Row],['#_Non-functional latrines]]</f>
        <v>0</v>
      </c>
      <c r="CM47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1" s="712">
        <f>IF(WWWW[[#This Row],[Location Type 1]]="Village","NA",IF(WWWW[[#This Row],['#_Constructed/Existing latrines in TLS]]*50&gt;WWWW[[#This Row],['#_students at TLS_CFS]],WWWW[[#This Row],['#_students at TLS_CFS]],(WWWW[[#This Row],['#_Constructed/Existing latrines in TLS]]*50)))</f>
        <v>0</v>
      </c>
      <c r="CQ471" s="712">
        <f>ROUND(IF(WWWW[[#This Row],[Location Type 1]]="camp",WWWW[[#This Row],[Total PoP ]]/20,IF(WWWW[[#This Row],[Location Type 1]]="Temporary Location",WWWW[[#This Row],[Total PoP ]]/50,(WWWW[[#This Row],[Total PoP ]]/6))),0)</f>
        <v>1</v>
      </c>
      <c r="CR471" s="712">
        <f>IF(WWWW[[#This Row],[Total required Latrines]]-(WWWW[[#This Row],['#_Constructed latrines_by_WASHAgencies]]+WWWW[[#This Row],['#_Non Cluster partner latrines]])&lt;0,0,WWWW[[#This Row],[Total required Latrines]]-(WWWW[[#This Row],['#_Constructed latrines_by_WASHAgencies]]+WWWW[[#This Row],['#_Non Cluster partner latrines]]))</f>
        <v>1</v>
      </c>
      <c r="CS471" s="716">
        <f>1-WWWW[[#This Row],[% people access to functioning Latrine]]</f>
        <v>1</v>
      </c>
      <c r="CT471" s="713">
        <f>IF(OR(WWWW[[#This Row],['#_Non-functional latrines]]="",WWWW[[#This Row],['#_Non-functional latrines]]=0),0,WWWW[[#This Row],['#_Non-functional latrines]]/(WWWW[[#This Row],['#_Constructed latrines_by_WASHAgencies]]+WWWW[[#This Row],['#_Non Cluster partner latrines]]))</f>
        <v>0</v>
      </c>
      <c r="CU471" s="708">
        <f>IF(500*(WWWW[[#This Row],['#_male hygiene promoters]]+WWWW[[#This Row],['#_female hygiene promoters]])&gt;WWWW[[#This Row],[Total PoP ]],WWWW[[#This Row],[Total PoP ]],500*(WWWW[[#This Row],['#_male hygiene promoters]]+WWWW[[#This Row],['#_female hygiene promoters]]))</f>
        <v>0</v>
      </c>
      <c r="CV47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1" s="712">
        <f>IF(WWWW[[#This Row],['# People with access to soap]]&gt;WWWW[[#This Row],['# People with access to Sanity Pads]],WWWW[[#This Row],['# People with access to soap]],WWWW[[#This Row],['# People with access to Sanity Pads]])</f>
        <v>0</v>
      </c>
      <c r="CY47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1" s="714">
        <f>IF(WWWW[[#This Row],[HRP3]]/WWWW[[#This Row],[Total PoP ]]&gt;100%,100%,WWWW[[#This Row],[HRP3]]/WWWW[[#This Row],[Total PoP ]])</f>
        <v>0</v>
      </c>
      <c r="DA471" s="713">
        <f>1-WWWW[[#This Row],[Hygiene Coverage%]]</f>
        <v>1</v>
      </c>
      <c r="DB471" s="710">
        <f>WWWW[[#This Row],['# people reached by regular dedicated hygiene promotion_5]]/WWWW[[#This Row],[Total PoP ]]</f>
        <v>0</v>
      </c>
      <c r="DC471" s="710">
        <f>IF(WWWW[[#This Row],['#_households that received standard amount of soap for this quarter]]/WWWW[[#This Row],[Total HH]]&gt;1,1,WWWW[[#This Row],['#_households that received standard amount of soap for this quarter]]/WWWW[[#This Row],[Total HH]])</f>
        <v>0</v>
      </c>
      <c r="DD471" s="710">
        <f>IF(WWWW[[#This Row],['#_households that received standard amount of sanitary pads for this quarter]]/WWWW[[#This Row],[Total HH]]&gt;1,1,WWWW[[#This Row],['#_households that received standard amount of sanitary pads for this quarter]]/WWWW[[#This Row],[Total HH]])</f>
        <v>0</v>
      </c>
      <c r="DE471" s="712">
        <f>WWWW[[#This Row],['#_Constructed/Existing hand washing stations]]-WWWW[[#This Row],['#_Non-Functional_hand_washing_stations]]</f>
        <v>0</v>
      </c>
      <c r="DF471" s="757">
        <f>IF(WWWW[[#This Row],['# Functional hand washing stations during reporting period]]*20&gt;WWWW[[#This Row],[Total HH]],WWWW[[#This Row],[Total HH]],WWWW[[#This Row],['# Functional hand washing stations during reporting period]]*20)</f>
        <v>0</v>
      </c>
      <c r="DG471" s="708">
        <f>IF(WWWW[[#This Row],[Is sufficient soap available for TLS? (Yes/No)]]="yes",WWWW[[#This Row],['#_Constructed/Existing hand washing stations at TLS]],0)</f>
        <v>0</v>
      </c>
      <c r="DH471" s="585">
        <f>IF(WWWW[[#This Row],['# Functional hand washing stations during reporting period]]*100&gt;WWWW[[#This Row],[Total PoP ]],WWWW[[#This Row],[Total PoP ]],WWWW[[#This Row],['# Functional hand washing stations during reporting period]]*100)</f>
        <v>0</v>
      </c>
      <c r="DI471" s="585" t="str">
        <f>IF(OR(WWWW[[#This Row],['#_students at TLS_CFS]]="",WWWW[[#This Row],['#_students at TLS_CFS]]=0),"No","Yes")</f>
        <v>No</v>
      </c>
      <c r="DJ471" s="711">
        <f>VLOOKUP(WWWW[[#This Row],[Site Name]],SiteDB6[[Site Name]:[CCCM Management]],6,FALSE)</f>
        <v>0</v>
      </c>
      <c r="DK471" s="711">
        <f>VLOOKUP(WWWW[[#This Row],[Site Name]],SiteDB6[[Site Name]:[CCCM Focal Agency]],7,FALSE)</f>
        <v>0</v>
      </c>
      <c r="DL471" s="711" t="str">
        <f>VLOOKUP(WWWW[[#This Row],[Site Name]],SiteDB6[[Site Name]:[Location Type 1]],9,FALSE)</f>
        <v>Temporary location</v>
      </c>
      <c r="DM471" s="711" t="str">
        <f>VLOOKUP(WWWW[[#This Row],[Site Name]],SiteDB6[[Site Name]:[Type of Accommodation]],10,FALSE)</f>
        <v>Temporary location</v>
      </c>
      <c r="DN471" s="711">
        <f>VLOOKUP(WWWW[[#This Row],[Site Name]],SiteDB6[[Site Name]:[Ethnic or GCA/NGCA]],11,FALSE)</f>
        <v>0</v>
      </c>
      <c r="DO471" s="711">
        <f>VLOOKUP(WWWW[[#This Row],[Site Name]],SiteDB6[[Site Name]:[Lat]],12,FALSE)</f>
        <v>0</v>
      </c>
      <c r="DP471" s="711">
        <f>VLOOKUP(WWWW[[#This Row],[Site Name]],SiteDB6[[Site Name]:[Long]],13,FALSE)</f>
        <v>0</v>
      </c>
      <c r="DQ471" s="711">
        <f>VLOOKUP(WWWW[[#This Row],[Site Name]],SiteDB6[[Site Name]:[Pcode]],3,FALSE)</f>
        <v>0</v>
      </c>
      <c r="DR471" s="709" t="str">
        <f t="shared" si="15"/>
        <v>Notcovered</v>
      </c>
      <c r="DS471" s="709"/>
      <c r="DV471" s="572"/>
    </row>
    <row r="472" spans="1:126">
      <c r="A472" s="552" t="s">
        <v>2518</v>
      </c>
      <c r="B472" s="808" t="s">
        <v>317</v>
      </c>
      <c r="C472" s="808" t="s">
        <v>317</v>
      </c>
      <c r="D472" s="702"/>
      <c r="E472" s="703" t="s">
        <v>3005</v>
      </c>
      <c r="F472" s="702" t="s">
        <v>355</v>
      </c>
      <c r="G472" s="704" t="str">
        <f>VLOOKUP(WWWW[[#This Row],[Site Name]],SiteDB6[[Site Name]:[Location Type]],8,FALSE)</f>
        <v>New Temporary Site</v>
      </c>
      <c r="H472" s="702" t="s">
        <v>3231</v>
      </c>
      <c r="I472" s="705">
        <v>13</v>
      </c>
      <c r="J472" s="705">
        <v>56</v>
      </c>
      <c r="K472" s="706"/>
      <c r="L472" s="707"/>
      <c r="M472" s="705"/>
      <c r="N472" s="705"/>
      <c r="O472" s="705"/>
      <c r="P472" s="705"/>
      <c r="Q472" s="708"/>
      <c r="R472" s="705"/>
      <c r="S472" s="705"/>
      <c r="T472" s="312"/>
      <c r="U472" s="705"/>
      <c r="V472" s="705"/>
      <c r="W472" s="705"/>
      <c r="X472" s="705"/>
      <c r="Y472" s="705"/>
      <c r="Z472" s="705"/>
      <c r="AA472" s="705"/>
      <c r="AB472" s="705"/>
      <c r="AC472" s="705"/>
      <c r="AD472" s="705"/>
      <c r="AE472" s="705"/>
      <c r="AF472" s="705"/>
      <c r="AG472" s="705"/>
      <c r="AH472" s="705"/>
      <c r="AI472" s="705"/>
      <c r="AJ472" s="705"/>
      <c r="AK472" s="705"/>
      <c r="AL472" s="705"/>
      <c r="AM472" s="705"/>
      <c r="AN472" s="705"/>
      <c r="AO472" s="709"/>
      <c r="AP472" s="705"/>
      <c r="AQ472" s="705"/>
      <c r="AR472" s="710"/>
      <c r="AS472" s="705"/>
      <c r="AT472" s="705"/>
      <c r="AU472" s="705"/>
      <c r="AV472" s="705"/>
      <c r="AW472" s="705"/>
      <c r="AX472" s="711"/>
      <c r="AY472" s="709"/>
      <c r="AZ472" s="705"/>
      <c r="BA472" s="705"/>
      <c r="BB472" s="705"/>
      <c r="BC472" s="711"/>
      <c r="BD472" s="705"/>
      <c r="BE472" s="705"/>
      <c r="BF472" s="705"/>
      <c r="BG472" s="705"/>
      <c r="BH472" s="705"/>
      <c r="BI472" s="705"/>
      <c r="BJ472" s="705"/>
      <c r="BK472" s="705"/>
      <c r="BL472" s="705"/>
      <c r="BM472" s="711"/>
      <c r="BN472" s="712"/>
      <c r="BO472" s="710"/>
      <c r="BP472" s="711"/>
      <c r="BQ472" s="713" t="str">
        <f>IFERROR(WWWW[[#This Row],['#_Water sources treated]]/WWWW[[#This Row],['#_Water sources tested for contamination]],"no test")</f>
        <v>no test</v>
      </c>
      <c r="BR472" s="710" t="str">
        <f>IFERROR(WWWW[[#This Row],['#_Household received remediation action due to contamination]]/WWWW[[#This Row],['#_Household water samples tested for contamination]],"no test")</f>
        <v>no test</v>
      </c>
      <c r="BS472" s="712" t="str">
        <f>IF(AND(WWWW[[#This Row],[% of water sources treated]]="no test",WWWW[[#This Row],[% Household received corrective actions]]="no test"),"No Test","Tested")</f>
        <v>No Test</v>
      </c>
      <c r="BT472" s="712">
        <f>WWWW[[#This Row],['#_Constructed/existing protected hand dug well]]-WWWW[[#This Row],['#_Non-functional protected hand dug well]]</f>
        <v>0</v>
      </c>
      <c r="BU472" s="712">
        <f>(WWWW[[#This Row],['#_Constructed/Existing tube wells/boreholes/handpumps_WASH_agency]]+WWWW[[#This Row],['#_Non-Cluster partner water tube-wells/boreholes/handpumps]])-WWWW[[#This Row],['#_Non-functional tube wells/boreholes/handpumps]]</f>
        <v>0</v>
      </c>
      <c r="BV472" s="712">
        <f>WWWW[[#This Row],['#_Constructed/Existingwater storage tank with gravity fed reticulation system]]-WWWW[[#This Row],['#_Non-functional storage tank gravity fed reticulation system]]</f>
        <v>0</v>
      </c>
      <c r="BW472" s="712">
        <f>WWWW[[#This Row],['#_Water boating or water trucking]]</f>
        <v>0</v>
      </c>
      <c r="BX472" s="712">
        <f>WWWW[[#This Row],['#_Constructed/Existing water distribution system from river or natural spring]]</f>
        <v>0</v>
      </c>
      <c r="BY47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2" s="710">
        <f>IF(WWWW[[#This Row],[Location Type 1]]="Village",WWWW[[#This Row],[Access to safe drinking water for Village]],WWWW[[#This Row],[Access to safe drinking water for Camp]])</f>
        <v>0</v>
      </c>
      <c r="CB472" s="708">
        <f>WWWW[[#This Row],[%Equitable and continuous access to sufficient quantity of safe drinking water]]*WWWW[[#This Row],[Total PoP ]]</f>
        <v>0</v>
      </c>
      <c r="CC472" s="710">
        <f>IF((WWWW[[#This Row],['#_Constructed/Existing protected/fenced ponds]]*250)/WWWW[[#This Row],[Total PoP ]]&gt;1,1,(WWWW[[#This Row],['#_Constructed/Existing protected/fenced ponds]]*250)/WWWW[[#This Row],[Total PoP ]])</f>
        <v>0</v>
      </c>
      <c r="CD472" s="708">
        <f>WWWW[[#This Row],[% Access to unimproved water points]]*WWWW[[#This Row],[Total PoP ]]</f>
        <v>0</v>
      </c>
      <c r="CE47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2" s="708">
        <f>WWWW[[#This Row],[HRP1]]/500</f>
        <v>0</v>
      </c>
      <c r="CH472" s="714">
        <f>1-WWWW[[#This Row],[% Equitable and continuous access to sufficient quantity of domestic water]]</f>
        <v>1</v>
      </c>
      <c r="CI472" s="708">
        <f>WWWW[[#This Row],[%equitable and continuous access to sufficient quantity of safe drinking and domestic water''s GAP]]*WWWW[[#This Row],[Total PoP ]]</f>
        <v>56</v>
      </c>
      <c r="CJ472" s="712">
        <f>IF(WWWW[[#This Row],[Total required water points]]-WWWW[[#This Row],['#Water points coverage]]&lt;0,0,WWWW[[#This Row],[Total required water points]]-WWWW[[#This Row],['#Water points coverage]])</f>
        <v>1</v>
      </c>
      <c r="CK472" s="712">
        <f>ROUND(IF(WWWW[[#This Row],[Total PoP ]]&lt;500,1,WWWW[[#This Row],[Total PoP ]]/500),0)</f>
        <v>1</v>
      </c>
      <c r="CL472" s="712">
        <f>(WWWW[[#This Row],['#_Constructed latrines_by_WASHAgencies]]+WWWW[[#This Row],['#_Non Cluster partner latrines]])-WWWW[[#This Row],['#_Non-functional latrines]]</f>
        <v>0</v>
      </c>
      <c r="CM47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2" s="712">
        <f>IF(WWWW[[#This Row],[Location Type 1]]="Village","NA",IF(WWWW[[#This Row],['#_Constructed/Existing latrines in TLS]]*50&gt;WWWW[[#This Row],['#_students at TLS_CFS]],WWWW[[#This Row],['#_students at TLS_CFS]],(WWWW[[#This Row],['#_Constructed/Existing latrines in TLS]]*50)))</f>
        <v>0</v>
      </c>
      <c r="CQ472" s="712">
        <f>ROUND(IF(WWWW[[#This Row],[Location Type 1]]="camp",WWWW[[#This Row],[Total PoP ]]/20,IF(WWWW[[#This Row],[Location Type 1]]="Temporary Location",WWWW[[#This Row],[Total PoP ]]/50,(WWWW[[#This Row],[Total PoP ]]/6))),0)</f>
        <v>1</v>
      </c>
      <c r="CR472" s="712">
        <f>IF(WWWW[[#This Row],[Total required Latrines]]-(WWWW[[#This Row],['#_Constructed latrines_by_WASHAgencies]]+WWWW[[#This Row],['#_Non Cluster partner latrines]])&lt;0,0,WWWW[[#This Row],[Total required Latrines]]-(WWWW[[#This Row],['#_Constructed latrines_by_WASHAgencies]]+WWWW[[#This Row],['#_Non Cluster partner latrines]]))</f>
        <v>1</v>
      </c>
      <c r="CS472" s="716">
        <f>1-WWWW[[#This Row],[% people access to functioning Latrine]]</f>
        <v>1</v>
      </c>
      <c r="CT472" s="713">
        <f>IF(OR(WWWW[[#This Row],['#_Non-functional latrines]]="",WWWW[[#This Row],['#_Non-functional latrines]]=0),0,WWWW[[#This Row],['#_Non-functional latrines]]/(WWWW[[#This Row],['#_Constructed latrines_by_WASHAgencies]]+WWWW[[#This Row],['#_Non Cluster partner latrines]]))</f>
        <v>0</v>
      </c>
      <c r="CU472" s="708">
        <f>IF(500*(WWWW[[#This Row],['#_male hygiene promoters]]+WWWW[[#This Row],['#_female hygiene promoters]])&gt;WWWW[[#This Row],[Total PoP ]],WWWW[[#This Row],[Total PoP ]],500*(WWWW[[#This Row],['#_male hygiene promoters]]+WWWW[[#This Row],['#_female hygiene promoters]]))</f>
        <v>0</v>
      </c>
      <c r="CV47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2" s="712">
        <f>IF(WWWW[[#This Row],['# People with access to soap]]&gt;WWWW[[#This Row],['# People with access to Sanity Pads]],WWWW[[#This Row],['# People with access to soap]],WWWW[[#This Row],['# People with access to Sanity Pads]])</f>
        <v>0</v>
      </c>
      <c r="CY47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2" s="714">
        <f>IF(WWWW[[#This Row],[HRP3]]/WWWW[[#This Row],[Total PoP ]]&gt;100%,100%,WWWW[[#This Row],[HRP3]]/WWWW[[#This Row],[Total PoP ]])</f>
        <v>0</v>
      </c>
      <c r="DA472" s="713">
        <f>1-WWWW[[#This Row],[Hygiene Coverage%]]</f>
        <v>1</v>
      </c>
      <c r="DB472" s="710">
        <f>WWWW[[#This Row],['# people reached by regular dedicated hygiene promotion_5]]/WWWW[[#This Row],[Total PoP ]]</f>
        <v>0</v>
      </c>
      <c r="DC472" s="710">
        <f>IF(WWWW[[#This Row],['#_households that received standard amount of soap for this quarter]]/WWWW[[#This Row],[Total HH]]&gt;1,1,WWWW[[#This Row],['#_households that received standard amount of soap for this quarter]]/WWWW[[#This Row],[Total HH]])</f>
        <v>0</v>
      </c>
      <c r="DD472" s="710">
        <f>IF(WWWW[[#This Row],['#_households that received standard amount of sanitary pads for this quarter]]/WWWW[[#This Row],[Total HH]]&gt;1,1,WWWW[[#This Row],['#_households that received standard amount of sanitary pads for this quarter]]/WWWW[[#This Row],[Total HH]])</f>
        <v>0</v>
      </c>
      <c r="DE472" s="712">
        <f>WWWW[[#This Row],['#_Constructed/Existing hand washing stations]]-WWWW[[#This Row],['#_Non-Functional_hand_washing_stations]]</f>
        <v>0</v>
      </c>
      <c r="DF472" s="757">
        <f>IF(WWWW[[#This Row],['# Functional hand washing stations during reporting period]]*20&gt;WWWW[[#This Row],[Total HH]],WWWW[[#This Row],[Total HH]],WWWW[[#This Row],['# Functional hand washing stations during reporting period]]*20)</f>
        <v>0</v>
      </c>
      <c r="DG472" s="708">
        <f>IF(WWWW[[#This Row],[Is sufficient soap available for TLS? (Yes/No)]]="yes",WWWW[[#This Row],['#_Constructed/Existing hand washing stations at TLS]],0)</f>
        <v>0</v>
      </c>
      <c r="DH472" s="585">
        <f>IF(WWWW[[#This Row],['# Functional hand washing stations during reporting period]]*100&gt;WWWW[[#This Row],[Total PoP ]],WWWW[[#This Row],[Total PoP ]],WWWW[[#This Row],['# Functional hand washing stations during reporting period]]*100)</f>
        <v>0</v>
      </c>
      <c r="DI472" s="585" t="str">
        <f>IF(OR(WWWW[[#This Row],['#_students at TLS_CFS]]="",WWWW[[#This Row],['#_students at TLS_CFS]]=0),"No","Yes")</f>
        <v>No</v>
      </c>
      <c r="DJ472" s="711">
        <f>VLOOKUP(WWWW[[#This Row],[Site Name]],SiteDB6[[Site Name]:[CCCM Management]],6,FALSE)</f>
        <v>0</v>
      </c>
      <c r="DK472" s="711">
        <f>VLOOKUP(WWWW[[#This Row],[Site Name]],SiteDB6[[Site Name]:[CCCM Focal Agency]],7,FALSE)</f>
        <v>0</v>
      </c>
      <c r="DL472" s="711" t="str">
        <f>VLOOKUP(WWWW[[#This Row],[Site Name]],SiteDB6[[Site Name]:[Location Type 1]],9,FALSE)</f>
        <v>Temporary location</v>
      </c>
      <c r="DM472" s="711" t="str">
        <f>VLOOKUP(WWWW[[#This Row],[Site Name]],SiteDB6[[Site Name]:[Type of Accommodation]],10,FALSE)</f>
        <v>Temporary location</v>
      </c>
      <c r="DN472" s="711">
        <f>VLOOKUP(WWWW[[#This Row],[Site Name]],SiteDB6[[Site Name]:[Ethnic or GCA/NGCA]],11,FALSE)</f>
        <v>0</v>
      </c>
      <c r="DO472" s="711">
        <f>VLOOKUP(WWWW[[#This Row],[Site Name]],SiteDB6[[Site Name]:[Lat]],12,FALSE)</f>
        <v>20.631229400634801</v>
      </c>
      <c r="DP472" s="711">
        <f>VLOOKUP(WWWW[[#This Row],[Site Name]],SiteDB6[[Site Name]:[Long]],13,FALSE)</f>
        <v>92.641532897949205</v>
      </c>
      <c r="DQ472" s="711">
        <f>VLOOKUP(WWWW[[#This Row],[Site Name]],SiteDB6[[Site Name]:[Pcode]],3,FALSE)</f>
        <v>197581</v>
      </c>
      <c r="DR472" s="709" t="str">
        <f t="shared" si="15"/>
        <v>Notcovered</v>
      </c>
      <c r="DS472" s="709"/>
      <c r="DV472" s="572"/>
    </row>
    <row r="473" spans="1:126">
      <c r="A473" s="552" t="s">
        <v>2518</v>
      </c>
      <c r="B473" s="701" t="s">
        <v>3143</v>
      </c>
      <c r="C473" s="701" t="s">
        <v>3143</v>
      </c>
      <c r="D473" s="702"/>
      <c r="E473" s="703" t="s">
        <v>3005</v>
      </c>
      <c r="F473" s="702" t="s">
        <v>355</v>
      </c>
      <c r="G473" s="704" t="str">
        <f>VLOOKUP(WWWW[[#This Row],[Site Name]],SiteDB6[[Site Name]:[Location Type]],8,FALSE)</f>
        <v>New Temporary Site</v>
      </c>
      <c r="H473" s="584" t="s">
        <v>3232</v>
      </c>
      <c r="I473" s="705">
        <v>121</v>
      </c>
      <c r="J473" s="705">
        <v>624</v>
      </c>
      <c r="K473" s="706"/>
      <c r="L473" s="707"/>
      <c r="M473" s="705"/>
      <c r="N473" s="705"/>
      <c r="O473" s="705"/>
      <c r="P473" s="705"/>
      <c r="Q473" s="708"/>
      <c r="R473" s="705"/>
      <c r="S473" s="705"/>
      <c r="T473" s="312"/>
      <c r="U473" s="705"/>
      <c r="V473" s="705"/>
      <c r="W473" s="705"/>
      <c r="X473" s="705"/>
      <c r="Y473" s="705"/>
      <c r="Z473" s="705"/>
      <c r="AA473" s="705"/>
      <c r="AB473" s="705"/>
      <c r="AC473" s="705"/>
      <c r="AD473" s="705"/>
      <c r="AE473" s="705"/>
      <c r="AF473" s="705"/>
      <c r="AG473" s="705"/>
      <c r="AH473" s="705"/>
      <c r="AI473" s="705"/>
      <c r="AJ473" s="705"/>
      <c r="AK473" s="705"/>
      <c r="AL473" s="705"/>
      <c r="AM473" s="705"/>
      <c r="AN473" s="705"/>
      <c r="AO473" s="709"/>
      <c r="AP473" s="705">
        <v>20</v>
      </c>
      <c r="AQ473" s="705"/>
      <c r="AR473" s="710"/>
      <c r="AS473" s="705"/>
      <c r="AT473" s="705"/>
      <c r="AU473" s="705"/>
      <c r="AV473" s="705"/>
      <c r="AW473" s="705"/>
      <c r="AX473" s="711"/>
      <c r="AY473" s="709"/>
      <c r="AZ473" s="705"/>
      <c r="BA473" s="705"/>
      <c r="BB473" s="705"/>
      <c r="BC473" s="711"/>
      <c r="BD473" s="705"/>
      <c r="BE473" s="705"/>
      <c r="BF473" s="705"/>
      <c r="BG473" s="705"/>
      <c r="BH473" s="705"/>
      <c r="BI473" s="705"/>
      <c r="BJ473" s="705"/>
      <c r="BK473" s="705"/>
      <c r="BL473" s="705"/>
      <c r="BM473" s="711"/>
      <c r="BN473" s="712"/>
      <c r="BO473" s="710"/>
      <c r="BP473" s="711"/>
      <c r="BQ473" s="713" t="str">
        <f>IFERROR(WWWW[[#This Row],['#_Water sources treated]]/WWWW[[#This Row],['#_Water sources tested for contamination]],"no test")</f>
        <v>no test</v>
      </c>
      <c r="BR473" s="710" t="str">
        <f>IFERROR(WWWW[[#This Row],['#_Household received remediation action due to contamination]]/WWWW[[#This Row],['#_Household water samples tested for contamination]],"no test")</f>
        <v>no test</v>
      </c>
      <c r="BS473" s="712" t="str">
        <f>IF(AND(WWWW[[#This Row],[% of water sources treated]]="no test",WWWW[[#This Row],[% Household received corrective actions]]="no test"),"No Test","Tested")</f>
        <v>No Test</v>
      </c>
      <c r="BT473" s="712">
        <f>WWWW[[#This Row],['#_Constructed/existing protected hand dug well]]-WWWW[[#This Row],['#_Non-functional protected hand dug well]]</f>
        <v>0</v>
      </c>
      <c r="BU473" s="712">
        <f>(WWWW[[#This Row],['#_Constructed/Existing tube wells/boreholes/handpumps_WASH_agency]]+WWWW[[#This Row],['#_Non-Cluster partner water tube-wells/boreholes/handpumps]])-WWWW[[#This Row],['#_Non-functional tube wells/boreholes/handpumps]]</f>
        <v>0</v>
      </c>
      <c r="BV473" s="712">
        <f>WWWW[[#This Row],['#_Constructed/Existingwater storage tank with gravity fed reticulation system]]-WWWW[[#This Row],['#_Non-functional storage tank gravity fed reticulation system]]</f>
        <v>0</v>
      </c>
      <c r="BW473" s="712">
        <f>WWWW[[#This Row],['#_Water boating or water trucking]]</f>
        <v>0</v>
      </c>
      <c r="BX473" s="712">
        <f>WWWW[[#This Row],['#_Constructed/Existing water distribution system from river or natural spring]]</f>
        <v>0</v>
      </c>
      <c r="BY47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3" s="710">
        <f>IF(WWWW[[#This Row],[Location Type 1]]="Village",WWWW[[#This Row],[Access to safe drinking water for Village]],WWWW[[#This Row],[Access to safe drinking water for Camp]])</f>
        <v>0</v>
      </c>
      <c r="CB473" s="708">
        <f>WWWW[[#This Row],[%Equitable and continuous access to sufficient quantity of safe drinking water]]*WWWW[[#This Row],[Total PoP ]]</f>
        <v>0</v>
      </c>
      <c r="CC473" s="710">
        <f>IF((WWWW[[#This Row],['#_Constructed/Existing protected/fenced ponds]]*250)/WWWW[[#This Row],[Total PoP ]]&gt;1,1,(WWWW[[#This Row],['#_Constructed/Existing protected/fenced ponds]]*250)/WWWW[[#This Row],[Total PoP ]])</f>
        <v>0</v>
      </c>
      <c r="CD473" s="708">
        <f>WWWW[[#This Row],[% Access to unimproved water points]]*WWWW[[#This Row],[Total PoP ]]</f>
        <v>0</v>
      </c>
      <c r="CE47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3" s="708">
        <f>WWWW[[#This Row],[HRP1]]/500</f>
        <v>0</v>
      </c>
      <c r="CH473" s="714">
        <f>1-WWWW[[#This Row],[% Equitable and continuous access to sufficient quantity of domestic water]]</f>
        <v>1</v>
      </c>
      <c r="CI473" s="708">
        <f>WWWW[[#This Row],[%equitable and continuous access to sufficient quantity of safe drinking and domestic water''s GAP]]*WWWW[[#This Row],[Total PoP ]]</f>
        <v>624</v>
      </c>
      <c r="CJ473" s="712">
        <f>IF(WWWW[[#This Row],[Total required water points]]-WWWW[[#This Row],['#Water points coverage]]&lt;0,0,WWWW[[#This Row],[Total required water points]]-WWWW[[#This Row],['#Water points coverage]])</f>
        <v>1</v>
      </c>
      <c r="CK473" s="712">
        <f>ROUND(IF(WWWW[[#This Row],[Total PoP ]]&lt;500,1,WWWW[[#This Row],[Total PoP ]]/500),0)</f>
        <v>1</v>
      </c>
      <c r="CL473" s="712">
        <f>(WWWW[[#This Row],['#_Constructed latrines_by_WASHAgencies]]+WWWW[[#This Row],['#_Non Cluster partner latrines]])-WWWW[[#This Row],['#_Non-functional latrines]]</f>
        <v>20</v>
      </c>
      <c r="CM473"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7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624</v>
      </c>
      <c r="CO47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3" s="712">
        <f>IF(WWWW[[#This Row],[Location Type 1]]="Village","NA",IF(WWWW[[#This Row],['#_Constructed/Existing latrines in TLS]]*50&gt;WWWW[[#This Row],['#_students at TLS_CFS]],WWWW[[#This Row],['#_students at TLS_CFS]],(WWWW[[#This Row],['#_Constructed/Existing latrines in TLS]]*50)))</f>
        <v>0</v>
      </c>
      <c r="CQ473" s="712">
        <f>ROUND(IF(WWWW[[#This Row],[Location Type 1]]="camp",WWWW[[#This Row],[Total PoP ]]/20,IF(WWWW[[#This Row],[Location Type 1]]="Temporary Location",WWWW[[#This Row],[Total PoP ]]/50,(WWWW[[#This Row],[Total PoP ]]/6))),0)</f>
        <v>12</v>
      </c>
      <c r="CR473" s="712">
        <f>IF(WWWW[[#This Row],[Total required Latrines]]-(WWWW[[#This Row],['#_Constructed latrines_by_WASHAgencies]]+WWWW[[#This Row],['#_Non Cluster partner latrines]])&lt;0,0,WWWW[[#This Row],[Total required Latrines]]-(WWWW[[#This Row],['#_Constructed latrines_by_WASHAgencies]]+WWWW[[#This Row],['#_Non Cluster partner latrines]]))</f>
        <v>0</v>
      </c>
      <c r="CS473" s="716">
        <f>1-WWWW[[#This Row],[% people access to functioning Latrine]]</f>
        <v>0</v>
      </c>
      <c r="CT473" s="713">
        <f>IF(OR(WWWW[[#This Row],['#_Non-functional latrines]]="",WWWW[[#This Row],['#_Non-functional latrines]]=0),0,WWWW[[#This Row],['#_Non-functional latrines]]/(WWWW[[#This Row],['#_Constructed latrines_by_WASHAgencies]]+WWWW[[#This Row],['#_Non Cluster partner latrines]]))</f>
        <v>0</v>
      </c>
      <c r="CU473" s="708">
        <f>IF(500*(WWWW[[#This Row],['#_male hygiene promoters]]+WWWW[[#This Row],['#_female hygiene promoters]])&gt;WWWW[[#This Row],[Total PoP ]],WWWW[[#This Row],[Total PoP ]],500*(WWWW[[#This Row],['#_male hygiene promoters]]+WWWW[[#This Row],['#_female hygiene promoters]]))</f>
        <v>0</v>
      </c>
      <c r="CV47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3" s="712">
        <f>IF(WWWW[[#This Row],['# People with access to soap]]&gt;WWWW[[#This Row],['# People with access to Sanity Pads]],WWWW[[#This Row],['# People with access to soap]],WWWW[[#This Row],['# People with access to Sanity Pads]])</f>
        <v>0</v>
      </c>
      <c r="CY47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3" s="714">
        <f>IF(WWWW[[#This Row],[HRP3]]/WWWW[[#This Row],[Total PoP ]]&gt;100%,100%,WWWW[[#This Row],[HRP3]]/WWWW[[#This Row],[Total PoP ]])</f>
        <v>0</v>
      </c>
      <c r="DA473" s="713">
        <f>1-WWWW[[#This Row],[Hygiene Coverage%]]</f>
        <v>1</v>
      </c>
      <c r="DB473" s="710">
        <f>WWWW[[#This Row],['# people reached by regular dedicated hygiene promotion_5]]/WWWW[[#This Row],[Total PoP ]]</f>
        <v>0</v>
      </c>
      <c r="DC473" s="710">
        <f>IF(WWWW[[#This Row],['#_households that received standard amount of soap for this quarter]]/WWWW[[#This Row],[Total HH]]&gt;1,1,WWWW[[#This Row],['#_households that received standard amount of soap for this quarter]]/WWWW[[#This Row],[Total HH]])</f>
        <v>0</v>
      </c>
      <c r="DD473" s="710">
        <f>IF(WWWW[[#This Row],['#_households that received standard amount of sanitary pads for this quarter]]/WWWW[[#This Row],[Total HH]]&gt;1,1,WWWW[[#This Row],['#_households that received standard amount of sanitary pads for this quarter]]/WWWW[[#This Row],[Total HH]])</f>
        <v>0</v>
      </c>
      <c r="DE473" s="712">
        <f>WWWW[[#This Row],['#_Constructed/Existing hand washing stations]]-WWWW[[#This Row],['#_Non-Functional_hand_washing_stations]]</f>
        <v>0</v>
      </c>
      <c r="DF473" s="757">
        <f>IF(WWWW[[#This Row],['# Functional hand washing stations during reporting period]]*20&gt;WWWW[[#This Row],[Total HH]],WWWW[[#This Row],[Total HH]],WWWW[[#This Row],['# Functional hand washing stations during reporting period]]*20)</f>
        <v>0</v>
      </c>
      <c r="DG473" s="708">
        <f>IF(WWWW[[#This Row],[Is sufficient soap available for TLS? (Yes/No)]]="yes",WWWW[[#This Row],['#_Constructed/Existing hand washing stations at TLS]],0)</f>
        <v>0</v>
      </c>
      <c r="DH473" s="585">
        <f>IF(WWWW[[#This Row],['# Functional hand washing stations during reporting period]]*100&gt;WWWW[[#This Row],[Total PoP ]],WWWW[[#This Row],[Total PoP ]],WWWW[[#This Row],['# Functional hand washing stations during reporting period]]*100)</f>
        <v>0</v>
      </c>
      <c r="DI473" s="585" t="str">
        <f>IF(OR(WWWW[[#This Row],['#_students at TLS_CFS]]="",WWWW[[#This Row],['#_students at TLS_CFS]]=0),"No","Yes")</f>
        <v>No</v>
      </c>
      <c r="DJ473" s="711">
        <f>VLOOKUP(WWWW[[#This Row],[Site Name]],SiteDB6[[Site Name]:[CCCM Management]],6,FALSE)</f>
        <v>0</v>
      </c>
      <c r="DK473" s="711">
        <f>VLOOKUP(WWWW[[#This Row],[Site Name]],SiteDB6[[Site Name]:[CCCM Focal Agency]],7,FALSE)</f>
        <v>0</v>
      </c>
      <c r="DL473" s="711" t="str">
        <f>VLOOKUP(WWWW[[#This Row],[Site Name]],SiteDB6[[Site Name]:[Location Type 1]],9,FALSE)</f>
        <v>Temporary location</v>
      </c>
      <c r="DM473" s="711" t="str">
        <f>VLOOKUP(WWWW[[#This Row],[Site Name]],SiteDB6[[Site Name]:[Type of Accommodation]],10,FALSE)</f>
        <v>Temporary location</v>
      </c>
      <c r="DN473" s="711">
        <f>VLOOKUP(WWWW[[#This Row],[Site Name]],SiteDB6[[Site Name]:[Ethnic or GCA/NGCA]],11,FALSE)</f>
        <v>0</v>
      </c>
      <c r="DO473" s="711">
        <f>VLOOKUP(WWWW[[#This Row],[Site Name]],SiteDB6[[Site Name]:[Lat]],12,FALSE)</f>
        <v>20.586620330810501</v>
      </c>
      <c r="DP473" s="711">
        <f>VLOOKUP(WWWW[[#This Row],[Site Name]],SiteDB6[[Site Name]:[Long]],13,FALSE)</f>
        <v>92.689620971679702</v>
      </c>
      <c r="DQ473" s="711">
        <f>VLOOKUP(WWWW[[#This Row],[Site Name]],SiteDB6[[Site Name]:[Pcode]],3,FALSE)</f>
        <v>220693</v>
      </c>
      <c r="DR473" s="709" t="str">
        <f t="shared" si="15"/>
        <v>Covered</v>
      </c>
      <c r="DS473" s="709"/>
      <c r="DV473" s="572"/>
    </row>
    <row r="474" spans="1:126">
      <c r="A474" s="552" t="s">
        <v>2518</v>
      </c>
      <c r="B474" s="808" t="s">
        <v>317</v>
      </c>
      <c r="C474" s="808" t="s">
        <v>317</v>
      </c>
      <c r="D474" s="702"/>
      <c r="E474" s="703" t="s">
        <v>3005</v>
      </c>
      <c r="F474" s="702" t="s">
        <v>355</v>
      </c>
      <c r="G474" s="704" t="str">
        <f>VLOOKUP(WWWW[[#This Row],[Site Name]],SiteDB6[[Site Name]:[Location Type]],8,FALSE)</f>
        <v>New Temporary Site</v>
      </c>
      <c r="H474" s="702" t="s">
        <v>3233</v>
      </c>
      <c r="I474" s="705">
        <v>54</v>
      </c>
      <c r="J474" s="705">
        <v>193</v>
      </c>
      <c r="K474" s="706"/>
      <c r="L474" s="707"/>
      <c r="M474" s="705"/>
      <c r="N474" s="705"/>
      <c r="O474" s="705"/>
      <c r="P474" s="705"/>
      <c r="Q474" s="708"/>
      <c r="R474" s="705"/>
      <c r="S474" s="705"/>
      <c r="T474" s="312"/>
      <c r="U474" s="705"/>
      <c r="V474" s="705"/>
      <c r="W474" s="705"/>
      <c r="X474" s="705"/>
      <c r="Y474" s="705"/>
      <c r="Z474" s="705"/>
      <c r="AA474" s="705"/>
      <c r="AB474" s="705"/>
      <c r="AC474" s="705"/>
      <c r="AD474" s="705"/>
      <c r="AE474" s="705"/>
      <c r="AF474" s="705"/>
      <c r="AG474" s="705"/>
      <c r="AH474" s="705"/>
      <c r="AI474" s="705"/>
      <c r="AJ474" s="705"/>
      <c r="AK474" s="705"/>
      <c r="AL474" s="705"/>
      <c r="AM474" s="705"/>
      <c r="AN474" s="705"/>
      <c r="AO474" s="709"/>
      <c r="AP474" s="705"/>
      <c r="AQ474" s="705"/>
      <c r="AR474" s="710"/>
      <c r="AS474" s="705"/>
      <c r="AT474" s="705"/>
      <c r="AU474" s="705"/>
      <c r="AV474" s="705"/>
      <c r="AW474" s="705"/>
      <c r="AX474" s="711"/>
      <c r="AY474" s="709"/>
      <c r="AZ474" s="705"/>
      <c r="BA474" s="705"/>
      <c r="BB474" s="705"/>
      <c r="BC474" s="711"/>
      <c r="BD474" s="705"/>
      <c r="BE474" s="705"/>
      <c r="BF474" s="705"/>
      <c r="BG474" s="705"/>
      <c r="BH474" s="705"/>
      <c r="BI474" s="705"/>
      <c r="BJ474" s="705"/>
      <c r="BK474" s="705"/>
      <c r="BL474" s="705"/>
      <c r="BM474" s="711"/>
      <c r="BN474" s="712"/>
      <c r="BO474" s="710"/>
      <c r="BP474" s="711"/>
      <c r="BQ474" s="713" t="str">
        <f>IFERROR(WWWW[[#This Row],['#_Water sources treated]]/WWWW[[#This Row],['#_Water sources tested for contamination]],"no test")</f>
        <v>no test</v>
      </c>
      <c r="BR474" s="710" t="str">
        <f>IFERROR(WWWW[[#This Row],['#_Household received remediation action due to contamination]]/WWWW[[#This Row],['#_Household water samples tested for contamination]],"no test")</f>
        <v>no test</v>
      </c>
      <c r="BS474" s="712" t="str">
        <f>IF(AND(WWWW[[#This Row],[% of water sources treated]]="no test",WWWW[[#This Row],[% Household received corrective actions]]="no test"),"No Test","Tested")</f>
        <v>No Test</v>
      </c>
      <c r="BT474" s="712">
        <f>WWWW[[#This Row],['#_Constructed/existing protected hand dug well]]-WWWW[[#This Row],['#_Non-functional protected hand dug well]]</f>
        <v>0</v>
      </c>
      <c r="BU474" s="712">
        <f>(WWWW[[#This Row],['#_Constructed/Existing tube wells/boreholes/handpumps_WASH_agency]]+WWWW[[#This Row],['#_Non-Cluster partner water tube-wells/boreholes/handpumps]])-WWWW[[#This Row],['#_Non-functional tube wells/boreholes/handpumps]]</f>
        <v>0</v>
      </c>
      <c r="BV474" s="712">
        <f>WWWW[[#This Row],['#_Constructed/Existingwater storage tank with gravity fed reticulation system]]-WWWW[[#This Row],['#_Non-functional storage tank gravity fed reticulation system]]</f>
        <v>0</v>
      </c>
      <c r="BW474" s="712">
        <f>WWWW[[#This Row],['#_Water boating or water trucking]]</f>
        <v>0</v>
      </c>
      <c r="BX474" s="712">
        <f>WWWW[[#This Row],['#_Constructed/Existing water distribution system from river or natural spring]]</f>
        <v>0</v>
      </c>
      <c r="BY47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4" s="710">
        <f>IF(WWWW[[#This Row],[Location Type 1]]="Village",WWWW[[#This Row],[Access to safe drinking water for Village]],WWWW[[#This Row],[Access to safe drinking water for Camp]])</f>
        <v>0</v>
      </c>
      <c r="CB474" s="708">
        <f>WWWW[[#This Row],[%Equitable and continuous access to sufficient quantity of safe drinking water]]*WWWW[[#This Row],[Total PoP ]]</f>
        <v>0</v>
      </c>
      <c r="CC474" s="710">
        <f>IF((WWWW[[#This Row],['#_Constructed/Existing protected/fenced ponds]]*250)/WWWW[[#This Row],[Total PoP ]]&gt;1,1,(WWWW[[#This Row],['#_Constructed/Existing protected/fenced ponds]]*250)/WWWW[[#This Row],[Total PoP ]])</f>
        <v>0</v>
      </c>
      <c r="CD474" s="708">
        <f>WWWW[[#This Row],[% Access to unimproved water points]]*WWWW[[#This Row],[Total PoP ]]</f>
        <v>0</v>
      </c>
      <c r="CE47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4" s="708">
        <f>WWWW[[#This Row],[HRP1]]/500</f>
        <v>0</v>
      </c>
      <c r="CH474" s="714">
        <f>1-WWWW[[#This Row],[% Equitable and continuous access to sufficient quantity of domestic water]]</f>
        <v>1</v>
      </c>
      <c r="CI474" s="708">
        <f>WWWW[[#This Row],[%equitable and continuous access to sufficient quantity of safe drinking and domestic water''s GAP]]*WWWW[[#This Row],[Total PoP ]]</f>
        <v>193</v>
      </c>
      <c r="CJ474" s="712">
        <f>IF(WWWW[[#This Row],[Total required water points]]-WWWW[[#This Row],['#Water points coverage]]&lt;0,0,WWWW[[#This Row],[Total required water points]]-WWWW[[#This Row],['#Water points coverage]])</f>
        <v>1</v>
      </c>
      <c r="CK474" s="712">
        <f>ROUND(IF(WWWW[[#This Row],[Total PoP ]]&lt;500,1,WWWW[[#This Row],[Total PoP ]]/500),0)</f>
        <v>1</v>
      </c>
      <c r="CL474" s="712">
        <f>(WWWW[[#This Row],['#_Constructed latrines_by_WASHAgencies]]+WWWW[[#This Row],['#_Non Cluster partner latrines]])-WWWW[[#This Row],['#_Non-functional latrines]]</f>
        <v>0</v>
      </c>
      <c r="CM474"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4" s="712">
        <f>IF(WWWW[[#This Row],[Location Type 1]]="Village","NA",IF(WWWW[[#This Row],['#_Constructed/Existing latrines in TLS]]*50&gt;WWWW[[#This Row],['#_students at TLS_CFS]],WWWW[[#This Row],['#_students at TLS_CFS]],(WWWW[[#This Row],['#_Constructed/Existing latrines in TLS]]*50)))</f>
        <v>0</v>
      </c>
      <c r="CQ474" s="712">
        <f>ROUND(IF(WWWW[[#This Row],[Location Type 1]]="camp",WWWW[[#This Row],[Total PoP ]]/20,IF(WWWW[[#This Row],[Location Type 1]]="Temporary Location",WWWW[[#This Row],[Total PoP ]]/50,(WWWW[[#This Row],[Total PoP ]]/6))),0)</f>
        <v>4</v>
      </c>
      <c r="CR474" s="712">
        <f>IF(WWWW[[#This Row],[Total required Latrines]]-(WWWW[[#This Row],['#_Constructed latrines_by_WASHAgencies]]+WWWW[[#This Row],['#_Non Cluster partner latrines]])&lt;0,0,WWWW[[#This Row],[Total required Latrines]]-(WWWW[[#This Row],['#_Constructed latrines_by_WASHAgencies]]+WWWW[[#This Row],['#_Non Cluster partner latrines]]))</f>
        <v>4</v>
      </c>
      <c r="CS474" s="716">
        <f>1-WWWW[[#This Row],[% people access to functioning Latrine]]</f>
        <v>1</v>
      </c>
      <c r="CT474" s="713">
        <f>IF(OR(WWWW[[#This Row],['#_Non-functional latrines]]="",WWWW[[#This Row],['#_Non-functional latrines]]=0),0,WWWW[[#This Row],['#_Non-functional latrines]]/(WWWW[[#This Row],['#_Constructed latrines_by_WASHAgencies]]+WWWW[[#This Row],['#_Non Cluster partner latrines]]))</f>
        <v>0</v>
      </c>
      <c r="CU474" s="708">
        <f>IF(500*(WWWW[[#This Row],['#_male hygiene promoters]]+WWWW[[#This Row],['#_female hygiene promoters]])&gt;WWWW[[#This Row],[Total PoP ]],WWWW[[#This Row],[Total PoP ]],500*(WWWW[[#This Row],['#_male hygiene promoters]]+WWWW[[#This Row],['#_female hygiene promoters]]))</f>
        <v>0</v>
      </c>
      <c r="CV47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4" s="712">
        <f>IF(WWWW[[#This Row],['# People with access to soap]]&gt;WWWW[[#This Row],['# People with access to Sanity Pads]],WWWW[[#This Row],['# People with access to soap]],WWWW[[#This Row],['# People with access to Sanity Pads]])</f>
        <v>0</v>
      </c>
      <c r="CY47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4" s="714">
        <f>IF(WWWW[[#This Row],[HRP3]]/WWWW[[#This Row],[Total PoP ]]&gt;100%,100%,WWWW[[#This Row],[HRP3]]/WWWW[[#This Row],[Total PoP ]])</f>
        <v>0</v>
      </c>
      <c r="DA474" s="713">
        <f>1-WWWW[[#This Row],[Hygiene Coverage%]]</f>
        <v>1</v>
      </c>
      <c r="DB474" s="710">
        <f>WWWW[[#This Row],['# people reached by regular dedicated hygiene promotion_5]]/WWWW[[#This Row],[Total PoP ]]</f>
        <v>0</v>
      </c>
      <c r="DC474" s="710">
        <f>IF(WWWW[[#This Row],['#_households that received standard amount of soap for this quarter]]/WWWW[[#This Row],[Total HH]]&gt;1,1,WWWW[[#This Row],['#_households that received standard amount of soap for this quarter]]/WWWW[[#This Row],[Total HH]])</f>
        <v>0</v>
      </c>
      <c r="DD474" s="710">
        <f>IF(WWWW[[#This Row],['#_households that received standard amount of sanitary pads for this quarter]]/WWWW[[#This Row],[Total HH]]&gt;1,1,WWWW[[#This Row],['#_households that received standard amount of sanitary pads for this quarter]]/WWWW[[#This Row],[Total HH]])</f>
        <v>0</v>
      </c>
      <c r="DE474" s="712">
        <f>WWWW[[#This Row],['#_Constructed/Existing hand washing stations]]-WWWW[[#This Row],['#_Non-Functional_hand_washing_stations]]</f>
        <v>0</v>
      </c>
      <c r="DF474" s="757">
        <f>IF(WWWW[[#This Row],['# Functional hand washing stations during reporting period]]*20&gt;WWWW[[#This Row],[Total HH]],WWWW[[#This Row],[Total HH]],WWWW[[#This Row],['# Functional hand washing stations during reporting period]]*20)</f>
        <v>0</v>
      </c>
      <c r="DG474" s="708">
        <f>IF(WWWW[[#This Row],[Is sufficient soap available for TLS? (Yes/No)]]="yes",WWWW[[#This Row],['#_Constructed/Existing hand washing stations at TLS]],0)</f>
        <v>0</v>
      </c>
      <c r="DH474" s="585">
        <f>IF(WWWW[[#This Row],['# Functional hand washing stations during reporting period]]*100&gt;WWWW[[#This Row],[Total PoP ]],WWWW[[#This Row],[Total PoP ]],WWWW[[#This Row],['# Functional hand washing stations during reporting period]]*100)</f>
        <v>0</v>
      </c>
      <c r="DI474" s="585" t="str">
        <f>IF(OR(WWWW[[#This Row],['#_students at TLS_CFS]]="",WWWW[[#This Row],['#_students at TLS_CFS]]=0),"No","Yes")</f>
        <v>No</v>
      </c>
      <c r="DJ474" s="711">
        <f>VLOOKUP(WWWW[[#This Row],[Site Name]],SiteDB6[[Site Name]:[CCCM Management]],6,FALSE)</f>
        <v>0</v>
      </c>
      <c r="DK474" s="711">
        <f>VLOOKUP(WWWW[[#This Row],[Site Name]],SiteDB6[[Site Name]:[CCCM Focal Agency]],7,FALSE)</f>
        <v>0</v>
      </c>
      <c r="DL474" s="711" t="str">
        <f>VLOOKUP(WWWW[[#This Row],[Site Name]],SiteDB6[[Site Name]:[Location Type 1]],9,FALSE)</f>
        <v>Temporary location</v>
      </c>
      <c r="DM474" s="711" t="str">
        <f>VLOOKUP(WWWW[[#This Row],[Site Name]],SiteDB6[[Site Name]:[Type of Accommodation]],10,FALSE)</f>
        <v>Temporary location</v>
      </c>
      <c r="DN474" s="711">
        <f>VLOOKUP(WWWW[[#This Row],[Site Name]],SiteDB6[[Site Name]:[Ethnic or GCA/NGCA]],11,FALSE)</f>
        <v>0</v>
      </c>
      <c r="DO474" s="711">
        <f>VLOOKUP(WWWW[[#This Row],[Site Name]],SiteDB6[[Site Name]:[Lat]],12,FALSE)</f>
        <v>0</v>
      </c>
      <c r="DP474" s="711">
        <f>VLOOKUP(WWWW[[#This Row],[Site Name]],SiteDB6[[Site Name]:[Long]],13,FALSE)</f>
        <v>0</v>
      </c>
      <c r="DQ474" s="711" t="str">
        <f>VLOOKUP(WWWW[[#This Row],[Site Name]],SiteDB6[[Site Name]:[Pcode]],3,FALSE)</f>
        <v>MMR012008701503</v>
      </c>
      <c r="DR474" s="709" t="str">
        <f t="shared" si="15"/>
        <v>Notcovered</v>
      </c>
      <c r="DS474" s="709"/>
      <c r="DV474" s="572"/>
    </row>
    <row r="475" spans="1:126">
      <c r="A475" s="552" t="s">
        <v>2518</v>
      </c>
      <c r="B475" s="701" t="s">
        <v>3207</v>
      </c>
      <c r="C475" s="701" t="s">
        <v>3207</v>
      </c>
      <c r="D475" s="702"/>
      <c r="E475" s="703" t="s">
        <v>3005</v>
      </c>
      <c r="F475" s="702" t="s">
        <v>355</v>
      </c>
      <c r="G475" s="704" t="s">
        <v>3017</v>
      </c>
      <c r="H475" s="702" t="s">
        <v>552</v>
      </c>
      <c r="I475" s="705">
        <v>33</v>
      </c>
      <c r="J475" s="705">
        <v>188</v>
      </c>
      <c r="K475" s="706"/>
      <c r="L475" s="707"/>
      <c r="M475" s="705"/>
      <c r="N475" s="705"/>
      <c r="O475" s="705"/>
      <c r="P475" s="705"/>
      <c r="Q475" s="708"/>
      <c r="R475" s="705"/>
      <c r="S475" s="705"/>
      <c r="T475" s="312"/>
      <c r="U475" s="705"/>
      <c r="V475" s="705"/>
      <c r="W475" s="705"/>
      <c r="X475" s="705"/>
      <c r="Y475" s="705"/>
      <c r="Z475" s="705"/>
      <c r="AA475" s="705"/>
      <c r="AB475" s="705"/>
      <c r="AC475" s="705"/>
      <c r="AD475" s="705"/>
      <c r="AE475" s="705"/>
      <c r="AF475" s="705"/>
      <c r="AG475" s="705"/>
      <c r="AH475" s="705"/>
      <c r="AI475" s="705"/>
      <c r="AJ475" s="705"/>
      <c r="AK475" s="705"/>
      <c r="AL475" s="705"/>
      <c r="AM475" s="705"/>
      <c r="AN475" s="705"/>
      <c r="AO475" s="709"/>
      <c r="AP475" s="705">
        <v>10</v>
      </c>
      <c r="AQ475" s="705"/>
      <c r="AR475" s="710"/>
      <c r="AS475" s="705"/>
      <c r="AT475" s="705"/>
      <c r="AU475" s="705"/>
      <c r="AV475" s="705"/>
      <c r="AW475" s="705"/>
      <c r="AX475" s="711"/>
      <c r="AY475" s="709"/>
      <c r="AZ475" s="705"/>
      <c r="BA475" s="705"/>
      <c r="BB475" s="705"/>
      <c r="BC475" s="711"/>
      <c r="BD475" s="705"/>
      <c r="BE475" s="705"/>
      <c r="BF475" s="705"/>
      <c r="BG475" s="705"/>
      <c r="BH475" s="705"/>
      <c r="BI475" s="705"/>
      <c r="BJ475" s="705"/>
      <c r="BK475" s="705"/>
      <c r="BL475" s="705"/>
      <c r="BM475" s="711"/>
      <c r="BN475" s="712"/>
      <c r="BO475" s="710"/>
      <c r="BP475" s="711"/>
      <c r="BQ475" s="713" t="str">
        <f>IFERROR(WWWW[[#This Row],['#_Water sources treated]]/WWWW[[#This Row],['#_Water sources tested for contamination]],"no test")</f>
        <v>no test</v>
      </c>
      <c r="BR475" s="710" t="str">
        <f>IFERROR(WWWW[[#This Row],['#_Household received remediation action due to contamination]]/WWWW[[#This Row],['#_Household water samples tested for contamination]],"no test")</f>
        <v>no test</v>
      </c>
      <c r="BS475" s="712" t="str">
        <f>IF(AND(WWWW[[#This Row],[% of water sources treated]]="no test",WWWW[[#This Row],[% Household received corrective actions]]="no test"),"No Test","Tested")</f>
        <v>No Test</v>
      </c>
      <c r="BT475" s="712">
        <f>WWWW[[#This Row],['#_Constructed/existing protected hand dug well]]-WWWW[[#This Row],['#_Non-functional protected hand dug well]]</f>
        <v>0</v>
      </c>
      <c r="BU475" s="712">
        <f>(WWWW[[#This Row],['#_Constructed/Existing tube wells/boreholes/handpumps_WASH_agency]]+WWWW[[#This Row],['#_Non-Cluster partner water tube-wells/boreholes/handpumps]])-WWWW[[#This Row],['#_Non-functional tube wells/boreholes/handpumps]]</f>
        <v>0</v>
      </c>
      <c r="BV475" s="712">
        <f>WWWW[[#This Row],['#_Constructed/Existingwater storage tank with gravity fed reticulation system]]-WWWW[[#This Row],['#_Non-functional storage tank gravity fed reticulation system]]</f>
        <v>0</v>
      </c>
      <c r="BW475" s="712">
        <f>WWWW[[#This Row],['#_Water boating or water trucking]]</f>
        <v>0</v>
      </c>
      <c r="BX475" s="712">
        <f>WWWW[[#This Row],['#_Constructed/Existing water distribution system from river or natural spring]]</f>
        <v>0</v>
      </c>
      <c r="BY47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5" s="710">
        <f>IF(WWWW[[#This Row],[Location Type 1]]="Village",WWWW[[#This Row],[Access to safe drinking water for Village]],WWWW[[#This Row],[Access to safe drinking water for Camp]])</f>
        <v>0</v>
      </c>
      <c r="CB475" s="708">
        <f>WWWW[[#This Row],[%Equitable and continuous access to sufficient quantity of safe drinking water]]*WWWW[[#This Row],[Total PoP ]]</f>
        <v>0</v>
      </c>
      <c r="CC475" s="710">
        <f>IF((WWWW[[#This Row],['#_Constructed/Existing protected/fenced ponds]]*250)/WWWW[[#This Row],[Total PoP ]]&gt;1,1,(WWWW[[#This Row],['#_Constructed/Existing protected/fenced ponds]]*250)/WWWW[[#This Row],[Total PoP ]])</f>
        <v>0</v>
      </c>
      <c r="CD475" s="708">
        <f>WWWW[[#This Row],[% Access to unimproved water points]]*WWWW[[#This Row],[Total PoP ]]</f>
        <v>0</v>
      </c>
      <c r="CE47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5" s="708">
        <f>WWWW[[#This Row],[HRP1]]/500</f>
        <v>0</v>
      </c>
      <c r="CH475" s="714">
        <f>1-WWWW[[#This Row],[% Equitable and continuous access to sufficient quantity of domestic water]]</f>
        <v>1</v>
      </c>
      <c r="CI475" s="708">
        <f>WWWW[[#This Row],[%equitable and continuous access to sufficient quantity of safe drinking and domestic water''s GAP]]*WWWW[[#This Row],[Total PoP ]]</f>
        <v>188</v>
      </c>
      <c r="CJ475" s="712">
        <f>IF(WWWW[[#This Row],[Total required water points]]-WWWW[[#This Row],['#Water points coverage]]&lt;0,0,WWWW[[#This Row],[Total required water points]]-WWWW[[#This Row],['#Water points coverage]])</f>
        <v>1</v>
      </c>
      <c r="CK475" s="712">
        <f>ROUND(IF(WWWW[[#This Row],[Total PoP ]]&lt;500,1,WWWW[[#This Row],[Total PoP ]]/500),0)</f>
        <v>1</v>
      </c>
      <c r="CL475" s="712">
        <f>(WWWW[[#This Row],['#_Constructed latrines_by_WASHAgencies]]+WWWW[[#This Row],['#_Non Cluster partner latrines]])-WWWW[[#This Row],['#_Non-functional latrines]]</f>
        <v>10</v>
      </c>
      <c r="CM475"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7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188</v>
      </c>
      <c r="CO47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5" s="712">
        <f>IF(WWWW[[#This Row],[Location Type 1]]="Village","NA",IF(WWWW[[#This Row],['#_Constructed/Existing latrines in TLS]]*50&gt;WWWW[[#This Row],['#_students at TLS_CFS]],WWWW[[#This Row],['#_students at TLS_CFS]],(WWWW[[#This Row],['#_Constructed/Existing latrines in TLS]]*50)))</f>
        <v>0</v>
      </c>
      <c r="CQ475" s="712">
        <f>ROUND(IF(WWWW[[#This Row],[Location Type 1]]="camp",WWWW[[#This Row],[Total PoP ]]/20,IF(WWWW[[#This Row],[Location Type 1]]="Temporary Location",WWWW[[#This Row],[Total PoP ]]/50,(WWWW[[#This Row],[Total PoP ]]/6))),0)</f>
        <v>4</v>
      </c>
      <c r="CR475" s="712">
        <f>IF(WWWW[[#This Row],[Total required Latrines]]-(WWWW[[#This Row],['#_Constructed latrines_by_WASHAgencies]]+WWWW[[#This Row],['#_Non Cluster partner latrines]])&lt;0,0,WWWW[[#This Row],[Total required Latrines]]-(WWWW[[#This Row],['#_Constructed latrines_by_WASHAgencies]]+WWWW[[#This Row],['#_Non Cluster partner latrines]]))</f>
        <v>0</v>
      </c>
      <c r="CS475" s="716">
        <f>1-WWWW[[#This Row],[% people access to functioning Latrine]]</f>
        <v>0</v>
      </c>
      <c r="CT475" s="713">
        <f>IF(OR(WWWW[[#This Row],['#_Non-functional latrines]]="",WWWW[[#This Row],['#_Non-functional latrines]]=0),0,WWWW[[#This Row],['#_Non-functional latrines]]/(WWWW[[#This Row],['#_Constructed latrines_by_WASHAgencies]]+WWWW[[#This Row],['#_Non Cluster partner latrines]]))</f>
        <v>0</v>
      </c>
      <c r="CU475" s="708">
        <f>IF(500*(WWWW[[#This Row],['#_male hygiene promoters]]+WWWW[[#This Row],['#_female hygiene promoters]])&gt;WWWW[[#This Row],[Total PoP ]],WWWW[[#This Row],[Total PoP ]],500*(WWWW[[#This Row],['#_male hygiene promoters]]+WWWW[[#This Row],['#_female hygiene promoters]]))</f>
        <v>0</v>
      </c>
      <c r="CV47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5" s="712">
        <f>IF(WWWW[[#This Row],['# People with access to soap]]&gt;WWWW[[#This Row],['# People with access to Sanity Pads]],WWWW[[#This Row],['# People with access to soap]],WWWW[[#This Row],['# People with access to Sanity Pads]])</f>
        <v>0</v>
      </c>
      <c r="CY47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5" s="714">
        <f>IF(WWWW[[#This Row],[HRP3]]/WWWW[[#This Row],[Total PoP ]]&gt;100%,100%,WWWW[[#This Row],[HRP3]]/WWWW[[#This Row],[Total PoP ]])</f>
        <v>0</v>
      </c>
      <c r="DA475" s="713">
        <f>1-WWWW[[#This Row],[Hygiene Coverage%]]</f>
        <v>1</v>
      </c>
      <c r="DB475" s="710">
        <f>WWWW[[#This Row],['# people reached by regular dedicated hygiene promotion_5]]/WWWW[[#This Row],[Total PoP ]]</f>
        <v>0</v>
      </c>
      <c r="DC475" s="710">
        <f>IF(WWWW[[#This Row],['#_households that received standard amount of soap for this quarter]]/WWWW[[#This Row],[Total HH]]&gt;1,1,WWWW[[#This Row],['#_households that received standard amount of soap for this quarter]]/WWWW[[#This Row],[Total HH]])</f>
        <v>0</v>
      </c>
      <c r="DD475" s="710">
        <f>IF(WWWW[[#This Row],['#_households that received standard amount of sanitary pads for this quarter]]/WWWW[[#This Row],[Total HH]]&gt;1,1,WWWW[[#This Row],['#_households that received standard amount of sanitary pads for this quarter]]/WWWW[[#This Row],[Total HH]])</f>
        <v>0</v>
      </c>
      <c r="DE475" s="712">
        <f>WWWW[[#This Row],['#_Constructed/Existing hand washing stations]]-WWWW[[#This Row],['#_Non-Functional_hand_washing_stations]]</f>
        <v>0</v>
      </c>
      <c r="DF475" s="757">
        <f>IF(WWWW[[#This Row],['# Functional hand washing stations during reporting period]]*20&gt;WWWW[[#This Row],[Total HH]],WWWW[[#This Row],[Total HH]],WWWW[[#This Row],['# Functional hand washing stations during reporting period]]*20)</f>
        <v>0</v>
      </c>
      <c r="DG475" s="708">
        <f>IF(WWWW[[#This Row],[Is sufficient soap available for TLS? (Yes/No)]]="yes",WWWW[[#This Row],['#_Constructed/Existing hand washing stations at TLS]],0)</f>
        <v>0</v>
      </c>
      <c r="DH475" s="585">
        <f>IF(WWWW[[#This Row],['# Functional hand washing stations during reporting period]]*100&gt;WWWW[[#This Row],[Total PoP ]],WWWW[[#This Row],[Total PoP ]],WWWW[[#This Row],['# Functional hand washing stations during reporting period]]*100)</f>
        <v>0</v>
      </c>
      <c r="DI475" s="585" t="str">
        <f>IF(OR(WWWW[[#This Row],['#_students at TLS_CFS]]="",WWWW[[#This Row],['#_students at TLS_CFS]]=0),"No","Yes")</f>
        <v>No</v>
      </c>
      <c r="DJ475" s="711">
        <f>VLOOKUP(WWWW[[#This Row],[Site Name]],SiteDB6[[Site Name]:[CCCM Management]],6,FALSE)</f>
        <v>0</v>
      </c>
      <c r="DK475" s="711">
        <f>VLOOKUP(WWWW[[#This Row],[Site Name]],SiteDB6[[Site Name]:[CCCM Focal Agency]],7,FALSE)</f>
        <v>0</v>
      </c>
      <c r="DL475" s="711" t="str">
        <f>VLOOKUP(WWWW[[#This Row],[Site Name]],SiteDB6[[Site Name]:[Location Type 1]],9,FALSE)</f>
        <v>Temporary location</v>
      </c>
      <c r="DM475" s="711" t="str">
        <f>VLOOKUP(WWWW[[#This Row],[Site Name]],SiteDB6[[Site Name]:[Type of Accommodation]],10,FALSE)</f>
        <v>Temporary location</v>
      </c>
      <c r="DN475" s="711" t="str">
        <f>VLOOKUP(WWWW[[#This Row],[Site Name]],SiteDB6[[Site Name]:[Ethnic or GCA/NGCA]],11,FALSE)</f>
        <v>Rakhine</v>
      </c>
      <c r="DO475" s="711">
        <f>VLOOKUP(WWWW[[#This Row],[Site Name]],SiteDB6[[Site Name]:[Lat]],12,FALSE)</f>
        <v>20.678159709999999</v>
      </c>
      <c r="DP475" s="711">
        <f>VLOOKUP(WWWW[[#This Row],[Site Name]],SiteDB6[[Site Name]:[Long]],13,FALSE)</f>
        <v>92.713821409999994</v>
      </c>
      <c r="DQ475" s="711">
        <f>VLOOKUP(WWWW[[#This Row],[Site Name]],SiteDB6[[Site Name]:[Pcode]],3,FALSE)</f>
        <v>197683</v>
      </c>
      <c r="DR475" s="709" t="str">
        <f t="shared" si="15"/>
        <v>Covered</v>
      </c>
      <c r="DS475" s="709"/>
      <c r="DV475" s="572"/>
    </row>
    <row r="476" spans="1:126">
      <c r="A476" s="552" t="s">
        <v>2518</v>
      </c>
      <c r="B476" s="701" t="s">
        <v>322</v>
      </c>
      <c r="C476" s="701" t="s">
        <v>322</v>
      </c>
      <c r="D476" s="702"/>
      <c r="E476" s="703" t="s">
        <v>3005</v>
      </c>
      <c r="F476" s="702" t="s">
        <v>355</v>
      </c>
      <c r="G476" s="704" t="str">
        <f>VLOOKUP(WWWW[[#This Row],[Site Name]],SiteDB6[[Site Name]:[Location Type]],8,FALSE)</f>
        <v>New Temporary Site</v>
      </c>
      <c r="H476" s="702" t="s">
        <v>3187</v>
      </c>
      <c r="I476" s="705">
        <v>84</v>
      </c>
      <c r="J476" s="705">
        <v>423</v>
      </c>
      <c r="K476" s="706"/>
      <c r="L476" s="707"/>
      <c r="M476" s="705"/>
      <c r="N476" s="705"/>
      <c r="O476" s="705"/>
      <c r="P476" s="705"/>
      <c r="Q476" s="708"/>
      <c r="R476" s="705"/>
      <c r="S476" s="705"/>
      <c r="T476" s="312"/>
      <c r="U476" s="705"/>
      <c r="V476" s="705"/>
      <c r="W476" s="705"/>
      <c r="X476" s="705"/>
      <c r="Y476" s="705"/>
      <c r="Z476" s="705"/>
      <c r="AA476" s="705"/>
      <c r="AB476" s="705"/>
      <c r="AC476" s="705"/>
      <c r="AD476" s="705"/>
      <c r="AE476" s="705"/>
      <c r="AF476" s="705"/>
      <c r="AG476" s="705"/>
      <c r="AH476" s="705"/>
      <c r="AI476" s="705"/>
      <c r="AJ476" s="705"/>
      <c r="AK476" s="705"/>
      <c r="AL476" s="705"/>
      <c r="AM476" s="705"/>
      <c r="AN476" s="705"/>
      <c r="AO476" s="709"/>
      <c r="AP476" s="705"/>
      <c r="AQ476" s="705"/>
      <c r="AR476" s="710"/>
      <c r="AS476" s="705"/>
      <c r="AT476" s="705"/>
      <c r="AU476" s="705"/>
      <c r="AV476" s="705"/>
      <c r="AW476" s="705"/>
      <c r="AX476" s="711"/>
      <c r="AY476" s="709"/>
      <c r="AZ476" s="705"/>
      <c r="BA476" s="705"/>
      <c r="BB476" s="705"/>
      <c r="BC476" s="711"/>
      <c r="BD476" s="705"/>
      <c r="BE476" s="705"/>
      <c r="BF476" s="705"/>
      <c r="BG476" s="705"/>
      <c r="BH476" s="705"/>
      <c r="BI476" s="705"/>
      <c r="BJ476" s="705"/>
      <c r="BK476" s="705"/>
      <c r="BL476" s="705"/>
      <c r="BM476" s="711"/>
      <c r="BN476" s="712"/>
      <c r="BO476" s="710"/>
      <c r="BP476" s="711"/>
      <c r="BQ476" s="713" t="str">
        <f>IFERROR(WWWW[[#This Row],['#_Water sources treated]]/WWWW[[#This Row],['#_Water sources tested for contamination]],"no test")</f>
        <v>no test</v>
      </c>
      <c r="BR476" s="710" t="str">
        <f>IFERROR(WWWW[[#This Row],['#_Household received remediation action due to contamination]]/WWWW[[#This Row],['#_Household water samples tested for contamination]],"no test")</f>
        <v>no test</v>
      </c>
      <c r="BS476" s="712" t="str">
        <f>IF(AND(WWWW[[#This Row],[% of water sources treated]]="no test",WWWW[[#This Row],[% Household received corrective actions]]="no test"),"No Test","Tested")</f>
        <v>No Test</v>
      </c>
      <c r="BT476" s="712">
        <f>WWWW[[#This Row],['#_Constructed/existing protected hand dug well]]-WWWW[[#This Row],['#_Non-functional protected hand dug well]]</f>
        <v>0</v>
      </c>
      <c r="BU476" s="712">
        <f>(WWWW[[#This Row],['#_Constructed/Existing tube wells/boreholes/handpumps_WASH_agency]]+WWWW[[#This Row],['#_Non-Cluster partner water tube-wells/boreholes/handpumps]])-WWWW[[#This Row],['#_Non-functional tube wells/boreholes/handpumps]]</f>
        <v>0</v>
      </c>
      <c r="BV476" s="712">
        <f>WWWW[[#This Row],['#_Constructed/Existingwater storage tank with gravity fed reticulation system]]-WWWW[[#This Row],['#_Non-functional storage tank gravity fed reticulation system]]</f>
        <v>0</v>
      </c>
      <c r="BW476" s="712">
        <f>WWWW[[#This Row],['#_Water boating or water trucking]]</f>
        <v>0</v>
      </c>
      <c r="BX476" s="712">
        <f>WWWW[[#This Row],['#_Constructed/Existing water distribution system from river or natural spring]]</f>
        <v>0</v>
      </c>
      <c r="BY47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6" s="710">
        <f>IF(WWWW[[#This Row],[Location Type 1]]="Village",WWWW[[#This Row],[Access to safe drinking water for Village]],WWWW[[#This Row],[Access to safe drinking water for Camp]])</f>
        <v>0</v>
      </c>
      <c r="CB476" s="708">
        <f>WWWW[[#This Row],[%Equitable and continuous access to sufficient quantity of safe drinking water]]*WWWW[[#This Row],[Total PoP ]]</f>
        <v>0</v>
      </c>
      <c r="CC476" s="710">
        <f>IF((WWWW[[#This Row],['#_Constructed/Existing protected/fenced ponds]]*250)/WWWW[[#This Row],[Total PoP ]]&gt;1,1,(WWWW[[#This Row],['#_Constructed/Existing protected/fenced ponds]]*250)/WWWW[[#This Row],[Total PoP ]])</f>
        <v>0</v>
      </c>
      <c r="CD476" s="708">
        <f>WWWW[[#This Row],[% Access to unimproved water points]]*WWWW[[#This Row],[Total PoP ]]</f>
        <v>0</v>
      </c>
      <c r="CE47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6" s="708">
        <f>WWWW[[#This Row],[HRP1]]/500</f>
        <v>0</v>
      </c>
      <c r="CH476" s="714">
        <f>1-WWWW[[#This Row],[% Equitable and continuous access to sufficient quantity of domestic water]]</f>
        <v>1</v>
      </c>
      <c r="CI476" s="708">
        <f>WWWW[[#This Row],[%equitable and continuous access to sufficient quantity of safe drinking and domestic water''s GAP]]*WWWW[[#This Row],[Total PoP ]]</f>
        <v>423</v>
      </c>
      <c r="CJ476" s="712">
        <f>IF(WWWW[[#This Row],[Total required water points]]-WWWW[[#This Row],['#Water points coverage]]&lt;0,0,WWWW[[#This Row],[Total required water points]]-WWWW[[#This Row],['#Water points coverage]])</f>
        <v>1</v>
      </c>
      <c r="CK476" s="712">
        <f>ROUND(IF(WWWW[[#This Row],[Total PoP ]]&lt;500,1,WWWW[[#This Row],[Total PoP ]]/500),0)</f>
        <v>1</v>
      </c>
      <c r="CL476" s="712">
        <f>(WWWW[[#This Row],['#_Constructed latrines_by_WASHAgencies]]+WWWW[[#This Row],['#_Non Cluster partner latrines]])-WWWW[[#This Row],['#_Non-functional latrines]]</f>
        <v>0</v>
      </c>
      <c r="CM476"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6" s="712">
        <f>IF(WWWW[[#This Row],[Location Type 1]]="Village","NA",IF(WWWW[[#This Row],['#_Constructed/Existing latrines in TLS]]*50&gt;WWWW[[#This Row],['#_students at TLS_CFS]],WWWW[[#This Row],['#_students at TLS_CFS]],(WWWW[[#This Row],['#_Constructed/Existing latrines in TLS]]*50)))</f>
        <v>0</v>
      </c>
      <c r="CQ476" s="712">
        <f>ROUND(IF(WWWW[[#This Row],[Location Type 1]]="camp",WWWW[[#This Row],[Total PoP ]]/20,IF(WWWW[[#This Row],[Location Type 1]]="Temporary Location",WWWW[[#This Row],[Total PoP ]]/50,(WWWW[[#This Row],[Total PoP ]]/6))),0)</f>
        <v>8</v>
      </c>
      <c r="CR476" s="712">
        <f>IF(WWWW[[#This Row],[Total required Latrines]]-(WWWW[[#This Row],['#_Constructed latrines_by_WASHAgencies]]+WWWW[[#This Row],['#_Non Cluster partner latrines]])&lt;0,0,WWWW[[#This Row],[Total required Latrines]]-(WWWW[[#This Row],['#_Constructed latrines_by_WASHAgencies]]+WWWW[[#This Row],['#_Non Cluster partner latrines]]))</f>
        <v>8</v>
      </c>
      <c r="CS476" s="716">
        <f>1-WWWW[[#This Row],[% people access to functioning Latrine]]</f>
        <v>1</v>
      </c>
      <c r="CT476" s="713">
        <f>IF(OR(WWWW[[#This Row],['#_Non-functional latrines]]="",WWWW[[#This Row],['#_Non-functional latrines]]=0),0,WWWW[[#This Row],['#_Non-functional latrines]]/(WWWW[[#This Row],['#_Constructed latrines_by_WASHAgencies]]+WWWW[[#This Row],['#_Non Cluster partner latrines]]))</f>
        <v>0</v>
      </c>
      <c r="CU476" s="708">
        <f>IF(500*(WWWW[[#This Row],['#_male hygiene promoters]]+WWWW[[#This Row],['#_female hygiene promoters]])&gt;WWWW[[#This Row],[Total PoP ]],WWWW[[#This Row],[Total PoP ]],500*(WWWW[[#This Row],['#_male hygiene promoters]]+WWWW[[#This Row],['#_female hygiene promoters]]))</f>
        <v>0</v>
      </c>
      <c r="CV47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6" s="712">
        <f>IF(WWWW[[#This Row],['# People with access to soap]]&gt;WWWW[[#This Row],['# People with access to Sanity Pads]],WWWW[[#This Row],['# People with access to soap]],WWWW[[#This Row],['# People with access to Sanity Pads]])</f>
        <v>0</v>
      </c>
      <c r="CY47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6" s="714">
        <f>IF(WWWW[[#This Row],[HRP3]]/WWWW[[#This Row],[Total PoP ]]&gt;100%,100%,WWWW[[#This Row],[HRP3]]/WWWW[[#This Row],[Total PoP ]])</f>
        <v>0</v>
      </c>
      <c r="DA476" s="713">
        <f>1-WWWW[[#This Row],[Hygiene Coverage%]]</f>
        <v>1</v>
      </c>
      <c r="DB476" s="710">
        <f>WWWW[[#This Row],['# people reached by regular dedicated hygiene promotion_5]]/WWWW[[#This Row],[Total PoP ]]</f>
        <v>0</v>
      </c>
      <c r="DC476" s="710">
        <f>IF(WWWW[[#This Row],['#_households that received standard amount of soap for this quarter]]/WWWW[[#This Row],[Total HH]]&gt;1,1,WWWW[[#This Row],['#_households that received standard amount of soap for this quarter]]/WWWW[[#This Row],[Total HH]])</f>
        <v>0</v>
      </c>
      <c r="DD476" s="710">
        <f>IF(WWWW[[#This Row],['#_households that received standard amount of sanitary pads for this quarter]]/WWWW[[#This Row],[Total HH]]&gt;1,1,WWWW[[#This Row],['#_households that received standard amount of sanitary pads for this quarter]]/WWWW[[#This Row],[Total HH]])</f>
        <v>0</v>
      </c>
      <c r="DE476" s="712">
        <f>WWWW[[#This Row],['#_Constructed/Existing hand washing stations]]-WWWW[[#This Row],['#_Non-Functional_hand_washing_stations]]</f>
        <v>0</v>
      </c>
      <c r="DF476" s="757">
        <f>IF(WWWW[[#This Row],['# Functional hand washing stations during reporting period]]*20&gt;WWWW[[#This Row],[Total HH]],WWWW[[#This Row],[Total HH]],WWWW[[#This Row],['# Functional hand washing stations during reporting period]]*20)</f>
        <v>0</v>
      </c>
      <c r="DG476" s="708">
        <f>IF(WWWW[[#This Row],[Is sufficient soap available for TLS? (Yes/No)]]="yes",WWWW[[#This Row],['#_Constructed/Existing hand washing stations at TLS]],0)</f>
        <v>0</v>
      </c>
      <c r="DH476" s="585">
        <f>IF(WWWW[[#This Row],['# Functional hand washing stations during reporting period]]*100&gt;WWWW[[#This Row],[Total PoP ]],WWWW[[#This Row],[Total PoP ]],WWWW[[#This Row],['# Functional hand washing stations during reporting period]]*100)</f>
        <v>0</v>
      </c>
      <c r="DI476" s="585" t="str">
        <f>IF(OR(WWWW[[#This Row],['#_students at TLS_CFS]]="",WWWW[[#This Row],['#_students at TLS_CFS]]=0),"No","Yes")</f>
        <v>No</v>
      </c>
      <c r="DJ476" s="711">
        <f>VLOOKUP(WWWW[[#This Row],[Site Name]],SiteDB6[[Site Name]:[CCCM Management]],6,FALSE)</f>
        <v>0</v>
      </c>
      <c r="DK476" s="711">
        <f>VLOOKUP(WWWW[[#This Row],[Site Name]],SiteDB6[[Site Name]:[CCCM Focal Agency]],7,FALSE)</f>
        <v>0</v>
      </c>
      <c r="DL476" s="711" t="str">
        <f>VLOOKUP(WWWW[[#This Row],[Site Name]],SiteDB6[[Site Name]:[Location Type 1]],9,FALSE)</f>
        <v>Temporary location</v>
      </c>
      <c r="DM476" s="711" t="str">
        <f>VLOOKUP(WWWW[[#This Row],[Site Name]],SiteDB6[[Site Name]:[Type of Accommodation]],10,FALSE)</f>
        <v>Temporary location</v>
      </c>
      <c r="DN476" s="711">
        <f>VLOOKUP(WWWW[[#This Row],[Site Name]],SiteDB6[[Site Name]:[Ethnic or GCA/NGCA]],11,FALSE)</f>
        <v>0</v>
      </c>
      <c r="DO476" s="711">
        <f>VLOOKUP(WWWW[[#This Row],[Site Name]],SiteDB6[[Site Name]:[Lat]],12,FALSE)</f>
        <v>20.660871505737301</v>
      </c>
      <c r="DP476" s="711">
        <f>VLOOKUP(WWWW[[#This Row],[Site Name]],SiteDB6[[Site Name]:[Long]],13,FALSE)</f>
        <v>92.683090209960895</v>
      </c>
      <c r="DQ476" s="711">
        <f>VLOOKUP(WWWW[[#This Row],[Site Name]],SiteDB6[[Site Name]:[Pcode]],3,FALSE)</f>
        <v>197677</v>
      </c>
      <c r="DR476" s="709" t="str">
        <f t="shared" si="15"/>
        <v>Covered</v>
      </c>
      <c r="DS476" s="709"/>
      <c r="DV476" s="572"/>
    </row>
    <row r="477" spans="1:126">
      <c r="A477" s="552" t="s">
        <v>2518</v>
      </c>
      <c r="B477" s="701" t="s">
        <v>322</v>
      </c>
      <c r="C477" s="701" t="s">
        <v>322</v>
      </c>
      <c r="D477" s="702"/>
      <c r="E477" s="703" t="s">
        <v>3005</v>
      </c>
      <c r="F477" s="702" t="s">
        <v>355</v>
      </c>
      <c r="G477" s="704" t="str">
        <f>VLOOKUP(WWWW[[#This Row],[Site Name]],SiteDB6[[Site Name]:[Location Type]],8,FALSE)</f>
        <v>New Temporary Site</v>
      </c>
      <c r="H477" s="702" t="s">
        <v>3188</v>
      </c>
      <c r="I477" s="705">
        <v>20</v>
      </c>
      <c r="J477" s="705">
        <v>113</v>
      </c>
      <c r="K477" s="706"/>
      <c r="L477" s="707"/>
      <c r="M477" s="705"/>
      <c r="N477" s="705"/>
      <c r="O477" s="705"/>
      <c r="P477" s="705"/>
      <c r="Q477" s="708"/>
      <c r="R477" s="705"/>
      <c r="S477" s="705"/>
      <c r="T477" s="312"/>
      <c r="U477" s="705"/>
      <c r="V477" s="705"/>
      <c r="W477" s="705"/>
      <c r="X477" s="705"/>
      <c r="Y477" s="705"/>
      <c r="Z477" s="705"/>
      <c r="AA477" s="705"/>
      <c r="AB477" s="705"/>
      <c r="AC477" s="705"/>
      <c r="AD477" s="705"/>
      <c r="AE477" s="705"/>
      <c r="AF477" s="705"/>
      <c r="AG477" s="705"/>
      <c r="AH477" s="705"/>
      <c r="AI477" s="705"/>
      <c r="AJ477" s="705"/>
      <c r="AK477" s="705"/>
      <c r="AL477" s="705"/>
      <c r="AM477" s="705"/>
      <c r="AN477" s="705"/>
      <c r="AO477" s="709"/>
      <c r="AP477" s="705"/>
      <c r="AQ477" s="705"/>
      <c r="AR477" s="710"/>
      <c r="AS477" s="705"/>
      <c r="AT477" s="705"/>
      <c r="AU477" s="705"/>
      <c r="AV477" s="705"/>
      <c r="AW477" s="705"/>
      <c r="AX477" s="711"/>
      <c r="AY477" s="709"/>
      <c r="AZ477" s="705"/>
      <c r="BA477" s="705"/>
      <c r="BB477" s="705"/>
      <c r="BC477" s="711"/>
      <c r="BD477" s="705"/>
      <c r="BE477" s="705"/>
      <c r="BF477" s="705"/>
      <c r="BG477" s="705"/>
      <c r="BH477" s="705"/>
      <c r="BI477" s="705"/>
      <c r="BJ477" s="705"/>
      <c r="BK477" s="705"/>
      <c r="BL477" s="705"/>
      <c r="BM477" s="711"/>
      <c r="BN477" s="712"/>
      <c r="BO477" s="710"/>
      <c r="BP477" s="711"/>
      <c r="BQ477" s="713" t="str">
        <f>IFERROR(WWWW[[#This Row],['#_Water sources treated]]/WWWW[[#This Row],['#_Water sources tested for contamination]],"no test")</f>
        <v>no test</v>
      </c>
      <c r="BR477" s="710" t="str">
        <f>IFERROR(WWWW[[#This Row],['#_Household received remediation action due to contamination]]/WWWW[[#This Row],['#_Household water samples tested for contamination]],"no test")</f>
        <v>no test</v>
      </c>
      <c r="BS477" s="712" t="str">
        <f>IF(AND(WWWW[[#This Row],[% of water sources treated]]="no test",WWWW[[#This Row],[% Household received corrective actions]]="no test"),"No Test","Tested")</f>
        <v>No Test</v>
      </c>
      <c r="BT477" s="712">
        <f>WWWW[[#This Row],['#_Constructed/existing protected hand dug well]]-WWWW[[#This Row],['#_Non-functional protected hand dug well]]</f>
        <v>0</v>
      </c>
      <c r="BU477" s="712">
        <f>(WWWW[[#This Row],['#_Constructed/Existing tube wells/boreholes/handpumps_WASH_agency]]+WWWW[[#This Row],['#_Non-Cluster partner water tube-wells/boreholes/handpumps]])-WWWW[[#This Row],['#_Non-functional tube wells/boreholes/handpumps]]</f>
        <v>0</v>
      </c>
      <c r="BV477" s="712">
        <f>WWWW[[#This Row],['#_Constructed/Existingwater storage tank with gravity fed reticulation system]]-WWWW[[#This Row],['#_Non-functional storage tank gravity fed reticulation system]]</f>
        <v>0</v>
      </c>
      <c r="BW477" s="712">
        <f>WWWW[[#This Row],['#_Water boating or water trucking]]</f>
        <v>0</v>
      </c>
      <c r="BX477" s="712">
        <f>WWWW[[#This Row],['#_Constructed/Existing water distribution system from river or natural spring]]</f>
        <v>0</v>
      </c>
      <c r="BY47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7" s="710">
        <f>IF(WWWW[[#This Row],[Location Type 1]]="Village",WWWW[[#This Row],[Access to safe drinking water for Village]],WWWW[[#This Row],[Access to safe drinking water for Camp]])</f>
        <v>0</v>
      </c>
      <c r="CB477" s="708">
        <f>WWWW[[#This Row],[%Equitable and continuous access to sufficient quantity of safe drinking water]]*WWWW[[#This Row],[Total PoP ]]</f>
        <v>0</v>
      </c>
      <c r="CC477" s="710">
        <f>IF((WWWW[[#This Row],['#_Constructed/Existing protected/fenced ponds]]*250)/WWWW[[#This Row],[Total PoP ]]&gt;1,1,(WWWW[[#This Row],['#_Constructed/Existing protected/fenced ponds]]*250)/WWWW[[#This Row],[Total PoP ]])</f>
        <v>0</v>
      </c>
      <c r="CD477" s="708">
        <f>WWWW[[#This Row],[% Access to unimproved water points]]*WWWW[[#This Row],[Total PoP ]]</f>
        <v>0</v>
      </c>
      <c r="CE47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7" s="708">
        <f>WWWW[[#This Row],[HRP1]]/500</f>
        <v>0</v>
      </c>
      <c r="CH477" s="714">
        <f>1-WWWW[[#This Row],[% Equitable and continuous access to sufficient quantity of domestic water]]</f>
        <v>1</v>
      </c>
      <c r="CI477" s="708">
        <f>WWWW[[#This Row],[%equitable and continuous access to sufficient quantity of safe drinking and domestic water''s GAP]]*WWWW[[#This Row],[Total PoP ]]</f>
        <v>113</v>
      </c>
      <c r="CJ477" s="712">
        <f>IF(WWWW[[#This Row],[Total required water points]]-WWWW[[#This Row],['#Water points coverage]]&lt;0,0,WWWW[[#This Row],[Total required water points]]-WWWW[[#This Row],['#Water points coverage]])</f>
        <v>1</v>
      </c>
      <c r="CK477" s="712">
        <f>ROUND(IF(WWWW[[#This Row],[Total PoP ]]&lt;500,1,WWWW[[#This Row],[Total PoP ]]/500),0)</f>
        <v>1</v>
      </c>
      <c r="CL477" s="712">
        <f>(WWWW[[#This Row],['#_Constructed latrines_by_WASHAgencies]]+WWWW[[#This Row],['#_Non Cluster partner latrines]])-WWWW[[#This Row],['#_Non-functional latrines]]</f>
        <v>0</v>
      </c>
      <c r="CM477"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7" s="712">
        <f>IF(WWWW[[#This Row],[Location Type 1]]="Village","NA",IF(WWWW[[#This Row],['#_Constructed/Existing latrines in TLS]]*50&gt;WWWW[[#This Row],['#_students at TLS_CFS]],WWWW[[#This Row],['#_students at TLS_CFS]],(WWWW[[#This Row],['#_Constructed/Existing latrines in TLS]]*50)))</f>
        <v>0</v>
      </c>
      <c r="CQ477" s="712">
        <f>ROUND(IF(WWWW[[#This Row],[Location Type 1]]="camp",WWWW[[#This Row],[Total PoP ]]/20,IF(WWWW[[#This Row],[Location Type 1]]="Temporary Location",WWWW[[#This Row],[Total PoP ]]/50,(WWWW[[#This Row],[Total PoP ]]/6))),0)</f>
        <v>2</v>
      </c>
      <c r="CR477" s="712">
        <f>IF(WWWW[[#This Row],[Total required Latrines]]-(WWWW[[#This Row],['#_Constructed latrines_by_WASHAgencies]]+WWWW[[#This Row],['#_Non Cluster partner latrines]])&lt;0,0,WWWW[[#This Row],[Total required Latrines]]-(WWWW[[#This Row],['#_Constructed latrines_by_WASHAgencies]]+WWWW[[#This Row],['#_Non Cluster partner latrines]]))</f>
        <v>2</v>
      </c>
      <c r="CS477" s="716">
        <f>1-WWWW[[#This Row],[% people access to functioning Latrine]]</f>
        <v>1</v>
      </c>
      <c r="CT477" s="713">
        <f>IF(OR(WWWW[[#This Row],['#_Non-functional latrines]]="",WWWW[[#This Row],['#_Non-functional latrines]]=0),0,WWWW[[#This Row],['#_Non-functional latrines]]/(WWWW[[#This Row],['#_Constructed latrines_by_WASHAgencies]]+WWWW[[#This Row],['#_Non Cluster partner latrines]]))</f>
        <v>0</v>
      </c>
      <c r="CU477" s="708">
        <f>IF(500*(WWWW[[#This Row],['#_male hygiene promoters]]+WWWW[[#This Row],['#_female hygiene promoters]])&gt;WWWW[[#This Row],[Total PoP ]],WWWW[[#This Row],[Total PoP ]],500*(WWWW[[#This Row],['#_male hygiene promoters]]+WWWW[[#This Row],['#_female hygiene promoters]]))</f>
        <v>0</v>
      </c>
      <c r="CV47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7" s="712">
        <f>IF(WWWW[[#This Row],['# People with access to soap]]&gt;WWWW[[#This Row],['# People with access to Sanity Pads]],WWWW[[#This Row],['# People with access to soap]],WWWW[[#This Row],['# People with access to Sanity Pads]])</f>
        <v>0</v>
      </c>
      <c r="CY47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7" s="714">
        <f>IF(WWWW[[#This Row],[HRP3]]/WWWW[[#This Row],[Total PoP ]]&gt;100%,100%,WWWW[[#This Row],[HRP3]]/WWWW[[#This Row],[Total PoP ]])</f>
        <v>0</v>
      </c>
      <c r="DA477" s="713">
        <f>1-WWWW[[#This Row],[Hygiene Coverage%]]</f>
        <v>1</v>
      </c>
      <c r="DB477" s="710">
        <f>WWWW[[#This Row],['# people reached by regular dedicated hygiene promotion_5]]/WWWW[[#This Row],[Total PoP ]]</f>
        <v>0</v>
      </c>
      <c r="DC477" s="710">
        <f>IF(WWWW[[#This Row],['#_households that received standard amount of soap for this quarter]]/WWWW[[#This Row],[Total HH]]&gt;1,1,WWWW[[#This Row],['#_households that received standard amount of soap for this quarter]]/WWWW[[#This Row],[Total HH]])</f>
        <v>0</v>
      </c>
      <c r="DD477" s="710">
        <f>IF(WWWW[[#This Row],['#_households that received standard amount of sanitary pads for this quarter]]/WWWW[[#This Row],[Total HH]]&gt;1,1,WWWW[[#This Row],['#_households that received standard amount of sanitary pads for this quarter]]/WWWW[[#This Row],[Total HH]])</f>
        <v>0</v>
      </c>
      <c r="DE477" s="712">
        <f>WWWW[[#This Row],['#_Constructed/Existing hand washing stations]]-WWWW[[#This Row],['#_Non-Functional_hand_washing_stations]]</f>
        <v>0</v>
      </c>
      <c r="DF477" s="757">
        <f>IF(WWWW[[#This Row],['# Functional hand washing stations during reporting period]]*20&gt;WWWW[[#This Row],[Total HH]],WWWW[[#This Row],[Total HH]],WWWW[[#This Row],['# Functional hand washing stations during reporting period]]*20)</f>
        <v>0</v>
      </c>
      <c r="DG477" s="708">
        <f>IF(WWWW[[#This Row],[Is sufficient soap available for TLS? (Yes/No)]]="yes",WWWW[[#This Row],['#_Constructed/Existing hand washing stations at TLS]],0)</f>
        <v>0</v>
      </c>
      <c r="DH477" s="585">
        <f>IF(WWWW[[#This Row],['# Functional hand washing stations during reporting period]]*100&gt;WWWW[[#This Row],[Total PoP ]],WWWW[[#This Row],[Total PoP ]],WWWW[[#This Row],['# Functional hand washing stations during reporting period]]*100)</f>
        <v>0</v>
      </c>
      <c r="DI477" s="585" t="str">
        <f>IF(OR(WWWW[[#This Row],['#_students at TLS_CFS]]="",WWWW[[#This Row],['#_students at TLS_CFS]]=0),"No","Yes")</f>
        <v>No</v>
      </c>
      <c r="DJ477" s="711">
        <f>VLOOKUP(WWWW[[#This Row],[Site Name]],SiteDB6[[Site Name]:[CCCM Management]],6,FALSE)</f>
        <v>0</v>
      </c>
      <c r="DK477" s="711">
        <f>VLOOKUP(WWWW[[#This Row],[Site Name]],SiteDB6[[Site Name]:[CCCM Focal Agency]],7,FALSE)</f>
        <v>0</v>
      </c>
      <c r="DL477" s="711" t="str">
        <f>VLOOKUP(WWWW[[#This Row],[Site Name]],SiteDB6[[Site Name]:[Location Type 1]],9,FALSE)</f>
        <v>Temporary location</v>
      </c>
      <c r="DM477" s="711" t="str">
        <f>VLOOKUP(WWWW[[#This Row],[Site Name]],SiteDB6[[Site Name]:[Type of Accommodation]],10,FALSE)</f>
        <v>Temporary location</v>
      </c>
      <c r="DN477" s="711">
        <f>VLOOKUP(WWWW[[#This Row],[Site Name]],SiteDB6[[Site Name]:[Ethnic or GCA/NGCA]],11,FALSE)</f>
        <v>0</v>
      </c>
      <c r="DO477" s="711">
        <f>VLOOKUP(WWWW[[#This Row],[Site Name]],SiteDB6[[Site Name]:[Lat]],12,FALSE)</f>
        <v>0</v>
      </c>
      <c r="DP477" s="711">
        <f>VLOOKUP(WWWW[[#This Row],[Site Name]],SiteDB6[[Site Name]:[Long]],13,FALSE)</f>
        <v>0</v>
      </c>
      <c r="DQ477" s="711">
        <f>VLOOKUP(WWWW[[#This Row],[Site Name]],SiteDB6[[Site Name]:[Pcode]],3,FALSE)</f>
        <v>0</v>
      </c>
      <c r="DR477" s="709" t="str">
        <f t="shared" si="15"/>
        <v>Covered</v>
      </c>
      <c r="DS477" s="709"/>
      <c r="DV477" s="572"/>
    </row>
    <row r="478" spans="1:126">
      <c r="A478" s="552" t="s">
        <v>2518</v>
      </c>
      <c r="B478" s="701" t="s">
        <v>3208</v>
      </c>
      <c r="C478" s="701" t="s">
        <v>3208</v>
      </c>
      <c r="D478" s="702"/>
      <c r="E478" s="703" t="s">
        <v>3005</v>
      </c>
      <c r="F478" s="702" t="s">
        <v>355</v>
      </c>
      <c r="G478" s="704" t="str">
        <f>VLOOKUP(WWWW[[#This Row],[Site Name]],SiteDB6[[Site Name]:[Location Type]],8,FALSE)</f>
        <v>New Temporary Site</v>
      </c>
      <c r="H478" s="702" t="s">
        <v>3189</v>
      </c>
      <c r="I478" s="705">
        <v>298</v>
      </c>
      <c r="J478" s="705">
        <v>1260</v>
      </c>
      <c r="K478" s="706"/>
      <c r="L478" s="707"/>
      <c r="M478" s="705"/>
      <c r="N478" s="705"/>
      <c r="O478" s="705"/>
      <c r="P478" s="705"/>
      <c r="Q478" s="708"/>
      <c r="R478" s="705"/>
      <c r="S478" s="705"/>
      <c r="T478" s="312"/>
      <c r="U478" s="705"/>
      <c r="V478" s="705"/>
      <c r="W478" s="705"/>
      <c r="X478" s="705"/>
      <c r="Y478" s="705"/>
      <c r="Z478" s="705"/>
      <c r="AA478" s="705"/>
      <c r="AB478" s="705"/>
      <c r="AC478" s="705"/>
      <c r="AD478" s="705"/>
      <c r="AE478" s="705"/>
      <c r="AF478" s="705"/>
      <c r="AG478" s="705"/>
      <c r="AH478" s="705"/>
      <c r="AI478" s="705"/>
      <c r="AJ478" s="705"/>
      <c r="AK478" s="705"/>
      <c r="AL478" s="705"/>
      <c r="AM478" s="705"/>
      <c r="AN478" s="705"/>
      <c r="AO478" s="709"/>
      <c r="AP478" s="705">
        <v>20</v>
      </c>
      <c r="AQ478" s="705"/>
      <c r="AR478" s="710"/>
      <c r="AS478" s="705"/>
      <c r="AT478" s="705"/>
      <c r="AU478" s="705"/>
      <c r="AV478" s="705"/>
      <c r="AW478" s="705"/>
      <c r="AX478" s="711"/>
      <c r="AY478" s="709"/>
      <c r="AZ478" s="705"/>
      <c r="BA478" s="705"/>
      <c r="BB478" s="705"/>
      <c r="BC478" s="711"/>
      <c r="BD478" s="705"/>
      <c r="BE478" s="705"/>
      <c r="BF478" s="705"/>
      <c r="BG478" s="705"/>
      <c r="BH478" s="705"/>
      <c r="BI478" s="705"/>
      <c r="BJ478" s="705"/>
      <c r="BK478" s="705"/>
      <c r="BL478" s="705"/>
      <c r="BM478" s="711"/>
      <c r="BN478" s="712"/>
      <c r="BO478" s="710"/>
      <c r="BP478" s="711"/>
      <c r="BQ478" s="713" t="str">
        <f>IFERROR(WWWW[[#This Row],['#_Water sources treated]]/WWWW[[#This Row],['#_Water sources tested for contamination]],"no test")</f>
        <v>no test</v>
      </c>
      <c r="BR478" s="710" t="str">
        <f>IFERROR(WWWW[[#This Row],['#_Household received remediation action due to contamination]]/WWWW[[#This Row],['#_Household water samples tested for contamination]],"no test")</f>
        <v>no test</v>
      </c>
      <c r="BS478" s="712" t="str">
        <f>IF(AND(WWWW[[#This Row],[% of water sources treated]]="no test",WWWW[[#This Row],[% Household received corrective actions]]="no test"),"No Test","Tested")</f>
        <v>No Test</v>
      </c>
      <c r="BT478" s="712">
        <f>WWWW[[#This Row],['#_Constructed/existing protected hand dug well]]-WWWW[[#This Row],['#_Non-functional protected hand dug well]]</f>
        <v>0</v>
      </c>
      <c r="BU478" s="712">
        <f>(WWWW[[#This Row],['#_Constructed/Existing tube wells/boreholes/handpumps_WASH_agency]]+WWWW[[#This Row],['#_Non-Cluster partner water tube-wells/boreholes/handpumps]])-WWWW[[#This Row],['#_Non-functional tube wells/boreholes/handpumps]]</f>
        <v>0</v>
      </c>
      <c r="BV478" s="712">
        <f>WWWW[[#This Row],['#_Constructed/Existingwater storage tank with gravity fed reticulation system]]-WWWW[[#This Row],['#_Non-functional storage tank gravity fed reticulation system]]</f>
        <v>0</v>
      </c>
      <c r="BW478" s="712">
        <f>WWWW[[#This Row],['#_Water boating or water trucking]]</f>
        <v>0</v>
      </c>
      <c r="BX478" s="712">
        <f>WWWW[[#This Row],['#_Constructed/Existing water distribution system from river or natural spring]]</f>
        <v>0</v>
      </c>
      <c r="BY47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8" s="710">
        <f>IF(WWWW[[#This Row],[Location Type 1]]="Village",WWWW[[#This Row],[Access to safe drinking water for Village]],WWWW[[#This Row],[Access to safe drinking water for Camp]])</f>
        <v>0</v>
      </c>
      <c r="CB478" s="708">
        <f>WWWW[[#This Row],[%Equitable and continuous access to sufficient quantity of safe drinking water]]*WWWW[[#This Row],[Total PoP ]]</f>
        <v>0</v>
      </c>
      <c r="CC478" s="710">
        <f>IF((WWWW[[#This Row],['#_Constructed/Existing protected/fenced ponds]]*250)/WWWW[[#This Row],[Total PoP ]]&gt;1,1,(WWWW[[#This Row],['#_Constructed/Existing protected/fenced ponds]]*250)/WWWW[[#This Row],[Total PoP ]])</f>
        <v>0</v>
      </c>
      <c r="CD478" s="708">
        <f>WWWW[[#This Row],[% Access to unimproved water points]]*WWWW[[#This Row],[Total PoP ]]</f>
        <v>0</v>
      </c>
      <c r="CE47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8" s="708">
        <f>WWWW[[#This Row],[HRP1]]/500</f>
        <v>0</v>
      </c>
      <c r="CH478" s="714">
        <f>1-WWWW[[#This Row],[% Equitable and continuous access to sufficient quantity of domestic water]]</f>
        <v>1</v>
      </c>
      <c r="CI478" s="708">
        <f>WWWW[[#This Row],[%equitable and continuous access to sufficient quantity of safe drinking and domestic water''s GAP]]*WWWW[[#This Row],[Total PoP ]]</f>
        <v>1260</v>
      </c>
      <c r="CJ478" s="712">
        <f>IF(WWWW[[#This Row],[Total required water points]]-WWWW[[#This Row],['#Water points coverage]]&lt;0,0,WWWW[[#This Row],[Total required water points]]-WWWW[[#This Row],['#Water points coverage]])</f>
        <v>3</v>
      </c>
      <c r="CK478" s="712">
        <f>ROUND(IF(WWWW[[#This Row],[Total PoP ]]&lt;500,1,WWWW[[#This Row],[Total PoP ]]/500),0)</f>
        <v>3</v>
      </c>
      <c r="CL478" s="712">
        <f>(WWWW[[#This Row],['#_Constructed latrines_by_WASHAgencies]]+WWWW[[#This Row],['#_Non Cluster partner latrines]])-WWWW[[#This Row],['#_Non-functional latrines]]</f>
        <v>20</v>
      </c>
      <c r="CM478"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0.79365079365079361</v>
      </c>
      <c r="CN47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1000</v>
      </c>
      <c r="CO47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8" s="712">
        <f>IF(WWWW[[#This Row],[Location Type 1]]="Village","NA",IF(WWWW[[#This Row],['#_Constructed/Existing latrines in TLS]]*50&gt;WWWW[[#This Row],['#_students at TLS_CFS]],WWWW[[#This Row],['#_students at TLS_CFS]],(WWWW[[#This Row],['#_Constructed/Existing latrines in TLS]]*50)))</f>
        <v>0</v>
      </c>
      <c r="CQ478" s="712">
        <f>ROUND(IF(WWWW[[#This Row],[Location Type 1]]="camp",WWWW[[#This Row],[Total PoP ]]/20,IF(WWWW[[#This Row],[Location Type 1]]="Temporary Location",WWWW[[#This Row],[Total PoP ]]/50,(WWWW[[#This Row],[Total PoP ]]/6))),0)</f>
        <v>25</v>
      </c>
      <c r="CR478" s="712">
        <f>IF(WWWW[[#This Row],[Total required Latrines]]-(WWWW[[#This Row],['#_Constructed latrines_by_WASHAgencies]]+WWWW[[#This Row],['#_Non Cluster partner latrines]])&lt;0,0,WWWW[[#This Row],[Total required Latrines]]-(WWWW[[#This Row],['#_Constructed latrines_by_WASHAgencies]]+WWWW[[#This Row],['#_Non Cluster partner latrines]]))</f>
        <v>5</v>
      </c>
      <c r="CS478" s="716">
        <f>1-WWWW[[#This Row],[% people access to functioning Latrine]]</f>
        <v>0.20634920634920639</v>
      </c>
      <c r="CT478" s="713">
        <f>IF(OR(WWWW[[#This Row],['#_Non-functional latrines]]="",WWWW[[#This Row],['#_Non-functional latrines]]=0),0,WWWW[[#This Row],['#_Non-functional latrines]]/(WWWW[[#This Row],['#_Constructed latrines_by_WASHAgencies]]+WWWW[[#This Row],['#_Non Cluster partner latrines]]))</f>
        <v>0</v>
      </c>
      <c r="CU478" s="708">
        <f>IF(500*(WWWW[[#This Row],['#_male hygiene promoters]]+WWWW[[#This Row],['#_female hygiene promoters]])&gt;WWWW[[#This Row],[Total PoP ]],WWWW[[#This Row],[Total PoP ]],500*(WWWW[[#This Row],['#_male hygiene promoters]]+WWWW[[#This Row],['#_female hygiene promoters]]))</f>
        <v>0</v>
      </c>
      <c r="CV47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8" s="712">
        <f>IF(WWWW[[#This Row],['# People with access to soap]]&gt;WWWW[[#This Row],['# People with access to Sanity Pads]],WWWW[[#This Row],['# People with access to soap]],WWWW[[#This Row],['# People with access to Sanity Pads]])</f>
        <v>0</v>
      </c>
      <c r="CY47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8" s="714">
        <f>IF(WWWW[[#This Row],[HRP3]]/WWWW[[#This Row],[Total PoP ]]&gt;100%,100%,WWWW[[#This Row],[HRP3]]/WWWW[[#This Row],[Total PoP ]])</f>
        <v>0</v>
      </c>
      <c r="DA478" s="713">
        <f>1-WWWW[[#This Row],[Hygiene Coverage%]]</f>
        <v>1</v>
      </c>
      <c r="DB478" s="710">
        <f>WWWW[[#This Row],['# people reached by regular dedicated hygiene promotion_5]]/WWWW[[#This Row],[Total PoP ]]</f>
        <v>0</v>
      </c>
      <c r="DC478" s="710">
        <f>IF(WWWW[[#This Row],['#_households that received standard amount of soap for this quarter]]/WWWW[[#This Row],[Total HH]]&gt;1,1,WWWW[[#This Row],['#_households that received standard amount of soap for this quarter]]/WWWW[[#This Row],[Total HH]])</f>
        <v>0</v>
      </c>
      <c r="DD478" s="710">
        <f>IF(WWWW[[#This Row],['#_households that received standard amount of sanitary pads for this quarter]]/WWWW[[#This Row],[Total HH]]&gt;1,1,WWWW[[#This Row],['#_households that received standard amount of sanitary pads for this quarter]]/WWWW[[#This Row],[Total HH]])</f>
        <v>0</v>
      </c>
      <c r="DE478" s="712">
        <f>WWWW[[#This Row],['#_Constructed/Existing hand washing stations]]-WWWW[[#This Row],['#_Non-Functional_hand_washing_stations]]</f>
        <v>0</v>
      </c>
      <c r="DF478" s="757">
        <f>IF(WWWW[[#This Row],['# Functional hand washing stations during reporting period]]*20&gt;WWWW[[#This Row],[Total HH]],WWWW[[#This Row],[Total HH]],WWWW[[#This Row],['# Functional hand washing stations during reporting period]]*20)</f>
        <v>0</v>
      </c>
      <c r="DG478" s="708">
        <f>IF(WWWW[[#This Row],[Is sufficient soap available for TLS? (Yes/No)]]="yes",WWWW[[#This Row],['#_Constructed/Existing hand washing stations at TLS]],0)</f>
        <v>0</v>
      </c>
      <c r="DH478" s="585">
        <f>IF(WWWW[[#This Row],['# Functional hand washing stations during reporting period]]*100&gt;WWWW[[#This Row],[Total PoP ]],WWWW[[#This Row],[Total PoP ]],WWWW[[#This Row],['# Functional hand washing stations during reporting period]]*100)</f>
        <v>0</v>
      </c>
      <c r="DI478" s="585" t="str">
        <f>IF(OR(WWWW[[#This Row],['#_students at TLS_CFS]]="",WWWW[[#This Row],['#_students at TLS_CFS]]=0),"No","Yes")</f>
        <v>No</v>
      </c>
      <c r="DJ478" s="711">
        <f>VLOOKUP(WWWW[[#This Row],[Site Name]],SiteDB6[[Site Name]:[CCCM Management]],6,FALSE)</f>
        <v>0</v>
      </c>
      <c r="DK478" s="711">
        <f>VLOOKUP(WWWW[[#This Row],[Site Name]],SiteDB6[[Site Name]:[CCCM Focal Agency]],7,FALSE)</f>
        <v>0</v>
      </c>
      <c r="DL478" s="711" t="str">
        <f>VLOOKUP(WWWW[[#This Row],[Site Name]],SiteDB6[[Site Name]:[Location Type 1]],9,FALSE)</f>
        <v>Temporary location</v>
      </c>
      <c r="DM478" s="711" t="str">
        <f>VLOOKUP(WWWW[[#This Row],[Site Name]],SiteDB6[[Site Name]:[Type of Accommodation]],10,FALSE)</f>
        <v>Temporary location</v>
      </c>
      <c r="DN478" s="711">
        <f>VLOOKUP(WWWW[[#This Row],[Site Name]],SiteDB6[[Site Name]:[Ethnic or GCA/NGCA]],11,FALSE)</f>
        <v>0</v>
      </c>
      <c r="DO478" s="711">
        <f>VLOOKUP(WWWW[[#This Row],[Site Name]],SiteDB6[[Site Name]:[Lat]],12,FALSE)</f>
        <v>0</v>
      </c>
      <c r="DP478" s="711">
        <f>VLOOKUP(WWWW[[#This Row],[Site Name]],SiteDB6[[Site Name]:[Long]],13,FALSE)</f>
        <v>0</v>
      </c>
      <c r="DQ478" s="711">
        <f>VLOOKUP(WWWW[[#This Row],[Site Name]],SiteDB6[[Site Name]:[Pcode]],3,FALSE)</f>
        <v>0</v>
      </c>
      <c r="DR478" s="709" t="str">
        <f t="shared" si="15"/>
        <v>Covered</v>
      </c>
      <c r="DS478" s="709"/>
      <c r="DV478" s="572"/>
    </row>
    <row r="479" spans="1:126">
      <c r="A479" s="552" t="s">
        <v>2518</v>
      </c>
      <c r="B479" s="808" t="s">
        <v>317</v>
      </c>
      <c r="C479" s="808" t="s">
        <v>317</v>
      </c>
      <c r="D479" s="702"/>
      <c r="E479" s="703" t="s">
        <v>3006</v>
      </c>
      <c r="F479" s="702" t="s">
        <v>420</v>
      </c>
      <c r="G479" s="704" t="str">
        <f>VLOOKUP(WWWW[[#This Row],[Site Name]],SiteDB6[[Site Name]:[Location Type]],8,FALSE)</f>
        <v>New Temporary Site</v>
      </c>
      <c r="H479" s="702" t="s">
        <v>3190</v>
      </c>
      <c r="I479" s="705">
        <v>10</v>
      </c>
      <c r="J479" s="705">
        <v>25</v>
      </c>
      <c r="K479" s="706"/>
      <c r="L479" s="707"/>
      <c r="M479" s="705"/>
      <c r="N479" s="705"/>
      <c r="O479" s="705"/>
      <c r="P479" s="705"/>
      <c r="Q479" s="708"/>
      <c r="R479" s="705"/>
      <c r="S479" s="705"/>
      <c r="T479" s="312"/>
      <c r="U479" s="705"/>
      <c r="V479" s="705"/>
      <c r="W479" s="705"/>
      <c r="X479" s="705"/>
      <c r="Y479" s="705"/>
      <c r="Z479" s="705"/>
      <c r="AA479" s="705"/>
      <c r="AB479" s="705"/>
      <c r="AC479" s="705"/>
      <c r="AD479" s="705"/>
      <c r="AE479" s="705"/>
      <c r="AF479" s="705"/>
      <c r="AG479" s="705"/>
      <c r="AH479" s="705"/>
      <c r="AI479" s="705"/>
      <c r="AJ479" s="705"/>
      <c r="AK479" s="705"/>
      <c r="AL479" s="705"/>
      <c r="AM479" s="705"/>
      <c r="AN479" s="705"/>
      <c r="AO479" s="709"/>
      <c r="AP479" s="705"/>
      <c r="AQ479" s="705"/>
      <c r="AR479" s="710"/>
      <c r="AS479" s="705"/>
      <c r="AT479" s="705"/>
      <c r="AU479" s="705"/>
      <c r="AV479" s="705"/>
      <c r="AW479" s="705"/>
      <c r="AX479" s="711"/>
      <c r="AY479" s="709"/>
      <c r="AZ479" s="705"/>
      <c r="BA479" s="705"/>
      <c r="BB479" s="705"/>
      <c r="BC479" s="711"/>
      <c r="BD479" s="705"/>
      <c r="BE479" s="705"/>
      <c r="BF479" s="705"/>
      <c r="BG479" s="705"/>
      <c r="BH479" s="705"/>
      <c r="BI479" s="705"/>
      <c r="BJ479" s="705"/>
      <c r="BK479" s="705"/>
      <c r="BL479" s="705"/>
      <c r="BM479" s="711"/>
      <c r="BN479" s="712"/>
      <c r="BO479" s="710"/>
      <c r="BP479" s="711"/>
      <c r="BQ479" s="713" t="str">
        <f>IFERROR(WWWW[[#This Row],['#_Water sources treated]]/WWWW[[#This Row],['#_Water sources tested for contamination]],"no test")</f>
        <v>no test</v>
      </c>
      <c r="BR479" s="710" t="str">
        <f>IFERROR(WWWW[[#This Row],['#_Household received remediation action due to contamination]]/WWWW[[#This Row],['#_Household water samples tested for contamination]],"no test")</f>
        <v>no test</v>
      </c>
      <c r="BS479" s="712" t="str">
        <f>IF(AND(WWWW[[#This Row],[% of water sources treated]]="no test",WWWW[[#This Row],[% Household received corrective actions]]="no test"),"No Test","Tested")</f>
        <v>No Test</v>
      </c>
      <c r="BT479" s="712">
        <f>WWWW[[#This Row],['#_Constructed/existing protected hand dug well]]-WWWW[[#This Row],['#_Non-functional protected hand dug well]]</f>
        <v>0</v>
      </c>
      <c r="BU479" s="712">
        <f>(WWWW[[#This Row],['#_Constructed/Existing tube wells/boreholes/handpumps_WASH_agency]]+WWWW[[#This Row],['#_Non-Cluster partner water tube-wells/boreholes/handpumps]])-WWWW[[#This Row],['#_Non-functional tube wells/boreholes/handpumps]]</f>
        <v>0</v>
      </c>
      <c r="BV479" s="712">
        <f>WWWW[[#This Row],['#_Constructed/Existingwater storage tank with gravity fed reticulation system]]-WWWW[[#This Row],['#_Non-functional storage tank gravity fed reticulation system]]</f>
        <v>0</v>
      </c>
      <c r="BW479" s="712">
        <f>WWWW[[#This Row],['#_Water boating or water trucking]]</f>
        <v>0</v>
      </c>
      <c r="BX479" s="712">
        <f>WWWW[[#This Row],['#_Constructed/Existing water distribution system from river or natural spring]]</f>
        <v>0</v>
      </c>
      <c r="BY47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7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79" s="710">
        <f>IF(WWWW[[#This Row],[Location Type 1]]="Village",WWWW[[#This Row],[Access to safe drinking water for Village]],WWWW[[#This Row],[Access to safe drinking water for Camp]])</f>
        <v>0</v>
      </c>
      <c r="CB479" s="708">
        <f>WWWW[[#This Row],[%Equitable and continuous access to sufficient quantity of safe drinking water]]*WWWW[[#This Row],[Total PoP ]]</f>
        <v>0</v>
      </c>
      <c r="CC479" s="710">
        <f>IF((WWWW[[#This Row],['#_Constructed/Existing protected/fenced ponds]]*250)/WWWW[[#This Row],[Total PoP ]]&gt;1,1,(WWWW[[#This Row],['#_Constructed/Existing protected/fenced ponds]]*250)/WWWW[[#This Row],[Total PoP ]])</f>
        <v>0</v>
      </c>
      <c r="CD479" s="708">
        <f>WWWW[[#This Row],[% Access to unimproved water points]]*WWWW[[#This Row],[Total PoP ]]</f>
        <v>0</v>
      </c>
      <c r="CE47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7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79" s="708">
        <f>WWWW[[#This Row],[HRP1]]/500</f>
        <v>0</v>
      </c>
      <c r="CH479" s="714">
        <f>1-WWWW[[#This Row],[% Equitable and continuous access to sufficient quantity of domestic water]]</f>
        <v>1</v>
      </c>
      <c r="CI479" s="708">
        <f>WWWW[[#This Row],[%equitable and continuous access to sufficient quantity of safe drinking and domestic water''s GAP]]*WWWW[[#This Row],[Total PoP ]]</f>
        <v>25</v>
      </c>
      <c r="CJ479" s="712">
        <f>IF(WWWW[[#This Row],[Total required water points]]-WWWW[[#This Row],['#Water points coverage]]&lt;0,0,WWWW[[#This Row],[Total required water points]]-WWWW[[#This Row],['#Water points coverage]])</f>
        <v>1</v>
      </c>
      <c r="CK479" s="712">
        <f>ROUND(IF(WWWW[[#This Row],[Total PoP ]]&lt;500,1,WWWW[[#This Row],[Total PoP ]]/500),0)</f>
        <v>1</v>
      </c>
      <c r="CL479" s="712">
        <f>(WWWW[[#This Row],['#_Constructed latrines_by_WASHAgencies]]+WWWW[[#This Row],['#_Non Cluster partner latrines]])-WWWW[[#This Row],['#_Non-functional latrines]]</f>
        <v>0</v>
      </c>
      <c r="CM479"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7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7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79" s="712">
        <f>IF(WWWW[[#This Row],[Location Type 1]]="Village","NA",IF(WWWW[[#This Row],['#_Constructed/Existing latrines in TLS]]*50&gt;WWWW[[#This Row],['#_students at TLS_CFS]],WWWW[[#This Row],['#_students at TLS_CFS]],(WWWW[[#This Row],['#_Constructed/Existing latrines in TLS]]*50)))</f>
        <v>0</v>
      </c>
      <c r="CQ479" s="712">
        <f>ROUND(IF(WWWW[[#This Row],[Location Type 1]]="camp",WWWW[[#This Row],[Total PoP ]]/20,IF(WWWW[[#This Row],[Location Type 1]]="Temporary Location",WWWW[[#This Row],[Total PoP ]]/50,(WWWW[[#This Row],[Total PoP ]]/6))),0)</f>
        <v>1</v>
      </c>
      <c r="CR479" s="712">
        <f>IF(WWWW[[#This Row],[Total required Latrines]]-(WWWW[[#This Row],['#_Constructed latrines_by_WASHAgencies]]+WWWW[[#This Row],['#_Non Cluster partner latrines]])&lt;0,0,WWWW[[#This Row],[Total required Latrines]]-(WWWW[[#This Row],['#_Constructed latrines_by_WASHAgencies]]+WWWW[[#This Row],['#_Non Cluster partner latrines]]))</f>
        <v>1</v>
      </c>
      <c r="CS479" s="716">
        <f>1-WWWW[[#This Row],[% people access to functioning Latrine]]</f>
        <v>1</v>
      </c>
      <c r="CT479" s="713">
        <f>IF(OR(WWWW[[#This Row],['#_Non-functional latrines]]="",WWWW[[#This Row],['#_Non-functional latrines]]=0),0,WWWW[[#This Row],['#_Non-functional latrines]]/(WWWW[[#This Row],['#_Constructed latrines_by_WASHAgencies]]+WWWW[[#This Row],['#_Non Cluster partner latrines]]))</f>
        <v>0</v>
      </c>
      <c r="CU479" s="708">
        <f>IF(500*(WWWW[[#This Row],['#_male hygiene promoters]]+WWWW[[#This Row],['#_female hygiene promoters]])&gt;WWWW[[#This Row],[Total PoP ]],WWWW[[#This Row],[Total PoP ]],500*(WWWW[[#This Row],['#_male hygiene promoters]]+WWWW[[#This Row],['#_female hygiene promoters]]))</f>
        <v>0</v>
      </c>
      <c r="CV47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7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79" s="712">
        <f>IF(WWWW[[#This Row],['# People with access to soap]]&gt;WWWW[[#This Row],['# People with access to Sanity Pads]],WWWW[[#This Row],['# People with access to soap]],WWWW[[#This Row],['# People with access to Sanity Pads]])</f>
        <v>0</v>
      </c>
      <c r="CY47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79" s="714">
        <f>IF(WWWW[[#This Row],[HRP3]]/WWWW[[#This Row],[Total PoP ]]&gt;100%,100%,WWWW[[#This Row],[HRP3]]/WWWW[[#This Row],[Total PoP ]])</f>
        <v>0</v>
      </c>
      <c r="DA479" s="713">
        <f>1-WWWW[[#This Row],[Hygiene Coverage%]]</f>
        <v>1</v>
      </c>
      <c r="DB479" s="710">
        <f>WWWW[[#This Row],['# people reached by regular dedicated hygiene promotion_5]]/WWWW[[#This Row],[Total PoP ]]</f>
        <v>0</v>
      </c>
      <c r="DC479" s="710">
        <f>IF(WWWW[[#This Row],['#_households that received standard amount of soap for this quarter]]/WWWW[[#This Row],[Total HH]]&gt;1,1,WWWW[[#This Row],['#_households that received standard amount of soap for this quarter]]/WWWW[[#This Row],[Total HH]])</f>
        <v>0</v>
      </c>
      <c r="DD479" s="710">
        <f>IF(WWWW[[#This Row],['#_households that received standard amount of sanitary pads for this quarter]]/WWWW[[#This Row],[Total HH]]&gt;1,1,WWWW[[#This Row],['#_households that received standard amount of sanitary pads for this quarter]]/WWWW[[#This Row],[Total HH]])</f>
        <v>0</v>
      </c>
      <c r="DE479" s="712">
        <f>WWWW[[#This Row],['#_Constructed/Existing hand washing stations]]-WWWW[[#This Row],['#_Non-Functional_hand_washing_stations]]</f>
        <v>0</v>
      </c>
      <c r="DF479" s="757">
        <f>IF(WWWW[[#This Row],['# Functional hand washing stations during reporting period]]*20&gt;WWWW[[#This Row],[Total HH]],WWWW[[#This Row],[Total HH]],WWWW[[#This Row],['# Functional hand washing stations during reporting period]]*20)</f>
        <v>0</v>
      </c>
      <c r="DG479" s="708">
        <f>IF(WWWW[[#This Row],[Is sufficient soap available for TLS? (Yes/No)]]="yes",WWWW[[#This Row],['#_Constructed/Existing hand washing stations at TLS]],0)</f>
        <v>0</v>
      </c>
      <c r="DH479" s="585">
        <f>IF(WWWW[[#This Row],['# Functional hand washing stations during reporting period]]*100&gt;WWWW[[#This Row],[Total PoP ]],WWWW[[#This Row],[Total PoP ]],WWWW[[#This Row],['# Functional hand washing stations during reporting period]]*100)</f>
        <v>0</v>
      </c>
      <c r="DI479" s="585" t="str">
        <f>IF(OR(WWWW[[#This Row],['#_students at TLS_CFS]]="",WWWW[[#This Row],['#_students at TLS_CFS]]=0),"No","Yes")</f>
        <v>No</v>
      </c>
      <c r="DJ479" s="711">
        <f>VLOOKUP(WWWW[[#This Row],[Site Name]],SiteDB6[[Site Name]:[CCCM Management]],6,FALSE)</f>
        <v>0</v>
      </c>
      <c r="DK479" s="711">
        <f>VLOOKUP(WWWW[[#This Row],[Site Name]],SiteDB6[[Site Name]:[CCCM Focal Agency]],7,FALSE)</f>
        <v>0</v>
      </c>
      <c r="DL479" s="711" t="str">
        <f>VLOOKUP(WWWW[[#This Row],[Site Name]],SiteDB6[[Site Name]:[Location Type 1]],9,FALSE)</f>
        <v>Temporary location</v>
      </c>
      <c r="DM479" s="711" t="str">
        <f>VLOOKUP(WWWW[[#This Row],[Site Name]],SiteDB6[[Site Name]:[Type of Accommodation]],10,FALSE)</f>
        <v>Temporary location</v>
      </c>
      <c r="DN479" s="711">
        <f>VLOOKUP(WWWW[[#This Row],[Site Name]],SiteDB6[[Site Name]:[Ethnic or GCA/NGCA]],11,FALSE)</f>
        <v>0</v>
      </c>
      <c r="DO479" s="711">
        <f>VLOOKUP(WWWW[[#This Row],[Site Name]],SiteDB6[[Site Name]:[Lat]],12,FALSE)</f>
        <v>20.343349456787099</v>
      </c>
      <c r="DP479" s="711">
        <f>VLOOKUP(WWWW[[#This Row],[Site Name]],SiteDB6[[Site Name]:[Long]],13,FALSE)</f>
        <v>93.121322631835895</v>
      </c>
      <c r="DQ479" s="711">
        <f>VLOOKUP(WWWW[[#This Row],[Site Name]],SiteDB6[[Site Name]:[Pcode]],3,FALSE)</f>
        <v>197470</v>
      </c>
      <c r="DR479" s="709" t="str">
        <f t="shared" si="15"/>
        <v>Notcovered</v>
      </c>
      <c r="DS479" s="709"/>
      <c r="DV479" s="572"/>
    </row>
    <row r="480" spans="1:126">
      <c r="A480" s="552" t="s">
        <v>2518</v>
      </c>
      <c r="B480" s="808" t="s">
        <v>317</v>
      </c>
      <c r="C480" s="808" t="s">
        <v>317</v>
      </c>
      <c r="D480" s="702"/>
      <c r="E480" s="703" t="s">
        <v>3006</v>
      </c>
      <c r="F480" s="702" t="s">
        <v>420</v>
      </c>
      <c r="G480" s="704" t="str">
        <f>VLOOKUP(WWWW[[#This Row],[Site Name]],SiteDB6[[Site Name]:[Location Type]],8,FALSE)</f>
        <v>New Temporary Site</v>
      </c>
      <c r="H480" s="702" t="s">
        <v>3191</v>
      </c>
      <c r="I480" s="705">
        <v>19</v>
      </c>
      <c r="J480" s="705">
        <v>45</v>
      </c>
      <c r="K480" s="706"/>
      <c r="L480" s="707"/>
      <c r="M480" s="705"/>
      <c r="N480" s="705"/>
      <c r="O480" s="705"/>
      <c r="P480" s="705"/>
      <c r="Q480" s="708"/>
      <c r="R480" s="705"/>
      <c r="S480" s="705"/>
      <c r="T480" s="740"/>
      <c r="U480" s="705"/>
      <c r="V480" s="705"/>
      <c r="W480" s="705"/>
      <c r="X480" s="705"/>
      <c r="Y480" s="705"/>
      <c r="Z480" s="705"/>
      <c r="AA480" s="705"/>
      <c r="AB480" s="705"/>
      <c r="AC480" s="705"/>
      <c r="AD480" s="705"/>
      <c r="AE480" s="705"/>
      <c r="AF480" s="705"/>
      <c r="AG480" s="705"/>
      <c r="AH480" s="705"/>
      <c r="AI480" s="705"/>
      <c r="AJ480" s="705"/>
      <c r="AK480" s="705"/>
      <c r="AL480" s="705"/>
      <c r="AM480" s="705"/>
      <c r="AN480" s="705"/>
      <c r="AO480" s="709"/>
      <c r="AP480" s="705"/>
      <c r="AQ480" s="705"/>
      <c r="AR480" s="710"/>
      <c r="AS480" s="705"/>
      <c r="AT480" s="705"/>
      <c r="AU480" s="705"/>
      <c r="AV480" s="705"/>
      <c r="AW480" s="705"/>
      <c r="AX480" s="711"/>
      <c r="AY480" s="709"/>
      <c r="AZ480" s="705"/>
      <c r="BA480" s="705"/>
      <c r="BB480" s="705"/>
      <c r="BC480" s="711"/>
      <c r="BD480" s="705"/>
      <c r="BE480" s="705"/>
      <c r="BF480" s="705"/>
      <c r="BG480" s="705"/>
      <c r="BH480" s="705"/>
      <c r="BI480" s="705"/>
      <c r="BJ480" s="705"/>
      <c r="BK480" s="705"/>
      <c r="BL480" s="705"/>
      <c r="BM480" s="711"/>
      <c r="BN480" s="712"/>
      <c r="BO480" s="710"/>
      <c r="BP480" s="711"/>
      <c r="BQ480" s="713" t="str">
        <f>IFERROR(WWWW[[#This Row],['#_Water sources treated]]/WWWW[[#This Row],['#_Water sources tested for contamination]],"no test")</f>
        <v>no test</v>
      </c>
      <c r="BR480" s="710" t="str">
        <f>IFERROR(WWWW[[#This Row],['#_Household received remediation action due to contamination]]/WWWW[[#This Row],['#_Household water samples tested for contamination]],"no test")</f>
        <v>no test</v>
      </c>
      <c r="BS480" s="712" t="str">
        <f>IF(AND(WWWW[[#This Row],[% of water sources treated]]="no test",WWWW[[#This Row],[% Household received corrective actions]]="no test"),"No Test","Tested")</f>
        <v>No Test</v>
      </c>
      <c r="BT480" s="712">
        <f>WWWW[[#This Row],['#_Constructed/existing protected hand dug well]]-WWWW[[#This Row],['#_Non-functional protected hand dug well]]</f>
        <v>0</v>
      </c>
      <c r="BU480" s="712">
        <f>(WWWW[[#This Row],['#_Constructed/Existing tube wells/boreholes/handpumps_WASH_agency]]+WWWW[[#This Row],['#_Non-Cluster partner water tube-wells/boreholes/handpumps]])-WWWW[[#This Row],['#_Non-functional tube wells/boreholes/handpumps]]</f>
        <v>0</v>
      </c>
      <c r="BV480" s="712">
        <f>WWWW[[#This Row],['#_Constructed/Existingwater storage tank with gravity fed reticulation system]]-WWWW[[#This Row],['#_Non-functional storage tank gravity fed reticulation system]]</f>
        <v>0</v>
      </c>
      <c r="BW480" s="712">
        <f>WWWW[[#This Row],['#_Water boating or water trucking]]</f>
        <v>0</v>
      </c>
      <c r="BX480" s="712">
        <f>WWWW[[#This Row],['#_Constructed/Existing water distribution system from river or natural spring]]</f>
        <v>0</v>
      </c>
      <c r="BY48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0" s="710">
        <f>IF(WWWW[[#This Row],[Location Type 1]]="Village",WWWW[[#This Row],[Access to safe drinking water for Village]],WWWW[[#This Row],[Access to safe drinking water for Camp]])</f>
        <v>0</v>
      </c>
      <c r="CB480" s="708">
        <f>WWWW[[#This Row],[%Equitable and continuous access to sufficient quantity of safe drinking water]]*WWWW[[#This Row],[Total PoP ]]</f>
        <v>0</v>
      </c>
      <c r="CC480" s="710">
        <f>IF((WWWW[[#This Row],['#_Constructed/Existing protected/fenced ponds]]*250)/WWWW[[#This Row],[Total PoP ]]&gt;1,1,(WWWW[[#This Row],['#_Constructed/Existing protected/fenced ponds]]*250)/WWWW[[#This Row],[Total PoP ]])</f>
        <v>0</v>
      </c>
      <c r="CD480" s="708">
        <f>WWWW[[#This Row],[% Access to unimproved water points]]*WWWW[[#This Row],[Total PoP ]]</f>
        <v>0</v>
      </c>
      <c r="CE48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8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80" s="708">
        <f>WWWW[[#This Row],[HRP1]]/500</f>
        <v>0</v>
      </c>
      <c r="CH480" s="714">
        <f>1-WWWW[[#This Row],[% Equitable and continuous access to sufficient quantity of domestic water]]</f>
        <v>1</v>
      </c>
      <c r="CI480" s="708">
        <f>WWWW[[#This Row],[%equitable and continuous access to sufficient quantity of safe drinking and domestic water''s GAP]]*WWWW[[#This Row],[Total PoP ]]</f>
        <v>45</v>
      </c>
      <c r="CJ480" s="712">
        <f>IF(WWWW[[#This Row],[Total required water points]]-WWWW[[#This Row],['#Water points coverage]]&lt;0,0,WWWW[[#This Row],[Total required water points]]-WWWW[[#This Row],['#Water points coverage]])</f>
        <v>1</v>
      </c>
      <c r="CK480" s="712">
        <f>ROUND(IF(WWWW[[#This Row],[Total PoP ]]&lt;500,1,WWWW[[#This Row],[Total PoP ]]/500),0)</f>
        <v>1</v>
      </c>
      <c r="CL480" s="712">
        <f>(WWWW[[#This Row],['#_Constructed latrines_by_WASHAgencies]]+WWWW[[#This Row],['#_Non Cluster partner latrines]])-WWWW[[#This Row],['#_Non-functional latrines]]</f>
        <v>0</v>
      </c>
      <c r="CM480"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0" s="712">
        <f>IF(WWWW[[#This Row],[Location Type 1]]="Village","NA",IF(WWWW[[#This Row],['#_Constructed/Existing latrines in TLS]]*50&gt;WWWW[[#This Row],['#_students at TLS_CFS]],WWWW[[#This Row],['#_students at TLS_CFS]],(WWWW[[#This Row],['#_Constructed/Existing latrines in TLS]]*50)))</f>
        <v>0</v>
      </c>
      <c r="CQ480" s="712">
        <f>ROUND(IF(WWWW[[#This Row],[Location Type 1]]="camp",WWWW[[#This Row],[Total PoP ]]/20,IF(WWWW[[#This Row],[Location Type 1]]="Temporary Location",WWWW[[#This Row],[Total PoP ]]/50,(WWWW[[#This Row],[Total PoP ]]/6))),0)</f>
        <v>1</v>
      </c>
      <c r="CR480" s="712">
        <f>IF(WWWW[[#This Row],[Total required Latrines]]-(WWWW[[#This Row],['#_Constructed latrines_by_WASHAgencies]]+WWWW[[#This Row],['#_Non Cluster partner latrines]])&lt;0,0,WWWW[[#This Row],[Total required Latrines]]-(WWWW[[#This Row],['#_Constructed latrines_by_WASHAgencies]]+WWWW[[#This Row],['#_Non Cluster partner latrines]]))</f>
        <v>1</v>
      </c>
      <c r="CS480" s="716">
        <f>1-WWWW[[#This Row],[% people access to functioning Latrine]]</f>
        <v>1</v>
      </c>
      <c r="CT480" s="713">
        <f>IF(OR(WWWW[[#This Row],['#_Non-functional latrines]]="",WWWW[[#This Row],['#_Non-functional latrines]]=0),0,WWWW[[#This Row],['#_Non-functional latrines]]/(WWWW[[#This Row],['#_Constructed latrines_by_WASHAgencies]]+WWWW[[#This Row],['#_Non Cluster partner latrines]]))</f>
        <v>0</v>
      </c>
      <c r="CU480" s="708">
        <f>IF(500*(WWWW[[#This Row],['#_male hygiene promoters]]+WWWW[[#This Row],['#_female hygiene promoters]])&gt;WWWW[[#This Row],[Total PoP ]],WWWW[[#This Row],[Total PoP ]],500*(WWWW[[#This Row],['#_male hygiene promoters]]+WWWW[[#This Row],['#_female hygiene promoters]]))</f>
        <v>0</v>
      </c>
      <c r="CV48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8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0" s="712">
        <f>IF(WWWW[[#This Row],['# People with access to soap]]&gt;WWWW[[#This Row],['# People with access to Sanity Pads]],WWWW[[#This Row],['# People with access to soap]],WWWW[[#This Row],['# People with access to Sanity Pads]])</f>
        <v>0</v>
      </c>
      <c r="CY48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480" s="714">
        <f>IF(WWWW[[#This Row],[HRP3]]/WWWW[[#This Row],[Total PoP ]]&gt;100%,100%,WWWW[[#This Row],[HRP3]]/WWWW[[#This Row],[Total PoP ]])</f>
        <v>0</v>
      </c>
      <c r="DA480" s="713">
        <f>1-WWWW[[#This Row],[Hygiene Coverage%]]</f>
        <v>1</v>
      </c>
      <c r="DB480" s="710">
        <f>WWWW[[#This Row],['# people reached by regular dedicated hygiene promotion_5]]/WWWW[[#This Row],[Total PoP ]]</f>
        <v>0</v>
      </c>
      <c r="DC480" s="710">
        <f>IF(WWWW[[#This Row],['#_households that received standard amount of soap for this quarter]]/WWWW[[#This Row],[Total HH]]&gt;1,1,WWWW[[#This Row],['#_households that received standard amount of soap for this quarter]]/WWWW[[#This Row],[Total HH]])</f>
        <v>0</v>
      </c>
      <c r="DD480" s="710">
        <f>IF(WWWW[[#This Row],['#_households that received standard amount of sanitary pads for this quarter]]/WWWW[[#This Row],[Total HH]]&gt;1,1,WWWW[[#This Row],['#_households that received standard amount of sanitary pads for this quarter]]/WWWW[[#This Row],[Total HH]])</f>
        <v>0</v>
      </c>
      <c r="DE480" s="712">
        <f>WWWW[[#This Row],['#_Constructed/Existing hand washing stations]]-WWWW[[#This Row],['#_Non-Functional_hand_washing_stations]]</f>
        <v>0</v>
      </c>
      <c r="DF480" s="757">
        <f>IF(WWWW[[#This Row],['# Functional hand washing stations during reporting period]]*20&gt;WWWW[[#This Row],[Total HH]],WWWW[[#This Row],[Total HH]],WWWW[[#This Row],['# Functional hand washing stations during reporting period]]*20)</f>
        <v>0</v>
      </c>
      <c r="DG480" s="708">
        <f>IF(WWWW[[#This Row],[Is sufficient soap available for TLS? (Yes/No)]]="yes",WWWW[[#This Row],['#_Constructed/Existing hand washing stations at TLS]],0)</f>
        <v>0</v>
      </c>
      <c r="DH480" s="585">
        <f>IF(WWWW[[#This Row],['# Functional hand washing stations during reporting period]]*100&gt;WWWW[[#This Row],[Total PoP ]],WWWW[[#This Row],[Total PoP ]],WWWW[[#This Row],['# Functional hand washing stations during reporting period]]*100)</f>
        <v>0</v>
      </c>
      <c r="DI480" s="585" t="str">
        <f>IF(OR(WWWW[[#This Row],['#_students at TLS_CFS]]="",WWWW[[#This Row],['#_students at TLS_CFS]]=0),"No","Yes")</f>
        <v>No</v>
      </c>
      <c r="DJ480" s="711">
        <f>VLOOKUP(WWWW[[#This Row],[Site Name]],SiteDB6[[Site Name]:[CCCM Management]],6,FALSE)</f>
        <v>0</v>
      </c>
      <c r="DK480" s="711">
        <f>VLOOKUP(WWWW[[#This Row],[Site Name]],SiteDB6[[Site Name]:[CCCM Focal Agency]],7,FALSE)</f>
        <v>0</v>
      </c>
      <c r="DL480" s="711" t="str">
        <f>VLOOKUP(WWWW[[#This Row],[Site Name]],SiteDB6[[Site Name]:[Location Type 1]],9,FALSE)</f>
        <v>Temporary location</v>
      </c>
      <c r="DM480" s="711" t="str">
        <f>VLOOKUP(WWWW[[#This Row],[Site Name]],SiteDB6[[Site Name]:[Type of Accommodation]],10,FALSE)</f>
        <v>Temporary location</v>
      </c>
      <c r="DN480" s="711">
        <f>VLOOKUP(WWWW[[#This Row],[Site Name]],SiteDB6[[Site Name]:[Ethnic or GCA/NGCA]],11,FALSE)</f>
        <v>0</v>
      </c>
      <c r="DO480" s="711">
        <f>VLOOKUP(WWWW[[#This Row],[Site Name]],SiteDB6[[Site Name]:[Lat]],12,FALSE)</f>
        <v>0</v>
      </c>
      <c r="DP480" s="711">
        <f>VLOOKUP(WWWW[[#This Row],[Site Name]],SiteDB6[[Site Name]:[Long]],13,FALSE)</f>
        <v>0</v>
      </c>
      <c r="DQ480" s="711" t="str">
        <f>VLOOKUP(WWWW[[#This Row],[Site Name]],SiteDB6[[Site Name]:[Pcode]],3,FALSE)</f>
        <v>MMR012007701505</v>
      </c>
      <c r="DR480" s="709" t="str">
        <f t="shared" si="15"/>
        <v>Notcovered</v>
      </c>
      <c r="DS480" s="709"/>
      <c r="DV480" s="572"/>
    </row>
    <row r="481" spans="1:138">
      <c r="A481" s="552" t="s">
        <v>2518</v>
      </c>
      <c r="B481" s="701" t="s">
        <v>3209</v>
      </c>
      <c r="C481" s="701" t="s">
        <v>3209</v>
      </c>
      <c r="D481" s="702"/>
      <c r="E481" s="703" t="s">
        <v>3006</v>
      </c>
      <c r="F481" s="702" t="s">
        <v>489</v>
      </c>
      <c r="G481" s="704" t="str">
        <f>VLOOKUP(WWWW[[#This Row],[Site Name]],SiteDB6[[Site Name]:[Location Type]],8,FALSE)</f>
        <v>New Temporary Site</v>
      </c>
      <c r="H481" s="702" t="s">
        <v>3222</v>
      </c>
      <c r="I481" s="705">
        <v>417</v>
      </c>
      <c r="J481" s="705">
        <v>2027</v>
      </c>
      <c r="K481" s="706"/>
      <c r="L481" s="707"/>
      <c r="M481" s="705"/>
      <c r="N481" s="705"/>
      <c r="O481" s="705"/>
      <c r="P481" s="705"/>
      <c r="Q481" s="708"/>
      <c r="R481" s="705"/>
      <c r="S481" s="705"/>
      <c r="T481" s="740"/>
      <c r="U481" s="705"/>
      <c r="V481" s="705"/>
      <c r="W481" s="705"/>
      <c r="X481" s="705"/>
      <c r="Y481" s="705"/>
      <c r="Z481" s="705"/>
      <c r="AA481" s="705"/>
      <c r="AB481" s="705"/>
      <c r="AC481" s="705"/>
      <c r="AD481" s="705"/>
      <c r="AE481" s="705"/>
      <c r="AF481" s="705"/>
      <c r="AG481" s="705"/>
      <c r="AH481" s="705"/>
      <c r="AI481" s="705"/>
      <c r="AJ481" s="705"/>
      <c r="AK481" s="705"/>
      <c r="AL481" s="705"/>
      <c r="AM481" s="705"/>
      <c r="AN481" s="705"/>
      <c r="AO481" s="709"/>
      <c r="AP481" s="705">
        <v>30</v>
      </c>
      <c r="AQ481" s="705"/>
      <c r="AR481" s="710"/>
      <c r="AS481" s="705"/>
      <c r="AT481" s="705"/>
      <c r="AU481" s="705"/>
      <c r="AV481" s="705"/>
      <c r="AW481" s="705"/>
      <c r="AX481" s="711"/>
      <c r="AY481" s="709"/>
      <c r="AZ481" s="705"/>
      <c r="BA481" s="705"/>
      <c r="BB481" s="705"/>
      <c r="BC481" s="711"/>
      <c r="BD481" s="705"/>
      <c r="BE481" s="705"/>
      <c r="BF481" s="705"/>
      <c r="BG481" s="705"/>
      <c r="BH481" s="705"/>
      <c r="BI481" s="705"/>
      <c r="BJ481" s="705"/>
      <c r="BK481" s="705">
        <v>122</v>
      </c>
      <c r="BL481" s="705">
        <v>122</v>
      </c>
      <c r="BM481" s="711"/>
      <c r="BN481" s="712"/>
      <c r="BO481" s="710"/>
      <c r="BP481" s="711"/>
      <c r="BQ481" s="713" t="str">
        <f>IFERROR(WWWW[[#This Row],['#_Water sources treated]]/WWWW[[#This Row],['#_Water sources tested for contamination]],"no test")</f>
        <v>no test</v>
      </c>
      <c r="BR481" s="710" t="str">
        <f>IFERROR(WWWW[[#This Row],['#_Household received remediation action due to contamination]]/WWWW[[#This Row],['#_Household water samples tested for contamination]],"no test")</f>
        <v>no test</v>
      </c>
      <c r="BS481" s="712" t="str">
        <f>IF(AND(WWWW[[#This Row],[% of water sources treated]]="no test",WWWW[[#This Row],[% Household received corrective actions]]="no test"),"No Test","Tested")</f>
        <v>No Test</v>
      </c>
      <c r="BT481" s="712">
        <f>WWWW[[#This Row],['#_Constructed/existing protected hand dug well]]-WWWW[[#This Row],['#_Non-functional protected hand dug well]]</f>
        <v>0</v>
      </c>
      <c r="BU481" s="712">
        <f>(WWWW[[#This Row],['#_Constructed/Existing tube wells/boreholes/handpumps_WASH_agency]]+WWWW[[#This Row],['#_Non-Cluster partner water tube-wells/boreholes/handpumps]])-WWWW[[#This Row],['#_Non-functional tube wells/boreholes/handpumps]]</f>
        <v>0</v>
      </c>
      <c r="BV481" s="712">
        <f>WWWW[[#This Row],['#_Constructed/Existingwater storage tank with gravity fed reticulation system]]-WWWW[[#This Row],['#_Non-functional storage tank gravity fed reticulation system]]</f>
        <v>0</v>
      </c>
      <c r="BW481" s="712">
        <f>WWWW[[#This Row],['#_Water boating or water trucking]]</f>
        <v>0</v>
      </c>
      <c r="BX481" s="712">
        <f>WWWW[[#This Row],['#_Constructed/Existing water distribution system from river or natural spring]]</f>
        <v>0</v>
      </c>
      <c r="BY48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1" s="710">
        <f>IF(WWWW[[#This Row],[Location Type 1]]="Village",WWWW[[#This Row],[Access to safe drinking water for Village]],WWWW[[#This Row],[Access to safe drinking water for Camp]])</f>
        <v>0</v>
      </c>
      <c r="CB481" s="708">
        <f>WWWW[[#This Row],[%Equitable and continuous access to sufficient quantity of safe drinking water]]*WWWW[[#This Row],[Total PoP ]]</f>
        <v>0</v>
      </c>
      <c r="CC481" s="710">
        <f>IF((WWWW[[#This Row],['#_Constructed/Existing protected/fenced ponds]]*250)/WWWW[[#This Row],[Total PoP ]]&gt;1,1,(WWWW[[#This Row],['#_Constructed/Existing protected/fenced ponds]]*250)/WWWW[[#This Row],[Total PoP ]])</f>
        <v>0</v>
      </c>
      <c r="CD481" s="708">
        <f>WWWW[[#This Row],[% Access to unimproved water points]]*WWWW[[#This Row],[Total PoP ]]</f>
        <v>0</v>
      </c>
      <c r="CE48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8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81" s="708">
        <f>WWWW[[#This Row],[HRP1]]/500</f>
        <v>0</v>
      </c>
      <c r="CH481" s="714">
        <f>1-WWWW[[#This Row],[% Equitable and continuous access to sufficient quantity of domestic water]]</f>
        <v>1</v>
      </c>
      <c r="CI481" s="708">
        <f>WWWW[[#This Row],[%equitable and continuous access to sufficient quantity of safe drinking and domestic water''s GAP]]*WWWW[[#This Row],[Total PoP ]]</f>
        <v>2027</v>
      </c>
      <c r="CJ481" s="712">
        <f>IF(WWWW[[#This Row],[Total required water points]]-WWWW[[#This Row],['#Water points coverage]]&lt;0,0,WWWW[[#This Row],[Total required water points]]-WWWW[[#This Row],['#Water points coverage]])</f>
        <v>4</v>
      </c>
      <c r="CK481" s="712">
        <f>ROUND(IF(WWWW[[#This Row],[Total PoP ]]&lt;500,1,WWWW[[#This Row],[Total PoP ]]/500),0)</f>
        <v>4</v>
      </c>
      <c r="CL481" s="712">
        <f>(WWWW[[#This Row],['#_Constructed latrines_by_WASHAgencies]]+WWWW[[#This Row],['#_Non Cluster partner latrines]])-WWWW[[#This Row],['#_Non-functional latrines]]</f>
        <v>30</v>
      </c>
      <c r="CM481"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0.740009866798224</v>
      </c>
      <c r="CN48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1500</v>
      </c>
      <c r="CO48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1" s="712">
        <f>IF(WWWW[[#This Row],[Location Type 1]]="Village","NA",IF(WWWW[[#This Row],['#_Constructed/Existing latrines in TLS]]*50&gt;WWWW[[#This Row],['#_students at TLS_CFS]],WWWW[[#This Row],['#_students at TLS_CFS]],(WWWW[[#This Row],['#_Constructed/Existing latrines in TLS]]*50)))</f>
        <v>0</v>
      </c>
      <c r="CQ481" s="712">
        <f>ROUND(IF(WWWW[[#This Row],[Location Type 1]]="camp",WWWW[[#This Row],[Total PoP ]]/20,IF(WWWW[[#This Row],[Location Type 1]]="Temporary Location",WWWW[[#This Row],[Total PoP ]]/50,(WWWW[[#This Row],[Total PoP ]]/6))),0)</f>
        <v>41</v>
      </c>
      <c r="CR481" s="712">
        <f>IF(WWWW[[#This Row],[Total required Latrines]]-(WWWW[[#This Row],['#_Constructed latrines_by_WASHAgencies]]+WWWW[[#This Row],['#_Non Cluster partner latrines]])&lt;0,0,WWWW[[#This Row],[Total required Latrines]]-(WWWW[[#This Row],['#_Constructed latrines_by_WASHAgencies]]+WWWW[[#This Row],['#_Non Cluster partner latrines]]))</f>
        <v>11</v>
      </c>
      <c r="CS481" s="716">
        <f>1-WWWW[[#This Row],[% people access to functioning Latrine]]</f>
        <v>0.259990133201776</v>
      </c>
      <c r="CT481" s="713">
        <f>IF(OR(WWWW[[#This Row],['#_Non-functional latrines]]="",WWWW[[#This Row],['#_Non-functional latrines]]=0),0,WWWW[[#This Row],['#_Non-functional latrines]]/(WWWW[[#This Row],['#_Constructed latrines_by_WASHAgencies]]+WWWW[[#This Row],['#_Non Cluster partner latrines]]))</f>
        <v>0</v>
      </c>
      <c r="CU481" s="708">
        <f>IF(500*(WWWW[[#This Row],['#_male hygiene promoters]]+WWWW[[#This Row],['#_female hygiene promoters]])&gt;WWWW[[#This Row],[Total PoP ]],WWWW[[#This Row],[Total PoP ]],500*(WWWW[[#This Row],['#_male hygiene promoters]]+WWWW[[#This Row],['#_female hygiene promoters]]))</f>
        <v>0</v>
      </c>
      <c r="CV48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610</v>
      </c>
      <c r="CW48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610</v>
      </c>
      <c r="CX481" s="712">
        <f>IF(WWWW[[#This Row],['# People with access to soap]]&gt;WWWW[[#This Row],['# People with access to Sanity Pads]],WWWW[[#This Row],['# People with access to soap]],WWWW[[#This Row],['# People with access to Sanity Pads]])</f>
        <v>610</v>
      </c>
      <c r="CY481" s="712">
        <f>IF(WWWW[[#This Row],['# people reached by regular dedicated hygiene promotion_5]]&gt;WWWW[[#This Row],['# People received regular supply of hygiene items_6]],WWWW[[#This Row],['# people reached by regular dedicated hygiene promotion_5]],WWWW[[#This Row],['# People received regular supply of hygiene items_6]])</f>
        <v>610</v>
      </c>
      <c r="CZ481" s="714">
        <f>IF(WWWW[[#This Row],[HRP3]]/WWWW[[#This Row],[Total PoP ]]&gt;100%,100%,WWWW[[#This Row],[HRP3]]/WWWW[[#This Row],[Total PoP ]])</f>
        <v>0.30093734583127774</v>
      </c>
      <c r="DA481" s="713">
        <f>1-WWWW[[#This Row],[Hygiene Coverage%]]</f>
        <v>0.69906265416872226</v>
      </c>
      <c r="DB481" s="710">
        <f>WWWW[[#This Row],['# people reached by regular dedicated hygiene promotion_5]]/WWWW[[#This Row],[Total PoP ]]</f>
        <v>0</v>
      </c>
      <c r="DC481" s="710">
        <f>IF(WWWW[[#This Row],['#_households that received standard amount of soap for this quarter]]/WWWW[[#This Row],[Total HH]]&gt;1,1,WWWW[[#This Row],['#_households that received standard amount of soap for this quarter]]/WWWW[[#This Row],[Total HH]])</f>
        <v>0.29256594724220625</v>
      </c>
      <c r="DD481" s="710">
        <f>IF(WWWW[[#This Row],['#_households that received standard amount of sanitary pads for this quarter]]/WWWW[[#This Row],[Total HH]]&gt;1,1,WWWW[[#This Row],['#_households that received standard amount of sanitary pads for this quarter]]/WWWW[[#This Row],[Total HH]])</f>
        <v>0.29256594724220625</v>
      </c>
      <c r="DE481" s="712">
        <f>WWWW[[#This Row],['#_Constructed/Existing hand washing stations]]-WWWW[[#This Row],['#_Non-Functional_hand_washing_stations]]</f>
        <v>0</v>
      </c>
      <c r="DF481" s="757">
        <f>IF(WWWW[[#This Row],['# Functional hand washing stations during reporting period]]*20&gt;WWWW[[#This Row],[Total HH]],WWWW[[#This Row],[Total HH]],WWWW[[#This Row],['# Functional hand washing stations during reporting period]]*20)</f>
        <v>0</v>
      </c>
      <c r="DG481" s="708">
        <f>IF(WWWW[[#This Row],[Is sufficient soap available for TLS? (Yes/No)]]="yes",WWWW[[#This Row],['#_Constructed/Existing hand washing stations at TLS]],0)</f>
        <v>0</v>
      </c>
      <c r="DH481" s="585">
        <f>IF(WWWW[[#This Row],['# Functional hand washing stations during reporting period]]*100&gt;WWWW[[#This Row],[Total PoP ]],WWWW[[#This Row],[Total PoP ]],WWWW[[#This Row],['# Functional hand washing stations during reporting period]]*100)</f>
        <v>0</v>
      </c>
      <c r="DI481" s="585" t="str">
        <f>IF(OR(WWWW[[#This Row],['#_students at TLS_CFS]]="",WWWW[[#This Row],['#_students at TLS_CFS]]=0),"No","Yes")</f>
        <v>No</v>
      </c>
      <c r="DJ481" s="711">
        <f>VLOOKUP(WWWW[[#This Row],[Site Name]],SiteDB6[[Site Name]:[CCCM Management]],6,FALSE)</f>
        <v>0</v>
      </c>
      <c r="DK481" s="711">
        <f>VLOOKUP(WWWW[[#This Row],[Site Name]],SiteDB6[[Site Name]:[CCCM Focal Agency]],7,FALSE)</f>
        <v>0</v>
      </c>
      <c r="DL481" s="711" t="str">
        <f>VLOOKUP(WWWW[[#This Row],[Site Name]],SiteDB6[[Site Name]:[Location Type 1]],9,FALSE)</f>
        <v>Temporary location</v>
      </c>
      <c r="DM481" s="711" t="str">
        <f>VLOOKUP(WWWW[[#This Row],[Site Name]],SiteDB6[[Site Name]:[Type of Accommodation]],10,FALSE)</f>
        <v>Temporary location</v>
      </c>
      <c r="DN481" s="711">
        <f>VLOOKUP(WWWW[[#This Row],[Site Name]],SiteDB6[[Site Name]:[Ethnic or GCA/NGCA]],11,FALSE)</f>
        <v>0</v>
      </c>
      <c r="DO481" s="711">
        <f>VLOOKUP(WWWW[[#This Row],[Site Name]],SiteDB6[[Site Name]:[Lat]],12,FALSE)</f>
        <v>20.686229705810501</v>
      </c>
      <c r="DP481" s="711">
        <f>VLOOKUP(WWWW[[#This Row],[Site Name]],SiteDB6[[Site Name]:[Long]],13,FALSE)</f>
        <v>93.220001220703097</v>
      </c>
      <c r="DQ481" s="711">
        <f>VLOOKUP(WWWW[[#This Row],[Site Name]],SiteDB6[[Site Name]:[Pcode]],3,FALSE)</f>
        <v>196453</v>
      </c>
      <c r="DR481" s="709" t="str">
        <f t="shared" si="15"/>
        <v>Covered</v>
      </c>
      <c r="DS481" s="709"/>
      <c r="DV481" s="572"/>
    </row>
    <row r="482" spans="1:138">
      <c r="A482" s="552" t="s">
        <v>2518</v>
      </c>
      <c r="B482" s="701" t="s">
        <v>3210</v>
      </c>
      <c r="C482" s="701" t="s">
        <v>3210</v>
      </c>
      <c r="D482" s="702"/>
      <c r="E482" s="703" t="s">
        <v>3006</v>
      </c>
      <c r="F482" s="702" t="s">
        <v>489</v>
      </c>
      <c r="G482" s="704" t="str">
        <f>VLOOKUP(WWWW[[#This Row],[Site Name]],SiteDB6[[Site Name]:[Location Type]],8,FALSE)</f>
        <v>New Temporary Site</v>
      </c>
      <c r="H482" s="702" t="s">
        <v>3221</v>
      </c>
      <c r="I482" s="705">
        <v>446</v>
      </c>
      <c r="J482" s="705">
        <v>2290</v>
      </c>
      <c r="K482" s="706"/>
      <c r="L482" s="707"/>
      <c r="M482" s="705"/>
      <c r="N482" s="705"/>
      <c r="O482" s="705"/>
      <c r="P482" s="705"/>
      <c r="Q482" s="708"/>
      <c r="R482" s="705"/>
      <c r="S482" s="705"/>
      <c r="T482" s="740"/>
      <c r="U482" s="705"/>
      <c r="V482" s="705"/>
      <c r="W482" s="705"/>
      <c r="X482" s="705"/>
      <c r="Y482" s="705"/>
      <c r="Z482" s="705"/>
      <c r="AA482" s="705"/>
      <c r="AB482" s="705"/>
      <c r="AC482" s="705"/>
      <c r="AD482" s="705"/>
      <c r="AE482" s="705"/>
      <c r="AF482" s="705"/>
      <c r="AG482" s="705"/>
      <c r="AH482" s="705"/>
      <c r="AI482" s="705"/>
      <c r="AJ482" s="705"/>
      <c r="AK482" s="705"/>
      <c r="AL482" s="705"/>
      <c r="AM482" s="705"/>
      <c r="AN482" s="705"/>
      <c r="AO482" s="709"/>
      <c r="AP482" s="705"/>
      <c r="AQ482" s="705"/>
      <c r="AR482" s="710"/>
      <c r="AS482" s="705"/>
      <c r="AT482" s="705"/>
      <c r="AU482" s="705"/>
      <c r="AV482" s="705"/>
      <c r="AW482" s="705"/>
      <c r="AX482" s="711"/>
      <c r="AY482" s="709"/>
      <c r="AZ482" s="705"/>
      <c r="BA482" s="705"/>
      <c r="BB482" s="705"/>
      <c r="BC482" s="711"/>
      <c r="BD482" s="705"/>
      <c r="BE482" s="705"/>
      <c r="BF482" s="705"/>
      <c r="BG482" s="705"/>
      <c r="BH482" s="705"/>
      <c r="BI482" s="705"/>
      <c r="BJ482" s="705"/>
      <c r="BK482" s="705">
        <v>100</v>
      </c>
      <c r="BL482" s="705">
        <v>100</v>
      </c>
      <c r="BM482" s="711"/>
      <c r="BN482" s="712"/>
      <c r="BO482" s="710"/>
      <c r="BP482" s="711"/>
      <c r="BQ482" s="713" t="str">
        <f>IFERROR(WWWW[[#This Row],['#_Water sources treated]]/WWWW[[#This Row],['#_Water sources tested for contamination]],"no test")</f>
        <v>no test</v>
      </c>
      <c r="BR482" s="710" t="str">
        <f>IFERROR(WWWW[[#This Row],['#_Household received remediation action due to contamination]]/WWWW[[#This Row],['#_Household water samples tested for contamination]],"no test")</f>
        <v>no test</v>
      </c>
      <c r="BS482" s="712" t="str">
        <f>IF(AND(WWWW[[#This Row],[% of water sources treated]]="no test",WWWW[[#This Row],[% Household received corrective actions]]="no test"),"No Test","Tested")</f>
        <v>No Test</v>
      </c>
      <c r="BT482" s="712">
        <f>WWWW[[#This Row],['#_Constructed/existing protected hand dug well]]-WWWW[[#This Row],['#_Non-functional protected hand dug well]]</f>
        <v>0</v>
      </c>
      <c r="BU482" s="712">
        <f>(WWWW[[#This Row],['#_Constructed/Existing tube wells/boreholes/handpumps_WASH_agency]]+WWWW[[#This Row],['#_Non-Cluster partner water tube-wells/boreholes/handpumps]])-WWWW[[#This Row],['#_Non-functional tube wells/boreholes/handpumps]]</f>
        <v>0</v>
      </c>
      <c r="BV482" s="712">
        <f>WWWW[[#This Row],['#_Constructed/Existingwater storage tank with gravity fed reticulation system]]-WWWW[[#This Row],['#_Non-functional storage tank gravity fed reticulation system]]</f>
        <v>0</v>
      </c>
      <c r="BW482" s="712">
        <f>WWWW[[#This Row],['#_Water boating or water trucking]]</f>
        <v>0</v>
      </c>
      <c r="BX482" s="712">
        <f>WWWW[[#This Row],['#_Constructed/Existing water distribution system from river or natural spring]]</f>
        <v>0</v>
      </c>
      <c r="BY48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2" s="710">
        <f>IF(WWWW[[#This Row],[Location Type 1]]="Village",WWWW[[#This Row],[Access to safe drinking water for Village]],WWWW[[#This Row],[Access to safe drinking water for Camp]])</f>
        <v>0</v>
      </c>
      <c r="CB482" s="708">
        <f>WWWW[[#This Row],[%Equitable and continuous access to sufficient quantity of safe drinking water]]*WWWW[[#This Row],[Total PoP ]]</f>
        <v>0</v>
      </c>
      <c r="CC482" s="710">
        <f>IF((WWWW[[#This Row],['#_Constructed/Existing protected/fenced ponds]]*250)/WWWW[[#This Row],[Total PoP ]]&gt;1,1,(WWWW[[#This Row],['#_Constructed/Existing protected/fenced ponds]]*250)/WWWW[[#This Row],[Total PoP ]])</f>
        <v>0</v>
      </c>
      <c r="CD482" s="708">
        <f>WWWW[[#This Row],[% Access to unimproved water points]]*WWWW[[#This Row],[Total PoP ]]</f>
        <v>0</v>
      </c>
      <c r="CE48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48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482" s="708">
        <f>WWWW[[#This Row],[HRP1]]/500</f>
        <v>0</v>
      </c>
      <c r="CH482" s="714">
        <f>1-WWWW[[#This Row],[% Equitable and continuous access to sufficient quantity of domestic water]]</f>
        <v>1</v>
      </c>
      <c r="CI482" s="708">
        <f>WWWW[[#This Row],[%equitable and continuous access to sufficient quantity of safe drinking and domestic water''s GAP]]*WWWW[[#This Row],[Total PoP ]]</f>
        <v>2290</v>
      </c>
      <c r="CJ482" s="712">
        <f>IF(WWWW[[#This Row],[Total required water points]]-WWWW[[#This Row],['#Water points coverage]]&lt;0,0,WWWW[[#This Row],[Total required water points]]-WWWW[[#This Row],['#Water points coverage]])</f>
        <v>5</v>
      </c>
      <c r="CK482" s="712">
        <f>ROUND(IF(WWWW[[#This Row],[Total PoP ]]&lt;500,1,WWWW[[#This Row],[Total PoP ]]/500),0)</f>
        <v>5</v>
      </c>
      <c r="CL482" s="712">
        <f>(WWWW[[#This Row],['#_Constructed latrines_by_WASHAgencies]]+WWWW[[#This Row],['#_Non Cluster partner latrines]])-WWWW[[#This Row],['#_Non-functional latrines]]</f>
        <v>0</v>
      </c>
      <c r="CM482" s="596">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2" s="712">
        <f>IF(WWWW[[#This Row],[Location Type 1]]="Village","NA",IF(WWWW[[#This Row],['#_Constructed/Existing latrines in TLS]]*50&gt;WWWW[[#This Row],['#_students at TLS_CFS]],WWWW[[#This Row],['#_students at TLS_CFS]],(WWWW[[#This Row],['#_Constructed/Existing latrines in TLS]]*50)))</f>
        <v>0</v>
      </c>
      <c r="CQ482" s="712">
        <f>ROUND(IF(WWWW[[#This Row],[Location Type 1]]="camp",WWWW[[#This Row],[Total PoP ]]/20,IF(WWWW[[#This Row],[Location Type 1]]="Temporary Location",WWWW[[#This Row],[Total PoP ]]/50,(WWWW[[#This Row],[Total PoP ]]/6))),0)</f>
        <v>46</v>
      </c>
      <c r="CR482" s="712">
        <f>IF(WWWW[[#This Row],[Total required Latrines]]-(WWWW[[#This Row],['#_Constructed latrines_by_WASHAgencies]]+WWWW[[#This Row],['#_Non Cluster partner latrines]])&lt;0,0,WWWW[[#This Row],[Total required Latrines]]-(WWWW[[#This Row],['#_Constructed latrines_by_WASHAgencies]]+WWWW[[#This Row],['#_Non Cluster partner latrines]]))</f>
        <v>46</v>
      </c>
      <c r="CS482" s="716">
        <f>1-WWWW[[#This Row],[% people access to functioning Latrine]]</f>
        <v>1</v>
      </c>
      <c r="CT482" s="713">
        <f>IF(OR(WWWW[[#This Row],['#_Non-functional latrines]]="",WWWW[[#This Row],['#_Non-functional latrines]]=0),0,WWWW[[#This Row],['#_Non-functional latrines]]/(WWWW[[#This Row],['#_Constructed latrines_by_WASHAgencies]]+WWWW[[#This Row],['#_Non Cluster partner latrines]]))</f>
        <v>0</v>
      </c>
      <c r="CU482" s="708">
        <f>IF(500*(WWWW[[#This Row],['#_male hygiene promoters]]+WWWW[[#This Row],['#_female hygiene promoters]])&gt;WWWW[[#This Row],[Total PoP ]],WWWW[[#This Row],[Total PoP ]],500*(WWWW[[#This Row],['#_male hygiene promoters]]+WWWW[[#This Row],['#_female hygiene promoters]]))</f>
        <v>0</v>
      </c>
      <c r="CV48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500</v>
      </c>
      <c r="CW48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500</v>
      </c>
      <c r="CX482" s="712">
        <f>IF(WWWW[[#This Row],['# People with access to soap]]&gt;WWWW[[#This Row],['# People with access to Sanity Pads]],WWWW[[#This Row],['# People with access to soap]],WWWW[[#This Row],['# People with access to Sanity Pads]])</f>
        <v>500</v>
      </c>
      <c r="CY482" s="712">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482" s="714">
        <f>IF(WWWW[[#This Row],[HRP3]]/WWWW[[#This Row],[Total PoP ]]&gt;100%,100%,WWWW[[#This Row],[HRP3]]/WWWW[[#This Row],[Total PoP ]])</f>
        <v>0.2183406113537118</v>
      </c>
      <c r="DA482" s="713">
        <f>1-WWWW[[#This Row],[Hygiene Coverage%]]</f>
        <v>0.78165938864628814</v>
      </c>
      <c r="DB482" s="710">
        <f>WWWW[[#This Row],['# people reached by regular dedicated hygiene promotion_5]]/WWWW[[#This Row],[Total PoP ]]</f>
        <v>0</v>
      </c>
      <c r="DC482" s="710">
        <f>IF(WWWW[[#This Row],['#_households that received standard amount of soap for this quarter]]/WWWW[[#This Row],[Total HH]]&gt;1,1,WWWW[[#This Row],['#_households that received standard amount of soap for this quarter]]/WWWW[[#This Row],[Total HH]])</f>
        <v>0.22421524663677131</v>
      </c>
      <c r="DD482" s="710">
        <f>IF(WWWW[[#This Row],['#_households that received standard amount of sanitary pads for this quarter]]/WWWW[[#This Row],[Total HH]]&gt;1,1,WWWW[[#This Row],['#_households that received standard amount of sanitary pads for this quarter]]/WWWW[[#This Row],[Total HH]])</f>
        <v>0.22421524663677131</v>
      </c>
      <c r="DE482" s="712">
        <f>WWWW[[#This Row],['#_Constructed/Existing hand washing stations]]-WWWW[[#This Row],['#_Non-Functional_hand_washing_stations]]</f>
        <v>0</v>
      </c>
      <c r="DF482" s="757">
        <f>IF(WWWW[[#This Row],['# Functional hand washing stations during reporting period]]*20&gt;WWWW[[#This Row],[Total HH]],WWWW[[#This Row],[Total HH]],WWWW[[#This Row],['# Functional hand washing stations during reporting period]]*20)</f>
        <v>0</v>
      </c>
      <c r="DG482" s="708">
        <f>IF(WWWW[[#This Row],[Is sufficient soap available for TLS? (Yes/No)]]="yes",WWWW[[#This Row],['#_Constructed/Existing hand washing stations at TLS]],0)</f>
        <v>0</v>
      </c>
      <c r="DH482" s="585">
        <f>IF(WWWW[[#This Row],['# Functional hand washing stations during reporting period]]*100&gt;WWWW[[#This Row],[Total PoP ]],WWWW[[#This Row],[Total PoP ]],WWWW[[#This Row],['# Functional hand washing stations during reporting period]]*100)</f>
        <v>0</v>
      </c>
      <c r="DI482" s="585" t="str">
        <f>IF(OR(WWWW[[#This Row],['#_students at TLS_CFS]]="",WWWW[[#This Row],['#_students at TLS_CFS]]=0),"No","Yes")</f>
        <v>No</v>
      </c>
      <c r="DJ482" s="711">
        <f>VLOOKUP(WWWW[[#This Row],[Site Name]],SiteDB6[[Site Name]:[CCCM Management]],6,FALSE)</f>
        <v>0</v>
      </c>
      <c r="DK482" s="711">
        <f>VLOOKUP(WWWW[[#This Row],[Site Name]],SiteDB6[[Site Name]:[CCCM Focal Agency]],7,FALSE)</f>
        <v>0</v>
      </c>
      <c r="DL482" s="711" t="str">
        <f>VLOOKUP(WWWW[[#This Row],[Site Name]],SiteDB6[[Site Name]:[Location Type 1]],9,FALSE)</f>
        <v>Temporary location</v>
      </c>
      <c r="DM482" s="711" t="str">
        <f>VLOOKUP(WWWW[[#This Row],[Site Name]],SiteDB6[[Site Name]:[Type of Accommodation]],10,FALSE)</f>
        <v>Temporary location</v>
      </c>
      <c r="DN482" s="711">
        <f>VLOOKUP(WWWW[[#This Row],[Site Name]],SiteDB6[[Site Name]:[Ethnic or GCA/NGCA]],11,FALSE)</f>
        <v>0</v>
      </c>
      <c r="DO482" s="711">
        <f>VLOOKUP(WWWW[[#This Row],[Site Name]],SiteDB6[[Site Name]:[Lat]],12,FALSE)</f>
        <v>20.686229705810501</v>
      </c>
      <c r="DP482" s="711">
        <f>VLOOKUP(WWWW[[#This Row],[Site Name]],SiteDB6[[Site Name]:[Long]],13,FALSE)</f>
        <v>93.220001220703097</v>
      </c>
      <c r="DQ482" s="711">
        <f>VLOOKUP(WWWW[[#This Row],[Site Name]],SiteDB6[[Site Name]:[Pcode]],3,FALSE)</f>
        <v>196453</v>
      </c>
      <c r="DR482" s="709" t="str">
        <f t="shared" si="15"/>
        <v>Covered</v>
      </c>
      <c r="DS482" s="709"/>
      <c r="DV482" s="572"/>
    </row>
    <row r="483" spans="1:138" s="743" customFormat="1">
      <c r="A483" s="552" t="s">
        <v>2518</v>
      </c>
      <c r="B483" s="744" t="s">
        <v>3241</v>
      </c>
      <c r="C483" s="744" t="s">
        <v>387</v>
      </c>
      <c r="D483" s="744" t="s">
        <v>252</v>
      </c>
      <c r="E483" s="744" t="s">
        <v>3005</v>
      </c>
      <c r="F483" s="744" t="s">
        <v>337</v>
      </c>
      <c r="G483" s="791" t="str">
        <f>VLOOKUP(WWWW[[#This Row],[Site Name]],SiteDB6[[Site Name]:[Location Type]],8,FALSE)</f>
        <v>Village</v>
      </c>
      <c r="H483" s="809" t="s">
        <v>3243</v>
      </c>
      <c r="I483" s="810">
        <v>38</v>
      </c>
      <c r="J483" s="757">
        <v>184</v>
      </c>
      <c r="K483" s="755">
        <v>43251</v>
      </c>
      <c r="L483" s="755">
        <v>43677</v>
      </c>
      <c r="M483" s="807"/>
      <c r="N483" s="807"/>
      <c r="O483" s="807"/>
      <c r="P483" s="807"/>
      <c r="Q483" s="759"/>
      <c r="R483" s="807"/>
      <c r="S483" s="807"/>
      <c r="T483" s="806">
        <v>0</v>
      </c>
      <c r="U483" s="806">
        <v>0</v>
      </c>
      <c r="V483" s="806">
        <v>0</v>
      </c>
      <c r="W483" s="806">
        <v>1</v>
      </c>
      <c r="X483" s="806">
        <v>2</v>
      </c>
      <c r="Y483" s="806">
        <v>0</v>
      </c>
      <c r="Z483" s="806">
        <v>0</v>
      </c>
      <c r="AA483" s="806">
        <v>0</v>
      </c>
      <c r="AB483" s="806">
        <v>0</v>
      </c>
      <c r="AC483" s="806">
        <v>0</v>
      </c>
      <c r="AD483" s="807"/>
      <c r="AE483" s="806">
        <v>1</v>
      </c>
      <c r="AF483" s="807"/>
      <c r="AG483" s="807"/>
      <c r="AH483" s="806">
        <v>0</v>
      </c>
      <c r="AI483" s="806">
        <v>1</v>
      </c>
      <c r="AJ483" s="806">
        <v>0</v>
      </c>
      <c r="AK483" s="806">
        <v>1</v>
      </c>
      <c r="AL483" s="806">
        <v>1</v>
      </c>
      <c r="AM483" s="806">
        <v>0</v>
      </c>
      <c r="AN483" s="806">
        <v>1</v>
      </c>
      <c r="AO483" s="782"/>
      <c r="AP483" s="757">
        <v>24</v>
      </c>
      <c r="AQ483" s="744">
        <v>0</v>
      </c>
      <c r="AR483" s="749"/>
      <c r="AS483" s="807"/>
      <c r="AT483" s="807"/>
      <c r="AU483" s="807"/>
      <c r="AV483" s="807"/>
      <c r="AW483" s="758">
        <v>24</v>
      </c>
      <c r="AX483" s="758" t="s">
        <v>43</v>
      </c>
      <c r="AY483" s="758" t="s">
        <v>144</v>
      </c>
      <c r="AZ483" s="758">
        <v>0</v>
      </c>
      <c r="BA483" s="807"/>
      <c r="BB483" s="757">
        <v>0</v>
      </c>
      <c r="BC483" s="752"/>
      <c r="BD483" s="807"/>
      <c r="BE483" s="807"/>
      <c r="BF483" s="807"/>
      <c r="BG483" s="807"/>
      <c r="BH483" s="807"/>
      <c r="BI483" s="757">
        <v>1</v>
      </c>
      <c r="BJ483" s="757">
        <v>0</v>
      </c>
      <c r="BK483" s="757">
        <v>38</v>
      </c>
      <c r="BL483" s="757">
        <v>38</v>
      </c>
      <c r="BM483" s="757" t="s">
        <v>144</v>
      </c>
      <c r="BN483" s="757">
        <v>2</v>
      </c>
      <c r="BO483" s="749"/>
      <c r="BP483" s="752"/>
      <c r="BQ483" s="751">
        <f>IFERROR(WWWW[[#This Row],['#_Water sources treated]]/WWWW[[#This Row],['#_Water sources tested for contamination]],"no test")</f>
        <v>0</v>
      </c>
      <c r="BR483" s="749">
        <f>IFERROR(WWWW[[#This Row],['#_Household received remediation action due to contamination]]/WWWW[[#This Row],['#_Household water samples tested for contamination]],"no test")</f>
        <v>1</v>
      </c>
      <c r="BS483" s="750" t="str">
        <f>IF(AND(WWWW[[#This Row],[% of water sources treated]]="no test",WWWW[[#This Row],[% Household received corrective actions]]="no test"),"No Test","Tested")</f>
        <v>Tested</v>
      </c>
      <c r="BT483" s="750">
        <f>WWWW[[#This Row],['#_Constructed/existing protected hand dug well]]-WWWW[[#This Row],['#_Non-functional protected hand dug well]]</f>
        <v>0</v>
      </c>
      <c r="BU483" s="750">
        <f>(WWWW[[#This Row],['#_Constructed/Existing tube wells/boreholes/handpumps_WASH_agency]]+WWWW[[#This Row],['#_Non-Cluster partner water tube-wells/boreholes/handpumps]])-WWWW[[#This Row],['#_Non-functional tube wells/boreholes/handpumps]]</f>
        <v>3</v>
      </c>
      <c r="BV483" s="750">
        <f>WWWW[[#This Row],['#_Constructed/Existingwater storage tank with gravity fed reticulation system]]-WWWW[[#This Row],['#_Non-functional storage tank gravity fed reticulation system]]</f>
        <v>0</v>
      </c>
      <c r="BW483" s="750">
        <f>WWWW[[#This Row],['#_Water boating or water trucking]]</f>
        <v>0</v>
      </c>
      <c r="BX483" s="750">
        <f>WWWW[[#This Row],['#_Constructed/Existing water distribution system from river or natural spring]]</f>
        <v>0</v>
      </c>
      <c r="BY483"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3"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3" s="749">
        <f>IF(WWWW[[#This Row],[Location Type 1]]="Village",WWWW[[#This Row],[Access to safe drinking water for Village]],WWWW[[#This Row],[Access to safe drinking water for Camp]])</f>
        <v>1</v>
      </c>
      <c r="CB483" s="759">
        <f>WWWW[[#This Row],[%Equitable and continuous access to sufficient quantity of safe drinking water]]*WWWW[[#This Row],[Total PoP ]]</f>
        <v>184</v>
      </c>
      <c r="CC483" s="749">
        <f>IF((WWWW[[#This Row],['#_Constructed/Existing protected/fenced ponds]]*250)/WWWW[[#This Row],[Total PoP ]]&gt;1,1,(WWWW[[#This Row],['#_Constructed/Existing protected/fenced ponds]]*250)/WWWW[[#This Row],[Total PoP ]])</f>
        <v>1</v>
      </c>
      <c r="CD483" s="759">
        <f>WWWW[[#This Row],[% Access to unimproved water points]]*WWWW[[#This Row],[Total PoP ]]</f>
        <v>184</v>
      </c>
      <c r="CE483"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3"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CG483" s="736">
        <f>WWWW[[#This Row],[HRP1]]/500</f>
        <v>0.36799999999999999</v>
      </c>
      <c r="CH483" s="748">
        <f>1-WWWW[[#This Row],[% Equitable and continuous access to sufficient quantity of domestic water]]</f>
        <v>0</v>
      </c>
      <c r="CI483" s="759">
        <f>WWWW[[#This Row],[%equitable and continuous access to sufficient quantity of safe drinking and domestic water''s GAP]]*WWWW[[#This Row],[Total PoP ]]</f>
        <v>0</v>
      </c>
      <c r="CJ483" s="750">
        <f>IF(WWWW[[#This Row],[Total required water points]]-WWWW[[#This Row],['#Water points coverage]]&lt;0,0,WWWW[[#This Row],[Total required water points]]-WWWW[[#This Row],['#Water points coverage]])</f>
        <v>0.63200000000000001</v>
      </c>
      <c r="CK483" s="750">
        <f>ROUND(IF(WWWW[[#This Row],[Total PoP ]]&lt;500,1,WWWW[[#This Row],[Total PoP ]]/500),0)</f>
        <v>1</v>
      </c>
      <c r="CL483" s="750">
        <f>(WWWW[[#This Row],['#_Constructed latrines_by_WASHAgencies]]+WWWW[[#This Row],['#_Non Cluster partner latrines]])-WWWW[[#This Row],['#_Non-functional latrines]]</f>
        <v>24</v>
      </c>
      <c r="CM48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0.78260869565217395</v>
      </c>
      <c r="CN483"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144</v>
      </c>
      <c r="CO483"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3" s="750" t="str">
        <f>IF(WWWW[[#This Row],[Location Type 1]]="Village","NA",IF(WWWW[[#This Row],['#_Constructed/Existing latrines in TLS]]*50&gt;WWWW[[#This Row],['#_students at TLS_CFS]],WWWW[[#This Row],['#_students at TLS_CFS]],(WWWW[[#This Row],['#_Constructed/Existing latrines in TLS]]*50)))</f>
        <v>NA</v>
      </c>
      <c r="CQ483" s="750">
        <f>ROUND(IF(WWWW[[#This Row],[Location Type 1]]="camp",WWWW[[#This Row],[Total PoP ]]/20,IF(WWWW[[#This Row],[Location Type 1]]="Temporary Location",WWWW[[#This Row],[Total PoP ]]/50,(WWWW[[#This Row],[Total PoP ]]/6))),0)</f>
        <v>31</v>
      </c>
      <c r="CR483" s="750">
        <f>IF(WWWW[[#This Row],[Total required Latrines]]-(WWWW[[#This Row],['#_Constructed latrines_by_WASHAgencies]]+WWWW[[#This Row],['#_Non Cluster partner latrines]])&lt;0,0,WWWW[[#This Row],[Total required Latrines]]-(WWWW[[#This Row],['#_Constructed latrines_by_WASHAgencies]]+WWWW[[#This Row],['#_Non Cluster partner latrines]]))</f>
        <v>7</v>
      </c>
      <c r="CS483" s="756">
        <f>1-WWWW[[#This Row],[% people access to functioning Latrine]]</f>
        <v>0.21739130434782605</v>
      </c>
      <c r="CT483" s="751">
        <f>IF(OR(WWWW[[#This Row],['#_Non-functional latrines]]="",WWWW[[#This Row],['#_Non-functional latrines]]=0),0,WWWW[[#This Row],['#_Non-functional latrines]]/(WWWW[[#This Row],['#_Constructed latrines_by_WASHAgencies]]+WWWW[[#This Row],['#_Non Cluster partner latrines]]))</f>
        <v>0</v>
      </c>
      <c r="CU483" s="759">
        <f>IF(500*(WWWW[[#This Row],['#_male hygiene promoters]]+WWWW[[#This Row],['#_female hygiene promoters]])&gt;WWWW[[#This Row],[Total PoP ]],WWWW[[#This Row],[Total PoP ]],500*(WWWW[[#This Row],['#_male hygiene promoters]]+WWWW[[#This Row],['#_female hygiene promoters]]))</f>
        <v>184</v>
      </c>
      <c r="CV483"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184</v>
      </c>
      <c r="CW483"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184</v>
      </c>
      <c r="CX483" s="750">
        <f>IF(WWWW[[#This Row],['# People with access to soap]]&gt;WWWW[[#This Row],['# People with access to Sanity Pads]],WWWW[[#This Row],['# People with access to soap]],WWWW[[#This Row],['# People with access to Sanity Pads]])</f>
        <v>184</v>
      </c>
      <c r="CY483" s="750">
        <f>IF(WWWW[[#This Row],['# people reached by regular dedicated hygiene promotion_5]]&gt;WWWW[[#This Row],['# People received regular supply of hygiene items_6]],WWWW[[#This Row],['# people reached by regular dedicated hygiene promotion_5]],WWWW[[#This Row],['# People received regular supply of hygiene items_6]])</f>
        <v>184</v>
      </c>
      <c r="CZ483" s="748">
        <f>IF(WWWW[[#This Row],[HRP3]]/WWWW[[#This Row],[Total PoP ]]&gt;100%,100%,WWWW[[#This Row],[HRP3]]/WWWW[[#This Row],[Total PoP ]])</f>
        <v>1</v>
      </c>
      <c r="DA483" s="751">
        <f>1-WWWW[[#This Row],[Hygiene Coverage%]]</f>
        <v>0</v>
      </c>
      <c r="DB483" s="737">
        <f>WWWW[[#This Row],['# people reached by regular dedicated hygiene promotion_5]]/WWWW[[#This Row],[Total PoP ]]</f>
        <v>1</v>
      </c>
      <c r="DC483" s="737">
        <f>IF(WWWW[[#This Row],['#_households that received standard amount of soap for this quarter]]/WWWW[[#This Row],[Total HH]]&gt;1,1,WWWW[[#This Row],['#_households that received standard amount of soap for this quarter]]/WWWW[[#This Row],[Total HH]])</f>
        <v>1</v>
      </c>
      <c r="DD483" s="737">
        <f>IF(WWWW[[#This Row],['#_households that received standard amount of sanitary pads for this quarter]]/WWWW[[#This Row],[Total HH]]&gt;1,1,WWWW[[#This Row],['#_households that received standard amount of sanitary pads for this quarter]]/WWWW[[#This Row],[Total HH]])</f>
        <v>1</v>
      </c>
      <c r="DE483" s="595">
        <f>WWWW[[#This Row],['#_Constructed/Existing hand washing stations]]-WWWW[[#This Row],['#_Non-Functional_hand_washing_stations]]</f>
        <v>0</v>
      </c>
      <c r="DF483" s="757">
        <f>IF(WWWW[[#This Row],['# Functional hand washing stations during reporting period]]*20&gt;WWWW[[#This Row],[Total HH]],WWWW[[#This Row],[Total HH]],WWWW[[#This Row],['# Functional hand washing stations during reporting period]]*20)</f>
        <v>0</v>
      </c>
      <c r="DG483" s="736">
        <f>IF(WWWW[[#This Row],[Is sufficient soap available for TLS? (Yes/No)]]="yes",WWWW[[#This Row],['#_Constructed/Existing hand washing stations at TLS]],0)</f>
        <v>0</v>
      </c>
      <c r="DH483" s="736">
        <f>IF(WWWW[[#This Row],['# Functional hand washing stations during reporting period]]*100&gt;WWWW[[#This Row],[Total PoP ]],WWWW[[#This Row],[Total PoP ]],WWWW[[#This Row],['# Functional hand washing stations during reporting period]]*100)</f>
        <v>0</v>
      </c>
      <c r="DI483" s="736" t="str">
        <f>IF(OR(WWWW[[#This Row],['#_students at TLS_CFS]]="",WWWW[[#This Row],['#_students at TLS_CFS]]=0),"No","Yes")</f>
        <v>No</v>
      </c>
      <c r="DJ483" s="752">
        <f>VLOOKUP(WWWW[[#This Row],[Site Name]],SiteDB6[[Site Name]:[CCCM Management]],6,FALSE)</f>
        <v>0</v>
      </c>
      <c r="DK483" s="752">
        <f>VLOOKUP(WWWW[[#This Row],[Site Name]],SiteDB6[[Site Name]:[CCCM Focal Agency]],7,FALSE)</f>
        <v>0</v>
      </c>
      <c r="DL483" s="752" t="str">
        <f>VLOOKUP(WWWW[[#This Row],[Site Name]],SiteDB6[[Site Name]:[Location Type 1]],9,FALSE)</f>
        <v>Village</v>
      </c>
      <c r="DM483" s="752" t="str">
        <f>VLOOKUP(WWWW[[#This Row],[Site Name]],SiteDB6[[Site Name]:[Type of Accommodation]],10,FALSE)</f>
        <v>Village</v>
      </c>
      <c r="DN483" s="752">
        <f>VLOOKUP(WWWW[[#This Row],[Site Name]],SiteDB6[[Site Name]:[Ethnic or GCA/NGCA]],11,FALSE)</f>
        <v>0</v>
      </c>
      <c r="DO483" s="752">
        <f>VLOOKUP(WWWW[[#This Row],[Site Name]],SiteDB6[[Site Name]:[Lat]],12,FALSE)</f>
        <v>20.813840866088899</v>
      </c>
      <c r="DP483" s="752">
        <f>VLOOKUP(WWWW[[#This Row],[Site Name]],SiteDB6[[Site Name]:[Long]],13,FALSE)</f>
        <v>92.599952697753906</v>
      </c>
      <c r="DQ483" s="752">
        <f>VLOOKUP(WWWW[[#This Row],[Site Name]],SiteDB6[[Site Name]:[Pcode]],3,FALSE)</f>
        <v>198357</v>
      </c>
      <c r="DR483" s="782" t="str">
        <f t="shared" ref="DR483:DR484" si="16">IF(C483="none","Notcovered","Covered")</f>
        <v>Covered</v>
      </c>
      <c r="DS483" s="782"/>
      <c r="DT483" s="745"/>
      <c r="DU483" s="745"/>
      <c r="DV483" s="770"/>
      <c r="DW483" s="745"/>
      <c r="DX483" s="746"/>
      <c r="DY483" s="746"/>
      <c r="DZ483" s="747"/>
      <c r="EA483" s="747"/>
      <c r="EB483" s="747"/>
      <c r="EC483" s="747"/>
      <c r="ED483" s="747"/>
      <c r="EE483" s="747"/>
      <c r="EF483" s="747"/>
      <c r="EG483" s="747"/>
      <c r="EH483" s="747"/>
    </row>
    <row r="484" spans="1:138" s="743" customFormat="1">
      <c r="A484" s="552" t="s">
        <v>2518</v>
      </c>
      <c r="B484" s="744" t="s">
        <v>3241</v>
      </c>
      <c r="C484" s="744" t="s">
        <v>387</v>
      </c>
      <c r="D484" s="744" t="s">
        <v>252</v>
      </c>
      <c r="E484" s="744" t="s">
        <v>3005</v>
      </c>
      <c r="F484" s="744" t="s">
        <v>337</v>
      </c>
      <c r="G484" s="791" t="str">
        <f>VLOOKUP(WWWW[[#This Row],[Site Name]],SiteDB6[[Site Name]:[Location Type]],8,FALSE)</f>
        <v>New Temporary Site</v>
      </c>
      <c r="H484" s="809" t="s">
        <v>635</v>
      </c>
      <c r="I484" s="810">
        <v>41</v>
      </c>
      <c r="J484" s="757">
        <v>172</v>
      </c>
      <c r="K484" s="755">
        <v>43251</v>
      </c>
      <c r="L484" s="755">
        <v>43677</v>
      </c>
      <c r="M484" s="807"/>
      <c r="N484" s="807"/>
      <c r="O484" s="807"/>
      <c r="P484" s="807"/>
      <c r="Q484" s="759"/>
      <c r="R484" s="807"/>
      <c r="S484" s="807"/>
      <c r="T484" s="806">
        <v>0</v>
      </c>
      <c r="U484" s="806">
        <v>0</v>
      </c>
      <c r="V484" s="806">
        <v>0</v>
      </c>
      <c r="W484" s="806">
        <v>2</v>
      </c>
      <c r="X484" s="806">
        <v>0</v>
      </c>
      <c r="Y484" s="806">
        <v>0</v>
      </c>
      <c r="Z484" s="806">
        <v>0</v>
      </c>
      <c r="AA484" s="806">
        <v>0</v>
      </c>
      <c r="AB484" s="806">
        <v>1</v>
      </c>
      <c r="AC484" s="806">
        <v>0</v>
      </c>
      <c r="AD484" s="807"/>
      <c r="AE484" s="806">
        <v>2</v>
      </c>
      <c r="AF484" s="807"/>
      <c r="AG484" s="807"/>
      <c r="AH484" s="806">
        <v>0</v>
      </c>
      <c r="AI484" s="806">
        <v>1</v>
      </c>
      <c r="AJ484" s="806">
        <v>0</v>
      </c>
      <c r="AK484" s="806">
        <v>1</v>
      </c>
      <c r="AL484" s="806">
        <v>1</v>
      </c>
      <c r="AM484" s="806">
        <v>1</v>
      </c>
      <c r="AN484" s="806">
        <v>1</v>
      </c>
      <c r="AO484" s="782"/>
      <c r="AP484" s="757">
        <v>0</v>
      </c>
      <c r="AQ484" s="744">
        <v>0</v>
      </c>
      <c r="AR484" s="749"/>
      <c r="AS484" s="807"/>
      <c r="AT484" s="807"/>
      <c r="AU484" s="807"/>
      <c r="AV484" s="807"/>
      <c r="AW484" s="758">
        <v>0</v>
      </c>
      <c r="AX484" s="758" t="s">
        <v>144</v>
      </c>
      <c r="AY484" s="758" t="s">
        <v>144</v>
      </c>
      <c r="AZ484" s="758">
        <v>0</v>
      </c>
      <c r="BA484" s="807"/>
      <c r="BB484" s="757">
        <v>6</v>
      </c>
      <c r="BC484" s="752"/>
      <c r="BD484" s="807"/>
      <c r="BE484" s="807"/>
      <c r="BF484" s="807"/>
      <c r="BG484" s="807"/>
      <c r="BH484" s="807"/>
      <c r="BI484" s="757">
        <v>1</v>
      </c>
      <c r="BJ484" s="757">
        <v>1</v>
      </c>
      <c r="BK484" s="757">
        <v>41</v>
      </c>
      <c r="BL484" s="757">
        <v>0</v>
      </c>
      <c r="BM484" s="757" t="s">
        <v>144</v>
      </c>
      <c r="BN484" s="757">
        <v>2</v>
      </c>
      <c r="BO484" s="749"/>
      <c r="BP484" s="752"/>
      <c r="BQ484" s="751">
        <f>IFERROR(WWWW[[#This Row],['#_Water sources treated]]/WWWW[[#This Row],['#_Water sources tested for contamination]],"no test")</f>
        <v>0</v>
      </c>
      <c r="BR484" s="749">
        <f>IFERROR(WWWW[[#This Row],['#_Household received remediation action due to contamination]]/WWWW[[#This Row],['#_Household water samples tested for contamination]],"no test")</f>
        <v>1</v>
      </c>
      <c r="BS484" s="750" t="str">
        <f>IF(AND(WWWW[[#This Row],[% of water sources treated]]="no test",WWWW[[#This Row],[% Household received corrective actions]]="no test"),"No Test","Tested")</f>
        <v>Tested</v>
      </c>
      <c r="BT484" s="750">
        <f>WWWW[[#This Row],['#_Constructed/existing protected hand dug well]]-WWWW[[#This Row],['#_Non-functional protected hand dug well]]</f>
        <v>0</v>
      </c>
      <c r="BU484" s="750">
        <f>(WWWW[[#This Row],['#_Constructed/Existing tube wells/boreholes/handpumps_WASH_agency]]+WWWW[[#This Row],['#_Non-Cluster partner water tube-wells/boreholes/handpumps]])-WWWW[[#This Row],['#_Non-functional tube wells/boreholes/handpumps]]</f>
        <v>2</v>
      </c>
      <c r="BV484" s="750">
        <f>WWWW[[#This Row],['#_Constructed/Existingwater storage tank with gravity fed reticulation system]]-WWWW[[#This Row],['#_Non-functional storage tank gravity fed reticulation system]]</f>
        <v>-1</v>
      </c>
      <c r="BW484" s="750">
        <f>WWWW[[#This Row],['#_Water boating or water trucking]]</f>
        <v>0</v>
      </c>
      <c r="BX484" s="750">
        <f>WWWW[[#This Row],['#_Constructed/Existing water distribution system from river or natural spring]]</f>
        <v>0</v>
      </c>
      <c r="BY484"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4"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4" s="749">
        <f>IF(WWWW[[#This Row],[Location Type 1]]="Village",WWWW[[#This Row],[Access to safe drinking water for Village]],WWWW[[#This Row],[Access to safe drinking water for Camp]])</f>
        <v>1</v>
      </c>
      <c r="CB484" s="759">
        <f>WWWW[[#This Row],[%Equitable and continuous access to sufficient quantity of safe drinking water]]*WWWW[[#This Row],[Total PoP ]]</f>
        <v>172</v>
      </c>
      <c r="CC484" s="749">
        <f>IF((WWWW[[#This Row],['#_Constructed/Existing protected/fenced ponds]]*250)/WWWW[[#This Row],[Total PoP ]]&gt;1,1,(WWWW[[#This Row],['#_Constructed/Existing protected/fenced ponds]]*250)/WWWW[[#This Row],[Total PoP ]])</f>
        <v>1</v>
      </c>
      <c r="CD484" s="759">
        <f>WWWW[[#This Row],[% Access to unimproved water points]]*WWWW[[#This Row],[Total PoP ]]</f>
        <v>172</v>
      </c>
      <c r="CE484"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4"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G484" s="736">
        <f>WWWW[[#This Row],[HRP1]]/500</f>
        <v>0.34399999999999997</v>
      </c>
      <c r="CH484" s="748">
        <f>1-WWWW[[#This Row],[% Equitable and continuous access to sufficient quantity of domestic water]]</f>
        <v>0</v>
      </c>
      <c r="CI484" s="759">
        <f>WWWW[[#This Row],[%equitable and continuous access to sufficient quantity of safe drinking and domestic water''s GAP]]*WWWW[[#This Row],[Total PoP ]]</f>
        <v>0</v>
      </c>
      <c r="CJ484" s="750">
        <f>IF(WWWW[[#This Row],[Total required water points]]-WWWW[[#This Row],['#Water points coverage]]&lt;0,0,WWWW[[#This Row],[Total required water points]]-WWWW[[#This Row],['#Water points coverage]])</f>
        <v>0.65600000000000003</v>
      </c>
      <c r="CK484" s="750">
        <f>ROUND(IF(WWWW[[#This Row],[Total PoP ]]&lt;500,1,WWWW[[#This Row],[Total PoP ]]/500),0)</f>
        <v>1</v>
      </c>
      <c r="CL484" s="750">
        <f>(WWWW[[#This Row],['#_Constructed latrines_by_WASHAgencies]]+WWWW[[#This Row],['#_Non Cluster partner latrines]])-WWWW[[#This Row],['#_Non-functional latrines]]</f>
        <v>0</v>
      </c>
      <c r="CM48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4"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4" s="7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484" s="750">
        <f>IF(WWWW[[#This Row],[Location Type 1]]="Village","NA",IF(WWWW[[#This Row],['#_Constructed/Existing latrines in TLS]]*50&gt;WWWW[[#This Row],['#_students at TLS_CFS]],WWWW[[#This Row],['#_students at TLS_CFS]],(WWWW[[#This Row],['#_Constructed/Existing latrines in TLS]]*50)))</f>
        <v>0</v>
      </c>
      <c r="CQ484" s="750">
        <f>ROUND(IF(WWWW[[#This Row],[Location Type 1]]="camp",WWWW[[#This Row],[Total PoP ]]/20,IF(WWWW[[#This Row],[Location Type 1]]="Temporary Location",WWWW[[#This Row],[Total PoP ]]/50,(WWWW[[#This Row],[Total PoP ]]/6))),0)</f>
        <v>3</v>
      </c>
      <c r="CR484" s="750">
        <f>IF(WWWW[[#This Row],[Total required Latrines]]-(WWWW[[#This Row],['#_Constructed latrines_by_WASHAgencies]]+WWWW[[#This Row],['#_Non Cluster partner latrines]])&lt;0,0,WWWW[[#This Row],[Total required Latrines]]-(WWWW[[#This Row],['#_Constructed latrines_by_WASHAgencies]]+WWWW[[#This Row],['#_Non Cluster partner latrines]]))</f>
        <v>3</v>
      </c>
      <c r="CS484" s="756">
        <f>1-WWWW[[#This Row],[% people access to functioning Latrine]]</f>
        <v>1</v>
      </c>
      <c r="CT484" s="751">
        <f>IF(OR(WWWW[[#This Row],['#_Non-functional latrines]]="",WWWW[[#This Row],['#_Non-functional latrines]]=0),0,WWWW[[#This Row],['#_Non-functional latrines]]/(WWWW[[#This Row],['#_Constructed latrines_by_WASHAgencies]]+WWWW[[#This Row],['#_Non Cluster partner latrines]]))</f>
        <v>0</v>
      </c>
      <c r="CU484" s="759">
        <f>IF(500*(WWWW[[#This Row],['#_male hygiene promoters]]+WWWW[[#This Row],['#_female hygiene promoters]])&gt;WWWW[[#This Row],[Total PoP ]],WWWW[[#This Row],[Total PoP ]],500*(WWWW[[#This Row],['#_male hygiene promoters]]+WWWW[[#This Row],['#_female hygiene promoters]]))</f>
        <v>172</v>
      </c>
      <c r="CV484"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172</v>
      </c>
      <c r="CW484"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4" s="750">
        <f>IF(WWWW[[#This Row],['# People with access to soap]]&gt;WWWW[[#This Row],['# People with access to Sanity Pads]],WWWW[[#This Row],['# People with access to soap]],WWWW[[#This Row],['# People with access to Sanity Pads]])</f>
        <v>172</v>
      </c>
      <c r="CY484" s="750">
        <f>IF(WWWW[[#This Row],['# people reached by regular dedicated hygiene promotion_5]]&gt;WWWW[[#This Row],['# People received regular supply of hygiene items_6]],WWWW[[#This Row],['# people reached by regular dedicated hygiene promotion_5]],WWWW[[#This Row],['# People received regular supply of hygiene items_6]])</f>
        <v>172</v>
      </c>
      <c r="CZ484" s="748">
        <f>IF(WWWW[[#This Row],[HRP3]]/WWWW[[#This Row],[Total PoP ]]&gt;100%,100%,WWWW[[#This Row],[HRP3]]/WWWW[[#This Row],[Total PoP ]])</f>
        <v>1</v>
      </c>
      <c r="DA484" s="751">
        <f>1-WWWW[[#This Row],[Hygiene Coverage%]]</f>
        <v>0</v>
      </c>
      <c r="DB484" s="737">
        <f>WWWW[[#This Row],['# people reached by regular dedicated hygiene promotion_5]]/WWWW[[#This Row],[Total PoP ]]</f>
        <v>1</v>
      </c>
      <c r="DC484" s="737">
        <f>IF(WWWW[[#This Row],['#_households that received standard amount of soap for this quarter]]/WWWW[[#This Row],[Total HH]]&gt;1,1,WWWW[[#This Row],['#_households that received standard amount of soap for this quarter]]/WWWW[[#This Row],[Total HH]])</f>
        <v>1</v>
      </c>
      <c r="DD484" s="737">
        <f>IF(WWWW[[#This Row],['#_households that received standard amount of sanitary pads for this quarter]]/WWWW[[#This Row],[Total HH]]&gt;1,1,WWWW[[#This Row],['#_households that received standard amount of sanitary pads for this quarter]]/WWWW[[#This Row],[Total HH]])</f>
        <v>0</v>
      </c>
      <c r="DE484" s="595">
        <f>WWWW[[#This Row],['#_Constructed/Existing hand washing stations]]-WWWW[[#This Row],['#_Non-Functional_hand_washing_stations]]</f>
        <v>0</v>
      </c>
      <c r="DF484" s="757">
        <f>IF(WWWW[[#This Row],['# Functional hand washing stations during reporting period]]*20&gt;WWWW[[#This Row],[Total HH]],WWWW[[#This Row],[Total HH]],WWWW[[#This Row],['# Functional hand washing stations during reporting period]]*20)</f>
        <v>0</v>
      </c>
      <c r="DG484" s="736">
        <f>IF(WWWW[[#This Row],[Is sufficient soap available for TLS? (Yes/No)]]="yes",WWWW[[#This Row],['#_Constructed/Existing hand washing stations at TLS]],0)</f>
        <v>0</v>
      </c>
      <c r="DH484" s="736">
        <f>IF(WWWW[[#This Row],['# Functional hand washing stations during reporting period]]*100&gt;WWWW[[#This Row],[Total PoP ]],WWWW[[#This Row],[Total PoP ]],WWWW[[#This Row],['# Functional hand washing stations during reporting period]]*100)</f>
        <v>0</v>
      </c>
      <c r="DI484" s="736" t="str">
        <f>IF(OR(WWWW[[#This Row],['#_students at TLS_CFS]]="",WWWW[[#This Row],['#_students at TLS_CFS]]=0),"No","Yes")</f>
        <v>No</v>
      </c>
      <c r="DJ484" s="752">
        <f>VLOOKUP(WWWW[[#This Row],[Site Name]],SiteDB6[[Site Name]:[CCCM Management]],6,FALSE)</f>
        <v>0</v>
      </c>
      <c r="DK484" s="752">
        <f>VLOOKUP(WWWW[[#This Row],[Site Name]],SiteDB6[[Site Name]:[CCCM Focal Agency]],7,FALSE)</f>
        <v>0</v>
      </c>
      <c r="DL484" s="752" t="str">
        <f>VLOOKUP(WWWW[[#This Row],[Site Name]],SiteDB6[[Site Name]:[Location Type 1]],9,FALSE)</f>
        <v>Temporary location</v>
      </c>
      <c r="DM484" s="752" t="str">
        <f>VLOOKUP(WWWW[[#This Row],[Site Name]],SiteDB6[[Site Name]:[Type of Accommodation]],10,FALSE)</f>
        <v>Temporary location</v>
      </c>
      <c r="DN484" s="752" t="str">
        <f>VLOOKUP(WWWW[[#This Row],[Site Name]],SiteDB6[[Site Name]:[Ethnic or GCA/NGCA]],11,FALSE)</f>
        <v>Rakhine</v>
      </c>
      <c r="DO484" s="752">
        <f>VLOOKUP(WWWW[[#This Row],[Site Name]],SiteDB6[[Site Name]:[Lat]],12,FALSE)</f>
        <v>20.818290709999999</v>
      </c>
      <c r="DP484" s="752">
        <f>VLOOKUP(WWWW[[#This Row],[Site Name]],SiteDB6[[Site Name]:[Long]],13,FALSE)</f>
        <v>92.594978330000004</v>
      </c>
      <c r="DQ484" s="752">
        <f>VLOOKUP(WWWW[[#This Row],[Site Name]],SiteDB6[[Site Name]:[Pcode]],3,FALSE)</f>
        <v>217876</v>
      </c>
      <c r="DR484" s="782" t="str">
        <f t="shared" si="16"/>
        <v>Covered</v>
      </c>
      <c r="DS484" s="782"/>
      <c r="DT484" s="745"/>
      <c r="DU484" s="745"/>
      <c r="DV484" s="770"/>
      <c r="DW484" s="745"/>
      <c r="DX484" s="746"/>
      <c r="DY484" s="746"/>
      <c r="DZ484" s="747"/>
      <c r="EA484" s="747"/>
      <c r="EB484" s="747"/>
      <c r="EC484" s="747"/>
      <c r="ED484" s="747"/>
      <c r="EE484" s="747"/>
      <c r="EF484" s="747"/>
      <c r="EG484" s="747"/>
      <c r="EH484" s="747"/>
    </row>
    <row r="485" spans="1:138" s="743" customFormat="1">
      <c r="A485" s="552" t="s">
        <v>2518</v>
      </c>
      <c r="B485" s="744" t="s">
        <v>3241</v>
      </c>
      <c r="C485" s="744" t="s">
        <v>387</v>
      </c>
      <c r="D485" s="744" t="s">
        <v>252</v>
      </c>
      <c r="E485" s="744" t="s">
        <v>3005</v>
      </c>
      <c r="F485" s="744" t="s">
        <v>337</v>
      </c>
      <c r="G485" s="791" t="str">
        <f>VLOOKUP(WWWW[[#This Row],[Site Name]],SiteDB6[[Site Name]:[Location Type]],8,FALSE)</f>
        <v>Village</v>
      </c>
      <c r="H485" s="809" t="s">
        <v>631</v>
      </c>
      <c r="I485" s="810">
        <v>105</v>
      </c>
      <c r="J485" s="757">
        <v>523</v>
      </c>
      <c r="K485" s="755">
        <v>43251</v>
      </c>
      <c r="L485" s="755">
        <v>43677</v>
      </c>
      <c r="M485" s="807"/>
      <c r="N485" s="807"/>
      <c r="O485" s="807"/>
      <c r="P485" s="807"/>
      <c r="Q485" s="759"/>
      <c r="R485" s="807"/>
      <c r="S485" s="807"/>
      <c r="T485" s="806">
        <v>0</v>
      </c>
      <c r="U485" s="806">
        <v>0</v>
      </c>
      <c r="V485" s="806">
        <v>0</v>
      </c>
      <c r="W485" s="806">
        <v>2</v>
      </c>
      <c r="X485" s="806">
        <v>1</v>
      </c>
      <c r="Y485" s="806">
        <v>0</v>
      </c>
      <c r="Z485" s="806">
        <v>0</v>
      </c>
      <c r="AA485" s="806">
        <v>0</v>
      </c>
      <c r="AB485" s="806">
        <v>0</v>
      </c>
      <c r="AC485" s="806">
        <v>0</v>
      </c>
      <c r="AD485" s="807"/>
      <c r="AE485" s="806">
        <v>1</v>
      </c>
      <c r="AF485" s="807"/>
      <c r="AG485" s="807"/>
      <c r="AH485" s="806">
        <v>0</v>
      </c>
      <c r="AI485" s="806">
        <v>1</v>
      </c>
      <c r="AJ485" s="806">
        <v>0</v>
      </c>
      <c r="AK485" s="806">
        <v>1</v>
      </c>
      <c r="AL485" s="806">
        <v>1</v>
      </c>
      <c r="AM485" s="806">
        <v>0</v>
      </c>
      <c r="AN485" s="806">
        <v>0</v>
      </c>
      <c r="AO485" s="782"/>
      <c r="AP485" s="757">
        <v>0</v>
      </c>
      <c r="AQ485" s="744">
        <v>0</v>
      </c>
      <c r="AR485" s="749"/>
      <c r="AS485" s="807"/>
      <c r="AT485" s="807"/>
      <c r="AU485" s="807"/>
      <c r="AV485" s="807"/>
      <c r="AW485" s="758">
        <v>0</v>
      </c>
      <c r="AX485" s="758" t="s">
        <v>144</v>
      </c>
      <c r="AY485" s="758" t="s">
        <v>148</v>
      </c>
      <c r="AZ485" s="758">
        <v>0</v>
      </c>
      <c r="BA485" s="807"/>
      <c r="BB485" s="757">
        <v>0</v>
      </c>
      <c r="BC485" s="752"/>
      <c r="BD485" s="807"/>
      <c r="BE485" s="807"/>
      <c r="BF485" s="807"/>
      <c r="BG485" s="807"/>
      <c r="BH485" s="807"/>
      <c r="BI485" s="757">
        <v>1</v>
      </c>
      <c r="BJ485" s="757">
        <v>0</v>
      </c>
      <c r="BK485" s="757">
        <v>105</v>
      </c>
      <c r="BL485" s="757">
        <v>0</v>
      </c>
      <c r="BM485" s="757" t="s">
        <v>144</v>
      </c>
      <c r="BN485" s="757">
        <v>1</v>
      </c>
      <c r="BO485" s="749"/>
      <c r="BP485" s="752"/>
      <c r="BQ485" s="751">
        <f>IFERROR(WWWW[[#This Row],['#_Water sources treated]]/WWWW[[#This Row],['#_Water sources tested for contamination]],"no test")</f>
        <v>0</v>
      </c>
      <c r="BR485" s="749">
        <f>IFERROR(WWWW[[#This Row],['#_Household received remediation action due to contamination]]/WWWW[[#This Row],['#_Household water samples tested for contamination]],"no test")</f>
        <v>1</v>
      </c>
      <c r="BS485" s="750" t="str">
        <f>IF(AND(WWWW[[#This Row],[% of water sources treated]]="no test",WWWW[[#This Row],[% Household received corrective actions]]="no test"),"No Test","Tested")</f>
        <v>Tested</v>
      </c>
      <c r="BT485" s="750">
        <f>WWWW[[#This Row],['#_Constructed/existing protected hand dug well]]-WWWW[[#This Row],['#_Non-functional protected hand dug well]]</f>
        <v>0</v>
      </c>
      <c r="BU485" s="750">
        <f>(WWWW[[#This Row],['#_Constructed/Existing tube wells/boreholes/handpumps_WASH_agency]]+WWWW[[#This Row],['#_Non-Cluster partner water tube-wells/boreholes/handpumps]])-WWWW[[#This Row],['#_Non-functional tube wells/boreholes/handpumps]]</f>
        <v>3</v>
      </c>
      <c r="BV485" s="750">
        <f>WWWW[[#This Row],['#_Constructed/Existingwater storage tank with gravity fed reticulation system]]-WWWW[[#This Row],['#_Non-functional storage tank gravity fed reticulation system]]</f>
        <v>0</v>
      </c>
      <c r="BW485" s="750">
        <f>WWWW[[#This Row],['#_Water boating or water trucking]]</f>
        <v>0</v>
      </c>
      <c r="BX485" s="750">
        <f>WWWW[[#This Row],['#_Constructed/Existing water distribution system from river or natural spring]]</f>
        <v>0</v>
      </c>
      <c r="BY485"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5"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5" s="749">
        <f>IF(WWWW[[#This Row],[Location Type 1]]="Village",WWWW[[#This Row],[Access to safe drinking water for Village]],WWWW[[#This Row],[Access to safe drinking water for Camp]])</f>
        <v>1</v>
      </c>
      <c r="CB485" s="759">
        <f>WWWW[[#This Row],[%Equitable and continuous access to sufficient quantity of safe drinking water]]*WWWW[[#This Row],[Total PoP ]]</f>
        <v>523</v>
      </c>
      <c r="CC485" s="749">
        <f>IF((WWWW[[#This Row],['#_Constructed/Existing protected/fenced ponds]]*250)/WWWW[[#This Row],[Total PoP ]]&gt;1,1,(WWWW[[#This Row],['#_Constructed/Existing protected/fenced ponds]]*250)/WWWW[[#This Row],[Total PoP ]])</f>
        <v>0.47801147227533458</v>
      </c>
      <c r="CD485" s="759">
        <f>WWWW[[#This Row],[% Access to unimproved water points]]*WWWW[[#This Row],[Total PoP ]]</f>
        <v>250</v>
      </c>
      <c r="CE485"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5"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523</v>
      </c>
      <c r="CG485" s="736">
        <f>WWWW[[#This Row],[HRP1]]/500</f>
        <v>1.046</v>
      </c>
      <c r="CH485" s="748">
        <f>1-WWWW[[#This Row],[% Equitable and continuous access to sufficient quantity of domestic water]]</f>
        <v>0</v>
      </c>
      <c r="CI485" s="759">
        <f>WWWW[[#This Row],[%equitable and continuous access to sufficient quantity of safe drinking and domestic water''s GAP]]*WWWW[[#This Row],[Total PoP ]]</f>
        <v>0</v>
      </c>
      <c r="CJ485" s="750">
        <f>IF(WWWW[[#This Row],[Total required water points]]-WWWW[[#This Row],['#Water points coverage]]&lt;0,0,WWWW[[#This Row],[Total required water points]]-WWWW[[#This Row],['#Water points coverage]])</f>
        <v>0</v>
      </c>
      <c r="CK485" s="750">
        <f>ROUND(IF(WWWW[[#This Row],[Total PoP ]]&lt;500,1,WWWW[[#This Row],[Total PoP ]]/500),0)</f>
        <v>1</v>
      </c>
      <c r="CL485" s="750">
        <f>(WWWW[[#This Row],['#_Constructed latrines_by_WASHAgencies]]+WWWW[[#This Row],['#_Non Cluster partner latrines]])-WWWW[[#This Row],['#_Non-functional latrines]]</f>
        <v>0</v>
      </c>
      <c r="CM48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85"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85"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5" s="750" t="str">
        <f>IF(WWWW[[#This Row],[Location Type 1]]="Village","NA",IF(WWWW[[#This Row],['#_Constructed/Existing latrines in TLS]]*50&gt;WWWW[[#This Row],['#_students at TLS_CFS]],WWWW[[#This Row],['#_students at TLS_CFS]],(WWWW[[#This Row],['#_Constructed/Existing latrines in TLS]]*50)))</f>
        <v>NA</v>
      </c>
      <c r="CQ485" s="750">
        <f>ROUND(IF(WWWW[[#This Row],[Location Type 1]]="camp",WWWW[[#This Row],[Total PoP ]]/20,IF(WWWW[[#This Row],[Location Type 1]]="Temporary Location",WWWW[[#This Row],[Total PoP ]]/50,(WWWW[[#This Row],[Total PoP ]]/6))),0)</f>
        <v>87</v>
      </c>
      <c r="CR485" s="750">
        <f>IF(WWWW[[#This Row],[Total required Latrines]]-(WWWW[[#This Row],['#_Constructed latrines_by_WASHAgencies]]+WWWW[[#This Row],['#_Non Cluster partner latrines]])&lt;0,0,WWWW[[#This Row],[Total required Latrines]]-(WWWW[[#This Row],['#_Constructed latrines_by_WASHAgencies]]+WWWW[[#This Row],['#_Non Cluster partner latrines]]))</f>
        <v>87</v>
      </c>
      <c r="CS485" s="756">
        <f>1-WWWW[[#This Row],[% people access to functioning Latrine]]</f>
        <v>1</v>
      </c>
      <c r="CT485" s="751">
        <f>IF(OR(WWWW[[#This Row],['#_Non-functional latrines]]="",WWWW[[#This Row],['#_Non-functional latrines]]=0),0,WWWW[[#This Row],['#_Non-functional latrines]]/(WWWW[[#This Row],['#_Constructed latrines_by_WASHAgencies]]+WWWW[[#This Row],['#_Non Cluster partner latrines]]))</f>
        <v>0</v>
      </c>
      <c r="CU485" s="759">
        <f>IF(500*(WWWW[[#This Row],['#_male hygiene promoters]]+WWWW[[#This Row],['#_female hygiene promoters]])&gt;WWWW[[#This Row],[Total PoP ]],WWWW[[#This Row],[Total PoP ]],500*(WWWW[[#This Row],['#_male hygiene promoters]]+WWWW[[#This Row],['#_female hygiene promoters]]))</f>
        <v>500</v>
      </c>
      <c r="CV485"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523</v>
      </c>
      <c r="CW485"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5" s="750">
        <f>IF(WWWW[[#This Row],['# People with access to soap]]&gt;WWWW[[#This Row],['# People with access to Sanity Pads]],WWWW[[#This Row],['# People with access to soap]],WWWW[[#This Row],['# People with access to Sanity Pads]])</f>
        <v>523</v>
      </c>
      <c r="CY485" s="750">
        <f>IF(WWWW[[#This Row],['# people reached by regular dedicated hygiene promotion_5]]&gt;WWWW[[#This Row],['# People received regular supply of hygiene items_6]],WWWW[[#This Row],['# people reached by regular dedicated hygiene promotion_5]],WWWW[[#This Row],['# People received regular supply of hygiene items_6]])</f>
        <v>523</v>
      </c>
      <c r="CZ485" s="748">
        <f>IF(WWWW[[#This Row],[HRP3]]/WWWW[[#This Row],[Total PoP ]]&gt;100%,100%,WWWW[[#This Row],[HRP3]]/WWWW[[#This Row],[Total PoP ]])</f>
        <v>1</v>
      </c>
      <c r="DA485" s="751">
        <f>1-WWWW[[#This Row],[Hygiene Coverage%]]</f>
        <v>0</v>
      </c>
      <c r="DB485" s="737">
        <f>WWWW[[#This Row],['# people reached by regular dedicated hygiene promotion_5]]/WWWW[[#This Row],[Total PoP ]]</f>
        <v>0.95602294455066916</v>
      </c>
      <c r="DC485" s="737">
        <f>IF(WWWW[[#This Row],['#_households that received standard amount of soap for this quarter]]/WWWW[[#This Row],[Total HH]]&gt;1,1,WWWW[[#This Row],['#_households that received standard amount of soap for this quarter]]/WWWW[[#This Row],[Total HH]])</f>
        <v>1</v>
      </c>
      <c r="DD485" s="737">
        <f>IF(WWWW[[#This Row],['#_households that received standard amount of sanitary pads for this quarter]]/WWWW[[#This Row],[Total HH]]&gt;1,1,WWWW[[#This Row],['#_households that received standard amount of sanitary pads for this quarter]]/WWWW[[#This Row],[Total HH]])</f>
        <v>0</v>
      </c>
      <c r="DE485" s="595">
        <f>WWWW[[#This Row],['#_Constructed/Existing hand washing stations]]-WWWW[[#This Row],['#_Non-Functional_hand_washing_stations]]</f>
        <v>0</v>
      </c>
      <c r="DF485" s="757">
        <f>IF(WWWW[[#This Row],['# Functional hand washing stations during reporting period]]*20&gt;WWWW[[#This Row],[Total HH]],WWWW[[#This Row],[Total HH]],WWWW[[#This Row],['# Functional hand washing stations during reporting period]]*20)</f>
        <v>0</v>
      </c>
      <c r="DG485" s="736">
        <f>IF(WWWW[[#This Row],[Is sufficient soap available for TLS? (Yes/No)]]="yes",WWWW[[#This Row],['#_Constructed/Existing hand washing stations at TLS]],0)</f>
        <v>0</v>
      </c>
      <c r="DH485" s="736">
        <f>IF(WWWW[[#This Row],['# Functional hand washing stations during reporting period]]*100&gt;WWWW[[#This Row],[Total PoP ]],WWWW[[#This Row],[Total PoP ]],WWWW[[#This Row],['# Functional hand washing stations during reporting period]]*100)</f>
        <v>0</v>
      </c>
      <c r="DI485" s="736" t="str">
        <f>IF(OR(WWWW[[#This Row],['#_students at TLS_CFS]]="",WWWW[[#This Row],['#_students at TLS_CFS]]=0),"No","Yes")</f>
        <v>No</v>
      </c>
      <c r="DJ485" s="752">
        <f>VLOOKUP(WWWW[[#This Row],[Site Name]],SiteDB6[[Site Name]:[CCCM Management]],6,FALSE)</f>
        <v>0</v>
      </c>
      <c r="DK485" s="752">
        <f>VLOOKUP(WWWW[[#This Row],[Site Name]],SiteDB6[[Site Name]:[CCCM Focal Agency]],7,FALSE)</f>
        <v>0</v>
      </c>
      <c r="DL485" s="752" t="str">
        <f>VLOOKUP(WWWW[[#This Row],[Site Name]],SiteDB6[[Site Name]:[Location Type 1]],9,FALSE)</f>
        <v>Village</v>
      </c>
      <c r="DM485" s="752" t="str">
        <f>VLOOKUP(WWWW[[#This Row],[Site Name]],SiteDB6[[Site Name]:[Type of Accommodation]],10,FALSE)</f>
        <v>Village</v>
      </c>
      <c r="DN485" s="752" t="str">
        <f>VLOOKUP(WWWW[[#This Row],[Site Name]],SiteDB6[[Site Name]:[Ethnic or GCA/NGCA]],11,FALSE)</f>
        <v>Muslim</v>
      </c>
      <c r="DO485" s="752">
        <f>VLOOKUP(WWWW[[#This Row],[Site Name]],SiteDB6[[Site Name]:[Lat]],12,FALSE)</f>
        <v>20.806030270000001</v>
      </c>
      <c r="DP485" s="752">
        <f>VLOOKUP(WWWW[[#This Row],[Site Name]],SiteDB6[[Site Name]:[Long]],13,FALSE)</f>
        <v>92.601951600000007</v>
      </c>
      <c r="DQ485" s="752">
        <f>VLOOKUP(WWWW[[#This Row],[Site Name]],SiteDB6[[Site Name]:[Pcode]],3,FALSE)</f>
        <v>198369</v>
      </c>
      <c r="DR485" s="782" t="str">
        <f t="shared" ref="DR485:DR504" si="17">IF(C485="none","Notcovered","Covered")</f>
        <v>Covered</v>
      </c>
      <c r="DS485" s="782"/>
      <c r="DT485" s="745"/>
      <c r="DU485" s="745"/>
      <c r="DV485" s="770"/>
      <c r="DW485" s="745"/>
      <c r="DX485" s="746"/>
      <c r="DY485" s="746"/>
      <c r="DZ485" s="747"/>
      <c r="EA485" s="747"/>
      <c r="EB485" s="747"/>
      <c r="EC485" s="747"/>
      <c r="ED485" s="747"/>
      <c r="EE485" s="747"/>
      <c r="EF485" s="747"/>
      <c r="EG485" s="747"/>
      <c r="EH485" s="747"/>
    </row>
    <row r="486" spans="1:138" s="743" customFormat="1">
      <c r="A486" s="552" t="s">
        <v>2518</v>
      </c>
      <c r="B486" s="744" t="s">
        <v>3241</v>
      </c>
      <c r="C486" s="744" t="s">
        <v>387</v>
      </c>
      <c r="D486" s="744" t="s">
        <v>252</v>
      </c>
      <c r="E486" s="744" t="s">
        <v>3005</v>
      </c>
      <c r="F486" s="744" t="s">
        <v>337</v>
      </c>
      <c r="G486" s="791" t="str">
        <f>VLOOKUP(WWWW[[#This Row],[Site Name]],SiteDB6[[Site Name]:[Location Type]],8,FALSE)</f>
        <v>Village</v>
      </c>
      <c r="H486" s="809" t="s">
        <v>3236</v>
      </c>
      <c r="I486" s="811">
        <v>311</v>
      </c>
      <c r="J486" s="757">
        <v>1713</v>
      </c>
      <c r="K486" s="755">
        <v>43251</v>
      </c>
      <c r="L486" s="755">
        <v>43677</v>
      </c>
      <c r="M486" s="807"/>
      <c r="N486" s="807"/>
      <c r="O486" s="807"/>
      <c r="P486" s="807"/>
      <c r="Q486" s="759"/>
      <c r="R486" s="807"/>
      <c r="S486" s="807"/>
      <c r="T486" s="806">
        <v>3</v>
      </c>
      <c r="U486" s="806">
        <v>0</v>
      </c>
      <c r="V486" s="806">
        <v>0</v>
      </c>
      <c r="W486" s="806">
        <v>0</v>
      </c>
      <c r="X486" s="806">
        <v>0</v>
      </c>
      <c r="Y486" s="806">
        <v>0</v>
      </c>
      <c r="Z486" s="806">
        <v>0</v>
      </c>
      <c r="AA486" s="806">
        <v>1</v>
      </c>
      <c r="AB486" s="806">
        <v>0</v>
      </c>
      <c r="AC486" s="806">
        <v>1</v>
      </c>
      <c r="AD486" s="807"/>
      <c r="AE486" s="806">
        <v>2</v>
      </c>
      <c r="AF486" s="807"/>
      <c r="AG486" s="807"/>
      <c r="AH486" s="806">
        <v>1</v>
      </c>
      <c r="AI486" s="806">
        <v>1</v>
      </c>
      <c r="AJ486" s="806">
        <v>0</v>
      </c>
      <c r="AK486" s="806">
        <v>1</v>
      </c>
      <c r="AL486" s="806">
        <v>1</v>
      </c>
      <c r="AM486" s="806">
        <v>1</v>
      </c>
      <c r="AN486" s="806">
        <v>1</v>
      </c>
      <c r="AO486" s="782"/>
      <c r="AP486" s="757">
        <v>0</v>
      </c>
      <c r="AQ486" s="744">
        <v>2</v>
      </c>
      <c r="AR486" s="749"/>
      <c r="AS486" s="807"/>
      <c r="AT486" s="807"/>
      <c r="AU486" s="807"/>
      <c r="AV486" s="807"/>
      <c r="AW486" s="758">
        <v>0</v>
      </c>
      <c r="AX486" s="758" t="s">
        <v>144</v>
      </c>
      <c r="AY486" s="758" t="s">
        <v>1200</v>
      </c>
      <c r="AZ486" s="758">
        <v>2</v>
      </c>
      <c r="BA486" s="807"/>
      <c r="BB486" s="757">
        <v>8</v>
      </c>
      <c r="BC486" s="752"/>
      <c r="BD486" s="807"/>
      <c r="BE486" s="807"/>
      <c r="BF486" s="807"/>
      <c r="BG486" s="807"/>
      <c r="BH486" s="807"/>
      <c r="BI486" s="757">
        <v>1</v>
      </c>
      <c r="BJ486" s="757">
        <v>2</v>
      </c>
      <c r="BK486" s="757">
        <v>311</v>
      </c>
      <c r="BL486" s="757">
        <v>0</v>
      </c>
      <c r="BM486" s="757" t="s">
        <v>144</v>
      </c>
      <c r="BN486" s="757">
        <v>1</v>
      </c>
      <c r="BO486" s="749"/>
      <c r="BP486" s="752"/>
      <c r="BQ486" s="751">
        <f>IFERROR(WWWW[[#This Row],['#_Water sources treated]]/WWWW[[#This Row],['#_Water sources tested for contamination]],"no test")</f>
        <v>0</v>
      </c>
      <c r="BR486" s="749">
        <f>IFERROR(WWWW[[#This Row],['#_Household received remediation action due to contamination]]/WWWW[[#This Row],['#_Household water samples tested for contamination]],"no test")</f>
        <v>1</v>
      </c>
      <c r="BS486" s="750" t="str">
        <f>IF(AND(WWWW[[#This Row],[% of water sources treated]]="no test",WWWW[[#This Row],[% Household received corrective actions]]="no test"),"No Test","Tested")</f>
        <v>Tested</v>
      </c>
      <c r="BT486" s="750">
        <f>WWWW[[#This Row],['#_Constructed/existing protected hand dug well]]-WWWW[[#This Row],['#_Non-functional protected hand dug well]]</f>
        <v>3</v>
      </c>
      <c r="BU486" s="750">
        <f>(WWWW[[#This Row],['#_Constructed/Existing tube wells/boreholes/handpumps_WASH_agency]]+WWWW[[#This Row],['#_Non-Cluster partner water tube-wells/boreholes/handpumps]])-WWWW[[#This Row],['#_Non-functional tube wells/boreholes/handpumps]]</f>
        <v>0</v>
      </c>
      <c r="BV486" s="750">
        <f>WWWW[[#This Row],['#_Constructed/Existingwater storage tank with gravity fed reticulation system]]-WWWW[[#This Row],['#_Non-functional storage tank gravity fed reticulation system]]</f>
        <v>1</v>
      </c>
      <c r="BW486" s="750">
        <f>WWWW[[#This Row],['#_Water boating or water trucking]]</f>
        <v>0</v>
      </c>
      <c r="BX486" s="750">
        <f>WWWW[[#This Row],['#_Constructed/Existing water distribution system from river or natural spring]]</f>
        <v>0</v>
      </c>
      <c r="BY486"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0.73944347149250833</v>
      </c>
      <c r="BZ486"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0.47674644872543293</v>
      </c>
      <c r="CA486" s="749">
        <f>IF(WWWW[[#This Row],[Location Type 1]]="Village",WWWW[[#This Row],[Access to safe drinking water for Village]],WWWW[[#This Row],[Access to safe drinking water for Camp]])</f>
        <v>0.47674644872543293</v>
      </c>
      <c r="CB486" s="759">
        <f>WWWW[[#This Row],[%Equitable and continuous access to sufficient quantity of safe drinking water]]*WWWW[[#This Row],[Total PoP ]]</f>
        <v>816.66666666666663</v>
      </c>
      <c r="CC486" s="749">
        <f>IF((WWWW[[#This Row],['#_Constructed/Existing protected/fenced ponds]]*250)/WWWW[[#This Row],[Total PoP ]]&gt;1,1,(WWWW[[#This Row],['#_Constructed/Existing protected/fenced ponds]]*250)/WWWW[[#This Row],[Total PoP ]])</f>
        <v>0.29188558085230587</v>
      </c>
      <c r="CD486" s="759">
        <f>WWWW[[#This Row],[% Access to unimproved water points]]*WWWW[[#This Row],[Total PoP ]]</f>
        <v>499.99999999999994</v>
      </c>
      <c r="CE486"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0.7686320295777388</v>
      </c>
      <c r="CF486"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1316.6666666666665</v>
      </c>
      <c r="CG486" s="736">
        <f>WWWW[[#This Row],[HRP1]]/500</f>
        <v>2.6333333333333329</v>
      </c>
      <c r="CH486" s="748">
        <f>1-WWWW[[#This Row],[% Equitable and continuous access to sufficient quantity of domestic water]]</f>
        <v>0.2313679704222612</v>
      </c>
      <c r="CI486" s="759">
        <f>WWWW[[#This Row],[%equitable and continuous access to sufficient quantity of safe drinking and domestic water''s GAP]]*WWWW[[#This Row],[Total PoP ]]</f>
        <v>396.33333333333343</v>
      </c>
      <c r="CJ486" s="750">
        <f>IF(WWWW[[#This Row],[Total required water points]]-WWWW[[#This Row],['#Water points coverage]]&lt;0,0,WWWW[[#This Row],[Total required water points]]-WWWW[[#This Row],['#Water points coverage]])</f>
        <v>0.36666666666666714</v>
      </c>
      <c r="CK486" s="750">
        <f>ROUND(IF(WWWW[[#This Row],[Total PoP ]]&lt;500,1,WWWW[[#This Row],[Total PoP ]]/500),0)</f>
        <v>3</v>
      </c>
      <c r="CL486" s="750">
        <f>(WWWW[[#This Row],['#_Constructed latrines_by_WASHAgencies]]+WWWW[[#This Row],['#_Non Cluster partner latrines]])-WWWW[[#This Row],['#_Non-functional latrines]]</f>
        <v>2</v>
      </c>
      <c r="CM48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7.0052539404553416E-3</v>
      </c>
      <c r="CN486"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v>
      </c>
      <c r="CO486"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6" s="750" t="str">
        <f>IF(WWWW[[#This Row],[Location Type 1]]="Village","NA",IF(WWWW[[#This Row],['#_Constructed/Existing latrines in TLS]]*50&gt;WWWW[[#This Row],['#_students at TLS_CFS]],WWWW[[#This Row],['#_students at TLS_CFS]],(WWWW[[#This Row],['#_Constructed/Existing latrines in TLS]]*50)))</f>
        <v>NA</v>
      </c>
      <c r="CQ486" s="750">
        <f>ROUND(IF(WWWW[[#This Row],[Location Type 1]]="camp",WWWW[[#This Row],[Total PoP ]]/20,IF(WWWW[[#This Row],[Location Type 1]]="Temporary Location",WWWW[[#This Row],[Total PoP ]]/50,(WWWW[[#This Row],[Total PoP ]]/6))),0)</f>
        <v>286</v>
      </c>
      <c r="CR486" s="750">
        <f>IF(WWWW[[#This Row],[Total required Latrines]]-(WWWW[[#This Row],['#_Constructed latrines_by_WASHAgencies]]+WWWW[[#This Row],['#_Non Cluster partner latrines]])&lt;0,0,WWWW[[#This Row],[Total required Latrines]]-(WWWW[[#This Row],['#_Constructed latrines_by_WASHAgencies]]+WWWW[[#This Row],['#_Non Cluster partner latrines]]))</f>
        <v>284</v>
      </c>
      <c r="CS486" s="756">
        <f>1-WWWW[[#This Row],[% people access to functioning Latrine]]</f>
        <v>0.99299474605954463</v>
      </c>
      <c r="CT486" s="751">
        <f>IF(OR(WWWW[[#This Row],['#_Non-functional latrines]]="",WWWW[[#This Row],['#_Non-functional latrines]]=0),0,WWWW[[#This Row],['#_Non-functional latrines]]/(WWWW[[#This Row],['#_Constructed latrines_by_WASHAgencies]]+WWWW[[#This Row],['#_Non Cluster partner latrines]]))</f>
        <v>0</v>
      </c>
      <c r="CU486" s="759">
        <f>IF(500*(WWWW[[#This Row],['#_male hygiene promoters]]+WWWW[[#This Row],['#_female hygiene promoters]])&gt;WWWW[[#This Row],[Total PoP ]],WWWW[[#This Row],[Total PoP ]],500*(WWWW[[#This Row],['#_male hygiene promoters]]+WWWW[[#This Row],['#_female hygiene promoters]]))</f>
        <v>1500</v>
      </c>
      <c r="CV486"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1713</v>
      </c>
      <c r="CW486"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86" s="750">
        <f>IF(WWWW[[#This Row],['# People with access to soap]]&gt;WWWW[[#This Row],['# People with access to Sanity Pads]],WWWW[[#This Row],['# People with access to soap]],WWWW[[#This Row],['# People with access to Sanity Pads]])</f>
        <v>1713</v>
      </c>
      <c r="CY486" s="750">
        <f>IF(WWWW[[#This Row],['# people reached by regular dedicated hygiene promotion_5]]&gt;WWWW[[#This Row],['# People received regular supply of hygiene items_6]],WWWW[[#This Row],['# people reached by regular dedicated hygiene promotion_5]],WWWW[[#This Row],['# People received regular supply of hygiene items_6]])</f>
        <v>1713</v>
      </c>
      <c r="CZ486" s="748">
        <f>IF(WWWW[[#This Row],[HRP3]]/WWWW[[#This Row],[Total PoP ]]&gt;100%,100%,WWWW[[#This Row],[HRP3]]/WWWW[[#This Row],[Total PoP ]])</f>
        <v>1</v>
      </c>
      <c r="DA486" s="751">
        <f>1-WWWW[[#This Row],[Hygiene Coverage%]]</f>
        <v>0</v>
      </c>
      <c r="DB486" s="737">
        <f>WWWW[[#This Row],['# people reached by regular dedicated hygiene promotion_5]]/WWWW[[#This Row],[Total PoP ]]</f>
        <v>0.87565674255691772</v>
      </c>
      <c r="DC486" s="737">
        <f>IF(WWWW[[#This Row],['#_households that received standard amount of soap for this quarter]]/WWWW[[#This Row],[Total HH]]&gt;1,1,WWWW[[#This Row],['#_households that received standard amount of soap for this quarter]]/WWWW[[#This Row],[Total HH]])</f>
        <v>1</v>
      </c>
      <c r="DD486" s="737">
        <f>IF(WWWW[[#This Row],['#_households that received standard amount of sanitary pads for this quarter]]/WWWW[[#This Row],[Total HH]]&gt;1,1,WWWW[[#This Row],['#_households that received standard amount of sanitary pads for this quarter]]/WWWW[[#This Row],[Total HH]])</f>
        <v>0</v>
      </c>
      <c r="DE486" s="595">
        <f>WWWW[[#This Row],['#_Constructed/Existing hand washing stations]]-WWWW[[#This Row],['#_Non-Functional_hand_washing_stations]]</f>
        <v>0</v>
      </c>
      <c r="DF486" s="757">
        <f>IF(WWWW[[#This Row],['# Functional hand washing stations during reporting period]]*20&gt;WWWW[[#This Row],[Total HH]],WWWW[[#This Row],[Total HH]],WWWW[[#This Row],['# Functional hand washing stations during reporting period]]*20)</f>
        <v>0</v>
      </c>
      <c r="DG486" s="736">
        <f>IF(WWWW[[#This Row],[Is sufficient soap available for TLS? (Yes/No)]]="yes",WWWW[[#This Row],['#_Constructed/Existing hand washing stations at TLS]],0)</f>
        <v>0</v>
      </c>
      <c r="DH486" s="736">
        <f>IF(WWWW[[#This Row],['# Functional hand washing stations during reporting period]]*100&gt;WWWW[[#This Row],[Total PoP ]],WWWW[[#This Row],[Total PoP ]],WWWW[[#This Row],['# Functional hand washing stations during reporting period]]*100)</f>
        <v>0</v>
      </c>
      <c r="DI486" s="736" t="str">
        <f>IF(OR(WWWW[[#This Row],['#_students at TLS_CFS]]="",WWWW[[#This Row],['#_students at TLS_CFS]]=0),"No","Yes")</f>
        <v>No</v>
      </c>
      <c r="DJ486" s="752">
        <f>VLOOKUP(WWWW[[#This Row],[Site Name]],SiteDB6[[Site Name]:[CCCM Management]],6,FALSE)</f>
        <v>0</v>
      </c>
      <c r="DK486" s="752">
        <f>VLOOKUP(WWWW[[#This Row],[Site Name]],SiteDB6[[Site Name]:[CCCM Focal Agency]],7,FALSE)</f>
        <v>0</v>
      </c>
      <c r="DL486" s="752" t="str">
        <f>VLOOKUP(WWWW[[#This Row],[Site Name]],SiteDB6[[Site Name]:[Location Type 1]],9,FALSE)</f>
        <v>Village</v>
      </c>
      <c r="DM486" s="752" t="str">
        <f>VLOOKUP(WWWW[[#This Row],[Site Name]],SiteDB6[[Site Name]:[Type of Accommodation]],10,FALSE)</f>
        <v>Village</v>
      </c>
      <c r="DN486" s="752">
        <f>VLOOKUP(WWWW[[#This Row],[Site Name]],SiteDB6[[Site Name]:[Ethnic or GCA/NGCA]],11,FALSE)</f>
        <v>0</v>
      </c>
      <c r="DO486" s="752">
        <f>VLOOKUP(WWWW[[#This Row],[Site Name]],SiteDB6[[Site Name]:[Lat]],12,FALSE)</f>
        <v>0</v>
      </c>
      <c r="DP486" s="752">
        <f>VLOOKUP(WWWW[[#This Row],[Site Name]],SiteDB6[[Site Name]:[Long]],13,FALSE)</f>
        <v>0</v>
      </c>
      <c r="DQ486" s="752">
        <f>VLOOKUP(WWWW[[#This Row],[Site Name]],SiteDB6[[Site Name]:[Pcode]],3,FALSE)</f>
        <v>0</v>
      </c>
      <c r="DR486" s="782" t="str">
        <f t="shared" si="17"/>
        <v>Covered</v>
      </c>
      <c r="DS486" s="782"/>
      <c r="DT486" s="745"/>
      <c r="DU486" s="745"/>
      <c r="DV486" s="770"/>
      <c r="DW486" s="745"/>
      <c r="DX486" s="746"/>
      <c r="DY486" s="746"/>
      <c r="DZ486" s="747"/>
      <c r="EA486" s="747"/>
      <c r="EB486" s="747"/>
      <c r="EC486" s="747"/>
      <c r="ED486" s="747"/>
      <c r="EE486" s="747"/>
      <c r="EF486" s="747"/>
      <c r="EG486" s="747"/>
      <c r="EH486" s="747"/>
    </row>
    <row r="487" spans="1:138" s="743" customFormat="1">
      <c r="A487" s="552" t="s">
        <v>2518</v>
      </c>
      <c r="B487" s="744" t="s">
        <v>3241</v>
      </c>
      <c r="C487" s="744" t="s">
        <v>387</v>
      </c>
      <c r="D487" s="744" t="s">
        <v>252</v>
      </c>
      <c r="E487" s="744" t="s">
        <v>3005</v>
      </c>
      <c r="F487" s="744" t="s">
        <v>337</v>
      </c>
      <c r="G487" s="791" t="str">
        <f>VLOOKUP(WWWW[[#This Row],[Site Name]],SiteDB6[[Site Name]:[Location Type]],8,FALSE)</f>
        <v>Village</v>
      </c>
      <c r="H487" s="809" t="s">
        <v>956</v>
      </c>
      <c r="I487" s="811">
        <v>20</v>
      </c>
      <c r="J487" s="759">
        <v>96</v>
      </c>
      <c r="K487" s="755">
        <v>43251</v>
      </c>
      <c r="L487" s="755">
        <v>43677</v>
      </c>
      <c r="M487" s="807"/>
      <c r="N487" s="807"/>
      <c r="O487" s="807"/>
      <c r="P487" s="807"/>
      <c r="Q487" s="759"/>
      <c r="R487" s="807"/>
      <c r="S487" s="807"/>
      <c r="T487" s="807">
        <v>0</v>
      </c>
      <c r="U487" s="807">
        <v>0</v>
      </c>
      <c r="V487" s="807">
        <v>0</v>
      </c>
      <c r="W487" s="807">
        <v>0</v>
      </c>
      <c r="X487" s="807">
        <v>0</v>
      </c>
      <c r="Y487" s="807">
        <v>0</v>
      </c>
      <c r="Z487" s="807">
        <v>0</v>
      </c>
      <c r="AA487" s="807">
        <v>0</v>
      </c>
      <c r="AB487" s="807">
        <v>0</v>
      </c>
      <c r="AC487" s="807">
        <v>0</v>
      </c>
      <c r="AD487" s="807"/>
      <c r="AE487" s="807">
        <v>1</v>
      </c>
      <c r="AF487" s="807"/>
      <c r="AG487" s="807"/>
      <c r="AH487" s="807">
        <v>0</v>
      </c>
      <c r="AI487" s="807">
        <v>1</v>
      </c>
      <c r="AJ487" s="807">
        <v>0</v>
      </c>
      <c r="AK487" s="807">
        <v>1</v>
      </c>
      <c r="AL487" s="807">
        <v>1</v>
      </c>
      <c r="AM487" s="807">
        <v>0</v>
      </c>
      <c r="AN487" s="807">
        <v>0</v>
      </c>
      <c r="AO487" s="782"/>
      <c r="AP487" s="759">
        <v>17</v>
      </c>
      <c r="AQ487" s="744">
        <v>0</v>
      </c>
      <c r="AR487" s="749"/>
      <c r="AS487" s="807"/>
      <c r="AT487" s="807"/>
      <c r="AU487" s="807"/>
      <c r="AV487" s="807"/>
      <c r="AW487" s="750">
        <v>17</v>
      </c>
      <c r="AX487" s="750" t="s">
        <v>144</v>
      </c>
      <c r="AY487" s="750" t="s">
        <v>144</v>
      </c>
      <c r="AZ487" s="750">
        <v>0</v>
      </c>
      <c r="BA487" s="807"/>
      <c r="BB487" s="759">
        <v>0</v>
      </c>
      <c r="BC487" s="752"/>
      <c r="BD487" s="807"/>
      <c r="BE487" s="807"/>
      <c r="BF487" s="807"/>
      <c r="BG487" s="807"/>
      <c r="BH487" s="807"/>
      <c r="BI487" s="750">
        <v>1</v>
      </c>
      <c r="BJ487" s="750">
        <v>0</v>
      </c>
      <c r="BK487" s="750">
        <v>20</v>
      </c>
      <c r="BL487" s="750">
        <v>20</v>
      </c>
      <c r="BM487" s="750" t="s">
        <v>144</v>
      </c>
      <c r="BN487" s="750">
        <v>0</v>
      </c>
      <c r="BO487" s="749"/>
      <c r="BP487" s="752"/>
      <c r="BQ487" s="751">
        <f>IFERROR(WWWW[[#This Row],['#_Water sources treated]]/WWWW[[#This Row],['#_Water sources tested for contamination]],"no test")</f>
        <v>0</v>
      </c>
      <c r="BR487" s="749">
        <f>IFERROR(WWWW[[#This Row],['#_Household received remediation action due to contamination]]/WWWW[[#This Row],['#_Household water samples tested for contamination]],"no test")</f>
        <v>1</v>
      </c>
      <c r="BS487" s="750" t="str">
        <f>IF(AND(WWWW[[#This Row],[% of water sources treated]]="no test",WWWW[[#This Row],[% Household received corrective actions]]="no test"),"No Test","Tested")</f>
        <v>Tested</v>
      </c>
      <c r="BT487" s="750">
        <f>WWWW[[#This Row],['#_Constructed/existing protected hand dug well]]-WWWW[[#This Row],['#_Non-functional protected hand dug well]]</f>
        <v>0</v>
      </c>
      <c r="BU487" s="750">
        <f>(WWWW[[#This Row],['#_Constructed/Existing tube wells/boreholes/handpumps_WASH_agency]]+WWWW[[#This Row],['#_Non-Cluster partner water tube-wells/boreholes/handpumps]])-WWWW[[#This Row],['#_Non-functional tube wells/boreholes/handpumps]]</f>
        <v>0</v>
      </c>
      <c r="BV487" s="750">
        <f>WWWW[[#This Row],['#_Constructed/Existingwater storage tank with gravity fed reticulation system]]-WWWW[[#This Row],['#_Non-functional storage tank gravity fed reticulation system]]</f>
        <v>0</v>
      </c>
      <c r="BW487" s="750">
        <f>WWWW[[#This Row],['#_Water boating or water trucking]]</f>
        <v>0</v>
      </c>
      <c r="BX487" s="750">
        <f>WWWW[[#This Row],['#_Constructed/Existing water distribution system from river or natural spring]]</f>
        <v>0</v>
      </c>
      <c r="BY487"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7"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7" s="749">
        <f>IF(WWWW[[#This Row],[Location Type 1]]="Village",WWWW[[#This Row],[Access to safe drinking water for Village]],WWWW[[#This Row],[Access to safe drinking water for Camp]])</f>
        <v>0</v>
      </c>
      <c r="CB487" s="759">
        <f>WWWW[[#This Row],[%Equitable and continuous access to sufficient quantity of safe drinking water]]*WWWW[[#This Row],[Total PoP ]]</f>
        <v>0</v>
      </c>
      <c r="CC487" s="749">
        <f>IF((WWWW[[#This Row],['#_Constructed/Existing protected/fenced ponds]]*250)/WWWW[[#This Row],[Total PoP ]]&gt;1,1,(WWWW[[#This Row],['#_Constructed/Existing protected/fenced ponds]]*250)/WWWW[[#This Row],[Total PoP ]])</f>
        <v>1</v>
      </c>
      <c r="CD487" s="759">
        <f>WWWW[[#This Row],[% Access to unimproved water points]]*WWWW[[#This Row],[Total PoP ]]</f>
        <v>96</v>
      </c>
      <c r="CE487"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7"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v>
      </c>
      <c r="CG487" s="736">
        <f>WWWW[[#This Row],[HRP1]]/500</f>
        <v>0.192</v>
      </c>
      <c r="CH487" s="748">
        <f>1-WWWW[[#This Row],[% Equitable and continuous access to sufficient quantity of domestic water]]</f>
        <v>0</v>
      </c>
      <c r="CI487" s="759">
        <f>WWWW[[#This Row],[%equitable and continuous access to sufficient quantity of safe drinking and domestic water''s GAP]]*WWWW[[#This Row],[Total PoP ]]</f>
        <v>0</v>
      </c>
      <c r="CJ487" s="750">
        <f>IF(WWWW[[#This Row],[Total required water points]]-WWWW[[#This Row],['#Water points coverage]]&lt;0,0,WWWW[[#This Row],[Total required water points]]-WWWW[[#This Row],['#Water points coverage]])</f>
        <v>0.80800000000000005</v>
      </c>
      <c r="CK487" s="750">
        <f>ROUND(IF(WWWW[[#This Row],[Total PoP ]]&lt;500,1,WWWW[[#This Row],[Total PoP ]]/500),0)</f>
        <v>1</v>
      </c>
      <c r="CL487" s="750">
        <f>(WWWW[[#This Row],['#_Constructed latrines_by_WASHAgencies]]+WWWW[[#This Row],['#_Non Cluster partner latrines]])-WWWW[[#This Row],['#_Non-functional latrines]]</f>
        <v>17</v>
      </c>
      <c r="CM48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87"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96</v>
      </c>
      <c r="CO487"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7" s="750" t="str">
        <f>IF(WWWW[[#This Row],[Location Type 1]]="Village","NA",IF(WWWW[[#This Row],['#_Constructed/Existing latrines in TLS]]*50&gt;WWWW[[#This Row],['#_students at TLS_CFS]],WWWW[[#This Row],['#_students at TLS_CFS]],(WWWW[[#This Row],['#_Constructed/Existing latrines in TLS]]*50)))</f>
        <v>NA</v>
      </c>
      <c r="CQ487" s="750">
        <f>ROUND(IF(WWWW[[#This Row],[Location Type 1]]="camp",WWWW[[#This Row],[Total PoP ]]/20,IF(WWWW[[#This Row],[Location Type 1]]="Temporary Location",WWWW[[#This Row],[Total PoP ]]/50,(WWWW[[#This Row],[Total PoP ]]/6))),0)</f>
        <v>16</v>
      </c>
      <c r="CR487" s="750">
        <f>IF(WWWW[[#This Row],[Total required Latrines]]-(WWWW[[#This Row],['#_Constructed latrines_by_WASHAgencies]]+WWWW[[#This Row],['#_Non Cluster partner latrines]])&lt;0,0,WWWW[[#This Row],[Total required Latrines]]-(WWWW[[#This Row],['#_Constructed latrines_by_WASHAgencies]]+WWWW[[#This Row],['#_Non Cluster partner latrines]]))</f>
        <v>0</v>
      </c>
      <c r="CS487" s="756">
        <f>1-WWWW[[#This Row],[% people access to functioning Latrine]]</f>
        <v>0</v>
      </c>
      <c r="CT487" s="751">
        <f>IF(OR(WWWW[[#This Row],['#_Non-functional latrines]]="",WWWW[[#This Row],['#_Non-functional latrines]]=0),0,WWWW[[#This Row],['#_Non-functional latrines]]/(WWWW[[#This Row],['#_Constructed latrines_by_WASHAgencies]]+WWWW[[#This Row],['#_Non Cluster partner latrines]]))</f>
        <v>0</v>
      </c>
      <c r="CU487" s="759">
        <f>IF(500*(WWWW[[#This Row],['#_male hygiene promoters]]+WWWW[[#This Row],['#_female hygiene promoters]])&gt;WWWW[[#This Row],[Total PoP ]],WWWW[[#This Row],[Total PoP ]],500*(WWWW[[#This Row],['#_male hygiene promoters]]+WWWW[[#This Row],['#_female hygiene promoters]]))</f>
        <v>96</v>
      </c>
      <c r="CV487"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96</v>
      </c>
      <c r="CW487"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96</v>
      </c>
      <c r="CX487" s="750">
        <f>IF(WWWW[[#This Row],['# People with access to soap]]&gt;WWWW[[#This Row],['# People with access to Sanity Pads]],WWWW[[#This Row],['# People with access to soap]],WWWW[[#This Row],['# People with access to Sanity Pads]])</f>
        <v>96</v>
      </c>
      <c r="CY487" s="750">
        <f>IF(WWWW[[#This Row],['# people reached by regular dedicated hygiene promotion_5]]&gt;WWWW[[#This Row],['# People received regular supply of hygiene items_6]],WWWW[[#This Row],['# people reached by regular dedicated hygiene promotion_5]],WWWW[[#This Row],['# People received regular supply of hygiene items_6]])</f>
        <v>96</v>
      </c>
      <c r="CZ487" s="748">
        <f>IF(WWWW[[#This Row],[HRP3]]/WWWW[[#This Row],[Total PoP ]]&gt;100%,100%,WWWW[[#This Row],[HRP3]]/WWWW[[#This Row],[Total PoP ]])</f>
        <v>1</v>
      </c>
      <c r="DA487" s="751">
        <f>1-WWWW[[#This Row],[Hygiene Coverage%]]</f>
        <v>0</v>
      </c>
      <c r="DB487" s="737">
        <f>WWWW[[#This Row],['# people reached by regular dedicated hygiene promotion_5]]/WWWW[[#This Row],[Total PoP ]]</f>
        <v>1</v>
      </c>
      <c r="DC487" s="737">
        <f>IF(WWWW[[#This Row],['#_households that received standard amount of soap for this quarter]]/WWWW[[#This Row],[Total HH]]&gt;1,1,WWWW[[#This Row],['#_households that received standard amount of soap for this quarter]]/WWWW[[#This Row],[Total HH]])</f>
        <v>1</v>
      </c>
      <c r="DD487" s="737">
        <f>IF(WWWW[[#This Row],['#_households that received standard amount of sanitary pads for this quarter]]/WWWW[[#This Row],[Total HH]]&gt;1,1,WWWW[[#This Row],['#_households that received standard amount of sanitary pads for this quarter]]/WWWW[[#This Row],[Total HH]])</f>
        <v>1</v>
      </c>
      <c r="DE487" s="595">
        <f>WWWW[[#This Row],['#_Constructed/Existing hand washing stations]]-WWWW[[#This Row],['#_Non-Functional_hand_washing_stations]]</f>
        <v>0</v>
      </c>
      <c r="DF487" s="757">
        <f>IF(WWWW[[#This Row],['# Functional hand washing stations during reporting period]]*20&gt;WWWW[[#This Row],[Total HH]],WWWW[[#This Row],[Total HH]],WWWW[[#This Row],['# Functional hand washing stations during reporting period]]*20)</f>
        <v>0</v>
      </c>
      <c r="DG487" s="736">
        <f>IF(WWWW[[#This Row],[Is sufficient soap available for TLS? (Yes/No)]]="yes",WWWW[[#This Row],['#_Constructed/Existing hand washing stations at TLS]],0)</f>
        <v>0</v>
      </c>
      <c r="DH487" s="736">
        <f>IF(WWWW[[#This Row],['# Functional hand washing stations during reporting period]]*100&gt;WWWW[[#This Row],[Total PoP ]],WWWW[[#This Row],[Total PoP ]],WWWW[[#This Row],['# Functional hand washing stations during reporting period]]*100)</f>
        <v>0</v>
      </c>
      <c r="DI487" s="736" t="str">
        <f>IF(OR(WWWW[[#This Row],['#_students at TLS_CFS]]="",WWWW[[#This Row],['#_students at TLS_CFS]]=0),"No","Yes")</f>
        <v>No</v>
      </c>
      <c r="DJ487" s="752">
        <f>VLOOKUP(WWWW[[#This Row],[Site Name]],SiteDB6[[Site Name]:[CCCM Management]],6,FALSE)</f>
        <v>0</v>
      </c>
      <c r="DK487" s="752">
        <f>VLOOKUP(WWWW[[#This Row],[Site Name]],SiteDB6[[Site Name]:[CCCM Focal Agency]],7,FALSE)</f>
        <v>0</v>
      </c>
      <c r="DL487" s="752" t="str">
        <f>VLOOKUP(WWWW[[#This Row],[Site Name]],SiteDB6[[Site Name]:[Location Type 1]],9,FALSE)</f>
        <v>Village</v>
      </c>
      <c r="DM487" s="752" t="str">
        <f>VLOOKUP(WWWW[[#This Row],[Site Name]],SiteDB6[[Site Name]:[Type of Accommodation]],10,FALSE)</f>
        <v>Village</v>
      </c>
      <c r="DN487" s="752">
        <f>VLOOKUP(WWWW[[#This Row],[Site Name]],SiteDB6[[Site Name]:[Ethnic or GCA/NGCA]],11,FALSE)</f>
        <v>0</v>
      </c>
      <c r="DO487" s="752">
        <f>VLOOKUP(WWWW[[#This Row],[Site Name]],SiteDB6[[Site Name]:[Lat]],12,FALSE)</f>
        <v>0</v>
      </c>
      <c r="DP487" s="752">
        <f>VLOOKUP(WWWW[[#This Row],[Site Name]],SiteDB6[[Site Name]:[Long]],13,FALSE)</f>
        <v>0</v>
      </c>
      <c r="DQ487" s="752">
        <f>VLOOKUP(WWWW[[#This Row],[Site Name]],SiteDB6[[Site Name]:[Pcode]],3,FALSE)</f>
        <v>0</v>
      </c>
      <c r="DR487" s="782" t="str">
        <f t="shared" si="17"/>
        <v>Covered</v>
      </c>
      <c r="DS487" s="782"/>
      <c r="DT487" s="745"/>
      <c r="DU487" s="745"/>
      <c r="DV487" s="770"/>
      <c r="DW487" s="745"/>
      <c r="DX487" s="746"/>
      <c r="DY487" s="746"/>
      <c r="DZ487" s="747"/>
      <c r="EA487" s="747"/>
      <c r="EB487" s="747"/>
      <c r="EC487" s="747"/>
      <c r="ED487" s="747"/>
      <c r="EE487" s="747"/>
      <c r="EF487" s="747"/>
      <c r="EG487" s="747"/>
      <c r="EH487" s="747"/>
    </row>
    <row r="488" spans="1:138" s="743" customFormat="1">
      <c r="A488" s="552" t="s">
        <v>2518</v>
      </c>
      <c r="B488" s="744" t="s">
        <v>3241</v>
      </c>
      <c r="C488" s="744" t="s">
        <v>387</v>
      </c>
      <c r="D488" s="744" t="s">
        <v>252</v>
      </c>
      <c r="E488" s="744" t="s">
        <v>3005</v>
      </c>
      <c r="F488" s="744" t="s">
        <v>337</v>
      </c>
      <c r="G488" s="791" t="str">
        <f>VLOOKUP(WWWW[[#This Row],[Site Name]],SiteDB6[[Site Name]:[Location Type]],8,FALSE)</f>
        <v>Village</v>
      </c>
      <c r="H488" s="809" t="s">
        <v>652</v>
      </c>
      <c r="I488" s="811">
        <v>24</v>
      </c>
      <c r="J488" s="759">
        <v>91</v>
      </c>
      <c r="K488" s="755">
        <v>43251</v>
      </c>
      <c r="L488" s="755">
        <v>43677</v>
      </c>
      <c r="M488" s="807"/>
      <c r="N488" s="807"/>
      <c r="O488" s="807"/>
      <c r="P488" s="807"/>
      <c r="Q488" s="759"/>
      <c r="R488" s="807"/>
      <c r="S488" s="807"/>
      <c r="T488" s="807">
        <v>2</v>
      </c>
      <c r="U488" s="807">
        <v>0</v>
      </c>
      <c r="V488" s="807">
        <v>0</v>
      </c>
      <c r="W488" s="807">
        <v>2</v>
      </c>
      <c r="X488" s="807">
        <v>0</v>
      </c>
      <c r="Y488" s="807">
        <v>0</v>
      </c>
      <c r="Z488" s="807">
        <v>2</v>
      </c>
      <c r="AA488" s="807">
        <v>0</v>
      </c>
      <c r="AB488" s="807">
        <v>0</v>
      </c>
      <c r="AC488" s="807">
        <v>0</v>
      </c>
      <c r="AD488" s="807"/>
      <c r="AE488" s="807">
        <v>1</v>
      </c>
      <c r="AF488" s="807"/>
      <c r="AG488" s="807"/>
      <c r="AH488" s="807">
        <v>1</v>
      </c>
      <c r="AI488" s="807">
        <v>1</v>
      </c>
      <c r="AJ488" s="807">
        <v>0</v>
      </c>
      <c r="AK488" s="807">
        <v>1</v>
      </c>
      <c r="AL488" s="807">
        <v>1</v>
      </c>
      <c r="AM488" s="807">
        <v>0</v>
      </c>
      <c r="AN488" s="807">
        <v>0</v>
      </c>
      <c r="AO488" s="782"/>
      <c r="AP488" s="759">
        <v>25</v>
      </c>
      <c r="AQ488" s="744">
        <v>25</v>
      </c>
      <c r="AR488" s="749"/>
      <c r="AS488" s="807"/>
      <c r="AT488" s="807"/>
      <c r="AU488" s="807"/>
      <c r="AV488" s="807"/>
      <c r="AW488" s="750">
        <v>15</v>
      </c>
      <c r="AX488" s="750" t="s">
        <v>43</v>
      </c>
      <c r="AY488" s="750" t="s">
        <v>145</v>
      </c>
      <c r="AZ488" s="750">
        <v>0</v>
      </c>
      <c r="BA488" s="807"/>
      <c r="BB488" s="759">
        <v>0</v>
      </c>
      <c r="BC488" s="752"/>
      <c r="BD488" s="807"/>
      <c r="BE488" s="807"/>
      <c r="BF488" s="807"/>
      <c r="BG488" s="807"/>
      <c r="BH488" s="807"/>
      <c r="BI488" s="750">
        <v>1</v>
      </c>
      <c r="BJ488" s="750">
        <v>1</v>
      </c>
      <c r="BK488" s="750">
        <v>25</v>
      </c>
      <c r="BL488" s="750">
        <v>25</v>
      </c>
      <c r="BM488" s="750" t="s">
        <v>144</v>
      </c>
      <c r="BN488" s="750">
        <v>0</v>
      </c>
      <c r="BO488" s="749"/>
      <c r="BP488" s="752"/>
      <c r="BQ488" s="751">
        <f>IFERROR(WWWW[[#This Row],['#_Water sources treated]]/WWWW[[#This Row],['#_Water sources tested for contamination]],"no test")</f>
        <v>0</v>
      </c>
      <c r="BR488" s="749">
        <f>IFERROR(WWWW[[#This Row],['#_Household received remediation action due to contamination]]/WWWW[[#This Row],['#_Household water samples tested for contamination]],"no test")</f>
        <v>1</v>
      </c>
      <c r="BS488" s="750" t="str">
        <f>IF(AND(WWWW[[#This Row],[% of water sources treated]]="no test",WWWW[[#This Row],[% Household received corrective actions]]="no test"),"No Test","Tested")</f>
        <v>Tested</v>
      </c>
      <c r="BT488" s="750">
        <f>WWWW[[#This Row],['#_Constructed/existing protected hand dug well]]-WWWW[[#This Row],['#_Non-functional protected hand dug well]]</f>
        <v>2</v>
      </c>
      <c r="BU488" s="750">
        <f>(WWWW[[#This Row],['#_Constructed/Existing tube wells/boreholes/handpumps_WASH_agency]]+WWWW[[#This Row],['#_Non-Cluster partner water tube-wells/boreholes/handpumps]])-WWWW[[#This Row],['#_Non-functional tube wells/boreholes/handpumps]]</f>
        <v>2</v>
      </c>
      <c r="BV488" s="750">
        <f>WWWW[[#This Row],['#_Constructed/Existingwater storage tank with gravity fed reticulation system]]-WWWW[[#This Row],['#_Non-functional storage tank gravity fed reticulation system]]</f>
        <v>0</v>
      </c>
      <c r="BW488" s="750">
        <f>WWWW[[#This Row],['#_Water boating or water trucking]]</f>
        <v>0</v>
      </c>
      <c r="BX488" s="750">
        <f>WWWW[[#This Row],['#_Constructed/Existing water distribution system from river or natural spring]]</f>
        <v>0</v>
      </c>
      <c r="BY488"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88"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88" s="749">
        <f>IF(WWWW[[#This Row],[Location Type 1]]="Village",WWWW[[#This Row],[Access to safe drinking water for Village]],WWWW[[#This Row],[Access to safe drinking water for Camp]])</f>
        <v>1</v>
      </c>
      <c r="CB488" s="759">
        <f>WWWW[[#This Row],[%Equitable and continuous access to sufficient quantity of safe drinking water]]*WWWW[[#This Row],[Total PoP ]]</f>
        <v>91</v>
      </c>
      <c r="CC488" s="749">
        <f>IF((WWWW[[#This Row],['#_Constructed/Existing protected/fenced ponds]]*250)/WWWW[[#This Row],[Total PoP ]]&gt;1,1,(WWWW[[#This Row],['#_Constructed/Existing protected/fenced ponds]]*250)/WWWW[[#This Row],[Total PoP ]])</f>
        <v>1</v>
      </c>
      <c r="CD488" s="759">
        <f>WWWW[[#This Row],[% Access to unimproved water points]]*WWWW[[#This Row],[Total PoP ]]</f>
        <v>91</v>
      </c>
      <c r="CE488"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88"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CG488" s="736">
        <f>WWWW[[#This Row],[HRP1]]/500</f>
        <v>0.182</v>
      </c>
      <c r="CH488" s="748">
        <f>1-WWWW[[#This Row],[% Equitable and continuous access to sufficient quantity of domestic water]]</f>
        <v>0</v>
      </c>
      <c r="CI488" s="759">
        <f>WWWW[[#This Row],[%equitable and continuous access to sufficient quantity of safe drinking and domestic water''s GAP]]*WWWW[[#This Row],[Total PoP ]]</f>
        <v>0</v>
      </c>
      <c r="CJ488" s="750">
        <f>IF(WWWW[[#This Row],[Total required water points]]-WWWW[[#This Row],['#Water points coverage]]&lt;0,0,WWWW[[#This Row],[Total required water points]]-WWWW[[#This Row],['#Water points coverage]])</f>
        <v>0.81800000000000006</v>
      </c>
      <c r="CK488" s="750">
        <f>ROUND(IF(WWWW[[#This Row],[Total PoP ]]&lt;500,1,WWWW[[#This Row],[Total PoP ]]/500),0)</f>
        <v>1</v>
      </c>
      <c r="CL488" s="750">
        <f>(WWWW[[#This Row],['#_Constructed latrines_by_WASHAgencies]]+WWWW[[#This Row],['#_Non Cluster partner latrines]])-WWWW[[#This Row],['#_Non-functional latrines]]</f>
        <v>50</v>
      </c>
      <c r="CM48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88"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91</v>
      </c>
      <c r="CO488"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8" s="750" t="str">
        <f>IF(WWWW[[#This Row],[Location Type 1]]="Village","NA",IF(WWWW[[#This Row],['#_Constructed/Existing latrines in TLS]]*50&gt;WWWW[[#This Row],['#_students at TLS_CFS]],WWWW[[#This Row],['#_students at TLS_CFS]],(WWWW[[#This Row],['#_Constructed/Existing latrines in TLS]]*50)))</f>
        <v>NA</v>
      </c>
      <c r="CQ488" s="750">
        <f>ROUND(IF(WWWW[[#This Row],[Location Type 1]]="camp",WWWW[[#This Row],[Total PoP ]]/20,IF(WWWW[[#This Row],[Location Type 1]]="Temporary Location",WWWW[[#This Row],[Total PoP ]]/50,(WWWW[[#This Row],[Total PoP ]]/6))),0)</f>
        <v>15</v>
      </c>
      <c r="CR488" s="750">
        <f>IF(WWWW[[#This Row],[Total required Latrines]]-(WWWW[[#This Row],['#_Constructed latrines_by_WASHAgencies]]+WWWW[[#This Row],['#_Non Cluster partner latrines]])&lt;0,0,WWWW[[#This Row],[Total required Latrines]]-(WWWW[[#This Row],['#_Constructed latrines_by_WASHAgencies]]+WWWW[[#This Row],['#_Non Cluster partner latrines]]))</f>
        <v>0</v>
      </c>
      <c r="CS488" s="756">
        <f>1-WWWW[[#This Row],[% people access to functioning Latrine]]</f>
        <v>0</v>
      </c>
      <c r="CT488" s="751">
        <f>IF(OR(WWWW[[#This Row],['#_Non-functional latrines]]="",WWWW[[#This Row],['#_Non-functional latrines]]=0),0,WWWW[[#This Row],['#_Non-functional latrines]]/(WWWW[[#This Row],['#_Constructed latrines_by_WASHAgencies]]+WWWW[[#This Row],['#_Non Cluster partner latrines]]))</f>
        <v>0</v>
      </c>
      <c r="CU488" s="759">
        <f>IF(500*(WWWW[[#This Row],['#_male hygiene promoters]]+WWWW[[#This Row],['#_female hygiene promoters]])&gt;WWWW[[#This Row],[Total PoP ]],WWWW[[#This Row],[Total PoP ]],500*(WWWW[[#This Row],['#_male hygiene promoters]]+WWWW[[#This Row],['#_female hygiene promoters]]))</f>
        <v>91</v>
      </c>
      <c r="CV488"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CW488"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91</v>
      </c>
      <c r="CX488" s="750">
        <f>IF(WWWW[[#This Row],['# People with access to soap]]&gt;WWWW[[#This Row],['# People with access to Sanity Pads]],WWWW[[#This Row],['# People with access to soap]],WWWW[[#This Row],['# People with access to Sanity Pads]])</f>
        <v>91</v>
      </c>
      <c r="CY488" s="750">
        <f>IF(WWWW[[#This Row],['# people reached by regular dedicated hygiene promotion_5]]&gt;WWWW[[#This Row],['# People received regular supply of hygiene items_6]],WWWW[[#This Row],['# people reached by regular dedicated hygiene promotion_5]],WWWW[[#This Row],['# People received regular supply of hygiene items_6]])</f>
        <v>91</v>
      </c>
      <c r="CZ488" s="748">
        <f>IF(WWWW[[#This Row],[HRP3]]/WWWW[[#This Row],[Total PoP ]]&gt;100%,100%,WWWW[[#This Row],[HRP3]]/WWWW[[#This Row],[Total PoP ]])</f>
        <v>1</v>
      </c>
      <c r="DA488" s="751">
        <f>1-WWWW[[#This Row],[Hygiene Coverage%]]</f>
        <v>0</v>
      </c>
      <c r="DB488" s="737">
        <f>WWWW[[#This Row],['# people reached by regular dedicated hygiene promotion_5]]/WWWW[[#This Row],[Total PoP ]]</f>
        <v>1</v>
      </c>
      <c r="DC488" s="737">
        <f>IF(WWWW[[#This Row],['#_households that received standard amount of soap for this quarter]]/WWWW[[#This Row],[Total HH]]&gt;1,1,WWWW[[#This Row],['#_households that received standard amount of soap for this quarter]]/WWWW[[#This Row],[Total HH]])</f>
        <v>1</v>
      </c>
      <c r="DD488" s="737">
        <f>IF(WWWW[[#This Row],['#_households that received standard amount of sanitary pads for this quarter]]/WWWW[[#This Row],[Total HH]]&gt;1,1,WWWW[[#This Row],['#_households that received standard amount of sanitary pads for this quarter]]/WWWW[[#This Row],[Total HH]])</f>
        <v>1</v>
      </c>
      <c r="DE488" s="595">
        <f>WWWW[[#This Row],['#_Constructed/Existing hand washing stations]]-WWWW[[#This Row],['#_Non-Functional_hand_washing_stations]]</f>
        <v>0</v>
      </c>
      <c r="DF488" s="757">
        <f>IF(WWWW[[#This Row],['# Functional hand washing stations during reporting period]]*20&gt;WWWW[[#This Row],[Total HH]],WWWW[[#This Row],[Total HH]],WWWW[[#This Row],['# Functional hand washing stations during reporting period]]*20)</f>
        <v>0</v>
      </c>
      <c r="DG488" s="736">
        <f>IF(WWWW[[#This Row],[Is sufficient soap available for TLS? (Yes/No)]]="yes",WWWW[[#This Row],['#_Constructed/Existing hand washing stations at TLS]],0)</f>
        <v>0</v>
      </c>
      <c r="DH488" s="736">
        <f>IF(WWWW[[#This Row],['# Functional hand washing stations during reporting period]]*100&gt;WWWW[[#This Row],[Total PoP ]],WWWW[[#This Row],[Total PoP ]],WWWW[[#This Row],['# Functional hand washing stations during reporting period]]*100)</f>
        <v>0</v>
      </c>
      <c r="DI488" s="736" t="str">
        <f>IF(OR(WWWW[[#This Row],['#_students at TLS_CFS]]="",WWWW[[#This Row],['#_students at TLS_CFS]]=0),"No","Yes")</f>
        <v>No</v>
      </c>
      <c r="DJ488" s="752">
        <f>VLOOKUP(WWWW[[#This Row],[Site Name]],SiteDB6[[Site Name]:[CCCM Management]],6,FALSE)</f>
        <v>0</v>
      </c>
      <c r="DK488" s="752">
        <f>VLOOKUP(WWWW[[#This Row],[Site Name]],SiteDB6[[Site Name]:[CCCM Focal Agency]],7,FALSE)</f>
        <v>0</v>
      </c>
      <c r="DL488" s="752" t="str">
        <f>VLOOKUP(WWWW[[#This Row],[Site Name]],SiteDB6[[Site Name]:[Location Type 1]],9,FALSE)</f>
        <v>Village</v>
      </c>
      <c r="DM488" s="752" t="str">
        <f>VLOOKUP(WWWW[[#This Row],[Site Name]],SiteDB6[[Site Name]:[Type of Accommodation]],10,FALSE)</f>
        <v>Village</v>
      </c>
      <c r="DN488" s="752" t="str">
        <f>VLOOKUP(WWWW[[#This Row],[Site Name]],SiteDB6[[Site Name]:[Ethnic or GCA/NGCA]],11,FALSE)</f>
        <v>Rakhine</v>
      </c>
      <c r="DO488" s="752">
        <f>VLOOKUP(WWWW[[#This Row],[Site Name]],SiteDB6[[Site Name]:[Lat]],12,FALSE)</f>
        <v>20.849060059999999</v>
      </c>
      <c r="DP488" s="752">
        <f>VLOOKUP(WWWW[[#This Row],[Site Name]],SiteDB6[[Site Name]:[Long]],13,FALSE)</f>
        <v>92.497413640000005</v>
      </c>
      <c r="DQ488" s="752">
        <f>VLOOKUP(WWWW[[#This Row],[Site Name]],SiteDB6[[Site Name]:[Pcode]],3,FALSE)</f>
        <v>198313</v>
      </c>
      <c r="DR488" s="782" t="str">
        <f t="shared" si="17"/>
        <v>Covered</v>
      </c>
      <c r="DS488" s="782"/>
      <c r="DT488" s="745"/>
      <c r="DU488" s="745"/>
      <c r="DV488" s="770"/>
      <c r="DW488" s="745"/>
      <c r="DX488" s="746"/>
      <c r="DY488" s="746"/>
      <c r="DZ488" s="747"/>
      <c r="EA488" s="747"/>
      <c r="EB488" s="747"/>
      <c r="EC488" s="747"/>
      <c r="ED488" s="747"/>
      <c r="EE488" s="747"/>
      <c r="EF488" s="747"/>
      <c r="EG488" s="747"/>
      <c r="EH488" s="747"/>
    </row>
    <row r="489" spans="1:138" s="743" customFormat="1">
      <c r="A489" s="552" t="s">
        <v>2518</v>
      </c>
      <c r="B489" s="744" t="s">
        <v>3241</v>
      </c>
      <c r="C489" s="744" t="s">
        <v>387</v>
      </c>
      <c r="D489" s="744" t="s">
        <v>252</v>
      </c>
      <c r="E489" s="744" t="s">
        <v>3005</v>
      </c>
      <c r="F489" s="744" t="s">
        <v>337</v>
      </c>
      <c r="G489" s="791" t="str">
        <f>VLOOKUP(WWWW[[#This Row],[Site Name]],SiteDB6[[Site Name]:[Location Type]],8,FALSE)</f>
        <v>Village</v>
      </c>
      <c r="H489" s="809" t="s">
        <v>658</v>
      </c>
      <c r="I489" s="811">
        <v>115</v>
      </c>
      <c r="J489" s="759">
        <v>658</v>
      </c>
      <c r="K489" s="755">
        <v>43251</v>
      </c>
      <c r="L489" s="755">
        <v>43677</v>
      </c>
      <c r="M489" s="807"/>
      <c r="N489" s="807"/>
      <c r="O489" s="807"/>
      <c r="P489" s="807"/>
      <c r="Q489" s="759"/>
      <c r="R489" s="807"/>
      <c r="S489" s="807"/>
      <c r="T489" s="807">
        <v>0</v>
      </c>
      <c r="U489" s="807">
        <v>0</v>
      </c>
      <c r="V489" s="807">
        <v>0</v>
      </c>
      <c r="W489" s="807">
        <v>0</v>
      </c>
      <c r="X489" s="807">
        <v>0</v>
      </c>
      <c r="Y489" s="807">
        <v>0</v>
      </c>
      <c r="Z489" s="807">
        <v>0</v>
      </c>
      <c r="AA489" s="807">
        <v>0</v>
      </c>
      <c r="AB489" s="807">
        <v>0</v>
      </c>
      <c r="AC489" s="807">
        <v>0</v>
      </c>
      <c r="AD489" s="807"/>
      <c r="AE489" s="807">
        <v>2</v>
      </c>
      <c r="AF489" s="807"/>
      <c r="AG489" s="807"/>
      <c r="AH489" s="807">
        <v>2</v>
      </c>
      <c r="AI489" s="807">
        <v>1</v>
      </c>
      <c r="AJ489" s="807">
        <v>0</v>
      </c>
      <c r="AK489" s="807">
        <v>1</v>
      </c>
      <c r="AL489" s="807">
        <v>1</v>
      </c>
      <c r="AM489" s="807">
        <v>0</v>
      </c>
      <c r="AN489" s="807">
        <v>1</v>
      </c>
      <c r="AO489" s="782"/>
      <c r="AP489" s="759">
        <v>70</v>
      </c>
      <c r="AQ489" s="744">
        <v>0</v>
      </c>
      <c r="AR489" s="749"/>
      <c r="AS489" s="807"/>
      <c r="AT489" s="807"/>
      <c r="AU489" s="807"/>
      <c r="AV489" s="807"/>
      <c r="AW489" s="750">
        <v>70</v>
      </c>
      <c r="AX489" s="750" t="s">
        <v>144</v>
      </c>
      <c r="AY489" s="750" t="s">
        <v>144</v>
      </c>
      <c r="AZ489" s="750">
        <v>4</v>
      </c>
      <c r="BA489" s="807"/>
      <c r="BB489" s="759">
        <v>4</v>
      </c>
      <c r="BC489" s="752"/>
      <c r="BD489" s="807"/>
      <c r="BE489" s="807"/>
      <c r="BF489" s="807"/>
      <c r="BG489" s="807"/>
      <c r="BH489" s="807"/>
      <c r="BI489" s="750">
        <v>1</v>
      </c>
      <c r="BJ489" s="750">
        <v>0</v>
      </c>
      <c r="BK489" s="750">
        <v>115</v>
      </c>
      <c r="BL489" s="750">
        <v>115</v>
      </c>
      <c r="BM489" s="750" t="s">
        <v>144</v>
      </c>
      <c r="BN489" s="750">
        <v>2</v>
      </c>
      <c r="BO489" s="749"/>
      <c r="BP489" s="752"/>
      <c r="BQ489" s="751">
        <f>IFERROR(WWWW[[#This Row],['#_Water sources treated]]/WWWW[[#This Row],['#_Water sources tested for contamination]],"no test")</f>
        <v>0</v>
      </c>
      <c r="BR489" s="749">
        <f>IFERROR(WWWW[[#This Row],['#_Household received remediation action due to contamination]]/WWWW[[#This Row],['#_Household water samples tested for contamination]],"no test")</f>
        <v>1</v>
      </c>
      <c r="BS489" s="750" t="str">
        <f>IF(AND(WWWW[[#This Row],[% of water sources treated]]="no test",WWWW[[#This Row],[% Household received corrective actions]]="no test"),"No Test","Tested")</f>
        <v>Tested</v>
      </c>
      <c r="BT489" s="750">
        <f>WWWW[[#This Row],['#_Constructed/existing protected hand dug well]]-WWWW[[#This Row],['#_Non-functional protected hand dug well]]</f>
        <v>0</v>
      </c>
      <c r="BU489" s="750">
        <f>(WWWW[[#This Row],['#_Constructed/Existing tube wells/boreholes/handpumps_WASH_agency]]+WWWW[[#This Row],['#_Non-Cluster partner water tube-wells/boreholes/handpumps]])-WWWW[[#This Row],['#_Non-functional tube wells/boreholes/handpumps]]</f>
        <v>0</v>
      </c>
      <c r="BV489" s="750">
        <f>WWWW[[#This Row],['#_Constructed/Existingwater storage tank with gravity fed reticulation system]]-WWWW[[#This Row],['#_Non-functional storage tank gravity fed reticulation system]]</f>
        <v>0</v>
      </c>
      <c r="BW489" s="750">
        <f>WWWW[[#This Row],['#_Water boating or water trucking]]</f>
        <v>0</v>
      </c>
      <c r="BX489" s="750">
        <f>WWWW[[#This Row],['#_Constructed/Existing water distribution system from river or natural spring]]</f>
        <v>0</v>
      </c>
      <c r="BY489"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89"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89" s="749">
        <f>IF(WWWW[[#This Row],[Location Type 1]]="Village",WWWW[[#This Row],[Access to safe drinking water for Village]],WWWW[[#This Row],[Access to safe drinking water for Camp]])</f>
        <v>0</v>
      </c>
      <c r="CB489" s="759">
        <f>WWWW[[#This Row],[%Equitable and continuous access to sufficient quantity of safe drinking water]]*WWWW[[#This Row],[Total PoP ]]</f>
        <v>0</v>
      </c>
      <c r="CC489" s="749">
        <f>IF((WWWW[[#This Row],['#_Constructed/Existing protected/fenced ponds]]*250)/WWWW[[#This Row],[Total PoP ]]&gt;1,1,(WWWW[[#This Row],['#_Constructed/Existing protected/fenced ponds]]*250)/WWWW[[#This Row],[Total PoP ]])</f>
        <v>0.75987841945288759</v>
      </c>
      <c r="CD489" s="759">
        <f>WWWW[[#This Row],[% Access to unimproved water points]]*WWWW[[#This Row],[Total PoP ]]</f>
        <v>500.00000000000006</v>
      </c>
      <c r="CE489"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0.75987841945288759</v>
      </c>
      <c r="CF489"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G489" s="736">
        <f>WWWW[[#This Row],[HRP1]]/500</f>
        <v>1.0000000000000002</v>
      </c>
      <c r="CH489" s="748">
        <f>1-WWWW[[#This Row],[% Equitable and continuous access to sufficient quantity of domestic water]]</f>
        <v>0.24012158054711241</v>
      </c>
      <c r="CI489" s="759">
        <f>WWWW[[#This Row],[%equitable and continuous access to sufficient quantity of safe drinking and domestic water''s GAP]]*WWWW[[#This Row],[Total PoP ]]</f>
        <v>157.99999999999997</v>
      </c>
      <c r="CJ489" s="750">
        <f>IF(WWWW[[#This Row],[Total required water points]]-WWWW[[#This Row],['#Water points coverage]]&lt;0,0,WWWW[[#This Row],[Total required water points]]-WWWW[[#This Row],['#Water points coverage]])</f>
        <v>0</v>
      </c>
      <c r="CK489" s="750">
        <f>ROUND(IF(WWWW[[#This Row],[Total PoP ]]&lt;500,1,WWWW[[#This Row],[Total PoP ]]/500),0)</f>
        <v>1</v>
      </c>
      <c r="CL489" s="750">
        <f>(WWWW[[#This Row],['#_Constructed latrines_by_WASHAgencies]]+WWWW[[#This Row],['#_Non Cluster partner latrines]])-WWWW[[#This Row],['#_Non-functional latrines]]</f>
        <v>70</v>
      </c>
      <c r="CM48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0.63829787234042556</v>
      </c>
      <c r="CN489"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420</v>
      </c>
      <c r="CO489"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89" s="750" t="str">
        <f>IF(WWWW[[#This Row],[Location Type 1]]="Village","NA",IF(WWWW[[#This Row],['#_Constructed/Existing latrines in TLS]]*50&gt;WWWW[[#This Row],['#_students at TLS_CFS]],WWWW[[#This Row],['#_students at TLS_CFS]],(WWWW[[#This Row],['#_Constructed/Existing latrines in TLS]]*50)))</f>
        <v>NA</v>
      </c>
      <c r="CQ489" s="750">
        <f>ROUND(IF(WWWW[[#This Row],[Location Type 1]]="camp",WWWW[[#This Row],[Total PoP ]]/20,IF(WWWW[[#This Row],[Location Type 1]]="Temporary Location",WWWW[[#This Row],[Total PoP ]]/50,(WWWW[[#This Row],[Total PoP ]]/6))),0)</f>
        <v>110</v>
      </c>
      <c r="CR489" s="750">
        <f>IF(WWWW[[#This Row],[Total required Latrines]]-(WWWW[[#This Row],['#_Constructed latrines_by_WASHAgencies]]+WWWW[[#This Row],['#_Non Cluster partner latrines]])&lt;0,0,WWWW[[#This Row],[Total required Latrines]]-(WWWW[[#This Row],['#_Constructed latrines_by_WASHAgencies]]+WWWW[[#This Row],['#_Non Cluster partner latrines]]))</f>
        <v>40</v>
      </c>
      <c r="CS489" s="756">
        <f>1-WWWW[[#This Row],[% people access to functioning Latrine]]</f>
        <v>0.36170212765957444</v>
      </c>
      <c r="CT489" s="751">
        <f>IF(OR(WWWW[[#This Row],['#_Non-functional latrines]]="",WWWW[[#This Row],['#_Non-functional latrines]]=0),0,WWWW[[#This Row],['#_Non-functional latrines]]/(WWWW[[#This Row],['#_Constructed latrines_by_WASHAgencies]]+WWWW[[#This Row],['#_Non Cluster partner latrines]]))</f>
        <v>0</v>
      </c>
      <c r="CU489" s="759">
        <f>IF(500*(WWWW[[#This Row],['#_male hygiene promoters]]+WWWW[[#This Row],['#_female hygiene promoters]])&gt;WWWW[[#This Row],[Total PoP ]],WWWW[[#This Row],[Total PoP ]],500*(WWWW[[#This Row],['#_male hygiene promoters]]+WWWW[[#This Row],['#_female hygiene promoters]]))</f>
        <v>500</v>
      </c>
      <c r="CV489"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658</v>
      </c>
      <c r="CW489"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658</v>
      </c>
      <c r="CX489" s="750">
        <f>IF(WWWW[[#This Row],['# People with access to soap]]&gt;WWWW[[#This Row],['# People with access to Sanity Pads]],WWWW[[#This Row],['# People with access to soap]],WWWW[[#This Row],['# People with access to Sanity Pads]])</f>
        <v>658</v>
      </c>
      <c r="CY489" s="750">
        <f>IF(WWWW[[#This Row],['# people reached by regular dedicated hygiene promotion_5]]&gt;WWWW[[#This Row],['# People received regular supply of hygiene items_6]],WWWW[[#This Row],['# people reached by regular dedicated hygiene promotion_5]],WWWW[[#This Row],['# People received regular supply of hygiene items_6]])</f>
        <v>658</v>
      </c>
      <c r="CZ489" s="748">
        <f>IF(WWWW[[#This Row],[HRP3]]/WWWW[[#This Row],[Total PoP ]]&gt;100%,100%,WWWW[[#This Row],[HRP3]]/WWWW[[#This Row],[Total PoP ]])</f>
        <v>1</v>
      </c>
      <c r="DA489" s="751">
        <f>1-WWWW[[#This Row],[Hygiene Coverage%]]</f>
        <v>0</v>
      </c>
      <c r="DB489" s="737">
        <f>WWWW[[#This Row],['# people reached by regular dedicated hygiene promotion_5]]/WWWW[[#This Row],[Total PoP ]]</f>
        <v>0.75987841945288759</v>
      </c>
      <c r="DC489" s="737">
        <f>IF(WWWW[[#This Row],['#_households that received standard amount of soap for this quarter]]/WWWW[[#This Row],[Total HH]]&gt;1,1,WWWW[[#This Row],['#_households that received standard amount of soap for this quarter]]/WWWW[[#This Row],[Total HH]])</f>
        <v>1</v>
      </c>
      <c r="DD489" s="737">
        <f>IF(WWWW[[#This Row],['#_households that received standard amount of sanitary pads for this quarter]]/WWWW[[#This Row],[Total HH]]&gt;1,1,WWWW[[#This Row],['#_households that received standard amount of sanitary pads for this quarter]]/WWWW[[#This Row],[Total HH]])</f>
        <v>1</v>
      </c>
      <c r="DE489" s="595">
        <f>WWWW[[#This Row],['#_Constructed/Existing hand washing stations]]-WWWW[[#This Row],['#_Non-Functional_hand_washing_stations]]</f>
        <v>0</v>
      </c>
      <c r="DF489" s="757">
        <f>IF(WWWW[[#This Row],['# Functional hand washing stations during reporting period]]*20&gt;WWWW[[#This Row],[Total HH]],WWWW[[#This Row],[Total HH]],WWWW[[#This Row],['# Functional hand washing stations during reporting period]]*20)</f>
        <v>0</v>
      </c>
      <c r="DG489" s="736">
        <f>IF(WWWW[[#This Row],[Is sufficient soap available for TLS? (Yes/No)]]="yes",WWWW[[#This Row],['#_Constructed/Existing hand washing stations at TLS]],0)</f>
        <v>0</v>
      </c>
      <c r="DH489" s="736">
        <f>IF(WWWW[[#This Row],['# Functional hand washing stations during reporting period]]*100&gt;WWWW[[#This Row],[Total PoP ]],WWWW[[#This Row],[Total PoP ]],WWWW[[#This Row],['# Functional hand washing stations during reporting period]]*100)</f>
        <v>0</v>
      </c>
      <c r="DI489" s="736" t="str">
        <f>IF(OR(WWWW[[#This Row],['#_students at TLS_CFS]]="",WWWW[[#This Row],['#_students at TLS_CFS]]=0),"No","Yes")</f>
        <v>No</v>
      </c>
      <c r="DJ489" s="752">
        <f>VLOOKUP(WWWW[[#This Row],[Site Name]],SiteDB6[[Site Name]:[CCCM Management]],6,FALSE)</f>
        <v>0</v>
      </c>
      <c r="DK489" s="752">
        <f>VLOOKUP(WWWW[[#This Row],[Site Name]],SiteDB6[[Site Name]:[CCCM Focal Agency]],7,FALSE)</f>
        <v>0</v>
      </c>
      <c r="DL489" s="752" t="str">
        <f>VLOOKUP(WWWW[[#This Row],[Site Name]],SiteDB6[[Site Name]:[Location Type 1]],9,FALSE)</f>
        <v>Village</v>
      </c>
      <c r="DM489" s="752" t="str">
        <f>VLOOKUP(WWWW[[#This Row],[Site Name]],SiteDB6[[Site Name]:[Type of Accommodation]],10,FALSE)</f>
        <v>Village</v>
      </c>
      <c r="DN489" s="752" t="str">
        <f>VLOOKUP(WWWW[[#This Row],[Site Name]],SiteDB6[[Site Name]:[Ethnic or GCA/NGCA]],11,FALSE)</f>
        <v>Muslim</v>
      </c>
      <c r="DO489" s="752">
        <f>VLOOKUP(WWWW[[#This Row],[Site Name]],SiteDB6[[Site Name]:[Lat]],12,FALSE)</f>
        <v>20.876710889999998</v>
      </c>
      <c r="DP489" s="752">
        <f>VLOOKUP(WWWW[[#This Row],[Site Name]],SiteDB6[[Site Name]:[Long]],13,FALSE)</f>
        <v>92.537406919999995</v>
      </c>
      <c r="DQ489" s="752">
        <f>VLOOKUP(WWWW[[#This Row],[Site Name]],SiteDB6[[Site Name]:[Pcode]],3,FALSE)</f>
        <v>198301</v>
      </c>
      <c r="DR489" s="782" t="str">
        <f t="shared" si="17"/>
        <v>Covered</v>
      </c>
      <c r="DS489" s="782"/>
      <c r="DT489" s="745"/>
      <c r="DU489" s="745"/>
      <c r="DV489" s="770"/>
      <c r="DW489" s="745"/>
      <c r="DX489" s="746"/>
      <c r="DY489" s="746"/>
      <c r="DZ489" s="747"/>
      <c r="EA489" s="747"/>
      <c r="EB489" s="747"/>
      <c r="EC489" s="747"/>
      <c r="ED489" s="747"/>
      <c r="EE489" s="747"/>
      <c r="EF489" s="747"/>
      <c r="EG489" s="747"/>
      <c r="EH489" s="747"/>
    </row>
    <row r="490" spans="1:138" s="743" customFormat="1">
      <c r="A490" s="552" t="s">
        <v>2518</v>
      </c>
      <c r="B490" s="744" t="s">
        <v>3241</v>
      </c>
      <c r="C490" s="744" t="s">
        <v>387</v>
      </c>
      <c r="D490" s="744" t="s">
        <v>252</v>
      </c>
      <c r="E490" s="744" t="s">
        <v>3005</v>
      </c>
      <c r="F490" s="744" t="s">
        <v>337</v>
      </c>
      <c r="G490" s="791" t="str">
        <f>VLOOKUP(WWWW[[#This Row],[Site Name]],SiteDB6[[Site Name]:[Location Type]],8,FALSE)</f>
        <v>Village</v>
      </c>
      <c r="H490" s="809" t="s">
        <v>664</v>
      </c>
      <c r="I490" s="811">
        <v>11</v>
      </c>
      <c r="J490" s="759">
        <v>69</v>
      </c>
      <c r="K490" s="755">
        <v>43251</v>
      </c>
      <c r="L490" s="755">
        <v>43677</v>
      </c>
      <c r="M490" s="807"/>
      <c r="N490" s="807"/>
      <c r="O490" s="807"/>
      <c r="P490" s="807"/>
      <c r="Q490" s="759"/>
      <c r="R490" s="807"/>
      <c r="S490" s="807"/>
      <c r="T490" s="807">
        <v>0</v>
      </c>
      <c r="U490" s="807">
        <v>0</v>
      </c>
      <c r="V490" s="807">
        <v>0</v>
      </c>
      <c r="W490" s="807">
        <v>0</v>
      </c>
      <c r="X490" s="807">
        <v>0</v>
      </c>
      <c r="Y490" s="807">
        <v>0</v>
      </c>
      <c r="Z490" s="807">
        <v>0</v>
      </c>
      <c r="AA490" s="807">
        <v>0</v>
      </c>
      <c r="AB490" s="807">
        <v>0</v>
      </c>
      <c r="AC490" s="807">
        <v>0</v>
      </c>
      <c r="AD490" s="807"/>
      <c r="AE490" s="807">
        <v>1</v>
      </c>
      <c r="AF490" s="807"/>
      <c r="AG490" s="807"/>
      <c r="AH490" s="807">
        <v>0</v>
      </c>
      <c r="AI490" s="807">
        <v>1</v>
      </c>
      <c r="AJ490" s="807">
        <v>0</v>
      </c>
      <c r="AK490" s="807">
        <v>1</v>
      </c>
      <c r="AL490" s="807">
        <v>1</v>
      </c>
      <c r="AM490" s="807">
        <v>0</v>
      </c>
      <c r="AN490" s="807">
        <v>0</v>
      </c>
      <c r="AO490" s="782"/>
      <c r="AP490" s="759">
        <v>10</v>
      </c>
      <c r="AQ490" s="759">
        <v>10</v>
      </c>
      <c r="AR490" s="749"/>
      <c r="AS490" s="807"/>
      <c r="AT490" s="807"/>
      <c r="AU490" s="807"/>
      <c r="AV490" s="807"/>
      <c r="AW490" s="750">
        <v>10</v>
      </c>
      <c r="AX490" s="750" t="s">
        <v>144</v>
      </c>
      <c r="AY490" s="750" t="s">
        <v>144</v>
      </c>
      <c r="AZ490" s="750">
        <v>0</v>
      </c>
      <c r="BA490" s="807"/>
      <c r="BB490" s="759">
        <v>0</v>
      </c>
      <c r="BC490" s="752"/>
      <c r="BD490" s="807"/>
      <c r="BE490" s="807"/>
      <c r="BF490" s="807"/>
      <c r="BG490" s="807"/>
      <c r="BH490" s="807"/>
      <c r="BI490" s="750">
        <v>1</v>
      </c>
      <c r="BJ490" s="750">
        <v>0</v>
      </c>
      <c r="BK490" s="750">
        <v>11</v>
      </c>
      <c r="BL490" s="750">
        <v>11</v>
      </c>
      <c r="BM490" s="750" t="s">
        <v>144</v>
      </c>
      <c r="BN490" s="750">
        <v>2</v>
      </c>
      <c r="BO490" s="749"/>
      <c r="BP490" s="752"/>
      <c r="BQ490" s="751">
        <f>IFERROR(WWWW[[#This Row],['#_Water sources treated]]/WWWW[[#This Row],['#_Water sources tested for contamination]],"no test")</f>
        <v>0</v>
      </c>
      <c r="BR490" s="749">
        <f>IFERROR(WWWW[[#This Row],['#_Household received remediation action due to contamination]]/WWWW[[#This Row],['#_Household water samples tested for contamination]],"no test")</f>
        <v>1</v>
      </c>
      <c r="BS490" s="750" t="str">
        <f>IF(AND(WWWW[[#This Row],[% of water sources treated]]="no test",WWWW[[#This Row],[% Household received corrective actions]]="no test"),"No Test","Tested")</f>
        <v>Tested</v>
      </c>
      <c r="BT490" s="750">
        <f>WWWW[[#This Row],['#_Constructed/existing protected hand dug well]]-WWWW[[#This Row],['#_Non-functional protected hand dug well]]</f>
        <v>0</v>
      </c>
      <c r="BU490" s="750">
        <f>(WWWW[[#This Row],['#_Constructed/Existing tube wells/boreholes/handpumps_WASH_agency]]+WWWW[[#This Row],['#_Non-Cluster partner water tube-wells/boreholes/handpumps]])-WWWW[[#This Row],['#_Non-functional tube wells/boreholes/handpumps]]</f>
        <v>0</v>
      </c>
      <c r="BV490" s="750">
        <f>WWWW[[#This Row],['#_Constructed/Existingwater storage tank with gravity fed reticulation system]]-WWWW[[#This Row],['#_Non-functional storage tank gravity fed reticulation system]]</f>
        <v>0</v>
      </c>
      <c r="BW490" s="750">
        <f>WWWW[[#This Row],['#_Water boating or water trucking]]</f>
        <v>0</v>
      </c>
      <c r="BX490" s="750">
        <f>WWWW[[#This Row],['#_Constructed/Existing water distribution system from river or natural spring]]</f>
        <v>0</v>
      </c>
      <c r="BY490"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90"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90" s="749">
        <f>IF(WWWW[[#This Row],[Location Type 1]]="Village",WWWW[[#This Row],[Access to safe drinking water for Village]],WWWW[[#This Row],[Access to safe drinking water for Camp]])</f>
        <v>0</v>
      </c>
      <c r="CB490" s="759">
        <f>WWWW[[#This Row],[%Equitable and continuous access to sufficient quantity of safe drinking water]]*WWWW[[#This Row],[Total PoP ]]</f>
        <v>0</v>
      </c>
      <c r="CC490" s="749">
        <f>IF((WWWW[[#This Row],['#_Constructed/Existing protected/fenced ponds]]*250)/WWWW[[#This Row],[Total PoP ]]&gt;1,1,(WWWW[[#This Row],['#_Constructed/Existing protected/fenced ponds]]*250)/WWWW[[#This Row],[Total PoP ]])</f>
        <v>1</v>
      </c>
      <c r="CD490" s="759">
        <f>WWWW[[#This Row],[% Access to unimproved water points]]*WWWW[[#This Row],[Total PoP ]]</f>
        <v>69</v>
      </c>
      <c r="CE490"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0"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v>
      </c>
      <c r="CG490" s="736">
        <f>WWWW[[#This Row],[HRP1]]/500</f>
        <v>0.13800000000000001</v>
      </c>
      <c r="CH490" s="748">
        <f>1-WWWW[[#This Row],[% Equitable and continuous access to sufficient quantity of domestic water]]</f>
        <v>0</v>
      </c>
      <c r="CI490" s="759">
        <f>WWWW[[#This Row],[%equitable and continuous access to sufficient quantity of safe drinking and domestic water''s GAP]]*WWWW[[#This Row],[Total PoP ]]</f>
        <v>0</v>
      </c>
      <c r="CJ490" s="750">
        <f>IF(WWWW[[#This Row],[Total required water points]]-WWWW[[#This Row],['#Water points coverage]]&lt;0,0,WWWW[[#This Row],[Total required water points]]-WWWW[[#This Row],['#Water points coverage]])</f>
        <v>0.86199999999999999</v>
      </c>
      <c r="CK490" s="750">
        <f>ROUND(IF(WWWW[[#This Row],[Total PoP ]]&lt;500,1,WWWW[[#This Row],[Total PoP ]]/500),0)</f>
        <v>1</v>
      </c>
      <c r="CL490" s="750">
        <f>(WWWW[[#This Row],['#_Constructed latrines_by_WASHAgencies]]+WWWW[[#This Row],['#_Non Cluster partner latrines]])-WWWW[[#This Row],['#_Non-functional latrines]]</f>
        <v>20</v>
      </c>
      <c r="CM49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0"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69</v>
      </c>
      <c r="CO490"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0" s="750" t="str">
        <f>IF(WWWW[[#This Row],[Location Type 1]]="Village","NA",IF(WWWW[[#This Row],['#_Constructed/Existing latrines in TLS]]*50&gt;WWWW[[#This Row],['#_students at TLS_CFS]],WWWW[[#This Row],['#_students at TLS_CFS]],(WWWW[[#This Row],['#_Constructed/Existing latrines in TLS]]*50)))</f>
        <v>NA</v>
      </c>
      <c r="CQ490" s="750">
        <f>ROUND(IF(WWWW[[#This Row],[Location Type 1]]="camp",WWWW[[#This Row],[Total PoP ]]/20,IF(WWWW[[#This Row],[Location Type 1]]="Temporary Location",WWWW[[#This Row],[Total PoP ]]/50,(WWWW[[#This Row],[Total PoP ]]/6))),0)</f>
        <v>12</v>
      </c>
      <c r="CR490" s="750">
        <f>IF(WWWW[[#This Row],[Total required Latrines]]-(WWWW[[#This Row],['#_Constructed latrines_by_WASHAgencies]]+WWWW[[#This Row],['#_Non Cluster partner latrines]])&lt;0,0,WWWW[[#This Row],[Total required Latrines]]-(WWWW[[#This Row],['#_Constructed latrines_by_WASHAgencies]]+WWWW[[#This Row],['#_Non Cluster partner latrines]]))</f>
        <v>0</v>
      </c>
      <c r="CS490" s="756">
        <f>1-WWWW[[#This Row],[% people access to functioning Latrine]]</f>
        <v>0</v>
      </c>
      <c r="CT490" s="751">
        <f>IF(OR(WWWW[[#This Row],['#_Non-functional latrines]]="",WWWW[[#This Row],['#_Non-functional latrines]]=0),0,WWWW[[#This Row],['#_Non-functional latrines]]/(WWWW[[#This Row],['#_Constructed latrines_by_WASHAgencies]]+WWWW[[#This Row],['#_Non Cluster partner latrines]]))</f>
        <v>0</v>
      </c>
      <c r="CU490" s="759">
        <f>IF(500*(WWWW[[#This Row],['#_male hygiene promoters]]+WWWW[[#This Row],['#_female hygiene promoters]])&gt;WWWW[[#This Row],[Total PoP ]],WWWW[[#This Row],[Total PoP ]],500*(WWWW[[#This Row],['#_male hygiene promoters]]+WWWW[[#This Row],['#_female hygiene promoters]]))</f>
        <v>69</v>
      </c>
      <c r="CV490"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69</v>
      </c>
      <c r="CW490"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69</v>
      </c>
      <c r="CX490" s="750">
        <f>IF(WWWW[[#This Row],['# People with access to soap]]&gt;WWWW[[#This Row],['# People with access to Sanity Pads]],WWWW[[#This Row],['# People with access to soap]],WWWW[[#This Row],['# People with access to Sanity Pads]])</f>
        <v>69</v>
      </c>
      <c r="CY490" s="750">
        <f>IF(WWWW[[#This Row],['# people reached by regular dedicated hygiene promotion_5]]&gt;WWWW[[#This Row],['# People received regular supply of hygiene items_6]],WWWW[[#This Row],['# people reached by regular dedicated hygiene promotion_5]],WWWW[[#This Row],['# People received regular supply of hygiene items_6]])</f>
        <v>69</v>
      </c>
      <c r="CZ490" s="748">
        <f>IF(WWWW[[#This Row],[HRP3]]/WWWW[[#This Row],[Total PoP ]]&gt;100%,100%,WWWW[[#This Row],[HRP3]]/WWWW[[#This Row],[Total PoP ]])</f>
        <v>1</v>
      </c>
      <c r="DA490" s="751">
        <f>1-WWWW[[#This Row],[Hygiene Coverage%]]</f>
        <v>0</v>
      </c>
      <c r="DB490" s="737">
        <f>WWWW[[#This Row],['# people reached by regular dedicated hygiene promotion_5]]/WWWW[[#This Row],[Total PoP ]]</f>
        <v>1</v>
      </c>
      <c r="DC490" s="737">
        <f>IF(WWWW[[#This Row],['#_households that received standard amount of soap for this quarter]]/WWWW[[#This Row],[Total HH]]&gt;1,1,WWWW[[#This Row],['#_households that received standard amount of soap for this quarter]]/WWWW[[#This Row],[Total HH]])</f>
        <v>1</v>
      </c>
      <c r="DD490" s="737">
        <f>IF(WWWW[[#This Row],['#_households that received standard amount of sanitary pads for this quarter]]/WWWW[[#This Row],[Total HH]]&gt;1,1,WWWW[[#This Row],['#_households that received standard amount of sanitary pads for this quarter]]/WWWW[[#This Row],[Total HH]])</f>
        <v>1</v>
      </c>
      <c r="DE490" s="595">
        <f>WWWW[[#This Row],['#_Constructed/Existing hand washing stations]]-WWWW[[#This Row],['#_Non-Functional_hand_washing_stations]]</f>
        <v>0</v>
      </c>
      <c r="DF490" s="757">
        <f>IF(WWWW[[#This Row],['# Functional hand washing stations during reporting period]]*20&gt;WWWW[[#This Row],[Total HH]],WWWW[[#This Row],[Total HH]],WWWW[[#This Row],['# Functional hand washing stations during reporting period]]*20)</f>
        <v>0</v>
      </c>
      <c r="DG490" s="736">
        <f>IF(WWWW[[#This Row],[Is sufficient soap available for TLS? (Yes/No)]]="yes",WWWW[[#This Row],['#_Constructed/Existing hand washing stations at TLS]],0)</f>
        <v>0</v>
      </c>
      <c r="DH490" s="736">
        <f>IF(WWWW[[#This Row],['# Functional hand washing stations during reporting period]]*100&gt;WWWW[[#This Row],[Total PoP ]],WWWW[[#This Row],[Total PoP ]],WWWW[[#This Row],['# Functional hand washing stations during reporting period]]*100)</f>
        <v>0</v>
      </c>
      <c r="DI490" s="736" t="str">
        <f>IF(OR(WWWW[[#This Row],['#_students at TLS_CFS]]="",WWWW[[#This Row],['#_students at TLS_CFS]]=0),"No","Yes")</f>
        <v>No</v>
      </c>
      <c r="DJ490" s="752">
        <f>VLOOKUP(WWWW[[#This Row],[Site Name]],SiteDB6[[Site Name]:[CCCM Management]],6,FALSE)</f>
        <v>0</v>
      </c>
      <c r="DK490" s="752">
        <f>VLOOKUP(WWWW[[#This Row],[Site Name]],SiteDB6[[Site Name]:[CCCM Focal Agency]],7,FALSE)</f>
        <v>0</v>
      </c>
      <c r="DL490" s="752" t="str">
        <f>VLOOKUP(WWWW[[#This Row],[Site Name]],SiteDB6[[Site Name]:[Location Type 1]],9,FALSE)</f>
        <v>Village</v>
      </c>
      <c r="DM490" s="752" t="str">
        <f>VLOOKUP(WWWW[[#This Row],[Site Name]],SiteDB6[[Site Name]:[Type of Accommodation]],10,FALSE)</f>
        <v>Village</v>
      </c>
      <c r="DN490" s="752" t="str">
        <f>VLOOKUP(WWWW[[#This Row],[Site Name]],SiteDB6[[Site Name]:[Ethnic or GCA/NGCA]],11,FALSE)</f>
        <v>Muslim</v>
      </c>
      <c r="DO490" s="752">
        <f>VLOOKUP(WWWW[[#This Row],[Site Name]],SiteDB6[[Site Name]:[Lat]],12,FALSE)</f>
        <v>20.887029649999999</v>
      </c>
      <c r="DP490" s="752">
        <f>VLOOKUP(WWWW[[#This Row],[Site Name]],SiteDB6[[Site Name]:[Long]],13,FALSE)</f>
        <v>92.556823730000005</v>
      </c>
      <c r="DQ490" s="752">
        <f>VLOOKUP(WWWW[[#This Row],[Site Name]],SiteDB6[[Site Name]:[Pcode]],3,FALSE)</f>
        <v>217871</v>
      </c>
      <c r="DR490" s="782" t="str">
        <f t="shared" si="17"/>
        <v>Covered</v>
      </c>
      <c r="DS490" s="782"/>
      <c r="DT490" s="745"/>
      <c r="DU490" s="745"/>
      <c r="DV490" s="770"/>
      <c r="DW490" s="745"/>
      <c r="DX490" s="746"/>
      <c r="DY490" s="746"/>
      <c r="DZ490" s="747"/>
      <c r="EA490" s="747"/>
      <c r="EB490" s="747"/>
      <c r="EC490" s="747"/>
      <c r="ED490" s="747"/>
      <c r="EE490" s="747"/>
      <c r="EF490" s="747"/>
      <c r="EG490" s="747"/>
      <c r="EH490" s="747"/>
    </row>
    <row r="491" spans="1:138" s="743" customFormat="1">
      <c r="A491" s="552" t="s">
        <v>2518</v>
      </c>
      <c r="B491" s="744" t="s">
        <v>3241</v>
      </c>
      <c r="C491" s="744" t="s">
        <v>387</v>
      </c>
      <c r="D491" s="744" t="s">
        <v>252</v>
      </c>
      <c r="E491" s="744" t="s">
        <v>3005</v>
      </c>
      <c r="F491" s="744" t="s">
        <v>337</v>
      </c>
      <c r="G491" s="791" t="str">
        <f>VLOOKUP(WWWW[[#This Row],[Site Name]],SiteDB6[[Site Name]:[Location Type]],8,FALSE)</f>
        <v>Village</v>
      </c>
      <c r="H491" s="809" t="s">
        <v>3242</v>
      </c>
      <c r="I491" s="811">
        <v>250</v>
      </c>
      <c r="J491" s="759">
        <v>1012</v>
      </c>
      <c r="K491" s="755">
        <v>43251</v>
      </c>
      <c r="L491" s="755">
        <v>43677</v>
      </c>
      <c r="M491" s="807"/>
      <c r="N491" s="807"/>
      <c r="O491" s="807"/>
      <c r="P491" s="807"/>
      <c r="Q491" s="759"/>
      <c r="R491" s="807"/>
      <c r="S491" s="807"/>
      <c r="T491" s="807">
        <v>3</v>
      </c>
      <c r="U491" s="807">
        <v>0</v>
      </c>
      <c r="V491" s="807">
        <v>0</v>
      </c>
      <c r="W491" s="807">
        <v>3</v>
      </c>
      <c r="X491" s="807">
        <v>0</v>
      </c>
      <c r="Y491" s="807">
        <v>0</v>
      </c>
      <c r="Z491" s="807">
        <v>3</v>
      </c>
      <c r="AA491" s="807">
        <v>1</v>
      </c>
      <c r="AB491" s="807">
        <v>0</v>
      </c>
      <c r="AC491" s="807">
        <v>0</v>
      </c>
      <c r="AD491" s="807"/>
      <c r="AE491" s="807">
        <v>2</v>
      </c>
      <c r="AF491" s="807"/>
      <c r="AG491" s="807"/>
      <c r="AH491" s="807">
        <v>1</v>
      </c>
      <c r="AI491" s="807">
        <v>1</v>
      </c>
      <c r="AJ491" s="807">
        <v>0</v>
      </c>
      <c r="AK491" s="807">
        <v>1</v>
      </c>
      <c r="AL491" s="807">
        <v>1</v>
      </c>
      <c r="AM491" s="807">
        <v>0</v>
      </c>
      <c r="AN491" s="807">
        <v>1</v>
      </c>
      <c r="AO491" s="782"/>
      <c r="AP491" s="759">
        <v>0</v>
      </c>
      <c r="AQ491" s="744">
        <v>0</v>
      </c>
      <c r="AR491" s="749"/>
      <c r="AS491" s="807"/>
      <c r="AT491" s="807"/>
      <c r="AU491" s="807"/>
      <c r="AV491" s="807"/>
      <c r="AW491" s="750">
        <v>0</v>
      </c>
      <c r="AX491" s="750" t="s">
        <v>144</v>
      </c>
      <c r="AY491" s="750" t="s">
        <v>1200</v>
      </c>
      <c r="AZ491" s="750">
        <v>0</v>
      </c>
      <c r="BA491" s="807"/>
      <c r="BB491" s="759">
        <v>4</v>
      </c>
      <c r="BC491" s="752"/>
      <c r="BD491" s="807"/>
      <c r="BE491" s="807"/>
      <c r="BF491" s="807"/>
      <c r="BG491" s="807"/>
      <c r="BH491" s="807"/>
      <c r="BI491" s="750">
        <v>1</v>
      </c>
      <c r="BJ491" s="750">
        <v>1</v>
      </c>
      <c r="BK491" s="750">
        <v>0</v>
      </c>
      <c r="BL491" s="750">
        <v>0</v>
      </c>
      <c r="BM491" s="750" t="s">
        <v>144</v>
      </c>
      <c r="BN491" s="750">
        <v>0</v>
      </c>
      <c r="BO491" s="749"/>
      <c r="BP491" s="752"/>
      <c r="BQ491" s="751">
        <f>IFERROR(WWWW[[#This Row],['#_Water sources treated]]/WWWW[[#This Row],['#_Water sources tested for contamination]],"no test")</f>
        <v>0</v>
      </c>
      <c r="BR491" s="749">
        <f>IFERROR(WWWW[[#This Row],['#_Household received remediation action due to contamination]]/WWWW[[#This Row],['#_Household water samples tested for contamination]],"no test")</f>
        <v>1</v>
      </c>
      <c r="BS491" s="750" t="str">
        <f>IF(AND(WWWW[[#This Row],[% of water sources treated]]="no test",WWWW[[#This Row],[% Household received corrective actions]]="no test"),"No Test","Tested")</f>
        <v>Tested</v>
      </c>
      <c r="BT491" s="750">
        <f>WWWW[[#This Row],['#_Constructed/existing protected hand dug well]]-WWWW[[#This Row],['#_Non-functional protected hand dug well]]</f>
        <v>3</v>
      </c>
      <c r="BU491" s="750">
        <f>(WWWW[[#This Row],['#_Constructed/Existing tube wells/boreholes/handpumps_WASH_agency]]+WWWW[[#This Row],['#_Non-Cluster partner water tube-wells/boreholes/handpumps]])-WWWW[[#This Row],['#_Non-functional tube wells/boreholes/handpumps]]</f>
        <v>3</v>
      </c>
      <c r="BV491" s="750">
        <f>WWWW[[#This Row],['#_Constructed/Existingwater storage tank with gravity fed reticulation system]]-WWWW[[#This Row],['#_Non-functional storage tank gravity fed reticulation system]]</f>
        <v>1</v>
      </c>
      <c r="BW491" s="750">
        <f>WWWW[[#This Row],['#_Water boating or water trucking]]</f>
        <v>0</v>
      </c>
      <c r="BX491" s="750">
        <f>WWWW[[#This Row],['#_Constructed/Existing water distribution system from river or natural spring]]</f>
        <v>0</v>
      </c>
      <c r="BY491"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1"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1" s="749">
        <f>IF(WWWW[[#This Row],[Location Type 1]]="Village",WWWW[[#This Row],[Access to safe drinking water for Village]],WWWW[[#This Row],[Access to safe drinking water for Camp]])</f>
        <v>1</v>
      </c>
      <c r="CB491" s="759">
        <f>WWWW[[#This Row],[%Equitable and continuous access to sufficient quantity of safe drinking water]]*WWWW[[#This Row],[Total PoP ]]</f>
        <v>1012</v>
      </c>
      <c r="CC491" s="749">
        <f>IF((WWWW[[#This Row],['#_Constructed/Existing protected/fenced ponds]]*250)/WWWW[[#This Row],[Total PoP ]]&gt;1,1,(WWWW[[#This Row],['#_Constructed/Existing protected/fenced ponds]]*250)/WWWW[[#This Row],[Total PoP ]])</f>
        <v>0.49407114624505927</v>
      </c>
      <c r="CD491" s="759">
        <f>WWWW[[#This Row],[% Access to unimproved water points]]*WWWW[[#This Row],[Total PoP ]]</f>
        <v>500</v>
      </c>
      <c r="CE491"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1"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1012</v>
      </c>
      <c r="CG491" s="736">
        <f>WWWW[[#This Row],[HRP1]]/500</f>
        <v>2.024</v>
      </c>
      <c r="CH491" s="748">
        <f>1-WWWW[[#This Row],[% Equitable and continuous access to sufficient quantity of domestic water]]</f>
        <v>0</v>
      </c>
      <c r="CI491" s="759">
        <f>WWWW[[#This Row],[%equitable and continuous access to sufficient quantity of safe drinking and domestic water''s GAP]]*WWWW[[#This Row],[Total PoP ]]</f>
        <v>0</v>
      </c>
      <c r="CJ491" s="750">
        <f>IF(WWWW[[#This Row],[Total required water points]]-WWWW[[#This Row],['#Water points coverage]]&lt;0,0,WWWW[[#This Row],[Total required water points]]-WWWW[[#This Row],['#Water points coverage]])</f>
        <v>0</v>
      </c>
      <c r="CK491" s="750">
        <f>ROUND(IF(WWWW[[#This Row],[Total PoP ]]&lt;500,1,WWWW[[#This Row],[Total PoP ]]/500),0)</f>
        <v>2</v>
      </c>
      <c r="CL491" s="750">
        <f>(WWWW[[#This Row],['#_Constructed latrines_by_WASHAgencies]]+WWWW[[#This Row],['#_Non Cluster partner latrines]])-WWWW[[#This Row],['#_Non-functional latrines]]</f>
        <v>0</v>
      </c>
      <c r="CM49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91"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91"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1" s="750" t="str">
        <f>IF(WWWW[[#This Row],[Location Type 1]]="Village","NA",IF(WWWW[[#This Row],['#_Constructed/Existing latrines in TLS]]*50&gt;WWWW[[#This Row],['#_students at TLS_CFS]],WWWW[[#This Row],['#_students at TLS_CFS]],(WWWW[[#This Row],['#_Constructed/Existing latrines in TLS]]*50)))</f>
        <v>NA</v>
      </c>
      <c r="CQ491" s="750">
        <f>ROUND(IF(WWWW[[#This Row],[Location Type 1]]="camp",WWWW[[#This Row],[Total PoP ]]/20,IF(WWWW[[#This Row],[Location Type 1]]="Temporary Location",WWWW[[#This Row],[Total PoP ]]/50,(WWWW[[#This Row],[Total PoP ]]/6))),0)</f>
        <v>169</v>
      </c>
      <c r="CR491" s="750">
        <f>IF(WWWW[[#This Row],[Total required Latrines]]-(WWWW[[#This Row],['#_Constructed latrines_by_WASHAgencies]]+WWWW[[#This Row],['#_Non Cluster partner latrines]])&lt;0,0,WWWW[[#This Row],[Total required Latrines]]-(WWWW[[#This Row],['#_Constructed latrines_by_WASHAgencies]]+WWWW[[#This Row],['#_Non Cluster partner latrines]]))</f>
        <v>169</v>
      </c>
      <c r="CS491" s="756">
        <f>1-WWWW[[#This Row],[% people access to functioning Latrine]]</f>
        <v>1</v>
      </c>
      <c r="CT491" s="751">
        <f>IF(OR(WWWW[[#This Row],['#_Non-functional latrines]]="",WWWW[[#This Row],['#_Non-functional latrines]]=0),0,WWWW[[#This Row],['#_Non-functional latrines]]/(WWWW[[#This Row],['#_Constructed latrines_by_WASHAgencies]]+WWWW[[#This Row],['#_Non Cluster partner latrines]]))</f>
        <v>0</v>
      </c>
      <c r="CU491" s="759">
        <f>IF(500*(WWWW[[#This Row],['#_male hygiene promoters]]+WWWW[[#This Row],['#_female hygiene promoters]])&gt;WWWW[[#This Row],[Total PoP ]],WWWW[[#This Row],[Total PoP ]],500*(WWWW[[#This Row],['#_male hygiene promoters]]+WWWW[[#This Row],['#_female hygiene promoters]]))</f>
        <v>1000</v>
      </c>
      <c r="CV491"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491"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1" s="750">
        <f>IF(WWWW[[#This Row],['# People with access to soap]]&gt;WWWW[[#This Row],['# People with access to Sanity Pads]],WWWW[[#This Row],['# People with access to soap]],WWWW[[#This Row],['# People with access to Sanity Pads]])</f>
        <v>0</v>
      </c>
      <c r="CY491" s="750">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CZ491" s="748">
        <f>IF(WWWW[[#This Row],[HRP3]]/WWWW[[#This Row],[Total PoP ]]&gt;100%,100%,WWWW[[#This Row],[HRP3]]/WWWW[[#This Row],[Total PoP ]])</f>
        <v>0.98814229249011853</v>
      </c>
      <c r="DA491" s="751">
        <f>1-WWWW[[#This Row],[Hygiene Coverage%]]</f>
        <v>1.1857707509881465E-2</v>
      </c>
      <c r="DB491" s="737">
        <f>WWWW[[#This Row],['# people reached by regular dedicated hygiene promotion_5]]/WWWW[[#This Row],[Total PoP ]]</f>
        <v>0.98814229249011853</v>
      </c>
      <c r="DC491" s="737">
        <f>IF(WWWW[[#This Row],['#_households that received standard amount of soap for this quarter]]/WWWW[[#This Row],[Total HH]]&gt;1,1,WWWW[[#This Row],['#_households that received standard amount of soap for this quarter]]/WWWW[[#This Row],[Total HH]])</f>
        <v>0</v>
      </c>
      <c r="DD491" s="737">
        <f>IF(WWWW[[#This Row],['#_households that received standard amount of sanitary pads for this quarter]]/WWWW[[#This Row],[Total HH]]&gt;1,1,WWWW[[#This Row],['#_households that received standard amount of sanitary pads for this quarter]]/WWWW[[#This Row],[Total HH]])</f>
        <v>0</v>
      </c>
      <c r="DE491" s="595">
        <f>WWWW[[#This Row],['#_Constructed/Existing hand washing stations]]-WWWW[[#This Row],['#_Non-Functional_hand_washing_stations]]</f>
        <v>0</v>
      </c>
      <c r="DF491" s="757">
        <f>IF(WWWW[[#This Row],['# Functional hand washing stations during reporting period]]*20&gt;WWWW[[#This Row],[Total HH]],WWWW[[#This Row],[Total HH]],WWWW[[#This Row],['# Functional hand washing stations during reporting period]]*20)</f>
        <v>0</v>
      </c>
      <c r="DG491" s="736">
        <f>IF(WWWW[[#This Row],[Is sufficient soap available for TLS? (Yes/No)]]="yes",WWWW[[#This Row],['#_Constructed/Existing hand washing stations at TLS]],0)</f>
        <v>0</v>
      </c>
      <c r="DH491" s="736">
        <f>IF(WWWW[[#This Row],['# Functional hand washing stations during reporting period]]*100&gt;WWWW[[#This Row],[Total PoP ]],WWWW[[#This Row],[Total PoP ]],WWWW[[#This Row],['# Functional hand washing stations during reporting period]]*100)</f>
        <v>0</v>
      </c>
      <c r="DI491" s="736" t="str">
        <f>IF(OR(WWWW[[#This Row],['#_students at TLS_CFS]]="",WWWW[[#This Row],['#_students at TLS_CFS]]=0),"No","Yes")</f>
        <v>No</v>
      </c>
      <c r="DJ491" s="752">
        <f>VLOOKUP(WWWW[[#This Row],[Site Name]],SiteDB6[[Site Name]:[CCCM Management]],6,FALSE)</f>
        <v>0</v>
      </c>
      <c r="DK491" s="752">
        <f>VLOOKUP(WWWW[[#This Row],[Site Name]],SiteDB6[[Site Name]:[CCCM Focal Agency]],7,FALSE)</f>
        <v>0</v>
      </c>
      <c r="DL491" s="752" t="str">
        <f>VLOOKUP(WWWW[[#This Row],[Site Name]],SiteDB6[[Site Name]:[Location Type 1]],9,FALSE)</f>
        <v>Village</v>
      </c>
      <c r="DM491" s="752" t="str">
        <f>VLOOKUP(WWWW[[#This Row],[Site Name]],SiteDB6[[Site Name]:[Type of Accommodation]],10,FALSE)</f>
        <v>Village</v>
      </c>
      <c r="DN491" s="752">
        <f>VLOOKUP(WWWW[[#This Row],[Site Name]],SiteDB6[[Site Name]:[Ethnic or GCA/NGCA]],11,FALSE)</f>
        <v>0</v>
      </c>
      <c r="DO491" s="752">
        <f>VLOOKUP(WWWW[[#This Row],[Site Name]],SiteDB6[[Site Name]:[Lat]],12,FALSE)</f>
        <v>20.735639572143601</v>
      </c>
      <c r="DP491" s="752">
        <f>VLOOKUP(WWWW[[#This Row],[Site Name]],SiteDB6[[Site Name]:[Long]],13,FALSE)</f>
        <v>92.638076782226605</v>
      </c>
      <c r="DQ491" s="752">
        <f>VLOOKUP(WWWW[[#This Row],[Site Name]],SiteDB6[[Site Name]:[Pcode]],3,FALSE)</f>
        <v>198424</v>
      </c>
      <c r="DR491" s="782" t="str">
        <f t="shared" si="17"/>
        <v>Covered</v>
      </c>
      <c r="DS491" s="782"/>
      <c r="DT491" s="745"/>
      <c r="DU491" s="745"/>
      <c r="DV491" s="770"/>
      <c r="DW491" s="745"/>
      <c r="DX491" s="746"/>
      <c r="DY491" s="746"/>
      <c r="DZ491" s="747"/>
      <c r="EA491" s="747"/>
      <c r="EB491" s="747"/>
      <c r="EC491" s="747"/>
      <c r="ED491" s="747"/>
      <c r="EE491" s="747"/>
      <c r="EF491" s="747"/>
      <c r="EG491" s="747"/>
      <c r="EH491" s="747"/>
    </row>
    <row r="492" spans="1:138" s="743" customFormat="1">
      <c r="A492" s="552" t="s">
        <v>2518</v>
      </c>
      <c r="B492" s="744" t="s">
        <v>3241</v>
      </c>
      <c r="C492" s="744" t="s">
        <v>387</v>
      </c>
      <c r="D492" s="744" t="s">
        <v>252</v>
      </c>
      <c r="E492" s="744" t="s">
        <v>3005</v>
      </c>
      <c r="F492" s="744" t="s">
        <v>337</v>
      </c>
      <c r="G492" s="791" t="str">
        <f>VLOOKUP(WWWW[[#This Row],[Site Name]],SiteDB6[[Site Name]:[Location Type]],8,FALSE)</f>
        <v>Village</v>
      </c>
      <c r="H492" s="809" t="s">
        <v>3237</v>
      </c>
      <c r="I492" s="811">
        <v>260</v>
      </c>
      <c r="J492" s="759">
        <v>2652</v>
      </c>
      <c r="K492" s="755">
        <v>43251</v>
      </c>
      <c r="L492" s="755">
        <v>43677</v>
      </c>
      <c r="M492" s="807"/>
      <c r="N492" s="807"/>
      <c r="O492" s="807"/>
      <c r="P492" s="807"/>
      <c r="Q492" s="759"/>
      <c r="R492" s="807"/>
      <c r="S492" s="807"/>
      <c r="T492" s="807">
        <v>0</v>
      </c>
      <c r="U492" s="807">
        <v>0</v>
      </c>
      <c r="V492" s="807">
        <v>0</v>
      </c>
      <c r="W492" s="807">
        <v>9</v>
      </c>
      <c r="X492" s="807">
        <v>0</v>
      </c>
      <c r="Y492" s="807">
        <v>9</v>
      </c>
      <c r="Z492" s="807">
        <v>9</v>
      </c>
      <c r="AA492" s="807">
        <v>2</v>
      </c>
      <c r="AB492" s="807">
        <v>0</v>
      </c>
      <c r="AC492" s="807">
        <v>2</v>
      </c>
      <c r="AD492" s="807"/>
      <c r="AE492" s="807">
        <v>5</v>
      </c>
      <c r="AF492" s="807"/>
      <c r="AG492" s="807"/>
      <c r="AH492" s="807">
        <v>2</v>
      </c>
      <c r="AI492" s="807">
        <v>1</v>
      </c>
      <c r="AJ492" s="807">
        <v>0</v>
      </c>
      <c r="AK492" s="807">
        <v>1</v>
      </c>
      <c r="AL492" s="807">
        <v>1</v>
      </c>
      <c r="AM492" s="807">
        <v>0</v>
      </c>
      <c r="AN492" s="807">
        <v>1</v>
      </c>
      <c r="AO492" s="782"/>
      <c r="AP492" s="759">
        <v>0</v>
      </c>
      <c r="AQ492" s="744">
        <v>0</v>
      </c>
      <c r="AR492" s="749"/>
      <c r="AS492" s="807"/>
      <c r="AT492" s="807"/>
      <c r="AU492" s="807"/>
      <c r="AV492" s="807"/>
      <c r="AW492" s="750">
        <v>0</v>
      </c>
      <c r="AX492" s="750" t="s">
        <v>144</v>
      </c>
      <c r="AY492" s="750" t="s">
        <v>144</v>
      </c>
      <c r="AZ492" s="750">
        <v>0</v>
      </c>
      <c r="BA492" s="807"/>
      <c r="BB492" s="759">
        <v>4</v>
      </c>
      <c r="BC492" s="752"/>
      <c r="BD492" s="807"/>
      <c r="BE492" s="807"/>
      <c r="BF492" s="807"/>
      <c r="BG492" s="807"/>
      <c r="BH492" s="807"/>
      <c r="BI492" s="750">
        <v>0</v>
      </c>
      <c r="BJ492" s="750">
        <v>0</v>
      </c>
      <c r="BK492" s="750">
        <v>260</v>
      </c>
      <c r="BL492" s="750">
        <v>0</v>
      </c>
      <c r="BM492" s="750" t="s">
        <v>144</v>
      </c>
      <c r="BN492" s="750">
        <v>1</v>
      </c>
      <c r="BO492" s="749"/>
      <c r="BP492" s="752"/>
      <c r="BQ492" s="751">
        <f>IFERROR(WWWW[[#This Row],['#_Water sources treated]]/WWWW[[#This Row],['#_Water sources tested for contamination]],"no test")</f>
        <v>0</v>
      </c>
      <c r="BR492" s="749">
        <f>IFERROR(WWWW[[#This Row],['#_Household received remediation action due to contamination]]/WWWW[[#This Row],['#_Household water samples tested for contamination]],"no test")</f>
        <v>1</v>
      </c>
      <c r="BS492" s="750" t="str">
        <f>IF(AND(WWWW[[#This Row],[% of water sources treated]]="no test",WWWW[[#This Row],[% Household received corrective actions]]="no test"),"No Test","Tested")</f>
        <v>Tested</v>
      </c>
      <c r="BT492" s="750">
        <f>WWWW[[#This Row],['#_Constructed/existing protected hand dug well]]-WWWW[[#This Row],['#_Non-functional protected hand dug well]]</f>
        <v>0</v>
      </c>
      <c r="BU492" s="750">
        <f>(WWWW[[#This Row],['#_Constructed/Existing tube wells/boreholes/handpumps_WASH_agency]]+WWWW[[#This Row],['#_Non-Cluster partner water tube-wells/boreholes/handpumps]])-WWWW[[#This Row],['#_Non-functional tube wells/boreholes/handpumps]]</f>
        <v>0</v>
      </c>
      <c r="BV492" s="750">
        <f>WWWW[[#This Row],['#_Constructed/Existingwater storage tank with gravity fed reticulation system]]-WWWW[[#This Row],['#_Non-functional storage tank gravity fed reticulation system]]</f>
        <v>2</v>
      </c>
      <c r="BW492" s="750">
        <f>WWWW[[#This Row],['#_Water boating or water trucking]]</f>
        <v>0</v>
      </c>
      <c r="BX492" s="750">
        <f>WWWW[[#This Row],['#_Constructed/Existing water distribution system from river or natural spring]]</f>
        <v>0</v>
      </c>
      <c r="BY492"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5.0276520864756161E-2</v>
      </c>
      <c r="BZ492"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5.0276520864756161E-2</v>
      </c>
      <c r="CA492" s="749">
        <f>IF(WWWW[[#This Row],[Location Type 1]]="Village",WWWW[[#This Row],[Access to safe drinking water for Village]],WWWW[[#This Row],[Access to safe drinking water for Camp]])</f>
        <v>5.0276520864756161E-2</v>
      </c>
      <c r="CB492" s="759">
        <f>WWWW[[#This Row],[%Equitable and continuous access to sufficient quantity of safe drinking water]]*WWWW[[#This Row],[Total PoP ]]</f>
        <v>133.33333333333334</v>
      </c>
      <c r="CC492" s="749">
        <f>IF((WWWW[[#This Row],['#_Constructed/Existing protected/fenced ponds]]*250)/WWWW[[#This Row],[Total PoP ]]&gt;1,1,(WWWW[[#This Row],['#_Constructed/Existing protected/fenced ponds]]*250)/WWWW[[#This Row],[Total PoP ]])</f>
        <v>0.47134238310708898</v>
      </c>
      <c r="CD492" s="759">
        <f>WWWW[[#This Row],[% Access to unimproved water points]]*WWWW[[#This Row],[Total PoP ]]</f>
        <v>1250</v>
      </c>
      <c r="CE492"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0.52161890397184518</v>
      </c>
      <c r="CF492"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1383.3333333333333</v>
      </c>
      <c r="CG492" s="736">
        <f>WWWW[[#This Row],[HRP1]]/500</f>
        <v>2.7666666666666666</v>
      </c>
      <c r="CH492" s="748">
        <f>1-WWWW[[#This Row],[% Equitable and continuous access to sufficient quantity of domestic water]]</f>
        <v>0.47838109602815482</v>
      </c>
      <c r="CI492" s="759">
        <f>WWWW[[#This Row],[%equitable and continuous access to sufficient quantity of safe drinking and domestic water''s GAP]]*WWWW[[#This Row],[Total PoP ]]</f>
        <v>1268.6666666666665</v>
      </c>
      <c r="CJ492" s="750">
        <f>IF(WWWW[[#This Row],[Total required water points]]-WWWW[[#This Row],['#Water points coverage]]&lt;0,0,WWWW[[#This Row],[Total required water points]]-WWWW[[#This Row],['#Water points coverage]])</f>
        <v>2.2333333333333334</v>
      </c>
      <c r="CK492" s="750">
        <f>ROUND(IF(WWWW[[#This Row],[Total PoP ]]&lt;500,1,WWWW[[#This Row],[Total PoP ]]/500),0)</f>
        <v>5</v>
      </c>
      <c r="CL492" s="750">
        <f>(WWWW[[#This Row],['#_Constructed latrines_by_WASHAgencies]]+WWWW[[#This Row],['#_Non Cluster partner latrines]])-WWWW[[#This Row],['#_Non-functional latrines]]</f>
        <v>0</v>
      </c>
      <c r="CM49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92"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92"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2" s="750" t="str">
        <f>IF(WWWW[[#This Row],[Location Type 1]]="Village","NA",IF(WWWW[[#This Row],['#_Constructed/Existing latrines in TLS]]*50&gt;WWWW[[#This Row],['#_students at TLS_CFS]],WWWW[[#This Row],['#_students at TLS_CFS]],(WWWW[[#This Row],['#_Constructed/Existing latrines in TLS]]*50)))</f>
        <v>NA</v>
      </c>
      <c r="CQ492" s="750">
        <f>ROUND(IF(WWWW[[#This Row],[Location Type 1]]="camp",WWWW[[#This Row],[Total PoP ]]/20,IF(WWWW[[#This Row],[Location Type 1]]="Temporary Location",WWWW[[#This Row],[Total PoP ]]/50,(WWWW[[#This Row],[Total PoP ]]/6))),0)</f>
        <v>442</v>
      </c>
      <c r="CR492" s="750">
        <f>IF(WWWW[[#This Row],[Total required Latrines]]-(WWWW[[#This Row],['#_Constructed latrines_by_WASHAgencies]]+WWWW[[#This Row],['#_Non Cluster partner latrines]])&lt;0,0,WWWW[[#This Row],[Total required Latrines]]-(WWWW[[#This Row],['#_Constructed latrines_by_WASHAgencies]]+WWWW[[#This Row],['#_Non Cluster partner latrines]]))</f>
        <v>442</v>
      </c>
      <c r="CS492" s="756">
        <f>1-WWWW[[#This Row],[% people access to functioning Latrine]]</f>
        <v>1</v>
      </c>
      <c r="CT492" s="751">
        <f>IF(OR(WWWW[[#This Row],['#_Non-functional latrines]]="",WWWW[[#This Row],['#_Non-functional latrines]]=0),0,WWWW[[#This Row],['#_Non-functional latrines]]/(WWWW[[#This Row],['#_Constructed latrines_by_WASHAgencies]]+WWWW[[#This Row],['#_Non Cluster partner latrines]]))</f>
        <v>0</v>
      </c>
      <c r="CU492" s="759">
        <f>IF(500*(WWWW[[#This Row],['#_male hygiene promoters]]+WWWW[[#This Row],['#_female hygiene promoters]])&gt;WWWW[[#This Row],[Total PoP ]],WWWW[[#This Row],[Total PoP ]],500*(WWWW[[#This Row],['#_male hygiene promoters]]+WWWW[[#This Row],['#_female hygiene promoters]]))</f>
        <v>0</v>
      </c>
      <c r="CV492"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2652</v>
      </c>
      <c r="CW492"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2" s="750">
        <f>IF(WWWW[[#This Row],['# People with access to soap]]&gt;WWWW[[#This Row],['# People with access to Sanity Pads]],WWWW[[#This Row],['# People with access to soap]],WWWW[[#This Row],['# People with access to Sanity Pads]])</f>
        <v>2652</v>
      </c>
      <c r="CY492" s="750">
        <f>IF(WWWW[[#This Row],['# people reached by regular dedicated hygiene promotion_5]]&gt;WWWW[[#This Row],['# People received regular supply of hygiene items_6]],WWWW[[#This Row],['# people reached by regular dedicated hygiene promotion_5]],WWWW[[#This Row],['# People received regular supply of hygiene items_6]])</f>
        <v>2652</v>
      </c>
      <c r="CZ492" s="748">
        <f>IF(WWWW[[#This Row],[HRP3]]/WWWW[[#This Row],[Total PoP ]]&gt;100%,100%,WWWW[[#This Row],[HRP3]]/WWWW[[#This Row],[Total PoP ]])</f>
        <v>1</v>
      </c>
      <c r="DA492" s="751">
        <f>1-WWWW[[#This Row],[Hygiene Coverage%]]</f>
        <v>0</v>
      </c>
      <c r="DB492" s="737">
        <f>WWWW[[#This Row],['# people reached by regular dedicated hygiene promotion_5]]/WWWW[[#This Row],[Total PoP ]]</f>
        <v>0</v>
      </c>
      <c r="DC492" s="737">
        <f>IF(WWWW[[#This Row],['#_households that received standard amount of soap for this quarter]]/WWWW[[#This Row],[Total HH]]&gt;1,1,WWWW[[#This Row],['#_households that received standard amount of soap for this quarter]]/WWWW[[#This Row],[Total HH]])</f>
        <v>1</v>
      </c>
      <c r="DD492" s="737">
        <f>IF(WWWW[[#This Row],['#_households that received standard amount of sanitary pads for this quarter]]/WWWW[[#This Row],[Total HH]]&gt;1,1,WWWW[[#This Row],['#_households that received standard amount of sanitary pads for this quarter]]/WWWW[[#This Row],[Total HH]])</f>
        <v>0</v>
      </c>
      <c r="DE492" s="595">
        <f>WWWW[[#This Row],['#_Constructed/Existing hand washing stations]]-WWWW[[#This Row],['#_Non-Functional_hand_washing_stations]]</f>
        <v>0</v>
      </c>
      <c r="DF492" s="757">
        <f>IF(WWWW[[#This Row],['# Functional hand washing stations during reporting period]]*20&gt;WWWW[[#This Row],[Total HH]],WWWW[[#This Row],[Total HH]],WWWW[[#This Row],['# Functional hand washing stations during reporting period]]*20)</f>
        <v>0</v>
      </c>
      <c r="DG492" s="736">
        <f>IF(WWWW[[#This Row],[Is sufficient soap available for TLS? (Yes/No)]]="yes",WWWW[[#This Row],['#_Constructed/Existing hand washing stations at TLS]],0)</f>
        <v>0</v>
      </c>
      <c r="DH492" s="736">
        <f>IF(WWWW[[#This Row],['# Functional hand washing stations during reporting period]]*100&gt;WWWW[[#This Row],[Total PoP ]],WWWW[[#This Row],[Total PoP ]],WWWW[[#This Row],['# Functional hand washing stations during reporting period]]*100)</f>
        <v>0</v>
      </c>
      <c r="DI492" s="736" t="str">
        <f>IF(OR(WWWW[[#This Row],['#_students at TLS_CFS]]="",WWWW[[#This Row],['#_students at TLS_CFS]]=0),"No","Yes")</f>
        <v>No</v>
      </c>
      <c r="DJ492" s="752">
        <f>VLOOKUP(WWWW[[#This Row],[Site Name]],SiteDB6[[Site Name]:[CCCM Management]],6,FALSE)</f>
        <v>0</v>
      </c>
      <c r="DK492" s="752">
        <f>VLOOKUP(WWWW[[#This Row],[Site Name]],SiteDB6[[Site Name]:[CCCM Focal Agency]],7,FALSE)</f>
        <v>0</v>
      </c>
      <c r="DL492" s="752" t="str">
        <f>VLOOKUP(WWWW[[#This Row],[Site Name]],SiteDB6[[Site Name]:[Location Type 1]],9,FALSE)</f>
        <v>Village</v>
      </c>
      <c r="DM492" s="752" t="str">
        <f>VLOOKUP(WWWW[[#This Row],[Site Name]],SiteDB6[[Site Name]:[Type of Accommodation]],10,FALSE)</f>
        <v>Village</v>
      </c>
      <c r="DN492" s="752" t="str">
        <f>VLOOKUP(WWWW[[#This Row],[Site Name]],SiteDB6[[Site Name]:[Ethnic or GCA/NGCA]],11,FALSE)</f>
        <v>Muslim</v>
      </c>
      <c r="DO492" s="752">
        <f>VLOOKUP(WWWW[[#This Row],[Site Name]],SiteDB6[[Site Name]:[Lat]],12,FALSE)</f>
        <v>20.775840759277301</v>
      </c>
      <c r="DP492" s="752">
        <f>VLOOKUP(WWWW[[#This Row],[Site Name]],SiteDB6[[Site Name]:[Long]],13,FALSE)</f>
        <v>92.613082885742202</v>
      </c>
      <c r="DQ492" s="752">
        <f>VLOOKUP(WWWW[[#This Row],[Site Name]],SiteDB6[[Site Name]:[Pcode]],3,FALSE)</f>
        <v>198407</v>
      </c>
      <c r="DR492" s="782" t="str">
        <f t="shared" si="17"/>
        <v>Covered</v>
      </c>
      <c r="DS492" s="782"/>
      <c r="DT492" s="745"/>
      <c r="DU492" s="745"/>
      <c r="DV492" s="770"/>
      <c r="DW492" s="745"/>
      <c r="DX492" s="746"/>
      <c r="DY492" s="746"/>
      <c r="DZ492" s="747"/>
      <c r="EA492" s="747"/>
      <c r="EB492" s="747"/>
      <c r="EC492" s="747"/>
      <c r="ED492" s="747"/>
      <c r="EE492" s="747"/>
      <c r="EF492" s="747"/>
      <c r="EG492" s="747"/>
      <c r="EH492" s="747"/>
    </row>
    <row r="493" spans="1:138" s="743" customFormat="1">
      <c r="A493" s="552" t="s">
        <v>2518</v>
      </c>
      <c r="B493" s="744" t="s">
        <v>3241</v>
      </c>
      <c r="C493" s="744" t="s">
        <v>387</v>
      </c>
      <c r="D493" s="744" t="s">
        <v>252</v>
      </c>
      <c r="E493" s="744" t="s">
        <v>3005</v>
      </c>
      <c r="F493" s="744" t="s">
        <v>337</v>
      </c>
      <c r="G493" s="791" t="str">
        <f>VLOOKUP(WWWW[[#This Row],[Site Name]],SiteDB6[[Site Name]:[Location Type]],8,FALSE)</f>
        <v>Village</v>
      </c>
      <c r="H493" s="809" t="s">
        <v>602</v>
      </c>
      <c r="I493" s="811">
        <v>55</v>
      </c>
      <c r="J493" s="759">
        <v>233</v>
      </c>
      <c r="K493" s="755">
        <v>43251</v>
      </c>
      <c r="L493" s="755">
        <v>43677</v>
      </c>
      <c r="M493" s="807"/>
      <c r="N493" s="807"/>
      <c r="O493" s="807"/>
      <c r="P493" s="807"/>
      <c r="Q493" s="759"/>
      <c r="R493" s="807"/>
      <c r="S493" s="807"/>
      <c r="T493" s="807">
        <v>0</v>
      </c>
      <c r="U493" s="807">
        <v>0</v>
      </c>
      <c r="V493" s="807">
        <v>0</v>
      </c>
      <c r="W493" s="807">
        <v>2</v>
      </c>
      <c r="X493" s="807">
        <v>0</v>
      </c>
      <c r="Y493" s="807">
        <v>0</v>
      </c>
      <c r="Z493" s="807">
        <v>2</v>
      </c>
      <c r="AA493" s="807">
        <v>0</v>
      </c>
      <c r="AB493" s="807">
        <v>0</v>
      </c>
      <c r="AC493" s="807">
        <v>0</v>
      </c>
      <c r="AD493" s="807"/>
      <c r="AE493" s="807">
        <v>1</v>
      </c>
      <c r="AF493" s="807"/>
      <c r="AG493" s="807"/>
      <c r="AH493" s="807">
        <v>2</v>
      </c>
      <c r="AI493" s="807">
        <v>1</v>
      </c>
      <c r="AJ493" s="807">
        <v>0</v>
      </c>
      <c r="AK493" s="807">
        <v>1</v>
      </c>
      <c r="AL493" s="807">
        <v>1</v>
      </c>
      <c r="AM493" s="807">
        <v>0</v>
      </c>
      <c r="AN493" s="807">
        <v>0</v>
      </c>
      <c r="AO493" s="782"/>
      <c r="AP493" s="759">
        <v>45</v>
      </c>
      <c r="AQ493" s="759">
        <v>45</v>
      </c>
      <c r="AR493" s="749"/>
      <c r="AS493" s="807"/>
      <c r="AT493" s="807"/>
      <c r="AU493" s="807"/>
      <c r="AV493" s="807"/>
      <c r="AW493" s="750">
        <v>0</v>
      </c>
      <c r="AX493" s="750" t="s">
        <v>144</v>
      </c>
      <c r="AY493" s="750" t="s">
        <v>144</v>
      </c>
      <c r="AZ493" s="750">
        <v>0</v>
      </c>
      <c r="BA493" s="807"/>
      <c r="BB493" s="759">
        <v>0</v>
      </c>
      <c r="BC493" s="752"/>
      <c r="BD493" s="807"/>
      <c r="BE493" s="807"/>
      <c r="BF493" s="807"/>
      <c r="BG493" s="807"/>
      <c r="BH493" s="807"/>
      <c r="BI493" s="750">
        <v>0</v>
      </c>
      <c r="BJ493" s="750">
        <v>0</v>
      </c>
      <c r="BK493" s="750">
        <v>55</v>
      </c>
      <c r="BL493" s="750">
        <v>0</v>
      </c>
      <c r="BM493" s="750" t="s">
        <v>144</v>
      </c>
      <c r="BN493" s="750">
        <v>2</v>
      </c>
      <c r="BO493" s="749"/>
      <c r="BP493" s="752"/>
      <c r="BQ493" s="751">
        <f>IFERROR(WWWW[[#This Row],['#_Water sources treated]]/WWWW[[#This Row],['#_Water sources tested for contamination]],"no test")</f>
        <v>0</v>
      </c>
      <c r="BR493" s="749">
        <f>IFERROR(WWWW[[#This Row],['#_Household received remediation action due to contamination]]/WWWW[[#This Row],['#_Household water samples tested for contamination]],"no test")</f>
        <v>1</v>
      </c>
      <c r="BS493" s="750" t="str">
        <f>IF(AND(WWWW[[#This Row],[% of water sources treated]]="no test",WWWW[[#This Row],[% Household received corrective actions]]="no test"),"No Test","Tested")</f>
        <v>Tested</v>
      </c>
      <c r="BT493" s="750">
        <f>WWWW[[#This Row],['#_Constructed/existing protected hand dug well]]-WWWW[[#This Row],['#_Non-functional protected hand dug well]]</f>
        <v>0</v>
      </c>
      <c r="BU493" s="750">
        <f>(WWWW[[#This Row],['#_Constructed/Existing tube wells/boreholes/handpumps_WASH_agency]]+WWWW[[#This Row],['#_Non-Cluster partner water tube-wells/boreholes/handpumps]])-WWWW[[#This Row],['#_Non-functional tube wells/boreholes/handpumps]]</f>
        <v>2</v>
      </c>
      <c r="BV493" s="750">
        <f>WWWW[[#This Row],['#_Constructed/Existingwater storage tank with gravity fed reticulation system]]-WWWW[[#This Row],['#_Non-functional storage tank gravity fed reticulation system]]</f>
        <v>0</v>
      </c>
      <c r="BW493" s="750">
        <f>WWWW[[#This Row],['#_Water boating or water trucking]]</f>
        <v>0</v>
      </c>
      <c r="BX493" s="750">
        <f>WWWW[[#This Row],['#_Constructed/Existing water distribution system from river or natural spring]]</f>
        <v>0</v>
      </c>
      <c r="BY493"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3"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3" s="749">
        <f>IF(WWWW[[#This Row],[Location Type 1]]="Village",WWWW[[#This Row],[Access to safe drinking water for Village]],WWWW[[#This Row],[Access to safe drinking water for Camp]])</f>
        <v>1</v>
      </c>
      <c r="CB493" s="759">
        <f>WWWW[[#This Row],[%Equitable and continuous access to sufficient quantity of safe drinking water]]*WWWW[[#This Row],[Total PoP ]]</f>
        <v>233</v>
      </c>
      <c r="CC493" s="749">
        <f>IF((WWWW[[#This Row],['#_Constructed/Existing protected/fenced ponds]]*250)/WWWW[[#This Row],[Total PoP ]]&gt;1,1,(WWWW[[#This Row],['#_Constructed/Existing protected/fenced ponds]]*250)/WWWW[[#This Row],[Total PoP ]])</f>
        <v>1</v>
      </c>
      <c r="CD493" s="759">
        <f>WWWW[[#This Row],[% Access to unimproved water points]]*WWWW[[#This Row],[Total PoP ]]</f>
        <v>233</v>
      </c>
      <c r="CE493"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3"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233</v>
      </c>
      <c r="CG493" s="736">
        <f>WWWW[[#This Row],[HRP1]]/500</f>
        <v>0.46600000000000003</v>
      </c>
      <c r="CH493" s="748">
        <f>1-WWWW[[#This Row],[% Equitable and continuous access to sufficient quantity of domestic water]]</f>
        <v>0</v>
      </c>
      <c r="CI493" s="759">
        <f>WWWW[[#This Row],[%equitable and continuous access to sufficient quantity of safe drinking and domestic water''s GAP]]*WWWW[[#This Row],[Total PoP ]]</f>
        <v>0</v>
      </c>
      <c r="CJ493" s="750">
        <f>IF(WWWW[[#This Row],[Total required water points]]-WWWW[[#This Row],['#Water points coverage]]&lt;0,0,WWWW[[#This Row],[Total required water points]]-WWWW[[#This Row],['#Water points coverage]])</f>
        <v>0.53400000000000003</v>
      </c>
      <c r="CK493" s="750">
        <f>ROUND(IF(WWWW[[#This Row],[Total PoP ]]&lt;500,1,WWWW[[#This Row],[Total PoP ]]/500),0)</f>
        <v>1</v>
      </c>
      <c r="CL493" s="750">
        <f>(WWWW[[#This Row],['#_Constructed latrines_by_WASHAgencies]]+WWWW[[#This Row],['#_Non Cluster partner latrines]])-WWWW[[#This Row],['#_Non-functional latrines]]</f>
        <v>90</v>
      </c>
      <c r="CM49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3"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233</v>
      </c>
      <c r="CO493"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3" s="750" t="str">
        <f>IF(WWWW[[#This Row],[Location Type 1]]="Village","NA",IF(WWWW[[#This Row],['#_Constructed/Existing latrines in TLS]]*50&gt;WWWW[[#This Row],['#_students at TLS_CFS]],WWWW[[#This Row],['#_students at TLS_CFS]],(WWWW[[#This Row],['#_Constructed/Existing latrines in TLS]]*50)))</f>
        <v>NA</v>
      </c>
      <c r="CQ493" s="750">
        <f>ROUND(IF(WWWW[[#This Row],[Location Type 1]]="camp",WWWW[[#This Row],[Total PoP ]]/20,IF(WWWW[[#This Row],[Location Type 1]]="Temporary Location",WWWW[[#This Row],[Total PoP ]]/50,(WWWW[[#This Row],[Total PoP ]]/6))),0)</f>
        <v>39</v>
      </c>
      <c r="CR493" s="750">
        <f>IF(WWWW[[#This Row],[Total required Latrines]]-(WWWW[[#This Row],['#_Constructed latrines_by_WASHAgencies]]+WWWW[[#This Row],['#_Non Cluster partner latrines]])&lt;0,0,WWWW[[#This Row],[Total required Latrines]]-(WWWW[[#This Row],['#_Constructed latrines_by_WASHAgencies]]+WWWW[[#This Row],['#_Non Cluster partner latrines]]))</f>
        <v>0</v>
      </c>
      <c r="CS493" s="756">
        <f>1-WWWW[[#This Row],[% people access to functioning Latrine]]</f>
        <v>0</v>
      </c>
      <c r="CT493" s="751">
        <f>IF(OR(WWWW[[#This Row],['#_Non-functional latrines]]="",WWWW[[#This Row],['#_Non-functional latrines]]=0),0,WWWW[[#This Row],['#_Non-functional latrines]]/(WWWW[[#This Row],['#_Constructed latrines_by_WASHAgencies]]+WWWW[[#This Row],['#_Non Cluster partner latrines]]))</f>
        <v>0</v>
      </c>
      <c r="CU493" s="759">
        <f>IF(500*(WWWW[[#This Row],['#_male hygiene promoters]]+WWWW[[#This Row],['#_female hygiene promoters]])&gt;WWWW[[#This Row],[Total PoP ]],WWWW[[#This Row],[Total PoP ]],500*(WWWW[[#This Row],['#_male hygiene promoters]]+WWWW[[#This Row],['#_female hygiene promoters]]))</f>
        <v>0</v>
      </c>
      <c r="CV493"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233</v>
      </c>
      <c r="CW493"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493" s="750">
        <f>IF(WWWW[[#This Row],['# People with access to soap]]&gt;WWWW[[#This Row],['# People with access to Sanity Pads]],WWWW[[#This Row],['# People with access to soap]],WWWW[[#This Row],['# People with access to Sanity Pads]])</f>
        <v>233</v>
      </c>
      <c r="CY493" s="750">
        <f>IF(WWWW[[#This Row],['# people reached by regular dedicated hygiene promotion_5]]&gt;WWWW[[#This Row],['# People received regular supply of hygiene items_6]],WWWW[[#This Row],['# people reached by regular dedicated hygiene promotion_5]],WWWW[[#This Row],['# People received regular supply of hygiene items_6]])</f>
        <v>233</v>
      </c>
      <c r="CZ493" s="748">
        <f>IF(WWWW[[#This Row],[HRP3]]/WWWW[[#This Row],[Total PoP ]]&gt;100%,100%,WWWW[[#This Row],[HRP3]]/WWWW[[#This Row],[Total PoP ]])</f>
        <v>1</v>
      </c>
      <c r="DA493" s="751">
        <f>1-WWWW[[#This Row],[Hygiene Coverage%]]</f>
        <v>0</v>
      </c>
      <c r="DB493" s="737">
        <f>WWWW[[#This Row],['# people reached by regular dedicated hygiene promotion_5]]/WWWW[[#This Row],[Total PoP ]]</f>
        <v>0</v>
      </c>
      <c r="DC493" s="737">
        <f>IF(WWWW[[#This Row],['#_households that received standard amount of soap for this quarter]]/WWWW[[#This Row],[Total HH]]&gt;1,1,WWWW[[#This Row],['#_households that received standard amount of soap for this quarter]]/WWWW[[#This Row],[Total HH]])</f>
        <v>1</v>
      </c>
      <c r="DD493" s="737">
        <f>IF(WWWW[[#This Row],['#_households that received standard amount of sanitary pads for this quarter]]/WWWW[[#This Row],[Total HH]]&gt;1,1,WWWW[[#This Row],['#_households that received standard amount of sanitary pads for this quarter]]/WWWW[[#This Row],[Total HH]])</f>
        <v>0</v>
      </c>
      <c r="DE493" s="595">
        <f>WWWW[[#This Row],['#_Constructed/Existing hand washing stations]]-WWWW[[#This Row],['#_Non-Functional_hand_washing_stations]]</f>
        <v>0</v>
      </c>
      <c r="DF493" s="757">
        <f>IF(WWWW[[#This Row],['# Functional hand washing stations during reporting period]]*20&gt;WWWW[[#This Row],[Total HH]],WWWW[[#This Row],[Total HH]],WWWW[[#This Row],['# Functional hand washing stations during reporting period]]*20)</f>
        <v>0</v>
      </c>
      <c r="DG493" s="736">
        <f>IF(WWWW[[#This Row],[Is sufficient soap available for TLS? (Yes/No)]]="yes",WWWW[[#This Row],['#_Constructed/Existing hand washing stations at TLS]],0)</f>
        <v>0</v>
      </c>
      <c r="DH493" s="736">
        <f>IF(WWWW[[#This Row],['# Functional hand washing stations during reporting period]]*100&gt;WWWW[[#This Row],[Total PoP ]],WWWW[[#This Row],[Total PoP ]],WWWW[[#This Row],['# Functional hand washing stations during reporting period]]*100)</f>
        <v>0</v>
      </c>
      <c r="DI493" s="736" t="str">
        <f>IF(OR(WWWW[[#This Row],['#_students at TLS_CFS]]="",WWWW[[#This Row],['#_students at TLS_CFS]]=0),"No","Yes")</f>
        <v>No</v>
      </c>
      <c r="DJ493" s="752">
        <f>VLOOKUP(WWWW[[#This Row],[Site Name]],SiteDB6[[Site Name]:[CCCM Management]],6,FALSE)</f>
        <v>0</v>
      </c>
      <c r="DK493" s="752">
        <f>VLOOKUP(WWWW[[#This Row],[Site Name]],SiteDB6[[Site Name]:[CCCM Focal Agency]],7,FALSE)</f>
        <v>0</v>
      </c>
      <c r="DL493" s="752" t="str">
        <f>VLOOKUP(WWWW[[#This Row],[Site Name]],SiteDB6[[Site Name]:[Location Type 1]],9,FALSE)</f>
        <v>Village</v>
      </c>
      <c r="DM493" s="752" t="str">
        <f>VLOOKUP(WWWW[[#This Row],[Site Name]],SiteDB6[[Site Name]:[Type of Accommodation]],10,FALSE)</f>
        <v>Village</v>
      </c>
      <c r="DN493" s="752" t="str">
        <f>VLOOKUP(WWWW[[#This Row],[Site Name]],SiteDB6[[Site Name]:[Ethnic or GCA/NGCA]],11,FALSE)</f>
        <v>Rakhine</v>
      </c>
      <c r="DO493" s="752">
        <f>VLOOKUP(WWWW[[#This Row],[Site Name]],SiteDB6[[Site Name]:[Lat]],12,FALSE)</f>
        <v>20.76407051</v>
      </c>
      <c r="DP493" s="752">
        <f>VLOOKUP(WWWW[[#This Row],[Site Name]],SiteDB6[[Site Name]:[Long]],13,FALSE)</f>
        <v>92.631126399999999</v>
      </c>
      <c r="DQ493" s="752">
        <f>VLOOKUP(WWWW[[#This Row],[Site Name]],SiteDB6[[Site Name]:[Pcode]],3,FALSE)</f>
        <v>198408</v>
      </c>
      <c r="DR493" s="782" t="str">
        <f t="shared" si="17"/>
        <v>Covered</v>
      </c>
      <c r="DS493" s="782"/>
      <c r="DT493" s="745"/>
      <c r="DU493" s="745"/>
      <c r="DV493" s="770"/>
      <c r="DW493" s="745"/>
      <c r="DX493" s="746"/>
      <c r="DY493" s="746"/>
      <c r="DZ493" s="747"/>
      <c r="EA493" s="747"/>
      <c r="EB493" s="747"/>
      <c r="EC493" s="747"/>
      <c r="ED493" s="747"/>
      <c r="EE493" s="747"/>
      <c r="EF493" s="747"/>
      <c r="EG493" s="747"/>
      <c r="EH493" s="747"/>
    </row>
    <row r="494" spans="1:138" s="743" customFormat="1">
      <c r="A494" s="552" t="s">
        <v>2518</v>
      </c>
      <c r="B494" s="744" t="s">
        <v>3241</v>
      </c>
      <c r="C494" s="744" t="s">
        <v>387</v>
      </c>
      <c r="D494" s="744" t="s">
        <v>252</v>
      </c>
      <c r="E494" s="744" t="s">
        <v>3005</v>
      </c>
      <c r="F494" s="744" t="s">
        <v>337</v>
      </c>
      <c r="G494" s="791" t="str">
        <f>VLOOKUP(WWWW[[#This Row],[Site Name]],SiteDB6[[Site Name]:[Location Type]],8,FALSE)</f>
        <v>Village</v>
      </c>
      <c r="H494" s="809" t="s">
        <v>600</v>
      </c>
      <c r="I494" s="811">
        <v>166</v>
      </c>
      <c r="J494" s="759">
        <v>854</v>
      </c>
      <c r="K494" s="755">
        <v>43251</v>
      </c>
      <c r="L494" s="755">
        <v>43677</v>
      </c>
      <c r="M494" s="807"/>
      <c r="N494" s="807"/>
      <c r="O494" s="807"/>
      <c r="P494" s="807"/>
      <c r="Q494" s="759"/>
      <c r="R494" s="807"/>
      <c r="S494" s="807"/>
      <c r="T494" s="807">
        <v>1</v>
      </c>
      <c r="U494" s="807">
        <v>0</v>
      </c>
      <c r="V494" s="807">
        <v>0</v>
      </c>
      <c r="W494" s="807">
        <v>3</v>
      </c>
      <c r="X494" s="807">
        <v>1</v>
      </c>
      <c r="Y494" s="807">
        <v>3</v>
      </c>
      <c r="Z494" s="807">
        <v>3</v>
      </c>
      <c r="AA494" s="807">
        <v>2</v>
      </c>
      <c r="AB494" s="807">
        <v>0</v>
      </c>
      <c r="AC494" s="807">
        <v>0</v>
      </c>
      <c r="AD494" s="807"/>
      <c r="AE494" s="807">
        <v>2</v>
      </c>
      <c r="AF494" s="807"/>
      <c r="AG494" s="807"/>
      <c r="AH494" s="807">
        <v>0</v>
      </c>
      <c r="AI494" s="807">
        <v>1</v>
      </c>
      <c r="AJ494" s="807">
        <v>0</v>
      </c>
      <c r="AK494" s="807">
        <v>1</v>
      </c>
      <c r="AL494" s="807">
        <v>1</v>
      </c>
      <c r="AM494" s="807">
        <v>1</v>
      </c>
      <c r="AN494" s="807">
        <v>1</v>
      </c>
      <c r="AO494" s="782"/>
      <c r="AP494" s="759">
        <v>0</v>
      </c>
      <c r="AQ494" s="744">
        <v>0</v>
      </c>
      <c r="AR494" s="749"/>
      <c r="AS494" s="807"/>
      <c r="AT494" s="807"/>
      <c r="AU494" s="807"/>
      <c r="AV494" s="807"/>
      <c r="AW494" s="750">
        <v>0</v>
      </c>
      <c r="AX494" s="750" t="s">
        <v>144</v>
      </c>
      <c r="AY494" s="750" t="s">
        <v>144</v>
      </c>
      <c r="AZ494" s="750">
        <v>6</v>
      </c>
      <c r="BA494" s="807"/>
      <c r="BB494" s="759">
        <v>6</v>
      </c>
      <c r="BC494" s="752"/>
      <c r="BD494" s="807"/>
      <c r="BE494" s="807"/>
      <c r="BF494" s="807"/>
      <c r="BG494" s="807"/>
      <c r="BH494" s="807"/>
      <c r="BI494" s="750">
        <v>2</v>
      </c>
      <c r="BJ494" s="750">
        <v>2</v>
      </c>
      <c r="BK494" s="750">
        <v>166</v>
      </c>
      <c r="BL494" s="750">
        <v>166</v>
      </c>
      <c r="BM494" s="750" t="s">
        <v>144</v>
      </c>
      <c r="BN494" s="750">
        <v>1</v>
      </c>
      <c r="BO494" s="749"/>
      <c r="BP494" s="752"/>
      <c r="BQ494" s="751">
        <f>IFERROR(WWWW[[#This Row],['#_Water sources treated]]/WWWW[[#This Row],['#_Water sources tested for contamination]],"no test")</f>
        <v>0</v>
      </c>
      <c r="BR494" s="749">
        <f>IFERROR(WWWW[[#This Row],['#_Household received remediation action due to contamination]]/WWWW[[#This Row],['#_Household water samples tested for contamination]],"no test")</f>
        <v>1</v>
      </c>
      <c r="BS494" s="750" t="str">
        <f>IF(AND(WWWW[[#This Row],[% of water sources treated]]="no test",WWWW[[#This Row],[% Household received corrective actions]]="no test"),"No Test","Tested")</f>
        <v>Tested</v>
      </c>
      <c r="BT494" s="750">
        <f>WWWW[[#This Row],['#_Constructed/existing protected hand dug well]]-WWWW[[#This Row],['#_Non-functional protected hand dug well]]</f>
        <v>1</v>
      </c>
      <c r="BU494" s="750">
        <f>(WWWW[[#This Row],['#_Constructed/Existing tube wells/boreholes/handpumps_WASH_agency]]+WWWW[[#This Row],['#_Non-Cluster partner water tube-wells/boreholes/handpumps]])-WWWW[[#This Row],['#_Non-functional tube wells/boreholes/handpumps]]</f>
        <v>1</v>
      </c>
      <c r="BV494" s="750">
        <f>WWWW[[#This Row],['#_Constructed/Existingwater storage tank with gravity fed reticulation system]]-WWWW[[#This Row],['#_Non-functional storage tank gravity fed reticulation system]]</f>
        <v>2</v>
      </c>
      <c r="BW494" s="750">
        <f>WWWW[[#This Row],['#_Water boating or water trucking]]</f>
        <v>0</v>
      </c>
      <c r="BX494" s="750">
        <f>WWWW[[#This Row],['#_Constructed/Existing water distribution system from river or natural spring]]</f>
        <v>0</v>
      </c>
      <c r="BY494"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4"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0.74160811865729903</v>
      </c>
      <c r="CA494" s="749">
        <f>IF(WWWW[[#This Row],[Location Type 1]]="Village",WWWW[[#This Row],[Access to safe drinking water for Village]],WWWW[[#This Row],[Access to safe drinking water for Camp]])</f>
        <v>0.74160811865729903</v>
      </c>
      <c r="CB494" s="759">
        <f>WWWW[[#This Row],[%Equitable and continuous access to sufficient quantity of safe drinking water]]*WWWW[[#This Row],[Total PoP ]]</f>
        <v>633.33333333333337</v>
      </c>
      <c r="CC494" s="749">
        <f>IF((WWWW[[#This Row],['#_Constructed/Existing protected/fenced ponds]]*250)/WWWW[[#This Row],[Total PoP ]]&gt;1,1,(WWWW[[#This Row],['#_Constructed/Existing protected/fenced ponds]]*250)/WWWW[[#This Row],[Total PoP ]])</f>
        <v>0.58548009367681497</v>
      </c>
      <c r="CD494" s="759">
        <f>WWWW[[#This Row],[% Access to unimproved water points]]*WWWW[[#This Row],[Total PoP ]]</f>
        <v>500</v>
      </c>
      <c r="CE494"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4"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854</v>
      </c>
      <c r="CG494" s="736">
        <f>WWWW[[#This Row],[HRP1]]/500</f>
        <v>1.708</v>
      </c>
      <c r="CH494" s="748">
        <f>1-WWWW[[#This Row],[% Equitable and continuous access to sufficient quantity of domestic water]]</f>
        <v>0</v>
      </c>
      <c r="CI494" s="759">
        <f>WWWW[[#This Row],[%equitable and continuous access to sufficient quantity of safe drinking and domestic water''s GAP]]*WWWW[[#This Row],[Total PoP ]]</f>
        <v>0</v>
      </c>
      <c r="CJ494" s="750">
        <f>IF(WWWW[[#This Row],[Total required water points]]-WWWW[[#This Row],['#Water points coverage]]&lt;0,0,WWWW[[#This Row],[Total required water points]]-WWWW[[#This Row],['#Water points coverage]])</f>
        <v>0.29200000000000004</v>
      </c>
      <c r="CK494" s="750">
        <f>ROUND(IF(WWWW[[#This Row],[Total PoP ]]&lt;500,1,WWWW[[#This Row],[Total PoP ]]/500),0)</f>
        <v>2</v>
      </c>
      <c r="CL494" s="750">
        <f>(WWWW[[#This Row],['#_Constructed latrines_by_WASHAgencies]]+WWWW[[#This Row],['#_Non Cluster partner latrines]])-WWWW[[#This Row],['#_Non-functional latrines]]</f>
        <v>0</v>
      </c>
      <c r="CM49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494"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494"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4" s="750" t="str">
        <f>IF(WWWW[[#This Row],[Location Type 1]]="Village","NA",IF(WWWW[[#This Row],['#_Constructed/Existing latrines in TLS]]*50&gt;WWWW[[#This Row],['#_students at TLS_CFS]],WWWW[[#This Row],['#_students at TLS_CFS]],(WWWW[[#This Row],['#_Constructed/Existing latrines in TLS]]*50)))</f>
        <v>NA</v>
      </c>
      <c r="CQ494" s="750">
        <f>ROUND(IF(WWWW[[#This Row],[Location Type 1]]="camp",WWWW[[#This Row],[Total PoP ]]/20,IF(WWWW[[#This Row],[Location Type 1]]="Temporary Location",WWWW[[#This Row],[Total PoP ]]/50,(WWWW[[#This Row],[Total PoP ]]/6))),0)</f>
        <v>142</v>
      </c>
      <c r="CR494" s="750">
        <f>IF(WWWW[[#This Row],[Total required Latrines]]-(WWWW[[#This Row],['#_Constructed latrines_by_WASHAgencies]]+WWWW[[#This Row],['#_Non Cluster partner latrines]])&lt;0,0,WWWW[[#This Row],[Total required Latrines]]-(WWWW[[#This Row],['#_Constructed latrines_by_WASHAgencies]]+WWWW[[#This Row],['#_Non Cluster partner latrines]]))</f>
        <v>142</v>
      </c>
      <c r="CS494" s="756">
        <f>1-WWWW[[#This Row],[% people access to functioning Latrine]]</f>
        <v>1</v>
      </c>
      <c r="CT494" s="751">
        <f>IF(OR(WWWW[[#This Row],['#_Non-functional latrines]]="",WWWW[[#This Row],['#_Non-functional latrines]]=0),0,WWWW[[#This Row],['#_Non-functional latrines]]/(WWWW[[#This Row],['#_Constructed latrines_by_WASHAgencies]]+WWWW[[#This Row],['#_Non Cluster partner latrines]]))</f>
        <v>0</v>
      </c>
      <c r="CU494" s="759">
        <f>IF(500*(WWWW[[#This Row],['#_male hygiene promoters]]+WWWW[[#This Row],['#_female hygiene promoters]])&gt;WWWW[[#This Row],[Total PoP ]],WWWW[[#This Row],[Total PoP ]],500*(WWWW[[#This Row],['#_male hygiene promoters]]+WWWW[[#This Row],['#_female hygiene promoters]]))</f>
        <v>854</v>
      </c>
      <c r="CV494"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854</v>
      </c>
      <c r="CW494"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854</v>
      </c>
      <c r="CX494" s="750">
        <f>IF(WWWW[[#This Row],['# People with access to soap]]&gt;WWWW[[#This Row],['# People with access to Sanity Pads]],WWWW[[#This Row],['# People with access to soap]],WWWW[[#This Row],['# People with access to Sanity Pads]])</f>
        <v>854</v>
      </c>
      <c r="CY494" s="750">
        <f>IF(WWWW[[#This Row],['# people reached by regular dedicated hygiene promotion_5]]&gt;WWWW[[#This Row],['# People received regular supply of hygiene items_6]],WWWW[[#This Row],['# people reached by regular dedicated hygiene promotion_5]],WWWW[[#This Row],['# People received regular supply of hygiene items_6]])</f>
        <v>854</v>
      </c>
      <c r="CZ494" s="748">
        <f>IF(WWWW[[#This Row],[HRP3]]/WWWW[[#This Row],[Total PoP ]]&gt;100%,100%,WWWW[[#This Row],[HRP3]]/WWWW[[#This Row],[Total PoP ]])</f>
        <v>1</v>
      </c>
      <c r="DA494" s="751">
        <f>1-WWWW[[#This Row],[Hygiene Coverage%]]</f>
        <v>0</v>
      </c>
      <c r="DB494" s="737">
        <f>WWWW[[#This Row],['# people reached by regular dedicated hygiene promotion_5]]/WWWW[[#This Row],[Total PoP ]]</f>
        <v>1</v>
      </c>
      <c r="DC494" s="737">
        <f>IF(WWWW[[#This Row],['#_households that received standard amount of soap for this quarter]]/WWWW[[#This Row],[Total HH]]&gt;1,1,WWWW[[#This Row],['#_households that received standard amount of soap for this quarter]]/WWWW[[#This Row],[Total HH]])</f>
        <v>1</v>
      </c>
      <c r="DD494" s="737">
        <f>IF(WWWW[[#This Row],['#_households that received standard amount of sanitary pads for this quarter]]/WWWW[[#This Row],[Total HH]]&gt;1,1,WWWW[[#This Row],['#_households that received standard amount of sanitary pads for this quarter]]/WWWW[[#This Row],[Total HH]])</f>
        <v>1</v>
      </c>
      <c r="DE494" s="595">
        <f>WWWW[[#This Row],['#_Constructed/Existing hand washing stations]]-WWWW[[#This Row],['#_Non-Functional_hand_washing_stations]]</f>
        <v>0</v>
      </c>
      <c r="DF494" s="757">
        <f>IF(WWWW[[#This Row],['# Functional hand washing stations during reporting period]]*20&gt;WWWW[[#This Row],[Total HH]],WWWW[[#This Row],[Total HH]],WWWW[[#This Row],['# Functional hand washing stations during reporting period]]*20)</f>
        <v>0</v>
      </c>
      <c r="DG494" s="736">
        <f>IF(WWWW[[#This Row],[Is sufficient soap available for TLS? (Yes/No)]]="yes",WWWW[[#This Row],['#_Constructed/Existing hand washing stations at TLS]],0)</f>
        <v>0</v>
      </c>
      <c r="DH494" s="736">
        <f>IF(WWWW[[#This Row],['# Functional hand washing stations during reporting period]]*100&gt;WWWW[[#This Row],[Total PoP ]],WWWW[[#This Row],[Total PoP ]],WWWW[[#This Row],['# Functional hand washing stations during reporting period]]*100)</f>
        <v>0</v>
      </c>
      <c r="DI494" s="736" t="str">
        <f>IF(OR(WWWW[[#This Row],['#_students at TLS_CFS]]="",WWWW[[#This Row],['#_students at TLS_CFS]]=0),"No","Yes")</f>
        <v>No</v>
      </c>
      <c r="DJ494" s="752">
        <f>VLOOKUP(WWWW[[#This Row],[Site Name]],SiteDB6[[Site Name]:[CCCM Management]],6,FALSE)</f>
        <v>0</v>
      </c>
      <c r="DK494" s="752">
        <f>VLOOKUP(WWWW[[#This Row],[Site Name]],SiteDB6[[Site Name]:[CCCM Focal Agency]],7,FALSE)</f>
        <v>0</v>
      </c>
      <c r="DL494" s="752" t="str">
        <f>VLOOKUP(WWWW[[#This Row],[Site Name]],SiteDB6[[Site Name]:[Location Type 1]],9,FALSE)</f>
        <v>Village</v>
      </c>
      <c r="DM494" s="752" t="str">
        <f>VLOOKUP(WWWW[[#This Row],[Site Name]],SiteDB6[[Site Name]:[Type of Accommodation]],10,FALSE)</f>
        <v>Village</v>
      </c>
      <c r="DN494" s="752" t="str">
        <f>VLOOKUP(WWWW[[#This Row],[Site Name]],SiteDB6[[Site Name]:[Ethnic or GCA/NGCA]],11,FALSE)</f>
        <v>Rakhine</v>
      </c>
      <c r="DO494" s="752">
        <f>VLOOKUP(WWWW[[#This Row],[Site Name]],SiteDB6[[Site Name]:[Lat]],12,FALSE)</f>
        <v>20.756410599999999</v>
      </c>
      <c r="DP494" s="752">
        <f>VLOOKUP(WWWW[[#This Row],[Site Name]],SiteDB6[[Site Name]:[Long]],13,FALSE)</f>
        <v>92.63580322</v>
      </c>
      <c r="DQ494" s="752">
        <f>VLOOKUP(WWWW[[#This Row],[Site Name]],SiteDB6[[Site Name]:[Pcode]],3,FALSE)</f>
        <v>198413</v>
      </c>
      <c r="DR494" s="782" t="str">
        <f t="shared" si="17"/>
        <v>Covered</v>
      </c>
      <c r="DS494" s="782"/>
      <c r="DT494" s="745"/>
      <c r="DU494" s="745"/>
      <c r="DV494" s="770"/>
      <c r="DW494" s="745"/>
      <c r="DX494" s="746"/>
      <c r="DY494" s="746"/>
      <c r="DZ494" s="747"/>
      <c r="EA494" s="747"/>
      <c r="EB494" s="747"/>
      <c r="EC494" s="747"/>
      <c r="ED494" s="747"/>
      <c r="EE494" s="747"/>
      <c r="EF494" s="747"/>
      <c r="EG494" s="747"/>
      <c r="EH494" s="747"/>
    </row>
    <row r="495" spans="1:138" s="743" customFormat="1">
      <c r="A495" s="552" t="s">
        <v>2518</v>
      </c>
      <c r="B495" s="744" t="s">
        <v>3241</v>
      </c>
      <c r="C495" s="744" t="s">
        <v>387</v>
      </c>
      <c r="D495" s="744" t="s">
        <v>252</v>
      </c>
      <c r="E495" s="744" t="s">
        <v>3005</v>
      </c>
      <c r="F495" s="744" t="s">
        <v>337</v>
      </c>
      <c r="G495" s="791" t="str">
        <f>VLOOKUP(WWWW[[#This Row],[Site Name]],SiteDB6[[Site Name]:[Location Type]],8,FALSE)</f>
        <v>village</v>
      </c>
      <c r="H495" s="812" t="s">
        <v>3059</v>
      </c>
      <c r="I495" s="811">
        <v>192</v>
      </c>
      <c r="J495" s="759">
        <v>1690</v>
      </c>
      <c r="K495" s="755">
        <v>43251</v>
      </c>
      <c r="L495" s="755">
        <v>43677</v>
      </c>
      <c r="M495" s="807"/>
      <c r="N495" s="807"/>
      <c r="O495" s="807"/>
      <c r="P495" s="807"/>
      <c r="Q495" s="759"/>
      <c r="R495" s="807"/>
      <c r="S495" s="807"/>
      <c r="T495" s="807">
        <v>0</v>
      </c>
      <c r="U495" s="807">
        <v>0</v>
      </c>
      <c r="V495" s="807">
        <v>0</v>
      </c>
      <c r="W495" s="807">
        <v>3</v>
      </c>
      <c r="X495" s="807">
        <v>3</v>
      </c>
      <c r="Y495" s="807">
        <v>0</v>
      </c>
      <c r="Z495" s="807">
        <v>3</v>
      </c>
      <c r="AA495" s="807">
        <v>0</v>
      </c>
      <c r="AB495" s="807">
        <v>0</v>
      </c>
      <c r="AC495" s="807">
        <v>0</v>
      </c>
      <c r="AD495" s="807"/>
      <c r="AE495" s="807">
        <v>2</v>
      </c>
      <c r="AF495" s="807"/>
      <c r="AG495" s="807"/>
      <c r="AH495" s="807">
        <v>2</v>
      </c>
      <c r="AI495" s="807">
        <v>1</v>
      </c>
      <c r="AJ495" s="807">
        <v>0</v>
      </c>
      <c r="AK495" s="807">
        <v>1</v>
      </c>
      <c r="AL495" s="807">
        <v>1</v>
      </c>
      <c r="AM495" s="807">
        <v>0</v>
      </c>
      <c r="AN495" s="807">
        <v>0</v>
      </c>
      <c r="AO495" s="782"/>
      <c r="AP495" s="759">
        <v>94</v>
      </c>
      <c r="AQ495" s="752">
        <v>94</v>
      </c>
      <c r="AR495" s="749"/>
      <c r="AS495" s="807"/>
      <c r="AT495" s="807"/>
      <c r="AU495" s="807"/>
      <c r="AV495" s="807"/>
      <c r="AW495" s="750">
        <v>94</v>
      </c>
      <c r="AX495" s="750" t="s">
        <v>144</v>
      </c>
      <c r="AY495" s="750" t="s">
        <v>144</v>
      </c>
      <c r="AZ495" s="750">
        <v>0</v>
      </c>
      <c r="BA495" s="807"/>
      <c r="BB495" s="759">
        <v>0</v>
      </c>
      <c r="BC495" s="752"/>
      <c r="BD495" s="807"/>
      <c r="BE495" s="807"/>
      <c r="BF495" s="807"/>
      <c r="BG495" s="807"/>
      <c r="BH495" s="807"/>
      <c r="BI495" s="750">
        <v>2</v>
      </c>
      <c r="BJ495" s="750">
        <v>1</v>
      </c>
      <c r="BK495" s="750">
        <v>282</v>
      </c>
      <c r="BL495" s="750">
        <v>282</v>
      </c>
      <c r="BM495" s="750" t="s">
        <v>144</v>
      </c>
      <c r="BN495" s="750">
        <v>2</v>
      </c>
      <c r="BO495" s="749"/>
      <c r="BP495" s="752"/>
      <c r="BQ495" s="751">
        <f>IFERROR(WWWW[[#This Row],['#_Water sources treated]]/WWWW[[#This Row],['#_Water sources tested for contamination]],"no test")</f>
        <v>0</v>
      </c>
      <c r="BR495" s="749">
        <f>IFERROR(WWWW[[#This Row],['#_Household received remediation action due to contamination]]/WWWW[[#This Row],['#_Household water samples tested for contamination]],"no test")</f>
        <v>1</v>
      </c>
      <c r="BS495" s="750" t="str">
        <f>IF(AND(WWWW[[#This Row],[% of water sources treated]]="no test",WWWW[[#This Row],[% Household received corrective actions]]="no test"),"No Test","Tested")</f>
        <v>Tested</v>
      </c>
      <c r="BT495" s="750">
        <f>WWWW[[#This Row],['#_Constructed/existing protected hand dug well]]-WWWW[[#This Row],['#_Non-functional protected hand dug well]]</f>
        <v>0</v>
      </c>
      <c r="BU495" s="750">
        <f>(WWWW[[#This Row],['#_Constructed/Existing tube wells/boreholes/handpumps_WASH_agency]]+WWWW[[#This Row],['#_Non-Cluster partner water tube-wells/boreholes/handpumps]])-WWWW[[#This Row],['#_Non-functional tube wells/boreholes/handpumps]]</f>
        <v>6</v>
      </c>
      <c r="BV495" s="750">
        <f>WWWW[[#This Row],['#_Constructed/Existingwater storage tank with gravity fed reticulation system]]-WWWW[[#This Row],['#_Non-functional storage tank gravity fed reticulation system]]</f>
        <v>0</v>
      </c>
      <c r="BW495" s="750">
        <f>WWWW[[#This Row],['#_Water boating or water trucking]]</f>
        <v>0</v>
      </c>
      <c r="BX495" s="750">
        <f>WWWW[[#This Row],['#_Constructed/Existing water distribution system from river or natural spring]]</f>
        <v>0</v>
      </c>
      <c r="BY495"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5"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0.8875739644970414</v>
      </c>
      <c r="CA495" s="749">
        <f>IF(WWWW[[#This Row],[Location Type 1]]="Village",WWWW[[#This Row],[Access to safe drinking water for Village]],WWWW[[#This Row],[Access to safe drinking water for Camp]])</f>
        <v>0.8875739644970414</v>
      </c>
      <c r="CB495" s="759">
        <f>WWWW[[#This Row],[%Equitable and continuous access to sufficient quantity of safe drinking water]]*WWWW[[#This Row],[Total PoP ]]</f>
        <v>1500</v>
      </c>
      <c r="CC495" s="749">
        <f>IF((WWWW[[#This Row],['#_Constructed/Existing protected/fenced ponds]]*250)/WWWW[[#This Row],[Total PoP ]]&gt;1,1,(WWWW[[#This Row],['#_Constructed/Existing protected/fenced ponds]]*250)/WWWW[[#This Row],[Total PoP ]])</f>
        <v>0.29585798816568049</v>
      </c>
      <c r="CD495" s="759">
        <f>WWWW[[#This Row],[% Access to unimproved water points]]*WWWW[[#This Row],[Total PoP ]]</f>
        <v>500</v>
      </c>
      <c r="CE495"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5"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v>
      </c>
      <c r="CG495" s="736">
        <f>WWWW[[#This Row],[HRP1]]/500</f>
        <v>3.38</v>
      </c>
      <c r="CH495" s="748">
        <f>1-WWWW[[#This Row],[% Equitable and continuous access to sufficient quantity of domestic water]]</f>
        <v>0</v>
      </c>
      <c r="CI495" s="759">
        <f>WWWW[[#This Row],[%equitable and continuous access to sufficient quantity of safe drinking and domestic water''s GAP]]*WWWW[[#This Row],[Total PoP ]]</f>
        <v>0</v>
      </c>
      <c r="CJ495" s="750">
        <f>IF(WWWW[[#This Row],[Total required water points]]-WWWW[[#This Row],['#Water points coverage]]&lt;0,0,WWWW[[#This Row],[Total required water points]]-WWWW[[#This Row],['#Water points coverage]])</f>
        <v>0</v>
      </c>
      <c r="CK495" s="750">
        <f>ROUND(IF(WWWW[[#This Row],[Total PoP ]]&lt;500,1,WWWW[[#This Row],[Total PoP ]]/500),0)</f>
        <v>3</v>
      </c>
      <c r="CL495" s="750">
        <f>(WWWW[[#This Row],['#_Constructed latrines_by_WASHAgencies]]+WWWW[[#This Row],['#_Non Cluster partner latrines]])-WWWW[[#This Row],['#_Non-functional latrines]]</f>
        <v>188</v>
      </c>
      <c r="CM49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0.66745562130177516</v>
      </c>
      <c r="CN495"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1128</v>
      </c>
      <c r="CO495"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5" s="750" t="str">
        <f>IF(WWWW[[#This Row],[Location Type 1]]="Village","NA",IF(WWWW[[#This Row],['#_Constructed/Existing latrines in TLS]]*50&gt;WWWW[[#This Row],['#_students at TLS_CFS]],WWWW[[#This Row],['#_students at TLS_CFS]],(WWWW[[#This Row],['#_Constructed/Existing latrines in TLS]]*50)))</f>
        <v>NA</v>
      </c>
      <c r="CQ495" s="750">
        <f>ROUND(IF(WWWW[[#This Row],[Location Type 1]]="camp",WWWW[[#This Row],[Total PoP ]]/20,IF(WWWW[[#This Row],[Location Type 1]]="Temporary Location",WWWW[[#This Row],[Total PoP ]]/50,(WWWW[[#This Row],[Total PoP ]]/6))),0)</f>
        <v>282</v>
      </c>
      <c r="CR495" s="750">
        <f>IF(WWWW[[#This Row],[Total required Latrines]]-(WWWW[[#This Row],['#_Constructed latrines_by_WASHAgencies]]+WWWW[[#This Row],['#_Non Cluster partner latrines]])&lt;0,0,WWWW[[#This Row],[Total required Latrines]]-(WWWW[[#This Row],['#_Constructed latrines_by_WASHAgencies]]+WWWW[[#This Row],['#_Non Cluster partner latrines]]))</f>
        <v>94</v>
      </c>
      <c r="CS495" s="756">
        <f>1-WWWW[[#This Row],[% people access to functioning Latrine]]</f>
        <v>0.33254437869822484</v>
      </c>
      <c r="CT495" s="751">
        <f>IF(OR(WWWW[[#This Row],['#_Non-functional latrines]]="",WWWW[[#This Row],['#_Non-functional latrines]]=0),0,WWWW[[#This Row],['#_Non-functional latrines]]/(WWWW[[#This Row],['#_Constructed latrines_by_WASHAgencies]]+WWWW[[#This Row],['#_Non Cluster partner latrines]]))</f>
        <v>0</v>
      </c>
      <c r="CU495" s="759">
        <f>IF(500*(WWWW[[#This Row],['#_male hygiene promoters]]+WWWW[[#This Row],['#_female hygiene promoters]])&gt;WWWW[[#This Row],[Total PoP ]],WWWW[[#This Row],[Total PoP ]],500*(WWWW[[#This Row],['#_male hygiene promoters]]+WWWW[[#This Row],['#_female hygiene promoters]]))</f>
        <v>1500</v>
      </c>
      <c r="CV495"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1410</v>
      </c>
      <c r="CW495"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1410</v>
      </c>
      <c r="CX495" s="750">
        <f>IF(WWWW[[#This Row],['# People with access to soap]]&gt;WWWW[[#This Row],['# People with access to Sanity Pads]],WWWW[[#This Row],['# People with access to soap]],WWWW[[#This Row],['# People with access to Sanity Pads]])</f>
        <v>1410</v>
      </c>
      <c r="CY495" s="750">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495" s="748">
        <f>IF(WWWW[[#This Row],[HRP3]]/WWWW[[#This Row],[Total PoP ]]&gt;100%,100%,WWWW[[#This Row],[HRP3]]/WWWW[[#This Row],[Total PoP ]])</f>
        <v>0.8875739644970414</v>
      </c>
      <c r="DA495" s="751">
        <f>1-WWWW[[#This Row],[Hygiene Coverage%]]</f>
        <v>0.1124260355029586</v>
      </c>
      <c r="DB495" s="737">
        <f>WWWW[[#This Row],['# people reached by regular dedicated hygiene promotion_5]]/WWWW[[#This Row],[Total PoP ]]</f>
        <v>0.8875739644970414</v>
      </c>
      <c r="DC495" s="737">
        <f>IF(WWWW[[#This Row],['#_households that received standard amount of soap for this quarter]]/WWWW[[#This Row],[Total HH]]&gt;1,1,WWWW[[#This Row],['#_households that received standard amount of soap for this quarter]]/WWWW[[#This Row],[Total HH]])</f>
        <v>1</v>
      </c>
      <c r="DD495" s="737">
        <f>IF(WWWW[[#This Row],['#_households that received standard amount of sanitary pads for this quarter]]/WWWW[[#This Row],[Total HH]]&gt;1,1,WWWW[[#This Row],['#_households that received standard amount of sanitary pads for this quarter]]/WWWW[[#This Row],[Total HH]])</f>
        <v>1</v>
      </c>
      <c r="DE495" s="595">
        <f>WWWW[[#This Row],['#_Constructed/Existing hand washing stations]]-WWWW[[#This Row],['#_Non-Functional_hand_washing_stations]]</f>
        <v>0</v>
      </c>
      <c r="DF495" s="757">
        <f>IF(WWWW[[#This Row],['# Functional hand washing stations during reporting period]]*20&gt;WWWW[[#This Row],[Total HH]],WWWW[[#This Row],[Total HH]],WWWW[[#This Row],['# Functional hand washing stations during reporting period]]*20)</f>
        <v>0</v>
      </c>
      <c r="DG495" s="736">
        <f>IF(WWWW[[#This Row],[Is sufficient soap available for TLS? (Yes/No)]]="yes",WWWW[[#This Row],['#_Constructed/Existing hand washing stations at TLS]],0)</f>
        <v>0</v>
      </c>
      <c r="DH495" s="736">
        <f>IF(WWWW[[#This Row],['# Functional hand washing stations during reporting period]]*100&gt;WWWW[[#This Row],[Total PoP ]],WWWW[[#This Row],[Total PoP ]],WWWW[[#This Row],['# Functional hand washing stations during reporting period]]*100)</f>
        <v>0</v>
      </c>
      <c r="DI495" s="736" t="str">
        <f>IF(OR(WWWW[[#This Row],['#_students at TLS_CFS]]="",WWWW[[#This Row],['#_students at TLS_CFS]]=0),"No","Yes")</f>
        <v>No</v>
      </c>
      <c r="DJ495" s="752">
        <f>VLOOKUP(WWWW[[#This Row],[Site Name]],SiteDB6[[Site Name]:[CCCM Management]],6,FALSE)</f>
        <v>0</v>
      </c>
      <c r="DK495" s="752">
        <f>VLOOKUP(WWWW[[#This Row],[Site Name]],SiteDB6[[Site Name]:[CCCM Focal Agency]],7,FALSE)</f>
        <v>0</v>
      </c>
      <c r="DL495" s="752" t="str">
        <f>VLOOKUP(WWWW[[#This Row],[Site Name]],SiteDB6[[Site Name]:[Location Type 1]],9,FALSE)</f>
        <v>village</v>
      </c>
      <c r="DM495" s="752" t="str">
        <f>VLOOKUP(WWWW[[#This Row],[Site Name]],SiteDB6[[Site Name]:[Type of Accommodation]],10,FALSE)</f>
        <v>village</v>
      </c>
      <c r="DN495" s="752" t="str">
        <f>VLOOKUP(WWWW[[#This Row],[Site Name]],SiteDB6[[Site Name]:[Ethnic or GCA/NGCA]],11,FALSE)</f>
        <v>Muslim</v>
      </c>
      <c r="DO495" s="752">
        <f>VLOOKUP(WWWW[[#This Row],[Site Name]],SiteDB6[[Site Name]:[Lat]],12,FALSE)</f>
        <v>20.741249079999999</v>
      </c>
      <c r="DP495" s="752">
        <f>VLOOKUP(WWWW[[#This Row],[Site Name]],SiteDB6[[Site Name]:[Long]],13,FALSE)</f>
        <v>92.610519409999995</v>
      </c>
      <c r="DQ495" s="752">
        <f>VLOOKUP(WWWW[[#This Row],[Site Name]],SiteDB6[[Site Name]:[Pcode]],3,FALSE)</f>
        <v>198398</v>
      </c>
      <c r="DR495" s="782" t="str">
        <f t="shared" si="17"/>
        <v>Covered</v>
      </c>
      <c r="DS495" s="782"/>
      <c r="DT495" s="745"/>
      <c r="DU495" s="745"/>
      <c r="DV495" s="770"/>
      <c r="DW495" s="745"/>
      <c r="DX495" s="746"/>
      <c r="DY495" s="746"/>
      <c r="DZ495" s="747"/>
      <c r="EA495" s="747"/>
      <c r="EB495" s="747"/>
      <c r="EC495" s="747"/>
      <c r="ED495" s="747"/>
      <c r="EE495" s="747"/>
      <c r="EF495" s="747"/>
      <c r="EG495" s="747"/>
      <c r="EH495" s="747"/>
    </row>
    <row r="496" spans="1:138" s="743" customFormat="1">
      <c r="A496" s="552" t="s">
        <v>2518</v>
      </c>
      <c r="B496" s="744" t="s">
        <v>3241</v>
      </c>
      <c r="C496" s="744" t="s">
        <v>387</v>
      </c>
      <c r="D496" s="744" t="s">
        <v>252</v>
      </c>
      <c r="E496" s="744" t="s">
        <v>3005</v>
      </c>
      <c r="F496" s="744" t="s">
        <v>337</v>
      </c>
      <c r="G496" s="791" t="str">
        <f>VLOOKUP(WWWW[[#This Row],[Site Name]],SiteDB6[[Site Name]:[Location Type]],8,FALSE)</f>
        <v>Village</v>
      </c>
      <c r="H496" s="812" t="s">
        <v>594</v>
      </c>
      <c r="I496" s="811">
        <v>80</v>
      </c>
      <c r="J496" s="759">
        <v>300</v>
      </c>
      <c r="K496" s="755">
        <v>43251</v>
      </c>
      <c r="L496" s="755">
        <v>43677</v>
      </c>
      <c r="M496" s="807"/>
      <c r="N496" s="807"/>
      <c r="O496" s="807"/>
      <c r="P496" s="807"/>
      <c r="Q496" s="759"/>
      <c r="R496" s="807"/>
      <c r="S496" s="807"/>
      <c r="T496" s="807">
        <v>0</v>
      </c>
      <c r="U496" s="807">
        <v>0</v>
      </c>
      <c r="V496" s="807">
        <v>0</v>
      </c>
      <c r="W496" s="807">
        <v>0</v>
      </c>
      <c r="X496" s="807">
        <v>0</v>
      </c>
      <c r="Y496" s="807">
        <v>0</v>
      </c>
      <c r="Z496" s="807">
        <v>0</v>
      </c>
      <c r="AA496" s="807">
        <v>0</v>
      </c>
      <c r="AB496" s="807">
        <v>0</v>
      </c>
      <c r="AC496" s="807">
        <v>0</v>
      </c>
      <c r="AD496" s="807"/>
      <c r="AE496" s="807">
        <v>3</v>
      </c>
      <c r="AF496" s="807"/>
      <c r="AG496" s="807"/>
      <c r="AH496" s="807">
        <v>3</v>
      </c>
      <c r="AI496" s="807">
        <v>1</v>
      </c>
      <c r="AJ496" s="807">
        <v>0</v>
      </c>
      <c r="AK496" s="807">
        <v>1</v>
      </c>
      <c r="AL496" s="807">
        <v>1</v>
      </c>
      <c r="AM496" s="807">
        <v>0</v>
      </c>
      <c r="AN496" s="807">
        <v>0</v>
      </c>
      <c r="AO496" s="782"/>
      <c r="AP496" s="759">
        <v>41</v>
      </c>
      <c r="AQ496" s="752">
        <v>41</v>
      </c>
      <c r="AR496" s="749"/>
      <c r="AS496" s="807"/>
      <c r="AT496" s="807"/>
      <c r="AU496" s="807"/>
      <c r="AV496" s="807"/>
      <c r="AW496" s="750">
        <v>41</v>
      </c>
      <c r="AX496" s="750" t="s">
        <v>144</v>
      </c>
      <c r="AY496" s="750" t="s">
        <v>144</v>
      </c>
      <c r="AZ496" s="750">
        <v>4</v>
      </c>
      <c r="BA496" s="807"/>
      <c r="BB496" s="759">
        <v>4</v>
      </c>
      <c r="BC496" s="752"/>
      <c r="BD496" s="807"/>
      <c r="BE496" s="807"/>
      <c r="BF496" s="807"/>
      <c r="BG496" s="807"/>
      <c r="BH496" s="807"/>
      <c r="BI496" s="750">
        <v>1</v>
      </c>
      <c r="BJ496" s="750">
        <v>1</v>
      </c>
      <c r="BK496" s="750">
        <v>80</v>
      </c>
      <c r="BL496" s="750">
        <v>80</v>
      </c>
      <c r="BM496" s="750" t="s">
        <v>144</v>
      </c>
      <c r="BN496" s="750">
        <v>2</v>
      </c>
      <c r="BO496" s="749"/>
      <c r="BP496" s="752"/>
      <c r="BQ496" s="751">
        <f>IFERROR(WWWW[[#This Row],['#_Water sources treated]]/WWWW[[#This Row],['#_Water sources tested for contamination]],"no test")</f>
        <v>0</v>
      </c>
      <c r="BR496" s="749">
        <f>IFERROR(WWWW[[#This Row],['#_Household received remediation action due to contamination]]/WWWW[[#This Row],['#_Household water samples tested for contamination]],"no test")</f>
        <v>1</v>
      </c>
      <c r="BS496" s="750" t="str">
        <f>IF(AND(WWWW[[#This Row],[% of water sources treated]]="no test",WWWW[[#This Row],[% Household received corrective actions]]="no test"),"No Test","Tested")</f>
        <v>Tested</v>
      </c>
      <c r="BT496" s="750">
        <f>WWWW[[#This Row],['#_Constructed/existing protected hand dug well]]-WWWW[[#This Row],['#_Non-functional protected hand dug well]]</f>
        <v>0</v>
      </c>
      <c r="BU496" s="750">
        <f>(WWWW[[#This Row],['#_Constructed/Existing tube wells/boreholes/handpumps_WASH_agency]]+WWWW[[#This Row],['#_Non-Cluster partner water tube-wells/boreholes/handpumps]])-WWWW[[#This Row],['#_Non-functional tube wells/boreholes/handpumps]]</f>
        <v>0</v>
      </c>
      <c r="BV496" s="750">
        <f>WWWW[[#This Row],['#_Constructed/Existingwater storage tank with gravity fed reticulation system]]-WWWW[[#This Row],['#_Non-functional storage tank gravity fed reticulation system]]</f>
        <v>0</v>
      </c>
      <c r="BW496" s="750">
        <f>WWWW[[#This Row],['#_Water boating or water trucking]]</f>
        <v>0</v>
      </c>
      <c r="BX496" s="750">
        <f>WWWW[[#This Row],['#_Constructed/Existing water distribution system from river or natural spring]]</f>
        <v>0</v>
      </c>
      <c r="BY496"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96"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96" s="749">
        <f>IF(WWWW[[#This Row],[Location Type 1]]="Village",WWWW[[#This Row],[Access to safe drinking water for Village]],WWWW[[#This Row],[Access to safe drinking water for Camp]])</f>
        <v>0</v>
      </c>
      <c r="CB496" s="759">
        <f>WWWW[[#This Row],[%Equitable and continuous access to sufficient quantity of safe drinking water]]*WWWW[[#This Row],[Total PoP ]]</f>
        <v>0</v>
      </c>
      <c r="CC496" s="749">
        <f>IF((WWWW[[#This Row],['#_Constructed/Existing protected/fenced ponds]]*250)/WWWW[[#This Row],[Total PoP ]]&gt;1,1,(WWWW[[#This Row],['#_Constructed/Existing protected/fenced ponds]]*250)/WWWW[[#This Row],[Total PoP ]])</f>
        <v>1</v>
      </c>
      <c r="CD496" s="759">
        <f>WWWW[[#This Row],[% Access to unimproved water points]]*WWWW[[#This Row],[Total PoP ]]</f>
        <v>300</v>
      </c>
      <c r="CE496"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6"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G496" s="736">
        <f>WWWW[[#This Row],[HRP1]]/500</f>
        <v>0.6</v>
      </c>
      <c r="CH496" s="748">
        <f>1-WWWW[[#This Row],[% Equitable and continuous access to sufficient quantity of domestic water]]</f>
        <v>0</v>
      </c>
      <c r="CI496" s="759">
        <f>WWWW[[#This Row],[%equitable and continuous access to sufficient quantity of safe drinking and domestic water''s GAP]]*WWWW[[#This Row],[Total PoP ]]</f>
        <v>0</v>
      </c>
      <c r="CJ496" s="750">
        <f>IF(WWWW[[#This Row],[Total required water points]]-WWWW[[#This Row],['#Water points coverage]]&lt;0,0,WWWW[[#This Row],[Total required water points]]-WWWW[[#This Row],['#Water points coverage]])</f>
        <v>0.4</v>
      </c>
      <c r="CK496" s="750">
        <f>ROUND(IF(WWWW[[#This Row],[Total PoP ]]&lt;500,1,WWWW[[#This Row],[Total PoP ]]/500),0)</f>
        <v>1</v>
      </c>
      <c r="CL496" s="750">
        <f>(WWWW[[#This Row],['#_Constructed latrines_by_WASHAgencies]]+WWWW[[#This Row],['#_Non Cluster partner latrines]])-WWWW[[#This Row],['#_Non-functional latrines]]</f>
        <v>82</v>
      </c>
      <c r="CM49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6"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496"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6" s="750" t="str">
        <f>IF(WWWW[[#This Row],[Location Type 1]]="Village","NA",IF(WWWW[[#This Row],['#_Constructed/Existing latrines in TLS]]*50&gt;WWWW[[#This Row],['#_students at TLS_CFS]],WWWW[[#This Row],['#_students at TLS_CFS]],(WWWW[[#This Row],['#_Constructed/Existing latrines in TLS]]*50)))</f>
        <v>NA</v>
      </c>
      <c r="CQ496" s="750">
        <f>ROUND(IF(WWWW[[#This Row],[Location Type 1]]="camp",WWWW[[#This Row],[Total PoP ]]/20,IF(WWWW[[#This Row],[Location Type 1]]="Temporary Location",WWWW[[#This Row],[Total PoP ]]/50,(WWWW[[#This Row],[Total PoP ]]/6))),0)</f>
        <v>50</v>
      </c>
      <c r="CR496" s="750">
        <f>IF(WWWW[[#This Row],[Total required Latrines]]-(WWWW[[#This Row],['#_Constructed latrines_by_WASHAgencies]]+WWWW[[#This Row],['#_Non Cluster partner latrines]])&lt;0,0,WWWW[[#This Row],[Total required Latrines]]-(WWWW[[#This Row],['#_Constructed latrines_by_WASHAgencies]]+WWWW[[#This Row],['#_Non Cluster partner latrines]]))</f>
        <v>0</v>
      </c>
      <c r="CS496" s="756">
        <f>1-WWWW[[#This Row],[% people access to functioning Latrine]]</f>
        <v>0</v>
      </c>
      <c r="CT496" s="751">
        <f>IF(OR(WWWW[[#This Row],['#_Non-functional latrines]]="",WWWW[[#This Row],['#_Non-functional latrines]]=0),0,WWWW[[#This Row],['#_Non-functional latrines]]/(WWWW[[#This Row],['#_Constructed latrines_by_WASHAgencies]]+WWWW[[#This Row],['#_Non Cluster partner latrines]]))</f>
        <v>0</v>
      </c>
      <c r="CU496" s="759">
        <f>IF(500*(WWWW[[#This Row],['#_male hygiene promoters]]+WWWW[[#This Row],['#_female hygiene promoters]])&gt;WWWW[[#This Row],[Total PoP ]],WWWW[[#This Row],[Total PoP ]],500*(WWWW[[#This Row],['#_male hygiene promoters]]+WWWW[[#This Row],['#_female hygiene promoters]]))</f>
        <v>300</v>
      </c>
      <c r="CV496"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300</v>
      </c>
      <c r="CW496"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300</v>
      </c>
      <c r="CX496" s="750">
        <f>IF(WWWW[[#This Row],['# People with access to soap]]&gt;WWWW[[#This Row],['# People with access to Sanity Pads]],WWWW[[#This Row],['# People with access to soap]],WWWW[[#This Row],['# People with access to Sanity Pads]])</f>
        <v>300</v>
      </c>
      <c r="CY496" s="750">
        <f>IF(WWWW[[#This Row],['# people reached by regular dedicated hygiene promotion_5]]&gt;WWWW[[#This Row],['# People received regular supply of hygiene items_6]],WWWW[[#This Row],['# people reached by regular dedicated hygiene promotion_5]],WWWW[[#This Row],['# People received regular supply of hygiene items_6]])</f>
        <v>300</v>
      </c>
      <c r="CZ496" s="748">
        <f>IF(WWWW[[#This Row],[HRP3]]/WWWW[[#This Row],[Total PoP ]]&gt;100%,100%,WWWW[[#This Row],[HRP3]]/WWWW[[#This Row],[Total PoP ]])</f>
        <v>1</v>
      </c>
      <c r="DA496" s="751">
        <f>1-WWWW[[#This Row],[Hygiene Coverage%]]</f>
        <v>0</v>
      </c>
      <c r="DB496" s="737">
        <f>WWWW[[#This Row],['# people reached by regular dedicated hygiene promotion_5]]/WWWW[[#This Row],[Total PoP ]]</f>
        <v>1</v>
      </c>
      <c r="DC496" s="737">
        <f>IF(WWWW[[#This Row],['#_households that received standard amount of soap for this quarter]]/WWWW[[#This Row],[Total HH]]&gt;1,1,WWWW[[#This Row],['#_households that received standard amount of soap for this quarter]]/WWWW[[#This Row],[Total HH]])</f>
        <v>1</v>
      </c>
      <c r="DD496" s="737">
        <f>IF(WWWW[[#This Row],['#_households that received standard amount of sanitary pads for this quarter]]/WWWW[[#This Row],[Total HH]]&gt;1,1,WWWW[[#This Row],['#_households that received standard amount of sanitary pads for this quarter]]/WWWW[[#This Row],[Total HH]])</f>
        <v>1</v>
      </c>
      <c r="DE496" s="595">
        <f>WWWW[[#This Row],['#_Constructed/Existing hand washing stations]]-WWWW[[#This Row],['#_Non-Functional_hand_washing_stations]]</f>
        <v>0</v>
      </c>
      <c r="DF496" s="757">
        <f>IF(WWWW[[#This Row],['# Functional hand washing stations during reporting period]]*20&gt;WWWW[[#This Row],[Total HH]],WWWW[[#This Row],[Total HH]],WWWW[[#This Row],['# Functional hand washing stations during reporting period]]*20)</f>
        <v>0</v>
      </c>
      <c r="DG496" s="736">
        <f>IF(WWWW[[#This Row],[Is sufficient soap available for TLS? (Yes/No)]]="yes",WWWW[[#This Row],['#_Constructed/Existing hand washing stations at TLS]],0)</f>
        <v>0</v>
      </c>
      <c r="DH496" s="736">
        <f>IF(WWWW[[#This Row],['# Functional hand washing stations during reporting period]]*100&gt;WWWW[[#This Row],[Total PoP ]],WWWW[[#This Row],[Total PoP ]],WWWW[[#This Row],['# Functional hand washing stations during reporting period]]*100)</f>
        <v>0</v>
      </c>
      <c r="DI496" s="736" t="str">
        <f>IF(OR(WWWW[[#This Row],['#_students at TLS_CFS]]="",WWWW[[#This Row],['#_students at TLS_CFS]]=0),"No","Yes")</f>
        <v>No</v>
      </c>
      <c r="DJ496" s="752">
        <f>VLOOKUP(WWWW[[#This Row],[Site Name]],SiteDB6[[Site Name]:[CCCM Management]],6,FALSE)</f>
        <v>0</v>
      </c>
      <c r="DK496" s="752">
        <f>VLOOKUP(WWWW[[#This Row],[Site Name]],SiteDB6[[Site Name]:[CCCM Focal Agency]],7,FALSE)</f>
        <v>0</v>
      </c>
      <c r="DL496" s="752" t="str">
        <f>VLOOKUP(WWWW[[#This Row],[Site Name]],SiteDB6[[Site Name]:[Location Type 1]],9,FALSE)</f>
        <v>Village</v>
      </c>
      <c r="DM496" s="752" t="str">
        <f>VLOOKUP(WWWW[[#This Row],[Site Name]],SiteDB6[[Site Name]:[Type of Accommodation]],10,FALSE)</f>
        <v>Village</v>
      </c>
      <c r="DN496" s="752" t="str">
        <f>VLOOKUP(WWWW[[#This Row],[Site Name]],SiteDB6[[Site Name]:[Ethnic or GCA/NGCA]],11,FALSE)</f>
        <v>Rakhine</v>
      </c>
      <c r="DO496" s="752">
        <f>VLOOKUP(WWWW[[#This Row],[Site Name]],SiteDB6[[Site Name]:[Lat]],12,FALSE)</f>
        <v>20.739839549999999</v>
      </c>
      <c r="DP496" s="752">
        <f>VLOOKUP(WWWW[[#This Row],[Site Name]],SiteDB6[[Site Name]:[Long]],13,FALSE)</f>
        <v>92.613456729999996</v>
      </c>
      <c r="DQ496" s="752">
        <f>VLOOKUP(WWWW[[#This Row],[Site Name]],SiteDB6[[Site Name]:[Pcode]],3,FALSE)</f>
        <v>198399</v>
      </c>
      <c r="DR496" s="782" t="str">
        <f t="shared" si="17"/>
        <v>Covered</v>
      </c>
      <c r="DS496" s="782"/>
      <c r="DT496" s="745"/>
      <c r="DU496" s="745"/>
      <c r="DV496" s="770"/>
      <c r="DW496" s="745"/>
      <c r="DX496" s="746"/>
      <c r="DY496" s="746"/>
      <c r="DZ496" s="747"/>
      <c r="EA496" s="747"/>
      <c r="EB496" s="747"/>
      <c r="EC496" s="747"/>
      <c r="ED496" s="747"/>
      <c r="EE496" s="747"/>
      <c r="EF496" s="747"/>
      <c r="EG496" s="747"/>
      <c r="EH496" s="747"/>
    </row>
    <row r="497" spans="1:138" s="743" customFormat="1">
      <c r="A497" s="552" t="s">
        <v>2518</v>
      </c>
      <c r="B497" s="744" t="s">
        <v>3241</v>
      </c>
      <c r="C497" s="744" t="s">
        <v>387</v>
      </c>
      <c r="D497" s="744" t="s">
        <v>252</v>
      </c>
      <c r="E497" s="744" t="s">
        <v>3005</v>
      </c>
      <c r="F497" s="744" t="s">
        <v>323</v>
      </c>
      <c r="G497" s="791" t="str">
        <f>VLOOKUP(WWWW[[#This Row],[Site Name]],SiteDB6[[Site Name]:[Location Type]],8,FALSE)</f>
        <v>Village</v>
      </c>
      <c r="H497" s="812" t="s">
        <v>2136</v>
      </c>
      <c r="I497" s="811">
        <v>60</v>
      </c>
      <c r="J497" s="759">
        <v>266</v>
      </c>
      <c r="K497" s="755">
        <v>43251</v>
      </c>
      <c r="L497" s="755">
        <v>43677</v>
      </c>
      <c r="M497" s="807"/>
      <c r="N497" s="807"/>
      <c r="O497" s="807"/>
      <c r="P497" s="807"/>
      <c r="Q497" s="759"/>
      <c r="R497" s="807"/>
      <c r="S497" s="807"/>
      <c r="T497" s="807">
        <v>1</v>
      </c>
      <c r="U497" s="807">
        <v>1</v>
      </c>
      <c r="V497" s="807">
        <v>1</v>
      </c>
      <c r="W497" s="807">
        <v>0</v>
      </c>
      <c r="X497" s="807">
        <v>0</v>
      </c>
      <c r="Y497" s="807">
        <v>0</v>
      </c>
      <c r="Z497" s="807">
        <v>0</v>
      </c>
      <c r="AA497" s="807">
        <v>0</v>
      </c>
      <c r="AB497" s="807">
        <v>0</v>
      </c>
      <c r="AC497" s="807">
        <v>0</v>
      </c>
      <c r="AD497" s="807"/>
      <c r="AE497" s="807">
        <v>2</v>
      </c>
      <c r="AF497" s="807"/>
      <c r="AG497" s="807"/>
      <c r="AH497" s="807">
        <v>2</v>
      </c>
      <c r="AI497" s="807">
        <v>0</v>
      </c>
      <c r="AJ497" s="807">
        <v>0</v>
      </c>
      <c r="AK497" s="807">
        <v>0</v>
      </c>
      <c r="AL497" s="807">
        <v>0</v>
      </c>
      <c r="AM497" s="807">
        <v>0</v>
      </c>
      <c r="AN497" s="807">
        <v>0</v>
      </c>
      <c r="AO497" s="782"/>
      <c r="AP497" s="759">
        <v>41</v>
      </c>
      <c r="AQ497" s="752">
        <v>41</v>
      </c>
      <c r="AR497" s="749"/>
      <c r="AS497" s="807"/>
      <c r="AT497" s="807"/>
      <c r="AU497" s="807"/>
      <c r="AV497" s="807"/>
      <c r="AW497" s="750">
        <v>41</v>
      </c>
      <c r="AX497" s="750" t="s">
        <v>144</v>
      </c>
      <c r="AY497" s="750" t="s">
        <v>144</v>
      </c>
      <c r="AZ497" s="750">
        <v>0</v>
      </c>
      <c r="BA497" s="807"/>
      <c r="BB497" s="759">
        <v>0</v>
      </c>
      <c r="BC497" s="752"/>
      <c r="BD497" s="807"/>
      <c r="BE497" s="807"/>
      <c r="BF497" s="807"/>
      <c r="BG497" s="807"/>
      <c r="BH497" s="807"/>
      <c r="BI497" s="750">
        <v>1</v>
      </c>
      <c r="BJ497" s="750">
        <v>0</v>
      </c>
      <c r="BK497" s="750">
        <v>60</v>
      </c>
      <c r="BL497" s="750">
        <v>60</v>
      </c>
      <c r="BM497" s="750" t="s">
        <v>144</v>
      </c>
      <c r="BN497" s="750">
        <v>2</v>
      </c>
      <c r="BO497" s="749"/>
      <c r="BP497" s="752"/>
      <c r="BQ497" s="751" t="str">
        <f>IFERROR(WWWW[[#This Row],['#_Water sources treated]]/WWWW[[#This Row],['#_Water sources tested for contamination]],"no test")</f>
        <v>no test</v>
      </c>
      <c r="BR497" s="749" t="str">
        <f>IFERROR(WWWW[[#This Row],['#_Household received remediation action due to contamination]]/WWWW[[#This Row],['#_Household water samples tested for contamination]],"no test")</f>
        <v>no test</v>
      </c>
      <c r="BS497" s="750" t="str">
        <f>IF(AND(WWWW[[#This Row],[% of water sources treated]]="no test",WWWW[[#This Row],[% Household received corrective actions]]="no test"),"No Test","Tested")</f>
        <v>No Test</v>
      </c>
      <c r="BT497" s="750">
        <f>WWWW[[#This Row],['#_Constructed/existing protected hand dug well]]-WWWW[[#This Row],['#_Non-functional protected hand dug well]]</f>
        <v>0</v>
      </c>
      <c r="BU497" s="750">
        <f>(WWWW[[#This Row],['#_Constructed/Existing tube wells/boreholes/handpumps_WASH_agency]]+WWWW[[#This Row],['#_Non-Cluster partner water tube-wells/boreholes/handpumps]])-WWWW[[#This Row],['#_Non-functional tube wells/boreholes/handpumps]]</f>
        <v>0</v>
      </c>
      <c r="BV497" s="750">
        <f>WWWW[[#This Row],['#_Constructed/Existingwater storage tank with gravity fed reticulation system]]-WWWW[[#This Row],['#_Non-functional storage tank gravity fed reticulation system]]</f>
        <v>0</v>
      </c>
      <c r="BW497" s="750">
        <f>WWWW[[#This Row],['#_Water boating or water trucking]]</f>
        <v>0</v>
      </c>
      <c r="BX497" s="750">
        <f>WWWW[[#This Row],['#_Constructed/Existing water distribution system from river or natural spring]]</f>
        <v>0</v>
      </c>
      <c r="BY497"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497"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497" s="749">
        <f>IF(WWWW[[#This Row],[Location Type 1]]="Village",WWWW[[#This Row],[Access to safe drinking water for Village]],WWWW[[#This Row],[Access to safe drinking water for Camp]])</f>
        <v>0</v>
      </c>
      <c r="CB497" s="759">
        <f>WWWW[[#This Row],[%Equitable and continuous access to sufficient quantity of safe drinking water]]*WWWW[[#This Row],[Total PoP ]]</f>
        <v>0</v>
      </c>
      <c r="CC497" s="749">
        <f>IF((WWWW[[#This Row],['#_Constructed/Existing protected/fenced ponds]]*250)/WWWW[[#This Row],[Total PoP ]]&gt;1,1,(WWWW[[#This Row],['#_Constructed/Existing protected/fenced ponds]]*250)/WWWW[[#This Row],[Total PoP ]])</f>
        <v>1</v>
      </c>
      <c r="CD497" s="759">
        <f>WWWW[[#This Row],[% Access to unimproved water points]]*WWWW[[#This Row],[Total PoP ]]</f>
        <v>266</v>
      </c>
      <c r="CE497"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7"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G497" s="736">
        <f>WWWW[[#This Row],[HRP1]]/500</f>
        <v>0.53200000000000003</v>
      </c>
      <c r="CH497" s="748">
        <f>1-WWWW[[#This Row],[% Equitable and continuous access to sufficient quantity of domestic water]]</f>
        <v>0</v>
      </c>
      <c r="CI497" s="759">
        <f>WWWW[[#This Row],[%equitable and continuous access to sufficient quantity of safe drinking and domestic water''s GAP]]*WWWW[[#This Row],[Total PoP ]]</f>
        <v>0</v>
      </c>
      <c r="CJ497" s="750">
        <f>IF(WWWW[[#This Row],[Total required water points]]-WWWW[[#This Row],['#Water points coverage]]&lt;0,0,WWWW[[#This Row],[Total required water points]]-WWWW[[#This Row],['#Water points coverage]])</f>
        <v>0.46799999999999997</v>
      </c>
      <c r="CK497" s="750">
        <f>ROUND(IF(WWWW[[#This Row],[Total PoP ]]&lt;500,1,WWWW[[#This Row],[Total PoP ]]/500),0)</f>
        <v>1</v>
      </c>
      <c r="CL497" s="750">
        <f>(WWWW[[#This Row],['#_Constructed latrines_by_WASHAgencies]]+WWWW[[#This Row],['#_Non Cluster partner latrines]])-WWWW[[#This Row],['#_Non-functional latrines]]</f>
        <v>82</v>
      </c>
      <c r="CM49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7"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266</v>
      </c>
      <c r="CO497"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7" s="750" t="str">
        <f>IF(WWWW[[#This Row],[Location Type 1]]="Village","NA",IF(WWWW[[#This Row],['#_Constructed/Existing latrines in TLS]]*50&gt;WWWW[[#This Row],['#_students at TLS_CFS]],WWWW[[#This Row],['#_students at TLS_CFS]],(WWWW[[#This Row],['#_Constructed/Existing latrines in TLS]]*50)))</f>
        <v>NA</v>
      </c>
      <c r="CQ497" s="750">
        <f>ROUND(IF(WWWW[[#This Row],[Location Type 1]]="camp",WWWW[[#This Row],[Total PoP ]]/20,IF(WWWW[[#This Row],[Location Type 1]]="Temporary Location",WWWW[[#This Row],[Total PoP ]]/50,(WWWW[[#This Row],[Total PoP ]]/6))),0)</f>
        <v>44</v>
      </c>
      <c r="CR497" s="750">
        <f>IF(WWWW[[#This Row],[Total required Latrines]]-(WWWW[[#This Row],['#_Constructed latrines_by_WASHAgencies]]+WWWW[[#This Row],['#_Non Cluster partner latrines]])&lt;0,0,WWWW[[#This Row],[Total required Latrines]]-(WWWW[[#This Row],['#_Constructed latrines_by_WASHAgencies]]+WWWW[[#This Row],['#_Non Cluster partner latrines]]))</f>
        <v>0</v>
      </c>
      <c r="CS497" s="756">
        <f>1-WWWW[[#This Row],[% people access to functioning Latrine]]</f>
        <v>0</v>
      </c>
      <c r="CT497" s="751">
        <f>IF(OR(WWWW[[#This Row],['#_Non-functional latrines]]="",WWWW[[#This Row],['#_Non-functional latrines]]=0),0,WWWW[[#This Row],['#_Non-functional latrines]]/(WWWW[[#This Row],['#_Constructed latrines_by_WASHAgencies]]+WWWW[[#This Row],['#_Non Cluster partner latrines]]))</f>
        <v>0</v>
      </c>
      <c r="CU497" s="759">
        <f>IF(500*(WWWW[[#This Row],['#_male hygiene promoters]]+WWWW[[#This Row],['#_female hygiene promoters]])&gt;WWWW[[#This Row],[Total PoP ]],WWWW[[#This Row],[Total PoP ]],500*(WWWW[[#This Row],['#_male hygiene promoters]]+WWWW[[#This Row],['#_female hygiene promoters]]))</f>
        <v>266</v>
      </c>
      <c r="CV497"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266</v>
      </c>
      <c r="CW497"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266</v>
      </c>
      <c r="CX497" s="750">
        <f>IF(WWWW[[#This Row],['# People with access to soap]]&gt;WWWW[[#This Row],['# People with access to Sanity Pads]],WWWW[[#This Row],['# People with access to soap]],WWWW[[#This Row],['# People with access to Sanity Pads]])</f>
        <v>266</v>
      </c>
      <c r="CY497" s="750">
        <f>IF(WWWW[[#This Row],['# people reached by regular dedicated hygiene promotion_5]]&gt;WWWW[[#This Row],['# People received regular supply of hygiene items_6]],WWWW[[#This Row],['# people reached by regular dedicated hygiene promotion_5]],WWWW[[#This Row],['# People received regular supply of hygiene items_6]])</f>
        <v>266</v>
      </c>
      <c r="CZ497" s="748">
        <f>IF(WWWW[[#This Row],[HRP3]]/WWWW[[#This Row],[Total PoP ]]&gt;100%,100%,WWWW[[#This Row],[HRP3]]/WWWW[[#This Row],[Total PoP ]])</f>
        <v>1</v>
      </c>
      <c r="DA497" s="751">
        <f>1-WWWW[[#This Row],[Hygiene Coverage%]]</f>
        <v>0</v>
      </c>
      <c r="DB497" s="737">
        <f>WWWW[[#This Row],['# people reached by regular dedicated hygiene promotion_5]]/WWWW[[#This Row],[Total PoP ]]</f>
        <v>1</v>
      </c>
      <c r="DC497" s="737">
        <f>IF(WWWW[[#This Row],['#_households that received standard amount of soap for this quarter]]/WWWW[[#This Row],[Total HH]]&gt;1,1,WWWW[[#This Row],['#_households that received standard amount of soap for this quarter]]/WWWW[[#This Row],[Total HH]])</f>
        <v>1</v>
      </c>
      <c r="DD497" s="737">
        <f>IF(WWWW[[#This Row],['#_households that received standard amount of sanitary pads for this quarter]]/WWWW[[#This Row],[Total HH]]&gt;1,1,WWWW[[#This Row],['#_households that received standard amount of sanitary pads for this quarter]]/WWWW[[#This Row],[Total HH]])</f>
        <v>1</v>
      </c>
      <c r="DE497" s="595">
        <f>WWWW[[#This Row],['#_Constructed/Existing hand washing stations]]-WWWW[[#This Row],['#_Non-Functional_hand_washing_stations]]</f>
        <v>0</v>
      </c>
      <c r="DF497" s="757">
        <f>IF(WWWW[[#This Row],['# Functional hand washing stations during reporting period]]*20&gt;WWWW[[#This Row],[Total HH]],WWWW[[#This Row],[Total HH]],WWWW[[#This Row],['# Functional hand washing stations during reporting period]]*20)</f>
        <v>0</v>
      </c>
      <c r="DG497" s="736">
        <f>IF(WWWW[[#This Row],[Is sufficient soap available for TLS? (Yes/No)]]="yes",WWWW[[#This Row],['#_Constructed/Existing hand washing stations at TLS]],0)</f>
        <v>0</v>
      </c>
      <c r="DH497" s="736">
        <f>IF(WWWW[[#This Row],['# Functional hand washing stations during reporting period]]*100&gt;WWWW[[#This Row],[Total PoP ]],WWWW[[#This Row],[Total PoP ]],WWWW[[#This Row],['# Functional hand washing stations during reporting period]]*100)</f>
        <v>0</v>
      </c>
      <c r="DI497" s="736" t="str">
        <f>IF(OR(WWWW[[#This Row],['#_students at TLS_CFS]]="",WWWW[[#This Row],['#_students at TLS_CFS]]=0),"No","Yes")</f>
        <v>No</v>
      </c>
      <c r="DJ497" s="752">
        <f>VLOOKUP(WWWW[[#This Row],[Site Name]],SiteDB6[[Site Name]:[CCCM Management]],6,FALSE)</f>
        <v>0</v>
      </c>
      <c r="DK497" s="752">
        <f>VLOOKUP(WWWW[[#This Row],[Site Name]],SiteDB6[[Site Name]:[CCCM Focal Agency]],7,FALSE)</f>
        <v>0</v>
      </c>
      <c r="DL497" s="752" t="str">
        <f>VLOOKUP(WWWW[[#This Row],[Site Name]],SiteDB6[[Site Name]:[Location Type 1]],9,FALSE)</f>
        <v>Village</v>
      </c>
      <c r="DM497" s="752" t="str">
        <f>VLOOKUP(WWWW[[#This Row],[Site Name]],SiteDB6[[Site Name]:[Type of Accommodation]],10,FALSE)</f>
        <v>Village</v>
      </c>
      <c r="DN497" s="752" t="str">
        <f>VLOOKUP(WWWW[[#This Row],[Site Name]],SiteDB6[[Site Name]:[Ethnic or GCA/NGCA]],11,FALSE)</f>
        <v>Rakhine</v>
      </c>
      <c r="DO497" s="752">
        <f>VLOOKUP(WWWW[[#This Row],[Site Name]],SiteDB6[[Site Name]:[Lat]],12,FALSE)</f>
        <v>20.991559980000002</v>
      </c>
      <c r="DP497" s="752">
        <f>VLOOKUP(WWWW[[#This Row],[Site Name]],SiteDB6[[Site Name]:[Long]],13,FALSE)</f>
        <v>92.290878300000003</v>
      </c>
      <c r="DQ497" s="752">
        <f>VLOOKUP(WWWW[[#This Row],[Site Name]],SiteDB6[[Site Name]:[Pcode]],3,FALSE)</f>
        <v>197896</v>
      </c>
      <c r="DR497" s="782" t="str">
        <f t="shared" si="17"/>
        <v>Covered</v>
      </c>
      <c r="DS497" s="782"/>
      <c r="DT497" s="745"/>
      <c r="DU497" s="745"/>
      <c r="DV497" s="770"/>
      <c r="DW497" s="745"/>
      <c r="DX497" s="746"/>
      <c r="DY497" s="746"/>
      <c r="DZ497" s="747"/>
      <c r="EA497" s="747"/>
      <c r="EB497" s="747"/>
      <c r="EC497" s="747"/>
      <c r="ED497" s="747"/>
      <c r="EE497" s="747"/>
      <c r="EF497" s="747"/>
      <c r="EG497" s="747"/>
      <c r="EH497" s="747"/>
    </row>
    <row r="498" spans="1:138" s="743" customFormat="1">
      <c r="A498" s="552" t="s">
        <v>2518</v>
      </c>
      <c r="B498" s="744" t="s">
        <v>3241</v>
      </c>
      <c r="C498" s="744" t="s">
        <v>387</v>
      </c>
      <c r="D498" s="744" t="s">
        <v>252</v>
      </c>
      <c r="E498" s="744" t="s">
        <v>3005</v>
      </c>
      <c r="F498" s="744" t="s">
        <v>323</v>
      </c>
      <c r="G498" s="791" t="str">
        <f>VLOOKUP(WWWW[[#This Row],[Site Name]],SiteDB6[[Site Name]:[Location Type]],8,FALSE)</f>
        <v>Village</v>
      </c>
      <c r="H498" s="812" t="s">
        <v>2137</v>
      </c>
      <c r="I498" s="811">
        <v>24</v>
      </c>
      <c r="J498" s="759">
        <v>93</v>
      </c>
      <c r="K498" s="755">
        <v>43251</v>
      </c>
      <c r="L498" s="755">
        <v>43677</v>
      </c>
      <c r="M498" s="807"/>
      <c r="N498" s="807"/>
      <c r="O498" s="807"/>
      <c r="P498" s="807"/>
      <c r="Q498" s="759"/>
      <c r="R498" s="807"/>
      <c r="S498" s="807"/>
      <c r="T498" s="807">
        <v>0</v>
      </c>
      <c r="U498" s="807">
        <v>0</v>
      </c>
      <c r="V498" s="807">
        <v>0</v>
      </c>
      <c r="W498" s="807">
        <v>4</v>
      </c>
      <c r="X498" s="807">
        <v>2</v>
      </c>
      <c r="Y498" s="807">
        <v>2</v>
      </c>
      <c r="Z498" s="807">
        <v>4</v>
      </c>
      <c r="AA498" s="807">
        <v>0</v>
      </c>
      <c r="AB498" s="807">
        <v>0</v>
      </c>
      <c r="AC498" s="807">
        <v>0</v>
      </c>
      <c r="AD498" s="807"/>
      <c r="AE498" s="807">
        <v>2</v>
      </c>
      <c r="AF498" s="807"/>
      <c r="AG498" s="807"/>
      <c r="AH498" s="807">
        <v>2</v>
      </c>
      <c r="AI498" s="807">
        <v>0</v>
      </c>
      <c r="AJ498" s="807">
        <v>0</v>
      </c>
      <c r="AK498" s="807">
        <v>0</v>
      </c>
      <c r="AL498" s="807">
        <v>0</v>
      </c>
      <c r="AM498" s="807">
        <v>0</v>
      </c>
      <c r="AN498" s="807">
        <v>0</v>
      </c>
      <c r="AO498" s="782"/>
      <c r="AP498" s="759">
        <v>10</v>
      </c>
      <c r="AQ498" s="752">
        <v>10</v>
      </c>
      <c r="AR498" s="749"/>
      <c r="AS498" s="807"/>
      <c r="AT498" s="807"/>
      <c r="AU498" s="807"/>
      <c r="AV498" s="807"/>
      <c r="AW498" s="750">
        <v>10</v>
      </c>
      <c r="AX498" s="750" t="s">
        <v>144</v>
      </c>
      <c r="AY498" s="750" t="s">
        <v>144</v>
      </c>
      <c r="AZ498" s="750">
        <v>2</v>
      </c>
      <c r="BA498" s="807"/>
      <c r="BB498" s="759">
        <v>2</v>
      </c>
      <c r="BC498" s="752"/>
      <c r="BD498" s="807"/>
      <c r="BE498" s="807"/>
      <c r="BF498" s="807"/>
      <c r="BG498" s="807"/>
      <c r="BH498" s="807"/>
      <c r="BI498" s="750">
        <v>0</v>
      </c>
      <c r="BJ498" s="750">
        <v>0</v>
      </c>
      <c r="BK498" s="750">
        <v>42</v>
      </c>
      <c r="BL498" s="750">
        <v>42</v>
      </c>
      <c r="BM498" s="750" t="s">
        <v>144</v>
      </c>
      <c r="BN498" s="750">
        <v>2</v>
      </c>
      <c r="BO498" s="749"/>
      <c r="BP498" s="752"/>
      <c r="BQ498" s="751" t="str">
        <f>IFERROR(WWWW[[#This Row],['#_Water sources treated]]/WWWW[[#This Row],['#_Water sources tested for contamination]],"no test")</f>
        <v>no test</v>
      </c>
      <c r="BR498" s="749" t="str">
        <f>IFERROR(WWWW[[#This Row],['#_Household received remediation action due to contamination]]/WWWW[[#This Row],['#_Household water samples tested for contamination]],"no test")</f>
        <v>no test</v>
      </c>
      <c r="BS498" s="750" t="str">
        <f>IF(AND(WWWW[[#This Row],[% of water sources treated]]="no test",WWWW[[#This Row],[% Household received corrective actions]]="no test"),"No Test","Tested")</f>
        <v>No Test</v>
      </c>
      <c r="BT498" s="750">
        <f>WWWW[[#This Row],['#_Constructed/existing protected hand dug well]]-WWWW[[#This Row],['#_Non-functional protected hand dug well]]</f>
        <v>0</v>
      </c>
      <c r="BU498" s="750">
        <f>(WWWW[[#This Row],['#_Constructed/Existing tube wells/boreholes/handpumps_WASH_agency]]+WWWW[[#This Row],['#_Non-Cluster partner water tube-wells/boreholes/handpumps]])-WWWW[[#This Row],['#_Non-functional tube wells/boreholes/handpumps]]</f>
        <v>4</v>
      </c>
      <c r="BV498" s="750">
        <f>WWWW[[#This Row],['#_Constructed/Existingwater storage tank with gravity fed reticulation system]]-WWWW[[#This Row],['#_Non-functional storage tank gravity fed reticulation system]]</f>
        <v>0</v>
      </c>
      <c r="BW498" s="750">
        <f>WWWW[[#This Row],['#_Water boating or water trucking]]</f>
        <v>0</v>
      </c>
      <c r="BX498" s="750">
        <f>WWWW[[#This Row],['#_Constructed/Existing water distribution system from river or natural spring]]</f>
        <v>0</v>
      </c>
      <c r="BY498"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8"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8" s="749">
        <f>IF(WWWW[[#This Row],[Location Type 1]]="Village",WWWW[[#This Row],[Access to safe drinking water for Village]],WWWW[[#This Row],[Access to safe drinking water for Camp]])</f>
        <v>1</v>
      </c>
      <c r="CB498" s="759">
        <f>WWWW[[#This Row],[%Equitable and continuous access to sufficient quantity of safe drinking water]]*WWWW[[#This Row],[Total PoP ]]</f>
        <v>93</v>
      </c>
      <c r="CC498" s="749">
        <f>IF((WWWW[[#This Row],['#_Constructed/Existing protected/fenced ponds]]*250)/WWWW[[#This Row],[Total PoP ]]&gt;1,1,(WWWW[[#This Row],['#_Constructed/Existing protected/fenced ponds]]*250)/WWWW[[#This Row],[Total PoP ]])</f>
        <v>1</v>
      </c>
      <c r="CD498" s="759">
        <f>WWWW[[#This Row],[% Access to unimproved water points]]*WWWW[[#This Row],[Total PoP ]]</f>
        <v>93</v>
      </c>
      <c r="CE498"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8"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CG498" s="736">
        <f>WWWW[[#This Row],[HRP1]]/500</f>
        <v>0.186</v>
      </c>
      <c r="CH498" s="748">
        <f>1-WWWW[[#This Row],[% Equitable and continuous access to sufficient quantity of domestic water]]</f>
        <v>0</v>
      </c>
      <c r="CI498" s="759">
        <f>WWWW[[#This Row],[%equitable and continuous access to sufficient quantity of safe drinking and domestic water''s GAP]]*WWWW[[#This Row],[Total PoP ]]</f>
        <v>0</v>
      </c>
      <c r="CJ498" s="750">
        <f>IF(WWWW[[#This Row],[Total required water points]]-WWWW[[#This Row],['#Water points coverage]]&lt;0,0,WWWW[[#This Row],[Total required water points]]-WWWW[[#This Row],['#Water points coverage]])</f>
        <v>0.81400000000000006</v>
      </c>
      <c r="CK498" s="750">
        <f>ROUND(IF(WWWW[[#This Row],[Total PoP ]]&lt;500,1,WWWW[[#This Row],[Total PoP ]]/500),0)</f>
        <v>1</v>
      </c>
      <c r="CL498" s="750">
        <f>(WWWW[[#This Row],['#_Constructed latrines_by_WASHAgencies]]+WWWW[[#This Row],['#_Non Cluster partner latrines]])-WWWW[[#This Row],['#_Non-functional latrines]]</f>
        <v>20</v>
      </c>
      <c r="CM49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8"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93</v>
      </c>
      <c r="CO498"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8" s="750" t="str">
        <f>IF(WWWW[[#This Row],[Location Type 1]]="Village","NA",IF(WWWW[[#This Row],['#_Constructed/Existing latrines in TLS]]*50&gt;WWWW[[#This Row],['#_students at TLS_CFS]],WWWW[[#This Row],['#_students at TLS_CFS]],(WWWW[[#This Row],['#_Constructed/Existing latrines in TLS]]*50)))</f>
        <v>NA</v>
      </c>
      <c r="CQ498" s="750">
        <f>ROUND(IF(WWWW[[#This Row],[Location Type 1]]="camp",WWWW[[#This Row],[Total PoP ]]/20,IF(WWWW[[#This Row],[Location Type 1]]="Temporary Location",WWWW[[#This Row],[Total PoP ]]/50,(WWWW[[#This Row],[Total PoP ]]/6))),0)</f>
        <v>16</v>
      </c>
      <c r="CR498" s="750">
        <f>IF(WWWW[[#This Row],[Total required Latrines]]-(WWWW[[#This Row],['#_Constructed latrines_by_WASHAgencies]]+WWWW[[#This Row],['#_Non Cluster partner latrines]])&lt;0,0,WWWW[[#This Row],[Total required Latrines]]-(WWWW[[#This Row],['#_Constructed latrines_by_WASHAgencies]]+WWWW[[#This Row],['#_Non Cluster partner latrines]]))</f>
        <v>0</v>
      </c>
      <c r="CS498" s="756">
        <f>1-WWWW[[#This Row],[% people access to functioning Latrine]]</f>
        <v>0</v>
      </c>
      <c r="CT498" s="751">
        <f>IF(OR(WWWW[[#This Row],['#_Non-functional latrines]]="",WWWW[[#This Row],['#_Non-functional latrines]]=0),0,WWWW[[#This Row],['#_Non-functional latrines]]/(WWWW[[#This Row],['#_Constructed latrines_by_WASHAgencies]]+WWWW[[#This Row],['#_Non Cluster partner latrines]]))</f>
        <v>0</v>
      </c>
      <c r="CU498" s="759">
        <f>IF(500*(WWWW[[#This Row],['#_male hygiene promoters]]+WWWW[[#This Row],['#_female hygiene promoters]])&gt;WWWW[[#This Row],[Total PoP ]],WWWW[[#This Row],[Total PoP ]],500*(WWWW[[#This Row],['#_male hygiene promoters]]+WWWW[[#This Row],['#_female hygiene promoters]]))</f>
        <v>0</v>
      </c>
      <c r="CV498"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93</v>
      </c>
      <c r="CW498"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93</v>
      </c>
      <c r="CX498" s="750">
        <f>IF(WWWW[[#This Row],['# People with access to soap]]&gt;WWWW[[#This Row],['# People with access to Sanity Pads]],WWWW[[#This Row],['# People with access to soap]],WWWW[[#This Row],['# People with access to Sanity Pads]])</f>
        <v>93</v>
      </c>
      <c r="CY498" s="750">
        <f>IF(WWWW[[#This Row],['# people reached by regular dedicated hygiene promotion_5]]&gt;WWWW[[#This Row],['# People received regular supply of hygiene items_6]],WWWW[[#This Row],['# people reached by regular dedicated hygiene promotion_5]],WWWW[[#This Row],['# People received regular supply of hygiene items_6]])</f>
        <v>93</v>
      </c>
      <c r="CZ498" s="748">
        <f>IF(WWWW[[#This Row],[HRP3]]/WWWW[[#This Row],[Total PoP ]]&gt;100%,100%,WWWW[[#This Row],[HRP3]]/WWWW[[#This Row],[Total PoP ]])</f>
        <v>1</v>
      </c>
      <c r="DA498" s="751">
        <f>1-WWWW[[#This Row],[Hygiene Coverage%]]</f>
        <v>0</v>
      </c>
      <c r="DB498" s="737">
        <f>WWWW[[#This Row],['# people reached by regular dedicated hygiene promotion_5]]/WWWW[[#This Row],[Total PoP ]]</f>
        <v>0</v>
      </c>
      <c r="DC498" s="737">
        <f>IF(WWWW[[#This Row],['#_households that received standard amount of soap for this quarter]]/WWWW[[#This Row],[Total HH]]&gt;1,1,WWWW[[#This Row],['#_households that received standard amount of soap for this quarter]]/WWWW[[#This Row],[Total HH]])</f>
        <v>1</v>
      </c>
      <c r="DD498" s="737">
        <f>IF(WWWW[[#This Row],['#_households that received standard amount of sanitary pads for this quarter]]/WWWW[[#This Row],[Total HH]]&gt;1,1,WWWW[[#This Row],['#_households that received standard amount of sanitary pads for this quarter]]/WWWW[[#This Row],[Total HH]])</f>
        <v>1</v>
      </c>
      <c r="DE498" s="595">
        <f>WWWW[[#This Row],['#_Constructed/Existing hand washing stations]]-WWWW[[#This Row],['#_Non-Functional_hand_washing_stations]]</f>
        <v>0</v>
      </c>
      <c r="DF498" s="757">
        <f>IF(WWWW[[#This Row],['# Functional hand washing stations during reporting period]]*20&gt;WWWW[[#This Row],[Total HH]],WWWW[[#This Row],[Total HH]],WWWW[[#This Row],['# Functional hand washing stations during reporting period]]*20)</f>
        <v>0</v>
      </c>
      <c r="DG498" s="736">
        <f>IF(WWWW[[#This Row],[Is sufficient soap available for TLS? (Yes/No)]]="yes",WWWW[[#This Row],['#_Constructed/Existing hand washing stations at TLS]],0)</f>
        <v>0</v>
      </c>
      <c r="DH498" s="736">
        <f>IF(WWWW[[#This Row],['# Functional hand washing stations during reporting period]]*100&gt;WWWW[[#This Row],[Total PoP ]],WWWW[[#This Row],[Total PoP ]],WWWW[[#This Row],['# Functional hand washing stations during reporting period]]*100)</f>
        <v>0</v>
      </c>
      <c r="DI498" s="736" t="str">
        <f>IF(OR(WWWW[[#This Row],['#_students at TLS_CFS]]="",WWWW[[#This Row],['#_students at TLS_CFS]]=0),"No","Yes")</f>
        <v>No</v>
      </c>
      <c r="DJ498" s="752">
        <f>VLOOKUP(WWWW[[#This Row],[Site Name]],SiteDB6[[Site Name]:[CCCM Management]],6,FALSE)</f>
        <v>0</v>
      </c>
      <c r="DK498" s="752">
        <f>VLOOKUP(WWWW[[#This Row],[Site Name]],SiteDB6[[Site Name]:[CCCM Focal Agency]],7,FALSE)</f>
        <v>0</v>
      </c>
      <c r="DL498" s="752" t="str">
        <f>VLOOKUP(WWWW[[#This Row],[Site Name]],SiteDB6[[Site Name]:[Location Type 1]],9,FALSE)</f>
        <v>Village</v>
      </c>
      <c r="DM498" s="752" t="str">
        <f>VLOOKUP(WWWW[[#This Row],[Site Name]],SiteDB6[[Site Name]:[Type of Accommodation]],10,FALSE)</f>
        <v>Village</v>
      </c>
      <c r="DN498" s="752" t="str">
        <f>VLOOKUP(WWWW[[#This Row],[Site Name]],SiteDB6[[Site Name]:[Ethnic or GCA/NGCA]],11,FALSE)</f>
        <v>Rakhine</v>
      </c>
      <c r="DO498" s="752">
        <f>VLOOKUP(WWWW[[#This Row],[Site Name]],SiteDB6[[Site Name]:[Lat]],12,FALSE)</f>
        <v>21.004550930000001</v>
      </c>
      <c r="DP498" s="752">
        <f>VLOOKUP(WWWW[[#This Row],[Site Name]],SiteDB6[[Site Name]:[Long]],13,FALSE)</f>
        <v>92.294601439999994</v>
      </c>
      <c r="DQ498" s="752">
        <f>VLOOKUP(WWWW[[#This Row],[Site Name]],SiteDB6[[Site Name]:[Pcode]],3,FALSE)</f>
        <v>197897</v>
      </c>
      <c r="DR498" s="782" t="str">
        <f t="shared" si="17"/>
        <v>Covered</v>
      </c>
      <c r="DS498" s="782"/>
      <c r="DT498" s="745"/>
      <c r="DU498" s="745"/>
      <c r="DV498" s="770"/>
      <c r="DW498" s="745"/>
      <c r="DX498" s="746"/>
      <c r="DY498" s="746"/>
      <c r="DZ498" s="747"/>
      <c r="EA498" s="747"/>
      <c r="EB498" s="747"/>
      <c r="EC498" s="747"/>
      <c r="ED498" s="747"/>
      <c r="EE498" s="747"/>
      <c r="EF498" s="747"/>
      <c r="EG498" s="747"/>
      <c r="EH498" s="747"/>
    </row>
    <row r="499" spans="1:138" s="743" customFormat="1">
      <c r="A499" s="552" t="s">
        <v>2518</v>
      </c>
      <c r="B499" s="744" t="s">
        <v>3241</v>
      </c>
      <c r="C499" s="744" t="s">
        <v>387</v>
      </c>
      <c r="D499" s="744" t="s">
        <v>252</v>
      </c>
      <c r="E499" s="744" t="s">
        <v>3005</v>
      </c>
      <c r="F499" s="744" t="s">
        <v>323</v>
      </c>
      <c r="G499" s="791" t="str">
        <f>VLOOKUP(WWWW[[#This Row],[Site Name]],SiteDB6[[Site Name]:[Location Type]],8,FALSE)</f>
        <v>Village</v>
      </c>
      <c r="H499" s="812" t="s">
        <v>2116</v>
      </c>
      <c r="I499" s="813">
        <v>170</v>
      </c>
      <c r="J499" s="759">
        <v>989</v>
      </c>
      <c r="K499" s="755">
        <v>43251</v>
      </c>
      <c r="L499" s="755">
        <v>43677</v>
      </c>
      <c r="M499" s="807"/>
      <c r="N499" s="807"/>
      <c r="O499" s="807"/>
      <c r="P499" s="807"/>
      <c r="Q499" s="759"/>
      <c r="R499" s="807"/>
      <c r="S499" s="807"/>
      <c r="T499" s="807">
        <v>6</v>
      </c>
      <c r="U499" s="807">
        <v>4</v>
      </c>
      <c r="V499" s="807">
        <v>2</v>
      </c>
      <c r="W499" s="807">
        <v>5</v>
      </c>
      <c r="X499" s="807">
        <v>2</v>
      </c>
      <c r="Y499" s="807">
        <v>0</v>
      </c>
      <c r="Z499" s="807">
        <v>3</v>
      </c>
      <c r="AA499" s="807">
        <v>0</v>
      </c>
      <c r="AB499" s="807">
        <v>0</v>
      </c>
      <c r="AC499" s="807">
        <v>0</v>
      </c>
      <c r="AD499" s="807"/>
      <c r="AE499" s="807">
        <v>4</v>
      </c>
      <c r="AF499" s="807"/>
      <c r="AG499" s="807"/>
      <c r="AH499" s="807">
        <v>3</v>
      </c>
      <c r="AI499" s="807">
        <v>0</v>
      </c>
      <c r="AJ499" s="807">
        <v>0</v>
      </c>
      <c r="AK499" s="807">
        <v>0</v>
      </c>
      <c r="AL499" s="807">
        <v>0</v>
      </c>
      <c r="AM499" s="807">
        <v>1</v>
      </c>
      <c r="AN499" s="807">
        <v>1</v>
      </c>
      <c r="AO499" s="782"/>
      <c r="AP499" s="759">
        <v>102</v>
      </c>
      <c r="AQ499" s="752">
        <v>102</v>
      </c>
      <c r="AR499" s="749"/>
      <c r="AS499" s="807"/>
      <c r="AT499" s="807"/>
      <c r="AU499" s="807"/>
      <c r="AV499" s="807"/>
      <c r="AW499" s="750">
        <v>102</v>
      </c>
      <c r="AX499" s="750" t="s">
        <v>144</v>
      </c>
      <c r="AY499" s="750" t="s">
        <v>144</v>
      </c>
      <c r="AZ499" s="750">
        <v>0</v>
      </c>
      <c r="BA499" s="807"/>
      <c r="BB499" s="759">
        <v>6</v>
      </c>
      <c r="BC499" s="752"/>
      <c r="BD499" s="807"/>
      <c r="BE499" s="807"/>
      <c r="BF499" s="807"/>
      <c r="BG499" s="807"/>
      <c r="BH499" s="807"/>
      <c r="BI499" s="750">
        <v>4</v>
      </c>
      <c r="BJ499" s="750">
        <v>0</v>
      </c>
      <c r="BK499" s="750">
        <v>170</v>
      </c>
      <c r="BL499" s="750">
        <v>170</v>
      </c>
      <c r="BM499" s="750" t="s">
        <v>144</v>
      </c>
      <c r="BN499" s="750">
        <v>2</v>
      </c>
      <c r="BO499" s="749"/>
      <c r="BP499" s="752"/>
      <c r="BQ499" s="751" t="str">
        <f>IFERROR(WWWW[[#This Row],['#_Water sources treated]]/WWWW[[#This Row],['#_Water sources tested for contamination]],"no test")</f>
        <v>no test</v>
      </c>
      <c r="BR499" s="749" t="str">
        <f>IFERROR(WWWW[[#This Row],['#_Household received remediation action due to contamination]]/WWWW[[#This Row],['#_Household water samples tested for contamination]],"no test")</f>
        <v>no test</v>
      </c>
      <c r="BS499" s="750" t="str">
        <f>IF(AND(WWWW[[#This Row],[% of water sources treated]]="no test",WWWW[[#This Row],[% Household received corrective actions]]="no test"),"No Test","Tested")</f>
        <v>No Test</v>
      </c>
      <c r="BT499" s="750">
        <f>WWWW[[#This Row],['#_Constructed/existing protected hand dug well]]-WWWW[[#This Row],['#_Non-functional protected hand dug well]]</f>
        <v>2</v>
      </c>
      <c r="BU499" s="750">
        <f>(WWWW[[#This Row],['#_Constructed/Existing tube wells/boreholes/handpumps_WASH_agency]]+WWWW[[#This Row],['#_Non-Cluster partner water tube-wells/boreholes/handpumps]])-WWWW[[#This Row],['#_Non-functional tube wells/boreholes/handpumps]]</f>
        <v>7</v>
      </c>
      <c r="BV499" s="750">
        <f>WWWW[[#This Row],['#_Constructed/Existingwater storage tank with gravity fed reticulation system]]-WWWW[[#This Row],['#_Non-functional storage tank gravity fed reticulation system]]</f>
        <v>0</v>
      </c>
      <c r="BW499" s="750">
        <f>WWWW[[#This Row],['#_Water boating or water trucking]]</f>
        <v>0</v>
      </c>
      <c r="BX499" s="750">
        <f>WWWW[[#This Row],['#_Constructed/Existing water distribution system from river or natural spring]]</f>
        <v>0</v>
      </c>
      <c r="BY499"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499"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499" s="749">
        <f>IF(WWWW[[#This Row],[Location Type 1]]="Village",WWWW[[#This Row],[Access to safe drinking water for Village]],WWWW[[#This Row],[Access to safe drinking water for Camp]])</f>
        <v>1</v>
      </c>
      <c r="CB499" s="759">
        <f>WWWW[[#This Row],[%Equitable and continuous access to sufficient quantity of safe drinking water]]*WWWW[[#This Row],[Total PoP ]]</f>
        <v>989</v>
      </c>
      <c r="CC499" s="749">
        <f>IF((WWWW[[#This Row],['#_Constructed/Existing protected/fenced ponds]]*250)/WWWW[[#This Row],[Total PoP ]]&gt;1,1,(WWWW[[#This Row],['#_Constructed/Existing protected/fenced ponds]]*250)/WWWW[[#This Row],[Total PoP ]])</f>
        <v>1</v>
      </c>
      <c r="CD499" s="759">
        <f>WWWW[[#This Row],[% Access to unimproved water points]]*WWWW[[#This Row],[Total PoP ]]</f>
        <v>989</v>
      </c>
      <c r="CE499"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499"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CG499" s="736">
        <f>WWWW[[#This Row],[HRP1]]/500</f>
        <v>1.978</v>
      </c>
      <c r="CH499" s="748">
        <f>1-WWWW[[#This Row],[% Equitable and continuous access to sufficient quantity of domestic water]]</f>
        <v>0</v>
      </c>
      <c r="CI499" s="759">
        <f>WWWW[[#This Row],[%equitable and continuous access to sufficient quantity of safe drinking and domestic water''s GAP]]*WWWW[[#This Row],[Total PoP ]]</f>
        <v>0</v>
      </c>
      <c r="CJ499" s="750">
        <f>IF(WWWW[[#This Row],[Total required water points]]-WWWW[[#This Row],['#Water points coverage]]&lt;0,0,WWWW[[#This Row],[Total required water points]]-WWWW[[#This Row],['#Water points coverage]])</f>
        <v>2.200000000000002E-2</v>
      </c>
      <c r="CK499" s="750">
        <f>ROUND(IF(WWWW[[#This Row],[Total PoP ]]&lt;500,1,WWWW[[#This Row],[Total PoP ]]/500),0)</f>
        <v>2</v>
      </c>
      <c r="CL499" s="750">
        <f>(WWWW[[#This Row],['#_Constructed latrines_by_WASHAgencies]]+WWWW[[#This Row],['#_Non Cluster partner latrines]])-WWWW[[#This Row],['#_Non-functional latrines]]</f>
        <v>204</v>
      </c>
      <c r="CM49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499"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989</v>
      </c>
      <c r="CO499"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499" s="750" t="str">
        <f>IF(WWWW[[#This Row],[Location Type 1]]="Village","NA",IF(WWWW[[#This Row],['#_Constructed/Existing latrines in TLS]]*50&gt;WWWW[[#This Row],['#_students at TLS_CFS]],WWWW[[#This Row],['#_students at TLS_CFS]],(WWWW[[#This Row],['#_Constructed/Existing latrines in TLS]]*50)))</f>
        <v>NA</v>
      </c>
      <c r="CQ499" s="750">
        <f>ROUND(IF(WWWW[[#This Row],[Location Type 1]]="camp",WWWW[[#This Row],[Total PoP ]]/20,IF(WWWW[[#This Row],[Location Type 1]]="Temporary Location",WWWW[[#This Row],[Total PoP ]]/50,(WWWW[[#This Row],[Total PoP ]]/6))),0)</f>
        <v>165</v>
      </c>
      <c r="CR499" s="750">
        <f>IF(WWWW[[#This Row],[Total required Latrines]]-(WWWW[[#This Row],['#_Constructed latrines_by_WASHAgencies]]+WWWW[[#This Row],['#_Non Cluster partner latrines]])&lt;0,0,WWWW[[#This Row],[Total required Latrines]]-(WWWW[[#This Row],['#_Constructed latrines_by_WASHAgencies]]+WWWW[[#This Row],['#_Non Cluster partner latrines]]))</f>
        <v>0</v>
      </c>
      <c r="CS499" s="756">
        <f>1-WWWW[[#This Row],[% people access to functioning Latrine]]</f>
        <v>0</v>
      </c>
      <c r="CT499" s="751">
        <f>IF(OR(WWWW[[#This Row],['#_Non-functional latrines]]="",WWWW[[#This Row],['#_Non-functional latrines]]=0),0,WWWW[[#This Row],['#_Non-functional latrines]]/(WWWW[[#This Row],['#_Constructed latrines_by_WASHAgencies]]+WWWW[[#This Row],['#_Non Cluster partner latrines]]))</f>
        <v>0</v>
      </c>
      <c r="CU499" s="759">
        <f>IF(500*(WWWW[[#This Row],['#_male hygiene promoters]]+WWWW[[#This Row],['#_female hygiene promoters]])&gt;WWWW[[#This Row],[Total PoP ]],WWWW[[#This Row],[Total PoP ]],500*(WWWW[[#This Row],['#_male hygiene promoters]]+WWWW[[#This Row],['#_female hygiene promoters]]))</f>
        <v>989</v>
      </c>
      <c r="CV499"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989</v>
      </c>
      <c r="CW499"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989</v>
      </c>
      <c r="CX499" s="750">
        <f>IF(WWWW[[#This Row],['# People with access to soap]]&gt;WWWW[[#This Row],['# People with access to Sanity Pads]],WWWW[[#This Row],['# People with access to soap]],WWWW[[#This Row],['# People with access to Sanity Pads]])</f>
        <v>989</v>
      </c>
      <c r="CY499" s="750">
        <f>IF(WWWW[[#This Row],['# people reached by regular dedicated hygiene promotion_5]]&gt;WWWW[[#This Row],['# People received regular supply of hygiene items_6]],WWWW[[#This Row],['# people reached by regular dedicated hygiene promotion_5]],WWWW[[#This Row],['# People received regular supply of hygiene items_6]])</f>
        <v>989</v>
      </c>
      <c r="CZ499" s="748">
        <f>IF(WWWW[[#This Row],[HRP3]]/WWWW[[#This Row],[Total PoP ]]&gt;100%,100%,WWWW[[#This Row],[HRP3]]/WWWW[[#This Row],[Total PoP ]])</f>
        <v>1</v>
      </c>
      <c r="DA499" s="751">
        <f>1-WWWW[[#This Row],[Hygiene Coverage%]]</f>
        <v>0</v>
      </c>
      <c r="DB499" s="737">
        <f>WWWW[[#This Row],['# people reached by regular dedicated hygiene promotion_5]]/WWWW[[#This Row],[Total PoP ]]</f>
        <v>1</v>
      </c>
      <c r="DC499" s="737">
        <f>IF(WWWW[[#This Row],['#_households that received standard amount of soap for this quarter]]/WWWW[[#This Row],[Total HH]]&gt;1,1,WWWW[[#This Row],['#_households that received standard amount of soap for this quarter]]/WWWW[[#This Row],[Total HH]])</f>
        <v>1</v>
      </c>
      <c r="DD499" s="737">
        <f>IF(WWWW[[#This Row],['#_households that received standard amount of sanitary pads for this quarter]]/WWWW[[#This Row],[Total HH]]&gt;1,1,WWWW[[#This Row],['#_households that received standard amount of sanitary pads for this quarter]]/WWWW[[#This Row],[Total HH]])</f>
        <v>1</v>
      </c>
      <c r="DE499" s="595">
        <f>WWWW[[#This Row],['#_Constructed/Existing hand washing stations]]-WWWW[[#This Row],['#_Non-Functional_hand_washing_stations]]</f>
        <v>0</v>
      </c>
      <c r="DF499" s="757">
        <f>IF(WWWW[[#This Row],['# Functional hand washing stations during reporting period]]*20&gt;WWWW[[#This Row],[Total HH]],WWWW[[#This Row],[Total HH]],WWWW[[#This Row],['# Functional hand washing stations during reporting period]]*20)</f>
        <v>0</v>
      </c>
      <c r="DG499" s="736">
        <f>IF(WWWW[[#This Row],[Is sufficient soap available for TLS? (Yes/No)]]="yes",WWWW[[#This Row],['#_Constructed/Existing hand washing stations at TLS]],0)</f>
        <v>0</v>
      </c>
      <c r="DH499" s="736">
        <f>IF(WWWW[[#This Row],['# Functional hand washing stations during reporting period]]*100&gt;WWWW[[#This Row],[Total PoP ]],WWWW[[#This Row],[Total PoP ]],WWWW[[#This Row],['# Functional hand washing stations during reporting period]]*100)</f>
        <v>0</v>
      </c>
      <c r="DI499" s="736" t="str">
        <f>IF(OR(WWWW[[#This Row],['#_students at TLS_CFS]]="",WWWW[[#This Row],['#_students at TLS_CFS]]=0),"No","Yes")</f>
        <v>No</v>
      </c>
      <c r="DJ499" s="752">
        <f>VLOOKUP(WWWW[[#This Row],[Site Name]],SiteDB6[[Site Name]:[CCCM Management]],6,FALSE)</f>
        <v>0</v>
      </c>
      <c r="DK499" s="752">
        <f>VLOOKUP(WWWW[[#This Row],[Site Name]],SiteDB6[[Site Name]:[CCCM Focal Agency]],7,FALSE)</f>
        <v>0</v>
      </c>
      <c r="DL499" s="752" t="str">
        <f>VLOOKUP(WWWW[[#This Row],[Site Name]],SiteDB6[[Site Name]:[Location Type 1]],9,FALSE)</f>
        <v>Village</v>
      </c>
      <c r="DM499" s="752" t="str">
        <f>VLOOKUP(WWWW[[#This Row],[Site Name]],SiteDB6[[Site Name]:[Type of Accommodation]],10,FALSE)</f>
        <v>Village</v>
      </c>
      <c r="DN499" s="752" t="str">
        <f>VLOOKUP(WWWW[[#This Row],[Site Name]],SiteDB6[[Site Name]:[Ethnic or GCA/NGCA]],11,FALSE)</f>
        <v>Muslim</v>
      </c>
      <c r="DO499" s="752">
        <f>VLOOKUP(WWWW[[#This Row],[Site Name]],SiteDB6[[Site Name]:[Lat]],12,FALSE)</f>
        <v>20.914119719999999</v>
      </c>
      <c r="DP499" s="752">
        <f>VLOOKUP(WWWW[[#This Row],[Site Name]],SiteDB6[[Site Name]:[Long]],13,FALSE)</f>
        <v>92.3506012</v>
      </c>
      <c r="DQ499" s="752">
        <f>VLOOKUP(WWWW[[#This Row],[Site Name]],SiteDB6[[Site Name]:[Pcode]],3,FALSE)</f>
        <v>197950</v>
      </c>
      <c r="DR499" s="782" t="str">
        <f t="shared" si="17"/>
        <v>Covered</v>
      </c>
      <c r="DS499" s="782"/>
      <c r="DT499" s="745"/>
      <c r="DU499" s="745"/>
      <c r="DV499" s="770"/>
      <c r="DW499" s="745"/>
      <c r="DX499" s="746"/>
      <c r="DY499" s="746"/>
      <c r="DZ499" s="747"/>
      <c r="EA499" s="747"/>
      <c r="EB499" s="747"/>
      <c r="EC499" s="747"/>
      <c r="ED499" s="747"/>
      <c r="EE499" s="747"/>
      <c r="EF499" s="747"/>
      <c r="EG499" s="747"/>
      <c r="EH499" s="747"/>
    </row>
    <row r="500" spans="1:138" s="743" customFormat="1">
      <c r="A500" s="552" t="s">
        <v>2518</v>
      </c>
      <c r="B500" s="744" t="s">
        <v>3241</v>
      </c>
      <c r="C500" s="744" t="s">
        <v>387</v>
      </c>
      <c r="D500" s="744" t="s">
        <v>252</v>
      </c>
      <c r="E500" s="744" t="s">
        <v>3005</v>
      </c>
      <c r="F500" s="744" t="s">
        <v>323</v>
      </c>
      <c r="G500" s="791" t="str">
        <f>VLOOKUP(WWWW[[#This Row],[Site Name]],SiteDB6[[Site Name]:[Location Type]],8,FALSE)</f>
        <v>Village</v>
      </c>
      <c r="H500" s="812" t="s">
        <v>2115</v>
      </c>
      <c r="I500" s="813">
        <v>150</v>
      </c>
      <c r="J500" s="759">
        <v>626</v>
      </c>
      <c r="K500" s="755">
        <v>43251</v>
      </c>
      <c r="L500" s="755">
        <v>43677</v>
      </c>
      <c r="M500" s="807"/>
      <c r="N500" s="807"/>
      <c r="O500" s="807"/>
      <c r="P500" s="807"/>
      <c r="Q500" s="759"/>
      <c r="R500" s="807"/>
      <c r="S500" s="807"/>
      <c r="T500" s="807">
        <v>1</v>
      </c>
      <c r="U500" s="807">
        <v>1</v>
      </c>
      <c r="V500" s="807">
        <v>0</v>
      </c>
      <c r="W500" s="807">
        <v>16</v>
      </c>
      <c r="X500" s="807">
        <v>9</v>
      </c>
      <c r="Y500" s="807">
        <v>7</v>
      </c>
      <c r="Z500" s="807">
        <v>9</v>
      </c>
      <c r="AA500" s="807">
        <v>0</v>
      </c>
      <c r="AB500" s="807">
        <v>0</v>
      </c>
      <c r="AC500" s="807">
        <v>0</v>
      </c>
      <c r="AD500" s="807"/>
      <c r="AE500" s="807">
        <v>3</v>
      </c>
      <c r="AF500" s="807"/>
      <c r="AG500" s="807"/>
      <c r="AH500" s="807">
        <v>2</v>
      </c>
      <c r="AI500" s="807">
        <v>0</v>
      </c>
      <c r="AJ500" s="807">
        <v>0</v>
      </c>
      <c r="AK500" s="807">
        <v>0</v>
      </c>
      <c r="AL500" s="807">
        <v>0</v>
      </c>
      <c r="AM500" s="807">
        <v>0</v>
      </c>
      <c r="AN500" s="807">
        <v>0</v>
      </c>
      <c r="AO500" s="782"/>
      <c r="AP500" s="759">
        <v>82</v>
      </c>
      <c r="AQ500" s="752">
        <v>82</v>
      </c>
      <c r="AR500" s="749"/>
      <c r="AS500" s="807"/>
      <c r="AT500" s="807"/>
      <c r="AU500" s="807"/>
      <c r="AV500" s="807"/>
      <c r="AW500" s="750">
        <v>82</v>
      </c>
      <c r="AX500" s="750" t="s">
        <v>144</v>
      </c>
      <c r="AY500" s="750" t="s">
        <v>144</v>
      </c>
      <c r="AZ500" s="750">
        <v>0</v>
      </c>
      <c r="BA500" s="807"/>
      <c r="BB500" s="759">
        <v>0</v>
      </c>
      <c r="BC500" s="752"/>
      <c r="BD500" s="807"/>
      <c r="BE500" s="807"/>
      <c r="BF500" s="807"/>
      <c r="BG500" s="807"/>
      <c r="BH500" s="807"/>
      <c r="BI500" s="750">
        <v>1</v>
      </c>
      <c r="BJ500" s="750">
        <v>0</v>
      </c>
      <c r="BK500" s="750">
        <v>150</v>
      </c>
      <c r="BL500" s="750">
        <v>150</v>
      </c>
      <c r="BM500" s="750" t="s">
        <v>144</v>
      </c>
      <c r="BN500" s="750">
        <v>2</v>
      </c>
      <c r="BO500" s="749"/>
      <c r="BP500" s="752"/>
      <c r="BQ500" s="751" t="str">
        <f>IFERROR(WWWW[[#This Row],['#_Water sources treated]]/WWWW[[#This Row],['#_Water sources tested for contamination]],"no test")</f>
        <v>no test</v>
      </c>
      <c r="BR500" s="749" t="str">
        <f>IFERROR(WWWW[[#This Row],['#_Household received remediation action due to contamination]]/WWWW[[#This Row],['#_Household water samples tested for contamination]],"no test")</f>
        <v>no test</v>
      </c>
      <c r="BS500" s="750" t="str">
        <f>IF(AND(WWWW[[#This Row],[% of water sources treated]]="no test",WWWW[[#This Row],[% Household received corrective actions]]="no test"),"No Test","Tested")</f>
        <v>No Test</v>
      </c>
      <c r="BT500" s="750">
        <f>WWWW[[#This Row],['#_Constructed/existing protected hand dug well]]-WWWW[[#This Row],['#_Non-functional protected hand dug well]]</f>
        <v>0</v>
      </c>
      <c r="BU500" s="750">
        <f>(WWWW[[#This Row],['#_Constructed/Existing tube wells/boreholes/handpumps_WASH_agency]]+WWWW[[#This Row],['#_Non-Cluster partner water tube-wells/boreholes/handpumps]])-WWWW[[#This Row],['#_Non-functional tube wells/boreholes/handpumps]]</f>
        <v>18</v>
      </c>
      <c r="BV500" s="750">
        <f>WWWW[[#This Row],['#_Constructed/Existingwater storage tank with gravity fed reticulation system]]-WWWW[[#This Row],['#_Non-functional storage tank gravity fed reticulation system]]</f>
        <v>0</v>
      </c>
      <c r="BW500" s="750">
        <f>WWWW[[#This Row],['#_Water boating or water trucking]]</f>
        <v>0</v>
      </c>
      <c r="BX500" s="750">
        <f>WWWW[[#This Row],['#_Constructed/Existing water distribution system from river or natural spring]]</f>
        <v>0</v>
      </c>
      <c r="BY500"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0"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0" s="749">
        <f>IF(WWWW[[#This Row],[Location Type 1]]="Village",WWWW[[#This Row],[Access to safe drinking water for Village]],WWWW[[#This Row],[Access to safe drinking water for Camp]])</f>
        <v>1</v>
      </c>
      <c r="CB500" s="759">
        <f>WWWW[[#This Row],[%Equitable and continuous access to sufficient quantity of safe drinking water]]*WWWW[[#This Row],[Total PoP ]]</f>
        <v>626</v>
      </c>
      <c r="CC500" s="749">
        <f>IF((WWWW[[#This Row],['#_Constructed/Existing protected/fenced ponds]]*250)/WWWW[[#This Row],[Total PoP ]]&gt;1,1,(WWWW[[#This Row],['#_Constructed/Existing protected/fenced ponds]]*250)/WWWW[[#This Row],[Total PoP ]])</f>
        <v>1</v>
      </c>
      <c r="CD500" s="759">
        <f>WWWW[[#This Row],[% Access to unimproved water points]]*WWWW[[#This Row],[Total PoP ]]</f>
        <v>626</v>
      </c>
      <c r="CE500"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0"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626</v>
      </c>
      <c r="CG500" s="736">
        <f>WWWW[[#This Row],[HRP1]]/500</f>
        <v>1.252</v>
      </c>
      <c r="CH500" s="748">
        <f>1-WWWW[[#This Row],[% Equitable and continuous access to sufficient quantity of domestic water]]</f>
        <v>0</v>
      </c>
      <c r="CI500" s="759">
        <f>WWWW[[#This Row],[%equitable and continuous access to sufficient quantity of safe drinking and domestic water''s GAP]]*WWWW[[#This Row],[Total PoP ]]</f>
        <v>0</v>
      </c>
      <c r="CJ500" s="750">
        <f>IF(WWWW[[#This Row],[Total required water points]]-WWWW[[#This Row],['#Water points coverage]]&lt;0,0,WWWW[[#This Row],[Total required water points]]-WWWW[[#This Row],['#Water points coverage]])</f>
        <v>0</v>
      </c>
      <c r="CK500" s="750">
        <f>ROUND(IF(WWWW[[#This Row],[Total PoP ]]&lt;500,1,WWWW[[#This Row],[Total PoP ]]/500),0)</f>
        <v>1</v>
      </c>
      <c r="CL500" s="750">
        <f>(WWWW[[#This Row],['#_Constructed latrines_by_WASHAgencies]]+WWWW[[#This Row],['#_Non Cluster partner latrines]])-WWWW[[#This Row],['#_Non-functional latrines]]</f>
        <v>164</v>
      </c>
      <c r="CM50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0"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626</v>
      </c>
      <c r="CO500"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0" s="750" t="str">
        <f>IF(WWWW[[#This Row],[Location Type 1]]="Village","NA",IF(WWWW[[#This Row],['#_Constructed/Existing latrines in TLS]]*50&gt;WWWW[[#This Row],['#_students at TLS_CFS]],WWWW[[#This Row],['#_students at TLS_CFS]],(WWWW[[#This Row],['#_Constructed/Existing latrines in TLS]]*50)))</f>
        <v>NA</v>
      </c>
      <c r="CQ500" s="750">
        <f>ROUND(IF(WWWW[[#This Row],[Location Type 1]]="camp",WWWW[[#This Row],[Total PoP ]]/20,IF(WWWW[[#This Row],[Location Type 1]]="Temporary Location",WWWW[[#This Row],[Total PoP ]]/50,(WWWW[[#This Row],[Total PoP ]]/6))),0)</f>
        <v>104</v>
      </c>
      <c r="CR500" s="750">
        <f>IF(WWWW[[#This Row],[Total required Latrines]]-(WWWW[[#This Row],['#_Constructed latrines_by_WASHAgencies]]+WWWW[[#This Row],['#_Non Cluster partner latrines]])&lt;0,0,WWWW[[#This Row],[Total required Latrines]]-(WWWW[[#This Row],['#_Constructed latrines_by_WASHAgencies]]+WWWW[[#This Row],['#_Non Cluster partner latrines]]))</f>
        <v>0</v>
      </c>
      <c r="CS500" s="756">
        <f>1-WWWW[[#This Row],[% people access to functioning Latrine]]</f>
        <v>0</v>
      </c>
      <c r="CT500" s="751">
        <f>IF(OR(WWWW[[#This Row],['#_Non-functional latrines]]="",WWWW[[#This Row],['#_Non-functional latrines]]=0),0,WWWW[[#This Row],['#_Non-functional latrines]]/(WWWW[[#This Row],['#_Constructed latrines_by_WASHAgencies]]+WWWW[[#This Row],['#_Non Cluster partner latrines]]))</f>
        <v>0</v>
      </c>
      <c r="CU500" s="759">
        <f>IF(500*(WWWW[[#This Row],['#_male hygiene promoters]]+WWWW[[#This Row],['#_female hygiene promoters]])&gt;WWWW[[#This Row],[Total PoP ]],WWWW[[#This Row],[Total PoP ]],500*(WWWW[[#This Row],['#_male hygiene promoters]]+WWWW[[#This Row],['#_female hygiene promoters]]))</f>
        <v>500</v>
      </c>
      <c r="CV500"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626</v>
      </c>
      <c r="CW500"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626</v>
      </c>
      <c r="CX500" s="750">
        <f>IF(WWWW[[#This Row],['# People with access to soap]]&gt;WWWW[[#This Row],['# People with access to Sanity Pads]],WWWW[[#This Row],['# People with access to soap]],WWWW[[#This Row],['# People with access to Sanity Pads]])</f>
        <v>626</v>
      </c>
      <c r="CY500" s="750">
        <f>IF(WWWW[[#This Row],['# people reached by regular dedicated hygiene promotion_5]]&gt;WWWW[[#This Row],['# People received regular supply of hygiene items_6]],WWWW[[#This Row],['# people reached by regular dedicated hygiene promotion_5]],WWWW[[#This Row],['# People received regular supply of hygiene items_6]])</f>
        <v>626</v>
      </c>
      <c r="CZ500" s="748">
        <f>IF(WWWW[[#This Row],[HRP3]]/WWWW[[#This Row],[Total PoP ]]&gt;100%,100%,WWWW[[#This Row],[HRP3]]/WWWW[[#This Row],[Total PoP ]])</f>
        <v>1</v>
      </c>
      <c r="DA500" s="751">
        <f>1-WWWW[[#This Row],[Hygiene Coverage%]]</f>
        <v>0</v>
      </c>
      <c r="DB500" s="737">
        <f>WWWW[[#This Row],['# people reached by regular dedicated hygiene promotion_5]]/WWWW[[#This Row],[Total PoP ]]</f>
        <v>0.79872204472843455</v>
      </c>
      <c r="DC500" s="737">
        <f>IF(WWWW[[#This Row],['#_households that received standard amount of soap for this quarter]]/WWWW[[#This Row],[Total HH]]&gt;1,1,WWWW[[#This Row],['#_households that received standard amount of soap for this quarter]]/WWWW[[#This Row],[Total HH]])</f>
        <v>1</v>
      </c>
      <c r="DD500" s="737">
        <f>IF(WWWW[[#This Row],['#_households that received standard amount of sanitary pads for this quarter]]/WWWW[[#This Row],[Total HH]]&gt;1,1,WWWW[[#This Row],['#_households that received standard amount of sanitary pads for this quarter]]/WWWW[[#This Row],[Total HH]])</f>
        <v>1</v>
      </c>
      <c r="DE500" s="595">
        <f>WWWW[[#This Row],['#_Constructed/Existing hand washing stations]]-WWWW[[#This Row],['#_Non-Functional_hand_washing_stations]]</f>
        <v>0</v>
      </c>
      <c r="DF500" s="757">
        <f>IF(WWWW[[#This Row],['# Functional hand washing stations during reporting period]]*20&gt;WWWW[[#This Row],[Total HH]],WWWW[[#This Row],[Total HH]],WWWW[[#This Row],['# Functional hand washing stations during reporting period]]*20)</f>
        <v>0</v>
      </c>
      <c r="DG500" s="736">
        <f>IF(WWWW[[#This Row],[Is sufficient soap available for TLS? (Yes/No)]]="yes",WWWW[[#This Row],['#_Constructed/Existing hand washing stations at TLS]],0)</f>
        <v>0</v>
      </c>
      <c r="DH500" s="736">
        <f>IF(WWWW[[#This Row],['# Functional hand washing stations during reporting period]]*100&gt;WWWW[[#This Row],[Total PoP ]],WWWW[[#This Row],[Total PoP ]],WWWW[[#This Row],['# Functional hand washing stations during reporting period]]*100)</f>
        <v>0</v>
      </c>
      <c r="DI500" s="736" t="str">
        <f>IF(OR(WWWW[[#This Row],['#_students at TLS_CFS]]="",WWWW[[#This Row],['#_students at TLS_CFS]]=0),"No","Yes")</f>
        <v>No</v>
      </c>
      <c r="DJ500" s="752">
        <f>VLOOKUP(WWWW[[#This Row],[Site Name]],SiteDB6[[Site Name]:[CCCM Management]],6,FALSE)</f>
        <v>0</v>
      </c>
      <c r="DK500" s="752">
        <f>VLOOKUP(WWWW[[#This Row],[Site Name]],SiteDB6[[Site Name]:[CCCM Focal Agency]],7,FALSE)</f>
        <v>0</v>
      </c>
      <c r="DL500" s="752" t="str">
        <f>VLOOKUP(WWWW[[#This Row],[Site Name]],SiteDB6[[Site Name]:[Location Type 1]],9,FALSE)</f>
        <v>Village</v>
      </c>
      <c r="DM500" s="752" t="str">
        <f>VLOOKUP(WWWW[[#This Row],[Site Name]],SiteDB6[[Site Name]:[Type of Accommodation]],10,FALSE)</f>
        <v>Village</v>
      </c>
      <c r="DN500" s="752" t="str">
        <f>VLOOKUP(WWWW[[#This Row],[Site Name]],SiteDB6[[Site Name]:[Ethnic or GCA/NGCA]],11,FALSE)</f>
        <v>Muslim</v>
      </c>
      <c r="DO500" s="752">
        <f>VLOOKUP(WWWW[[#This Row],[Site Name]],SiteDB6[[Site Name]:[Lat]],12,FALSE)</f>
        <v>20.900329589999998</v>
      </c>
      <c r="DP500" s="752">
        <f>VLOOKUP(WWWW[[#This Row],[Site Name]],SiteDB6[[Site Name]:[Long]],13,FALSE)</f>
        <v>92.362213130000001</v>
      </c>
      <c r="DQ500" s="752">
        <f>VLOOKUP(WWWW[[#This Row],[Site Name]],SiteDB6[[Site Name]:[Pcode]],3,FALSE)</f>
        <v>197957</v>
      </c>
      <c r="DR500" s="782" t="str">
        <f t="shared" si="17"/>
        <v>Covered</v>
      </c>
      <c r="DS500" s="782"/>
      <c r="DT500" s="745"/>
      <c r="DU500" s="745"/>
      <c r="DV500" s="770"/>
      <c r="DW500" s="745"/>
      <c r="DX500" s="746"/>
      <c r="DY500" s="746"/>
      <c r="DZ500" s="747"/>
      <c r="EA500" s="747"/>
      <c r="EB500" s="747"/>
      <c r="EC500" s="747"/>
      <c r="ED500" s="747"/>
      <c r="EE500" s="747"/>
      <c r="EF500" s="747"/>
      <c r="EG500" s="747"/>
      <c r="EH500" s="747"/>
    </row>
    <row r="501" spans="1:138" s="743" customFormat="1">
      <c r="A501" s="552" t="s">
        <v>2518</v>
      </c>
      <c r="B501" s="744" t="s">
        <v>3241</v>
      </c>
      <c r="C501" s="744" t="s">
        <v>387</v>
      </c>
      <c r="D501" s="744" t="s">
        <v>252</v>
      </c>
      <c r="E501" s="744" t="s">
        <v>3005</v>
      </c>
      <c r="F501" s="744" t="s">
        <v>323</v>
      </c>
      <c r="G501" s="791" t="str">
        <f>VLOOKUP(WWWW[[#This Row],[Site Name]],SiteDB6[[Site Name]:[Location Type]],8,FALSE)</f>
        <v>Village</v>
      </c>
      <c r="H501" s="809" t="s">
        <v>535</v>
      </c>
      <c r="I501" s="813">
        <v>87</v>
      </c>
      <c r="J501" s="759">
        <v>361</v>
      </c>
      <c r="K501" s="755">
        <v>43251</v>
      </c>
      <c r="L501" s="755">
        <v>43677</v>
      </c>
      <c r="M501" s="807"/>
      <c r="N501" s="807"/>
      <c r="O501" s="807"/>
      <c r="P501" s="807"/>
      <c r="Q501" s="759"/>
      <c r="R501" s="807"/>
      <c r="S501" s="807"/>
      <c r="T501" s="807">
        <v>3</v>
      </c>
      <c r="U501" s="807">
        <v>1</v>
      </c>
      <c r="V501" s="807">
        <v>2</v>
      </c>
      <c r="W501" s="807">
        <v>0</v>
      </c>
      <c r="X501" s="807">
        <v>0</v>
      </c>
      <c r="Y501" s="807">
        <v>0</v>
      </c>
      <c r="Z501" s="807">
        <v>0</v>
      </c>
      <c r="AA501" s="807">
        <v>0</v>
      </c>
      <c r="AB501" s="807">
        <v>0</v>
      </c>
      <c r="AC501" s="807">
        <v>0</v>
      </c>
      <c r="AD501" s="807"/>
      <c r="AE501" s="807">
        <v>5</v>
      </c>
      <c r="AF501" s="807"/>
      <c r="AG501" s="807"/>
      <c r="AH501" s="807">
        <v>1</v>
      </c>
      <c r="AI501" s="807">
        <v>0</v>
      </c>
      <c r="AJ501" s="807">
        <v>0</v>
      </c>
      <c r="AK501" s="807">
        <v>0</v>
      </c>
      <c r="AL501" s="807">
        <v>0</v>
      </c>
      <c r="AM501" s="807">
        <v>0</v>
      </c>
      <c r="AN501" s="807">
        <v>0</v>
      </c>
      <c r="AO501" s="782"/>
      <c r="AP501" s="759">
        <v>0</v>
      </c>
      <c r="AQ501" s="752">
        <v>0</v>
      </c>
      <c r="AR501" s="749"/>
      <c r="AS501" s="807"/>
      <c r="AT501" s="807"/>
      <c r="AU501" s="807"/>
      <c r="AV501" s="807"/>
      <c r="AW501" s="750">
        <v>0</v>
      </c>
      <c r="AX501" s="750" t="s">
        <v>144</v>
      </c>
      <c r="AY501" s="750" t="s">
        <v>144</v>
      </c>
      <c r="AZ501" s="750">
        <v>4</v>
      </c>
      <c r="BA501" s="807"/>
      <c r="BB501" s="759">
        <v>4</v>
      </c>
      <c r="BC501" s="752"/>
      <c r="BD501" s="807"/>
      <c r="BE501" s="807"/>
      <c r="BF501" s="807"/>
      <c r="BG501" s="807"/>
      <c r="BH501" s="807"/>
      <c r="BI501" s="750">
        <v>1</v>
      </c>
      <c r="BJ501" s="750">
        <v>0</v>
      </c>
      <c r="BK501" s="750">
        <v>87</v>
      </c>
      <c r="BL501" s="750">
        <v>0</v>
      </c>
      <c r="BM501" s="750" t="s">
        <v>144</v>
      </c>
      <c r="BN501" s="750">
        <v>1</v>
      </c>
      <c r="BO501" s="749"/>
      <c r="BP501" s="752"/>
      <c r="BQ501" s="751" t="str">
        <f>IFERROR(WWWW[[#This Row],['#_Water sources treated]]/WWWW[[#This Row],['#_Water sources tested for contamination]],"no test")</f>
        <v>no test</v>
      </c>
      <c r="BR501" s="749" t="str">
        <f>IFERROR(WWWW[[#This Row],['#_Household received remediation action due to contamination]]/WWWW[[#This Row],['#_Household water samples tested for contamination]],"no test")</f>
        <v>no test</v>
      </c>
      <c r="BS501" s="750" t="str">
        <f>IF(AND(WWWW[[#This Row],[% of water sources treated]]="no test",WWWW[[#This Row],[% Household received corrective actions]]="no test"),"No Test","Tested")</f>
        <v>No Test</v>
      </c>
      <c r="BT501" s="750">
        <f>WWWW[[#This Row],['#_Constructed/existing protected hand dug well]]-WWWW[[#This Row],['#_Non-functional protected hand dug well]]</f>
        <v>2</v>
      </c>
      <c r="BU501" s="750">
        <f>(WWWW[[#This Row],['#_Constructed/Existing tube wells/boreholes/handpumps_WASH_agency]]+WWWW[[#This Row],['#_Non-Cluster partner water tube-wells/boreholes/handpumps]])-WWWW[[#This Row],['#_Non-functional tube wells/boreholes/handpumps]]</f>
        <v>0</v>
      </c>
      <c r="BV501" s="750">
        <f>WWWW[[#This Row],['#_Constructed/Existingwater storage tank with gravity fed reticulation system]]-WWWW[[#This Row],['#_Non-functional storage tank gravity fed reticulation system]]</f>
        <v>0</v>
      </c>
      <c r="BW501" s="750">
        <f>WWWW[[#This Row],['#_Water boating or water trucking]]</f>
        <v>0</v>
      </c>
      <c r="BX501" s="750">
        <f>WWWW[[#This Row],['#_Constructed/Existing water distribution system from river or natural spring]]</f>
        <v>0</v>
      </c>
      <c r="BY501"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1"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1" s="749">
        <f>IF(WWWW[[#This Row],[Location Type 1]]="Village",WWWW[[#This Row],[Access to safe drinking water for Village]],WWWW[[#This Row],[Access to safe drinking water for Camp]])</f>
        <v>1</v>
      </c>
      <c r="CB501" s="759">
        <f>WWWW[[#This Row],[%Equitable and continuous access to sufficient quantity of safe drinking water]]*WWWW[[#This Row],[Total PoP ]]</f>
        <v>361</v>
      </c>
      <c r="CC501" s="749">
        <f>IF((WWWW[[#This Row],['#_Constructed/Existing protected/fenced ponds]]*250)/WWWW[[#This Row],[Total PoP ]]&gt;1,1,(WWWW[[#This Row],['#_Constructed/Existing protected/fenced ponds]]*250)/WWWW[[#This Row],[Total PoP ]])</f>
        <v>1</v>
      </c>
      <c r="CD501" s="759">
        <f>WWWW[[#This Row],[% Access to unimproved water points]]*WWWW[[#This Row],[Total PoP ]]</f>
        <v>361</v>
      </c>
      <c r="CE501"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1"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361</v>
      </c>
      <c r="CG501" s="736">
        <f>WWWW[[#This Row],[HRP1]]/500</f>
        <v>0.72199999999999998</v>
      </c>
      <c r="CH501" s="748">
        <f>1-WWWW[[#This Row],[% Equitable and continuous access to sufficient quantity of domestic water]]</f>
        <v>0</v>
      </c>
      <c r="CI501" s="759">
        <f>WWWW[[#This Row],[%equitable and continuous access to sufficient quantity of safe drinking and domestic water''s GAP]]*WWWW[[#This Row],[Total PoP ]]</f>
        <v>0</v>
      </c>
      <c r="CJ501" s="750">
        <f>IF(WWWW[[#This Row],[Total required water points]]-WWWW[[#This Row],['#Water points coverage]]&lt;0,0,WWWW[[#This Row],[Total required water points]]-WWWW[[#This Row],['#Water points coverage]])</f>
        <v>0.27800000000000002</v>
      </c>
      <c r="CK501" s="750">
        <f>ROUND(IF(WWWW[[#This Row],[Total PoP ]]&lt;500,1,WWWW[[#This Row],[Total PoP ]]/500),0)</f>
        <v>1</v>
      </c>
      <c r="CL501" s="750">
        <f>(WWWW[[#This Row],['#_Constructed latrines_by_WASHAgencies]]+WWWW[[#This Row],['#_Non Cluster partner latrines]])-WWWW[[#This Row],['#_Non-functional latrines]]</f>
        <v>0</v>
      </c>
      <c r="CM50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1"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1"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1" s="750" t="str">
        <f>IF(WWWW[[#This Row],[Location Type 1]]="Village","NA",IF(WWWW[[#This Row],['#_Constructed/Existing latrines in TLS]]*50&gt;WWWW[[#This Row],['#_students at TLS_CFS]],WWWW[[#This Row],['#_students at TLS_CFS]],(WWWW[[#This Row],['#_Constructed/Existing latrines in TLS]]*50)))</f>
        <v>NA</v>
      </c>
      <c r="CQ501" s="750">
        <f>ROUND(IF(WWWW[[#This Row],[Location Type 1]]="camp",WWWW[[#This Row],[Total PoP ]]/20,IF(WWWW[[#This Row],[Location Type 1]]="Temporary Location",WWWW[[#This Row],[Total PoP ]]/50,(WWWW[[#This Row],[Total PoP ]]/6))),0)</f>
        <v>60</v>
      </c>
      <c r="CR501" s="750">
        <f>IF(WWWW[[#This Row],[Total required Latrines]]-(WWWW[[#This Row],['#_Constructed latrines_by_WASHAgencies]]+WWWW[[#This Row],['#_Non Cluster partner latrines]])&lt;0,0,WWWW[[#This Row],[Total required Latrines]]-(WWWW[[#This Row],['#_Constructed latrines_by_WASHAgencies]]+WWWW[[#This Row],['#_Non Cluster partner latrines]]))</f>
        <v>60</v>
      </c>
      <c r="CS501" s="756">
        <f>1-WWWW[[#This Row],[% people access to functioning Latrine]]</f>
        <v>1</v>
      </c>
      <c r="CT501" s="751">
        <f>IF(OR(WWWW[[#This Row],['#_Non-functional latrines]]="",WWWW[[#This Row],['#_Non-functional latrines]]=0),0,WWWW[[#This Row],['#_Non-functional latrines]]/(WWWW[[#This Row],['#_Constructed latrines_by_WASHAgencies]]+WWWW[[#This Row],['#_Non Cluster partner latrines]]))</f>
        <v>0</v>
      </c>
      <c r="CU501" s="759">
        <f>IF(500*(WWWW[[#This Row],['#_male hygiene promoters]]+WWWW[[#This Row],['#_female hygiene promoters]])&gt;WWWW[[#This Row],[Total PoP ]],WWWW[[#This Row],[Total PoP ]],500*(WWWW[[#This Row],['#_male hygiene promoters]]+WWWW[[#This Row],['#_female hygiene promoters]]))</f>
        <v>361</v>
      </c>
      <c r="CV501"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361</v>
      </c>
      <c r="CW501"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1" s="750">
        <f>IF(WWWW[[#This Row],['# People with access to soap]]&gt;WWWW[[#This Row],['# People with access to Sanity Pads]],WWWW[[#This Row],['# People with access to soap]],WWWW[[#This Row],['# People with access to Sanity Pads]])</f>
        <v>361</v>
      </c>
      <c r="CY501" s="750">
        <f>IF(WWWW[[#This Row],['# people reached by regular dedicated hygiene promotion_5]]&gt;WWWW[[#This Row],['# People received regular supply of hygiene items_6]],WWWW[[#This Row],['# people reached by regular dedicated hygiene promotion_5]],WWWW[[#This Row],['# People received regular supply of hygiene items_6]])</f>
        <v>361</v>
      </c>
      <c r="CZ501" s="748">
        <f>IF(WWWW[[#This Row],[HRP3]]/WWWW[[#This Row],[Total PoP ]]&gt;100%,100%,WWWW[[#This Row],[HRP3]]/WWWW[[#This Row],[Total PoP ]])</f>
        <v>1</v>
      </c>
      <c r="DA501" s="751">
        <f>1-WWWW[[#This Row],[Hygiene Coverage%]]</f>
        <v>0</v>
      </c>
      <c r="DB501" s="737">
        <f>WWWW[[#This Row],['# people reached by regular dedicated hygiene promotion_5]]/WWWW[[#This Row],[Total PoP ]]</f>
        <v>1</v>
      </c>
      <c r="DC501" s="737">
        <f>IF(WWWW[[#This Row],['#_households that received standard amount of soap for this quarter]]/WWWW[[#This Row],[Total HH]]&gt;1,1,WWWW[[#This Row],['#_households that received standard amount of soap for this quarter]]/WWWW[[#This Row],[Total HH]])</f>
        <v>1</v>
      </c>
      <c r="DD501" s="737">
        <f>IF(WWWW[[#This Row],['#_households that received standard amount of sanitary pads for this quarter]]/WWWW[[#This Row],[Total HH]]&gt;1,1,WWWW[[#This Row],['#_households that received standard amount of sanitary pads for this quarter]]/WWWW[[#This Row],[Total HH]])</f>
        <v>0</v>
      </c>
      <c r="DE501" s="595">
        <f>WWWW[[#This Row],['#_Constructed/Existing hand washing stations]]-WWWW[[#This Row],['#_Non-Functional_hand_washing_stations]]</f>
        <v>0</v>
      </c>
      <c r="DF501" s="757">
        <f>IF(WWWW[[#This Row],['# Functional hand washing stations during reporting period]]*20&gt;WWWW[[#This Row],[Total HH]],WWWW[[#This Row],[Total HH]],WWWW[[#This Row],['# Functional hand washing stations during reporting period]]*20)</f>
        <v>0</v>
      </c>
      <c r="DG501" s="736">
        <f>IF(WWWW[[#This Row],[Is sufficient soap available for TLS? (Yes/No)]]="yes",WWWW[[#This Row],['#_Constructed/Existing hand washing stations at TLS]],0)</f>
        <v>0</v>
      </c>
      <c r="DH501" s="736">
        <f>IF(WWWW[[#This Row],['# Functional hand washing stations during reporting period]]*100&gt;WWWW[[#This Row],[Total PoP ]],WWWW[[#This Row],[Total PoP ]],WWWW[[#This Row],['# Functional hand washing stations during reporting period]]*100)</f>
        <v>0</v>
      </c>
      <c r="DI501" s="736" t="str">
        <f>IF(OR(WWWW[[#This Row],['#_students at TLS_CFS]]="",WWWW[[#This Row],['#_students at TLS_CFS]]=0),"No","Yes")</f>
        <v>No</v>
      </c>
      <c r="DJ501" s="752">
        <f>VLOOKUP(WWWW[[#This Row],[Site Name]],SiteDB6[[Site Name]:[CCCM Management]],6,FALSE)</f>
        <v>0</v>
      </c>
      <c r="DK501" s="752">
        <f>VLOOKUP(WWWW[[#This Row],[Site Name]],SiteDB6[[Site Name]:[CCCM Focal Agency]],7,FALSE)</f>
        <v>0</v>
      </c>
      <c r="DL501" s="752" t="str">
        <f>VLOOKUP(WWWW[[#This Row],[Site Name]],SiteDB6[[Site Name]:[Location Type 1]],9,FALSE)</f>
        <v>Village</v>
      </c>
      <c r="DM501" s="752" t="str">
        <f>VLOOKUP(WWWW[[#This Row],[Site Name]],SiteDB6[[Site Name]:[Type of Accommodation]],10,FALSE)</f>
        <v>Village</v>
      </c>
      <c r="DN501" s="752" t="str">
        <f>VLOOKUP(WWWW[[#This Row],[Site Name]],SiteDB6[[Site Name]:[Ethnic or GCA/NGCA]],11,FALSE)</f>
        <v>Rakhine</v>
      </c>
      <c r="DO501" s="752">
        <f>VLOOKUP(WWWW[[#This Row],[Site Name]],SiteDB6[[Site Name]:[Lat]],12,FALSE)</f>
        <v>20.651159289999999</v>
      </c>
      <c r="DP501" s="752">
        <f>VLOOKUP(WWWW[[#This Row],[Site Name]],SiteDB6[[Site Name]:[Long]],13,FALSE)</f>
        <v>92.605712890000007</v>
      </c>
      <c r="DQ501" s="752">
        <f>VLOOKUP(WWWW[[#This Row],[Site Name]],SiteDB6[[Site Name]:[Pcode]],3,FALSE)</f>
        <v>0</v>
      </c>
      <c r="DR501" s="782" t="str">
        <f t="shared" si="17"/>
        <v>Covered</v>
      </c>
      <c r="DS501" s="782"/>
      <c r="DT501" s="745"/>
      <c r="DU501" s="745"/>
      <c r="DV501" s="770"/>
      <c r="DW501" s="745"/>
      <c r="DX501" s="746"/>
      <c r="DY501" s="746"/>
      <c r="DZ501" s="747"/>
      <c r="EA501" s="747"/>
      <c r="EB501" s="747"/>
      <c r="EC501" s="747"/>
      <c r="ED501" s="747"/>
      <c r="EE501" s="747"/>
      <c r="EF501" s="747"/>
      <c r="EG501" s="747"/>
      <c r="EH501" s="747"/>
    </row>
    <row r="502" spans="1:138" s="743" customFormat="1">
      <c r="A502" s="552" t="s">
        <v>2518</v>
      </c>
      <c r="B502" s="744" t="s">
        <v>3241</v>
      </c>
      <c r="C502" s="744" t="s">
        <v>387</v>
      </c>
      <c r="D502" s="744" t="s">
        <v>252</v>
      </c>
      <c r="E502" s="744" t="s">
        <v>3005</v>
      </c>
      <c r="F502" s="744" t="s">
        <v>323</v>
      </c>
      <c r="G502" s="791" t="str">
        <f>VLOOKUP(WWWW[[#This Row],[Site Name]],SiteDB6[[Site Name]:[Location Type]],8,FALSE)</f>
        <v>Village</v>
      </c>
      <c r="H502" s="812" t="s">
        <v>3238</v>
      </c>
      <c r="I502" s="813">
        <v>55</v>
      </c>
      <c r="J502" s="759">
        <v>241</v>
      </c>
      <c r="K502" s="755">
        <v>43251</v>
      </c>
      <c r="L502" s="755">
        <v>43677</v>
      </c>
      <c r="M502" s="807"/>
      <c r="N502" s="807"/>
      <c r="O502" s="807"/>
      <c r="P502" s="807"/>
      <c r="Q502" s="759"/>
      <c r="R502" s="807"/>
      <c r="S502" s="807"/>
      <c r="T502" s="807">
        <v>3</v>
      </c>
      <c r="U502" s="807">
        <v>0</v>
      </c>
      <c r="V502" s="807">
        <v>0</v>
      </c>
      <c r="W502" s="807">
        <v>3</v>
      </c>
      <c r="X502" s="807">
        <v>0</v>
      </c>
      <c r="Y502" s="807">
        <v>0</v>
      </c>
      <c r="Z502" s="807">
        <v>1</v>
      </c>
      <c r="AA502" s="807">
        <v>0</v>
      </c>
      <c r="AB502" s="807">
        <v>0</v>
      </c>
      <c r="AC502" s="807">
        <v>0</v>
      </c>
      <c r="AD502" s="807"/>
      <c r="AE502" s="807">
        <v>1</v>
      </c>
      <c r="AF502" s="807"/>
      <c r="AG502" s="807"/>
      <c r="AH502" s="807">
        <v>1</v>
      </c>
      <c r="AI502" s="807">
        <v>0</v>
      </c>
      <c r="AJ502" s="807">
        <v>0</v>
      </c>
      <c r="AK502" s="807">
        <v>0</v>
      </c>
      <c r="AL502" s="807">
        <v>0</v>
      </c>
      <c r="AM502" s="807">
        <v>0</v>
      </c>
      <c r="AN502" s="807">
        <v>0</v>
      </c>
      <c r="AO502" s="782"/>
      <c r="AP502" s="759">
        <v>0</v>
      </c>
      <c r="AQ502" s="752">
        <v>0</v>
      </c>
      <c r="AR502" s="749"/>
      <c r="AS502" s="807"/>
      <c r="AT502" s="807"/>
      <c r="AU502" s="807"/>
      <c r="AV502" s="807"/>
      <c r="AW502" s="750">
        <v>0</v>
      </c>
      <c r="AX502" s="750" t="s">
        <v>144</v>
      </c>
      <c r="AY502" s="750" t="s">
        <v>144</v>
      </c>
      <c r="AZ502" s="750">
        <v>4</v>
      </c>
      <c r="BA502" s="807"/>
      <c r="BB502" s="759">
        <v>4</v>
      </c>
      <c r="BC502" s="752"/>
      <c r="BD502" s="807"/>
      <c r="BE502" s="807"/>
      <c r="BF502" s="807"/>
      <c r="BG502" s="807"/>
      <c r="BH502" s="807"/>
      <c r="BI502" s="750">
        <v>0</v>
      </c>
      <c r="BJ502" s="750">
        <v>1</v>
      </c>
      <c r="BK502" s="750">
        <v>55</v>
      </c>
      <c r="BL502" s="750">
        <v>0</v>
      </c>
      <c r="BM502" s="750" t="s">
        <v>144</v>
      </c>
      <c r="BN502" s="750">
        <v>2</v>
      </c>
      <c r="BO502" s="749"/>
      <c r="BP502" s="752"/>
      <c r="BQ502" s="751" t="str">
        <f>IFERROR(WWWW[[#This Row],['#_Water sources treated]]/WWWW[[#This Row],['#_Water sources tested for contamination]],"no test")</f>
        <v>no test</v>
      </c>
      <c r="BR502" s="749" t="str">
        <f>IFERROR(WWWW[[#This Row],['#_Household received remediation action due to contamination]]/WWWW[[#This Row],['#_Household water samples tested for contamination]],"no test")</f>
        <v>no test</v>
      </c>
      <c r="BS502" s="750" t="str">
        <f>IF(AND(WWWW[[#This Row],[% of water sources treated]]="no test",WWWW[[#This Row],[% Household received corrective actions]]="no test"),"No Test","Tested")</f>
        <v>No Test</v>
      </c>
      <c r="BT502" s="750">
        <f>WWWW[[#This Row],['#_Constructed/existing protected hand dug well]]-WWWW[[#This Row],['#_Non-functional protected hand dug well]]</f>
        <v>3</v>
      </c>
      <c r="BU502" s="750">
        <f>(WWWW[[#This Row],['#_Constructed/Existing tube wells/boreholes/handpumps_WASH_agency]]+WWWW[[#This Row],['#_Non-Cluster partner water tube-wells/boreholes/handpumps]])-WWWW[[#This Row],['#_Non-functional tube wells/boreholes/handpumps]]</f>
        <v>3</v>
      </c>
      <c r="BV502" s="750">
        <f>WWWW[[#This Row],['#_Constructed/Existingwater storage tank with gravity fed reticulation system]]-WWWW[[#This Row],['#_Non-functional storage tank gravity fed reticulation system]]</f>
        <v>0</v>
      </c>
      <c r="BW502" s="750">
        <f>WWWW[[#This Row],['#_Water boating or water trucking]]</f>
        <v>0</v>
      </c>
      <c r="BX502" s="750">
        <f>WWWW[[#This Row],['#_Constructed/Existing water distribution system from river or natural spring]]</f>
        <v>0</v>
      </c>
      <c r="BY502"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2"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2" s="749">
        <f>IF(WWWW[[#This Row],[Location Type 1]]="Village",WWWW[[#This Row],[Access to safe drinking water for Village]],WWWW[[#This Row],[Access to safe drinking water for Camp]])</f>
        <v>1</v>
      </c>
      <c r="CB502" s="759">
        <f>WWWW[[#This Row],[%Equitable and continuous access to sufficient quantity of safe drinking water]]*WWWW[[#This Row],[Total PoP ]]</f>
        <v>241</v>
      </c>
      <c r="CC502" s="749">
        <f>IF((WWWW[[#This Row],['#_Constructed/Existing protected/fenced ponds]]*250)/WWWW[[#This Row],[Total PoP ]]&gt;1,1,(WWWW[[#This Row],['#_Constructed/Existing protected/fenced ponds]]*250)/WWWW[[#This Row],[Total PoP ]])</f>
        <v>1</v>
      </c>
      <c r="CD502" s="759">
        <f>WWWW[[#This Row],[% Access to unimproved water points]]*WWWW[[#This Row],[Total PoP ]]</f>
        <v>241</v>
      </c>
      <c r="CE502"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2"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CG502" s="736">
        <f>WWWW[[#This Row],[HRP1]]/500</f>
        <v>0.48199999999999998</v>
      </c>
      <c r="CH502" s="748">
        <f>1-WWWW[[#This Row],[% Equitable and continuous access to sufficient quantity of domestic water]]</f>
        <v>0</v>
      </c>
      <c r="CI502" s="759">
        <f>WWWW[[#This Row],[%equitable and continuous access to sufficient quantity of safe drinking and domestic water''s GAP]]*WWWW[[#This Row],[Total PoP ]]</f>
        <v>0</v>
      </c>
      <c r="CJ502" s="750">
        <f>IF(WWWW[[#This Row],[Total required water points]]-WWWW[[#This Row],['#Water points coverage]]&lt;0,0,WWWW[[#This Row],[Total required water points]]-WWWW[[#This Row],['#Water points coverage]])</f>
        <v>0.51800000000000002</v>
      </c>
      <c r="CK502" s="750">
        <f>ROUND(IF(WWWW[[#This Row],[Total PoP ]]&lt;500,1,WWWW[[#This Row],[Total PoP ]]/500),0)</f>
        <v>1</v>
      </c>
      <c r="CL502" s="750">
        <f>(WWWW[[#This Row],['#_Constructed latrines_by_WASHAgencies]]+WWWW[[#This Row],['#_Non Cluster partner latrines]])-WWWW[[#This Row],['#_Non-functional latrines]]</f>
        <v>0</v>
      </c>
      <c r="CM50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2"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2"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2" s="750" t="str">
        <f>IF(WWWW[[#This Row],[Location Type 1]]="Village","NA",IF(WWWW[[#This Row],['#_Constructed/Existing latrines in TLS]]*50&gt;WWWW[[#This Row],['#_students at TLS_CFS]],WWWW[[#This Row],['#_students at TLS_CFS]],(WWWW[[#This Row],['#_Constructed/Existing latrines in TLS]]*50)))</f>
        <v>NA</v>
      </c>
      <c r="CQ502" s="750">
        <f>ROUND(IF(WWWW[[#This Row],[Location Type 1]]="camp",WWWW[[#This Row],[Total PoP ]]/20,IF(WWWW[[#This Row],[Location Type 1]]="Temporary Location",WWWW[[#This Row],[Total PoP ]]/50,(WWWW[[#This Row],[Total PoP ]]/6))),0)</f>
        <v>40</v>
      </c>
      <c r="CR502" s="750">
        <f>IF(WWWW[[#This Row],[Total required Latrines]]-(WWWW[[#This Row],['#_Constructed latrines_by_WASHAgencies]]+WWWW[[#This Row],['#_Non Cluster partner latrines]])&lt;0,0,WWWW[[#This Row],[Total required Latrines]]-(WWWW[[#This Row],['#_Constructed latrines_by_WASHAgencies]]+WWWW[[#This Row],['#_Non Cluster partner latrines]]))</f>
        <v>40</v>
      </c>
      <c r="CS502" s="756">
        <f>1-WWWW[[#This Row],[% people access to functioning Latrine]]</f>
        <v>1</v>
      </c>
      <c r="CT502" s="751">
        <f>IF(OR(WWWW[[#This Row],['#_Non-functional latrines]]="",WWWW[[#This Row],['#_Non-functional latrines]]=0),0,WWWW[[#This Row],['#_Non-functional latrines]]/(WWWW[[#This Row],['#_Constructed latrines_by_WASHAgencies]]+WWWW[[#This Row],['#_Non Cluster partner latrines]]))</f>
        <v>0</v>
      </c>
      <c r="CU502" s="759">
        <f>IF(500*(WWWW[[#This Row],['#_male hygiene promoters]]+WWWW[[#This Row],['#_female hygiene promoters]])&gt;WWWW[[#This Row],[Total PoP ]],WWWW[[#This Row],[Total PoP ]],500*(WWWW[[#This Row],['#_male hygiene promoters]]+WWWW[[#This Row],['#_female hygiene promoters]]))</f>
        <v>241</v>
      </c>
      <c r="CV502"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241</v>
      </c>
      <c r="CW502"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2" s="750">
        <f>IF(WWWW[[#This Row],['# People with access to soap]]&gt;WWWW[[#This Row],['# People with access to Sanity Pads]],WWWW[[#This Row],['# People with access to soap]],WWWW[[#This Row],['# People with access to Sanity Pads]])</f>
        <v>241</v>
      </c>
      <c r="CY502" s="750">
        <f>IF(WWWW[[#This Row],['# people reached by regular dedicated hygiene promotion_5]]&gt;WWWW[[#This Row],['# People received regular supply of hygiene items_6]],WWWW[[#This Row],['# people reached by regular dedicated hygiene promotion_5]],WWWW[[#This Row],['# People received regular supply of hygiene items_6]])</f>
        <v>241</v>
      </c>
      <c r="CZ502" s="748">
        <f>IF(WWWW[[#This Row],[HRP3]]/WWWW[[#This Row],[Total PoP ]]&gt;100%,100%,WWWW[[#This Row],[HRP3]]/WWWW[[#This Row],[Total PoP ]])</f>
        <v>1</v>
      </c>
      <c r="DA502" s="751">
        <f>1-WWWW[[#This Row],[Hygiene Coverage%]]</f>
        <v>0</v>
      </c>
      <c r="DB502" s="737">
        <f>WWWW[[#This Row],['# people reached by regular dedicated hygiene promotion_5]]/WWWW[[#This Row],[Total PoP ]]</f>
        <v>1</v>
      </c>
      <c r="DC502" s="737">
        <f>IF(WWWW[[#This Row],['#_households that received standard amount of soap for this quarter]]/WWWW[[#This Row],[Total HH]]&gt;1,1,WWWW[[#This Row],['#_households that received standard amount of soap for this quarter]]/WWWW[[#This Row],[Total HH]])</f>
        <v>1</v>
      </c>
      <c r="DD502" s="737">
        <f>IF(WWWW[[#This Row],['#_households that received standard amount of sanitary pads for this quarter]]/WWWW[[#This Row],[Total HH]]&gt;1,1,WWWW[[#This Row],['#_households that received standard amount of sanitary pads for this quarter]]/WWWW[[#This Row],[Total HH]])</f>
        <v>0</v>
      </c>
      <c r="DE502" s="595">
        <f>WWWW[[#This Row],['#_Constructed/Existing hand washing stations]]-WWWW[[#This Row],['#_Non-Functional_hand_washing_stations]]</f>
        <v>0</v>
      </c>
      <c r="DF502" s="757">
        <f>IF(WWWW[[#This Row],['# Functional hand washing stations during reporting period]]*20&gt;WWWW[[#This Row],[Total HH]],WWWW[[#This Row],[Total HH]],WWWW[[#This Row],['# Functional hand washing stations during reporting period]]*20)</f>
        <v>0</v>
      </c>
      <c r="DG502" s="736">
        <f>IF(WWWW[[#This Row],[Is sufficient soap available for TLS? (Yes/No)]]="yes",WWWW[[#This Row],['#_Constructed/Existing hand washing stations at TLS]],0)</f>
        <v>0</v>
      </c>
      <c r="DH502" s="736">
        <f>IF(WWWW[[#This Row],['# Functional hand washing stations during reporting period]]*100&gt;WWWW[[#This Row],[Total PoP ]],WWWW[[#This Row],[Total PoP ]],WWWW[[#This Row],['# Functional hand washing stations during reporting period]]*100)</f>
        <v>0</v>
      </c>
      <c r="DI502" s="736" t="str">
        <f>IF(OR(WWWW[[#This Row],['#_students at TLS_CFS]]="",WWWW[[#This Row],['#_students at TLS_CFS]]=0),"No","Yes")</f>
        <v>No</v>
      </c>
      <c r="DJ502" s="752">
        <f>VLOOKUP(WWWW[[#This Row],[Site Name]],SiteDB6[[Site Name]:[CCCM Management]],6,FALSE)</f>
        <v>0</v>
      </c>
      <c r="DK502" s="752">
        <f>VLOOKUP(WWWW[[#This Row],[Site Name]],SiteDB6[[Site Name]:[CCCM Focal Agency]],7,FALSE)</f>
        <v>0</v>
      </c>
      <c r="DL502" s="752" t="str">
        <f>VLOOKUP(WWWW[[#This Row],[Site Name]],SiteDB6[[Site Name]:[Location Type 1]],9,FALSE)</f>
        <v>Village</v>
      </c>
      <c r="DM502" s="752" t="str">
        <f>VLOOKUP(WWWW[[#This Row],[Site Name]],SiteDB6[[Site Name]:[Type of Accommodation]],10,FALSE)</f>
        <v>Village</v>
      </c>
      <c r="DN502" s="752" t="str">
        <f>VLOOKUP(WWWW[[#This Row],[Site Name]],SiteDB6[[Site Name]:[Ethnic or GCA/NGCA]],11,FALSE)</f>
        <v>Rakhine</v>
      </c>
      <c r="DO502" s="752">
        <f>VLOOKUP(WWWW[[#This Row],[Site Name]],SiteDB6[[Site Name]:[Lat]],12,FALSE)</f>
        <v>20.8013000488281</v>
      </c>
      <c r="DP502" s="752">
        <f>VLOOKUP(WWWW[[#This Row],[Site Name]],SiteDB6[[Site Name]:[Long]],13,FALSE)</f>
        <v>92.423202514648395</v>
      </c>
      <c r="DQ502" s="752">
        <f>VLOOKUP(WWWW[[#This Row],[Site Name]],SiteDB6[[Site Name]:[Pcode]],3,FALSE)</f>
        <v>217895</v>
      </c>
      <c r="DR502" s="782" t="str">
        <f t="shared" si="17"/>
        <v>Covered</v>
      </c>
      <c r="DS502" s="782"/>
      <c r="DT502" s="745"/>
      <c r="DU502" s="745"/>
      <c r="DV502" s="770"/>
      <c r="DW502" s="745"/>
      <c r="DX502" s="746"/>
      <c r="DY502" s="746"/>
      <c r="DZ502" s="747"/>
      <c r="EA502" s="747"/>
      <c r="EB502" s="747"/>
      <c r="EC502" s="747"/>
      <c r="ED502" s="747"/>
      <c r="EE502" s="747"/>
      <c r="EF502" s="747"/>
      <c r="EG502" s="747"/>
      <c r="EH502" s="747"/>
    </row>
    <row r="503" spans="1:138" s="743" customFormat="1">
      <c r="A503" s="552" t="s">
        <v>2518</v>
      </c>
      <c r="B503" s="744" t="s">
        <v>3241</v>
      </c>
      <c r="C503" s="744" t="s">
        <v>387</v>
      </c>
      <c r="D503" s="744" t="s">
        <v>252</v>
      </c>
      <c r="E503" s="744" t="s">
        <v>3005</v>
      </c>
      <c r="F503" s="744" t="s">
        <v>323</v>
      </c>
      <c r="G503" s="791" t="str">
        <f>VLOOKUP(WWWW[[#This Row],[Site Name]],SiteDB6[[Site Name]:[Location Type]],8,FALSE)</f>
        <v>Village</v>
      </c>
      <c r="H503" s="814" t="s">
        <v>3239</v>
      </c>
      <c r="I503" s="813">
        <v>54</v>
      </c>
      <c r="J503" s="759">
        <v>249</v>
      </c>
      <c r="K503" s="755">
        <v>43251</v>
      </c>
      <c r="L503" s="755">
        <v>43677</v>
      </c>
      <c r="M503" s="807"/>
      <c r="N503" s="807"/>
      <c r="O503" s="807"/>
      <c r="P503" s="807"/>
      <c r="Q503" s="759"/>
      <c r="R503" s="807"/>
      <c r="S503" s="807"/>
      <c r="T503" s="807">
        <v>3</v>
      </c>
      <c r="U503" s="807">
        <v>0</v>
      </c>
      <c r="V503" s="807">
        <v>2</v>
      </c>
      <c r="W503" s="807">
        <v>3</v>
      </c>
      <c r="X503" s="807">
        <v>1</v>
      </c>
      <c r="Y503" s="807">
        <v>2</v>
      </c>
      <c r="Z503" s="807">
        <v>3</v>
      </c>
      <c r="AA503" s="807">
        <v>0</v>
      </c>
      <c r="AB503" s="807">
        <v>0</v>
      </c>
      <c r="AC503" s="807">
        <v>0</v>
      </c>
      <c r="AD503" s="807"/>
      <c r="AE503" s="807">
        <v>2</v>
      </c>
      <c r="AF503" s="807"/>
      <c r="AG503" s="807"/>
      <c r="AH503" s="807">
        <v>2</v>
      </c>
      <c r="AI503" s="807">
        <v>0</v>
      </c>
      <c r="AJ503" s="807">
        <v>0</v>
      </c>
      <c r="AK503" s="807">
        <v>0</v>
      </c>
      <c r="AL503" s="807">
        <v>0</v>
      </c>
      <c r="AM503" s="807">
        <v>1</v>
      </c>
      <c r="AN503" s="807">
        <v>1</v>
      </c>
      <c r="AO503" s="782"/>
      <c r="AP503" s="759">
        <v>0</v>
      </c>
      <c r="AQ503" s="752">
        <v>2</v>
      </c>
      <c r="AR503" s="749"/>
      <c r="AS503" s="807"/>
      <c r="AT503" s="807"/>
      <c r="AU503" s="807"/>
      <c r="AV503" s="807"/>
      <c r="AW503" s="750">
        <v>0</v>
      </c>
      <c r="AX503" s="750" t="s">
        <v>144</v>
      </c>
      <c r="AY503" s="750" t="s">
        <v>144</v>
      </c>
      <c r="AZ503" s="750">
        <v>2</v>
      </c>
      <c r="BA503" s="807"/>
      <c r="BB503" s="759">
        <v>2</v>
      </c>
      <c r="BC503" s="752"/>
      <c r="BD503" s="807"/>
      <c r="BE503" s="807"/>
      <c r="BF503" s="807"/>
      <c r="BG503" s="807"/>
      <c r="BH503" s="807"/>
      <c r="BI503" s="750">
        <v>1</v>
      </c>
      <c r="BJ503" s="750">
        <v>1</v>
      </c>
      <c r="BK503" s="750">
        <v>54</v>
      </c>
      <c r="BL503" s="750">
        <v>0</v>
      </c>
      <c r="BM503" s="750" t="s">
        <v>144</v>
      </c>
      <c r="BN503" s="750">
        <v>2</v>
      </c>
      <c r="BO503" s="749"/>
      <c r="BP503" s="752"/>
      <c r="BQ503" s="751" t="str">
        <f>IFERROR(WWWW[[#This Row],['#_Water sources treated]]/WWWW[[#This Row],['#_Water sources tested for contamination]],"no test")</f>
        <v>no test</v>
      </c>
      <c r="BR503" s="749" t="str">
        <f>IFERROR(WWWW[[#This Row],['#_Household received remediation action due to contamination]]/WWWW[[#This Row],['#_Household water samples tested for contamination]],"no test")</f>
        <v>no test</v>
      </c>
      <c r="BS503" s="750" t="str">
        <f>IF(AND(WWWW[[#This Row],[% of water sources treated]]="no test",WWWW[[#This Row],[% Household received corrective actions]]="no test"),"No Test","Tested")</f>
        <v>No Test</v>
      </c>
      <c r="BT503" s="750">
        <f>WWWW[[#This Row],['#_Constructed/existing protected hand dug well]]-WWWW[[#This Row],['#_Non-functional protected hand dug well]]</f>
        <v>3</v>
      </c>
      <c r="BU503" s="750">
        <f>(WWWW[[#This Row],['#_Constructed/Existing tube wells/boreholes/handpumps_WASH_agency]]+WWWW[[#This Row],['#_Non-Cluster partner water tube-wells/boreholes/handpumps]])-WWWW[[#This Row],['#_Non-functional tube wells/boreholes/handpumps]]</f>
        <v>2</v>
      </c>
      <c r="BV503" s="750">
        <f>WWWW[[#This Row],['#_Constructed/Existingwater storage tank with gravity fed reticulation system]]-WWWW[[#This Row],['#_Non-functional storage tank gravity fed reticulation system]]</f>
        <v>0</v>
      </c>
      <c r="BW503" s="750">
        <f>WWWW[[#This Row],['#_Water boating or water trucking]]</f>
        <v>0</v>
      </c>
      <c r="BX503" s="750">
        <f>WWWW[[#This Row],['#_Constructed/Existing water distribution system from river or natural spring]]</f>
        <v>0</v>
      </c>
      <c r="BY503"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3"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3" s="749">
        <f>IF(WWWW[[#This Row],[Location Type 1]]="Village",WWWW[[#This Row],[Access to safe drinking water for Village]],WWWW[[#This Row],[Access to safe drinking water for Camp]])</f>
        <v>1</v>
      </c>
      <c r="CB503" s="759">
        <f>WWWW[[#This Row],[%Equitable and continuous access to sufficient quantity of safe drinking water]]*WWWW[[#This Row],[Total PoP ]]</f>
        <v>249</v>
      </c>
      <c r="CC503" s="749">
        <f>IF((WWWW[[#This Row],['#_Constructed/Existing protected/fenced ponds]]*250)/WWWW[[#This Row],[Total PoP ]]&gt;1,1,(WWWW[[#This Row],['#_Constructed/Existing protected/fenced ponds]]*250)/WWWW[[#This Row],[Total PoP ]])</f>
        <v>1</v>
      </c>
      <c r="CD503" s="759">
        <f>WWWW[[#This Row],[% Access to unimproved water points]]*WWWW[[#This Row],[Total PoP ]]</f>
        <v>249</v>
      </c>
      <c r="CE503"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3"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G503" s="736">
        <f>WWWW[[#This Row],[HRP1]]/500</f>
        <v>0.498</v>
      </c>
      <c r="CH503" s="748">
        <f>1-WWWW[[#This Row],[% Equitable and continuous access to sufficient quantity of domestic water]]</f>
        <v>0</v>
      </c>
      <c r="CI503" s="759">
        <f>WWWW[[#This Row],[%equitable and continuous access to sufficient quantity of safe drinking and domestic water''s GAP]]*WWWW[[#This Row],[Total PoP ]]</f>
        <v>0</v>
      </c>
      <c r="CJ503" s="750">
        <f>IF(WWWW[[#This Row],[Total required water points]]-WWWW[[#This Row],['#Water points coverage]]&lt;0,0,WWWW[[#This Row],[Total required water points]]-WWWW[[#This Row],['#Water points coverage]])</f>
        <v>0.502</v>
      </c>
      <c r="CK503" s="750">
        <f>ROUND(IF(WWWW[[#This Row],[Total PoP ]]&lt;500,1,WWWW[[#This Row],[Total PoP ]]/500),0)</f>
        <v>1</v>
      </c>
      <c r="CL503" s="750">
        <f>(WWWW[[#This Row],['#_Constructed latrines_by_WASHAgencies]]+WWWW[[#This Row],['#_Non Cluster partner latrines]])-WWWW[[#This Row],['#_Non-functional latrines]]</f>
        <v>2</v>
      </c>
      <c r="CM50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4.8192771084337352E-2</v>
      </c>
      <c r="CN503"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v>
      </c>
      <c r="CO503"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3" s="750" t="str">
        <f>IF(WWWW[[#This Row],[Location Type 1]]="Village","NA",IF(WWWW[[#This Row],['#_Constructed/Existing latrines in TLS]]*50&gt;WWWW[[#This Row],['#_students at TLS_CFS]],WWWW[[#This Row],['#_students at TLS_CFS]],(WWWW[[#This Row],['#_Constructed/Existing latrines in TLS]]*50)))</f>
        <v>NA</v>
      </c>
      <c r="CQ503" s="750">
        <f>ROUND(IF(WWWW[[#This Row],[Location Type 1]]="camp",WWWW[[#This Row],[Total PoP ]]/20,IF(WWWW[[#This Row],[Location Type 1]]="Temporary Location",WWWW[[#This Row],[Total PoP ]]/50,(WWWW[[#This Row],[Total PoP ]]/6))),0)</f>
        <v>42</v>
      </c>
      <c r="CR503" s="750">
        <f>IF(WWWW[[#This Row],[Total required Latrines]]-(WWWW[[#This Row],['#_Constructed latrines_by_WASHAgencies]]+WWWW[[#This Row],['#_Non Cluster partner latrines]])&lt;0,0,WWWW[[#This Row],[Total required Latrines]]-(WWWW[[#This Row],['#_Constructed latrines_by_WASHAgencies]]+WWWW[[#This Row],['#_Non Cluster partner latrines]]))</f>
        <v>40</v>
      </c>
      <c r="CS503" s="756">
        <f>1-WWWW[[#This Row],[% people access to functioning Latrine]]</f>
        <v>0.95180722891566261</v>
      </c>
      <c r="CT503" s="751">
        <f>IF(OR(WWWW[[#This Row],['#_Non-functional latrines]]="",WWWW[[#This Row],['#_Non-functional latrines]]=0),0,WWWW[[#This Row],['#_Non-functional latrines]]/(WWWW[[#This Row],['#_Constructed latrines_by_WASHAgencies]]+WWWW[[#This Row],['#_Non Cluster partner latrines]]))</f>
        <v>0</v>
      </c>
      <c r="CU503" s="759">
        <f>IF(500*(WWWW[[#This Row],['#_male hygiene promoters]]+WWWW[[#This Row],['#_female hygiene promoters]])&gt;WWWW[[#This Row],[Total PoP ]],WWWW[[#This Row],[Total PoP ]],500*(WWWW[[#This Row],['#_male hygiene promoters]]+WWWW[[#This Row],['#_female hygiene promoters]]))</f>
        <v>249</v>
      </c>
      <c r="CV503"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CW503"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3" s="750">
        <f>IF(WWWW[[#This Row],['# People with access to soap]]&gt;WWWW[[#This Row],['# People with access to Sanity Pads]],WWWW[[#This Row],['# People with access to soap]],WWWW[[#This Row],['# People with access to Sanity Pads]])</f>
        <v>249</v>
      </c>
      <c r="CY503" s="750">
        <f>IF(WWWW[[#This Row],['# people reached by regular dedicated hygiene promotion_5]]&gt;WWWW[[#This Row],['# People received regular supply of hygiene items_6]],WWWW[[#This Row],['# people reached by regular dedicated hygiene promotion_5]],WWWW[[#This Row],['# People received regular supply of hygiene items_6]])</f>
        <v>249</v>
      </c>
      <c r="CZ503" s="748">
        <f>IF(WWWW[[#This Row],[HRP3]]/WWWW[[#This Row],[Total PoP ]]&gt;100%,100%,WWWW[[#This Row],[HRP3]]/WWWW[[#This Row],[Total PoP ]])</f>
        <v>1</v>
      </c>
      <c r="DA503" s="751">
        <f>1-WWWW[[#This Row],[Hygiene Coverage%]]</f>
        <v>0</v>
      </c>
      <c r="DB503" s="737">
        <f>WWWW[[#This Row],['# people reached by regular dedicated hygiene promotion_5]]/WWWW[[#This Row],[Total PoP ]]</f>
        <v>1</v>
      </c>
      <c r="DC503" s="737">
        <f>IF(WWWW[[#This Row],['#_households that received standard amount of soap for this quarter]]/WWWW[[#This Row],[Total HH]]&gt;1,1,WWWW[[#This Row],['#_households that received standard amount of soap for this quarter]]/WWWW[[#This Row],[Total HH]])</f>
        <v>1</v>
      </c>
      <c r="DD503" s="737">
        <f>IF(WWWW[[#This Row],['#_households that received standard amount of sanitary pads for this quarter]]/WWWW[[#This Row],[Total HH]]&gt;1,1,WWWW[[#This Row],['#_households that received standard amount of sanitary pads for this quarter]]/WWWW[[#This Row],[Total HH]])</f>
        <v>0</v>
      </c>
      <c r="DE503" s="595">
        <f>WWWW[[#This Row],['#_Constructed/Existing hand washing stations]]-WWWW[[#This Row],['#_Non-Functional_hand_washing_stations]]</f>
        <v>0</v>
      </c>
      <c r="DF503" s="757">
        <f>IF(WWWW[[#This Row],['# Functional hand washing stations during reporting period]]*20&gt;WWWW[[#This Row],[Total HH]],WWWW[[#This Row],[Total HH]],WWWW[[#This Row],['# Functional hand washing stations during reporting period]]*20)</f>
        <v>0</v>
      </c>
      <c r="DG503" s="736">
        <f>IF(WWWW[[#This Row],[Is sufficient soap available for TLS? (Yes/No)]]="yes",WWWW[[#This Row],['#_Constructed/Existing hand washing stations at TLS]],0)</f>
        <v>0</v>
      </c>
      <c r="DH503" s="736">
        <f>IF(WWWW[[#This Row],['# Functional hand washing stations during reporting period]]*100&gt;WWWW[[#This Row],[Total PoP ]],WWWW[[#This Row],[Total PoP ]],WWWW[[#This Row],['# Functional hand washing stations during reporting period]]*100)</f>
        <v>0</v>
      </c>
      <c r="DI503" s="736" t="str">
        <f>IF(OR(WWWW[[#This Row],['#_students at TLS_CFS]]="",WWWW[[#This Row],['#_students at TLS_CFS]]=0),"No","Yes")</f>
        <v>No</v>
      </c>
      <c r="DJ503" s="752">
        <f>VLOOKUP(WWWW[[#This Row],[Site Name]],SiteDB6[[Site Name]:[CCCM Management]],6,FALSE)</f>
        <v>0</v>
      </c>
      <c r="DK503" s="752">
        <f>VLOOKUP(WWWW[[#This Row],[Site Name]],SiteDB6[[Site Name]:[CCCM Focal Agency]],7,FALSE)</f>
        <v>0</v>
      </c>
      <c r="DL503" s="752" t="str">
        <f>VLOOKUP(WWWW[[#This Row],[Site Name]],SiteDB6[[Site Name]:[Location Type 1]],9,FALSE)</f>
        <v>Village</v>
      </c>
      <c r="DM503" s="752" t="str">
        <f>VLOOKUP(WWWW[[#This Row],[Site Name]],SiteDB6[[Site Name]:[Type of Accommodation]],10,FALSE)</f>
        <v>Village</v>
      </c>
      <c r="DN503" s="752">
        <f>VLOOKUP(WWWW[[#This Row],[Site Name]],SiteDB6[[Site Name]:[Ethnic or GCA/NGCA]],11,FALSE)</f>
        <v>0</v>
      </c>
      <c r="DO503" s="752">
        <f>VLOOKUP(WWWW[[#This Row],[Site Name]],SiteDB6[[Site Name]:[Lat]],12,FALSE)</f>
        <v>0</v>
      </c>
      <c r="DP503" s="752">
        <f>VLOOKUP(WWWW[[#This Row],[Site Name]],SiteDB6[[Site Name]:[Long]],13,FALSE)</f>
        <v>0</v>
      </c>
      <c r="DQ503" s="752">
        <f>VLOOKUP(WWWW[[#This Row],[Site Name]],SiteDB6[[Site Name]:[Pcode]],3,FALSE)</f>
        <v>0</v>
      </c>
      <c r="DR503" s="782" t="str">
        <f t="shared" si="17"/>
        <v>Covered</v>
      </c>
      <c r="DS503" s="782"/>
      <c r="DT503" s="745"/>
      <c r="DU503" s="745"/>
      <c r="DV503" s="770"/>
      <c r="DW503" s="745"/>
      <c r="DX503" s="746"/>
      <c r="DY503" s="746"/>
      <c r="DZ503" s="747"/>
      <c r="EA503" s="747"/>
      <c r="EB503" s="747"/>
      <c r="EC503" s="747"/>
      <c r="ED503" s="747"/>
      <c r="EE503" s="747"/>
      <c r="EF503" s="747"/>
      <c r="EG503" s="747"/>
      <c r="EH503" s="747"/>
    </row>
    <row r="504" spans="1:138" s="743" customFormat="1">
      <c r="A504" s="552" t="s">
        <v>2518</v>
      </c>
      <c r="B504" s="744" t="s">
        <v>3241</v>
      </c>
      <c r="C504" s="744" t="s">
        <v>387</v>
      </c>
      <c r="D504" s="744" t="s">
        <v>252</v>
      </c>
      <c r="E504" s="744" t="s">
        <v>3005</v>
      </c>
      <c r="F504" s="744" t="s">
        <v>323</v>
      </c>
      <c r="G504" s="791" t="str">
        <f>VLOOKUP(WWWW[[#This Row],[Site Name]],SiteDB6[[Site Name]:[Location Type]],8,FALSE)</f>
        <v>Village</v>
      </c>
      <c r="H504" s="815" t="s">
        <v>3240</v>
      </c>
      <c r="I504" s="813">
        <v>62</v>
      </c>
      <c r="J504" s="759">
        <v>332</v>
      </c>
      <c r="K504" s="755">
        <v>43251</v>
      </c>
      <c r="L504" s="755">
        <v>43677</v>
      </c>
      <c r="M504" s="807"/>
      <c r="N504" s="807"/>
      <c r="O504" s="807"/>
      <c r="P504" s="807"/>
      <c r="Q504" s="759"/>
      <c r="R504" s="807"/>
      <c r="S504" s="807"/>
      <c r="T504" s="807">
        <v>0</v>
      </c>
      <c r="U504" s="807">
        <v>0</v>
      </c>
      <c r="V504" s="807">
        <v>0</v>
      </c>
      <c r="W504" s="807">
        <v>2</v>
      </c>
      <c r="X504" s="807">
        <v>1</v>
      </c>
      <c r="Y504" s="807">
        <v>1</v>
      </c>
      <c r="Z504" s="807">
        <v>2</v>
      </c>
      <c r="AA504" s="807">
        <v>0</v>
      </c>
      <c r="AB504" s="807">
        <v>0</v>
      </c>
      <c r="AC504" s="807">
        <v>0</v>
      </c>
      <c r="AD504" s="807"/>
      <c r="AE504" s="807">
        <v>2</v>
      </c>
      <c r="AF504" s="807"/>
      <c r="AG504" s="807"/>
      <c r="AH504" s="807">
        <v>2</v>
      </c>
      <c r="AI504" s="807">
        <v>0</v>
      </c>
      <c r="AJ504" s="807">
        <v>0</v>
      </c>
      <c r="AK504" s="807">
        <v>0</v>
      </c>
      <c r="AL504" s="807">
        <v>0</v>
      </c>
      <c r="AM504" s="807">
        <v>0</v>
      </c>
      <c r="AN504" s="807">
        <v>0</v>
      </c>
      <c r="AO504" s="782"/>
      <c r="AP504" s="759">
        <v>0</v>
      </c>
      <c r="AQ504" s="752">
        <v>0</v>
      </c>
      <c r="AR504" s="749"/>
      <c r="AS504" s="807"/>
      <c r="AT504" s="807"/>
      <c r="AU504" s="807"/>
      <c r="AV504" s="807"/>
      <c r="AW504" s="750">
        <v>0</v>
      </c>
      <c r="AX504" s="750" t="s">
        <v>144</v>
      </c>
      <c r="AY504" s="750" t="s">
        <v>144</v>
      </c>
      <c r="AZ504" s="750">
        <v>0</v>
      </c>
      <c r="BA504" s="807"/>
      <c r="BB504" s="759">
        <v>0</v>
      </c>
      <c r="BC504" s="752"/>
      <c r="BD504" s="807"/>
      <c r="BE504" s="807"/>
      <c r="BF504" s="807"/>
      <c r="BG504" s="807"/>
      <c r="BH504" s="807"/>
      <c r="BI504" s="750">
        <v>0</v>
      </c>
      <c r="BJ504" s="750">
        <v>0</v>
      </c>
      <c r="BK504" s="750">
        <v>62</v>
      </c>
      <c r="BL504" s="750">
        <v>0</v>
      </c>
      <c r="BM504" s="750" t="s">
        <v>144</v>
      </c>
      <c r="BN504" s="750">
        <v>0</v>
      </c>
      <c r="BO504" s="749"/>
      <c r="BP504" s="752"/>
      <c r="BQ504" s="751" t="str">
        <f>IFERROR(WWWW[[#This Row],['#_Water sources treated]]/WWWW[[#This Row],['#_Water sources tested for contamination]],"no test")</f>
        <v>no test</v>
      </c>
      <c r="BR504" s="749" t="str">
        <f>IFERROR(WWWW[[#This Row],['#_Household received remediation action due to contamination]]/WWWW[[#This Row],['#_Household water samples tested for contamination]],"no test")</f>
        <v>no test</v>
      </c>
      <c r="BS504" s="750" t="str">
        <f>IF(AND(WWWW[[#This Row],[% of water sources treated]]="no test",WWWW[[#This Row],[% Household received corrective actions]]="no test"),"No Test","Tested")</f>
        <v>No Test</v>
      </c>
      <c r="BT504" s="750">
        <f>WWWW[[#This Row],['#_Constructed/existing protected hand dug well]]-WWWW[[#This Row],['#_Non-functional protected hand dug well]]</f>
        <v>0</v>
      </c>
      <c r="BU504" s="750">
        <f>(WWWW[[#This Row],['#_Constructed/Existing tube wells/boreholes/handpumps_WASH_agency]]+WWWW[[#This Row],['#_Non-Cluster partner water tube-wells/boreholes/handpumps]])-WWWW[[#This Row],['#_Non-functional tube wells/boreholes/handpumps]]</f>
        <v>2</v>
      </c>
      <c r="BV504" s="750">
        <f>WWWW[[#This Row],['#_Constructed/Existingwater storage tank with gravity fed reticulation system]]-WWWW[[#This Row],['#_Non-functional storage tank gravity fed reticulation system]]</f>
        <v>0</v>
      </c>
      <c r="BW504" s="750">
        <f>WWWW[[#This Row],['#_Water boating or water trucking]]</f>
        <v>0</v>
      </c>
      <c r="BX504" s="750">
        <f>WWWW[[#This Row],['#_Constructed/Existing water distribution system from river or natural spring]]</f>
        <v>0</v>
      </c>
      <c r="BY504"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4"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4" s="749">
        <f>IF(WWWW[[#This Row],[Location Type 1]]="Village",WWWW[[#This Row],[Access to safe drinking water for Village]],WWWW[[#This Row],[Access to safe drinking water for Camp]])</f>
        <v>1</v>
      </c>
      <c r="CB504" s="759">
        <f>WWWW[[#This Row],[%Equitable and continuous access to sufficient quantity of safe drinking water]]*WWWW[[#This Row],[Total PoP ]]</f>
        <v>332</v>
      </c>
      <c r="CC504" s="749">
        <f>IF((WWWW[[#This Row],['#_Constructed/Existing protected/fenced ponds]]*250)/WWWW[[#This Row],[Total PoP ]]&gt;1,1,(WWWW[[#This Row],['#_Constructed/Existing protected/fenced ponds]]*250)/WWWW[[#This Row],[Total PoP ]])</f>
        <v>1</v>
      </c>
      <c r="CD504" s="759">
        <f>WWWW[[#This Row],[% Access to unimproved water points]]*WWWW[[#This Row],[Total PoP ]]</f>
        <v>332</v>
      </c>
      <c r="CE504"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4"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332</v>
      </c>
      <c r="CG504" s="736">
        <f>WWWW[[#This Row],[HRP1]]/500</f>
        <v>0.66400000000000003</v>
      </c>
      <c r="CH504" s="748">
        <f>1-WWWW[[#This Row],[% Equitable and continuous access to sufficient quantity of domestic water]]</f>
        <v>0</v>
      </c>
      <c r="CI504" s="759">
        <f>WWWW[[#This Row],[%equitable and continuous access to sufficient quantity of safe drinking and domestic water''s GAP]]*WWWW[[#This Row],[Total PoP ]]</f>
        <v>0</v>
      </c>
      <c r="CJ504" s="750">
        <f>IF(WWWW[[#This Row],[Total required water points]]-WWWW[[#This Row],['#Water points coverage]]&lt;0,0,WWWW[[#This Row],[Total required water points]]-WWWW[[#This Row],['#Water points coverage]])</f>
        <v>0.33599999999999997</v>
      </c>
      <c r="CK504" s="750">
        <f>ROUND(IF(WWWW[[#This Row],[Total PoP ]]&lt;500,1,WWWW[[#This Row],[Total PoP ]]/500),0)</f>
        <v>1</v>
      </c>
      <c r="CL504" s="750">
        <f>(WWWW[[#This Row],['#_Constructed latrines_by_WASHAgencies]]+WWWW[[#This Row],['#_Non Cluster partner latrines]])-WWWW[[#This Row],['#_Non-functional latrines]]</f>
        <v>0</v>
      </c>
      <c r="CM50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4"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4" s="762"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504" s="750" t="str">
        <f>IF(WWWW[[#This Row],[Location Type 1]]="Village","NA",IF(WWWW[[#This Row],['#_Constructed/Existing latrines in TLS]]*50&gt;WWWW[[#This Row],['#_students at TLS_CFS]],WWWW[[#This Row],['#_students at TLS_CFS]],(WWWW[[#This Row],['#_Constructed/Existing latrines in TLS]]*50)))</f>
        <v>NA</v>
      </c>
      <c r="CQ504" s="750">
        <f>ROUND(IF(WWWW[[#This Row],[Location Type 1]]="camp",WWWW[[#This Row],[Total PoP ]]/20,IF(WWWW[[#This Row],[Location Type 1]]="Temporary Location",WWWW[[#This Row],[Total PoP ]]/50,(WWWW[[#This Row],[Total PoP ]]/6))),0)</f>
        <v>55</v>
      </c>
      <c r="CR504" s="750">
        <f>IF(WWWW[[#This Row],[Total required Latrines]]-(WWWW[[#This Row],['#_Constructed latrines_by_WASHAgencies]]+WWWW[[#This Row],['#_Non Cluster partner latrines]])&lt;0,0,WWWW[[#This Row],[Total required Latrines]]-(WWWW[[#This Row],['#_Constructed latrines_by_WASHAgencies]]+WWWW[[#This Row],['#_Non Cluster partner latrines]]))</f>
        <v>55</v>
      </c>
      <c r="CS504" s="756">
        <f>1-WWWW[[#This Row],[% people access to functioning Latrine]]</f>
        <v>1</v>
      </c>
      <c r="CT504" s="751">
        <f>IF(OR(WWWW[[#This Row],['#_Non-functional latrines]]="",WWWW[[#This Row],['#_Non-functional latrines]]=0),0,WWWW[[#This Row],['#_Non-functional latrines]]/(WWWW[[#This Row],['#_Constructed latrines_by_WASHAgencies]]+WWWW[[#This Row],['#_Non Cluster partner latrines]]))</f>
        <v>0</v>
      </c>
      <c r="CU504" s="759">
        <f>IF(500*(WWWW[[#This Row],['#_male hygiene promoters]]+WWWW[[#This Row],['#_female hygiene promoters]])&gt;WWWW[[#This Row],[Total PoP ]],WWWW[[#This Row],[Total PoP ]],500*(WWWW[[#This Row],['#_male hygiene promoters]]+WWWW[[#This Row],['#_female hygiene promoters]]))</f>
        <v>0</v>
      </c>
      <c r="CV504"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332</v>
      </c>
      <c r="CW504"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4" s="750">
        <f>IF(WWWW[[#This Row],['# People with access to soap]]&gt;WWWW[[#This Row],['# People with access to Sanity Pads]],WWWW[[#This Row],['# People with access to soap]],WWWW[[#This Row],['# People with access to Sanity Pads]])</f>
        <v>332</v>
      </c>
      <c r="CY504" s="750">
        <f>IF(WWWW[[#This Row],['# people reached by regular dedicated hygiene promotion_5]]&gt;WWWW[[#This Row],['# People received regular supply of hygiene items_6]],WWWW[[#This Row],['# people reached by regular dedicated hygiene promotion_5]],WWWW[[#This Row],['# People received regular supply of hygiene items_6]])</f>
        <v>332</v>
      </c>
      <c r="CZ504" s="748">
        <f>IF(WWWW[[#This Row],[HRP3]]/WWWW[[#This Row],[Total PoP ]]&gt;100%,100%,WWWW[[#This Row],[HRP3]]/WWWW[[#This Row],[Total PoP ]])</f>
        <v>1</v>
      </c>
      <c r="DA504" s="751">
        <f>1-WWWW[[#This Row],[Hygiene Coverage%]]</f>
        <v>0</v>
      </c>
      <c r="DB504" s="737">
        <f>WWWW[[#This Row],['# people reached by regular dedicated hygiene promotion_5]]/WWWW[[#This Row],[Total PoP ]]</f>
        <v>0</v>
      </c>
      <c r="DC504" s="737">
        <f>IF(WWWW[[#This Row],['#_households that received standard amount of soap for this quarter]]/WWWW[[#This Row],[Total HH]]&gt;1,1,WWWW[[#This Row],['#_households that received standard amount of soap for this quarter]]/WWWW[[#This Row],[Total HH]])</f>
        <v>1</v>
      </c>
      <c r="DD504" s="737">
        <f>IF(WWWW[[#This Row],['#_households that received standard amount of sanitary pads for this quarter]]/WWWW[[#This Row],[Total HH]]&gt;1,1,WWWW[[#This Row],['#_households that received standard amount of sanitary pads for this quarter]]/WWWW[[#This Row],[Total HH]])</f>
        <v>0</v>
      </c>
      <c r="DE504" s="595">
        <f>WWWW[[#This Row],['#_Constructed/Existing hand washing stations]]-WWWW[[#This Row],['#_Non-Functional_hand_washing_stations]]</f>
        <v>0</v>
      </c>
      <c r="DF504" s="757">
        <f>IF(WWWW[[#This Row],['# Functional hand washing stations during reporting period]]*20&gt;WWWW[[#This Row],[Total HH]],WWWW[[#This Row],[Total HH]],WWWW[[#This Row],['# Functional hand washing stations during reporting period]]*20)</f>
        <v>0</v>
      </c>
      <c r="DG504" s="736">
        <f>IF(WWWW[[#This Row],[Is sufficient soap available for TLS? (Yes/No)]]="yes",WWWW[[#This Row],['#_Constructed/Existing hand washing stations at TLS]],0)</f>
        <v>0</v>
      </c>
      <c r="DH504" s="736">
        <f>IF(WWWW[[#This Row],['# Functional hand washing stations during reporting period]]*100&gt;WWWW[[#This Row],[Total PoP ]],WWWW[[#This Row],[Total PoP ]],WWWW[[#This Row],['# Functional hand washing stations during reporting period]]*100)</f>
        <v>0</v>
      </c>
      <c r="DI504" s="736" t="str">
        <f>IF(OR(WWWW[[#This Row],['#_students at TLS_CFS]]="",WWWW[[#This Row],['#_students at TLS_CFS]]=0),"No","Yes")</f>
        <v>No</v>
      </c>
      <c r="DJ504" s="752">
        <f>VLOOKUP(WWWW[[#This Row],[Site Name]],SiteDB6[[Site Name]:[CCCM Management]],6,FALSE)</f>
        <v>0</v>
      </c>
      <c r="DK504" s="752">
        <f>VLOOKUP(WWWW[[#This Row],[Site Name]],SiteDB6[[Site Name]:[CCCM Focal Agency]],7,FALSE)</f>
        <v>0</v>
      </c>
      <c r="DL504" s="752" t="str">
        <f>VLOOKUP(WWWW[[#This Row],[Site Name]],SiteDB6[[Site Name]:[Location Type 1]],9,FALSE)</f>
        <v>Village</v>
      </c>
      <c r="DM504" s="752" t="str">
        <f>VLOOKUP(WWWW[[#This Row],[Site Name]],SiteDB6[[Site Name]:[Type of Accommodation]],10,FALSE)</f>
        <v>Village</v>
      </c>
      <c r="DN504" s="752" t="str">
        <f>VLOOKUP(WWWW[[#This Row],[Site Name]],SiteDB6[[Site Name]:[Ethnic or GCA/NGCA]],11,FALSE)</f>
        <v>Muslim</v>
      </c>
      <c r="DO504" s="752">
        <f>VLOOKUP(WWWW[[#This Row],[Site Name]],SiteDB6[[Site Name]:[Lat]],12,FALSE)</f>
        <v>20.7818698883057</v>
      </c>
      <c r="DP504" s="752">
        <f>VLOOKUP(WWWW[[#This Row],[Site Name]],SiteDB6[[Site Name]:[Long]],13,FALSE)</f>
        <v>92.393142700195298</v>
      </c>
      <c r="DQ504" s="752">
        <f>VLOOKUP(WWWW[[#This Row],[Site Name]],SiteDB6[[Site Name]:[Pcode]],3,FALSE)</f>
        <v>198002</v>
      </c>
      <c r="DR504" s="782" t="str">
        <f t="shared" si="17"/>
        <v>Covered</v>
      </c>
      <c r="DS504" s="782"/>
      <c r="DT504" s="745"/>
      <c r="DU504" s="745"/>
      <c r="DV504" s="770"/>
      <c r="DW504" s="745"/>
      <c r="DX504" s="746"/>
      <c r="DY504" s="746"/>
      <c r="DZ504" s="747"/>
      <c r="EA504" s="747"/>
      <c r="EB504" s="747"/>
      <c r="EC504" s="747"/>
      <c r="ED504" s="747"/>
      <c r="EE504" s="747"/>
      <c r="EF504" s="747"/>
      <c r="EG504" s="747"/>
      <c r="EH504" s="747"/>
    </row>
    <row r="505" spans="1:138">
      <c r="A505" s="552" t="s">
        <v>2518</v>
      </c>
      <c r="B505" s="555" t="s">
        <v>317</v>
      </c>
      <c r="C505" s="555" t="s">
        <v>317</v>
      </c>
      <c r="D505" s="555"/>
      <c r="E505" s="555" t="s">
        <v>716</v>
      </c>
      <c r="F505" s="555" t="s">
        <v>720</v>
      </c>
      <c r="G505" s="554" t="s">
        <v>45</v>
      </c>
      <c r="H505" s="555" t="s">
        <v>2318</v>
      </c>
      <c r="I505" s="557">
        <v>86</v>
      </c>
      <c r="J505" s="557">
        <v>496</v>
      </c>
      <c r="K505" s="564"/>
      <c r="L505" s="565"/>
      <c r="M505" s="557"/>
      <c r="N505" s="557"/>
      <c r="O505" s="557"/>
      <c r="P505" s="557"/>
      <c r="Q505" s="556"/>
      <c r="R505" s="557"/>
      <c r="S505" s="557"/>
      <c r="T505" s="557"/>
      <c r="U505" s="557"/>
      <c r="V505" s="557"/>
      <c r="W505" s="557"/>
      <c r="X505" s="557"/>
      <c r="Y505" s="557"/>
      <c r="Z505" s="557"/>
      <c r="AA505" s="557"/>
      <c r="AB505" s="557"/>
      <c r="AC505" s="557"/>
      <c r="AD505" s="557"/>
      <c r="AE505" s="557"/>
      <c r="AF505" s="557"/>
      <c r="AG505" s="557"/>
      <c r="AH505" s="557"/>
      <c r="AI505" s="557"/>
      <c r="AJ505" s="557"/>
      <c r="AK505" s="557"/>
      <c r="AL505" s="557"/>
      <c r="AM505" s="557"/>
      <c r="AN505" s="557"/>
      <c r="AO505" s="563"/>
      <c r="AP505" s="557"/>
      <c r="AQ505" s="557"/>
      <c r="AR505" s="559"/>
      <c r="AS505" s="557"/>
      <c r="AT505" s="557"/>
      <c r="AU505" s="557"/>
      <c r="AV505" s="557"/>
      <c r="AW505" s="557"/>
      <c r="AX505" s="554"/>
      <c r="AY505" s="563"/>
      <c r="AZ505" s="557"/>
      <c r="BA505" s="557"/>
      <c r="BB505" s="557"/>
      <c r="BC505" s="554"/>
      <c r="BD505" s="557"/>
      <c r="BE505" s="557"/>
      <c r="BF505" s="557"/>
      <c r="BG505" s="557"/>
      <c r="BH505" s="557"/>
      <c r="BI505" s="557"/>
      <c r="BJ505" s="557"/>
      <c r="BK505" s="557"/>
      <c r="BL505" s="557"/>
      <c r="BM505" s="554"/>
      <c r="BN505" s="558"/>
      <c r="BO505" s="559"/>
      <c r="BP505" s="554"/>
      <c r="BQ505" s="560" t="str">
        <f>IFERROR(WWWW[[#This Row],['#_Water sources treated]]/WWWW[[#This Row],['#_Water sources tested for contamination]],"no test")</f>
        <v>no test</v>
      </c>
      <c r="BR505" s="559" t="str">
        <f>IFERROR(WWWW[[#This Row],['#_Household received remediation action due to contamination]]/WWWW[[#This Row],['#_Household water samples tested for contamination]],"no test")</f>
        <v>no test</v>
      </c>
      <c r="BS505" s="558" t="str">
        <f>IF(AND(WWWW[[#This Row],[% of water sources treated]]="no test",WWWW[[#This Row],[% Household received corrective actions]]="no test"),"No Test","Tested")</f>
        <v>No Test</v>
      </c>
      <c r="BT505" s="558">
        <f>WWWW[[#This Row],['#_Constructed/existing protected hand dug well]]-WWWW[[#This Row],['#_Non-functional protected hand dug well]]</f>
        <v>0</v>
      </c>
      <c r="BU505" s="558">
        <f>(WWWW[[#This Row],['#_Constructed/Existing tube wells/boreholes/handpumps_WASH_agency]]+WWWW[[#This Row],['#_Non-Cluster partner water tube-wells/boreholes/handpumps]])-WWWW[[#This Row],['#_Non-functional tube wells/boreholes/handpumps]]</f>
        <v>0</v>
      </c>
      <c r="BV505" s="558">
        <f>WWWW[[#This Row],['#_Constructed/Existingwater storage tank with gravity fed reticulation system]]-WWWW[[#This Row],['#_Non-functional storage tank gravity fed reticulation system]]</f>
        <v>0</v>
      </c>
      <c r="BW505" s="558">
        <f>WWWW[[#This Row],['#_Water boating or water trucking]]</f>
        <v>0</v>
      </c>
      <c r="BX505" s="558">
        <f>WWWW[[#This Row],['#_Constructed/Existing water distribution system from river or natural spring]]</f>
        <v>0</v>
      </c>
      <c r="BY50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0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05" s="559">
        <f>IF(WWWW[[#This Row],[Location Type 1]]="Village",WWWW[[#This Row],[Access to safe drinking water for Village]],WWWW[[#This Row],[Access to safe drinking water for Camp]])</f>
        <v>0</v>
      </c>
      <c r="CB505" s="556">
        <f>WWWW[[#This Row],[%Equitable and continuous access to sufficient quantity of safe drinking water]]*WWWW[[#This Row],[Total PoP ]]</f>
        <v>0</v>
      </c>
      <c r="CC505" s="559">
        <f>IF((WWWW[[#This Row],['#_Constructed/Existing protected/fenced ponds]]*250)/WWWW[[#This Row],[Total PoP ]]&gt;1,1,(WWWW[[#This Row],['#_Constructed/Existing protected/fenced ponds]]*250)/WWWW[[#This Row],[Total PoP ]])</f>
        <v>0</v>
      </c>
      <c r="CD505" s="556">
        <f>WWWW[[#This Row],[% Access to unimproved water points]]*WWWW[[#This Row],[Total PoP ]]</f>
        <v>0</v>
      </c>
      <c r="CE50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0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05" s="556">
        <f>WWWW[[#This Row],[HRP1]]/500</f>
        <v>0</v>
      </c>
      <c r="CH505" s="561">
        <f>1-WWWW[[#This Row],[% Equitable and continuous access to sufficient quantity of domestic water]]</f>
        <v>1</v>
      </c>
      <c r="CI505" s="556">
        <f>WWWW[[#This Row],[%equitable and continuous access to sufficient quantity of safe drinking and domestic water''s GAP]]*WWWW[[#This Row],[Total PoP ]]</f>
        <v>496</v>
      </c>
      <c r="CJ505" s="558">
        <f>IF(WWWW[[#This Row],[Total required water points]]-WWWW[[#This Row],['#Water points coverage]]&lt;0,0,WWWW[[#This Row],[Total required water points]]-WWWW[[#This Row],['#Water points coverage]])</f>
        <v>1</v>
      </c>
      <c r="CK505" s="558">
        <f>ROUND(IF(WWWW[[#This Row],[Total PoP ]]&lt;500,1,WWWW[[#This Row],[Total PoP ]]/500),0)</f>
        <v>1</v>
      </c>
      <c r="CL505" s="558">
        <f>(WWWW[[#This Row],['#_Constructed latrines_by_WASHAgencies]]+WWWW[[#This Row],['#_Non Cluster partner latrines]])-WWWW[[#This Row],['#_Non-functional latrines]]</f>
        <v>0</v>
      </c>
      <c r="CM50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0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05"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5" s="558">
        <f>IF(WWWW[[#This Row],[Location Type 1]]="Village","NA",IF(WWWW[[#This Row],['#_Constructed/Existing latrines in TLS]]*50&gt;WWWW[[#This Row],['#_students at TLS_CFS]],WWWW[[#This Row],['#_students at TLS_CFS]],(WWWW[[#This Row],['#_Constructed/Existing latrines in TLS]]*50)))</f>
        <v>0</v>
      </c>
      <c r="CQ505" s="558">
        <f>ROUND(IF(WWWW[[#This Row],[Location Type 1]]="camp",WWWW[[#This Row],[Total PoP ]]/20,IF(WWWW[[#This Row],[Location Type 1]]="Temporary Location",WWWW[[#This Row],[Total PoP ]]/50,(WWWW[[#This Row],[Total PoP ]]/6))),0)</f>
        <v>25</v>
      </c>
      <c r="CR505" s="558">
        <f>IF(WWWW[[#This Row],[Total required Latrines]]-(WWWW[[#This Row],['#_Constructed latrines_by_WASHAgencies]]+WWWW[[#This Row],['#_Non Cluster partner latrines]])&lt;0,0,WWWW[[#This Row],[Total required Latrines]]-(WWWW[[#This Row],['#_Constructed latrines_by_WASHAgencies]]+WWWW[[#This Row],['#_Non Cluster partner latrines]]))</f>
        <v>25</v>
      </c>
      <c r="CS505" s="78">
        <f>1-WWWW[[#This Row],[% people access to functioning Latrine]]</f>
        <v>1</v>
      </c>
      <c r="CT505" s="560">
        <f>IF(OR(WWWW[[#This Row],['#_Non-functional latrines]]="",WWWW[[#This Row],['#_Non-functional latrines]]=0),0,WWWW[[#This Row],['#_Non-functional latrines]]/(WWWW[[#This Row],['#_Constructed latrines_by_WASHAgencies]]+WWWW[[#This Row],['#_Non Cluster partner latrines]]))</f>
        <v>0</v>
      </c>
      <c r="CU505" s="556">
        <f>IF(500*(WWWW[[#This Row],['#_male hygiene promoters]]+WWWW[[#This Row],['#_female hygiene promoters]])&gt;WWWW[[#This Row],[Total PoP ]],WWWW[[#This Row],[Total PoP ]],500*(WWWW[[#This Row],['#_male hygiene promoters]]+WWWW[[#This Row],['#_female hygiene promoters]]))</f>
        <v>0</v>
      </c>
      <c r="CV50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0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5" s="558">
        <f>IF(WWWW[[#This Row],['# People with access to soap]]&gt;WWWW[[#This Row],['# People with access to Sanity Pads]],WWWW[[#This Row],['# People with access to soap]],WWWW[[#This Row],['# People with access to Sanity Pads]])</f>
        <v>0</v>
      </c>
      <c r="CY50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05" s="561">
        <f>IF(WWWW[[#This Row],[HRP3]]/WWWW[[#This Row],[Total PoP ]]&gt;100%,100%,WWWW[[#This Row],[HRP3]]/WWWW[[#This Row],[Total PoP ]])</f>
        <v>0</v>
      </c>
      <c r="DA505" s="560">
        <f>1-WWWW[[#This Row],[Hygiene Coverage%]]</f>
        <v>1</v>
      </c>
      <c r="DB505" s="559">
        <f>WWWW[[#This Row],['# people reached by regular dedicated hygiene promotion_5]]/WWWW[[#This Row],[Total PoP ]]</f>
        <v>0</v>
      </c>
      <c r="DC505" s="559">
        <f>IF(WWWW[[#This Row],['#_households that received standard amount of soap for this quarter]]/WWWW[[#This Row],[Total HH]]&gt;1,1,WWWW[[#This Row],['#_households that received standard amount of soap for this quarter]]/WWWW[[#This Row],[Total HH]])</f>
        <v>0</v>
      </c>
      <c r="DD505" s="559">
        <f>IF(WWWW[[#This Row],['#_households that received standard amount of sanitary pads for this quarter]]/WWWW[[#This Row],[Total HH]]&gt;1,1,WWWW[[#This Row],['#_households that received standard amount of sanitary pads for this quarter]]/WWWW[[#This Row],[Total HH]])</f>
        <v>0</v>
      </c>
      <c r="DE505" s="558">
        <f>WWWW[[#This Row],['#_Constructed/Existing hand washing stations]]-WWWW[[#This Row],['#_Non-Functional_hand_washing_stations]]</f>
        <v>0</v>
      </c>
      <c r="DF505" s="757">
        <f>IF(WWWW[[#This Row],['# Functional hand washing stations during reporting period]]*20&gt;WWWW[[#This Row],[Total HH]],WWWW[[#This Row],[Total HH]],WWWW[[#This Row],['# Functional hand washing stations during reporting period]]*20)</f>
        <v>0</v>
      </c>
      <c r="DG505" s="556">
        <f>IF(WWWW[[#This Row],[Is sufficient soap available for TLS? (Yes/No)]]="yes",WWWW[[#This Row],['#_Constructed/Existing hand washing stations at TLS]],0)</f>
        <v>0</v>
      </c>
      <c r="DH505" s="556">
        <f>IF(WWWW[[#This Row],['# Functional hand washing stations during reporting period]]*100&gt;WWWW[[#This Row],[Total PoP ]],WWWW[[#This Row],[Total PoP ]],WWWW[[#This Row],['# Functional hand washing stations during reporting period]]*100)</f>
        <v>0</v>
      </c>
      <c r="DI505" s="556" t="str">
        <f>IF(OR(WWWW[[#This Row],['#_students at TLS_CFS]]="",WWWW[[#This Row],['#_students at TLS_CFS]]=0),"No","Yes")</f>
        <v>No</v>
      </c>
      <c r="DJ505" s="554">
        <f>VLOOKUP(WWWW[[#This Row],[Site Name]],SiteDB6[[Site Name]:[CCCM Management]],6,FALSE)</f>
        <v>0</v>
      </c>
      <c r="DK505" s="554" t="str">
        <f>VLOOKUP(WWWW[[#This Row],[Site Name]],SiteDB6[[Site Name]:[CCCM Focal Agency]],7,FALSE)</f>
        <v>uncovered</v>
      </c>
      <c r="DL505" s="554" t="str">
        <f>VLOOKUP(WWWW[[#This Row],[Site Name]],SiteDB6[[Site Name]:[Location Type 1]],9,FALSE)</f>
        <v>Camp</v>
      </c>
      <c r="DM505" s="554" t="str">
        <f>VLOOKUP(WWWW[[#This Row],[Site Name]],SiteDB6[[Site Name]:[Type of Accommodation]],10,FALSE)</f>
        <v>Camp like setting</v>
      </c>
      <c r="DN505" s="554" t="str">
        <f>VLOOKUP(WWWW[[#This Row],[Site Name]],SiteDB6[[Site Name]:[Ethnic or GCA/NGCA]],11,FALSE)</f>
        <v>GCA</v>
      </c>
      <c r="DO505" s="554">
        <f>VLOOKUP(WWWW[[#This Row],[Site Name]],SiteDB6[[Site Name]:[Lat]],12,FALSE)</f>
        <v>0</v>
      </c>
      <c r="DP505" s="554">
        <f>VLOOKUP(WWWW[[#This Row],[Site Name]],SiteDB6[[Site Name]:[Long]],13,FALSE)</f>
        <v>0</v>
      </c>
      <c r="DQ505" s="554" t="str">
        <f>VLOOKUP(WWWW[[#This Row],[Site Name]],SiteDB6[[Site Name]:[Pcode]],3,FALSE)</f>
        <v>MMR015CMP212</v>
      </c>
      <c r="DR505" s="563" t="str">
        <f t="shared" ref="DR505:DR541" si="18">IF(C505="none","Notcovered","Covered")</f>
        <v>Notcovered</v>
      </c>
      <c r="DS505" s="563"/>
    </row>
    <row r="506" spans="1:138">
      <c r="A506" s="552" t="s">
        <v>2518</v>
      </c>
      <c r="B506" s="555" t="s">
        <v>1957</v>
      </c>
      <c r="C506" s="555" t="s">
        <v>1957</v>
      </c>
      <c r="D506" s="584" t="s">
        <v>2970</v>
      </c>
      <c r="E506" s="574" t="s">
        <v>716</v>
      </c>
      <c r="F506" s="555" t="s">
        <v>726</v>
      </c>
      <c r="G506" s="574" t="str">
        <f>VLOOKUP(WWWW[[#This Row],[Site Name]],SiteDB6[[Site Name]:[Location Type]],8,FALSE)</f>
        <v>Camp</v>
      </c>
      <c r="H506" s="555" t="s">
        <v>756</v>
      </c>
      <c r="I506" s="557">
        <v>146</v>
      </c>
      <c r="J506" s="557">
        <v>494</v>
      </c>
      <c r="K506" s="593" t="s">
        <v>2971</v>
      </c>
      <c r="L506" s="58" t="s">
        <v>2972</v>
      </c>
      <c r="M506" s="557"/>
      <c r="N506" s="557"/>
      <c r="O506" s="557"/>
      <c r="P506" s="557"/>
      <c r="Q506" s="585" t="s">
        <v>43</v>
      </c>
      <c r="R506" s="312">
        <v>2</v>
      </c>
      <c r="S506" s="312">
        <v>7</v>
      </c>
      <c r="T506" s="312">
        <v>0</v>
      </c>
      <c r="U506" s="312">
        <v>0</v>
      </c>
      <c r="V506" s="312">
        <v>0</v>
      </c>
      <c r="W506" s="312">
        <v>0</v>
      </c>
      <c r="X506" s="312">
        <v>0</v>
      </c>
      <c r="Y506" s="312">
        <v>0</v>
      </c>
      <c r="Z506" s="312">
        <v>0</v>
      </c>
      <c r="AA506" s="312">
        <v>20</v>
      </c>
      <c r="AB506" s="312">
        <v>0</v>
      </c>
      <c r="AC506" s="312">
        <v>0</v>
      </c>
      <c r="AD506" s="312">
        <v>0</v>
      </c>
      <c r="AE506" s="312"/>
      <c r="AF506" s="312">
        <v>0</v>
      </c>
      <c r="AG506" s="312">
        <v>1</v>
      </c>
      <c r="AH506" s="312">
        <v>1</v>
      </c>
      <c r="AI506" s="312">
        <v>1</v>
      </c>
      <c r="AJ506" s="312">
        <v>0</v>
      </c>
      <c r="AK506" s="312">
        <v>15</v>
      </c>
      <c r="AL506" s="312">
        <v>0</v>
      </c>
      <c r="AM506" s="312"/>
      <c r="AN506" s="312"/>
      <c r="AO506" s="586"/>
      <c r="AP506" s="312">
        <v>40</v>
      </c>
      <c r="AQ506" s="312">
        <v>0</v>
      </c>
      <c r="AR506" s="594"/>
      <c r="AS506" s="312">
        <v>0</v>
      </c>
      <c r="AT506" s="312">
        <v>6</v>
      </c>
      <c r="AU506" s="312">
        <v>0</v>
      </c>
      <c r="AV506" s="312"/>
      <c r="AW506" s="312"/>
      <c r="AX506" s="592" t="s">
        <v>144</v>
      </c>
      <c r="AY506" s="586" t="s">
        <v>1200</v>
      </c>
      <c r="AZ506" s="312">
        <v>0</v>
      </c>
      <c r="BA506" s="312">
        <v>0</v>
      </c>
      <c r="BB506" s="312"/>
      <c r="BC506" s="592"/>
      <c r="BD506" s="312">
        <v>2</v>
      </c>
      <c r="BE506" s="312">
        <v>0</v>
      </c>
      <c r="BF506" s="312">
        <v>0</v>
      </c>
      <c r="BG506" s="312">
        <v>6</v>
      </c>
      <c r="BH506" s="312">
        <v>0</v>
      </c>
      <c r="BI506" s="312">
        <v>0</v>
      </c>
      <c r="BJ506" s="312">
        <v>2</v>
      </c>
      <c r="BK506" s="312">
        <v>153</v>
      </c>
      <c r="BL506" s="312"/>
      <c r="BM506" s="592"/>
      <c r="BN506" s="595"/>
      <c r="BO506" s="594">
        <v>0.5</v>
      </c>
      <c r="BP506" s="592"/>
      <c r="BQ506" s="560">
        <f>IFERROR(WWWW[[#This Row],['#_Water sources treated]]/WWWW[[#This Row],['#_Water sources tested for contamination]],"no test")</f>
        <v>0</v>
      </c>
      <c r="BR506" s="559">
        <f>IFERROR(WWWW[[#This Row],['#_Household received remediation action due to contamination]]/WWWW[[#This Row],['#_Household water samples tested for contamination]],"no test")</f>
        <v>0</v>
      </c>
      <c r="BS506" s="558" t="str">
        <f>IF(AND(WWWW[[#This Row],[% of water sources treated]]="no test",WWWW[[#This Row],[% Household received corrective actions]]="no test"),"No Test","Tested")</f>
        <v>Tested</v>
      </c>
      <c r="BT506" s="558">
        <f>WWWW[[#This Row],['#_Constructed/existing protected hand dug well]]-WWWW[[#This Row],['#_Non-functional protected hand dug well]]</f>
        <v>0</v>
      </c>
      <c r="BU506" s="558">
        <f>(WWWW[[#This Row],['#_Constructed/Existing tube wells/boreholes/handpumps_WASH_agency]]+WWWW[[#This Row],['#_Non-Cluster partner water tube-wells/boreholes/handpumps]])-WWWW[[#This Row],['#_Non-functional tube wells/boreholes/handpumps]]</f>
        <v>0</v>
      </c>
      <c r="BV506" s="558">
        <f>WWWW[[#This Row],['#_Constructed/Existingwater storage tank with gravity fed reticulation system]]-WWWW[[#This Row],['#_Non-functional storage tank gravity fed reticulation system]]</f>
        <v>20</v>
      </c>
      <c r="BW506" s="558">
        <f>WWWW[[#This Row],['#_Water boating or water trucking]]</f>
        <v>0</v>
      </c>
      <c r="BX506" s="558">
        <f>WWWW[[#This Row],['#_Constructed/Existing water distribution system from river or natural spring]]</f>
        <v>0</v>
      </c>
      <c r="BY50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6" s="559">
        <f>IF(WWWW[[#This Row],[Location Type 1]]="Village",WWWW[[#This Row],[Access to safe drinking water for Village]],WWWW[[#This Row],[Access to safe drinking water for Camp]])</f>
        <v>1</v>
      </c>
      <c r="CB506" s="556">
        <f>WWWW[[#This Row],[%Equitable and continuous access to sufficient quantity of safe drinking water]]*WWWW[[#This Row],[Total PoP ]]</f>
        <v>494</v>
      </c>
      <c r="CC506" s="559">
        <f>IF((WWWW[[#This Row],['#_Constructed/Existing protected/fenced ponds]]*250)/WWWW[[#This Row],[Total PoP ]]&gt;1,1,(WWWW[[#This Row],['#_Constructed/Existing protected/fenced ponds]]*250)/WWWW[[#This Row],[Total PoP ]])</f>
        <v>0</v>
      </c>
      <c r="CD506" s="556">
        <f>WWWW[[#This Row],[% Access to unimproved water points]]*WWWW[[#This Row],[Total PoP ]]</f>
        <v>0</v>
      </c>
      <c r="CE50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494</v>
      </c>
      <c r="CG506" s="556">
        <f>WWWW[[#This Row],[HRP1]]/500</f>
        <v>0.98799999999999999</v>
      </c>
      <c r="CH506" s="561">
        <f>1-WWWW[[#This Row],[% Equitable and continuous access to sufficient quantity of domestic water]]</f>
        <v>0</v>
      </c>
      <c r="CI506" s="556">
        <f>WWWW[[#This Row],[%equitable and continuous access to sufficient quantity of safe drinking and domestic water''s GAP]]*WWWW[[#This Row],[Total PoP ]]</f>
        <v>0</v>
      </c>
      <c r="CJ506" s="558">
        <f>IF(WWWW[[#This Row],[Total required water points]]-WWWW[[#This Row],['#Water points coverage]]&lt;0,0,WWWW[[#This Row],[Total required water points]]-WWWW[[#This Row],['#Water points coverage]])</f>
        <v>1.2000000000000011E-2</v>
      </c>
      <c r="CK506" s="558">
        <f>ROUND(IF(WWWW[[#This Row],[Total PoP ]]&lt;500,1,WWWW[[#This Row],[Total PoP ]]/500),0)</f>
        <v>1</v>
      </c>
      <c r="CL506" s="558">
        <f>(WWWW[[#This Row],['#_Constructed latrines_by_WASHAgencies]]+WWWW[[#This Row],['#_Non Cluster partner latrines]])-WWWW[[#This Row],['#_Non-functional latrines]]</f>
        <v>40</v>
      </c>
      <c r="CM50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494</v>
      </c>
      <c r="CO506"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6" s="558">
        <f>IF(WWWW[[#This Row],[Location Type 1]]="Village","NA",IF(WWWW[[#This Row],['#_Constructed/Existing latrines in TLS]]*50&gt;WWWW[[#This Row],['#_students at TLS_CFS]],WWWW[[#This Row],['#_students at TLS_CFS]],(WWWW[[#This Row],['#_Constructed/Existing latrines in TLS]]*50)))</f>
        <v>0</v>
      </c>
      <c r="CQ506" s="558">
        <f>ROUND(IF(WWWW[[#This Row],[Location Type 1]]="camp",WWWW[[#This Row],[Total PoP ]]/20,IF(WWWW[[#This Row],[Location Type 1]]="Temporary Location",WWWW[[#This Row],[Total PoP ]]/50,(WWWW[[#This Row],[Total PoP ]]/6))),0)</f>
        <v>25</v>
      </c>
      <c r="CR506" s="558">
        <f>IF(WWWW[[#This Row],[Total required Latrines]]-(WWWW[[#This Row],['#_Constructed latrines_by_WASHAgencies]]+WWWW[[#This Row],['#_Non Cluster partner latrines]])&lt;0,0,WWWW[[#This Row],[Total required Latrines]]-(WWWW[[#This Row],['#_Constructed latrines_by_WASHAgencies]]+WWWW[[#This Row],['#_Non Cluster partner latrines]]))</f>
        <v>0</v>
      </c>
      <c r="CS506" s="78">
        <f>1-WWWW[[#This Row],[% people access to functioning Latrine]]</f>
        <v>0</v>
      </c>
      <c r="CT506" s="560">
        <f>IF(OR(WWWW[[#This Row],['#_Non-functional latrines]]="",WWWW[[#This Row],['#_Non-functional latrines]]=0),0,WWWW[[#This Row],['#_Non-functional latrines]]/(WWWW[[#This Row],['#_Constructed latrines_by_WASHAgencies]]+WWWW[[#This Row],['#_Non Cluster partner latrines]]))</f>
        <v>0</v>
      </c>
      <c r="CU506" s="556">
        <f>IF(500*(WWWW[[#This Row],['#_male hygiene promoters]]+WWWW[[#This Row],['#_female hygiene promoters]])&gt;WWWW[[#This Row],[Total PoP ]],WWWW[[#This Row],[Total PoP ]],500*(WWWW[[#This Row],['#_male hygiene promoters]]+WWWW[[#This Row],['#_female hygiene promoters]]))</f>
        <v>494</v>
      </c>
      <c r="CV50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494</v>
      </c>
      <c r="CW50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6" s="558">
        <f>IF(WWWW[[#This Row],['# People with access to soap]]&gt;WWWW[[#This Row],['# People with access to Sanity Pads]],WWWW[[#This Row],['# People with access to soap]],WWWW[[#This Row],['# People with access to Sanity Pads]])</f>
        <v>494</v>
      </c>
      <c r="CY506" s="558">
        <f>IF(WWWW[[#This Row],['# people reached by regular dedicated hygiene promotion_5]]&gt;WWWW[[#This Row],['# People received regular supply of hygiene items_6]],WWWW[[#This Row],['# people reached by regular dedicated hygiene promotion_5]],WWWW[[#This Row],['# People received regular supply of hygiene items_6]])</f>
        <v>494</v>
      </c>
      <c r="CZ506" s="561">
        <f>IF(WWWW[[#This Row],[HRP3]]/WWWW[[#This Row],[Total PoP ]]&gt;100%,100%,WWWW[[#This Row],[HRP3]]/WWWW[[#This Row],[Total PoP ]])</f>
        <v>1</v>
      </c>
      <c r="DA506" s="560">
        <f>1-WWWW[[#This Row],[Hygiene Coverage%]]</f>
        <v>0</v>
      </c>
      <c r="DB506" s="559">
        <f>WWWW[[#This Row],['# people reached by regular dedicated hygiene promotion_5]]/WWWW[[#This Row],[Total PoP ]]</f>
        <v>1</v>
      </c>
      <c r="DC506" s="559">
        <f>IF(WWWW[[#This Row],['#_households that received standard amount of soap for this quarter]]/WWWW[[#This Row],[Total HH]]&gt;1,1,WWWW[[#This Row],['#_households that received standard amount of soap for this quarter]]/WWWW[[#This Row],[Total HH]])</f>
        <v>1</v>
      </c>
      <c r="DD506" s="559">
        <f>IF(WWWW[[#This Row],['#_households that received standard amount of sanitary pads for this quarter]]/WWWW[[#This Row],[Total HH]]&gt;1,1,WWWW[[#This Row],['#_households that received standard amount of sanitary pads for this quarter]]/WWWW[[#This Row],[Total HH]])</f>
        <v>0</v>
      </c>
      <c r="DE506" s="558">
        <f>WWWW[[#This Row],['#_Constructed/Existing hand washing stations]]-WWWW[[#This Row],['#_Non-Functional_hand_washing_stations]]</f>
        <v>2</v>
      </c>
      <c r="DF506" s="757">
        <f>IF(WWWW[[#This Row],['# Functional hand washing stations during reporting period]]*20&gt;WWWW[[#This Row],[Total HH]],WWWW[[#This Row],[Total HH]],WWWW[[#This Row],['# Functional hand washing stations during reporting period]]*20)</f>
        <v>40</v>
      </c>
      <c r="DG506" s="556">
        <f>IF(WWWW[[#This Row],[Is sufficient soap available for TLS? (Yes/No)]]="yes",WWWW[[#This Row],['#_Constructed/Existing hand washing stations at TLS]],0)</f>
        <v>0</v>
      </c>
      <c r="DH506" s="556">
        <f>IF(WWWW[[#This Row],['# Functional hand washing stations during reporting period]]*100&gt;WWWW[[#This Row],[Total PoP ]],WWWW[[#This Row],[Total PoP ]],WWWW[[#This Row],['# Functional hand washing stations during reporting period]]*100)</f>
        <v>200</v>
      </c>
      <c r="DI506" s="556" t="str">
        <f>IF(OR(WWWW[[#This Row],['#_students at TLS_CFS]]="",WWWW[[#This Row],['#_students at TLS_CFS]]=0),"No","Yes")</f>
        <v>No</v>
      </c>
      <c r="DJ506" s="554" t="str">
        <f>VLOOKUP(WWWW[[#This Row],[Site Name]],SiteDB6[[Site Name]:[CCCM Management]],6,FALSE)</f>
        <v>Yes</v>
      </c>
      <c r="DK506" s="554" t="str">
        <f>VLOOKUP(WWWW[[#This Row],[Site Name]],SiteDB6[[Site Name]:[CCCM Focal Agency]],7,FALSE)</f>
        <v>KBC-NSS</v>
      </c>
      <c r="DL506" s="554" t="str">
        <f>VLOOKUP(WWWW[[#This Row],[Site Name]],SiteDB6[[Site Name]:[Location Type 1]],9,FALSE)</f>
        <v>Camp</v>
      </c>
      <c r="DM506" s="554" t="str">
        <f>VLOOKUP(WWWW[[#This Row],[Site Name]],SiteDB6[[Site Name]:[Type of Accommodation]],10,FALSE)</f>
        <v>Camp</v>
      </c>
      <c r="DN506" s="554" t="str">
        <f>VLOOKUP(WWWW[[#This Row],[Site Name]],SiteDB6[[Site Name]:[Ethnic or GCA/NGCA]],11,FALSE)</f>
        <v>GCA</v>
      </c>
      <c r="DO506" s="554">
        <f>VLOOKUP(WWWW[[#This Row],[Site Name]],SiteDB6[[Site Name]:[Lat]],12,FALSE)</f>
        <v>24.08738</v>
      </c>
      <c r="DP506" s="554">
        <f>VLOOKUP(WWWW[[#This Row],[Site Name]],SiteDB6[[Site Name]:[Long]],13,FALSE)</f>
        <v>98.115809999999996</v>
      </c>
      <c r="DQ506" s="554" t="str">
        <f>VLOOKUP(WWWW[[#This Row],[Site Name]],SiteDB6[[Site Name]:[Pcode]],3,FALSE)</f>
        <v>MMR015CMP247</v>
      </c>
      <c r="DR506" s="563" t="str">
        <f t="shared" si="18"/>
        <v>Covered</v>
      </c>
      <c r="DS506" s="563"/>
    </row>
    <row r="507" spans="1:138">
      <c r="A507" s="552" t="s">
        <v>2518</v>
      </c>
      <c r="B507" s="555" t="s">
        <v>200</v>
      </c>
      <c r="C507" s="555" t="s">
        <v>200</v>
      </c>
      <c r="D507" s="555" t="s">
        <v>2963</v>
      </c>
      <c r="E507" s="574" t="s">
        <v>716</v>
      </c>
      <c r="F507" s="555" t="s">
        <v>726</v>
      </c>
      <c r="G507" s="574" t="str">
        <f>VLOOKUP(WWWW[[#This Row],[Site Name]],SiteDB6[[Site Name]:[Location Type]],8,FALSE)</f>
        <v>Camp</v>
      </c>
      <c r="H507" s="584" t="s">
        <v>760</v>
      </c>
      <c r="I507" s="557">
        <v>154</v>
      </c>
      <c r="J507" s="557">
        <v>779</v>
      </c>
      <c r="K507" s="564" t="s">
        <v>2964</v>
      </c>
      <c r="L507" s="565" t="s">
        <v>2965</v>
      </c>
      <c r="M507" s="557">
        <v>189</v>
      </c>
      <c r="N507" s="557"/>
      <c r="O507" s="557"/>
      <c r="P507" s="557"/>
      <c r="Q507" s="556" t="s">
        <v>43</v>
      </c>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63"/>
      <c r="AP507" s="557">
        <v>60</v>
      </c>
      <c r="AQ507" s="557"/>
      <c r="AR507" s="559"/>
      <c r="AS507" s="557"/>
      <c r="AT507" s="557"/>
      <c r="AU507" s="557"/>
      <c r="AV507" s="557"/>
      <c r="AW507" s="557"/>
      <c r="AX507" s="554" t="s">
        <v>43</v>
      </c>
      <c r="AY507" s="563" t="s">
        <v>145</v>
      </c>
      <c r="AZ507" s="557"/>
      <c r="BA507" s="557"/>
      <c r="BB507" s="557"/>
      <c r="BC507" s="554"/>
      <c r="BD507" s="557"/>
      <c r="BE507" s="557"/>
      <c r="BF507" s="557"/>
      <c r="BG507" s="557">
        <v>11</v>
      </c>
      <c r="BH507" s="557"/>
      <c r="BI507" s="557"/>
      <c r="BJ507" s="557"/>
      <c r="BK507" s="557">
        <v>0</v>
      </c>
      <c r="BL507" s="557">
        <v>0</v>
      </c>
      <c r="BM507" s="554"/>
      <c r="BN507" s="558"/>
      <c r="BO507" s="559"/>
      <c r="BP507" s="554"/>
      <c r="BQ507" s="560" t="str">
        <f>IFERROR(WWWW[[#This Row],['#_Water sources treated]]/WWWW[[#This Row],['#_Water sources tested for contamination]],"no test")</f>
        <v>no test</v>
      </c>
      <c r="BR507" s="559" t="str">
        <f>IFERROR(WWWW[[#This Row],['#_Household received remediation action due to contamination]]/WWWW[[#This Row],['#_Household water samples tested for contamination]],"no test")</f>
        <v>no test</v>
      </c>
      <c r="BS507" s="558" t="str">
        <f>IF(AND(WWWW[[#This Row],[% of water sources treated]]="no test",WWWW[[#This Row],[% Household received corrective actions]]="no test"),"No Test","Tested")</f>
        <v>No Test</v>
      </c>
      <c r="BT507" s="558">
        <f>WWWW[[#This Row],['#_Constructed/existing protected hand dug well]]-WWWW[[#This Row],['#_Non-functional protected hand dug well]]</f>
        <v>0</v>
      </c>
      <c r="BU507" s="558">
        <f>(WWWW[[#This Row],['#_Constructed/Existing tube wells/boreholes/handpumps_WASH_agency]]+WWWW[[#This Row],['#_Non-Cluster partner water tube-wells/boreholes/handpumps]])-WWWW[[#This Row],['#_Non-functional tube wells/boreholes/handpumps]]</f>
        <v>0</v>
      </c>
      <c r="BV507" s="558">
        <f>WWWW[[#This Row],['#_Constructed/Existingwater storage tank with gravity fed reticulation system]]-WWWW[[#This Row],['#_Non-functional storage tank gravity fed reticulation system]]</f>
        <v>0</v>
      </c>
      <c r="BW507" s="558">
        <f>WWWW[[#This Row],['#_Water boating or water trucking]]</f>
        <v>0</v>
      </c>
      <c r="BX507" s="558">
        <f>WWWW[[#This Row],['#_Constructed/Existing water distribution system from river or natural spring]]</f>
        <v>0</v>
      </c>
      <c r="BY50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0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07" s="559">
        <f>IF(WWWW[[#This Row],[Location Type 1]]="Village",WWWW[[#This Row],[Access to safe drinking water for Village]],WWWW[[#This Row],[Access to safe drinking water for Camp]])</f>
        <v>0</v>
      </c>
      <c r="CB507" s="556">
        <f>WWWW[[#This Row],[%Equitable and continuous access to sufficient quantity of safe drinking water]]*WWWW[[#This Row],[Total PoP ]]</f>
        <v>0</v>
      </c>
      <c r="CC507" s="559">
        <f>IF((WWWW[[#This Row],['#_Constructed/Existing protected/fenced ponds]]*250)/WWWW[[#This Row],[Total PoP ]]&gt;1,1,(WWWW[[#This Row],['#_Constructed/Existing protected/fenced ponds]]*250)/WWWW[[#This Row],[Total PoP ]])</f>
        <v>0</v>
      </c>
      <c r="CD507" s="556">
        <f>WWWW[[#This Row],[% Access to unimproved water points]]*WWWW[[#This Row],[Total PoP ]]</f>
        <v>0</v>
      </c>
      <c r="CE50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0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07" s="556">
        <f>WWWW[[#This Row],[HRP1]]/500</f>
        <v>0</v>
      </c>
      <c r="CH507" s="561">
        <f>1-WWWW[[#This Row],[% Equitable and continuous access to sufficient quantity of domestic water]]</f>
        <v>1</v>
      </c>
      <c r="CI507" s="556">
        <f>WWWW[[#This Row],[%equitable and continuous access to sufficient quantity of safe drinking and domestic water''s GAP]]*WWWW[[#This Row],[Total PoP ]]</f>
        <v>779</v>
      </c>
      <c r="CJ507" s="558">
        <f>IF(WWWW[[#This Row],[Total required water points]]-WWWW[[#This Row],['#Water points coverage]]&lt;0,0,WWWW[[#This Row],[Total required water points]]-WWWW[[#This Row],['#Water points coverage]])</f>
        <v>2</v>
      </c>
      <c r="CK507" s="558">
        <f>ROUND(IF(WWWW[[#This Row],[Total PoP ]]&lt;500,1,WWWW[[#This Row],[Total PoP ]]/500),0)</f>
        <v>2</v>
      </c>
      <c r="CL507" s="558">
        <f>(WWWW[[#This Row],['#_Constructed latrines_by_WASHAgencies]]+WWWW[[#This Row],['#_Non Cluster partner latrines]])-WWWW[[#This Row],['#_Non-functional latrines]]</f>
        <v>60</v>
      </c>
      <c r="CM50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779</v>
      </c>
      <c r="CO507"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7" s="558">
        <f>IF(WWWW[[#This Row],[Location Type 1]]="Village","NA",IF(WWWW[[#This Row],['#_Constructed/Existing latrines in TLS]]*50&gt;WWWW[[#This Row],['#_students at TLS_CFS]],WWWW[[#This Row],['#_students at TLS_CFS]],(WWWW[[#This Row],['#_Constructed/Existing latrines in TLS]]*50)))</f>
        <v>0</v>
      </c>
      <c r="CQ507" s="558">
        <f>ROUND(IF(WWWW[[#This Row],[Location Type 1]]="camp",WWWW[[#This Row],[Total PoP ]]/20,IF(WWWW[[#This Row],[Location Type 1]]="Temporary Location",WWWW[[#This Row],[Total PoP ]]/50,(WWWW[[#This Row],[Total PoP ]]/6))),0)</f>
        <v>39</v>
      </c>
      <c r="CR507" s="558">
        <f>IF(WWWW[[#This Row],[Total required Latrines]]-(WWWW[[#This Row],['#_Constructed latrines_by_WASHAgencies]]+WWWW[[#This Row],['#_Non Cluster partner latrines]])&lt;0,0,WWWW[[#This Row],[Total required Latrines]]-(WWWW[[#This Row],['#_Constructed latrines_by_WASHAgencies]]+WWWW[[#This Row],['#_Non Cluster partner latrines]]))</f>
        <v>0</v>
      </c>
      <c r="CS507" s="78">
        <f>1-WWWW[[#This Row],[% people access to functioning Latrine]]</f>
        <v>0</v>
      </c>
      <c r="CT507" s="560">
        <f>IF(OR(WWWW[[#This Row],['#_Non-functional latrines]]="",WWWW[[#This Row],['#_Non-functional latrines]]=0),0,WWWW[[#This Row],['#_Non-functional latrines]]/(WWWW[[#This Row],['#_Constructed latrines_by_WASHAgencies]]+WWWW[[#This Row],['#_Non Cluster partner latrines]]))</f>
        <v>0</v>
      </c>
      <c r="CU507" s="556">
        <f>IF(500*(WWWW[[#This Row],['#_male hygiene promoters]]+WWWW[[#This Row],['#_female hygiene promoters]])&gt;WWWW[[#This Row],[Total PoP ]],WWWW[[#This Row],[Total PoP ]],500*(WWWW[[#This Row],['#_male hygiene promoters]]+WWWW[[#This Row],['#_female hygiene promoters]]))</f>
        <v>0</v>
      </c>
      <c r="CV50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0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7" s="558">
        <f>IF(WWWW[[#This Row],['# People with access to soap]]&gt;WWWW[[#This Row],['# People with access to Sanity Pads]],WWWW[[#This Row],['# People with access to soap]],WWWW[[#This Row],['# People with access to Sanity Pads]])</f>
        <v>0</v>
      </c>
      <c r="CY50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07" s="561">
        <f>IF(WWWW[[#This Row],[HRP3]]/WWWW[[#This Row],[Total PoP ]]&gt;100%,100%,WWWW[[#This Row],[HRP3]]/WWWW[[#This Row],[Total PoP ]])</f>
        <v>0</v>
      </c>
      <c r="DA507" s="560">
        <f>1-WWWW[[#This Row],[Hygiene Coverage%]]</f>
        <v>1</v>
      </c>
      <c r="DB507" s="559">
        <f>WWWW[[#This Row],['# people reached by regular dedicated hygiene promotion_5]]/WWWW[[#This Row],[Total PoP ]]</f>
        <v>0</v>
      </c>
      <c r="DC507" s="559">
        <f>IF(WWWW[[#This Row],['#_households that received standard amount of soap for this quarter]]/WWWW[[#This Row],[Total HH]]&gt;1,1,WWWW[[#This Row],['#_households that received standard amount of soap for this quarter]]/WWWW[[#This Row],[Total HH]])</f>
        <v>0</v>
      </c>
      <c r="DD507" s="559">
        <f>IF(WWWW[[#This Row],['#_households that received standard amount of sanitary pads for this quarter]]/WWWW[[#This Row],[Total HH]]&gt;1,1,WWWW[[#This Row],['#_households that received standard amount of sanitary pads for this quarter]]/WWWW[[#This Row],[Total HH]])</f>
        <v>0</v>
      </c>
      <c r="DE507" s="558">
        <f>WWWW[[#This Row],['#_Constructed/Existing hand washing stations]]-WWWW[[#This Row],['#_Non-Functional_hand_washing_stations]]</f>
        <v>0</v>
      </c>
      <c r="DF507" s="757">
        <f>IF(WWWW[[#This Row],['# Functional hand washing stations during reporting period]]*20&gt;WWWW[[#This Row],[Total HH]],WWWW[[#This Row],[Total HH]],WWWW[[#This Row],['# Functional hand washing stations during reporting period]]*20)</f>
        <v>0</v>
      </c>
      <c r="DG507" s="556">
        <f>IF(WWWW[[#This Row],[Is sufficient soap available for TLS? (Yes/No)]]="yes",WWWW[[#This Row],['#_Constructed/Existing hand washing stations at TLS]],0)</f>
        <v>0</v>
      </c>
      <c r="DH507" s="556">
        <f>IF(WWWW[[#This Row],['# Functional hand washing stations during reporting period]]*100&gt;WWWW[[#This Row],[Total PoP ]],WWWW[[#This Row],[Total PoP ]],WWWW[[#This Row],['# Functional hand washing stations during reporting period]]*100)</f>
        <v>0</v>
      </c>
      <c r="DI507" s="556" t="str">
        <f>IF(OR(WWWW[[#This Row],['#_students at TLS_CFS]]="",WWWW[[#This Row],['#_students at TLS_CFS]]=0),"No","Yes")</f>
        <v>Yes</v>
      </c>
      <c r="DJ507" s="554">
        <f>VLOOKUP(WWWW[[#This Row],[Site Name]],SiteDB6[[Site Name]:[CCCM Management]],6,FALSE)</f>
        <v>0</v>
      </c>
      <c r="DK507" s="554">
        <f>VLOOKUP(WWWW[[#This Row],[Site Name]],SiteDB6[[Site Name]:[CCCM Focal Agency]],7,FALSE)</f>
        <v>0</v>
      </c>
      <c r="DL507" s="554" t="str">
        <f>VLOOKUP(WWWW[[#This Row],[Site Name]],SiteDB6[[Site Name]:[Location Type 1]],9,FALSE)</f>
        <v>Camp</v>
      </c>
      <c r="DM507" s="554" t="str">
        <f>VLOOKUP(WWWW[[#This Row],[Site Name]],SiteDB6[[Site Name]:[Type of Accommodation]],10,FALSE)</f>
        <v>Closed Camp</v>
      </c>
      <c r="DN507" s="554" t="str">
        <f>VLOOKUP(WWWW[[#This Row],[Site Name]],SiteDB6[[Site Name]:[Ethnic or GCA/NGCA]],11,FALSE)</f>
        <v>GCA</v>
      </c>
      <c r="DO507" s="554">
        <f>VLOOKUP(WWWW[[#This Row],[Site Name]],SiteDB6[[Site Name]:[Lat]],12,FALSE)</f>
        <v>24.08738</v>
      </c>
      <c r="DP507" s="554">
        <f>VLOOKUP(WWWW[[#This Row],[Site Name]],SiteDB6[[Site Name]:[Long]],13,FALSE)</f>
        <v>98.115809999999996</v>
      </c>
      <c r="DQ507" s="554" t="str">
        <f>VLOOKUP(WWWW[[#This Row],[Site Name]],SiteDB6[[Site Name]:[Pcode]],3,FALSE)</f>
        <v>MMR015CMP022</v>
      </c>
      <c r="DR507" s="563" t="str">
        <f t="shared" si="18"/>
        <v>Covered</v>
      </c>
      <c r="DS507" s="563"/>
    </row>
    <row r="508" spans="1:138">
      <c r="A508" s="552" t="s">
        <v>2518</v>
      </c>
      <c r="B508" s="584" t="s">
        <v>305</v>
      </c>
      <c r="C508" s="584" t="s">
        <v>305</v>
      </c>
      <c r="D508" s="584" t="s">
        <v>2967</v>
      </c>
      <c r="E508" s="574" t="s">
        <v>716</v>
      </c>
      <c r="F508" s="584" t="s">
        <v>720</v>
      </c>
      <c r="G508" s="592" t="str">
        <f>VLOOKUP(WWWW[[#This Row],[Site Name]],SiteDB6[[Site Name]:[Location Type]],8,FALSE)</f>
        <v>Camp</v>
      </c>
      <c r="H508" s="584" t="s">
        <v>2324</v>
      </c>
      <c r="I508" s="312">
        <v>32</v>
      </c>
      <c r="J508" s="312">
        <v>154</v>
      </c>
      <c r="K508" s="593">
        <v>43070</v>
      </c>
      <c r="L508" s="58">
        <v>43799</v>
      </c>
      <c r="M508" s="312"/>
      <c r="N508" s="312"/>
      <c r="O508" s="312"/>
      <c r="P508" s="312"/>
      <c r="Q508" s="585" t="s">
        <v>43</v>
      </c>
      <c r="R508" s="312">
        <v>4</v>
      </c>
      <c r="S508" s="312">
        <v>5</v>
      </c>
      <c r="T508" s="312">
        <v>0</v>
      </c>
      <c r="U508" s="312">
        <v>0</v>
      </c>
      <c r="V508" s="312">
        <v>0</v>
      </c>
      <c r="W508" s="312">
        <v>0</v>
      </c>
      <c r="X508" s="312">
        <v>0</v>
      </c>
      <c r="Y508" s="312">
        <v>0</v>
      </c>
      <c r="Z508" s="312">
        <v>0</v>
      </c>
      <c r="AA508" s="312">
        <v>54</v>
      </c>
      <c r="AB508" s="312">
        <v>0</v>
      </c>
      <c r="AC508" s="312">
        <v>0</v>
      </c>
      <c r="AD508" s="312">
        <v>0</v>
      </c>
      <c r="AE508" s="312"/>
      <c r="AF508" s="312">
        <v>0</v>
      </c>
      <c r="AG508" s="312">
        <v>1</v>
      </c>
      <c r="AH508" s="312"/>
      <c r="AI508" s="312">
        <v>1</v>
      </c>
      <c r="AJ508" s="312">
        <v>0</v>
      </c>
      <c r="AK508" s="312">
        <v>15</v>
      </c>
      <c r="AL508" s="312">
        <v>0</v>
      </c>
      <c r="AM508" s="312"/>
      <c r="AN508" s="312"/>
      <c r="AO508" s="586"/>
      <c r="AP508" s="312">
        <v>32</v>
      </c>
      <c r="AQ508" s="312">
        <v>0</v>
      </c>
      <c r="AR508" s="594"/>
      <c r="AS508" s="312">
        <v>0</v>
      </c>
      <c r="AT508" s="312">
        <v>0</v>
      </c>
      <c r="AU508" s="312">
        <v>0</v>
      </c>
      <c r="AV508" s="312"/>
      <c r="AW508" s="312"/>
      <c r="AX508" s="592" t="s">
        <v>144</v>
      </c>
      <c r="AY508" s="586" t="s">
        <v>145</v>
      </c>
      <c r="AZ508" s="312">
        <v>0</v>
      </c>
      <c r="BA508" s="312">
        <v>0</v>
      </c>
      <c r="BB508" s="312"/>
      <c r="BC508" s="592"/>
      <c r="BD508" s="312">
        <v>0</v>
      </c>
      <c r="BE508" s="312">
        <v>0</v>
      </c>
      <c r="BF508" s="312">
        <v>0</v>
      </c>
      <c r="BG508" s="312">
        <v>0</v>
      </c>
      <c r="BH508" s="312">
        <v>0</v>
      </c>
      <c r="BI508" s="312">
        <v>0</v>
      </c>
      <c r="BJ508" s="312">
        <v>1</v>
      </c>
      <c r="BK508" s="312">
        <v>32</v>
      </c>
      <c r="BL508" s="312"/>
      <c r="BM508" s="592"/>
      <c r="BN508" s="595"/>
      <c r="BO508" s="594">
        <v>0.5</v>
      </c>
      <c r="BP508" s="592"/>
      <c r="BQ508" s="596">
        <f>IFERROR(WWWW[[#This Row],['#_Water sources treated]]/WWWW[[#This Row],['#_Water sources tested for contamination]],"no test")</f>
        <v>0</v>
      </c>
      <c r="BR508" s="594">
        <f>IFERROR(WWWW[[#This Row],['#_Household received remediation action due to contamination]]/WWWW[[#This Row],['#_Household water samples tested for contamination]],"no test")</f>
        <v>0</v>
      </c>
      <c r="BS508" s="595" t="str">
        <f>IF(AND(WWWW[[#This Row],[% of water sources treated]]="no test",WWWW[[#This Row],[% Household received corrective actions]]="no test"),"No Test","Tested")</f>
        <v>Tested</v>
      </c>
      <c r="BT508" s="595">
        <f>WWWW[[#This Row],['#_Constructed/existing protected hand dug well]]-WWWW[[#This Row],['#_Non-functional protected hand dug well]]</f>
        <v>0</v>
      </c>
      <c r="BU508" s="595">
        <f>(WWWW[[#This Row],['#_Constructed/Existing tube wells/boreholes/handpumps_WASH_agency]]+WWWW[[#This Row],['#_Non-Cluster partner water tube-wells/boreholes/handpumps]])-WWWW[[#This Row],['#_Non-functional tube wells/boreholes/handpumps]]</f>
        <v>0</v>
      </c>
      <c r="BV508" s="595">
        <f>WWWW[[#This Row],['#_Constructed/Existingwater storage tank with gravity fed reticulation system]]-WWWW[[#This Row],['#_Non-functional storage tank gravity fed reticulation system]]</f>
        <v>54</v>
      </c>
      <c r="BW508" s="595">
        <f>WWWW[[#This Row],['#_Water boating or water trucking]]</f>
        <v>0</v>
      </c>
      <c r="BX508" s="595">
        <f>WWWW[[#This Row],['#_Constructed/Existing water distribution system from river or natural spring]]</f>
        <v>0</v>
      </c>
      <c r="BY508"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8"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8" s="594">
        <f>IF(WWWW[[#This Row],[Location Type 1]]="Village",WWWW[[#This Row],[Access to safe drinking water for Village]],WWWW[[#This Row],[Access to safe drinking water for Camp]])</f>
        <v>1</v>
      </c>
      <c r="CB508" s="585">
        <f>WWWW[[#This Row],[%Equitable and continuous access to sufficient quantity of safe drinking water]]*WWWW[[#This Row],[Total PoP ]]</f>
        <v>154</v>
      </c>
      <c r="CC508" s="594">
        <f>IF((WWWW[[#This Row],['#_Constructed/Existing protected/fenced ponds]]*250)/WWWW[[#This Row],[Total PoP ]]&gt;1,1,(WWWW[[#This Row],['#_Constructed/Existing protected/fenced ponds]]*250)/WWWW[[#This Row],[Total PoP ]])</f>
        <v>0</v>
      </c>
      <c r="CD508" s="585">
        <f>WWWW[[#This Row],[% Access to unimproved water points]]*WWWW[[#This Row],[Total PoP ]]</f>
        <v>0</v>
      </c>
      <c r="CE508"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8"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v>
      </c>
      <c r="CG508" s="585">
        <f>WWWW[[#This Row],[HRP1]]/500</f>
        <v>0.308</v>
      </c>
      <c r="CH508" s="597">
        <f>1-WWWW[[#This Row],[% Equitable and continuous access to sufficient quantity of domestic water]]</f>
        <v>0</v>
      </c>
      <c r="CI508" s="585">
        <f>WWWW[[#This Row],[%equitable and continuous access to sufficient quantity of safe drinking and domestic water''s GAP]]*WWWW[[#This Row],[Total PoP ]]</f>
        <v>0</v>
      </c>
      <c r="CJ508" s="595">
        <f>IF(WWWW[[#This Row],[Total required water points]]-WWWW[[#This Row],['#Water points coverage]]&lt;0,0,WWWW[[#This Row],[Total required water points]]-WWWW[[#This Row],['#Water points coverage]])</f>
        <v>0.69199999999999995</v>
      </c>
      <c r="CK508" s="595">
        <f>ROUND(IF(WWWW[[#This Row],[Total PoP ]]&lt;500,1,WWWW[[#This Row],[Total PoP ]]/500),0)</f>
        <v>1</v>
      </c>
      <c r="CL508" s="595">
        <f>(WWWW[[#This Row],['#_Constructed latrines_by_WASHAgencies]]+WWWW[[#This Row],['#_Non Cluster partner latrines]])-WWWW[[#This Row],['#_Non-functional latrines]]</f>
        <v>32</v>
      </c>
      <c r="CM508"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8"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154</v>
      </c>
      <c r="CO508"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8" s="595">
        <f>IF(WWWW[[#This Row],[Location Type 1]]="Village","NA",IF(WWWW[[#This Row],['#_Constructed/Existing latrines in TLS]]*50&gt;WWWW[[#This Row],['#_students at TLS_CFS]],WWWW[[#This Row],['#_students at TLS_CFS]],(WWWW[[#This Row],['#_Constructed/Existing latrines in TLS]]*50)))</f>
        <v>0</v>
      </c>
      <c r="CQ508" s="595">
        <f>ROUND(IF(WWWW[[#This Row],[Location Type 1]]="camp",WWWW[[#This Row],[Total PoP ]]/20,IF(WWWW[[#This Row],[Location Type 1]]="Temporary Location",WWWW[[#This Row],[Total PoP ]]/50,(WWWW[[#This Row],[Total PoP ]]/6))),0)</f>
        <v>8</v>
      </c>
      <c r="CR508" s="595">
        <f>IF(WWWW[[#This Row],[Total required Latrines]]-(WWWW[[#This Row],['#_Constructed latrines_by_WASHAgencies]]+WWWW[[#This Row],['#_Non Cluster partner latrines]])&lt;0,0,WWWW[[#This Row],[Total required Latrines]]-(WWWW[[#This Row],['#_Constructed latrines_by_WASHAgencies]]+WWWW[[#This Row],['#_Non Cluster partner latrines]]))</f>
        <v>0</v>
      </c>
      <c r="CS508" s="78">
        <f>1-WWWW[[#This Row],[% people access to functioning Latrine]]</f>
        <v>0</v>
      </c>
      <c r="CT508" s="596">
        <f>IF(OR(WWWW[[#This Row],['#_Non-functional latrines]]="",WWWW[[#This Row],['#_Non-functional latrines]]=0),0,WWWW[[#This Row],['#_Non-functional latrines]]/(WWWW[[#This Row],['#_Constructed latrines_by_WASHAgencies]]+WWWW[[#This Row],['#_Non Cluster partner latrines]]))</f>
        <v>0</v>
      </c>
      <c r="CU508" s="585">
        <f>IF(500*(WWWW[[#This Row],['#_male hygiene promoters]]+WWWW[[#This Row],['#_female hygiene promoters]])&gt;WWWW[[#This Row],[Total PoP ]],WWWW[[#This Row],[Total PoP ]],500*(WWWW[[#This Row],['#_male hygiene promoters]]+WWWW[[#This Row],['#_female hygiene promoters]]))</f>
        <v>154</v>
      </c>
      <c r="CV508"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154</v>
      </c>
      <c r="CW508"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8" s="595">
        <f>IF(WWWW[[#This Row],['# People with access to soap]]&gt;WWWW[[#This Row],['# People with access to Sanity Pads]],WWWW[[#This Row],['# People with access to soap]],WWWW[[#This Row],['# People with access to Sanity Pads]])</f>
        <v>154</v>
      </c>
      <c r="CY508" s="595">
        <f>IF(WWWW[[#This Row],['# people reached by regular dedicated hygiene promotion_5]]&gt;WWWW[[#This Row],['# People received regular supply of hygiene items_6]],WWWW[[#This Row],['# people reached by regular dedicated hygiene promotion_5]],WWWW[[#This Row],['# People received regular supply of hygiene items_6]])</f>
        <v>154</v>
      </c>
      <c r="CZ508" s="597">
        <f>IF(WWWW[[#This Row],[HRP3]]/WWWW[[#This Row],[Total PoP ]]&gt;100%,100%,WWWW[[#This Row],[HRP3]]/WWWW[[#This Row],[Total PoP ]])</f>
        <v>1</v>
      </c>
      <c r="DA508" s="596">
        <f>1-WWWW[[#This Row],[Hygiene Coverage%]]</f>
        <v>0</v>
      </c>
      <c r="DB508" s="594">
        <f>WWWW[[#This Row],['# people reached by regular dedicated hygiene promotion_5]]/WWWW[[#This Row],[Total PoP ]]</f>
        <v>1</v>
      </c>
      <c r="DC508" s="594">
        <f>IF(WWWW[[#This Row],['#_households that received standard amount of soap for this quarter]]/WWWW[[#This Row],[Total HH]]&gt;1,1,WWWW[[#This Row],['#_households that received standard amount of soap for this quarter]]/WWWW[[#This Row],[Total HH]])</f>
        <v>1</v>
      </c>
      <c r="DD508" s="594">
        <f>IF(WWWW[[#This Row],['#_households that received standard amount of sanitary pads for this quarter]]/WWWW[[#This Row],[Total HH]]&gt;1,1,WWWW[[#This Row],['#_households that received standard amount of sanitary pads for this quarter]]/WWWW[[#This Row],[Total HH]])</f>
        <v>0</v>
      </c>
      <c r="DE508" s="595">
        <f>WWWW[[#This Row],['#_Constructed/Existing hand washing stations]]-WWWW[[#This Row],['#_Non-Functional_hand_washing_stations]]</f>
        <v>0</v>
      </c>
      <c r="DF508" s="757">
        <f>IF(WWWW[[#This Row],['# Functional hand washing stations during reporting period]]*20&gt;WWWW[[#This Row],[Total HH]],WWWW[[#This Row],[Total HH]],WWWW[[#This Row],['# Functional hand washing stations during reporting period]]*20)</f>
        <v>0</v>
      </c>
      <c r="DG508" s="585">
        <f>IF(WWWW[[#This Row],[Is sufficient soap available for TLS? (Yes/No)]]="yes",WWWW[[#This Row],['#_Constructed/Existing hand washing stations at TLS]],0)</f>
        <v>0</v>
      </c>
      <c r="DH508" s="585">
        <f>IF(WWWW[[#This Row],['# Functional hand washing stations during reporting period]]*100&gt;WWWW[[#This Row],[Total PoP ]],WWWW[[#This Row],[Total PoP ]],WWWW[[#This Row],['# Functional hand washing stations during reporting period]]*100)</f>
        <v>0</v>
      </c>
      <c r="DI508" s="585" t="str">
        <f>IF(OR(WWWW[[#This Row],['#_students at TLS_CFS]]="",WWWW[[#This Row],['#_students at TLS_CFS]]=0),"No","Yes")</f>
        <v>No</v>
      </c>
      <c r="DJ508" s="592" t="str">
        <f>VLOOKUP(WWWW[[#This Row],[Site Name]],SiteDB6[[Site Name]:[CCCM Management]],6,FALSE)</f>
        <v>Yes</v>
      </c>
      <c r="DK508" s="592" t="str">
        <f>VLOOKUP(WWWW[[#This Row],[Site Name]],SiteDB6[[Site Name]:[CCCM Focal Agency]],7,FALSE)</f>
        <v>KMSS-LSO</v>
      </c>
      <c r="DL508" s="592" t="str">
        <f>VLOOKUP(WWWW[[#This Row],[Site Name]],SiteDB6[[Site Name]:[Location Type 1]],9,FALSE)</f>
        <v>Camp</v>
      </c>
      <c r="DM508" s="592" t="str">
        <f>VLOOKUP(WWWW[[#This Row],[Site Name]],SiteDB6[[Site Name]:[Type of Accommodation]],10,FALSE)</f>
        <v>Camp</v>
      </c>
      <c r="DN508" s="592" t="str">
        <f>VLOOKUP(WWWW[[#This Row],[Site Name]],SiteDB6[[Site Name]:[Ethnic or GCA/NGCA]],11,FALSE)</f>
        <v>GCA</v>
      </c>
      <c r="DO508" s="592">
        <f>VLOOKUP(WWWW[[#This Row],[Site Name]],SiteDB6[[Site Name]:[Lat]],12,FALSE)</f>
        <v>0</v>
      </c>
      <c r="DP508" s="592">
        <f>VLOOKUP(WWWW[[#This Row],[Site Name]],SiteDB6[[Site Name]:[Long]],13,FALSE)</f>
        <v>0</v>
      </c>
      <c r="DQ508" s="592" t="str">
        <f>VLOOKUP(WWWW[[#This Row],[Site Name]],SiteDB6[[Site Name]:[Pcode]],3,FALSE)</f>
        <v>MMR015CMP250</v>
      </c>
      <c r="DR508" s="586" t="str">
        <f t="shared" si="18"/>
        <v>Covered</v>
      </c>
      <c r="DS508" s="586"/>
      <c r="DV508" s="579"/>
    </row>
    <row r="509" spans="1:138">
      <c r="A509" s="552" t="s">
        <v>2518</v>
      </c>
      <c r="B509" s="584" t="s">
        <v>305</v>
      </c>
      <c r="C509" s="584" t="s">
        <v>305</v>
      </c>
      <c r="D509" s="584" t="s">
        <v>2967</v>
      </c>
      <c r="E509" s="574" t="s">
        <v>716</v>
      </c>
      <c r="F509" s="584" t="s">
        <v>720</v>
      </c>
      <c r="G509" s="592" t="str">
        <f>VLOOKUP(WWWW[[#This Row],[Site Name]],SiteDB6[[Site Name]:[Location Type]],8,FALSE)</f>
        <v>Camp</v>
      </c>
      <c r="H509" s="584" t="s">
        <v>741</v>
      </c>
      <c r="I509" s="312">
        <v>86</v>
      </c>
      <c r="J509" s="312">
        <v>442</v>
      </c>
      <c r="K509" s="593">
        <v>43070</v>
      </c>
      <c r="L509" s="58">
        <v>43799</v>
      </c>
      <c r="M509" s="312"/>
      <c r="N509" s="312"/>
      <c r="O509" s="312"/>
      <c r="P509" s="312"/>
      <c r="Q509" s="585" t="s">
        <v>43</v>
      </c>
      <c r="R509" s="312">
        <v>8</v>
      </c>
      <c r="S509" s="312">
        <v>1</v>
      </c>
      <c r="T509" s="312">
        <v>0</v>
      </c>
      <c r="U509" s="312">
        <v>0</v>
      </c>
      <c r="V509" s="312">
        <v>0</v>
      </c>
      <c r="W509" s="312">
        <v>0</v>
      </c>
      <c r="X509" s="312">
        <v>0</v>
      </c>
      <c r="Y509" s="312">
        <v>0</v>
      </c>
      <c r="Z509" s="312">
        <v>0</v>
      </c>
      <c r="AA509" s="312">
        <v>21</v>
      </c>
      <c r="AB509" s="312">
        <v>0</v>
      </c>
      <c r="AC509" s="312">
        <v>0</v>
      </c>
      <c r="AD509" s="312">
        <v>0</v>
      </c>
      <c r="AE509" s="312"/>
      <c r="AF509" s="312">
        <v>0</v>
      </c>
      <c r="AG509" s="312">
        <v>1</v>
      </c>
      <c r="AH509" s="312"/>
      <c r="AI509" s="312">
        <v>1</v>
      </c>
      <c r="AJ509" s="312">
        <v>0</v>
      </c>
      <c r="AK509" s="312">
        <v>15</v>
      </c>
      <c r="AL509" s="312">
        <v>0</v>
      </c>
      <c r="AM509" s="312"/>
      <c r="AN509" s="312"/>
      <c r="AO509" s="586"/>
      <c r="AP509" s="312">
        <v>86</v>
      </c>
      <c r="AQ509" s="312">
        <v>0</v>
      </c>
      <c r="AR509" s="594"/>
      <c r="AS509" s="312">
        <v>0</v>
      </c>
      <c r="AT509" s="312">
        <v>0</v>
      </c>
      <c r="AU509" s="312">
        <v>0</v>
      </c>
      <c r="AV509" s="312"/>
      <c r="AW509" s="312"/>
      <c r="AX509" s="592" t="s">
        <v>144</v>
      </c>
      <c r="AY509" s="586" t="s">
        <v>144</v>
      </c>
      <c r="AZ509" s="312">
        <v>0</v>
      </c>
      <c r="BA509" s="312">
        <v>0</v>
      </c>
      <c r="BB509" s="312"/>
      <c r="BC509" s="592"/>
      <c r="BD509" s="312">
        <v>0</v>
      </c>
      <c r="BE509" s="312">
        <v>0</v>
      </c>
      <c r="BF509" s="312">
        <v>0</v>
      </c>
      <c r="BG509" s="312">
        <v>0</v>
      </c>
      <c r="BH509" s="312">
        <v>0</v>
      </c>
      <c r="BI509" s="312">
        <v>0</v>
      </c>
      <c r="BJ509" s="312">
        <v>1</v>
      </c>
      <c r="BK509" s="312">
        <v>86</v>
      </c>
      <c r="BL509" s="312"/>
      <c r="BM509" s="592"/>
      <c r="BN509" s="595"/>
      <c r="BO509" s="594">
        <v>0.5</v>
      </c>
      <c r="BP509" s="592"/>
      <c r="BQ509" s="596">
        <f>IFERROR(WWWW[[#This Row],['#_Water sources treated]]/WWWW[[#This Row],['#_Water sources tested for contamination]],"no test")</f>
        <v>0</v>
      </c>
      <c r="BR509" s="594">
        <f>IFERROR(WWWW[[#This Row],['#_Household received remediation action due to contamination]]/WWWW[[#This Row],['#_Household water samples tested for contamination]],"no test")</f>
        <v>0</v>
      </c>
      <c r="BS509" s="595" t="str">
        <f>IF(AND(WWWW[[#This Row],[% of water sources treated]]="no test",WWWW[[#This Row],[% Household received corrective actions]]="no test"),"No Test","Tested")</f>
        <v>Tested</v>
      </c>
      <c r="BT509" s="595">
        <f>WWWW[[#This Row],['#_Constructed/existing protected hand dug well]]-WWWW[[#This Row],['#_Non-functional protected hand dug well]]</f>
        <v>0</v>
      </c>
      <c r="BU509" s="595">
        <f>(WWWW[[#This Row],['#_Constructed/Existing tube wells/boreholes/handpumps_WASH_agency]]+WWWW[[#This Row],['#_Non-Cluster partner water tube-wells/boreholes/handpumps]])-WWWW[[#This Row],['#_Non-functional tube wells/boreholes/handpumps]]</f>
        <v>0</v>
      </c>
      <c r="BV509" s="595">
        <f>WWWW[[#This Row],['#_Constructed/Existingwater storage tank with gravity fed reticulation system]]-WWWW[[#This Row],['#_Non-functional storage tank gravity fed reticulation system]]</f>
        <v>21</v>
      </c>
      <c r="BW509" s="595">
        <f>WWWW[[#This Row],['#_Water boating or water trucking]]</f>
        <v>0</v>
      </c>
      <c r="BX509" s="595">
        <f>WWWW[[#This Row],['#_Constructed/Existing water distribution system from river or natural spring]]</f>
        <v>0</v>
      </c>
      <c r="BY509"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09"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09" s="594">
        <f>IF(WWWW[[#This Row],[Location Type 1]]="Village",WWWW[[#This Row],[Access to safe drinking water for Village]],WWWW[[#This Row],[Access to safe drinking water for Camp]])</f>
        <v>1</v>
      </c>
      <c r="CB509" s="585">
        <f>WWWW[[#This Row],[%Equitable and continuous access to sufficient quantity of safe drinking water]]*WWWW[[#This Row],[Total PoP ]]</f>
        <v>442</v>
      </c>
      <c r="CC509" s="594">
        <f>IF((WWWW[[#This Row],['#_Constructed/Existing protected/fenced ponds]]*250)/WWWW[[#This Row],[Total PoP ]]&gt;1,1,(WWWW[[#This Row],['#_Constructed/Existing protected/fenced ponds]]*250)/WWWW[[#This Row],[Total PoP ]])</f>
        <v>0</v>
      </c>
      <c r="CD509" s="585">
        <f>WWWW[[#This Row],[% Access to unimproved water points]]*WWWW[[#This Row],[Total PoP ]]</f>
        <v>0</v>
      </c>
      <c r="CE509"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09"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442</v>
      </c>
      <c r="CG509" s="585">
        <f>WWWW[[#This Row],[HRP1]]/500</f>
        <v>0.88400000000000001</v>
      </c>
      <c r="CH509" s="597">
        <f>1-WWWW[[#This Row],[% Equitable and continuous access to sufficient quantity of domestic water]]</f>
        <v>0</v>
      </c>
      <c r="CI509" s="585">
        <f>WWWW[[#This Row],[%equitable and continuous access to sufficient quantity of safe drinking and domestic water''s GAP]]*WWWW[[#This Row],[Total PoP ]]</f>
        <v>0</v>
      </c>
      <c r="CJ509" s="595">
        <f>IF(WWWW[[#This Row],[Total required water points]]-WWWW[[#This Row],['#Water points coverage]]&lt;0,0,WWWW[[#This Row],[Total required water points]]-WWWW[[#This Row],['#Water points coverage]])</f>
        <v>0.11599999999999999</v>
      </c>
      <c r="CK509" s="595">
        <f>ROUND(IF(WWWW[[#This Row],[Total PoP ]]&lt;500,1,WWWW[[#This Row],[Total PoP ]]/500),0)</f>
        <v>1</v>
      </c>
      <c r="CL509" s="595">
        <f>(WWWW[[#This Row],['#_Constructed latrines_by_WASHAgencies]]+WWWW[[#This Row],['#_Non Cluster partner latrines]])-WWWW[[#This Row],['#_Non-functional latrines]]</f>
        <v>86</v>
      </c>
      <c r="CM509"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09"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442</v>
      </c>
      <c r="CO509"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09" s="595">
        <f>IF(WWWW[[#This Row],[Location Type 1]]="Village","NA",IF(WWWW[[#This Row],['#_Constructed/Existing latrines in TLS]]*50&gt;WWWW[[#This Row],['#_students at TLS_CFS]],WWWW[[#This Row],['#_students at TLS_CFS]],(WWWW[[#This Row],['#_Constructed/Existing latrines in TLS]]*50)))</f>
        <v>0</v>
      </c>
      <c r="CQ509" s="595">
        <f>ROUND(IF(WWWW[[#This Row],[Location Type 1]]="camp",WWWW[[#This Row],[Total PoP ]]/20,IF(WWWW[[#This Row],[Location Type 1]]="Temporary Location",WWWW[[#This Row],[Total PoP ]]/50,(WWWW[[#This Row],[Total PoP ]]/6))),0)</f>
        <v>74</v>
      </c>
      <c r="CR509" s="595">
        <f>IF(WWWW[[#This Row],[Total required Latrines]]-(WWWW[[#This Row],['#_Constructed latrines_by_WASHAgencies]]+WWWW[[#This Row],['#_Non Cluster partner latrines]])&lt;0,0,WWWW[[#This Row],[Total required Latrines]]-(WWWW[[#This Row],['#_Constructed latrines_by_WASHAgencies]]+WWWW[[#This Row],['#_Non Cluster partner latrines]]))</f>
        <v>0</v>
      </c>
      <c r="CS509" s="78">
        <f>1-WWWW[[#This Row],[% people access to functioning Latrine]]</f>
        <v>0</v>
      </c>
      <c r="CT509" s="596">
        <f>IF(OR(WWWW[[#This Row],['#_Non-functional latrines]]="",WWWW[[#This Row],['#_Non-functional latrines]]=0),0,WWWW[[#This Row],['#_Non-functional latrines]]/(WWWW[[#This Row],['#_Constructed latrines_by_WASHAgencies]]+WWWW[[#This Row],['#_Non Cluster partner latrines]]))</f>
        <v>0</v>
      </c>
      <c r="CU509" s="585">
        <f>IF(500*(WWWW[[#This Row],['#_male hygiene promoters]]+WWWW[[#This Row],['#_female hygiene promoters]])&gt;WWWW[[#This Row],[Total PoP ]],WWWW[[#This Row],[Total PoP ]],500*(WWWW[[#This Row],['#_male hygiene promoters]]+WWWW[[#This Row],['#_female hygiene promoters]]))</f>
        <v>442</v>
      </c>
      <c r="CV509"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442</v>
      </c>
      <c r="CW509"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09" s="595">
        <f>IF(WWWW[[#This Row],['# People with access to soap]]&gt;WWWW[[#This Row],['# People with access to Sanity Pads]],WWWW[[#This Row],['# People with access to soap]],WWWW[[#This Row],['# People with access to Sanity Pads]])</f>
        <v>442</v>
      </c>
      <c r="CY509" s="595">
        <f>IF(WWWW[[#This Row],['# people reached by regular dedicated hygiene promotion_5]]&gt;WWWW[[#This Row],['# People received regular supply of hygiene items_6]],WWWW[[#This Row],['# people reached by regular dedicated hygiene promotion_5]],WWWW[[#This Row],['# People received regular supply of hygiene items_6]])</f>
        <v>442</v>
      </c>
      <c r="CZ509" s="597">
        <f>IF(WWWW[[#This Row],[HRP3]]/WWWW[[#This Row],[Total PoP ]]&gt;100%,100%,WWWW[[#This Row],[HRP3]]/WWWW[[#This Row],[Total PoP ]])</f>
        <v>1</v>
      </c>
      <c r="DA509" s="596">
        <f>1-WWWW[[#This Row],[Hygiene Coverage%]]</f>
        <v>0</v>
      </c>
      <c r="DB509" s="594">
        <f>WWWW[[#This Row],['# people reached by regular dedicated hygiene promotion_5]]/WWWW[[#This Row],[Total PoP ]]</f>
        <v>1</v>
      </c>
      <c r="DC509" s="594">
        <f>IF(WWWW[[#This Row],['#_households that received standard amount of soap for this quarter]]/WWWW[[#This Row],[Total HH]]&gt;1,1,WWWW[[#This Row],['#_households that received standard amount of soap for this quarter]]/WWWW[[#This Row],[Total HH]])</f>
        <v>1</v>
      </c>
      <c r="DD509" s="594">
        <f>IF(WWWW[[#This Row],['#_households that received standard amount of sanitary pads for this quarter]]/WWWW[[#This Row],[Total HH]]&gt;1,1,WWWW[[#This Row],['#_households that received standard amount of sanitary pads for this quarter]]/WWWW[[#This Row],[Total HH]])</f>
        <v>0</v>
      </c>
      <c r="DE509" s="595">
        <f>WWWW[[#This Row],['#_Constructed/Existing hand washing stations]]-WWWW[[#This Row],['#_Non-Functional_hand_washing_stations]]</f>
        <v>0</v>
      </c>
      <c r="DF509" s="757">
        <f>IF(WWWW[[#This Row],['# Functional hand washing stations during reporting period]]*20&gt;WWWW[[#This Row],[Total HH]],WWWW[[#This Row],[Total HH]],WWWW[[#This Row],['# Functional hand washing stations during reporting period]]*20)</f>
        <v>0</v>
      </c>
      <c r="DG509" s="585">
        <f>IF(WWWW[[#This Row],[Is sufficient soap available for TLS? (Yes/No)]]="yes",WWWW[[#This Row],['#_Constructed/Existing hand washing stations at TLS]],0)</f>
        <v>0</v>
      </c>
      <c r="DH509" s="585">
        <f>IF(WWWW[[#This Row],['# Functional hand washing stations during reporting period]]*100&gt;WWWW[[#This Row],[Total PoP ]],WWWW[[#This Row],[Total PoP ]],WWWW[[#This Row],['# Functional hand washing stations during reporting period]]*100)</f>
        <v>0</v>
      </c>
      <c r="DI509" s="585" t="str">
        <f>IF(OR(WWWW[[#This Row],['#_students at TLS_CFS]]="",WWWW[[#This Row],['#_students at TLS_CFS]]=0),"No","Yes")</f>
        <v>No</v>
      </c>
      <c r="DJ509" s="592" t="str">
        <f>VLOOKUP(WWWW[[#This Row],[Site Name]],SiteDB6[[Site Name]:[CCCM Management]],6,FALSE)</f>
        <v>Yes</v>
      </c>
      <c r="DK509" s="592" t="str">
        <f>VLOOKUP(WWWW[[#This Row],[Site Name]],SiteDB6[[Site Name]:[CCCM Focal Agency]],7,FALSE)</f>
        <v>KBC</v>
      </c>
      <c r="DL509" s="592" t="str">
        <f>VLOOKUP(WWWW[[#This Row],[Site Name]],SiteDB6[[Site Name]:[Location Type 1]],9,FALSE)</f>
        <v>Village Type Camp</v>
      </c>
      <c r="DM509" s="592" t="str">
        <f>VLOOKUP(WWWW[[#This Row],[Site Name]],SiteDB6[[Site Name]:[Type of Accommodation]],10,FALSE)</f>
        <v>Closed Camp</v>
      </c>
      <c r="DN509" s="592" t="str">
        <f>VLOOKUP(WWWW[[#This Row],[Site Name]],SiteDB6[[Site Name]:[Ethnic or GCA/NGCA]],11,FALSE)</f>
        <v>GCA</v>
      </c>
      <c r="DO509" s="592">
        <f>VLOOKUP(WWWW[[#This Row],[Site Name]],SiteDB6[[Site Name]:[Lat]],12,FALSE)</f>
        <v>23.4008</v>
      </c>
      <c r="DP509" s="592">
        <f>VLOOKUP(WWWW[[#This Row],[Site Name]],SiteDB6[[Site Name]:[Long]],13,FALSE)</f>
        <v>97.848529999999997</v>
      </c>
      <c r="DQ509" s="592" t="str">
        <f>VLOOKUP(WWWW[[#This Row],[Site Name]],SiteDB6[[Site Name]:[Pcode]],3,FALSE)</f>
        <v>MMR015CMP015</v>
      </c>
      <c r="DR509" s="586" t="str">
        <f t="shared" si="18"/>
        <v>Covered</v>
      </c>
      <c r="DS509" s="586"/>
    </row>
    <row r="510" spans="1:138">
      <c r="A510" s="552" t="s">
        <v>2518</v>
      </c>
      <c r="B510" s="555" t="s">
        <v>200</v>
      </c>
      <c r="C510" s="555" t="s">
        <v>200</v>
      </c>
      <c r="D510" s="555" t="s">
        <v>2963</v>
      </c>
      <c r="E510" s="574" t="s">
        <v>716</v>
      </c>
      <c r="F510" s="555" t="s">
        <v>720</v>
      </c>
      <c r="G510" s="574" t="str">
        <f>VLOOKUP(WWWW[[#This Row],[Site Name]],SiteDB6[[Site Name]:[Location Type]],8,FALSE)</f>
        <v>Camp</v>
      </c>
      <c r="H510" s="555" t="s">
        <v>742</v>
      </c>
      <c r="I510" s="557">
        <v>61</v>
      </c>
      <c r="J510" s="557">
        <v>292</v>
      </c>
      <c r="K510" s="564" t="s">
        <v>2964</v>
      </c>
      <c r="L510" s="565" t="s">
        <v>2965</v>
      </c>
      <c r="M510" s="557">
        <v>126</v>
      </c>
      <c r="N510" s="557"/>
      <c r="O510" s="557"/>
      <c r="P510" s="557"/>
      <c r="Q510" s="556" t="s">
        <v>43</v>
      </c>
      <c r="R510" s="557"/>
      <c r="S510" s="557"/>
      <c r="T510" s="557"/>
      <c r="U510" s="557"/>
      <c r="V510" s="557"/>
      <c r="W510" s="557">
        <v>1</v>
      </c>
      <c r="X510" s="557"/>
      <c r="Y510" s="557"/>
      <c r="Z510" s="557"/>
      <c r="AA510" s="557"/>
      <c r="AB510" s="557"/>
      <c r="AC510" s="557"/>
      <c r="AD510" s="557"/>
      <c r="AE510" s="557"/>
      <c r="AF510" s="557"/>
      <c r="AG510" s="557"/>
      <c r="AH510" s="557"/>
      <c r="AI510" s="557"/>
      <c r="AJ510" s="557"/>
      <c r="AK510" s="557"/>
      <c r="AL510" s="557"/>
      <c r="AM510" s="557"/>
      <c r="AN510" s="557"/>
      <c r="AO510" s="563"/>
      <c r="AP510" s="557">
        <v>12</v>
      </c>
      <c r="AQ510" s="557"/>
      <c r="AR510" s="559"/>
      <c r="AS510" s="557"/>
      <c r="AT510" s="557"/>
      <c r="AU510" s="557"/>
      <c r="AV510" s="557"/>
      <c r="AW510" s="557"/>
      <c r="AX510" s="554" t="s">
        <v>43</v>
      </c>
      <c r="AY510" s="563" t="s">
        <v>145</v>
      </c>
      <c r="AZ510" s="557"/>
      <c r="BA510" s="557"/>
      <c r="BB510" s="557"/>
      <c r="BC510" s="554"/>
      <c r="BD510" s="557"/>
      <c r="BE510" s="557"/>
      <c r="BF510" s="557"/>
      <c r="BG510" s="557">
        <v>1</v>
      </c>
      <c r="BH510" s="557"/>
      <c r="BI510" s="557"/>
      <c r="BJ510" s="557">
        <v>1</v>
      </c>
      <c r="BK510" s="557">
        <v>0</v>
      </c>
      <c r="BL510" s="557">
        <v>0</v>
      </c>
      <c r="BM510" s="554"/>
      <c r="BN510" s="558"/>
      <c r="BO510" s="559"/>
      <c r="BP510" s="554"/>
      <c r="BQ510" s="560" t="str">
        <f>IFERROR(WWWW[[#This Row],['#_Water sources treated]]/WWWW[[#This Row],['#_Water sources tested for contamination]],"no test")</f>
        <v>no test</v>
      </c>
      <c r="BR510" s="559" t="str">
        <f>IFERROR(WWWW[[#This Row],['#_Household received remediation action due to contamination]]/WWWW[[#This Row],['#_Household water samples tested for contamination]],"no test")</f>
        <v>no test</v>
      </c>
      <c r="BS510" s="558" t="str">
        <f>IF(AND(WWWW[[#This Row],[% of water sources treated]]="no test",WWWW[[#This Row],[% Household received corrective actions]]="no test"),"No Test","Tested")</f>
        <v>No Test</v>
      </c>
      <c r="BT510" s="558">
        <f>WWWW[[#This Row],['#_Constructed/existing protected hand dug well]]-WWWW[[#This Row],['#_Non-functional protected hand dug well]]</f>
        <v>0</v>
      </c>
      <c r="BU510" s="558">
        <f>(WWWW[[#This Row],['#_Constructed/Existing tube wells/boreholes/handpumps_WASH_agency]]+WWWW[[#This Row],['#_Non-Cluster partner water tube-wells/boreholes/handpumps]])-WWWW[[#This Row],['#_Non-functional tube wells/boreholes/handpumps]]</f>
        <v>1</v>
      </c>
      <c r="BV510" s="558">
        <f>WWWW[[#This Row],['#_Constructed/Existingwater storage tank with gravity fed reticulation system]]-WWWW[[#This Row],['#_Non-functional storage tank gravity fed reticulation system]]</f>
        <v>0</v>
      </c>
      <c r="BW510" s="558">
        <f>WWWW[[#This Row],['#_Water boating or water trucking]]</f>
        <v>0</v>
      </c>
      <c r="BX510" s="558">
        <f>WWWW[[#This Row],['#_Constructed/Existing water distribution system from river or natural spring]]</f>
        <v>0</v>
      </c>
      <c r="BY51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0.85616438356164382</v>
      </c>
      <c r="CA510" s="559">
        <f>IF(WWWW[[#This Row],[Location Type 1]]="Village",WWWW[[#This Row],[Access to safe drinking water for Village]],WWWW[[#This Row],[Access to safe drinking water for Camp]])</f>
        <v>1</v>
      </c>
      <c r="CB510" s="556">
        <f>WWWW[[#This Row],[%Equitable and continuous access to sufficient quantity of safe drinking water]]*WWWW[[#This Row],[Total PoP ]]</f>
        <v>292</v>
      </c>
      <c r="CC510" s="559">
        <f>IF((WWWW[[#This Row],['#_Constructed/Existing protected/fenced ponds]]*250)/WWWW[[#This Row],[Total PoP ]]&gt;1,1,(WWWW[[#This Row],['#_Constructed/Existing protected/fenced ponds]]*250)/WWWW[[#This Row],[Total PoP ]])</f>
        <v>0</v>
      </c>
      <c r="CD510" s="556">
        <f>WWWW[[#This Row],[% Access to unimproved water points]]*WWWW[[#This Row],[Total PoP ]]</f>
        <v>0</v>
      </c>
      <c r="CE51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G510" s="556">
        <f>WWWW[[#This Row],[HRP1]]/500</f>
        <v>0.58399999999999996</v>
      </c>
      <c r="CH510" s="561">
        <f>1-WWWW[[#This Row],[% Equitable and continuous access to sufficient quantity of domestic water]]</f>
        <v>0</v>
      </c>
      <c r="CI510" s="556">
        <f>WWWW[[#This Row],[%equitable and continuous access to sufficient quantity of safe drinking and domestic water''s GAP]]*WWWW[[#This Row],[Total PoP ]]</f>
        <v>0</v>
      </c>
      <c r="CJ510" s="558">
        <f>IF(WWWW[[#This Row],[Total required water points]]-WWWW[[#This Row],['#Water points coverage]]&lt;0,0,WWWW[[#This Row],[Total required water points]]-WWWW[[#This Row],['#Water points coverage]])</f>
        <v>0.41600000000000004</v>
      </c>
      <c r="CK510" s="558">
        <f>ROUND(IF(WWWW[[#This Row],[Total PoP ]]&lt;500,1,WWWW[[#This Row],[Total PoP ]]/500),0)</f>
        <v>1</v>
      </c>
      <c r="CL510" s="558">
        <f>(WWWW[[#This Row],['#_Constructed latrines_by_WASHAgencies]]+WWWW[[#This Row],['#_Non Cluster partner latrines]])-WWWW[[#This Row],['#_Non-functional latrines]]</f>
        <v>12</v>
      </c>
      <c r="CM51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0.82191780821917804</v>
      </c>
      <c r="CN51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51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0" s="558">
        <f>IF(WWWW[[#This Row],[Location Type 1]]="Village","NA",IF(WWWW[[#This Row],['#_Constructed/Existing latrines in TLS]]*50&gt;WWWW[[#This Row],['#_students at TLS_CFS]],WWWW[[#This Row],['#_students at TLS_CFS]],(WWWW[[#This Row],['#_Constructed/Existing latrines in TLS]]*50)))</f>
        <v>0</v>
      </c>
      <c r="CQ510" s="558">
        <f>ROUND(IF(WWWW[[#This Row],[Location Type 1]]="camp",WWWW[[#This Row],[Total PoP ]]/20,IF(WWWW[[#This Row],[Location Type 1]]="Temporary Location",WWWW[[#This Row],[Total PoP ]]/50,(WWWW[[#This Row],[Total PoP ]]/6))),0)</f>
        <v>15</v>
      </c>
      <c r="CR510" s="558">
        <f>IF(WWWW[[#This Row],[Total required Latrines]]-(WWWW[[#This Row],['#_Constructed latrines_by_WASHAgencies]]+WWWW[[#This Row],['#_Non Cluster partner latrines]])&lt;0,0,WWWW[[#This Row],[Total required Latrines]]-(WWWW[[#This Row],['#_Constructed latrines_by_WASHAgencies]]+WWWW[[#This Row],['#_Non Cluster partner latrines]]))</f>
        <v>3</v>
      </c>
      <c r="CS510" s="78">
        <f>1-WWWW[[#This Row],[% people access to functioning Latrine]]</f>
        <v>0.17808219178082196</v>
      </c>
      <c r="CT510" s="560">
        <f>IF(OR(WWWW[[#This Row],['#_Non-functional latrines]]="",WWWW[[#This Row],['#_Non-functional latrines]]=0),0,WWWW[[#This Row],['#_Non-functional latrines]]/(WWWW[[#This Row],['#_Constructed latrines_by_WASHAgencies]]+WWWW[[#This Row],['#_Non Cluster partner latrines]]))</f>
        <v>0</v>
      </c>
      <c r="CU510" s="556">
        <f>IF(500*(WWWW[[#This Row],['#_male hygiene promoters]]+WWWW[[#This Row],['#_female hygiene promoters]])&gt;WWWW[[#This Row],[Total PoP ]],WWWW[[#This Row],[Total PoP ]],500*(WWWW[[#This Row],['#_male hygiene promoters]]+WWWW[[#This Row],['#_female hygiene promoters]]))</f>
        <v>292</v>
      </c>
      <c r="CV51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0" s="558">
        <f>IF(WWWW[[#This Row],['# People with access to soap]]&gt;WWWW[[#This Row],['# People with access to Sanity Pads]],WWWW[[#This Row],['# People with access to soap]],WWWW[[#This Row],['# People with access to Sanity Pads]])</f>
        <v>0</v>
      </c>
      <c r="CY510" s="558">
        <f>IF(WWWW[[#This Row],['# people reached by regular dedicated hygiene promotion_5]]&gt;WWWW[[#This Row],['# People received regular supply of hygiene items_6]],WWWW[[#This Row],['# people reached by regular dedicated hygiene promotion_5]],WWWW[[#This Row],['# People received regular supply of hygiene items_6]])</f>
        <v>292</v>
      </c>
      <c r="CZ510" s="561">
        <f>IF(WWWW[[#This Row],[HRP3]]/WWWW[[#This Row],[Total PoP ]]&gt;100%,100%,WWWW[[#This Row],[HRP3]]/WWWW[[#This Row],[Total PoP ]])</f>
        <v>1</v>
      </c>
      <c r="DA510" s="560">
        <f>1-WWWW[[#This Row],[Hygiene Coverage%]]</f>
        <v>0</v>
      </c>
      <c r="DB510" s="559">
        <f>WWWW[[#This Row],['# people reached by regular dedicated hygiene promotion_5]]/WWWW[[#This Row],[Total PoP ]]</f>
        <v>1</v>
      </c>
      <c r="DC510" s="559">
        <f>IF(WWWW[[#This Row],['#_households that received standard amount of soap for this quarter]]/WWWW[[#This Row],[Total HH]]&gt;1,1,WWWW[[#This Row],['#_households that received standard amount of soap for this quarter]]/WWWW[[#This Row],[Total HH]])</f>
        <v>0</v>
      </c>
      <c r="DD510" s="559">
        <f>IF(WWWW[[#This Row],['#_households that received standard amount of sanitary pads for this quarter]]/WWWW[[#This Row],[Total HH]]&gt;1,1,WWWW[[#This Row],['#_households that received standard amount of sanitary pads for this quarter]]/WWWW[[#This Row],[Total HH]])</f>
        <v>0</v>
      </c>
      <c r="DE510" s="558">
        <f>WWWW[[#This Row],['#_Constructed/Existing hand washing stations]]-WWWW[[#This Row],['#_Non-Functional_hand_washing_stations]]</f>
        <v>0</v>
      </c>
      <c r="DF510" s="757">
        <f>IF(WWWW[[#This Row],['# Functional hand washing stations during reporting period]]*20&gt;WWWW[[#This Row],[Total HH]],WWWW[[#This Row],[Total HH]],WWWW[[#This Row],['# Functional hand washing stations during reporting period]]*20)</f>
        <v>0</v>
      </c>
      <c r="DG510" s="556">
        <f>IF(WWWW[[#This Row],[Is sufficient soap available for TLS? (Yes/No)]]="yes",WWWW[[#This Row],['#_Constructed/Existing hand washing stations at TLS]],0)</f>
        <v>0</v>
      </c>
      <c r="DH510" s="556">
        <f>IF(WWWW[[#This Row],['# Functional hand washing stations during reporting period]]*100&gt;WWWW[[#This Row],[Total PoP ]],WWWW[[#This Row],[Total PoP ]],WWWW[[#This Row],['# Functional hand washing stations during reporting period]]*100)</f>
        <v>0</v>
      </c>
      <c r="DI510" s="556" t="str">
        <f>IF(OR(WWWW[[#This Row],['#_students at TLS_CFS]]="",WWWW[[#This Row],['#_students at TLS_CFS]]=0),"No","Yes")</f>
        <v>Yes</v>
      </c>
      <c r="DJ510" s="554" t="str">
        <f>VLOOKUP(WWWW[[#This Row],[Site Name]],SiteDB6[[Site Name]:[CCCM Management]],6,FALSE)</f>
        <v>Yes</v>
      </c>
      <c r="DK510" s="554" t="str">
        <f>VLOOKUP(WWWW[[#This Row],[Site Name]],SiteDB6[[Site Name]:[CCCM Focal Agency]],7,FALSE)</f>
        <v>KBC-NSS</v>
      </c>
      <c r="DL510" s="554" t="str">
        <f>VLOOKUP(WWWW[[#This Row],[Site Name]],SiteDB6[[Site Name]:[Location Type 1]],9,FALSE)</f>
        <v>Camp</v>
      </c>
      <c r="DM510" s="554" t="str">
        <f>VLOOKUP(WWWW[[#This Row],[Site Name]],SiteDB6[[Site Name]:[Type of Accommodation]],10,FALSE)</f>
        <v>Camp</v>
      </c>
      <c r="DN510" s="554" t="str">
        <f>VLOOKUP(WWWW[[#This Row],[Site Name]],SiteDB6[[Site Name]:[Ethnic or GCA/NGCA]],11,FALSE)</f>
        <v>GCA</v>
      </c>
      <c r="DO510" s="554">
        <f>VLOOKUP(WWWW[[#This Row],[Site Name]],SiteDB6[[Site Name]:[Lat]],12,FALSE)</f>
        <v>23.450914000000001</v>
      </c>
      <c r="DP510" s="554">
        <f>VLOOKUP(WWWW[[#This Row],[Site Name]],SiteDB6[[Site Name]:[Long]],13,FALSE)</f>
        <v>97.926813999999993</v>
      </c>
      <c r="DQ510" s="554" t="str">
        <f>VLOOKUP(WWWW[[#This Row],[Site Name]],SiteDB6[[Site Name]:[Pcode]],3,FALSE)</f>
        <v>MMR015CMP016</v>
      </c>
      <c r="DR510" s="563" t="str">
        <f t="shared" si="18"/>
        <v>Covered</v>
      </c>
      <c r="DS510" s="563"/>
      <c r="DV510" s="579"/>
    </row>
    <row r="511" spans="1:138">
      <c r="A511" s="552" t="s">
        <v>2518</v>
      </c>
      <c r="B511" s="555" t="s">
        <v>1957</v>
      </c>
      <c r="C511" s="584" t="s">
        <v>1957</v>
      </c>
      <c r="D511" s="584" t="s">
        <v>2970</v>
      </c>
      <c r="E511" s="574" t="s">
        <v>716</v>
      </c>
      <c r="F511" s="555" t="s">
        <v>720</v>
      </c>
      <c r="G511" s="574" t="str">
        <f>VLOOKUP(WWWW[[#This Row],[Site Name]],SiteDB6[[Site Name]:[Location Type]],8,FALSE)</f>
        <v>Camp</v>
      </c>
      <c r="H511" s="555" t="s">
        <v>747</v>
      </c>
      <c r="I511" s="557">
        <v>46</v>
      </c>
      <c r="J511" s="557">
        <v>156</v>
      </c>
      <c r="K511" s="593" t="s">
        <v>2971</v>
      </c>
      <c r="L511" s="58" t="s">
        <v>2972</v>
      </c>
      <c r="M511" s="557">
        <v>64</v>
      </c>
      <c r="N511" s="557"/>
      <c r="O511" s="557"/>
      <c r="P511" s="557"/>
      <c r="Q511" s="556" t="s">
        <v>43</v>
      </c>
      <c r="R511" s="312">
        <v>3</v>
      </c>
      <c r="S511" s="312">
        <v>6</v>
      </c>
      <c r="T511" s="312">
        <v>1</v>
      </c>
      <c r="U511" s="557"/>
      <c r="V511" s="557"/>
      <c r="W511" s="557">
        <v>1</v>
      </c>
      <c r="X511" s="557"/>
      <c r="Y511" s="557"/>
      <c r="Z511" s="312">
        <v>1</v>
      </c>
      <c r="AA511" s="312">
        <v>7</v>
      </c>
      <c r="AB511" s="557"/>
      <c r="AC511" s="557"/>
      <c r="AD511" s="557"/>
      <c r="AE511" s="557"/>
      <c r="AF511" s="557"/>
      <c r="AG511" s="312">
        <v>1</v>
      </c>
      <c r="AH511" s="557"/>
      <c r="AI511" s="312">
        <v>1</v>
      </c>
      <c r="AJ511" s="557"/>
      <c r="AK511" s="312">
        <v>15</v>
      </c>
      <c r="AL511" s="557"/>
      <c r="AM511" s="557"/>
      <c r="AN511" s="557"/>
      <c r="AO511" s="563"/>
      <c r="AP511" s="557">
        <v>12</v>
      </c>
      <c r="AQ511" s="557"/>
      <c r="AR511" s="559"/>
      <c r="AS511" s="557"/>
      <c r="AT511" s="557"/>
      <c r="AU511" s="557"/>
      <c r="AV511" s="557"/>
      <c r="AW511" s="557"/>
      <c r="AX511" s="554" t="s">
        <v>43</v>
      </c>
      <c r="AY511" s="563" t="s">
        <v>145</v>
      </c>
      <c r="AZ511" s="557"/>
      <c r="BA511" s="557"/>
      <c r="BB511" s="557"/>
      <c r="BC511" s="554"/>
      <c r="BD511" s="312">
        <v>6</v>
      </c>
      <c r="BE511" s="557"/>
      <c r="BF511" s="557"/>
      <c r="BG511" s="557">
        <v>2</v>
      </c>
      <c r="BH511" s="557"/>
      <c r="BI511" s="557"/>
      <c r="BJ511" s="312">
        <v>1</v>
      </c>
      <c r="BK511" s="312">
        <v>46</v>
      </c>
      <c r="BL511" s="557">
        <v>0</v>
      </c>
      <c r="BM511" s="554"/>
      <c r="BN511" s="558"/>
      <c r="BO511" s="594">
        <v>0.5</v>
      </c>
      <c r="BP511" s="554"/>
      <c r="BQ511" s="560">
        <f>IFERROR(WWWW[[#This Row],['#_Water sources treated]]/WWWW[[#This Row],['#_Water sources tested for contamination]],"no test")</f>
        <v>0</v>
      </c>
      <c r="BR511" s="559">
        <f>IFERROR(WWWW[[#This Row],['#_Household received remediation action due to contamination]]/WWWW[[#This Row],['#_Household water samples tested for contamination]],"no test")</f>
        <v>0</v>
      </c>
      <c r="BS511" s="558" t="str">
        <f>IF(AND(WWWW[[#This Row],[% of water sources treated]]="no test",WWWW[[#This Row],[% Household received corrective actions]]="no test"),"No Test","Tested")</f>
        <v>Tested</v>
      </c>
      <c r="BT511" s="558">
        <f>WWWW[[#This Row],['#_Constructed/existing protected hand dug well]]-WWWW[[#This Row],['#_Non-functional protected hand dug well]]</f>
        <v>1</v>
      </c>
      <c r="BU511" s="558">
        <f>(WWWW[[#This Row],['#_Constructed/Existing tube wells/boreholes/handpumps_WASH_agency]]+WWWW[[#This Row],['#_Non-Cluster partner water tube-wells/boreholes/handpumps]])-WWWW[[#This Row],['#_Non-functional tube wells/boreholes/handpumps]]</f>
        <v>1</v>
      </c>
      <c r="BV511" s="558">
        <f>WWWW[[#This Row],['#_Constructed/Existingwater storage tank with gravity fed reticulation system]]-WWWW[[#This Row],['#_Non-functional storage tank gravity fed reticulation system]]</f>
        <v>7</v>
      </c>
      <c r="BW511" s="558">
        <f>WWWW[[#This Row],['#_Water boating or water trucking]]</f>
        <v>0</v>
      </c>
      <c r="BX511" s="558">
        <f>WWWW[[#This Row],['#_Constructed/Existing water distribution system from river or natural spring]]</f>
        <v>0</v>
      </c>
      <c r="BY51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11" s="559">
        <f>IF(WWWW[[#This Row],[Location Type 1]]="Village",WWWW[[#This Row],[Access to safe drinking water for Village]],WWWW[[#This Row],[Access to safe drinking water for Camp]])</f>
        <v>1</v>
      </c>
      <c r="CB511" s="556">
        <f>WWWW[[#This Row],[%Equitable and continuous access to sufficient quantity of safe drinking water]]*WWWW[[#This Row],[Total PoP ]]</f>
        <v>156</v>
      </c>
      <c r="CC511" s="559">
        <f>IF((WWWW[[#This Row],['#_Constructed/Existing protected/fenced ponds]]*250)/WWWW[[#This Row],[Total PoP ]]&gt;1,1,(WWWW[[#This Row],['#_Constructed/Existing protected/fenced ponds]]*250)/WWWW[[#This Row],[Total PoP ]])</f>
        <v>0</v>
      </c>
      <c r="CD511" s="556">
        <f>WWWW[[#This Row],[% Access to unimproved water points]]*WWWW[[#This Row],[Total PoP ]]</f>
        <v>0</v>
      </c>
      <c r="CE51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G511" s="556">
        <f>WWWW[[#This Row],[HRP1]]/500</f>
        <v>0.312</v>
      </c>
      <c r="CH511" s="561">
        <f>1-WWWW[[#This Row],[% Equitable and continuous access to sufficient quantity of domestic water]]</f>
        <v>0</v>
      </c>
      <c r="CI511" s="556">
        <f>WWWW[[#This Row],[%equitable and continuous access to sufficient quantity of safe drinking and domestic water''s GAP]]*WWWW[[#This Row],[Total PoP ]]</f>
        <v>0</v>
      </c>
      <c r="CJ511" s="558">
        <f>IF(WWWW[[#This Row],[Total required water points]]-WWWW[[#This Row],['#Water points coverage]]&lt;0,0,WWWW[[#This Row],[Total required water points]]-WWWW[[#This Row],['#Water points coverage]])</f>
        <v>0.68799999999999994</v>
      </c>
      <c r="CK511" s="558">
        <f>ROUND(IF(WWWW[[#This Row],[Total PoP ]]&lt;500,1,WWWW[[#This Row],[Total PoP ]]/500),0)</f>
        <v>1</v>
      </c>
      <c r="CL511" s="558">
        <f>(WWWW[[#This Row],['#_Constructed latrines_by_WASHAgencies]]+WWWW[[#This Row],['#_Non Cluster partner latrines]])-WWWW[[#This Row],['#_Non-functional latrines]]</f>
        <v>12</v>
      </c>
      <c r="CM51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1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156</v>
      </c>
      <c r="CO511"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1" s="558">
        <f>IF(WWWW[[#This Row],[Location Type 1]]="Village","NA",IF(WWWW[[#This Row],['#_Constructed/Existing latrines in TLS]]*50&gt;WWWW[[#This Row],['#_students at TLS_CFS]],WWWW[[#This Row],['#_students at TLS_CFS]],(WWWW[[#This Row],['#_Constructed/Existing latrines in TLS]]*50)))</f>
        <v>0</v>
      </c>
      <c r="CQ511" s="558">
        <f>ROUND(IF(WWWW[[#This Row],[Location Type 1]]="camp",WWWW[[#This Row],[Total PoP ]]/20,IF(WWWW[[#This Row],[Location Type 1]]="Temporary Location",WWWW[[#This Row],[Total PoP ]]/50,(WWWW[[#This Row],[Total PoP ]]/6))),0)</f>
        <v>8</v>
      </c>
      <c r="CR511" s="558">
        <f>IF(WWWW[[#This Row],[Total required Latrines]]-(WWWW[[#This Row],['#_Constructed latrines_by_WASHAgencies]]+WWWW[[#This Row],['#_Non Cluster partner latrines]])&lt;0,0,WWWW[[#This Row],[Total required Latrines]]-(WWWW[[#This Row],['#_Constructed latrines_by_WASHAgencies]]+WWWW[[#This Row],['#_Non Cluster partner latrines]]))</f>
        <v>0</v>
      </c>
      <c r="CS511" s="78">
        <f>1-WWWW[[#This Row],[% people access to functioning Latrine]]</f>
        <v>0</v>
      </c>
      <c r="CT511" s="560">
        <f>IF(OR(WWWW[[#This Row],['#_Non-functional latrines]]="",WWWW[[#This Row],['#_Non-functional latrines]]=0),0,WWWW[[#This Row],['#_Non-functional latrines]]/(WWWW[[#This Row],['#_Constructed latrines_by_WASHAgencies]]+WWWW[[#This Row],['#_Non Cluster partner latrines]]))</f>
        <v>0</v>
      </c>
      <c r="CU511" s="556">
        <f>IF(500*(WWWW[[#This Row],['#_male hygiene promoters]]+WWWW[[#This Row],['#_female hygiene promoters]])&gt;WWWW[[#This Row],[Total PoP ]],WWWW[[#This Row],[Total PoP ]],500*(WWWW[[#This Row],['#_male hygiene promoters]]+WWWW[[#This Row],['#_female hygiene promoters]]))</f>
        <v>156</v>
      </c>
      <c r="CV51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156</v>
      </c>
      <c r="CW51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1" s="558">
        <f>IF(WWWW[[#This Row],['# People with access to soap]]&gt;WWWW[[#This Row],['# People with access to Sanity Pads]],WWWW[[#This Row],['# People with access to soap]],WWWW[[#This Row],['# People with access to Sanity Pads]])</f>
        <v>156</v>
      </c>
      <c r="CY511" s="558">
        <f>IF(WWWW[[#This Row],['# people reached by regular dedicated hygiene promotion_5]]&gt;WWWW[[#This Row],['# People received regular supply of hygiene items_6]],WWWW[[#This Row],['# people reached by regular dedicated hygiene promotion_5]],WWWW[[#This Row],['# People received regular supply of hygiene items_6]])</f>
        <v>156</v>
      </c>
      <c r="CZ511" s="561">
        <f>IF(WWWW[[#This Row],[HRP3]]/WWWW[[#This Row],[Total PoP ]]&gt;100%,100%,WWWW[[#This Row],[HRP3]]/WWWW[[#This Row],[Total PoP ]])</f>
        <v>1</v>
      </c>
      <c r="DA511" s="560">
        <f>1-WWWW[[#This Row],[Hygiene Coverage%]]</f>
        <v>0</v>
      </c>
      <c r="DB511" s="559">
        <f>WWWW[[#This Row],['# people reached by regular dedicated hygiene promotion_5]]/WWWW[[#This Row],[Total PoP ]]</f>
        <v>1</v>
      </c>
      <c r="DC511" s="559">
        <f>IF(WWWW[[#This Row],['#_households that received standard amount of soap for this quarter]]/WWWW[[#This Row],[Total HH]]&gt;1,1,WWWW[[#This Row],['#_households that received standard amount of soap for this quarter]]/WWWW[[#This Row],[Total HH]])</f>
        <v>1</v>
      </c>
      <c r="DD511" s="559">
        <f>IF(WWWW[[#This Row],['#_households that received standard amount of sanitary pads for this quarter]]/WWWW[[#This Row],[Total HH]]&gt;1,1,WWWW[[#This Row],['#_households that received standard amount of sanitary pads for this quarter]]/WWWW[[#This Row],[Total HH]])</f>
        <v>0</v>
      </c>
      <c r="DE511" s="558">
        <f>WWWW[[#This Row],['#_Constructed/Existing hand washing stations]]-WWWW[[#This Row],['#_Non-Functional_hand_washing_stations]]</f>
        <v>6</v>
      </c>
      <c r="DF511" s="757">
        <f>IF(WWWW[[#This Row],['# Functional hand washing stations during reporting period]]*20&gt;WWWW[[#This Row],[Total HH]],WWWW[[#This Row],[Total HH]],WWWW[[#This Row],['# Functional hand washing stations during reporting period]]*20)</f>
        <v>46</v>
      </c>
      <c r="DG511" s="556">
        <f>IF(WWWW[[#This Row],[Is sufficient soap available for TLS? (Yes/No)]]="yes",WWWW[[#This Row],['#_Constructed/Existing hand washing stations at TLS]],0)</f>
        <v>0</v>
      </c>
      <c r="DH511" s="556">
        <f>IF(WWWW[[#This Row],['# Functional hand washing stations during reporting period]]*100&gt;WWWW[[#This Row],[Total PoP ]],WWWW[[#This Row],[Total PoP ]],WWWW[[#This Row],['# Functional hand washing stations during reporting period]]*100)</f>
        <v>156</v>
      </c>
      <c r="DI511" s="556" t="str">
        <f>IF(OR(WWWW[[#This Row],['#_students at TLS_CFS]]="",WWWW[[#This Row],['#_students at TLS_CFS]]=0),"No","Yes")</f>
        <v>Yes</v>
      </c>
      <c r="DJ511" s="554" t="str">
        <f>VLOOKUP(WWWW[[#This Row],[Site Name]],SiteDB6[[Site Name]:[CCCM Management]],6,FALSE)</f>
        <v>Yes</v>
      </c>
      <c r="DK511" s="554" t="str">
        <f>VLOOKUP(WWWW[[#This Row],[Site Name]],SiteDB6[[Site Name]:[CCCM Focal Agency]],7,FALSE)</f>
        <v>KBC-NSS</v>
      </c>
      <c r="DL511" s="554" t="str">
        <f>VLOOKUP(WWWW[[#This Row],[Site Name]],SiteDB6[[Site Name]:[Location Type 1]],9,FALSE)</f>
        <v>Camp</v>
      </c>
      <c r="DM511" s="554" t="str">
        <f>VLOOKUP(WWWW[[#This Row],[Site Name]],SiteDB6[[Site Name]:[Type of Accommodation]],10,FALSE)</f>
        <v>Camp</v>
      </c>
      <c r="DN511" s="554" t="str">
        <f>VLOOKUP(WWWW[[#This Row],[Site Name]],SiteDB6[[Site Name]:[Ethnic or GCA/NGCA]],11,FALSE)</f>
        <v>GCA</v>
      </c>
      <c r="DO511" s="554">
        <f>VLOOKUP(WWWW[[#This Row],[Site Name]],SiteDB6[[Site Name]:[Lat]],12,FALSE)</f>
        <v>23.460349999999998</v>
      </c>
      <c r="DP511" s="554">
        <f>VLOOKUP(WWWW[[#This Row],[Site Name]],SiteDB6[[Site Name]:[Long]],13,FALSE)</f>
        <v>97.947360000000003</v>
      </c>
      <c r="DQ511" s="554" t="str">
        <f>VLOOKUP(WWWW[[#This Row],[Site Name]],SiteDB6[[Site Name]:[Pcode]],3,FALSE)</f>
        <v>MMR015CMP245</v>
      </c>
      <c r="DR511" s="563" t="str">
        <f t="shared" si="18"/>
        <v>Covered</v>
      </c>
      <c r="DS511" s="563"/>
      <c r="DV511" s="579"/>
    </row>
    <row r="512" spans="1:138">
      <c r="A512" s="552" t="s">
        <v>2518</v>
      </c>
      <c r="B512" s="555" t="s">
        <v>200</v>
      </c>
      <c r="C512" s="555" t="s">
        <v>200</v>
      </c>
      <c r="D512" s="555" t="s">
        <v>2963</v>
      </c>
      <c r="E512" s="574" t="s">
        <v>716</v>
      </c>
      <c r="F512" s="555" t="s">
        <v>720</v>
      </c>
      <c r="G512" s="574" t="str">
        <f>VLOOKUP(WWWW[[#This Row],[Site Name]],SiteDB6[[Site Name]:[Location Type]],8,FALSE)</f>
        <v>Camp</v>
      </c>
      <c r="H512" s="555" t="s">
        <v>721</v>
      </c>
      <c r="I512" s="557">
        <v>30</v>
      </c>
      <c r="J512" s="557">
        <v>138</v>
      </c>
      <c r="K512" s="564" t="s">
        <v>2964</v>
      </c>
      <c r="L512" s="565" t="s">
        <v>2965</v>
      </c>
      <c r="M512" s="557">
        <v>59</v>
      </c>
      <c r="N512" s="557"/>
      <c r="O512" s="557"/>
      <c r="P512" s="557"/>
      <c r="Q512" s="556" t="s">
        <v>43</v>
      </c>
      <c r="R512" s="557"/>
      <c r="S512" s="557"/>
      <c r="T512" s="557"/>
      <c r="U512" s="557"/>
      <c r="V512" s="557"/>
      <c r="W512" s="557"/>
      <c r="X512" s="557"/>
      <c r="Y512" s="557"/>
      <c r="Z512" s="557"/>
      <c r="AA512" s="557"/>
      <c r="AB512" s="557"/>
      <c r="AC512" s="557"/>
      <c r="AD512" s="557"/>
      <c r="AE512" s="557"/>
      <c r="AF512" s="557"/>
      <c r="AG512" s="557"/>
      <c r="AH512" s="557"/>
      <c r="AI512" s="557"/>
      <c r="AJ512" s="557"/>
      <c r="AK512" s="557"/>
      <c r="AL512" s="557"/>
      <c r="AM512" s="557"/>
      <c r="AN512" s="557"/>
      <c r="AO512" s="563"/>
      <c r="AP512" s="557"/>
      <c r="AQ512" s="557"/>
      <c r="AR512" s="559"/>
      <c r="AS512" s="557"/>
      <c r="AT512" s="557"/>
      <c r="AU512" s="557"/>
      <c r="AV512" s="557"/>
      <c r="AW512" s="557"/>
      <c r="AX512" s="554" t="s">
        <v>43</v>
      </c>
      <c r="AY512" s="563" t="s">
        <v>145</v>
      </c>
      <c r="AZ512" s="557"/>
      <c r="BA512" s="557"/>
      <c r="BB512" s="557"/>
      <c r="BC512" s="554"/>
      <c r="BD512" s="557"/>
      <c r="BE512" s="557"/>
      <c r="BF512" s="557"/>
      <c r="BG512" s="557"/>
      <c r="BH512" s="557"/>
      <c r="BI512" s="557"/>
      <c r="BJ512" s="557"/>
      <c r="BK512" s="557">
        <v>0</v>
      </c>
      <c r="BL512" s="557">
        <v>0</v>
      </c>
      <c r="BM512" s="554"/>
      <c r="BN512" s="558"/>
      <c r="BO512" s="559"/>
      <c r="BP512" s="554"/>
      <c r="BQ512" s="560" t="str">
        <f>IFERROR(WWWW[[#This Row],['#_Water sources treated]]/WWWW[[#This Row],['#_Water sources tested for contamination]],"no test")</f>
        <v>no test</v>
      </c>
      <c r="BR512" s="559" t="str">
        <f>IFERROR(WWWW[[#This Row],['#_Household received remediation action due to contamination]]/WWWW[[#This Row],['#_Household water samples tested for contamination]],"no test")</f>
        <v>no test</v>
      </c>
      <c r="BS512" s="558" t="str">
        <f>IF(AND(WWWW[[#This Row],[% of water sources treated]]="no test",WWWW[[#This Row],[% Household received corrective actions]]="no test"),"No Test","Tested")</f>
        <v>No Test</v>
      </c>
      <c r="BT512" s="558">
        <f>WWWW[[#This Row],['#_Constructed/existing protected hand dug well]]-WWWW[[#This Row],['#_Non-functional protected hand dug well]]</f>
        <v>0</v>
      </c>
      <c r="BU512" s="558">
        <f>(WWWW[[#This Row],['#_Constructed/Existing tube wells/boreholes/handpumps_WASH_agency]]+WWWW[[#This Row],['#_Non-Cluster partner water tube-wells/boreholes/handpumps]])-WWWW[[#This Row],['#_Non-functional tube wells/boreholes/handpumps]]</f>
        <v>0</v>
      </c>
      <c r="BV512" s="558">
        <f>WWWW[[#This Row],['#_Constructed/Existingwater storage tank with gravity fed reticulation system]]-WWWW[[#This Row],['#_Non-functional storage tank gravity fed reticulation system]]</f>
        <v>0</v>
      </c>
      <c r="BW512" s="558">
        <f>WWWW[[#This Row],['#_Water boating or water trucking]]</f>
        <v>0</v>
      </c>
      <c r="BX512" s="558">
        <f>WWWW[[#This Row],['#_Constructed/Existing water distribution system from river or natural spring]]</f>
        <v>0</v>
      </c>
      <c r="BY51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2" s="559">
        <f>IF(WWWW[[#This Row],[Location Type 1]]="Village",WWWW[[#This Row],[Access to safe drinking water for Village]],WWWW[[#This Row],[Access to safe drinking water for Camp]])</f>
        <v>0</v>
      </c>
      <c r="CB512" s="556">
        <f>WWWW[[#This Row],[%Equitable and continuous access to sufficient quantity of safe drinking water]]*WWWW[[#This Row],[Total PoP ]]</f>
        <v>0</v>
      </c>
      <c r="CC512" s="559">
        <f>IF((WWWW[[#This Row],['#_Constructed/Existing protected/fenced ponds]]*250)/WWWW[[#This Row],[Total PoP ]]&gt;1,1,(WWWW[[#This Row],['#_Constructed/Existing protected/fenced ponds]]*250)/WWWW[[#This Row],[Total PoP ]])</f>
        <v>0</v>
      </c>
      <c r="CD512" s="556">
        <f>WWWW[[#This Row],[% Access to unimproved water points]]*WWWW[[#This Row],[Total PoP ]]</f>
        <v>0</v>
      </c>
      <c r="CE51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2" s="556">
        <f>WWWW[[#This Row],[HRP1]]/500</f>
        <v>0</v>
      </c>
      <c r="CH512" s="561">
        <f>1-WWWW[[#This Row],[% Equitable and continuous access to sufficient quantity of domestic water]]</f>
        <v>1</v>
      </c>
      <c r="CI512" s="556">
        <f>WWWW[[#This Row],[%equitable and continuous access to sufficient quantity of safe drinking and domestic water''s GAP]]*WWWW[[#This Row],[Total PoP ]]</f>
        <v>138</v>
      </c>
      <c r="CJ512" s="558">
        <f>IF(WWWW[[#This Row],[Total required water points]]-WWWW[[#This Row],['#Water points coverage]]&lt;0,0,WWWW[[#This Row],[Total required water points]]-WWWW[[#This Row],['#Water points coverage]])</f>
        <v>1</v>
      </c>
      <c r="CK512" s="558">
        <f>ROUND(IF(WWWW[[#This Row],[Total PoP ]]&lt;500,1,WWWW[[#This Row],[Total PoP ]]/500),0)</f>
        <v>1</v>
      </c>
      <c r="CL512" s="558">
        <f>(WWWW[[#This Row],['#_Constructed latrines_by_WASHAgencies]]+WWWW[[#This Row],['#_Non Cluster partner latrines]])-WWWW[[#This Row],['#_Non-functional latrines]]</f>
        <v>0</v>
      </c>
      <c r="CM51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2"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2" s="558">
        <f>IF(WWWW[[#This Row],[Location Type 1]]="Village","NA",IF(WWWW[[#This Row],['#_Constructed/Existing latrines in TLS]]*50&gt;WWWW[[#This Row],['#_students at TLS_CFS]],WWWW[[#This Row],['#_students at TLS_CFS]],(WWWW[[#This Row],['#_Constructed/Existing latrines in TLS]]*50)))</f>
        <v>0</v>
      </c>
      <c r="CQ512" s="558">
        <f>ROUND(IF(WWWW[[#This Row],[Location Type 1]]="camp",WWWW[[#This Row],[Total PoP ]]/20,IF(WWWW[[#This Row],[Location Type 1]]="Temporary Location",WWWW[[#This Row],[Total PoP ]]/50,(WWWW[[#This Row],[Total PoP ]]/6))),0)</f>
        <v>7</v>
      </c>
      <c r="CR512" s="558">
        <f>IF(WWWW[[#This Row],[Total required Latrines]]-(WWWW[[#This Row],['#_Constructed latrines_by_WASHAgencies]]+WWWW[[#This Row],['#_Non Cluster partner latrines]])&lt;0,0,WWWW[[#This Row],[Total required Latrines]]-(WWWW[[#This Row],['#_Constructed latrines_by_WASHAgencies]]+WWWW[[#This Row],['#_Non Cluster partner latrines]]))</f>
        <v>7</v>
      </c>
      <c r="CS512" s="78">
        <f>1-WWWW[[#This Row],[% people access to functioning Latrine]]</f>
        <v>1</v>
      </c>
      <c r="CT512" s="560">
        <f>IF(OR(WWWW[[#This Row],['#_Non-functional latrines]]="",WWWW[[#This Row],['#_Non-functional latrines]]=0),0,WWWW[[#This Row],['#_Non-functional latrines]]/(WWWW[[#This Row],['#_Constructed latrines_by_WASHAgencies]]+WWWW[[#This Row],['#_Non Cluster partner latrines]]))</f>
        <v>0</v>
      </c>
      <c r="CU512" s="556">
        <f>IF(500*(WWWW[[#This Row],['#_male hygiene promoters]]+WWWW[[#This Row],['#_female hygiene promoters]])&gt;WWWW[[#This Row],[Total PoP ]],WWWW[[#This Row],[Total PoP ]],500*(WWWW[[#This Row],['#_male hygiene promoters]]+WWWW[[#This Row],['#_female hygiene promoters]]))</f>
        <v>0</v>
      </c>
      <c r="CV51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2" s="558">
        <f>IF(WWWW[[#This Row],['# People with access to soap]]&gt;WWWW[[#This Row],['# People with access to Sanity Pads]],WWWW[[#This Row],['# People with access to soap]],WWWW[[#This Row],['# People with access to Sanity Pads]])</f>
        <v>0</v>
      </c>
      <c r="CY512"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2" s="561">
        <f>IF(WWWW[[#This Row],[HRP3]]/WWWW[[#This Row],[Total PoP ]]&gt;100%,100%,WWWW[[#This Row],[HRP3]]/WWWW[[#This Row],[Total PoP ]])</f>
        <v>0</v>
      </c>
      <c r="DA512" s="560">
        <f>1-WWWW[[#This Row],[Hygiene Coverage%]]</f>
        <v>1</v>
      </c>
      <c r="DB512" s="559">
        <f>WWWW[[#This Row],['# people reached by regular dedicated hygiene promotion_5]]/WWWW[[#This Row],[Total PoP ]]</f>
        <v>0</v>
      </c>
      <c r="DC512" s="559">
        <f>IF(WWWW[[#This Row],['#_households that received standard amount of soap for this quarter]]/WWWW[[#This Row],[Total HH]]&gt;1,1,WWWW[[#This Row],['#_households that received standard amount of soap for this quarter]]/WWWW[[#This Row],[Total HH]])</f>
        <v>0</v>
      </c>
      <c r="DD512" s="559">
        <f>IF(WWWW[[#This Row],['#_households that received standard amount of sanitary pads for this quarter]]/WWWW[[#This Row],[Total HH]]&gt;1,1,WWWW[[#This Row],['#_households that received standard amount of sanitary pads for this quarter]]/WWWW[[#This Row],[Total HH]])</f>
        <v>0</v>
      </c>
      <c r="DE512" s="558">
        <f>WWWW[[#This Row],['#_Constructed/Existing hand washing stations]]-WWWW[[#This Row],['#_Non-Functional_hand_washing_stations]]</f>
        <v>0</v>
      </c>
      <c r="DF512" s="757">
        <f>IF(WWWW[[#This Row],['# Functional hand washing stations during reporting period]]*20&gt;WWWW[[#This Row],[Total HH]],WWWW[[#This Row],[Total HH]],WWWW[[#This Row],['# Functional hand washing stations during reporting period]]*20)</f>
        <v>0</v>
      </c>
      <c r="DG512" s="556">
        <f>IF(WWWW[[#This Row],[Is sufficient soap available for TLS? (Yes/No)]]="yes",WWWW[[#This Row],['#_Constructed/Existing hand washing stations at TLS]],0)</f>
        <v>0</v>
      </c>
      <c r="DH512" s="556">
        <f>IF(WWWW[[#This Row],['# Functional hand washing stations during reporting period]]*100&gt;WWWW[[#This Row],[Total PoP ]],WWWW[[#This Row],[Total PoP ]],WWWW[[#This Row],['# Functional hand washing stations during reporting period]]*100)</f>
        <v>0</v>
      </c>
      <c r="DI512" s="556" t="str">
        <f>IF(OR(WWWW[[#This Row],['#_students at TLS_CFS]]="",WWWW[[#This Row],['#_students at TLS_CFS]]=0),"No","Yes")</f>
        <v>Yes</v>
      </c>
      <c r="DJ512" s="554" t="str">
        <f>VLOOKUP(WWWW[[#This Row],[Site Name]],SiteDB6[[Site Name]:[CCCM Management]],6,FALSE)</f>
        <v>Yes</v>
      </c>
      <c r="DK512" s="554" t="str">
        <f>VLOOKUP(WWWW[[#This Row],[Site Name]],SiteDB6[[Site Name]:[CCCM Focal Agency]],7,FALSE)</f>
        <v>KMSS-LSO</v>
      </c>
      <c r="DL512" s="554" t="str">
        <f>VLOOKUP(WWWW[[#This Row],[Site Name]],SiteDB6[[Site Name]:[Location Type 1]],9,FALSE)</f>
        <v>Camp</v>
      </c>
      <c r="DM512" s="554" t="str">
        <f>VLOOKUP(WWWW[[#This Row],[Site Name]],SiteDB6[[Site Name]:[Type of Accommodation]],10,FALSE)</f>
        <v>Camp</v>
      </c>
      <c r="DN512" s="554" t="str">
        <f>VLOOKUP(WWWW[[#This Row],[Site Name]],SiteDB6[[Site Name]:[Ethnic or GCA/NGCA]],11,FALSE)</f>
        <v>GCA</v>
      </c>
      <c r="DO512" s="554">
        <f>VLOOKUP(WWWW[[#This Row],[Site Name]],SiteDB6[[Site Name]:[Lat]],12,FALSE)</f>
        <v>23.460349999999998</v>
      </c>
      <c r="DP512" s="554">
        <f>VLOOKUP(WWWW[[#This Row],[Site Name]],SiteDB6[[Site Name]:[Long]],13,FALSE)</f>
        <v>97.947360000000003</v>
      </c>
      <c r="DQ512" s="554" t="str">
        <f>VLOOKUP(WWWW[[#This Row],[Site Name]],SiteDB6[[Site Name]:[Pcode]],3,FALSE)</f>
        <v>MMR015CMP017</v>
      </c>
      <c r="DR512" s="563" t="str">
        <f t="shared" si="18"/>
        <v>Covered</v>
      </c>
      <c r="DS512" s="563"/>
      <c r="DV512" s="579"/>
    </row>
    <row r="513" spans="1:126">
      <c r="A513" s="552" t="s">
        <v>2518</v>
      </c>
      <c r="B513" s="555" t="s">
        <v>317</v>
      </c>
      <c r="C513" s="555" t="s">
        <v>317</v>
      </c>
      <c r="D513" s="555"/>
      <c r="E513" s="555" t="s">
        <v>716</v>
      </c>
      <c r="F513" s="555" t="s">
        <v>737</v>
      </c>
      <c r="G513" s="554" t="s">
        <v>45</v>
      </c>
      <c r="H513" s="555" t="s">
        <v>744</v>
      </c>
      <c r="I513" s="557">
        <v>63</v>
      </c>
      <c r="J513" s="557">
        <v>290</v>
      </c>
      <c r="K513" s="564"/>
      <c r="L513" s="565"/>
      <c r="M513" s="557"/>
      <c r="N513" s="557"/>
      <c r="O513" s="557"/>
      <c r="P513" s="557"/>
      <c r="Q513" s="556"/>
      <c r="R513" s="557"/>
      <c r="S513" s="557"/>
      <c r="T513" s="557"/>
      <c r="U513" s="557"/>
      <c r="V513" s="557"/>
      <c r="W513" s="557"/>
      <c r="X513" s="557"/>
      <c r="Y513" s="557"/>
      <c r="Z513" s="557"/>
      <c r="AA513" s="557"/>
      <c r="AB513" s="557"/>
      <c r="AC513" s="557"/>
      <c r="AD513" s="557"/>
      <c r="AE513" s="557"/>
      <c r="AF513" s="557"/>
      <c r="AG513" s="557"/>
      <c r="AH513" s="557"/>
      <c r="AI513" s="557"/>
      <c r="AJ513" s="557"/>
      <c r="AK513" s="557"/>
      <c r="AL513" s="557"/>
      <c r="AM513" s="557"/>
      <c r="AN513" s="557"/>
      <c r="AO513" s="563"/>
      <c r="AP513" s="557"/>
      <c r="AQ513" s="557"/>
      <c r="AR513" s="559"/>
      <c r="AS513" s="557"/>
      <c r="AT513" s="557"/>
      <c r="AU513" s="557"/>
      <c r="AV513" s="557"/>
      <c r="AW513" s="557"/>
      <c r="AX513" s="554"/>
      <c r="AY513" s="563"/>
      <c r="AZ513" s="557"/>
      <c r="BA513" s="557"/>
      <c r="BB513" s="557"/>
      <c r="BC513" s="554"/>
      <c r="BD513" s="557"/>
      <c r="BE513" s="557"/>
      <c r="BF513" s="557"/>
      <c r="BG513" s="557"/>
      <c r="BH513" s="557"/>
      <c r="BI513" s="557"/>
      <c r="BJ513" s="557"/>
      <c r="BK513" s="557"/>
      <c r="BL513" s="557"/>
      <c r="BM513" s="554"/>
      <c r="BN513" s="558"/>
      <c r="BO513" s="559"/>
      <c r="BP513" s="554"/>
      <c r="BQ513" s="560" t="str">
        <f>IFERROR(WWWW[[#This Row],['#_Water sources treated]]/WWWW[[#This Row],['#_Water sources tested for contamination]],"no test")</f>
        <v>no test</v>
      </c>
      <c r="BR513" s="559" t="str">
        <f>IFERROR(WWWW[[#This Row],['#_Household received remediation action due to contamination]]/WWWW[[#This Row],['#_Household water samples tested for contamination]],"no test")</f>
        <v>no test</v>
      </c>
      <c r="BS513" s="558" t="str">
        <f>IF(AND(WWWW[[#This Row],[% of water sources treated]]="no test",WWWW[[#This Row],[% Household received corrective actions]]="no test"),"No Test","Tested")</f>
        <v>No Test</v>
      </c>
      <c r="BT513" s="558">
        <f>WWWW[[#This Row],['#_Constructed/existing protected hand dug well]]-WWWW[[#This Row],['#_Non-functional protected hand dug well]]</f>
        <v>0</v>
      </c>
      <c r="BU513" s="558">
        <f>(WWWW[[#This Row],['#_Constructed/Existing tube wells/boreholes/handpumps_WASH_agency]]+WWWW[[#This Row],['#_Non-Cluster partner water tube-wells/boreholes/handpumps]])-WWWW[[#This Row],['#_Non-functional tube wells/boreholes/handpumps]]</f>
        <v>0</v>
      </c>
      <c r="BV513" s="558">
        <f>WWWW[[#This Row],['#_Constructed/Existingwater storage tank with gravity fed reticulation system]]-WWWW[[#This Row],['#_Non-functional storage tank gravity fed reticulation system]]</f>
        <v>0</v>
      </c>
      <c r="BW513" s="558">
        <f>WWWW[[#This Row],['#_Water boating or water trucking]]</f>
        <v>0</v>
      </c>
      <c r="BX513" s="558">
        <f>WWWW[[#This Row],['#_Constructed/Existing water distribution system from river or natural spring]]</f>
        <v>0</v>
      </c>
      <c r="BY51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3" s="559">
        <f>IF(WWWW[[#This Row],[Location Type 1]]="Village",WWWW[[#This Row],[Access to safe drinking water for Village]],WWWW[[#This Row],[Access to safe drinking water for Camp]])</f>
        <v>0</v>
      </c>
      <c r="CB513" s="556">
        <f>WWWW[[#This Row],[%Equitable and continuous access to sufficient quantity of safe drinking water]]*WWWW[[#This Row],[Total PoP ]]</f>
        <v>0</v>
      </c>
      <c r="CC513" s="559">
        <f>IF((WWWW[[#This Row],['#_Constructed/Existing protected/fenced ponds]]*250)/WWWW[[#This Row],[Total PoP ]]&gt;1,1,(WWWW[[#This Row],['#_Constructed/Existing protected/fenced ponds]]*250)/WWWW[[#This Row],[Total PoP ]])</f>
        <v>0</v>
      </c>
      <c r="CD513" s="556">
        <f>WWWW[[#This Row],[% Access to unimproved water points]]*WWWW[[#This Row],[Total PoP ]]</f>
        <v>0</v>
      </c>
      <c r="CE51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3" s="556">
        <f>WWWW[[#This Row],[HRP1]]/500</f>
        <v>0</v>
      </c>
      <c r="CH513" s="561">
        <f>1-WWWW[[#This Row],[% Equitable and continuous access to sufficient quantity of domestic water]]</f>
        <v>1</v>
      </c>
      <c r="CI513" s="556">
        <f>WWWW[[#This Row],[%equitable and continuous access to sufficient quantity of safe drinking and domestic water''s GAP]]*WWWW[[#This Row],[Total PoP ]]</f>
        <v>290</v>
      </c>
      <c r="CJ513" s="558">
        <f>IF(WWWW[[#This Row],[Total required water points]]-WWWW[[#This Row],['#Water points coverage]]&lt;0,0,WWWW[[#This Row],[Total required water points]]-WWWW[[#This Row],['#Water points coverage]])</f>
        <v>1</v>
      </c>
      <c r="CK513" s="558">
        <f>ROUND(IF(WWWW[[#This Row],[Total PoP ]]&lt;500,1,WWWW[[#This Row],[Total PoP ]]/500),0)</f>
        <v>1</v>
      </c>
      <c r="CL513" s="558">
        <f>(WWWW[[#This Row],['#_Constructed latrines_by_WASHAgencies]]+WWWW[[#This Row],['#_Non Cluster partner latrines]])-WWWW[[#This Row],['#_Non-functional latrines]]</f>
        <v>0</v>
      </c>
      <c r="CM51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3"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3" s="558">
        <f>IF(WWWW[[#This Row],[Location Type 1]]="Village","NA",IF(WWWW[[#This Row],['#_Constructed/Existing latrines in TLS]]*50&gt;WWWW[[#This Row],['#_students at TLS_CFS]],WWWW[[#This Row],['#_students at TLS_CFS]],(WWWW[[#This Row],['#_Constructed/Existing latrines in TLS]]*50)))</f>
        <v>0</v>
      </c>
      <c r="CQ513" s="558">
        <f>ROUND(IF(WWWW[[#This Row],[Location Type 1]]="camp",WWWW[[#This Row],[Total PoP ]]/20,IF(WWWW[[#This Row],[Location Type 1]]="Temporary Location",WWWW[[#This Row],[Total PoP ]]/50,(WWWW[[#This Row],[Total PoP ]]/6))),0)</f>
        <v>15</v>
      </c>
      <c r="CR513" s="558">
        <f>IF(WWWW[[#This Row],[Total required Latrines]]-(WWWW[[#This Row],['#_Constructed latrines_by_WASHAgencies]]+WWWW[[#This Row],['#_Non Cluster partner latrines]])&lt;0,0,WWWW[[#This Row],[Total required Latrines]]-(WWWW[[#This Row],['#_Constructed latrines_by_WASHAgencies]]+WWWW[[#This Row],['#_Non Cluster partner latrines]]))</f>
        <v>15</v>
      </c>
      <c r="CS513" s="78">
        <f>1-WWWW[[#This Row],[% people access to functioning Latrine]]</f>
        <v>1</v>
      </c>
      <c r="CT513" s="560">
        <f>IF(OR(WWWW[[#This Row],['#_Non-functional latrines]]="",WWWW[[#This Row],['#_Non-functional latrines]]=0),0,WWWW[[#This Row],['#_Non-functional latrines]]/(WWWW[[#This Row],['#_Constructed latrines_by_WASHAgencies]]+WWWW[[#This Row],['#_Non Cluster partner latrines]]))</f>
        <v>0</v>
      </c>
      <c r="CU513" s="556">
        <f>IF(500*(WWWW[[#This Row],['#_male hygiene promoters]]+WWWW[[#This Row],['#_female hygiene promoters]])&gt;WWWW[[#This Row],[Total PoP ]],WWWW[[#This Row],[Total PoP ]],500*(WWWW[[#This Row],['#_male hygiene promoters]]+WWWW[[#This Row],['#_female hygiene promoters]]))</f>
        <v>0</v>
      </c>
      <c r="CV51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3" s="558">
        <f>IF(WWWW[[#This Row],['# People with access to soap]]&gt;WWWW[[#This Row],['# People with access to Sanity Pads]],WWWW[[#This Row],['# People with access to soap]],WWWW[[#This Row],['# People with access to Sanity Pads]])</f>
        <v>0</v>
      </c>
      <c r="CY513"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3" s="561">
        <f>IF(WWWW[[#This Row],[HRP3]]/WWWW[[#This Row],[Total PoP ]]&gt;100%,100%,WWWW[[#This Row],[HRP3]]/WWWW[[#This Row],[Total PoP ]])</f>
        <v>0</v>
      </c>
      <c r="DA513" s="560">
        <f>1-WWWW[[#This Row],[Hygiene Coverage%]]</f>
        <v>1</v>
      </c>
      <c r="DB513" s="559">
        <f>WWWW[[#This Row],['# people reached by regular dedicated hygiene promotion_5]]/WWWW[[#This Row],[Total PoP ]]</f>
        <v>0</v>
      </c>
      <c r="DC513" s="559">
        <f>IF(WWWW[[#This Row],['#_households that received standard amount of soap for this quarter]]/WWWW[[#This Row],[Total HH]]&gt;1,1,WWWW[[#This Row],['#_households that received standard amount of soap for this quarter]]/WWWW[[#This Row],[Total HH]])</f>
        <v>0</v>
      </c>
      <c r="DD513" s="559">
        <f>IF(WWWW[[#This Row],['#_households that received standard amount of sanitary pads for this quarter]]/WWWW[[#This Row],[Total HH]]&gt;1,1,WWWW[[#This Row],['#_households that received standard amount of sanitary pads for this quarter]]/WWWW[[#This Row],[Total HH]])</f>
        <v>0</v>
      </c>
      <c r="DE513" s="558">
        <f>WWWW[[#This Row],['#_Constructed/Existing hand washing stations]]-WWWW[[#This Row],['#_Non-Functional_hand_washing_stations]]</f>
        <v>0</v>
      </c>
      <c r="DF513" s="757">
        <f>IF(WWWW[[#This Row],['# Functional hand washing stations during reporting period]]*20&gt;WWWW[[#This Row],[Total HH]],WWWW[[#This Row],[Total HH]],WWWW[[#This Row],['# Functional hand washing stations during reporting period]]*20)</f>
        <v>0</v>
      </c>
      <c r="DG513" s="556">
        <f>IF(WWWW[[#This Row],[Is sufficient soap available for TLS? (Yes/No)]]="yes",WWWW[[#This Row],['#_Constructed/Existing hand washing stations at TLS]],0)</f>
        <v>0</v>
      </c>
      <c r="DH513" s="556">
        <f>IF(WWWW[[#This Row],['# Functional hand washing stations during reporting period]]*100&gt;WWWW[[#This Row],[Total PoP ]],WWWW[[#This Row],[Total PoP ]],WWWW[[#This Row],['# Functional hand washing stations during reporting period]]*100)</f>
        <v>0</v>
      </c>
      <c r="DI513" s="556" t="str">
        <f>IF(OR(WWWW[[#This Row],['#_students at TLS_CFS]]="",WWWW[[#This Row],['#_students at TLS_CFS]]=0),"No","Yes")</f>
        <v>No</v>
      </c>
      <c r="DJ513" s="554" t="str">
        <f>VLOOKUP(WWWW[[#This Row],[Site Name]],SiteDB6[[Site Name]:[CCCM Management]],6,FALSE)</f>
        <v>Yes</v>
      </c>
      <c r="DK513" s="554" t="str">
        <f>VLOOKUP(WWWW[[#This Row],[Site Name]],SiteDB6[[Site Name]:[CCCM Focal Agency]],7,FALSE)</f>
        <v>KMSS-LSO</v>
      </c>
      <c r="DL513" s="554" t="str">
        <f>VLOOKUP(WWWW[[#This Row],[Site Name]],SiteDB6[[Site Name]:[Location Type 1]],9,FALSE)</f>
        <v>Camp</v>
      </c>
      <c r="DM513" s="554" t="str">
        <f>VLOOKUP(WWWW[[#This Row],[Site Name]],SiteDB6[[Site Name]:[Type of Accommodation]],10,FALSE)</f>
        <v>Camp</v>
      </c>
      <c r="DN513" s="554" t="str">
        <f>VLOOKUP(WWWW[[#This Row],[Site Name]],SiteDB6[[Site Name]:[Ethnic or GCA/NGCA]],11,FALSE)</f>
        <v>GCA</v>
      </c>
      <c r="DO513" s="554">
        <f>VLOOKUP(WWWW[[#This Row],[Site Name]],SiteDB6[[Site Name]:[Lat]],12,FALSE)</f>
        <v>23.099304</v>
      </c>
      <c r="DP513" s="554">
        <f>VLOOKUP(WWWW[[#This Row],[Site Name]],SiteDB6[[Site Name]:[Long]],13,FALSE)</f>
        <v>97.400671000000003</v>
      </c>
      <c r="DQ513" s="554" t="str">
        <f>VLOOKUP(WWWW[[#This Row],[Site Name]],SiteDB6[[Site Name]:[Pcode]],3,FALSE)</f>
        <v>MMR015CMP248</v>
      </c>
      <c r="DR513" s="563" t="str">
        <f t="shared" si="18"/>
        <v>Notcovered</v>
      </c>
      <c r="DS513" s="563"/>
      <c r="DV513" s="579"/>
    </row>
    <row r="514" spans="1:126">
      <c r="A514" s="552" t="s">
        <v>2518</v>
      </c>
      <c r="B514" s="555" t="s">
        <v>317</v>
      </c>
      <c r="C514" s="555" t="s">
        <v>317</v>
      </c>
      <c r="D514" s="555"/>
      <c r="E514" s="555" t="s">
        <v>716</v>
      </c>
      <c r="F514" s="555" t="s">
        <v>737</v>
      </c>
      <c r="G514" s="554" t="s">
        <v>1481</v>
      </c>
      <c r="H514" s="555" t="s">
        <v>1120</v>
      </c>
      <c r="I514" s="557">
        <v>58</v>
      </c>
      <c r="J514" s="557">
        <v>257</v>
      </c>
      <c r="K514" s="564"/>
      <c r="L514" s="565"/>
      <c r="M514" s="557"/>
      <c r="N514" s="557"/>
      <c r="O514" s="557"/>
      <c r="P514" s="557"/>
      <c r="Q514" s="556"/>
      <c r="R514" s="557"/>
      <c r="S514" s="557"/>
      <c r="T514" s="557"/>
      <c r="U514" s="557"/>
      <c r="V514" s="557"/>
      <c r="W514" s="557"/>
      <c r="X514" s="557"/>
      <c r="Y514" s="557"/>
      <c r="Z514" s="557"/>
      <c r="AA514" s="557"/>
      <c r="AB514" s="557"/>
      <c r="AC514" s="557"/>
      <c r="AD514" s="557"/>
      <c r="AE514" s="557"/>
      <c r="AF514" s="557"/>
      <c r="AG514" s="557"/>
      <c r="AH514" s="557"/>
      <c r="AI514" s="557"/>
      <c r="AJ514" s="557"/>
      <c r="AK514" s="557"/>
      <c r="AL514" s="557"/>
      <c r="AM514" s="557"/>
      <c r="AN514" s="557"/>
      <c r="AO514" s="563"/>
      <c r="AP514" s="557"/>
      <c r="AQ514" s="557"/>
      <c r="AR514" s="559"/>
      <c r="AS514" s="557"/>
      <c r="AT514" s="557"/>
      <c r="AU514" s="557"/>
      <c r="AV514" s="557"/>
      <c r="AW514" s="557"/>
      <c r="AX514" s="554"/>
      <c r="AY514" s="563"/>
      <c r="AZ514" s="557"/>
      <c r="BA514" s="557"/>
      <c r="BB514" s="557"/>
      <c r="BC514" s="554"/>
      <c r="BD514" s="557"/>
      <c r="BE514" s="557"/>
      <c r="BF514" s="557"/>
      <c r="BG514" s="557"/>
      <c r="BH514" s="557"/>
      <c r="BI514" s="557"/>
      <c r="BJ514" s="557"/>
      <c r="BK514" s="557"/>
      <c r="BL514" s="557"/>
      <c r="BM514" s="554"/>
      <c r="BN514" s="558"/>
      <c r="BO514" s="559"/>
      <c r="BP514" s="554"/>
      <c r="BQ514" s="560" t="str">
        <f>IFERROR(WWWW[[#This Row],['#_Water sources treated]]/WWWW[[#This Row],['#_Water sources tested for contamination]],"no test")</f>
        <v>no test</v>
      </c>
      <c r="BR514" s="559" t="str">
        <f>IFERROR(WWWW[[#This Row],['#_Household received remediation action due to contamination]]/WWWW[[#This Row],['#_Household water samples tested for contamination]],"no test")</f>
        <v>no test</v>
      </c>
      <c r="BS514" s="558" t="str">
        <f>IF(AND(WWWW[[#This Row],[% of water sources treated]]="no test",WWWW[[#This Row],[% Household received corrective actions]]="no test"),"No Test","Tested")</f>
        <v>No Test</v>
      </c>
      <c r="BT514" s="558">
        <f>WWWW[[#This Row],['#_Constructed/existing protected hand dug well]]-WWWW[[#This Row],['#_Non-functional protected hand dug well]]</f>
        <v>0</v>
      </c>
      <c r="BU514" s="558">
        <f>(WWWW[[#This Row],['#_Constructed/Existing tube wells/boreholes/handpumps_WASH_agency]]+WWWW[[#This Row],['#_Non-Cluster partner water tube-wells/boreholes/handpumps]])-WWWW[[#This Row],['#_Non-functional tube wells/boreholes/handpumps]]</f>
        <v>0</v>
      </c>
      <c r="BV514" s="558">
        <f>WWWW[[#This Row],['#_Constructed/Existingwater storage tank with gravity fed reticulation system]]-WWWW[[#This Row],['#_Non-functional storage tank gravity fed reticulation system]]</f>
        <v>0</v>
      </c>
      <c r="BW514" s="558">
        <f>WWWW[[#This Row],['#_Water boating or water trucking]]</f>
        <v>0</v>
      </c>
      <c r="BX514" s="558">
        <f>WWWW[[#This Row],['#_Constructed/Existing water distribution system from river or natural spring]]</f>
        <v>0</v>
      </c>
      <c r="BY51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4" s="559">
        <f>IF(WWWW[[#This Row],[Location Type 1]]="Village",WWWW[[#This Row],[Access to safe drinking water for Village]],WWWW[[#This Row],[Access to safe drinking water for Camp]])</f>
        <v>0</v>
      </c>
      <c r="CB514" s="556">
        <f>WWWW[[#This Row],[%Equitable and continuous access to sufficient quantity of safe drinking water]]*WWWW[[#This Row],[Total PoP ]]</f>
        <v>0</v>
      </c>
      <c r="CC514" s="559">
        <f>IF((WWWW[[#This Row],['#_Constructed/Existing protected/fenced ponds]]*250)/WWWW[[#This Row],[Total PoP ]]&gt;1,1,(WWWW[[#This Row],['#_Constructed/Existing protected/fenced ponds]]*250)/WWWW[[#This Row],[Total PoP ]])</f>
        <v>0</v>
      </c>
      <c r="CD514" s="556">
        <f>WWWW[[#This Row],[% Access to unimproved water points]]*WWWW[[#This Row],[Total PoP ]]</f>
        <v>0</v>
      </c>
      <c r="CE51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4" s="556">
        <f>WWWW[[#This Row],[HRP1]]/500</f>
        <v>0</v>
      </c>
      <c r="CH514" s="561">
        <f>1-WWWW[[#This Row],[% Equitable and continuous access to sufficient quantity of domestic water]]</f>
        <v>1</v>
      </c>
      <c r="CI514" s="556">
        <f>WWWW[[#This Row],[%equitable and continuous access to sufficient quantity of safe drinking and domestic water''s GAP]]*WWWW[[#This Row],[Total PoP ]]</f>
        <v>257</v>
      </c>
      <c r="CJ514" s="558">
        <f>IF(WWWW[[#This Row],[Total required water points]]-WWWW[[#This Row],['#Water points coverage]]&lt;0,0,WWWW[[#This Row],[Total required water points]]-WWWW[[#This Row],['#Water points coverage]])</f>
        <v>1</v>
      </c>
      <c r="CK514" s="558">
        <f>ROUND(IF(WWWW[[#This Row],[Total PoP ]]&lt;500,1,WWWW[[#This Row],[Total PoP ]]/500),0)</f>
        <v>1</v>
      </c>
      <c r="CL514" s="558">
        <f>(WWWW[[#This Row],['#_Constructed latrines_by_WASHAgencies]]+WWWW[[#This Row],['#_Non Cluster partner latrines]])-WWWW[[#This Row],['#_Non-functional latrines]]</f>
        <v>0</v>
      </c>
      <c r="CM51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4"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4" s="558">
        <f>IF(WWWW[[#This Row],[Location Type 1]]="Village","NA",IF(WWWW[[#This Row],['#_Constructed/Existing latrines in TLS]]*50&gt;WWWW[[#This Row],['#_students at TLS_CFS]],WWWW[[#This Row],['#_students at TLS_CFS]],(WWWW[[#This Row],['#_Constructed/Existing latrines in TLS]]*50)))</f>
        <v>0</v>
      </c>
      <c r="CQ514" s="558">
        <f>ROUND(IF(WWWW[[#This Row],[Location Type 1]]="camp",WWWW[[#This Row],[Total PoP ]]/20,IF(WWWW[[#This Row],[Location Type 1]]="Temporary Location",WWWW[[#This Row],[Total PoP ]]/50,(WWWW[[#This Row],[Total PoP ]]/6))),0)</f>
        <v>13</v>
      </c>
      <c r="CR514" s="558">
        <f>IF(WWWW[[#This Row],[Total required Latrines]]-(WWWW[[#This Row],['#_Constructed latrines_by_WASHAgencies]]+WWWW[[#This Row],['#_Non Cluster partner latrines]])&lt;0,0,WWWW[[#This Row],[Total required Latrines]]-(WWWW[[#This Row],['#_Constructed latrines_by_WASHAgencies]]+WWWW[[#This Row],['#_Non Cluster partner latrines]]))</f>
        <v>13</v>
      </c>
      <c r="CS514" s="78">
        <f>1-WWWW[[#This Row],[% people access to functioning Latrine]]</f>
        <v>1</v>
      </c>
      <c r="CT514" s="560">
        <f>IF(OR(WWWW[[#This Row],['#_Non-functional latrines]]="",WWWW[[#This Row],['#_Non-functional latrines]]=0),0,WWWW[[#This Row],['#_Non-functional latrines]]/(WWWW[[#This Row],['#_Constructed latrines_by_WASHAgencies]]+WWWW[[#This Row],['#_Non Cluster partner latrines]]))</f>
        <v>0</v>
      </c>
      <c r="CU514" s="556">
        <f>IF(500*(WWWW[[#This Row],['#_male hygiene promoters]]+WWWW[[#This Row],['#_female hygiene promoters]])&gt;WWWW[[#This Row],[Total PoP ]],WWWW[[#This Row],[Total PoP ]],500*(WWWW[[#This Row],['#_male hygiene promoters]]+WWWW[[#This Row],['#_female hygiene promoters]]))</f>
        <v>0</v>
      </c>
      <c r="CV51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4" s="558">
        <f>IF(WWWW[[#This Row],['# People with access to soap]]&gt;WWWW[[#This Row],['# People with access to Sanity Pads]],WWWW[[#This Row],['# People with access to soap]],WWWW[[#This Row],['# People with access to Sanity Pads]])</f>
        <v>0</v>
      </c>
      <c r="CY51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4" s="561">
        <f>IF(WWWW[[#This Row],[HRP3]]/WWWW[[#This Row],[Total PoP ]]&gt;100%,100%,WWWW[[#This Row],[HRP3]]/WWWW[[#This Row],[Total PoP ]])</f>
        <v>0</v>
      </c>
      <c r="DA514" s="560">
        <f>1-WWWW[[#This Row],[Hygiene Coverage%]]</f>
        <v>1</v>
      </c>
      <c r="DB514" s="559">
        <f>WWWW[[#This Row],['# people reached by regular dedicated hygiene promotion_5]]/WWWW[[#This Row],[Total PoP ]]</f>
        <v>0</v>
      </c>
      <c r="DC514" s="559">
        <f>IF(WWWW[[#This Row],['#_households that received standard amount of soap for this quarter]]/WWWW[[#This Row],[Total HH]]&gt;1,1,WWWW[[#This Row],['#_households that received standard amount of soap for this quarter]]/WWWW[[#This Row],[Total HH]])</f>
        <v>0</v>
      </c>
      <c r="DD514" s="559">
        <f>IF(WWWW[[#This Row],['#_households that received standard amount of sanitary pads for this quarter]]/WWWW[[#This Row],[Total HH]]&gt;1,1,WWWW[[#This Row],['#_households that received standard amount of sanitary pads for this quarter]]/WWWW[[#This Row],[Total HH]])</f>
        <v>0</v>
      </c>
      <c r="DE514" s="558">
        <f>WWWW[[#This Row],['#_Constructed/Existing hand washing stations]]-WWWW[[#This Row],['#_Non-Functional_hand_washing_stations]]</f>
        <v>0</v>
      </c>
      <c r="DF514" s="757">
        <f>IF(WWWW[[#This Row],['# Functional hand washing stations during reporting period]]*20&gt;WWWW[[#This Row],[Total HH]],WWWW[[#This Row],[Total HH]],WWWW[[#This Row],['# Functional hand washing stations during reporting period]]*20)</f>
        <v>0</v>
      </c>
      <c r="DG514" s="556">
        <f>IF(WWWW[[#This Row],[Is sufficient soap available for TLS? (Yes/No)]]="yes",WWWW[[#This Row],['#_Constructed/Existing hand washing stations at TLS]],0)</f>
        <v>0</v>
      </c>
      <c r="DH514" s="556">
        <f>IF(WWWW[[#This Row],['# Functional hand washing stations during reporting period]]*100&gt;WWWW[[#This Row],[Total PoP ]],WWWW[[#This Row],[Total PoP ]],WWWW[[#This Row],['# Functional hand washing stations during reporting period]]*100)</f>
        <v>0</v>
      </c>
      <c r="DI514" s="556" t="str">
        <f>IF(OR(WWWW[[#This Row],['#_students at TLS_CFS]]="",WWWW[[#This Row],['#_students at TLS_CFS]]=0),"No","Yes")</f>
        <v>No</v>
      </c>
      <c r="DJ514" s="554">
        <f>VLOOKUP(WWWW[[#This Row],[Site Name]],SiteDB6[[Site Name]:[CCCM Management]],6,FALSE)</f>
        <v>0</v>
      </c>
      <c r="DK514" s="554">
        <f>VLOOKUP(WWWW[[#This Row],[Site Name]],SiteDB6[[Site Name]:[CCCM Focal Agency]],7,FALSE)</f>
        <v>0</v>
      </c>
      <c r="DL514" s="554" t="str">
        <f>VLOOKUP(WWWW[[#This Row],[Site Name]],SiteDB6[[Site Name]:[Location Type 1]],9,FALSE)</f>
        <v>Camp</v>
      </c>
      <c r="DM514" s="554" t="str">
        <f>VLOOKUP(WWWW[[#This Row],[Site Name]],SiteDB6[[Site Name]:[Type of Accommodation]],10,FALSE)</f>
        <v>Camp</v>
      </c>
      <c r="DN514" s="554" t="str">
        <f>VLOOKUP(WWWW[[#This Row],[Site Name]],SiteDB6[[Site Name]:[Ethnic or GCA/NGCA]],11,FALSE)</f>
        <v>GCA</v>
      </c>
      <c r="DO514" s="554">
        <f>VLOOKUP(WWWW[[#This Row],[Site Name]],SiteDB6[[Site Name]:[Lat]],12,FALSE)</f>
        <v>0</v>
      </c>
      <c r="DP514" s="554">
        <f>VLOOKUP(WWWW[[#This Row],[Site Name]],SiteDB6[[Site Name]:[Long]],13,FALSE)</f>
        <v>0</v>
      </c>
      <c r="DQ514" s="554">
        <f>VLOOKUP(WWWW[[#This Row],[Site Name]],SiteDB6[[Site Name]:[Pcode]],3,FALSE)</f>
        <v>0</v>
      </c>
      <c r="DR514" s="563" t="str">
        <f t="shared" si="18"/>
        <v>Notcovered</v>
      </c>
      <c r="DS514" s="563"/>
      <c r="DV514" s="579"/>
    </row>
    <row r="515" spans="1:126">
      <c r="A515" s="552" t="s">
        <v>2518</v>
      </c>
      <c r="B515" s="555" t="s">
        <v>200</v>
      </c>
      <c r="C515" s="555" t="s">
        <v>200</v>
      </c>
      <c r="D515" s="555" t="s">
        <v>2963</v>
      </c>
      <c r="E515" s="574" t="s">
        <v>716</v>
      </c>
      <c r="F515" s="555" t="s">
        <v>737</v>
      </c>
      <c r="G515" s="574" t="str">
        <f>VLOOKUP(WWWW[[#This Row],[Site Name]],SiteDB6[[Site Name]:[Location Type]],8,FALSE)</f>
        <v>Camp</v>
      </c>
      <c r="H515" s="555" t="s">
        <v>745</v>
      </c>
      <c r="I515" s="557">
        <v>34</v>
      </c>
      <c r="J515" s="557">
        <v>182</v>
      </c>
      <c r="K515" s="564" t="s">
        <v>2964</v>
      </c>
      <c r="L515" s="565" t="s">
        <v>2965</v>
      </c>
      <c r="M515" s="557">
        <v>36</v>
      </c>
      <c r="N515" s="557"/>
      <c r="O515" s="557"/>
      <c r="P515" s="557"/>
      <c r="Q515" s="556" t="s">
        <v>144</v>
      </c>
      <c r="R515" s="557"/>
      <c r="S515" s="557"/>
      <c r="T515" s="557"/>
      <c r="U515" s="557"/>
      <c r="V515" s="557"/>
      <c r="W515" s="557"/>
      <c r="X515" s="557"/>
      <c r="Y515" s="557"/>
      <c r="Z515" s="557"/>
      <c r="AA515" s="557"/>
      <c r="AB515" s="557"/>
      <c r="AC515" s="557"/>
      <c r="AD515" s="557"/>
      <c r="AE515" s="557"/>
      <c r="AF515" s="557">
        <v>1</v>
      </c>
      <c r="AG515" s="557"/>
      <c r="AH515" s="557"/>
      <c r="AI515" s="557"/>
      <c r="AJ515" s="557"/>
      <c r="AK515" s="557"/>
      <c r="AL515" s="557"/>
      <c r="AM515" s="557"/>
      <c r="AN515" s="557"/>
      <c r="AO515" s="563"/>
      <c r="AP515" s="557">
        <v>12</v>
      </c>
      <c r="AQ515" s="557"/>
      <c r="AR515" s="559"/>
      <c r="AS515" s="557">
        <v>4</v>
      </c>
      <c r="AT515" s="557"/>
      <c r="AU515" s="557"/>
      <c r="AV515" s="557"/>
      <c r="AW515" s="557"/>
      <c r="AX515" s="554" t="s">
        <v>43</v>
      </c>
      <c r="AY515" s="563" t="s">
        <v>145</v>
      </c>
      <c r="AZ515" s="557"/>
      <c r="BA515" s="557"/>
      <c r="BB515" s="557"/>
      <c r="BC515" s="554"/>
      <c r="BD515" s="557"/>
      <c r="BE515" s="557"/>
      <c r="BF515" s="557"/>
      <c r="BG515" s="557">
        <v>2</v>
      </c>
      <c r="BH515" s="557"/>
      <c r="BI515" s="557"/>
      <c r="BJ515" s="557">
        <v>1</v>
      </c>
      <c r="BK515" s="557">
        <v>0</v>
      </c>
      <c r="BL515" s="557">
        <v>0</v>
      </c>
      <c r="BM515" s="554"/>
      <c r="BN515" s="558"/>
      <c r="BO515" s="559"/>
      <c r="BP515" s="554"/>
      <c r="BQ515" s="560" t="str">
        <f>IFERROR(WWWW[[#This Row],['#_Water sources treated]]/WWWW[[#This Row],['#_Water sources tested for contamination]],"no test")</f>
        <v>no test</v>
      </c>
      <c r="BR515" s="559" t="str">
        <f>IFERROR(WWWW[[#This Row],['#_Household received remediation action due to contamination]]/WWWW[[#This Row],['#_Household water samples tested for contamination]],"no test")</f>
        <v>no test</v>
      </c>
      <c r="BS515" s="558" t="str">
        <f>IF(AND(WWWW[[#This Row],[% of water sources treated]]="no test",WWWW[[#This Row],[% Household received corrective actions]]="no test"),"No Test","Tested")</f>
        <v>No Test</v>
      </c>
      <c r="BT515" s="558">
        <f>WWWW[[#This Row],['#_Constructed/existing protected hand dug well]]-WWWW[[#This Row],['#_Non-functional protected hand dug well]]</f>
        <v>0</v>
      </c>
      <c r="BU515" s="558">
        <f>(WWWW[[#This Row],['#_Constructed/Existing tube wells/boreholes/handpumps_WASH_agency]]+WWWW[[#This Row],['#_Non-Cluster partner water tube-wells/boreholes/handpumps]])-WWWW[[#This Row],['#_Non-functional tube wells/boreholes/handpumps]]</f>
        <v>0</v>
      </c>
      <c r="BV515" s="558">
        <f>WWWW[[#This Row],['#_Constructed/Existingwater storage tank with gravity fed reticulation system]]-WWWW[[#This Row],['#_Non-functional storage tank gravity fed reticulation system]]</f>
        <v>0</v>
      </c>
      <c r="BW515" s="558">
        <f>WWWW[[#This Row],['#_Water boating or water trucking]]</f>
        <v>0</v>
      </c>
      <c r="BX515" s="558">
        <f>WWWW[[#This Row],['#_Constructed/Existing water distribution system from river or natural spring]]</f>
        <v>1</v>
      </c>
      <c r="BY51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3.663003663003663E-4</v>
      </c>
      <c r="BZ51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3.663003663003663E-4</v>
      </c>
      <c r="CA515" s="559">
        <f>IF(WWWW[[#This Row],[Location Type 1]]="Village",WWWW[[#This Row],[Access to safe drinking water for Village]],WWWW[[#This Row],[Access to safe drinking water for Camp]])</f>
        <v>3.663003663003663E-4</v>
      </c>
      <c r="CB515" s="556">
        <f>WWWW[[#This Row],[%Equitable and continuous access to sufficient quantity of safe drinking water]]*WWWW[[#This Row],[Total PoP ]]</f>
        <v>6.6666666666666666E-2</v>
      </c>
      <c r="CC515" s="559">
        <f>IF((WWWW[[#This Row],['#_Constructed/Existing protected/fenced ponds]]*250)/WWWW[[#This Row],[Total PoP ]]&gt;1,1,(WWWW[[#This Row],['#_Constructed/Existing protected/fenced ponds]]*250)/WWWW[[#This Row],[Total PoP ]])</f>
        <v>0</v>
      </c>
      <c r="CD515" s="556">
        <f>WWWW[[#This Row],[% Access to unimproved water points]]*WWWW[[#This Row],[Total PoP ]]</f>
        <v>0</v>
      </c>
      <c r="CE51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3.663003663003663E-4</v>
      </c>
      <c r="CF51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6.6666666666666666E-2</v>
      </c>
      <c r="CG515" s="556">
        <f>WWWW[[#This Row],[HRP1]]/500</f>
        <v>1.3333333333333334E-4</v>
      </c>
      <c r="CH515" s="561">
        <f>1-WWWW[[#This Row],[% Equitable and continuous access to sufficient quantity of domestic water]]</f>
        <v>0.99963369963369964</v>
      </c>
      <c r="CI515" s="556">
        <f>WWWW[[#This Row],[%equitable and continuous access to sufficient quantity of safe drinking and domestic water''s GAP]]*WWWW[[#This Row],[Total PoP ]]</f>
        <v>181.93333333333334</v>
      </c>
      <c r="CJ515" s="558">
        <f>IF(WWWW[[#This Row],[Total required water points]]-WWWW[[#This Row],['#Water points coverage]]&lt;0,0,WWWW[[#This Row],[Total required water points]]-WWWW[[#This Row],['#Water points coverage]])</f>
        <v>0.99986666666666668</v>
      </c>
      <c r="CK515" s="558">
        <f>ROUND(IF(WWWW[[#This Row],[Total PoP ]]&lt;500,1,WWWW[[#This Row],[Total PoP ]]/500),0)</f>
        <v>1</v>
      </c>
      <c r="CL515" s="558">
        <f>(WWWW[[#This Row],['#_Constructed latrines_by_WASHAgencies]]+WWWW[[#This Row],['#_Non Cluster partner latrines]])-WWWW[[#This Row],['#_Non-functional latrines]]</f>
        <v>8</v>
      </c>
      <c r="CM51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0.87912087912087911</v>
      </c>
      <c r="CN51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15"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5" s="558">
        <f>IF(WWWW[[#This Row],[Location Type 1]]="Village","NA",IF(WWWW[[#This Row],['#_Constructed/Existing latrines in TLS]]*50&gt;WWWW[[#This Row],['#_students at TLS_CFS]],WWWW[[#This Row],['#_students at TLS_CFS]],(WWWW[[#This Row],['#_Constructed/Existing latrines in TLS]]*50)))</f>
        <v>0</v>
      </c>
      <c r="CQ515" s="558">
        <f>ROUND(IF(WWWW[[#This Row],[Location Type 1]]="camp",WWWW[[#This Row],[Total PoP ]]/20,IF(WWWW[[#This Row],[Location Type 1]]="Temporary Location",WWWW[[#This Row],[Total PoP ]]/50,(WWWW[[#This Row],[Total PoP ]]/6))),0)</f>
        <v>9</v>
      </c>
      <c r="CR515" s="558">
        <f>IF(WWWW[[#This Row],[Total required Latrines]]-(WWWW[[#This Row],['#_Constructed latrines_by_WASHAgencies]]+WWWW[[#This Row],['#_Non Cluster partner latrines]])&lt;0,0,WWWW[[#This Row],[Total required Latrines]]-(WWWW[[#This Row],['#_Constructed latrines_by_WASHAgencies]]+WWWW[[#This Row],['#_Non Cluster partner latrines]]))</f>
        <v>0</v>
      </c>
      <c r="CS515" s="78">
        <f>1-WWWW[[#This Row],[% people access to functioning Latrine]]</f>
        <v>0.12087912087912089</v>
      </c>
      <c r="CT515" s="560">
        <f>IF(OR(WWWW[[#This Row],['#_Non-functional latrines]]="",WWWW[[#This Row],['#_Non-functional latrines]]=0),0,WWWW[[#This Row],['#_Non-functional latrines]]/(WWWW[[#This Row],['#_Constructed latrines_by_WASHAgencies]]+WWWW[[#This Row],['#_Non Cluster partner latrines]]))</f>
        <v>0.33333333333333331</v>
      </c>
      <c r="CU515" s="556">
        <f>IF(500*(WWWW[[#This Row],['#_male hygiene promoters]]+WWWW[[#This Row],['#_female hygiene promoters]])&gt;WWWW[[#This Row],[Total PoP ]],WWWW[[#This Row],[Total PoP ]],500*(WWWW[[#This Row],['#_male hygiene promoters]]+WWWW[[#This Row],['#_female hygiene promoters]]))</f>
        <v>182</v>
      </c>
      <c r="CV51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5" s="558">
        <f>IF(WWWW[[#This Row],['# People with access to soap]]&gt;WWWW[[#This Row],['# People with access to Sanity Pads]],WWWW[[#This Row],['# People with access to soap]],WWWW[[#This Row],['# People with access to Sanity Pads]])</f>
        <v>0</v>
      </c>
      <c r="CY515" s="558">
        <f>IF(WWWW[[#This Row],['# people reached by regular dedicated hygiene promotion_5]]&gt;WWWW[[#This Row],['# People received regular supply of hygiene items_6]],WWWW[[#This Row],['# people reached by regular dedicated hygiene promotion_5]],WWWW[[#This Row],['# People received regular supply of hygiene items_6]])</f>
        <v>182</v>
      </c>
      <c r="CZ515" s="561">
        <f>IF(WWWW[[#This Row],[HRP3]]/WWWW[[#This Row],[Total PoP ]]&gt;100%,100%,WWWW[[#This Row],[HRP3]]/WWWW[[#This Row],[Total PoP ]])</f>
        <v>1</v>
      </c>
      <c r="DA515" s="560">
        <f>1-WWWW[[#This Row],[Hygiene Coverage%]]</f>
        <v>0</v>
      </c>
      <c r="DB515" s="559">
        <f>WWWW[[#This Row],['# people reached by regular dedicated hygiene promotion_5]]/WWWW[[#This Row],[Total PoP ]]</f>
        <v>1</v>
      </c>
      <c r="DC515" s="559">
        <f>IF(WWWW[[#This Row],['#_households that received standard amount of soap for this quarter]]/WWWW[[#This Row],[Total HH]]&gt;1,1,WWWW[[#This Row],['#_households that received standard amount of soap for this quarter]]/WWWW[[#This Row],[Total HH]])</f>
        <v>0</v>
      </c>
      <c r="DD515" s="559">
        <f>IF(WWWW[[#This Row],['#_households that received standard amount of sanitary pads for this quarter]]/WWWW[[#This Row],[Total HH]]&gt;1,1,WWWW[[#This Row],['#_households that received standard amount of sanitary pads for this quarter]]/WWWW[[#This Row],[Total HH]])</f>
        <v>0</v>
      </c>
      <c r="DE515" s="558">
        <f>WWWW[[#This Row],['#_Constructed/Existing hand washing stations]]-WWWW[[#This Row],['#_Non-Functional_hand_washing_stations]]</f>
        <v>0</v>
      </c>
      <c r="DF515" s="757">
        <f>IF(WWWW[[#This Row],['# Functional hand washing stations during reporting period]]*20&gt;WWWW[[#This Row],[Total HH]],WWWW[[#This Row],[Total HH]],WWWW[[#This Row],['# Functional hand washing stations during reporting period]]*20)</f>
        <v>0</v>
      </c>
      <c r="DG515" s="556">
        <f>IF(WWWW[[#This Row],[Is sufficient soap available for TLS? (Yes/No)]]="yes",WWWW[[#This Row],['#_Constructed/Existing hand washing stations at TLS]],0)</f>
        <v>0</v>
      </c>
      <c r="DH515" s="556">
        <f>IF(WWWW[[#This Row],['# Functional hand washing stations during reporting period]]*100&gt;WWWW[[#This Row],[Total PoP ]],WWWW[[#This Row],[Total PoP ]],WWWW[[#This Row],['# Functional hand washing stations during reporting period]]*100)</f>
        <v>0</v>
      </c>
      <c r="DI515" s="556" t="str">
        <f>IF(OR(WWWW[[#This Row],['#_students at TLS_CFS]]="",WWWW[[#This Row],['#_students at TLS_CFS]]=0),"No","Yes")</f>
        <v>Yes</v>
      </c>
      <c r="DJ515" s="554" t="str">
        <f>VLOOKUP(WWWW[[#This Row],[Site Name]],SiteDB6[[Site Name]:[CCCM Management]],6,FALSE)</f>
        <v>Yes</v>
      </c>
      <c r="DK515" s="554" t="str">
        <f>VLOOKUP(WWWW[[#This Row],[Site Name]],SiteDB6[[Site Name]:[CCCM Focal Agency]],7,FALSE)</f>
        <v>KMSS-LSO</v>
      </c>
      <c r="DL515" s="554" t="str">
        <f>VLOOKUP(WWWW[[#This Row],[Site Name]],SiteDB6[[Site Name]:[Location Type 1]],9,FALSE)</f>
        <v>Camp</v>
      </c>
      <c r="DM515" s="554" t="str">
        <f>VLOOKUP(WWWW[[#This Row],[Site Name]],SiteDB6[[Site Name]:[Type of Accommodation]],10,FALSE)</f>
        <v>Camp</v>
      </c>
      <c r="DN515" s="554" t="str">
        <f>VLOOKUP(WWWW[[#This Row],[Site Name]],SiteDB6[[Site Name]:[Ethnic or GCA/NGCA]],11,FALSE)</f>
        <v>GCA</v>
      </c>
      <c r="DO515" s="554">
        <f>VLOOKUP(WWWW[[#This Row],[Site Name]],SiteDB6[[Site Name]:[Lat]],12,FALSE)</f>
        <v>0</v>
      </c>
      <c r="DP515" s="554">
        <f>VLOOKUP(WWWW[[#This Row],[Site Name]],SiteDB6[[Site Name]:[Long]],13,FALSE)</f>
        <v>0</v>
      </c>
      <c r="DQ515" s="554" t="str">
        <f>VLOOKUP(WWWW[[#This Row],[Site Name]],SiteDB6[[Site Name]:[Pcode]],3,FALSE)</f>
        <v>MMR015CMP232</v>
      </c>
      <c r="DR515" s="563" t="str">
        <f t="shared" si="18"/>
        <v>Covered</v>
      </c>
      <c r="DS515" s="563"/>
      <c r="DV515" s="579"/>
    </row>
    <row r="516" spans="1:126">
      <c r="A516" s="552" t="s">
        <v>2518</v>
      </c>
      <c r="B516" s="555" t="s">
        <v>1957</v>
      </c>
      <c r="C516" s="555" t="s">
        <v>1957</v>
      </c>
      <c r="D516" s="584" t="s">
        <v>2970</v>
      </c>
      <c r="E516" s="574" t="s">
        <v>716</v>
      </c>
      <c r="F516" s="555" t="s">
        <v>720</v>
      </c>
      <c r="G516" s="574" t="str">
        <f>VLOOKUP(WWWW[[#This Row],[Site Name]],SiteDB6[[Site Name]:[Location Type]],8,FALSE)</f>
        <v>Camp</v>
      </c>
      <c r="H516" s="555" t="s">
        <v>2196</v>
      </c>
      <c r="I516" s="557">
        <v>82</v>
      </c>
      <c r="J516" s="557">
        <v>426</v>
      </c>
      <c r="K516" s="593" t="s">
        <v>2971</v>
      </c>
      <c r="L516" s="58" t="s">
        <v>2972</v>
      </c>
      <c r="M516" s="557">
        <v>102</v>
      </c>
      <c r="N516" s="557"/>
      <c r="O516" s="557"/>
      <c r="P516" s="557"/>
      <c r="Q516" s="585" t="s">
        <v>43</v>
      </c>
      <c r="R516" s="312">
        <v>6</v>
      </c>
      <c r="S516" s="312">
        <v>3</v>
      </c>
      <c r="T516" s="557"/>
      <c r="U516" s="557"/>
      <c r="V516" s="557"/>
      <c r="W516" s="557"/>
      <c r="X516" s="557"/>
      <c r="Y516" s="557"/>
      <c r="Z516" s="557"/>
      <c r="AA516" s="312">
        <v>54</v>
      </c>
      <c r="AB516" s="557"/>
      <c r="AC516" s="557"/>
      <c r="AD516" s="557"/>
      <c r="AE516" s="557"/>
      <c r="AF516" s="557"/>
      <c r="AG516" s="312">
        <v>1</v>
      </c>
      <c r="AH516" s="557"/>
      <c r="AI516" s="312">
        <v>1</v>
      </c>
      <c r="AJ516" s="557"/>
      <c r="AK516" s="312">
        <v>15</v>
      </c>
      <c r="AL516" s="557"/>
      <c r="AM516" s="557"/>
      <c r="AN516" s="557"/>
      <c r="AO516" s="563"/>
      <c r="AP516" s="312">
        <v>15</v>
      </c>
      <c r="AQ516" s="557"/>
      <c r="AR516" s="559"/>
      <c r="AS516" s="557"/>
      <c r="AT516" s="312">
        <v>2</v>
      </c>
      <c r="AU516" s="557"/>
      <c r="AV516" s="557"/>
      <c r="AW516" s="557"/>
      <c r="AX516" s="592" t="s">
        <v>43</v>
      </c>
      <c r="AY516" s="586" t="s">
        <v>1200</v>
      </c>
      <c r="AZ516" s="557"/>
      <c r="BA516" s="557"/>
      <c r="BB516" s="557"/>
      <c r="BC516" s="554"/>
      <c r="BD516" s="557"/>
      <c r="BE516" s="557"/>
      <c r="BF516" s="557"/>
      <c r="BG516" s="557"/>
      <c r="BH516" s="557"/>
      <c r="BI516" s="557"/>
      <c r="BJ516" s="312">
        <v>1</v>
      </c>
      <c r="BK516" s="312">
        <v>63</v>
      </c>
      <c r="BL516" s="557">
        <v>0</v>
      </c>
      <c r="BM516" s="554"/>
      <c r="BN516" s="558"/>
      <c r="BO516" s="594">
        <v>0.5</v>
      </c>
      <c r="BP516" s="554"/>
      <c r="BQ516" s="560">
        <f>IFERROR(WWWW[[#This Row],['#_Water sources treated]]/WWWW[[#This Row],['#_Water sources tested for contamination]],"no test")</f>
        <v>0</v>
      </c>
      <c r="BR516" s="559">
        <f>IFERROR(WWWW[[#This Row],['#_Household received remediation action due to contamination]]/WWWW[[#This Row],['#_Household water samples tested for contamination]],"no test")</f>
        <v>0</v>
      </c>
      <c r="BS516" s="558" t="str">
        <f>IF(AND(WWWW[[#This Row],[% of water sources treated]]="no test",WWWW[[#This Row],[% Household received corrective actions]]="no test"),"No Test","Tested")</f>
        <v>Tested</v>
      </c>
      <c r="BT516" s="558">
        <f>WWWW[[#This Row],['#_Constructed/existing protected hand dug well]]-WWWW[[#This Row],['#_Non-functional protected hand dug well]]</f>
        <v>0</v>
      </c>
      <c r="BU516" s="558">
        <f>(WWWW[[#This Row],['#_Constructed/Existing tube wells/boreholes/handpumps_WASH_agency]]+WWWW[[#This Row],['#_Non-Cluster partner water tube-wells/boreholes/handpumps]])-WWWW[[#This Row],['#_Non-functional tube wells/boreholes/handpumps]]</f>
        <v>0</v>
      </c>
      <c r="BV516" s="558">
        <f>WWWW[[#This Row],['#_Constructed/Existingwater storage tank with gravity fed reticulation system]]-WWWW[[#This Row],['#_Non-functional storage tank gravity fed reticulation system]]</f>
        <v>54</v>
      </c>
      <c r="BW516" s="558">
        <f>WWWW[[#This Row],['#_Water boating or water trucking]]</f>
        <v>0</v>
      </c>
      <c r="BX516" s="558">
        <f>WWWW[[#This Row],['#_Constructed/Existing water distribution system from river or natural spring]]</f>
        <v>0</v>
      </c>
      <c r="BY51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16" s="559">
        <f>IF(WWWW[[#This Row],[Location Type 1]]="Village",WWWW[[#This Row],[Access to safe drinking water for Village]],WWWW[[#This Row],[Access to safe drinking water for Camp]])</f>
        <v>1</v>
      </c>
      <c r="CB516" s="556">
        <f>WWWW[[#This Row],[%Equitable and continuous access to sufficient quantity of safe drinking water]]*WWWW[[#This Row],[Total PoP ]]</f>
        <v>426</v>
      </c>
      <c r="CC516" s="559">
        <f>IF((WWWW[[#This Row],['#_Constructed/Existing protected/fenced ponds]]*250)/WWWW[[#This Row],[Total PoP ]]&gt;1,1,(WWWW[[#This Row],['#_Constructed/Existing protected/fenced ponds]]*250)/WWWW[[#This Row],[Total PoP ]])</f>
        <v>0</v>
      </c>
      <c r="CD516" s="556">
        <f>WWWW[[#This Row],[% Access to unimproved water points]]*WWWW[[#This Row],[Total PoP ]]</f>
        <v>0</v>
      </c>
      <c r="CE51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G516" s="556">
        <f>WWWW[[#This Row],[HRP1]]/500</f>
        <v>0.85199999999999998</v>
      </c>
      <c r="CH516" s="561">
        <f>1-WWWW[[#This Row],[% Equitable and continuous access to sufficient quantity of domestic water]]</f>
        <v>0</v>
      </c>
      <c r="CI516" s="556">
        <f>WWWW[[#This Row],[%equitable and continuous access to sufficient quantity of safe drinking and domestic water''s GAP]]*WWWW[[#This Row],[Total PoP ]]</f>
        <v>0</v>
      </c>
      <c r="CJ516" s="558">
        <f>IF(WWWW[[#This Row],[Total required water points]]-WWWW[[#This Row],['#Water points coverage]]&lt;0,0,WWWW[[#This Row],[Total required water points]]-WWWW[[#This Row],['#Water points coverage]])</f>
        <v>0.14800000000000002</v>
      </c>
      <c r="CK516" s="558">
        <f>ROUND(IF(WWWW[[#This Row],[Total PoP ]]&lt;500,1,WWWW[[#This Row],[Total PoP ]]/500),0)</f>
        <v>1</v>
      </c>
      <c r="CL516" s="558">
        <f>(WWWW[[#This Row],['#_Constructed latrines_by_WASHAgencies]]+WWWW[[#This Row],['#_Non Cluster partner latrines]])-WWWW[[#This Row],['#_Non-functional latrines]]</f>
        <v>15</v>
      </c>
      <c r="CM51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0.70422535211267601</v>
      </c>
      <c r="CN51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516"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6" s="558">
        <f>IF(WWWW[[#This Row],[Location Type 1]]="Village","NA",IF(WWWW[[#This Row],['#_Constructed/Existing latrines in TLS]]*50&gt;WWWW[[#This Row],['#_students at TLS_CFS]],WWWW[[#This Row],['#_students at TLS_CFS]],(WWWW[[#This Row],['#_Constructed/Existing latrines in TLS]]*50)))</f>
        <v>0</v>
      </c>
      <c r="CQ516" s="558">
        <f>ROUND(IF(WWWW[[#This Row],[Location Type 1]]="camp",WWWW[[#This Row],[Total PoP ]]/20,IF(WWWW[[#This Row],[Location Type 1]]="Temporary Location",WWWW[[#This Row],[Total PoP ]]/50,(WWWW[[#This Row],[Total PoP ]]/6))),0)</f>
        <v>21</v>
      </c>
      <c r="CR516" s="558">
        <f>IF(WWWW[[#This Row],[Total required Latrines]]-(WWWW[[#This Row],['#_Constructed latrines_by_WASHAgencies]]+WWWW[[#This Row],['#_Non Cluster partner latrines]])&lt;0,0,WWWW[[#This Row],[Total required Latrines]]-(WWWW[[#This Row],['#_Constructed latrines_by_WASHAgencies]]+WWWW[[#This Row],['#_Non Cluster partner latrines]]))</f>
        <v>6</v>
      </c>
      <c r="CS516" s="78">
        <f>1-WWWW[[#This Row],[% people access to functioning Latrine]]</f>
        <v>0.29577464788732399</v>
      </c>
      <c r="CT516" s="560">
        <f>IF(OR(WWWW[[#This Row],['#_Non-functional latrines]]="",WWWW[[#This Row],['#_Non-functional latrines]]=0),0,WWWW[[#This Row],['#_Non-functional latrines]]/(WWWW[[#This Row],['#_Constructed latrines_by_WASHAgencies]]+WWWW[[#This Row],['#_Non Cluster partner latrines]]))</f>
        <v>0</v>
      </c>
      <c r="CU516" s="556">
        <f>IF(500*(WWWW[[#This Row],['#_male hygiene promoters]]+WWWW[[#This Row],['#_female hygiene promoters]])&gt;WWWW[[#This Row],[Total PoP ]],WWWW[[#This Row],[Total PoP ]],500*(WWWW[[#This Row],['#_male hygiene promoters]]+WWWW[[#This Row],['#_female hygiene promoters]]))</f>
        <v>426</v>
      </c>
      <c r="CV51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315</v>
      </c>
      <c r="CW51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6" s="558">
        <f>IF(WWWW[[#This Row],['# People with access to soap]]&gt;WWWW[[#This Row],['# People with access to Sanity Pads]],WWWW[[#This Row],['# People with access to soap]],WWWW[[#This Row],['# People with access to Sanity Pads]])</f>
        <v>315</v>
      </c>
      <c r="CY516" s="558">
        <f>IF(WWWW[[#This Row],['# people reached by regular dedicated hygiene promotion_5]]&gt;WWWW[[#This Row],['# People received regular supply of hygiene items_6]],WWWW[[#This Row],['# people reached by regular dedicated hygiene promotion_5]],WWWW[[#This Row],['# People received regular supply of hygiene items_6]])</f>
        <v>426</v>
      </c>
      <c r="CZ516" s="561">
        <f>IF(WWWW[[#This Row],[HRP3]]/WWWW[[#This Row],[Total PoP ]]&gt;100%,100%,WWWW[[#This Row],[HRP3]]/WWWW[[#This Row],[Total PoP ]])</f>
        <v>1</v>
      </c>
      <c r="DA516" s="560">
        <f>1-WWWW[[#This Row],[Hygiene Coverage%]]</f>
        <v>0</v>
      </c>
      <c r="DB516" s="559">
        <f>WWWW[[#This Row],['# people reached by regular dedicated hygiene promotion_5]]/WWWW[[#This Row],[Total PoP ]]</f>
        <v>1</v>
      </c>
      <c r="DC516" s="559">
        <f>IF(WWWW[[#This Row],['#_households that received standard amount of soap for this quarter]]/WWWW[[#This Row],[Total HH]]&gt;1,1,WWWW[[#This Row],['#_households that received standard amount of soap for this quarter]]/WWWW[[#This Row],[Total HH]])</f>
        <v>0.76829268292682928</v>
      </c>
      <c r="DD516" s="559">
        <f>IF(WWWW[[#This Row],['#_households that received standard amount of sanitary pads for this quarter]]/WWWW[[#This Row],[Total HH]]&gt;1,1,WWWW[[#This Row],['#_households that received standard amount of sanitary pads for this quarter]]/WWWW[[#This Row],[Total HH]])</f>
        <v>0</v>
      </c>
      <c r="DE516" s="558">
        <f>WWWW[[#This Row],['#_Constructed/Existing hand washing stations]]-WWWW[[#This Row],['#_Non-Functional_hand_washing_stations]]</f>
        <v>0</v>
      </c>
      <c r="DF516" s="757">
        <f>IF(WWWW[[#This Row],['# Functional hand washing stations during reporting period]]*20&gt;WWWW[[#This Row],[Total HH]],WWWW[[#This Row],[Total HH]],WWWW[[#This Row],['# Functional hand washing stations during reporting period]]*20)</f>
        <v>0</v>
      </c>
      <c r="DG516" s="556">
        <f>IF(WWWW[[#This Row],[Is sufficient soap available for TLS? (Yes/No)]]="yes",WWWW[[#This Row],['#_Constructed/Existing hand washing stations at TLS]],0)</f>
        <v>0</v>
      </c>
      <c r="DH516" s="556">
        <f>IF(WWWW[[#This Row],['# Functional hand washing stations during reporting period]]*100&gt;WWWW[[#This Row],[Total PoP ]],WWWW[[#This Row],[Total PoP ]],WWWW[[#This Row],['# Functional hand washing stations during reporting period]]*100)</f>
        <v>0</v>
      </c>
      <c r="DI516" s="556" t="str">
        <f>IF(OR(WWWW[[#This Row],['#_students at TLS_CFS]]="",WWWW[[#This Row],['#_students at TLS_CFS]]=0),"No","Yes")</f>
        <v>Yes</v>
      </c>
      <c r="DJ516" s="554" t="str">
        <f>VLOOKUP(WWWW[[#This Row],[Site Name]],SiteDB6[[Site Name]:[CCCM Management]],6,FALSE)</f>
        <v>Yes</v>
      </c>
      <c r="DK516" s="554" t="str">
        <f>VLOOKUP(WWWW[[#This Row],[Site Name]],SiteDB6[[Site Name]:[CCCM Focal Agency]],7,FALSE)</f>
        <v>KMSS-LSO</v>
      </c>
      <c r="DL516" s="554" t="str">
        <f>VLOOKUP(WWWW[[#This Row],[Site Name]],SiteDB6[[Site Name]:[Location Type 1]],9,FALSE)</f>
        <v>Camp</v>
      </c>
      <c r="DM516" s="554" t="str">
        <f>VLOOKUP(WWWW[[#This Row],[Site Name]],SiteDB6[[Site Name]:[Type of Accommodation]],10,FALSE)</f>
        <v>Camp</v>
      </c>
      <c r="DN516" s="554" t="str">
        <f>VLOOKUP(WWWW[[#This Row],[Site Name]],SiteDB6[[Site Name]:[Ethnic or GCA/NGCA]],11,FALSE)</f>
        <v>GCA</v>
      </c>
      <c r="DO516" s="554">
        <f>VLOOKUP(WWWW[[#This Row],[Site Name]],SiteDB6[[Site Name]:[Lat]],12,FALSE)</f>
        <v>23.591999999999999</v>
      </c>
      <c r="DP516" s="554">
        <f>VLOOKUP(WWWW[[#This Row],[Site Name]],SiteDB6[[Site Name]:[Long]],13,FALSE)</f>
        <v>97.796999999999997</v>
      </c>
      <c r="DQ516" s="554" t="str">
        <f>VLOOKUP(WWWW[[#This Row],[Site Name]],SiteDB6[[Site Name]:[Pcode]],3,FALSE)</f>
        <v>MMR015CMP220</v>
      </c>
      <c r="DR516" s="563" t="str">
        <f t="shared" si="18"/>
        <v>Covered</v>
      </c>
      <c r="DS516" s="563"/>
      <c r="DV516" s="579"/>
    </row>
    <row r="517" spans="1:126">
      <c r="A517" s="552" t="s">
        <v>2518</v>
      </c>
      <c r="B517" s="555" t="s">
        <v>317</v>
      </c>
      <c r="C517" s="555" t="s">
        <v>317</v>
      </c>
      <c r="D517" s="555"/>
      <c r="E517" s="555" t="s">
        <v>716</v>
      </c>
      <c r="F517" s="555" t="s">
        <v>757</v>
      </c>
      <c r="G517" s="554" t="s">
        <v>45</v>
      </c>
      <c r="H517" s="555" t="s">
        <v>758</v>
      </c>
      <c r="I517" s="557">
        <v>37</v>
      </c>
      <c r="J517" s="557">
        <v>120</v>
      </c>
      <c r="K517" s="564"/>
      <c r="L517" s="565"/>
      <c r="M517" s="557"/>
      <c r="N517" s="557"/>
      <c r="O517" s="557"/>
      <c r="P517" s="557"/>
      <c r="Q517" s="556"/>
      <c r="R517" s="557"/>
      <c r="S517" s="557"/>
      <c r="T517" s="557"/>
      <c r="U517" s="557"/>
      <c r="V517" s="557"/>
      <c r="W517" s="557"/>
      <c r="X517" s="557"/>
      <c r="Y517" s="557"/>
      <c r="Z517" s="557"/>
      <c r="AA517" s="557"/>
      <c r="AB517" s="557"/>
      <c r="AC517" s="557"/>
      <c r="AD517" s="557"/>
      <c r="AE517" s="557"/>
      <c r="AF517" s="557"/>
      <c r="AG517" s="557"/>
      <c r="AH517" s="557"/>
      <c r="AI517" s="557"/>
      <c r="AJ517" s="557"/>
      <c r="AK517" s="557"/>
      <c r="AL517" s="557"/>
      <c r="AM517" s="557"/>
      <c r="AN517" s="557"/>
      <c r="AO517" s="563"/>
      <c r="AP517" s="557"/>
      <c r="AQ517" s="557"/>
      <c r="AR517" s="559"/>
      <c r="AS517" s="557"/>
      <c r="AT517" s="557"/>
      <c r="AU517" s="557"/>
      <c r="AV517" s="557"/>
      <c r="AW517" s="557"/>
      <c r="AX517" s="554"/>
      <c r="AY517" s="563"/>
      <c r="AZ517" s="557"/>
      <c r="BA517" s="557"/>
      <c r="BB517" s="557"/>
      <c r="BC517" s="554"/>
      <c r="BD517" s="557"/>
      <c r="BE517" s="557"/>
      <c r="BF517" s="557"/>
      <c r="BG517" s="557"/>
      <c r="BH517" s="557"/>
      <c r="BI517" s="557"/>
      <c r="BJ517" s="557"/>
      <c r="BK517" s="557"/>
      <c r="BL517" s="557"/>
      <c r="BM517" s="554"/>
      <c r="BN517" s="558"/>
      <c r="BO517" s="559"/>
      <c r="BP517" s="554"/>
      <c r="BQ517" s="560" t="str">
        <f>IFERROR(WWWW[[#This Row],['#_Water sources treated]]/WWWW[[#This Row],['#_Water sources tested for contamination]],"no test")</f>
        <v>no test</v>
      </c>
      <c r="BR517" s="559" t="str">
        <f>IFERROR(WWWW[[#This Row],['#_Household received remediation action due to contamination]]/WWWW[[#This Row],['#_Household water samples tested for contamination]],"no test")</f>
        <v>no test</v>
      </c>
      <c r="BS517" s="558" t="str">
        <f>IF(AND(WWWW[[#This Row],[% of water sources treated]]="no test",WWWW[[#This Row],[% Household received corrective actions]]="no test"),"No Test","Tested")</f>
        <v>No Test</v>
      </c>
      <c r="BT517" s="558">
        <f>WWWW[[#This Row],['#_Constructed/existing protected hand dug well]]-WWWW[[#This Row],['#_Non-functional protected hand dug well]]</f>
        <v>0</v>
      </c>
      <c r="BU517" s="558">
        <f>(WWWW[[#This Row],['#_Constructed/Existing tube wells/boreholes/handpumps_WASH_agency]]+WWWW[[#This Row],['#_Non-Cluster partner water tube-wells/boreholes/handpumps]])-WWWW[[#This Row],['#_Non-functional tube wells/boreholes/handpumps]]</f>
        <v>0</v>
      </c>
      <c r="BV517" s="558">
        <f>WWWW[[#This Row],['#_Constructed/Existingwater storage tank with gravity fed reticulation system]]-WWWW[[#This Row],['#_Non-functional storage tank gravity fed reticulation system]]</f>
        <v>0</v>
      </c>
      <c r="BW517" s="558">
        <f>WWWW[[#This Row],['#_Water boating or water trucking]]</f>
        <v>0</v>
      </c>
      <c r="BX517" s="558">
        <f>WWWW[[#This Row],['#_Constructed/Existing water distribution system from river or natural spring]]</f>
        <v>0</v>
      </c>
      <c r="BY51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7" s="559">
        <f>IF(WWWW[[#This Row],[Location Type 1]]="Village",WWWW[[#This Row],[Access to safe drinking water for Village]],WWWW[[#This Row],[Access to safe drinking water for Camp]])</f>
        <v>0</v>
      </c>
      <c r="CB517" s="556">
        <f>WWWW[[#This Row],[%Equitable and continuous access to sufficient quantity of safe drinking water]]*WWWW[[#This Row],[Total PoP ]]</f>
        <v>0</v>
      </c>
      <c r="CC517" s="559">
        <f>IF((WWWW[[#This Row],['#_Constructed/Existing protected/fenced ponds]]*250)/WWWW[[#This Row],[Total PoP ]]&gt;1,1,(WWWW[[#This Row],['#_Constructed/Existing protected/fenced ponds]]*250)/WWWW[[#This Row],[Total PoP ]])</f>
        <v>0</v>
      </c>
      <c r="CD517" s="556">
        <f>WWWW[[#This Row],[% Access to unimproved water points]]*WWWW[[#This Row],[Total PoP ]]</f>
        <v>0</v>
      </c>
      <c r="CE51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7" s="556">
        <f>WWWW[[#This Row],[HRP1]]/500</f>
        <v>0</v>
      </c>
      <c r="CH517" s="561">
        <f>1-WWWW[[#This Row],[% Equitable and continuous access to sufficient quantity of domestic water]]</f>
        <v>1</v>
      </c>
      <c r="CI517" s="556">
        <f>WWWW[[#This Row],[%equitable and continuous access to sufficient quantity of safe drinking and domestic water''s GAP]]*WWWW[[#This Row],[Total PoP ]]</f>
        <v>120</v>
      </c>
      <c r="CJ517" s="558">
        <f>IF(WWWW[[#This Row],[Total required water points]]-WWWW[[#This Row],['#Water points coverage]]&lt;0,0,WWWW[[#This Row],[Total required water points]]-WWWW[[#This Row],['#Water points coverage]])</f>
        <v>1</v>
      </c>
      <c r="CK517" s="558">
        <f>ROUND(IF(WWWW[[#This Row],[Total PoP ]]&lt;500,1,WWWW[[#This Row],[Total PoP ]]/500),0)</f>
        <v>1</v>
      </c>
      <c r="CL517" s="558">
        <f>(WWWW[[#This Row],['#_Constructed latrines_by_WASHAgencies]]+WWWW[[#This Row],['#_Non Cluster partner latrines]])-WWWW[[#This Row],['#_Non-functional latrines]]</f>
        <v>0</v>
      </c>
      <c r="CM51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7"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7" s="558">
        <f>IF(WWWW[[#This Row],[Location Type 1]]="Village","NA",IF(WWWW[[#This Row],['#_Constructed/Existing latrines in TLS]]*50&gt;WWWW[[#This Row],['#_students at TLS_CFS]],WWWW[[#This Row],['#_students at TLS_CFS]],(WWWW[[#This Row],['#_Constructed/Existing latrines in TLS]]*50)))</f>
        <v>0</v>
      </c>
      <c r="CQ517" s="558">
        <f>ROUND(IF(WWWW[[#This Row],[Location Type 1]]="camp",WWWW[[#This Row],[Total PoP ]]/20,IF(WWWW[[#This Row],[Location Type 1]]="Temporary Location",WWWW[[#This Row],[Total PoP ]]/50,(WWWW[[#This Row],[Total PoP ]]/6))),0)</f>
        <v>6</v>
      </c>
      <c r="CR517" s="558">
        <f>IF(WWWW[[#This Row],[Total required Latrines]]-(WWWW[[#This Row],['#_Constructed latrines_by_WASHAgencies]]+WWWW[[#This Row],['#_Non Cluster partner latrines]])&lt;0,0,WWWW[[#This Row],[Total required Latrines]]-(WWWW[[#This Row],['#_Constructed latrines_by_WASHAgencies]]+WWWW[[#This Row],['#_Non Cluster partner latrines]]))</f>
        <v>6</v>
      </c>
      <c r="CS517" s="78">
        <f>1-WWWW[[#This Row],[% people access to functioning Latrine]]</f>
        <v>1</v>
      </c>
      <c r="CT517" s="560">
        <f>IF(OR(WWWW[[#This Row],['#_Non-functional latrines]]="",WWWW[[#This Row],['#_Non-functional latrines]]=0),0,WWWW[[#This Row],['#_Non-functional latrines]]/(WWWW[[#This Row],['#_Constructed latrines_by_WASHAgencies]]+WWWW[[#This Row],['#_Non Cluster partner latrines]]))</f>
        <v>0</v>
      </c>
      <c r="CU517" s="556">
        <f>IF(500*(WWWW[[#This Row],['#_male hygiene promoters]]+WWWW[[#This Row],['#_female hygiene promoters]])&gt;WWWW[[#This Row],[Total PoP ]],WWWW[[#This Row],[Total PoP ]],500*(WWWW[[#This Row],['#_male hygiene promoters]]+WWWW[[#This Row],['#_female hygiene promoters]]))</f>
        <v>0</v>
      </c>
      <c r="CV51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7" s="558">
        <f>IF(WWWW[[#This Row],['# People with access to soap]]&gt;WWWW[[#This Row],['# People with access to Sanity Pads]],WWWW[[#This Row],['# People with access to soap]],WWWW[[#This Row],['# People with access to Sanity Pads]])</f>
        <v>0</v>
      </c>
      <c r="CY517"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7" s="561">
        <f>IF(WWWW[[#This Row],[HRP3]]/WWWW[[#This Row],[Total PoP ]]&gt;100%,100%,WWWW[[#This Row],[HRP3]]/WWWW[[#This Row],[Total PoP ]])</f>
        <v>0</v>
      </c>
      <c r="DA517" s="560">
        <f>1-WWWW[[#This Row],[Hygiene Coverage%]]</f>
        <v>1</v>
      </c>
      <c r="DB517" s="559">
        <f>WWWW[[#This Row],['# people reached by regular dedicated hygiene promotion_5]]/WWWW[[#This Row],[Total PoP ]]</f>
        <v>0</v>
      </c>
      <c r="DC517" s="559">
        <f>IF(WWWW[[#This Row],['#_households that received standard amount of soap for this quarter]]/WWWW[[#This Row],[Total HH]]&gt;1,1,WWWW[[#This Row],['#_households that received standard amount of soap for this quarter]]/WWWW[[#This Row],[Total HH]])</f>
        <v>0</v>
      </c>
      <c r="DD517" s="559">
        <f>IF(WWWW[[#This Row],['#_households that received standard amount of sanitary pads for this quarter]]/WWWW[[#This Row],[Total HH]]&gt;1,1,WWWW[[#This Row],['#_households that received standard amount of sanitary pads for this quarter]]/WWWW[[#This Row],[Total HH]])</f>
        <v>0</v>
      </c>
      <c r="DE517" s="558">
        <f>WWWW[[#This Row],['#_Constructed/Existing hand washing stations]]-WWWW[[#This Row],['#_Non-Functional_hand_washing_stations]]</f>
        <v>0</v>
      </c>
      <c r="DF517" s="757">
        <f>IF(WWWW[[#This Row],['# Functional hand washing stations during reporting period]]*20&gt;WWWW[[#This Row],[Total HH]],WWWW[[#This Row],[Total HH]],WWWW[[#This Row],['# Functional hand washing stations during reporting period]]*20)</f>
        <v>0</v>
      </c>
      <c r="DG517" s="556">
        <f>IF(WWWW[[#This Row],[Is sufficient soap available for TLS? (Yes/No)]]="yes",WWWW[[#This Row],['#_Constructed/Existing hand washing stations at TLS]],0)</f>
        <v>0</v>
      </c>
      <c r="DH517" s="556">
        <f>IF(WWWW[[#This Row],['# Functional hand washing stations during reporting period]]*100&gt;WWWW[[#This Row],[Total PoP ]],WWWW[[#This Row],[Total PoP ]],WWWW[[#This Row],['# Functional hand washing stations during reporting period]]*100)</f>
        <v>0</v>
      </c>
      <c r="DI517" s="556" t="str">
        <f>IF(OR(WWWW[[#This Row],['#_students at TLS_CFS]]="",WWWW[[#This Row],['#_students at TLS_CFS]]=0),"No","Yes")</f>
        <v>No</v>
      </c>
      <c r="DJ517" s="554">
        <f>VLOOKUP(WWWW[[#This Row],[Site Name]],SiteDB6[[Site Name]:[CCCM Management]],6,FALSE)</f>
        <v>0</v>
      </c>
      <c r="DK517" s="554" t="str">
        <f>VLOOKUP(WWWW[[#This Row],[Site Name]],SiteDB6[[Site Name]:[CCCM Focal Agency]],7,FALSE)</f>
        <v>uncovered</v>
      </c>
      <c r="DL517" s="554" t="str">
        <f>VLOOKUP(WWWW[[#This Row],[Site Name]],SiteDB6[[Site Name]:[Location Type 1]],9,FALSE)</f>
        <v>Camp</v>
      </c>
      <c r="DM517" s="554" t="str">
        <f>VLOOKUP(WWWW[[#This Row],[Site Name]],SiteDB6[[Site Name]:[Type of Accommodation]],10,FALSE)</f>
        <v>Camp like setting</v>
      </c>
      <c r="DN517" s="554" t="str">
        <f>VLOOKUP(WWWW[[#This Row],[Site Name]],SiteDB6[[Site Name]:[Ethnic or GCA/NGCA]],11,FALSE)</f>
        <v>GCA</v>
      </c>
      <c r="DO517" s="554">
        <f>VLOOKUP(WWWW[[#This Row],[Site Name]],SiteDB6[[Site Name]:[Lat]],12,FALSE)</f>
        <v>22.677008000000001</v>
      </c>
      <c r="DP517" s="554">
        <f>VLOOKUP(WWWW[[#This Row],[Site Name]],SiteDB6[[Site Name]:[Long]],13,FALSE)</f>
        <v>97.314762999999999</v>
      </c>
      <c r="DQ517" s="554" t="str">
        <f>VLOOKUP(WWWW[[#This Row],[Site Name]],SiteDB6[[Site Name]:[Pcode]],3,FALSE)</f>
        <v>MMR015CMP244</v>
      </c>
      <c r="DR517" s="563" t="str">
        <f t="shared" si="18"/>
        <v>Notcovered</v>
      </c>
      <c r="DS517" s="563"/>
      <c r="DV517" s="579"/>
    </row>
    <row r="518" spans="1:126">
      <c r="A518" s="552" t="s">
        <v>2518</v>
      </c>
      <c r="B518" s="555" t="s">
        <v>317</v>
      </c>
      <c r="C518" s="555" t="s">
        <v>317</v>
      </c>
      <c r="D518" s="555"/>
      <c r="E518" s="555" t="s">
        <v>716</v>
      </c>
      <c r="F518" s="555" t="s">
        <v>720</v>
      </c>
      <c r="G518" s="554" t="s">
        <v>45</v>
      </c>
      <c r="H518" s="555" t="s">
        <v>755</v>
      </c>
      <c r="I518" s="557">
        <v>24</v>
      </c>
      <c r="J518" s="557">
        <v>86</v>
      </c>
      <c r="K518" s="564"/>
      <c r="L518" s="565"/>
      <c r="M518" s="557"/>
      <c r="N518" s="557"/>
      <c r="O518" s="557"/>
      <c r="P518" s="557"/>
      <c r="Q518" s="556"/>
      <c r="R518" s="557"/>
      <c r="S518" s="557"/>
      <c r="T518" s="557"/>
      <c r="U518" s="557"/>
      <c r="V518" s="557"/>
      <c r="W518" s="557"/>
      <c r="X518" s="557"/>
      <c r="Y518" s="557"/>
      <c r="Z518" s="557"/>
      <c r="AA518" s="557"/>
      <c r="AB518" s="557"/>
      <c r="AC518" s="557"/>
      <c r="AD518" s="557"/>
      <c r="AE518" s="557"/>
      <c r="AF518" s="557"/>
      <c r="AG518" s="557"/>
      <c r="AH518" s="557"/>
      <c r="AI518" s="557"/>
      <c r="AJ518" s="557"/>
      <c r="AK518" s="557"/>
      <c r="AL518" s="557"/>
      <c r="AM518" s="557"/>
      <c r="AN518" s="557"/>
      <c r="AO518" s="563"/>
      <c r="AP518" s="557"/>
      <c r="AQ518" s="557"/>
      <c r="AR518" s="559"/>
      <c r="AS518" s="557"/>
      <c r="AT518" s="557"/>
      <c r="AU518" s="557"/>
      <c r="AV518" s="557"/>
      <c r="AW518" s="557"/>
      <c r="AX518" s="554"/>
      <c r="AY518" s="563"/>
      <c r="AZ518" s="557"/>
      <c r="BA518" s="557"/>
      <c r="BB518" s="557"/>
      <c r="BC518" s="554"/>
      <c r="BD518" s="557"/>
      <c r="BE518" s="557"/>
      <c r="BF518" s="557"/>
      <c r="BG518" s="557"/>
      <c r="BH518" s="557"/>
      <c r="BI518" s="557"/>
      <c r="BJ518" s="557"/>
      <c r="BK518" s="557"/>
      <c r="BL518" s="557"/>
      <c r="BM518" s="554"/>
      <c r="BN518" s="558"/>
      <c r="BO518" s="559"/>
      <c r="BP518" s="554"/>
      <c r="BQ518" s="560" t="str">
        <f>IFERROR(WWWW[[#This Row],['#_Water sources treated]]/WWWW[[#This Row],['#_Water sources tested for contamination]],"no test")</f>
        <v>no test</v>
      </c>
      <c r="BR518" s="559" t="str">
        <f>IFERROR(WWWW[[#This Row],['#_Household received remediation action due to contamination]]/WWWW[[#This Row],['#_Household water samples tested for contamination]],"no test")</f>
        <v>no test</v>
      </c>
      <c r="BS518" s="558" t="str">
        <f>IF(AND(WWWW[[#This Row],[% of water sources treated]]="no test",WWWW[[#This Row],[% Household received corrective actions]]="no test"),"No Test","Tested")</f>
        <v>No Test</v>
      </c>
      <c r="BT518" s="558">
        <f>WWWW[[#This Row],['#_Constructed/existing protected hand dug well]]-WWWW[[#This Row],['#_Non-functional protected hand dug well]]</f>
        <v>0</v>
      </c>
      <c r="BU518" s="558">
        <f>(WWWW[[#This Row],['#_Constructed/Existing tube wells/boreholes/handpumps_WASH_agency]]+WWWW[[#This Row],['#_Non-Cluster partner water tube-wells/boreholes/handpumps]])-WWWW[[#This Row],['#_Non-functional tube wells/boreholes/handpumps]]</f>
        <v>0</v>
      </c>
      <c r="BV518" s="558">
        <f>WWWW[[#This Row],['#_Constructed/Existingwater storage tank with gravity fed reticulation system]]-WWWW[[#This Row],['#_Non-functional storage tank gravity fed reticulation system]]</f>
        <v>0</v>
      </c>
      <c r="BW518" s="558">
        <f>WWWW[[#This Row],['#_Water boating or water trucking]]</f>
        <v>0</v>
      </c>
      <c r="BX518" s="558">
        <f>WWWW[[#This Row],['#_Constructed/Existing water distribution system from river or natural spring]]</f>
        <v>0</v>
      </c>
      <c r="BY51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1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18" s="559">
        <f>IF(WWWW[[#This Row],[Location Type 1]]="Village",WWWW[[#This Row],[Access to safe drinking water for Village]],WWWW[[#This Row],[Access to safe drinking water for Camp]])</f>
        <v>0</v>
      </c>
      <c r="CB518" s="556">
        <f>WWWW[[#This Row],[%Equitable and continuous access to sufficient quantity of safe drinking water]]*WWWW[[#This Row],[Total PoP ]]</f>
        <v>0</v>
      </c>
      <c r="CC518" s="559">
        <f>IF((WWWW[[#This Row],['#_Constructed/Existing protected/fenced ponds]]*250)/WWWW[[#This Row],[Total PoP ]]&gt;1,1,(WWWW[[#This Row],['#_Constructed/Existing protected/fenced ponds]]*250)/WWWW[[#This Row],[Total PoP ]])</f>
        <v>0</v>
      </c>
      <c r="CD518" s="556">
        <f>WWWW[[#This Row],[% Access to unimproved water points]]*WWWW[[#This Row],[Total PoP ]]</f>
        <v>0</v>
      </c>
      <c r="CE51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1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18" s="556">
        <f>WWWW[[#This Row],[HRP1]]/500</f>
        <v>0</v>
      </c>
      <c r="CH518" s="561">
        <f>1-WWWW[[#This Row],[% Equitable and continuous access to sufficient quantity of domestic water]]</f>
        <v>1</v>
      </c>
      <c r="CI518" s="556">
        <f>WWWW[[#This Row],[%equitable and continuous access to sufficient quantity of safe drinking and domestic water''s GAP]]*WWWW[[#This Row],[Total PoP ]]</f>
        <v>86</v>
      </c>
      <c r="CJ518" s="558">
        <f>IF(WWWW[[#This Row],[Total required water points]]-WWWW[[#This Row],['#Water points coverage]]&lt;0,0,WWWW[[#This Row],[Total required water points]]-WWWW[[#This Row],['#Water points coverage]])</f>
        <v>1</v>
      </c>
      <c r="CK518" s="558">
        <f>ROUND(IF(WWWW[[#This Row],[Total PoP ]]&lt;500,1,WWWW[[#This Row],[Total PoP ]]/500),0)</f>
        <v>1</v>
      </c>
      <c r="CL518" s="558">
        <f>(WWWW[[#This Row],['#_Constructed latrines_by_WASHAgencies]]+WWWW[[#This Row],['#_Non Cluster partner latrines]])-WWWW[[#This Row],['#_Non-functional latrines]]</f>
        <v>0</v>
      </c>
      <c r="CM51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1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18"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8" s="558">
        <f>IF(WWWW[[#This Row],[Location Type 1]]="Village","NA",IF(WWWW[[#This Row],['#_Constructed/Existing latrines in TLS]]*50&gt;WWWW[[#This Row],['#_students at TLS_CFS]],WWWW[[#This Row],['#_students at TLS_CFS]],(WWWW[[#This Row],['#_Constructed/Existing latrines in TLS]]*50)))</f>
        <v>0</v>
      </c>
      <c r="CQ518" s="558">
        <f>ROUND(IF(WWWW[[#This Row],[Location Type 1]]="camp",WWWW[[#This Row],[Total PoP ]]/20,IF(WWWW[[#This Row],[Location Type 1]]="Temporary Location",WWWW[[#This Row],[Total PoP ]]/50,(WWWW[[#This Row],[Total PoP ]]/6))),0)</f>
        <v>4</v>
      </c>
      <c r="CR518" s="558">
        <f>IF(WWWW[[#This Row],[Total required Latrines]]-(WWWW[[#This Row],['#_Constructed latrines_by_WASHAgencies]]+WWWW[[#This Row],['#_Non Cluster partner latrines]])&lt;0,0,WWWW[[#This Row],[Total required Latrines]]-(WWWW[[#This Row],['#_Constructed latrines_by_WASHAgencies]]+WWWW[[#This Row],['#_Non Cluster partner latrines]]))</f>
        <v>4</v>
      </c>
      <c r="CS518" s="78">
        <f>1-WWWW[[#This Row],[% people access to functioning Latrine]]</f>
        <v>1</v>
      </c>
      <c r="CT518" s="560">
        <f>IF(OR(WWWW[[#This Row],['#_Non-functional latrines]]="",WWWW[[#This Row],['#_Non-functional latrines]]=0),0,WWWW[[#This Row],['#_Non-functional latrines]]/(WWWW[[#This Row],['#_Constructed latrines_by_WASHAgencies]]+WWWW[[#This Row],['#_Non Cluster partner latrines]]))</f>
        <v>0</v>
      </c>
      <c r="CU518" s="556">
        <f>IF(500*(WWWW[[#This Row],['#_male hygiene promoters]]+WWWW[[#This Row],['#_female hygiene promoters]])&gt;WWWW[[#This Row],[Total PoP ]],WWWW[[#This Row],[Total PoP ]],500*(WWWW[[#This Row],['#_male hygiene promoters]]+WWWW[[#This Row],['#_female hygiene promoters]]))</f>
        <v>0</v>
      </c>
      <c r="CV51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8" s="558">
        <f>IF(WWWW[[#This Row],['# People with access to soap]]&gt;WWWW[[#This Row],['# People with access to Sanity Pads]],WWWW[[#This Row],['# People with access to soap]],WWWW[[#This Row],['# People with access to Sanity Pads]])</f>
        <v>0</v>
      </c>
      <c r="CY518"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18" s="561">
        <f>IF(WWWW[[#This Row],[HRP3]]/WWWW[[#This Row],[Total PoP ]]&gt;100%,100%,WWWW[[#This Row],[HRP3]]/WWWW[[#This Row],[Total PoP ]])</f>
        <v>0</v>
      </c>
      <c r="DA518" s="560">
        <f>1-WWWW[[#This Row],[Hygiene Coverage%]]</f>
        <v>1</v>
      </c>
      <c r="DB518" s="559">
        <f>WWWW[[#This Row],['# people reached by regular dedicated hygiene promotion_5]]/WWWW[[#This Row],[Total PoP ]]</f>
        <v>0</v>
      </c>
      <c r="DC518" s="559">
        <f>IF(WWWW[[#This Row],['#_households that received standard amount of soap for this quarter]]/WWWW[[#This Row],[Total HH]]&gt;1,1,WWWW[[#This Row],['#_households that received standard amount of soap for this quarter]]/WWWW[[#This Row],[Total HH]])</f>
        <v>0</v>
      </c>
      <c r="DD518" s="559">
        <f>IF(WWWW[[#This Row],['#_households that received standard amount of sanitary pads for this quarter]]/WWWW[[#This Row],[Total HH]]&gt;1,1,WWWW[[#This Row],['#_households that received standard amount of sanitary pads for this quarter]]/WWWW[[#This Row],[Total HH]])</f>
        <v>0</v>
      </c>
      <c r="DE518" s="558">
        <f>WWWW[[#This Row],['#_Constructed/Existing hand washing stations]]-WWWW[[#This Row],['#_Non-Functional_hand_washing_stations]]</f>
        <v>0</v>
      </c>
      <c r="DF518" s="757">
        <f>IF(WWWW[[#This Row],['# Functional hand washing stations during reporting period]]*20&gt;WWWW[[#This Row],[Total HH]],WWWW[[#This Row],[Total HH]],WWWW[[#This Row],['# Functional hand washing stations during reporting period]]*20)</f>
        <v>0</v>
      </c>
      <c r="DG518" s="556">
        <f>IF(WWWW[[#This Row],[Is sufficient soap available for TLS? (Yes/No)]]="yes",WWWW[[#This Row],['#_Constructed/Existing hand washing stations at TLS]],0)</f>
        <v>0</v>
      </c>
      <c r="DH518" s="556">
        <f>IF(WWWW[[#This Row],['# Functional hand washing stations during reporting period]]*100&gt;WWWW[[#This Row],[Total PoP ]],WWWW[[#This Row],[Total PoP ]],WWWW[[#This Row],['# Functional hand washing stations during reporting period]]*100)</f>
        <v>0</v>
      </c>
      <c r="DI518" s="556" t="str">
        <f>IF(OR(WWWW[[#This Row],['#_students at TLS_CFS]]="",WWWW[[#This Row],['#_students at TLS_CFS]]=0),"No","Yes")</f>
        <v>No</v>
      </c>
      <c r="DJ518" s="554">
        <f>VLOOKUP(WWWW[[#This Row],[Site Name]],SiteDB6[[Site Name]:[CCCM Management]],6,FALSE)</f>
        <v>0</v>
      </c>
      <c r="DK518" s="554" t="str">
        <f>VLOOKUP(WWWW[[#This Row],[Site Name]],SiteDB6[[Site Name]:[CCCM Focal Agency]],7,FALSE)</f>
        <v>uncovered</v>
      </c>
      <c r="DL518" s="554" t="str">
        <f>VLOOKUP(WWWW[[#This Row],[Site Name]],SiteDB6[[Site Name]:[Location Type 1]],9,FALSE)</f>
        <v>Camp</v>
      </c>
      <c r="DM518" s="554" t="str">
        <f>VLOOKUP(WWWW[[#This Row],[Site Name]],SiteDB6[[Site Name]:[Type of Accommodation]],10,FALSE)</f>
        <v>Camp like setting</v>
      </c>
      <c r="DN518" s="554" t="str">
        <f>VLOOKUP(WWWW[[#This Row],[Site Name]],SiteDB6[[Site Name]:[Ethnic or GCA/NGCA]],11,FALSE)</f>
        <v>GCA</v>
      </c>
      <c r="DO518" s="554">
        <f>VLOOKUP(WWWW[[#This Row],[Site Name]],SiteDB6[[Site Name]:[Lat]],12,FALSE)</f>
        <v>0</v>
      </c>
      <c r="DP518" s="554">
        <f>VLOOKUP(WWWW[[#This Row],[Site Name]],SiteDB6[[Site Name]:[Long]],13,FALSE)</f>
        <v>0</v>
      </c>
      <c r="DQ518" s="554" t="str">
        <f>VLOOKUP(WWWW[[#This Row],[Site Name]],SiteDB6[[Site Name]:[Pcode]],3,FALSE)</f>
        <v>MMR015CMP246</v>
      </c>
      <c r="DR518" s="563" t="str">
        <f t="shared" si="18"/>
        <v>Notcovered</v>
      </c>
      <c r="DS518" s="563"/>
      <c r="DV518" s="579"/>
    </row>
    <row r="519" spans="1:126">
      <c r="A519" s="552" t="s">
        <v>2518</v>
      </c>
      <c r="B519" s="555" t="s">
        <v>200</v>
      </c>
      <c r="C519" s="555" t="s">
        <v>200</v>
      </c>
      <c r="D519" s="555" t="s">
        <v>2963</v>
      </c>
      <c r="E519" s="555" t="s">
        <v>716</v>
      </c>
      <c r="F519" s="555" t="s">
        <v>723</v>
      </c>
      <c r="G519" s="574" t="str">
        <f>VLOOKUP(WWWW[[#This Row],[Site Name]],SiteDB6[[Site Name]:[Location Type]],8,FALSE)</f>
        <v>Camp</v>
      </c>
      <c r="H519" s="555" t="s">
        <v>749</v>
      </c>
      <c r="I519" s="557">
        <v>33</v>
      </c>
      <c r="J519" s="557">
        <v>147</v>
      </c>
      <c r="K519" s="564" t="s">
        <v>2964</v>
      </c>
      <c r="L519" s="565" t="s">
        <v>2965</v>
      </c>
      <c r="M519" s="557">
        <v>19</v>
      </c>
      <c r="N519" s="557"/>
      <c r="O519" s="557"/>
      <c r="P519" s="557"/>
      <c r="Q519" s="556" t="s">
        <v>43</v>
      </c>
      <c r="R519" s="557"/>
      <c r="S519" s="557"/>
      <c r="T519" s="557"/>
      <c r="U519" s="557"/>
      <c r="V519" s="557"/>
      <c r="W519" s="557">
        <v>1</v>
      </c>
      <c r="X519" s="557"/>
      <c r="Y519" s="557"/>
      <c r="Z519" s="557"/>
      <c r="AA519" s="557"/>
      <c r="AB519" s="557"/>
      <c r="AC519" s="557"/>
      <c r="AD519" s="557"/>
      <c r="AE519" s="557"/>
      <c r="AF519" s="557"/>
      <c r="AG519" s="557"/>
      <c r="AH519" s="557"/>
      <c r="AI519" s="557"/>
      <c r="AJ519" s="557"/>
      <c r="AK519" s="557"/>
      <c r="AL519" s="557"/>
      <c r="AM519" s="557"/>
      <c r="AN519" s="557"/>
      <c r="AO519" s="563"/>
      <c r="AP519" s="557">
        <v>18</v>
      </c>
      <c r="AQ519" s="557"/>
      <c r="AR519" s="559"/>
      <c r="AS519" s="557"/>
      <c r="AT519" s="557"/>
      <c r="AU519" s="557"/>
      <c r="AV519" s="557"/>
      <c r="AW519" s="557"/>
      <c r="AX519" s="554" t="s">
        <v>43</v>
      </c>
      <c r="AY519" s="563" t="s">
        <v>145</v>
      </c>
      <c r="AZ519" s="557"/>
      <c r="BA519" s="557"/>
      <c r="BB519" s="557"/>
      <c r="BC519" s="554"/>
      <c r="BD519" s="557"/>
      <c r="BE519" s="557"/>
      <c r="BF519" s="557"/>
      <c r="BG519" s="557">
        <v>5</v>
      </c>
      <c r="BH519" s="557"/>
      <c r="BI519" s="557"/>
      <c r="BJ519" s="557">
        <v>1</v>
      </c>
      <c r="BK519" s="557">
        <v>0</v>
      </c>
      <c r="BL519" s="557">
        <v>0</v>
      </c>
      <c r="BM519" s="554"/>
      <c r="BN519" s="558"/>
      <c r="BO519" s="559"/>
      <c r="BP519" s="554"/>
      <c r="BQ519" s="560" t="str">
        <f>IFERROR(WWWW[[#This Row],['#_Water sources treated]]/WWWW[[#This Row],['#_Water sources tested for contamination]],"no test")</f>
        <v>no test</v>
      </c>
      <c r="BR519" s="559" t="str">
        <f>IFERROR(WWWW[[#This Row],['#_Household received remediation action due to contamination]]/WWWW[[#This Row],['#_Household water samples tested for contamination]],"no test")</f>
        <v>no test</v>
      </c>
      <c r="BS519" s="558" t="str">
        <f>IF(AND(WWWW[[#This Row],[% of water sources treated]]="no test",WWWW[[#This Row],[% Household received corrective actions]]="no test"),"No Test","Tested")</f>
        <v>No Test</v>
      </c>
      <c r="BT519" s="558">
        <f>WWWW[[#This Row],['#_Constructed/existing protected hand dug well]]-WWWW[[#This Row],['#_Non-functional protected hand dug well]]</f>
        <v>0</v>
      </c>
      <c r="BU519" s="558">
        <f>(WWWW[[#This Row],['#_Constructed/Existing tube wells/boreholes/handpumps_WASH_agency]]+WWWW[[#This Row],['#_Non-Cluster partner water tube-wells/boreholes/handpumps]])-WWWW[[#This Row],['#_Non-functional tube wells/boreholes/handpumps]]</f>
        <v>1</v>
      </c>
      <c r="BV519" s="558">
        <f>WWWW[[#This Row],['#_Constructed/Existingwater storage tank with gravity fed reticulation system]]-WWWW[[#This Row],['#_Non-functional storage tank gravity fed reticulation system]]</f>
        <v>0</v>
      </c>
      <c r="BW519" s="558">
        <f>WWWW[[#This Row],['#_Water boating or water trucking]]</f>
        <v>0</v>
      </c>
      <c r="BX519" s="558">
        <f>WWWW[[#This Row],['#_Constructed/Existing water distribution system from river or natural spring]]</f>
        <v>0</v>
      </c>
      <c r="BY51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1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19" s="559">
        <f>IF(WWWW[[#This Row],[Location Type 1]]="Village",WWWW[[#This Row],[Access to safe drinking water for Village]],WWWW[[#This Row],[Access to safe drinking water for Camp]])</f>
        <v>1</v>
      </c>
      <c r="CB519" s="556">
        <f>WWWW[[#This Row],[%Equitable and continuous access to sufficient quantity of safe drinking water]]*WWWW[[#This Row],[Total PoP ]]</f>
        <v>147</v>
      </c>
      <c r="CC519" s="559">
        <f>IF((WWWW[[#This Row],['#_Constructed/Existing protected/fenced ponds]]*250)/WWWW[[#This Row],[Total PoP ]]&gt;1,1,(WWWW[[#This Row],['#_Constructed/Existing protected/fenced ponds]]*250)/WWWW[[#This Row],[Total PoP ]])</f>
        <v>0</v>
      </c>
      <c r="CD519" s="556">
        <f>WWWW[[#This Row],[% Access to unimproved water points]]*WWWW[[#This Row],[Total PoP ]]</f>
        <v>0</v>
      </c>
      <c r="CE51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1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147</v>
      </c>
      <c r="CG519" s="556">
        <f>WWWW[[#This Row],[HRP1]]/500</f>
        <v>0.29399999999999998</v>
      </c>
      <c r="CH519" s="561">
        <f>1-WWWW[[#This Row],[% Equitable and continuous access to sufficient quantity of domestic water]]</f>
        <v>0</v>
      </c>
      <c r="CI519" s="556">
        <f>WWWW[[#This Row],[%equitable and continuous access to sufficient quantity of safe drinking and domestic water''s GAP]]*WWWW[[#This Row],[Total PoP ]]</f>
        <v>0</v>
      </c>
      <c r="CJ519" s="558">
        <f>IF(WWWW[[#This Row],[Total required water points]]-WWWW[[#This Row],['#Water points coverage]]&lt;0,0,WWWW[[#This Row],[Total required water points]]-WWWW[[#This Row],['#Water points coverage]])</f>
        <v>0.70599999999999996</v>
      </c>
      <c r="CK519" s="558">
        <f>ROUND(IF(WWWW[[#This Row],[Total PoP ]]&lt;500,1,WWWW[[#This Row],[Total PoP ]]/500),0)</f>
        <v>1</v>
      </c>
      <c r="CL519" s="558">
        <f>(WWWW[[#This Row],['#_Constructed latrines_by_WASHAgencies]]+WWWW[[#This Row],['#_Non Cluster partner latrines]])-WWWW[[#This Row],['#_Non-functional latrines]]</f>
        <v>18</v>
      </c>
      <c r="CM51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1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147</v>
      </c>
      <c r="CO519"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19" s="558">
        <f>IF(WWWW[[#This Row],[Location Type 1]]="Village","NA",IF(WWWW[[#This Row],['#_Constructed/Existing latrines in TLS]]*50&gt;WWWW[[#This Row],['#_students at TLS_CFS]],WWWW[[#This Row],['#_students at TLS_CFS]],(WWWW[[#This Row],['#_Constructed/Existing latrines in TLS]]*50)))</f>
        <v>0</v>
      </c>
      <c r="CQ519" s="558">
        <f>ROUND(IF(WWWW[[#This Row],[Location Type 1]]="camp",WWWW[[#This Row],[Total PoP ]]/20,IF(WWWW[[#This Row],[Location Type 1]]="Temporary Location",WWWW[[#This Row],[Total PoP ]]/50,(WWWW[[#This Row],[Total PoP ]]/6))),0)</f>
        <v>7</v>
      </c>
      <c r="CR519" s="558">
        <f>IF(WWWW[[#This Row],[Total required Latrines]]-(WWWW[[#This Row],['#_Constructed latrines_by_WASHAgencies]]+WWWW[[#This Row],['#_Non Cluster partner latrines]])&lt;0,0,WWWW[[#This Row],[Total required Latrines]]-(WWWW[[#This Row],['#_Constructed latrines_by_WASHAgencies]]+WWWW[[#This Row],['#_Non Cluster partner latrines]]))</f>
        <v>0</v>
      </c>
      <c r="CS519" s="78">
        <f>1-WWWW[[#This Row],[% people access to functioning Latrine]]</f>
        <v>0</v>
      </c>
      <c r="CT519" s="560">
        <f>IF(OR(WWWW[[#This Row],['#_Non-functional latrines]]="",WWWW[[#This Row],['#_Non-functional latrines]]=0),0,WWWW[[#This Row],['#_Non-functional latrines]]/(WWWW[[#This Row],['#_Constructed latrines_by_WASHAgencies]]+WWWW[[#This Row],['#_Non Cluster partner latrines]]))</f>
        <v>0</v>
      </c>
      <c r="CU519" s="556">
        <f>IF(500*(WWWW[[#This Row],['#_male hygiene promoters]]+WWWW[[#This Row],['#_female hygiene promoters]])&gt;WWWW[[#This Row],[Total PoP ]],WWWW[[#This Row],[Total PoP ]],500*(WWWW[[#This Row],['#_male hygiene promoters]]+WWWW[[#This Row],['#_female hygiene promoters]]))</f>
        <v>147</v>
      </c>
      <c r="CV51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1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19" s="558">
        <f>IF(WWWW[[#This Row],['# People with access to soap]]&gt;WWWW[[#This Row],['# People with access to Sanity Pads]],WWWW[[#This Row],['# People with access to soap]],WWWW[[#This Row],['# People with access to Sanity Pads]])</f>
        <v>0</v>
      </c>
      <c r="CY519" s="558">
        <f>IF(WWWW[[#This Row],['# people reached by regular dedicated hygiene promotion_5]]&gt;WWWW[[#This Row],['# People received regular supply of hygiene items_6]],WWWW[[#This Row],['# people reached by regular dedicated hygiene promotion_5]],WWWW[[#This Row],['# People received regular supply of hygiene items_6]])</f>
        <v>147</v>
      </c>
      <c r="CZ519" s="561">
        <f>IF(WWWW[[#This Row],[HRP3]]/WWWW[[#This Row],[Total PoP ]]&gt;100%,100%,WWWW[[#This Row],[HRP3]]/WWWW[[#This Row],[Total PoP ]])</f>
        <v>1</v>
      </c>
      <c r="DA519" s="560">
        <f>1-WWWW[[#This Row],[Hygiene Coverage%]]</f>
        <v>0</v>
      </c>
      <c r="DB519" s="559">
        <f>WWWW[[#This Row],['# people reached by regular dedicated hygiene promotion_5]]/WWWW[[#This Row],[Total PoP ]]</f>
        <v>1</v>
      </c>
      <c r="DC519" s="559">
        <f>IF(WWWW[[#This Row],['#_households that received standard amount of soap for this quarter]]/WWWW[[#This Row],[Total HH]]&gt;1,1,WWWW[[#This Row],['#_households that received standard amount of soap for this quarter]]/WWWW[[#This Row],[Total HH]])</f>
        <v>0</v>
      </c>
      <c r="DD519" s="559">
        <f>IF(WWWW[[#This Row],['#_households that received standard amount of sanitary pads for this quarter]]/WWWW[[#This Row],[Total HH]]&gt;1,1,WWWW[[#This Row],['#_households that received standard amount of sanitary pads for this quarter]]/WWWW[[#This Row],[Total HH]])</f>
        <v>0</v>
      </c>
      <c r="DE519" s="558">
        <f>WWWW[[#This Row],['#_Constructed/Existing hand washing stations]]-WWWW[[#This Row],['#_Non-Functional_hand_washing_stations]]</f>
        <v>0</v>
      </c>
      <c r="DF519" s="757">
        <f>IF(WWWW[[#This Row],['# Functional hand washing stations during reporting period]]*20&gt;WWWW[[#This Row],[Total HH]],WWWW[[#This Row],[Total HH]],WWWW[[#This Row],['# Functional hand washing stations during reporting period]]*20)</f>
        <v>0</v>
      </c>
      <c r="DG519" s="556">
        <f>IF(WWWW[[#This Row],[Is sufficient soap available for TLS? (Yes/No)]]="yes",WWWW[[#This Row],['#_Constructed/Existing hand washing stations at TLS]],0)</f>
        <v>0</v>
      </c>
      <c r="DH519" s="556">
        <f>IF(WWWW[[#This Row],['# Functional hand washing stations during reporting period]]*100&gt;WWWW[[#This Row],[Total PoP ]],WWWW[[#This Row],[Total PoP ]],WWWW[[#This Row],['# Functional hand washing stations during reporting period]]*100)</f>
        <v>0</v>
      </c>
      <c r="DI519" s="556" t="str">
        <f>IF(OR(WWWW[[#This Row],['#_students at TLS_CFS]]="",WWWW[[#This Row],['#_students at TLS_CFS]]=0),"No","Yes")</f>
        <v>Yes</v>
      </c>
      <c r="DJ519" s="554" t="str">
        <f>VLOOKUP(WWWW[[#This Row],[Site Name]],SiteDB6[[Site Name]:[CCCM Management]],6,FALSE)</f>
        <v>Yes</v>
      </c>
      <c r="DK519" s="554" t="str">
        <f>VLOOKUP(WWWW[[#This Row],[Site Name]],SiteDB6[[Site Name]:[CCCM Focal Agency]],7,FALSE)</f>
        <v>KBC-NSS</v>
      </c>
      <c r="DL519" s="554" t="str">
        <f>VLOOKUP(WWWW[[#This Row],[Site Name]],SiteDB6[[Site Name]:[Location Type 1]],9,FALSE)</f>
        <v>Camp</v>
      </c>
      <c r="DM519" s="554" t="str">
        <f>VLOOKUP(WWWW[[#This Row],[Site Name]],SiteDB6[[Site Name]:[Type of Accommodation]],10,FALSE)</f>
        <v>Camp</v>
      </c>
      <c r="DN519" s="554" t="str">
        <f>VLOOKUP(WWWW[[#This Row],[Site Name]],SiteDB6[[Site Name]:[Ethnic or GCA/NGCA]],11,FALSE)</f>
        <v>GCA</v>
      </c>
      <c r="DO519" s="554">
        <f>VLOOKUP(WWWW[[#This Row],[Site Name]],SiteDB6[[Site Name]:[Lat]],12,FALSE)</f>
        <v>23.250678000000001</v>
      </c>
      <c r="DP519" s="554">
        <f>VLOOKUP(WWWW[[#This Row],[Site Name]],SiteDB6[[Site Name]:[Long]],13,FALSE)</f>
        <v>97.124403000000001</v>
      </c>
      <c r="DQ519" s="554" t="str">
        <f>VLOOKUP(WWWW[[#This Row],[Site Name]],SiteDB6[[Site Name]:[Pcode]],3,FALSE)</f>
        <v>MMR015CMP009</v>
      </c>
      <c r="DR519" s="563" t="str">
        <f t="shared" si="18"/>
        <v>Covered</v>
      </c>
      <c r="DS519" s="563"/>
    </row>
    <row r="520" spans="1:126">
      <c r="A520" s="552" t="s">
        <v>2518</v>
      </c>
      <c r="B520" s="555" t="s">
        <v>38</v>
      </c>
      <c r="C520" s="555" t="s">
        <v>38</v>
      </c>
      <c r="D520" s="555" t="s">
        <v>722</v>
      </c>
      <c r="E520" s="555" t="s">
        <v>716</v>
      </c>
      <c r="F520" s="555" t="s">
        <v>723</v>
      </c>
      <c r="G520" s="554" t="s">
        <v>45</v>
      </c>
      <c r="H520" s="555" t="s">
        <v>724</v>
      </c>
      <c r="I520" s="557">
        <v>30</v>
      </c>
      <c r="J520" s="557">
        <v>170</v>
      </c>
      <c r="K520" s="564"/>
      <c r="L520" s="565">
        <v>43465</v>
      </c>
      <c r="M520" s="557"/>
      <c r="N520" s="557"/>
      <c r="O520" s="557"/>
      <c r="P520" s="557"/>
      <c r="Q520" s="556"/>
      <c r="R520" s="557"/>
      <c r="S520" s="557"/>
      <c r="T520" s="557">
        <v>0</v>
      </c>
      <c r="U520" s="557"/>
      <c r="V520" s="557"/>
      <c r="W520" s="557">
        <v>1</v>
      </c>
      <c r="X520" s="557"/>
      <c r="Y520" s="557"/>
      <c r="Z520" s="557"/>
      <c r="AA520" s="557"/>
      <c r="AB520" s="557"/>
      <c r="AC520" s="557"/>
      <c r="AD520" s="557"/>
      <c r="AE520" s="557">
        <v>1</v>
      </c>
      <c r="AF520" s="557"/>
      <c r="AG520" s="557"/>
      <c r="AH520" s="557"/>
      <c r="AI520" s="557"/>
      <c r="AJ520" s="557"/>
      <c r="AK520" s="557"/>
      <c r="AL520" s="557"/>
      <c r="AM520" s="557"/>
      <c r="AN520" s="557"/>
      <c r="AO520" s="563"/>
      <c r="AP520" s="557">
        <v>8</v>
      </c>
      <c r="AQ520" s="557"/>
      <c r="AR520" s="559"/>
      <c r="AS520" s="557"/>
      <c r="AT520" s="557"/>
      <c r="AU520" s="557"/>
      <c r="AV520" s="557"/>
      <c r="AW520" s="557"/>
      <c r="AX520" s="554" t="s">
        <v>43</v>
      </c>
      <c r="AY520" s="563" t="s">
        <v>1200</v>
      </c>
      <c r="AZ520" s="557"/>
      <c r="BA520" s="557"/>
      <c r="BB520" s="557">
        <v>0</v>
      </c>
      <c r="BC520" s="554"/>
      <c r="BD520" s="557"/>
      <c r="BE520" s="557"/>
      <c r="BF520" s="557">
        <v>0</v>
      </c>
      <c r="BG520" s="557">
        <v>2</v>
      </c>
      <c r="BH520" s="557"/>
      <c r="BI520" s="557"/>
      <c r="BJ520" s="557">
        <v>2</v>
      </c>
      <c r="BK520" s="557"/>
      <c r="BL520" s="557"/>
      <c r="BM520" s="554"/>
      <c r="BN520" s="558"/>
      <c r="BO520" s="559"/>
      <c r="BP520" s="554"/>
      <c r="BQ520" s="560" t="str">
        <f>IFERROR(WWWW[[#This Row],['#_Water sources treated]]/WWWW[[#This Row],['#_Water sources tested for contamination]],"no test")</f>
        <v>no test</v>
      </c>
      <c r="BR520" s="559" t="str">
        <f>IFERROR(WWWW[[#This Row],['#_Household received remediation action due to contamination]]/WWWW[[#This Row],['#_Household water samples tested for contamination]],"no test")</f>
        <v>no test</v>
      </c>
      <c r="BS520" s="558" t="str">
        <f>IF(AND(WWWW[[#This Row],[% of water sources treated]]="no test",WWWW[[#This Row],[% Household received corrective actions]]="no test"),"No Test","Tested")</f>
        <v>No Test</v>
      </c>
      <c r="BT520" s="558">
        <f>WWWW[[#This Row],['#_Constructed/existing protected hand dug well]]-WWWW[[#This Row],['#_Non-functional protected hand dug well]]</f>
        <v>0</v>
      </c>
      <c r="BU520" s="558">
        <f>(WWWW[[#This Row],['#_Constructed/Existing tube wells/boreholes/handpumps_WASH_agency]]+WWWW[[#This Row],['#_Non-Cluster partner water tube-wells/boreholes/handpumps]])-WWWW[[#This Row],['#_Non-functional tube wells/boreholes/handpumps]]</f>
        <v>1</v>
      </c>
      <c r="BV520" s="558">
        <f>WWWW[[#This Row],['#_Constructed/Existingwater storage tank with gravity fed reticulation system]]-WWWW[[#This Row],['#_Non-functional storage tank gravity fed reticulation system]]</f>
        <v>0</v>
      </c>
      <c r="BW520" s="558">
        <f>WWWW[[#This Row],['#_Water boating or water trucking]]</f>
        <v>0</v>
      </c>
      <c r="BX520" s="558">
        <f>WWWW[[#This Row],['#_Constructed/Existing water distribution system from river or natural spring]]</f>
        <v>0</v>
      </c>
      <c r="BY52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0" s="559">
        <f>IF(WWWW[[#This Row],[Location Type 1]]="Village",WWWW[[#This Row],[Access to safe drinking water for Village]],WWWW[[#This Row],[Access to safe drinking water for Camp]])</f>
        <v>1</v>
      </c>
      <c r="CB520" s="556">
        <f>WWWW[[#This Row],[%Equitable and continuous access to sufficient quantity of safe drinking water]]*WWWW[[#This Row],[Total PoP ]]</f>
        <v>170</v>
      </c>
      <c r="CC520" s="559">
        <f>IF((WWWW[[#This Row],['#_Constructed/Existing protected/fenced ponds]]*250)/WWWW[[#This Row],[Total PoP ]]&gt;1,1,(WWWW[[#This Row],['#_Constructed/Existing protected/fenced ponds]]*250)/WWWW[[#This Row],[Total PoP ]])</f>
        <v>1</v>
      </c>
      <c r="CD520" s="556">
        <f>WWWW[[#This Row],[% Access to unimproved water points]]*WWWW[[#This Row],[Total PoP ]]</f>
        <v>170</v>
      </c>
      <c r="CE52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v>
      </c>
      <c r="CG520" s="556">
        <f>WWWW[[#This Row],[HRP1]]/500</f>
        <v>0.34</v>
      </c>
      <c r="CH520" s="561">
        <f>1-WWWW[[#This Row],[% Equitable and continuous access to sufficient quantity of domestic water]]</f>
        <v>0</v>
      </c>
      <c r="CI520" s="556">
        <f>WWWW[[#This Row],[%equitable and continuous access to sufficient quantity of safe drinking and domestic water''s GAP]]*WWWW[[#This Row],[Total PoP ]]</f>
        <v>0</v>
      </c>
      <c r="CJ520" s="558">
        <f>IF(WWWW[[#This Row],[Total required water points]]-WWWW[[#This Row],['#Water points coverage]]&lt;0,0,WWWW[[#This Row],[Total required water points]]-WWWW[[#This Row],['#Water points coverage]])</f>
        <v>0.65999999999999992</v>
      </c>
      <c r="CK520" s="558">
        <f>ROUND(IF(WWWW[[#This Row],[Total PoP ]]&lt;500,1,WWWW[[#This Row],[Total PoP ]]/500),0)</f>
        <v>1</v>
      </c>
      <c r="CL520" s="558">
        <f>(WWWW[[#This Row],['#_Constructed latrines_by_WASHAgencies]]+WWWW[[#This Row],['#_Non Cluster partner latrines]])-WWWW[[#This Row],['#_Non-functional latrines]]</f>
        <v>8</v>
      </c>
      <c r="CM52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0.94117647058823528</v>
      </c>
      <c r="CN52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2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0" s="558">
        <f>IF(WWWW[[#This Row],[Location Type 1]]="Village","NA",IF(WWWW[[#This Row],['#_Constructed/Existing latrines in TLS]]*50&gt;WWWW[[#This Row],['#_students at TLS_CFS]],WWWW[[#This Row],['#_students at TLS_CFS]],(WWWW[[#This Row],['#_Constructed/Existing latrines in TLS]]*50)))</f>
        <v>0</v>
      </c>
      <c r="CQ520" s="558">
        <f>ROUND(IF(WWWW[[#This Row],[Location Type 1]]="camp",WWWW[[#This Row],[Total PoP ]]/20,IF(WWWW[[#This Row],[Location Type 1]]="Temporary Location",WWWW[[#This Row],[Total PoP ]]/50,(WWWW[[#This Row],[Total PoP ]]/6))),0)</f>
        <v>9</v>
      </c>
      <c r="CR520" s="558">
        <f>IF(WWWW[[#This Row],[Total required Latrines]]-(WWWW[[#This Row],['#_Constructed latrines_by_WASHAgencies]]+WWWW[[#This Row],['#_Non Cluster partner latrines]])&lt;0,0,WWWW[[#This Row],[Total required Latrines]]-(WWWW[[#This Row],['#_Constructed latrines_by_WASHAgencies]]+WWWW[[#This Row],['#_Non Cluster partner latrines]]))</f>
        <v>1</v>
      </c>
      <c r="CS520" s="78">
        <f>1-WWWW[[#This Row],[% people access to functioning Latrine]]</f>
        <v>5.8823529411764719E-2</v>
      </c>
      <c r="CT520" s="560">
        <f>IF(OR(WWWW[[#This Row],['#_Non-functional latrines]]="",WWWW[[#This Row],['#_Non-functional latrines]]=0),0,WWWW[[#This Row],['#_Non-functional latrines]]/(WWWW[[#This Row],['#_Constructed latrines_by_WASHAgencies]]+WWWW[[#This Row],['#_Non Cluster partner latrines]]))</f>
        <v>0</v>
      </c>
      <c r="CU520" s="556">
        <f>IF(500*(WWWW[[#This Row],['#_male hygiene promoters]]+WWWW[[#This Row],['#_female hygiene promoters]])&gt;WWWW[[#This Row],[Total PoP ]],WWWW[[#This Row],[Total PoP ]],500*(WWWW[[#This Row],['#_male hygiene promoters]]+WWWW[[#This Row],['#_female hygiene promoters]]))</f>
        <v>170</v>
      </c>
      <c r="CV52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0" s="558">
        <f>IF(WWWW[[#This Row],['# People with access to soap]]&gt;WWWW[[#This Row],['# People with access to Sanity Pads]],WWWW[[#This Row],['# People with access to soap]],WWWW[[#This Row],['# People with access to Sanity Pads]])</f>
        <v>0</v>
      </c>
      <c r="CY520" s="558">
        <f>IF(WWWW[[#This Row],['# people reached by regular dedicated hygiene promotion_5]]&gt;WWWW[[#This Row],['# People received regular supply of hygiene items_6]],WWWW[[#This Row],['# people reached by regular dedicated hygiene promotion_5]],WWWW[[#This Row],['# People received regular supply of hygiene items_6]])</f>
        <v>170</v>
      </c>
      <c r="CZ520" s="561">
        <f>IF(WWWW[[#This Row],[HRP3]]/WWWW[[#This Row],[Total PoP ]]&gt;100%,100%,WWWW[[#This Row],[HRP3]]/WWWW[[#This Row],[Total PoP ]])</f>
        <v>1</v>
      </c>
      <c r="DA520" s="560">
        <f>1-WWWW[[#This Row],[Hygiene Coverage%]]</f>
        <v>0</v>
      </c>
      <c r="DB520" s="559">
        <f>WWWW[[#This Row],['# people reached by regular dedicated hygiene promotion_5]]/WWWW[[#This Row],[Total PoP ]]</f>
        <v>1</v>
      </c>
      <c r="DC520" s="559">
        <f>IF(WWWW[[#This Row],['#_households that received standard amount of soap for this quarter]]/WWWW[[#This Row],[Total HH]]&gt;1,1,WWWW[[#This Row],['#_households that received standard amount of soap for this quarter]]/WWWW[[#This Row],[Total HH]])</f>
        <v>0</v>
      </c>
      <c r="DD520" s="559">
        <f>IF(WWWW[[#This Row],['#_households that received standard amount of sanitary pads for this quarter]]/WWWW[[#This Row],[Total HH]]&gt;1,1,WWWW[[#This Row],['#_households that received standard amount of sanitary pads for this quarter]]/WWWW[[#This Row],[Total HH]])</f>
        <v>0</v>
      </c>
      <c r="DE520" s="558">
        <f>WWWW[[#This Row],['#_Constructed/Existing hand washing stations]]-WWWW[[#This Row],['#_Non-Functional_hand_washing_stations]]</f>
        <v>0</v>
      </c>
      <c r="DF520" s="757">
        <f>IF(WWWW[[#This Row],['# Functional hand washing stations during reporting period]]*20&gt;WWWW[[#This Row],[Total HH]],WWWW[[#This Row],[Total HH]],WWWW[[#This Row],['# Functional hand washing stations during reporting period]]*20)</f>
        <v>0</v>
      </c>
      <c r="DG520" s="556">
        <f>IF(WWWW[[#This Row],[Is sufficient soap available for TLS? (Yes/No)]]="yes",WWWW[[#This Row],['#_Constructed/Existing hand washing stations at TLS]],0)</f>
        <v>0</v>
      </c>
      <c r="DH520" s="556">
        <f>IF(WWWW[[#This Row],['# Functional hand washing stations during reporting period]]*100&gt;WWWW[[#This Row],[Total PoP ]],WWWW[[#This Row],[Total PoP ]],WWWW[[#This Row],['# Functional hand washing stations during reporting period]]*100)</f>
        <v>0</v>
      </c>
      <c r="DI520" s="556" t="str">
        <f>IF(OR(WWWW[[#This Row],['#_students at TLS_CFS]]="",WWWW[[#This Row],['#_students at TLS_CFS]]=0),"No","Yes")</f>
        <v>No</v>
      </c>
      <c r="DJ520" s="554" t="str">
        <f>VLOOKUP(WWWW[[#This Row],[Site Name]],SiteDB6[[Site Name]:[CCCM Management]],6,FALSE)</f>
        <v>Yes</v>
      </c>
      <c r="DK520" s="554" t="str">
        <f>VLOOKUP(WWWW[[#This Row],[Site Name]],SiteDB6[[Site Name]:[CCCM Focal Agency]],7,FALSE)</f>
        <v>KMSS-LSO</v>
      </c>
      <c r="DL520" s="554" t="str">
        <f>VLOOKUP(WWWW[[#This Row],[Site Name]],SiteDB6[[Site Name]:[Location Type 1]],9,FALSE)</f>
        <v>Camp</v>
      </c>
      <c r="DM520" s="554" t="str">
        <f>VLOOKUP(WWWW[[#This Row],[Site Name]],SiteDB6[[Site Name]:[Type of Accommodation]],10,FALSE)</f>
        <v>Camp</v>
      </c>
      <c r="DN520" s="554" t="str">
        <f>VLOOKUP(WWWW[[#This Row],[Site Name]],SiteDB6[[Site Name]:[Ethnic or GCA/NGCA]],11,FALSE)</f>
        <v>GCA</v>
      </c>
      <c r="DO520" s="554">
        <f>VLOOKUP(WWWW[[#This Row],[Site Name]],SiteDB6[[Site Name]:[Lat]],12,FALSE)</f>
        <v>23.24661</v>
      </c>
      <c r="DP520" s="554">
        <f>VLOOKUP(WWWW[[#This Row],[Site Name]],SiteDB6[[Site Name]:[Long]],13,FALSE)</f>
        <v>97.116680000000002</v>
      </c>
      <c r="DQ520" s="554" t="str">
        <f>VLOOKUP(WWWW[[#This Row],[Site Name]],SiteDB6[[Site Name]:[Pcode]],3,FALSE)</f>
        <v>MMR015CMP209</v>
      </c>
      <c r="DR520" s="563" t="str">
        <f t="shared" si="18"/>
        <v>Covered</v>
      </c>
      <c r="DS520" s="563"/>
    </row>
    <row r="521" spans="1:126">
      <c r="A521" s="552" t="s">
        <v>2518</v>
      </c>
      <c r="B521" s="555" t="s">
        <v>1957</v>
      </c>
      <c r="C521" s="555" t="s">
        <v>1957</v>
      </c>
      <c r="D521" s="584" t="s">
        <v>2970</v>
      </c>
      <c r="E521" s="574" t="s">
        <v>716</v>
      </c>
      <c r="F521" s="555" t="s">
        <v>720</v>
      </c>
      <c r="G521" s="574" t="str">
        <f>VLOOKUP(WWWW[[#This Row],[Site Name]],SiteDB6[[Site Name]:[Location Type]],8,FALSE)</f>
        <v>Camp</v>
      </c>
      <c r="H521" s="555" t="s">
        <v>2197</v>
      </c>
      <c r="I521" s="557">
        <v>76</v>
      </c>
      <c r="J521" s="312">
        <v>344</v>
      </c>
      <c r="K521" s="593" t="s">
        <v>2971</v>
      </c>
      <c r="L521" s="58" t="s">
        <v>2972</v>
      </c>
      <c r="M521" s="557">
        <v>79</v>
      </c>
      <c r="N521" s="557"/>
      <c r="O521" s="557"/>
      <c r="P521" s="557"/>
      <c r="Q521" s="556" t="s">
        <v>43</v>
      </c>
      <c r="R521" s="312">
        <v>4</v>
      </c>
      <c r="S521" s="312">
        <v>5</v>
      </c>
      <c r="T521" s="557"/>
      <c r="U521" s="557"/>
      <c r="V521" s="557"/>
      <c r="W521" s="557"/>
      <c r="X521" s="557"/>
      <c r="Y521" s="557"/>
      <c r="Z521" s="557"/>
      <c r="AA521" s="312">
        <v>436</v>
      </c>
      <c r="AB521" s="557"/>
      <c r="AC521" s="557"/>
      <c r="AD521" s="557"/>
      <c r="AE521" s="557"/>
      <c r="AF521" s="557"/>
      <c r="AG521" s="312">
        <v>1</v>
      </c>
      <c r="AH521" s="312">
        <v>1</v>
      </c>
      <c r="AI521" s="312">
        <v>1</v>
      </c>
      <c r="AJ521" s="557"/>
      <c r="AK521" s="312">
        <v>15</v>
      </c>
      <c r="AL521" s="557"/>
      <c r="AM521" s="557"/>
      <c r="AN521" s="557"/>
      <c r="AO521" s="563"/>
      <c r="AP521" s="312">
        <v>81</v>
      </c>
      <c r="AQ521" s="557"/>
      <c r="AR521" s="559"/>
      <c r="AS521" s="557"/>
      <c r="AT521" s="312">
        <v>15</v>
      </c>
      <c r="AU521" s="557"/>
      <c r="AV521" s="557"/>
      <c r="AW521" s="557"/>
      <c r="AX521" s="592" t="s">
        <v>144</v>
      </c>
      <c r="AY521" s="586" t="s">
        <v>1200</v>
      </c>
      <c r="AZ521" s="557"/>
      <c r="BA521" s="557"/>
      <c r="BB521" s="557"/>
      <c r="BC521" s="554"/>
      <c r="BD521" s="312">
        <v>2</v>
      </c>
      <c r="BE521" s="557"/>
      <c r="BF521" s="557"/>
      <c r="BG521" s="557">
        <v>3</v>
      </c>
      <c r="BH521" s="557"/>
      <c r="BI521" s="557">
        <v>1</v>
      </c>
      <c r="BJ521" s="557"/>
      <c r="BK521" s="557">
        <v>76</v>
      </c>
      <c r="BL521" s="557">
        <v>0</v>
      </c>
      <c r="BM521" s="554"/>
      <c r="BN521" s="558"/>
      <c r="BO521" s="559">
        <v>0.5</v>
      </c>
      <c r="BP521" s="554"/>
      <c r="BQ521" s="560">
        <f>IFERROR(WWWW[[#This Row],['#_Water sources treated]]/WWWW[[#This Row],['#_Water sources tested for contamination]],"no test")</f>
        <v>0</v>
      </c>
      <c r="BR521" s="559">
        <f>IFERROR(WWWW[[#This Row],['#_Household received remediation action due to contamination]]/WWWW[[#This Row],['#_Household water samples tested for contamination]],"no test")</f>
        <v>0</v>
      </c>
      <c r="BS521" s="558" t="str">
        <f>IF(AND(WWWW[[#This Row],[% of water sources treated]]="no test",WWWW[[#This Row],[% Household received corrective actions]]="no test"),"No Test","Tested")</f>
        <v>Tested</v>
      </c>
      <c r="BT521" s="558">
        <f>WWWW[[#This Row],['#_Constructed/existing protected hand dug well]]-WWWW[[#This Row],['#_Non-functional protected hand dug well]]</f>
        <v>0</v>
      </c>
      <c r="BU521" s="558">
        <f>(WWWW[[#This Row],['#_Constructed/Existing tube wells/boreholes/handpumps_WASH_agency]]+WWWW[[#This Row],['#_Non-Cluster partner water tube-wells/boreholes/handpumps]])-WWWW[[#This Row],['#_Non-functional tube wells/boreholes/handpumps]]</f>
        <v>0</v>
      </c>
      <c r="BV521" s="558">
        <f>WWWW[[#This Row],['#_Constructed/Existingwater storage tank with gravity fed reticulation system]]-WWWW[[#This Row],['#_Non-functional storage tank gravity fed reticulation system]]</f>
        <v>436</v>
      </c>
      <c r="BW521" s="558">
        <f>WWWW[[#This Row],['#_Water boating or water trucking]]</f>
        <v>0</v>
      </c>
      <c r="BX521" s="558">
        <f>WWWW[[#This Row],['#_Constructed/Existing water distribution system from river or natural spring]]</f>
        <v>0</v>
      </c>
      <c r="BY52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1" s="559">
        <f>IF(WWWW[[#This Row],[Location Type 1]]="Village",WWWW[[#This Row],[Access to safe drinking water for Village]],WWWW[[#This Row],[Access to safe drinking water for Camp]])</f>
        <v>1</v>
      </c>
      <c r="CB521" s="556">
        <f>WWWW[[#This Row],[%Equitable and continuous access to sufficient quantity of safe drinking water]]*WWWW[[#This Row],[Total PoP ]]</f>
        <v>344</v>
      </c>
      <c r="CC521" s="559">
        <f>IF((WWWW[[#This Row],['#_Constructed/Existing protected/fenced ponds]]*250)/WWWW[[#This Row],[Total PoP ]]&gt;1,1,(WWWW[[#This Row],['#_Constructed/Existing protected/fenced ponds]]*250)/WWWW[[#This Row],[Total PoP ]])</f>
        <v>0</v>
      </c>
      <c r="CD521" s="556">
        <f>WWWW[[#This Row],[% Access to unimproved water points]]*WWWW[[#This Row],[Total PoP ]]</f>
        <v>0</v>
      </c>
      <c r="CE52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G521" s="556">
        <f>WWWW[[#This Row],[HRP1]]/500</f>
        <v>0.68799999999999994</v>
      </c>
      <c r="CH521" s="561">
        <f>1-WWWW[[#This Row],[% Equitable and continuous access to sufficient quantity of domestic water]]</f>
        <v>0</v>
      </c>
      <c r="CI521" s="556">
        <f>WWWW[[#This Row],[%equitable and continuous access to sufficient quantity of safe drinking and domestic water''s GAP]]*WWWW[[#This Row],[Total PoP ]]</f>
        <v>0</v>
      </c>
      <c r="CJ521" s="558">
        <f>IF(WWWW[[#This Row],[Total required water points]]-WWWW[[#This Row],['#Water points coverage]]&lt;0,0,WWWW[[#This Row],[Total required water points]]-WWWW[[#This Row],['#Water points coverage]])</f>
        <v>0.31200000000000006</v>
      </c>
      <c r="CK521" s="558">
        <f>ROUND(IF(WWWW[[#This Row],[Total PoP ]]&lt;500,1,WWWW[[#This Row],[Total PoP ]]/500),0)</f>
        <v>1</v>
      </c>
      <c r="CL521" s="558">
        <f>(WWWW[[#This Row],['#_Constructed latrines_by_WASHAgencies]]+WWWW[[#This Row],['#_Non Cluster partner latrines]])-WWWW[[#This Row],['#_Non-functional latrines]]</f>
        <v>81</v>
      </c>
      <c r="CM52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344</v>
      </c>
      <c r="CO521"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1" s="558">
        <f>IF(WWWW[[#This Row],[Location Type 1]]="Village","NA",IF(WWWW[[#This Row],['#_Constructed/Existing latrines in TLS]]*50&gt;WWWW[[#This Row],['#_students at TLS_CFS]],WWWW[[#This Row],['#_students at TLS_CFS]],(WWWW[[#This Row],['#_Constructed/Existing latrines in TLS]]*50)))</f>
        <v>0</v>
      </c>
      <c r="CQ521" s="558">
        <f>ROUND(IF(WWWW[[#This Row],[Location Type 1]]="camp",WWWW[[#This Row],[Total PoP ]]/20,IF(WWWW[[#This Row],[Location Type 1]]="Temporary Location",WWWW[[#This Row],[Total PoP ]]/50,(WWWW[[#This Row],[Total PoP ]]/6))),0)</f>
        <v>57</v>
      </c>
      <c r="CR521" s="558">
        <f>IF(WWWW[[#This Row],[Total required Latrines]]-(WWWW[[#This Row],['#_Constructed latrines_by_WASHAgencies]]+WWWW[[#This Row],['#_Non Cluster partner latrines]])&lt;0,0,WWWW[[#This Row],[Total required Latrines]]-(WWWW[[#This Row],['#_Constructed latrines_by_WASHAgencies]]+WWWW[[#This Row],['#_Non Cluster partner latrines]]))</f>
        <v>0</v>
      </c>
      <c r="CS521" s="78">
        <f>1-WWWW[[#This Row],[% people access to functioning Latrine]]</f>
        <v>0</v>
      </c>
      <c r="CT521" s="560">
        <f>IF(OR(WWWW[[#This Row],['#_Non-functional latrines]]="",WWWW[[#This Row],['#_Non-functional latrines]]=0),0,WWWW[[#This Row],['#_Non-functional latrines]]/(WWWW[[#This Row],['#_Constructed latrines_by_WASHAgencies]]+WWWW[[#This Row],['#_Non Cluster partner latrines]]))</f>
        <v>0</v>
      </c>
      <c r="CU521" s="556">
        <f>IF(500*(WWWW[[#This Row],['#_male hygiene promoters]]+WWWW[[#This Row],['#_female hygiene promoters]])&gt;WWWW[[#This Row],[Total PoP ]],WWWW[[#This Row],[Total PoP ]],500*(WWWW[[#This Row],['#_male hygiene promoters]]+WWWW[[#This Row],['#_female hygiene promoters]]))</f>
        <v>344</v>
      </c>
      <c r="CV52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344</v>
      </c>
      <c r="CW52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1" s="558">
        <f>IF(WWWW[[#This Row],['# People with access to soap]]&gt;WWWW[[#This Row],['# People with access to Sanity Pads]],WWWW[[#This Row],['# People with access to soap]],WWWW[[#This Row],['# People with access to Sanity Pads]])</f>
        <v>344</v>
      </c>
      <c r="CY521" s="558">
        <f>IF(WWWW[[#This Row],['# people reached by regular dedicated hygiene promotion_5]]&gt;WWWW[[#This Row],['# People received regular supply of hygiene items_6]],WWWW[[#This Row],['# people reached by regular dedicated hygiene promotion_5]],WWWW[[#This Row],['# People received regular supply of hygiene items_6]])</f>
        <v>344</v>
      </c>
      <c r="CZ521" s="561">
        <f>IF(WWWW[[#This Row],[HRP3]]/WWWW[[#This Row],[Total PoP ]]&gt;100%,100%,WWWW[[#This Row],[HRP3]]/WWWW[[#This Row],[Total PoP ]])</f>
        <v>1</v>
      </c>
      <c r="DA521" s="560">
        <f>1-WWWW[[#This Row],[Hygiene Coverage%]]</f>
        <v>0</v>
      </c>
      <c r="DB521" s="559">
        <f>WWWW[[#This Row],['# people reached by regular dedicated hygiene promotion_5]]/WWWW[[#This Row],[Total PoP ]]</f>
        <v>1</v>
      </c>
      <c r="DC521" s="559">
        <f>IF(WWWW[[#This Row],['#_households that received standard amount of soap for this quarter]]/WWWW[[#This Row],[Total HH]]&gt;1,1,WWWW[[#This Row],['#_households that received standard amount of soap for this quarter]]/WWWW[[#This Row],[Total HH]])</f>
        <v>1</v>
      </c>
      <c r="DD521" s="559">
        <f>IF(WWWW[[#This Row],['#_households that received standard amount of sanitary pads for this quarter]]/WWWW[[#This Row],[Total HH]]&gt;1,1,WWWW[[#This Row],['#_households that received standard amount of sanitary pads for this quarter]]/WWWW[[#This Row],[Total HH]])</f>
        <v>0</v>
      </c>
      <c r="DE521" s="558">
        <f>WWWW[[#This Row],['#_Constructed/Existing hand washing stations]]-WWWW[[#This Row],['#_Non-Functional_hand_washing_stations]]</f>
        <v>2</v>
      </c>
      <c r="DF521" s="757">
        <f>IF(WWWW[[#This Row],['# Functional hand washing stations during reporting period]]*20&gt;WWWW[[#This Row],[Total HH]],WWWW[[#This Row],[Total HH]],WWWW[[#This Row],['# Functional hand washing stations during reporting period]]*20)</f>
        <v>40</v>
      </c>
      <c r="DG521" s="556">
        <f>IF(WWWW[[#This Row],[Is sufficient soap available for TLS? (Yes/No)]]="yes",WWWW[[#This Row],['#_Constructed/Existing hand washing stations at TLS]],0)</f>
        <v>0</v>
      </c>
      <c r="DH521" s="556">
        <f>IF(WWWW[[#This Row],['# Functional hand washing stations during reporting period]]*100&gt;WWWW[[#This Row],[Total PoP ]],WWWW[[#This Row],[Total PoP ]],WWWW[[#This Row],['# Functional hand washing stations during reporting period]]*100)</f>
        <v>200</v>
      </c>
      <c r="DI521" s="556" t="str">
        <f>IF(OR(WWWW[[#This Row],['#_students at TLS_CFS]]="",WWWW[[#This Row],['#_students at TLS_CFS]]=0),"No","Yes")</f>
        <v>Yes</v>
      </c>
      <c r="DJ521" s="554" t="str">
        <f>VLOOKUP(WWWW[[#This Row],[Site Name]],SiteDB6[[Site Name]:[CCCM Management]],6,FALSE)</f>
        <v>Yes</v>
      </c>
      <c r="DK521" s="554" t="str">
        <f>VLOOKUP(WWWW[[#This Row],[Site Name]],SiteDB6[[Site Name]:[CCCM Focal Agency]],7,FALSE)</f>
        <v>KMSS-LSO</v>
      </c>
      <c r="DL521" s="554" t="str">
        <f>VLOOKUP(WWWW[[#This Row],[Site Name]],SiteDB6[[Site Name]:[Location Type 1]],9,FALSE)</f>
        <v>Village Type Camp</v>
      </c>
      <c r="DM521" s="554" t="str">
        <f>VLOOKUP(WWWW[[#This Row],[Site Name]],SiteDB6[[Site Name]:[Type of Accommodation]],10,FALSE)</f>
        <v>Camp</v>
      </c>
      <c r="DN521" s="554" t="str">
        <f>VLOOKUP(WWWW[[#This Row],[Site Name]],SiteDB6[[Site Name]:[Ethnic or GCA/NGCA]],11,FALSE)</f>
        <v>GCA</v>
      </c>
      <c r="DO521" s="554">
        <f>VLOOKUP(WWWW[[#This Row],[Site Name]],SiteDB6[[Site Name]:[Lat]],12,FALSE)</f>
        <v>23.588920000000002</v>
      </c>
      <c r="DP521" s="554">
        <f>VLOOKUP(WWWW[[#This Row],[Site Name]],SiteDB6[[Site Name]:[Long]],13,FALSE)</f>
        <v>97.793019999999999</v>
      </c>
      <c r="DQ521" s="554" t="str">
        <f>VLOOKUP(WWWW[[#This Row],[Site Name]],SiteDB6[[Site Name]:[Pcode]],3,FALSE)</f>
        <v>MMR015CMP018</v>
      </c>
      <c r="DR521" s="563" t="str">
        <f t="shared" si="18"/>
        <v>Covered</v>
      </c>
      <c r="DS521" s="563"/>
    </row>
    <row r="522" spans="1:126">
      <c r="A522" s="552" t="s">
        <v>2518</v>
      </c>
      <c r="B522" s="584" t="s">
        <v>305</v>
      </c>
      <c r="C522" s="584" t="s">
        <v>305</v>
      </c>
      <c r="D522" s="584" t="s">
        <v>2967</v>
      </c>
      <c r="E522" s="574" t="s">
        <v>716</v>
      </c>
      <c r="F522" s="584" t="s">
        <v>717</v>
      </c>
      <c r="G522" s="592" t="str">
        <f>VLOOKUP(WWWW[[#This Row],[Site Name]],SiteDB6[[Site Name]:[Location Type]],8,FALSE)</f>
        <v>Camp</v>
      </c>
      <c r="H522" s="584" t="s">
        <v>762</v>
      </c>
      <c r="I522" s="312">
        <v>62</v>
      </c>
      <c r="J522" s="312">
        <v>276</v>
      </c>
      <c r="K522" s="593">
        <v>43070</v>
      </c>
      <c r="L522" s="58">
        <v>43799</v>
      </c>
      <c r="M522" s="312"/>
      <c r="N522" s="312"/>
      <c r="O522" s="312"/>
      <c r="P522" s="312"/>
      <c r="Q522" s="585" t="s">
        <v>43</v>
      </c>
      <c r="R522" s="312">
        <v>3</v>
      </c>
      <c r="S522" s="312">
        <v>6</v>
      </c>
      <c r="T522" s="312">
        <v>0</v>
      </c>
      <c r="U522" s="312">
        <v>0</v>
      </c>
      <c r="V522" s="312">
        <v>0</v>
      </c>
      <c r="W522" s="312">
        <v>0</v>
      </c>
      <c r="X522" s="312">
        <v>0</v>
      </c>
      <c r="Y522" s="312">
        <v>0</v>
      </c>
      <c r="Z522" s="312">
        <v>0</v>
      </c>
      <c r="AA522" s="312">
        <v>16</v>
      </c>
      <c r="AB522" s="312">
        <v>0</v>
      </c>
      <c r="AC522" s="312">
        <v>0</v>
      </c>
      <c r="AD522" s="312">
        <v>0</v>
      </c>
      <c r="AE522" s="312"/>
      <c r="AF522" s="312">
        <v>0</v>
      </c>
      <c r="AG522" s="312">
        <v>1</v>
      </c>
      <c r="AH522" s="312"/>
      <c r="AI522" s="312">
        <v>1</v>
      </c>
      <c r="AJ522" s="312">
        <v>0</v>
      </c>
      <c r="AK522" s="312">
        <v>15</v>
      </c>
      <c r="AL522" s="312">
        <v>0</v>
      </c>
      <c r="AM522" s="312"/>
      <c r="AN522" s="312"/>
      <c r="AO522" s="586"/>
      <c r="AP522" s="312">
        <v>10</v>
      </c>
      <c r="AQ522" s="312">
        <v>0</v>
      </c>
      <c r="AR522" s="594"/>
      <c r="AS522" s="312">
        <v>0</v>
      </c>
      <c r="AT522" s="312">
        <v>0</v>
      </c>
      <c r="AU522" s="312">
        <v>0</v>
      </c>
      <c r="AV522" s="312"/>
      <c r="AW522" s="312"/>
      <c r="AX522" s="592" t="s">
        <v>43</v>
      </c>
      <c r="AY522" s="586" t="s">
        <v>145</v>
      </c>
      <c r="AZ522" s="312">
        <v>0</v>
      </c>
      <c r="BA522" s="312">
        <v>0</v>
      </c>
      <c r="BB522" s="312"/>
      <c r="BC522" s="592"/>
      <c r="BD522" s="312">
        <v>0</v>
      </c>
      <c r="BE522" s="312">
        <v>0</v>
      </c>
      <c r="BF522" s="312">
        <v>0</v>
      </c>
      <c r="BG522" s="312">
        <v>2</v>
      </c>
      <c r="BH522" s="312">
        <v>0</v>
      </c>
      <c r="BI522" s="312">
        <v>0</v>
      </c>
      <c r="BJ522" s="312">
        <v>1</v>
      </c>
      <c r="BK522" s="312">
        <v>62</v>
      </c>
      <c r="BL522" s="312"/>
      <c r="BM522" s="592"/>
      <c r="BN522" s="595"/>
      <c r="BO522" s="594">
        <v>0.5</v>
      </c>
      <c r="BP522" s="592"/>
      <c r="BQ522" s="596">
        <f>IFERROR(WWWW[[#This Row],['#_Water sources treated]]/WWWW[[#This Row],['#_Water sources tested for contamination]],"no test")</f>
        <v>0</v>
      </c>
      <c r="BR522" s="594">
        <f>IFERROR(WWWW[[#This Row],['#_Household received remediation action due to contamination]]/WWWW[[#This Row],['#_Household water samples tested for contamination]],"no test")</f>
        <v>0</v>
      </c>
      <c r="BS522" s="595" t="str">
        <f>IF(AND(WWWW[[#This Row],[% of water sources treated]]="no test",WWWW[[#This Row],[% Household received corrective actions]]="no test"),"No Test","Tested")</f>
        <v>Tested</v>
      </c>
      <c r="BT522" s="595">
        <f>WWWW[[#This Row],['#_Constructed/existing protected hand dug well]]-WWWW[[#This Row],['#_Non-functional protected hand dug well]]</f>
        <v>0</v>
      </c>
      <c r="BU522" s="595">
        <f>(WWWW[[#This Row],['#_Constructed/Existing tube wells/boreholes/handpumps_WASH_agency]]+WWWW[[#This Row],['#_Non-Cluster partner water tube-wells/boreholes/handpumps]])-WWWW[[#This Row],['#_Non-functional tube wells/boreholes/handpumps]]</f>
        <v>0</v>
      </c>
      <c r="BV522" s="595">
        <f>WWWW[[#This Row],['#_Constructed/Existingwater storage tank with gravity fed reticulation system]]-WWWW[[#This Row],['#_Non-functional storage tank gravity fed reticulation system]]</f>
        <v>16</v>
      </c>
      <c r="BW522" s="595">
        <f>WWWW[[#This Row],['#_Water boating or water trucking]]</f>
        <v>0</v>
      </c>
      <c r="BX522" s="595">
        <f>WWWW[[#This Row],['#_Constructed/Existing water distribution system from river or natural spring]]</f>
        <v>0</v>
      </c>
      <c r="BY522"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2"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2" s="594">
        <f>IF(WWWW[[#This Row],[Location Type 1]]="Village",WWWW[[#This Row],[Access to safe drinking water for Village]],WWWW[[#This Row],[Access to safe drinking water for Camp]])</f>
        <v>1</v>
      </c>
      <c r="CB522" s="585">
        <f>WWWW[[#This Row],[%Equitable and continuous access to sufficient quantity of safe drinking water]]*WWWW[[#This Row],[Total PoP ]]</f>
        <v>276</v>
      </c>
      <c r="CC522" s="594">
        <f>IF((WWWW[[#This Row],['#_Constructed/Existing protected/fenced ponds]]*250)/WWWW[[#This Row],[Total PoP ]]&gt;1,1,(WWWW[[#This Row],['#_Constructed/Existing protected/fenced ponds]]*250)/WWWW[[#This Row],[Total PoP ]])</f>
        <v>0</v>
      </c>
      <c r="CD522" s="585">
        <f>WWWW[[#This Row],[% Access to unimproved water points]]*WWWW[[#This Row],[Total PoP ]]</f>
        <v>0</v>
      </c>
      <c r="CE522"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2"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G522" s="585">
        <f>WWWW[[#This Row],[HRP1]]/500</f>
        <v>0.55200000000000005</v>
      </c>
      <c r="CH522" s="597">
        <f>1-WWWW[[#This Row],[% Equitable and continuous access to sufficient quantity of domestic water]]</f>
        <v>0</v>
      </c>
      <c r="CI522" s="585">
        <f>WWWW[[#This Row],[%equitable and continuous access to sufficient quantity of safe drinking and domestic water''s GAP]]*WWWW[[#This Row],[Total PoP ]]</f>
        <v>0</v>
      </c>
      <c r="CJ522" s="595">
        <f>IF(WWWW[[#This Row],[Total required water points]]-WWWW[[#This Row],['#Water points coverage]]&lt;0,0,WWWW[[#This Row],[Total required water points]]-WWWW[[#This Row],['#Water points coverage]])</f>
        <v>0.44799999999999995</v>
      </c>
      <c r="CK522" s="595">
        <f>ROUND(IF(WWWW[[#This Row],[Total PoP ]]&lt;500,1,WWWW[[#This Row],[Total PoP ]]/500),0)</f>
        <v>1</v>
      </c>
      <c r="CL522" s="595">
        <f>(WWWW[[#This Row],['#_Constructed latrines_by_WASHAgencies]]+WWWW[[#This Row],['#_Non Cluster partner latrines]])-WWWW[[#This Row],['#_Non-functional latrines]]</f>
        <v>10</v>
      </c>
      <c r="CM522"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0.72463768115942029</v>
      </c>
      <c r="CN522"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522"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2" s="595">
        <f>IF(WWWW[[#This Row],[Location Type 1]]="Village","NA",IF(WWWW[[#This Row],['#_Constructed/Existing latrines in TLS]]*50&gt;WWWW[[#This Row],['#_students at TLS_CFS]],WWWW[[#This Row],['#_students at TLS_CFS]],(WWWW[[#This Row],['#_Constructed/Existing latrines in TLS]]*50)))</f>
        <v>0</v>
      </c>
      <c r="CQ522" s="595">
        <f>ROUND(IF(WWWW[[#This Row],[Location Type 1]]="camp",WWWW[[#This Row],[Total PoP ]]/20,IF(WWWW[[#This Row],[Location Type 1]]="Temporary Location",WWWW[[#This Row],[Total PoP ]]/50,(WWWW[[#This Row],[Total PoP ]]/6))),0)</f>
        <v>14</v>
      </c>
      <c r="CR522" s="595">
        <f>IF(WWWW[[#This Row],[Total required Latrines]]-(WWWW[[#This Row],['#_Constructed latrines_by_WASHAgencies]]+WWWW[[#This Row],['#_Non Cluster partner latrines]])&lt;0,0,WWWW[[#This Row],[Total required Latrines]]-(WWWW[[#This Row],['#_Constructed latrines_by_WASHAgencies]]+WWWW[[#This Row],['#_Non Cluster partner latrines]]))</f>
        <v>4</v>
      </c>
      <c r="CS522" s="78">
        <f>1-WWWW[[#This Row],[% people access to functioning Latrine]]</f>
        <v>0.27536231884057971</v>
      </c>
      <c r="CT522" s="596">
        <f>IF(OR(WWWW[[#This Row],['#_Non-functional latrines]]="",WWWW[[#This Row],['#_Non-functional latrines]]=0),0,WWWW[[#This Row],['#_Non-functional latrines]]/(WWWW[[#This Row],['#_Constructed latrines_by_WASHAgencies]]+WWWW[[#This Row],['#_Non Cluster partner latrines]]))</f>
        <v>0</v>
      </c>
      <c r="CU522" s="585">
        <f>IF(500*(WWWW[[#This Row],['#_male hygiene promoters]]+WWWW[[#This Row],['#_female hygiene promoters]])&gt;WWWW[[#This Row],[Total PoP ]],WWWW[[#This Row],[Total PoP ]],500*(WWWW[[#This Row],['#_male hygiene promoters]]+WWWW[[#This Row],['#_female hygiene promoters]]))</f>
        <v>276</v>
      </c>
      <c r="CV522"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276</v>
      </c>
      <c r="CW522"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2" s="595">
        <f>IF(WWWW[[#This Row],['# People with access to soap]]&gt;WWWW[[#This Row],['# People with access to Sanity Pads]],WWWW[[#This Row],['# People with access to soap]],WWWW[[#This Row],['# People with access to Sanity Pads]])</f>
        <v>276</v>
      </c>
      <c r="CY522" s="595">
        <f>IF(WWWW[[#This Row],['# people reached by regular dedicated hygiene promotion_5]]&gt;WWWW[[#This Row],['# People received regular supply of hygiene items_6]],WWWW[[#This Row],['# people reached by regular dedicated hygiene promotion_5]],WWWW[[#This Row],['# People received regular supply of hygiene items_6]])</f>
        <v>276</v>
      </c>
      <c r="CZ522" s="597">
        <f>IF(WWWW[[#This Row],[HRP3]]/WWWW[[#This Row],[Total PoP ]]&gt;100%,100%,WWWW[[#This Row],[HRP3]]/WWWW[[#This Row],[Total PoP ]])</f>
        <v>1</v>
      </c>
      <c r="DA522" s="596">
        <f>1-WWWW[[#This Row],[Hygiene Coverage%]]</f>
        <v>0</v>
      </c>
      <c r="DB522" s="594">
        <f>WWWW[[#This Row],['# people reached by regular dedicated hygiene promotion_5]]/WWWW[[#This Row],[Total PoP ]]</f>
        <v>1</v>
      </c>
      <c r="DC522" s="594">
        <f>IF(WWWW[[#This Row],['#_households that received standard amount of soap for this quarter]]/WWWW[[#This Row],[Total HH]]&gt;1,1,WWWW[[#This Row],['#_households that received standard amount of soap for this quarter]]/WWWW[[#This Row],[Total HH]])</f>
        <v>1</v>
      </c>
      <c r="DD522" s="594">
        <f>IF(WWWW[[#This Row],['#_households that received standard amount of sanitary pads for this quarter]]/WWWW[[#This Row],[Total HH]]&gt;1,1,WWWW[[#This Row],['#_households that received standard amount of sanitary pads for this quarter]]/WWWW[[#This Row],[Total HH]])</f>
        <v>0</v>
      </c>
      <c r="DE522" s="595">
        <f>WWWW[[#This Row],['#_Constructed/Existing hand washing stations]]-WWWW[[#This Row],['#_Non-Functional_hand_washing_stations]]</f>
        <v>0</v>
      </c>
      <c r="DF522" s="757">
        <f>IF(WWWW[[#This Row],['# Functional hand washing stations during reporting period]]*20&gt;WWWW[[#This Row],[Total HH]],WWWW[[#This Row],[Total HH]],WWWW[[#This Row],['# Functional hand washing stations during reporting period]]*20)</f>
        <v>0</v>
      </c>
      <c r="DG522" s="585">
        <f>IF(WWWW[[#This Row],[Is sufficient soap available for TLS? (Yes/No)]]="yes",WWWW[[#This Row],['#_Constructed/Existing hand washing stations at TLS]],0)</f>
        <v>0</v>
      </c>
      <c r="DH522" s="585">
        <f>IF(WWWW[[#This Row],['# Functional hand washing stations during reporting period]]*100&gt;WWWW[[#This Row],[Total PoP ]],WWWW[[#This Row],[Total PoP ]],WWWW[[#This Row],['# Functional hand washing stations during reporting period]]*100)</f>
        <v>0</v>
      </c>
      <c r="DI522" s="585" t="str">
        <f>IF(OR(WWWW[[#This Row],['#_students at TLS_CFS]]="",WWWW[[#This Row],['#_students at TLS_CFS]]=0),"No","Yes")</f>
        <v>No</v>
      </c>
      <c r="DJ522" s="592">
        <f>VLOOKUP(WWWW[[#This Row],[Site Name]],SiteDB6[[Site Name]:[CCCM Management]],6,FALSE)</f>
        <v>0</v>
      </c>
      <c r="DK522" s="592" t="str">
        <f>VLOOKUP(WWWW[[#This Row],[Site Name]],SiteDB6[[Site Name]:[CCCM Focal Agency]],7,FALSE)</f>
        <v>uncovered</v>
      </c>
      <c r="DL522" s="592" t="str">
        <f>VLOOKUP(WWWW[[#This Row],[Site Name]],SiteDB6[[Site Name]:[Location Type 1]],9,FALSE)</f>
        <v>Camp</v>
      </c>
      <c r="DM522" s="592" t="str">
        <f>VLOOKUP(WWWW[[#This Row],[Site Name]],SiteDB6[[Site Name]:[Type of Accommodation]],10,FALSE)</f>
        <v>Camp like setting</v>
      </c>
      <c r="DN522" s="592" t="str">
        <f>VLOOKUP(WWWW[[#This Row],[Site Name]],SiteDB6[[Site Name]:[Ethnic or GCA/NGCA]],11,FALSE)</f>
        <v>GCA</v>
      </c>
      <c r="DO522" s="592">
        <f>VLOOKUP(WWWW[[#This Row],[Site Name]],SiteDB6[[Site Name]:[Lat]],12,FALSE)</f>
        <v>23.611999999999998</v>
      </c>
      <c r="DP522" s="592">
        <f>VLOOKUP(WWWW[[#This Row],[Site Name]],SiteDB6[[Site Name]:[Long]],13,FALSE)</f>
        <v>97.506</v>
      </c>
      <c r="DQ522" s="592" t="str">
        <f>VLOOKUP(WWWW[[#This Row],[Site Name]],SiteDB6[[Site Name]:[Pcode]],3,FALSE)</f>
        <v>MMR015CMP224</v>
      </c>
      <c r="DR522" s="586" t="str">
        <f t="shared" si="18"/>
        <v>Covered</v>
      </c>
      <c r="DS522" s="586"/>
    </row>
    <row r="523" spans="1:126">
      <c r="A523" s="552" t="s">
        <v>2518</v>
      </c>
      <c r="B523" s="584" t="s">
        <v>305</v>
      </c>
      <c r="C523" s="584" t="s">
        <v>305</v>
      </c>
      <c r="D523" s="584" t="s">
        <v>2967</v>
      </c>
      <c r="E523" s="574" t="s">
        <v>716</v>
      </c>
      <c r="F523" s="584" t="s">
        <v>720</v>
      </c>
      <c r="G523" s="592" t="str">
        <f>VLOOKUP(WWWW[[#This Row],[Site Name]],SiteDB6[[Site Name]:[Location Type]],8,FALSE)</f>
        <v>Camp</v>
      </c>
      <c r="H523" s="584" t="s">
        <v>746</v>
      </c>
      <c r="I523" s="312">
        <v>30</v>
      </c>
      <c r="J523" s="312">
        <v>180</v>
      </c>
      <c r="K523" s="593">
        <v>43070</v>
      </c>
      <c r="L523" s="58">
        <v>43799</v>
      </c>
      <c r="M523" s="312"/>
      <c r="N523" s="312"/>
      <c r="O523" s="312"/>
      <c r="P523" s="312"/>
      <c r="Q523" s="585" t="s">
        <v>43</v>
      </c>
      <c r="R523" s="312">
        <v>5</v>
      </c>
      <c r="S523" s="312">
        <v>4</v>
      </c>
      <c r="T523" s="312">
        <v>0</v>
      </c>
      <c r="U523" s="312">
        <v>0</v>
      </c>
      <c r="V523" s="312">
        <v>0</v>
      </c>
      <c r="W523" s="312">
        <v>0</v>
      </c>
      <c r="X523" s="312">
        <v>0</v>
      </c>
      <c r="Y523" s="312">
        <v>0</v>
      </c>
      <c r="Z523" s="312">
        <v>0</v>
      </c>
      <c r="AA523" s="312">
        <v>12</v>
      </c>
      <c r="AB523" s="312">
        <v>0</v>
      </c>
      <c r="AC523" s="312">
        <v>0</v>
      </c>
      <c r="AD523" s="312">
        <v>0</v>
      </c>
      <c r="AE523" s="312"/>
      <c r="AF523" s="312">
        <v>0</v>
      </c>
      <c r="AG523" s="312">
        <v>1</v>
      </c>
      <c r="AH523" s="312"/>
      <c r="AI523" s="312">
        <v>1</v>
      </c>
      <c r="AJ523" s="312">
        <v>0</v>
      </c>
      <c r="AK523" s="312">
        <v>15</v>
      </c>
      <c r="AL523" s="312">
        <v>0</v>
      </c>
      <c r="AM523" s="312"/>
      <c r="AN523" s="312"/>
      <c r="AO523" s="586"/>
      <c r="AP523" s="312">
        <v>30</v>
      </c>
      <c r="AQ523" s="312">
        <v>0</v>
      </c>
      <c r="AR523" s="594"/>
      <c r="AS523" s="312">
        <v>0</v>
      </c>
      <c r="AT523" s="312">
        <v>0</v>
      </c>
      <c r="AU523" s="312">
        <v>0</v>
      </c>
      <c r="AV523" s="312"/>
      <c r="AW523" s="312"/>
      <c r="AX523" s="592" t="s">
        <v>148</v>
      </c>
      <c r="AY523" s="586" t="s">
        <v>145</v>
      </c>
      <c r="AZ523" s="312">
        <v>0</v>
      </c>
      <c r="BA523" s="312">
        <v>0</v>
      </c>
      <c r="BB523" s="312"/>
      <c r="BC523" s="592"/>
      <c r="BD523" s="312">
        <v>2</v>
      </c>
      <c r="BE523" s="312">
        <v>0</v>
      </c>
      <c r="BF523" s="312">
        <v>0</v>
      </c>
      <c r="BG523" s="312">
        <v>2</v>
      </c>
      <c r="BH523" s="312">
        <v>0</v>
      </c>
      <c r="BI523" s="312">
        <v>0</v>
      </c>
      <c r="BJ523" s="312">
        <v>1</v>
      </c>
      <c r="BK523" s="312">
        <v>30</v>
      </c>
      <c r="BL523" s="312"/>
      <c r="BM523" s="592"/>
      <c r="BN523" s="595"/>
      <c r="BO523" s="594">
        <v>0.1</v>
      </c>
      <c r="BP523" s="592"/>
      <c r="BQ523" s="596">
        <f>IFERROR(WWWW[[#This Row],['#_Water sources treated]]/WWWW[[#This Row],['#_Water sources tested for contamination]],"no test")</f>
        <v>0</v>
      </c>
      <c r="BR523" s="594">
        <f>IFERROR(WWWW[[#This Row],['#_Household received remediation action due to contamination]]/WWWW[[#This Row],['#_Household water samples tested for contamination]],"no test")</f>
        <v>0</v>
      </c>
      <c r="BS523" s="595" t="str">
        <f>IF(AND(WWWW[[#This Row],[% of water sources treated]]="no test",WWWW[[#This Row],[% Household received corrective actions]]="no test"),"No Test","Tested")</f>
        <v>Tested</v>
      </c>
      <c r="BT523" s="595">
        <f>WWWW[[#This Row],['#_Constructed/existing protected hand dug well]]-WWWW[[#This Row],['#_Non-functional protected hand dug well]]</f>
        <v>0</v>
      </c>
      <c r="BU523" s="595">
        <f>(WWWW[[#This Row],['#_Constructed/Existing tube wells/boreholes/handpumps_WASH_agency]]+WWWW[[#This Row],['#_Non-Cluster partner water tube-wells/boreholes/handpumps]])-WWWW[[#This Row],['#_Non-functional tube wells/boreholes/handpumps]]</f>
        <v>0</v>
      </c>
      <c r="BV523" s="595">
        <f>WWWW[[#This Row],['#_Constructed/Existingwater storage tank with gravity fed reticulation system]]-WWWW[[#This Row],['#_Non-functional storage tank gravity fed reticulation system]]</f>
        <v>12</v>
      </c>
      <c r="BW523" s="595">
        <f>WWWW[[#This Row],['#_Water boating or water trucking]]</f>
        <v>0</v>
      </c>
      <c r="BX523" s="595">
        <f>WWWW[[#This Row],['#_Constructed/Existing water distribution system from river or natural spring]]</f>
        <v>0</v>
      </c>
      <c r="BY523"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3"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3" s="594">
        <f>IF(WWWW[[#This Row],[Location Type 1]]="Village",WWWW[[#This Row],[Access to safe drinking water for Village]],WWWW[[#This Row],[Access to safe drinking water for Camp]])</f>
        <v>1</v>
      </c>
      <c r="CB523" s="585">
        <f>WWWW[[#This Row],[%Equitable and continuous access to sufficient quantity of safe drinking water]]*WWWW[[#This Row],[Total PoP ]]</f>
        <v>180</v>
      </c>
      <c r="CC523" s="594">
        <f>IF((WWWW[[#This Row],['#_Constructed/Existing protected/fenced ponds]]*250)/WWWW[[#This Row],[Total PoP ]]&gt;1,1,(WWWW[[#This Row],['#_Constructed/Existing protected/fenced ponds]]*250)/WWWW[[#This Row],[Total PoP ]])</f>
        <v>0</v>
      </c>
      <c r="CD523" s="585">
        <f>WWWW[[#This Row],[% Access to unimproved water points]]*WWWW[[#This Row],[Total PoP ]]</f>
        <v>0</v>
      </c>
      <c r="CE523"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3"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G523" s="585">
        <f>WWWW[[#This Row],[HRP1]]/500</f>
        <v>0.36</v>
      </c>
      <c r="CH523" s="597">
        <f>1-WWWW[[#This Row],[% Equitable and continuous access to sufficient quantity of domestic water]]</f>
        <v>0</v>
      </c>
      <c r="CI523" s="585">
        <f>WWWW[[#This Row],[%equitable and continuous access to sufficient quantity of safe drinking and domestic water''s GAP]]*WWWW[[#This Row],[Total PoP ]]</f>
        <v>0</v>
      </c>
      <c r="CJ523" s="595">
        <f>IF(WWWW[[#This Row],[Total required water points]]-WWWW[[#This Row],['#Water points coverage]]&lt;0,0,WWWW[[#This Row],[Total required water points]]-WWWW[[#This Row],['#Water points coverage]])</f>
        <v>0.64</v>
      </c>
      <c r="CK523" s="595">
        <f>ROUND(IF(WWWW[[#This Row],[Total PoP ]]&lt;500,1,WWWW[[#This Row],[Total PoP ]]/500),0)</f>
        <v>1</v>
      </c>
      <c r="CL523" s="595">
        <f>(WWWW[[#This Row],['#_Constructed latrines_by_WASHAgencies]]+WWWW[[#This Row],['#_Non Cluster partner latrines]])-WWWW[[#This Row],['#_Non-functional latrines]]</f>
        <v>30</v>
      </c>
      <c r="CM523"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3"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523"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3" s="595">
        <f>IF(WWWW[[#This Row],[Location Type 1]]="Village","NA",IF(WWWW[[#This Row],['#_Constructed/Existing latrines in TLS]]*50&gt;WWWW[[#This Row],['#_students at TLS_CFS]],WWWW[[#This Row],['#_students at TLS_CFS]],(WWWW[[#This Row],['#_Constructed/Existing latrines in TLS]]*50)))</f>
        <v>0</v>
      </c>
      <c r="CQ523" s="595">
        <f>ROUND(IF(WWWW[[#This Row],[Location Type 1]]="camp",WWWW[[#This Row],[Total PoP ]]/20,IF(WWWW[[#This Row],[Location Type 1]]="Temporary Location",WWWW[[#This Row],[Total PoP ]]/50,(WWWW[[#This Row],[Total PoP ]]/6))),0)</f>
        <v>9</v>
      </c>
      <c r="CR523" s="595">
        <f>IF(WWWW[[#This Row],[Total required Latrines]]-(WWWW[[#This Row],['#_Constructed latrines_by_WASHAgencies]]+WWWW[[#This Row],['#_Non Cluster partner latrines]])&lt;0,0,WWWW[[#This Row],[Total required Latrines]]-(WWWW[[#This Row],['#_Constructed latrines_by_WASHAgencies]]+WWWW[[#This Row],['#_Non Cluster partner latrines]]))</f>
        <v>0</v>
      </c>
      <c r="CS523" s="78">
        <f>1-WWWW[[#This Row],[% people access to functioning Latrine]]</f>
        <v>0</v>
      </c>
      <c r="CT523" s="596">
        <f>IF(OR(WWWW[[#This Row],['#_Non-functional latrines]]="",WWWW[[#This Row],['#_Non-functional latrines]]=0),0,WWWW[[#This Row],['#_Non-functional latrines]]/(WWWW[[#This Row],['#_Constructed latrines_by_WASHAgencies]]+WWWW[[#This Row],['#_Non Cluster partner latrines]]))</f>
        <v>0</v>
      </c>
      <c r="CU523" s="585">
        <f>IF(500*(WWWW[[#This Row],['#_male hygiene promoters]]+WWWW[[#This Row],['#_female hygiene promoters]])&gt;WWWW[[#This Row],[Total PoP ]],WWWW[[#This Row],[Total PoP ]],500*(WWWW[[#This Row],['#_male hygiene promoters]]+WWWW[[#This Row],['#_female hygiene promoters]]))</f>
        <v>180</v>
      </c>
      <c r="CV523"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CW523"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3" s="595">
        <f>IF(WWWW[[#This Row],['# People with access to soap]]&gt;WWWW[[#This Row],['# People with access to Sanity Pads]],WWWW[[#This Row],['# People with access to soap]],WWWW[[#This Row],['# People with access to Sanity Pads]])</f>
        <v>180</v>
      </c>
      <c r="CY523" s="595">
        <f>IF(WWWW[[#This Row],['# people reached by regular dedicated hygiene promotion_5]]&gt;WWWW[[#This Row],['# People received regular supply of hygiene items_6]],WWWW[[#This Row],['# people reached by regular dedicated hygiene promotion_5]],WWWW[[#This Row],['# People received regular supply of hygiene items_6]])</f>
        <v>180</v>
      </c>
      <c r="CZ523" s="597">
        <f>IF(WWWW[[#This Row],[HRP3]]/WWWW[[#This Row],[Total PoP ]]&gt;100%,100%,WWWW[[#This Row],[HRP3]]/WWWW[[#This Row],[Total PoP ]])</f>
        <v>1</v>
      </c>
      <c r="DA523" s="596">
        <f>1-WWWW[[#This Row],[Hygiene Coverage%]]</f>
        <v>0</v>
      </c>
      <c r="DB523" s="594">
        <f>WWWW[[#This Row],['# people reached by regular dedicated hygiene promotion_5]]/WWWW[[#This Row],[Total PoP ]]</f>
        <v>1</v>
      </c>
      <c r="DC523" s="594">
        <f>IF(WWWW[[#This Row],['#_households that received standard amount of soap for this quarter]]/WWWW[[#This Row],[Total HH]]&gt;1,1,WWWW[[#This Row],['#_households that received standard amount of soap for this quarter]]/WWWW[[#This Row],[Total HH]])</f>
        <v>1</v>
      </c>
      <c r="DD523" s="594">
        <f>IF(WWWW[[#This Row],['#_households that received standard amount of sanitary pads for this quarter]]/WWWW[[#This Row],[Total HH]]&gt;1,1,WWWW[[#This Row],['#_households that received standard amount of sanitary pads for this quarter]]/WWWW[[#This Row],[Total HH]])</f>
        <v>0</v>
      </c>
      <c r="DE523" s="595">
        <f>WWWW[[#This Row],['#_Constructed/Existing hand washing stations]]-WWWW[[#This Row],['#_Non-Functional_hand_washing_stations]]</f>
        <v>2</v>
      </c>
      <c r="DF523" s="757">
        <f>IF(WWWW[[#This Row],['# Functional hand washing stations during reporting period]]*20&gt;WWWW[[#This Row],[Total HH]],WWWW[[#This Row],[Total HH]],WWWW[[#This Row],['# Functional hand washing stations during reporting period]]*20)</f>
        <v>30</v>
      </c>
      <c r="DG523" s="585">
        <f>IF(WWWW[[#This Row],[Is sufficient soap available for TLS? (Yes/No)]]="yes",WWWW[[#This Row],['#_Constructed/Existing hand washing stations at TLS]],0)</f>
        <v>0</v>
      </c>
      <c r="DH523" s="585">
        <f>IF(WWWW[[#This Row],['# Functional hand washing stations during reporting period]]*100&gt;WWWW[[#This Row],[Total PoP ]],WWWW[[#This Row],[Total PoP ]],WWWW[[#This Row],['# Functional hand washing stations during reporting period]]*100)</f>
        <v>180</v>
      </c>
      <c r="DI523" s="585" t="str">
        <f>IF(OR(WWWW[[#This Row],['#_students at TLS_CFS]]="",WWWW[[#This Row],['#_students at TLS_CFS]]=0),"No","Yes")</f>
        <v>No</v>
      </c>
      <c r="DJ523" s="592">
        <f>VLOOKUP(WWWW[[#This Row],[Site Name]],SiteDB6[[Site Name]:[CCCM Management]],6,FALSE)</f>
        <v>0</v>
      </c>
      <c r="DK523" s="592" t="str">
        <f>VLOOKUP(WWWW[[#This Row],[Site Name]],SiteDB6[[Site Name]:[CCCM Focal Agency]],7,FALSE)</f>
        <v>uncovered</v>
      </c>
      <c r="DL523" s="592" t="str">
        <f>VLOOKUP(WWWW[[#This Row],[Site Name]],SiteDB6[[Site Name]:[Location Type 1]],9,FALSE)</f>
        <v>Camp</v>
      </c>
      <c r="DM523" s="592" t="str">
        <f>VLOOKUP(WWWW[[#This Row],[Site Name]],SiteDB6[[Site Name]:[Type of Accommodation]],10,FALSE)</f>
        <v>Camp like setting</v>
      </c>
      <c r="DN523" s="592" t="str">
        <f>VLOOKUP(WWWW[[#This Row],[Site Name]],SiteDB6[[Site Name]:[Ethnic or GCA/NGCA]],11,FALSE)</f>
        <v>GCA</v>
      </c>
      <c r="DO523" s="592">
        <f>VLOOKUP(WWWW[[#This Row],[Site Name]],SiteDB6[[Site Name]:[Lat]],12,FALSE)</f>
        <v>23.850999999999999</v>
      </c>
      <c r="DP523" s="592">
        <f>VLOOKUP(WWWW[[#This Row],[Site Name]],SiteDB6[[Site Name]:[Long]],13,FALSE)</f>
        <v>98.337999999999994</v>
      </c>
      <c r="DQ523" s="592" t="str">
        <f>VLOOKUP(WWWW[[#This Row],[Site Name]],SiteDB6[[Site Name]:[Pcode]],3,FALSE)</f>
        <v>MMR015CMP227</v>
      </c>
      <c r="DR523" s="586" t="str">
        <f t="shared" si="18"/>
        <v>Covered</v>
      </c>
      <c r="DS523" s="586"/>
    </row>
    <row r="524" spans="1:126">
      <c r="A524" s="552" t="s">
        <v>2518</v>
      </c>
      <c r="B524" s="584" t="s">
        <v>317</v>
      </c>
      <c r="C524" s="584" t="s">
        <v>317</v>
      </c>
      <c r="D524" s="555"/>
      <c r="E524" s="555" t="s">
        <v>716</v>
      </c>
      <c r="F524" s="584" t="s">
        <v>720</v>
      </c>
      <c r="G524" s="554" t="s">
        <v>45</v>
      </c>
      <c r="H524" s="555" t="s">
        <v>729</v>
      </c>
      <c r="I524" s="557">
        <v>44</v>
      </c>
      <c r="J524" s="557">
        <v>265</v>
      </c>
      <c r="K524" s="564"/>
      <c r="L524" s="565"/>
      <c r="M524" s="557"/>
      <c r="N524" s="557"/>
      <c r="O524" s="557"/>
      <c r="P524" s="557"/>
      <c r="Q524" s="556"/>
      <c r="R524" s="557"/>
      <c r="S524" s="557"/>
      <c r="T524" s="557"/>
      <c r="U524" s="557"/>
      <c r="V524" s="557"/>
      <c r="W524" s="557"/>
      <c r="X524" s="557"/>
      <c r="Y524" s="557"/>
      <c r="Z524" s="557"/>
      <c r="AA524" s="557"/>
      <c r="AB524" s="557"/>
      <c r="AC524" s="557"/>
      <c r="AD524" s="557"/>
      <c r="AE524" s="557"/>
      <c r="AF524" s="557"/>
      <c r="AG524" s="557"/>
      <c r="AH524" s="557"/>
      <c r="AI524" s="557"/>
      <c r="AJ524" s="557"/>
      <c r="AK524" s="557"/>
      <c r="AL524" s="557"/>
      <c r="AM524" s="557"/>
      <c r="AN524" s="557"/>
      <c r="AO524" s="563"/>
      <c r="AP524" s="557"/>
      <c r="AQ524" s="557"/>
      <c r="AR524" s="559"/>
      <c r="AS524" s="557"/>
      <c r="AT524" s="557"/>
      <c r="AU524" s="557"/>
      <c r="AV524" s="557"/>
      <c r="AW524" s="557"/>
      <c r="AX524" s="554" t="s">
        <v>43</v>
      </c>
      <c r="AY524" s="563" t="s">
        <v>144</v>
      </c>
      <c r="AZ524" s="557"/>
      <c r="BA524" s="557"/>
      <c r="BB524" s="557"/>
      <c r="BC524" s="554"/>
      <c r="BD524" s="557"/>
      <c r="BE524" s="557"/>
      <c r="BF524" s="557"/>
      <c r="BG524" s="557"/>
      <c r="BH524" s="557"/>
      <c r="BI524" s="557"/>
      <c r="BJ524" s="557"/>
      <c r="BK524" s="557"/>
      <c r="BL524" s="557"/>
      <c r="BM524" s="554"/>
      <c r="BN524" s="558"/>
      <c r="BO524" s="559"/>
      <c r="BP524" s="554"/>
      <c r="BQ524" s="560" t="str">
        <f>IFERROR(WWWW[[#This Row],['#_Water sources treated]]/WWWW[[#This Row],['#_Water sources tested for contamination]],"no test")</f>
        <v>no test</v>
      </c>
      <c r="BR524" s="559" t="str">
        <f>IFERROR(WWWW[[#This Row],['#_Household received remediation action due to contamination]]/WWWW[[#This Row],['#_Household water samples tested for contamination]],"no test")</f>
        <v>no test</v>
      </c>
      <c r="BS524" s="558" t="str">
        <f>IF(AND(WWWW[[#This Row],[% of water sources treated]]="no test",WWWW[[#This Row],[% Household received corrective actions]]="no test"),"No Test","Tested")</f>
        <v>No Test</v>
      </c>
      <c r="BT524" s="558">
        <f>WWWW[[#This Row],['#_Constructed/existing protected hand dug well]]-WWWW[[#This Row],['#_Non-functional protected hand dug well]]</f>
        <v>0</v>
      </c>
      <c r="BU524" s="558">
        <f>(WWWW[[#This Row],['#_Constructed/Existing tube wells/boreholes/handpumps_WASH_agency]]+WWWW[[#This Row],['#_Non-Cluster partner water tube-wells/boreholes/handpumps]])-WWWW[[#This Row],['#_Non-functional tube wells/boreholes/handpumps]]</f>
        <v>0</v>
      </c>
      <c r="BV524" s="558">
        <f>WWWW[[#This Row],['#_Constructed/Existingwater storage tank with gravity fed reticulation system]]-WWWW[[#This Row],['#_Non-functional storage tank gravity fed reticulation system]]</f>
        <v>0</v>
      </c>
      <c r="BW524" s="558">
        <f>WWWW[[#This Row],['#_Water boating or water trucking]]</f>
        <v>0</v>
      </c>
      <c r="BX524" s="558">
        <f>WWWW[[#This Row],['#_Constructed/Existing water distribution system from river or natural spring]]</f>
        <v>0</v>
      </c>
      <c r="BY52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4" s="559">
        <f>IF(WWWW[[#This Row],[Location Type 1]]="Village",WWWW[[#This Row],[Access to safe drinking water for Village]],WWWW[[#This Row],[Access to safe drinking water for Camp]])</f>
        <v>0</v>
      </c>
      <c r="CB524" s="556">
        <f>WWWW[[#This Row],[%Equitable and continuous access to sufficient quantity of safe drinking water]]*WWWW[[#This Row],[Total PoP ]]</f>
        <v>0</v>
      </c>
      <c r="CC524" s="559">
        <f>IF((WWWW[[#This Row],['#_Constructed/Existing protected/fenced ponds]]*250)/WWWW[[#This Row],[Total PoP ]]&gt;1,1,(WWWW[[#This Row],['#_Constructed/Existing protected/fenced ponds]]*250)/WWWW[[#This Row],[Total PoP ]])</f>
        <v>0</v>
      </c>
      <c r="CD524" s="556">
        <f>WWWW[[#This Row],[% Access to unimproved water points]]*WWWW[[#This Row],[Total PoP ]]</f>
        <v>0</v>
      </c>
      <c r="CE52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2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24" s="556">
        <f>WWWW[[#This Row],[HRP1]]/500</f>
        <v>0</v>
      </c>
      <c r="CH524" s="561">
        <f>1-WWWW[[#This Row],[% Equitable and continuous access to sufficient quantity of domestic water]]</f>
        <v>1</v>
      </c>
      <c r="CI524" s="556">
        <f>WWWW[[#This Row],[%equitable and continuous access to sufficient quantity of safe drinking and domestic water''s GAP]]*WWWW[[#This Row],[Total PoP ]]</f>
        <v>265</v>
      </c>
      <c r="CJ524" s="558">
        <f>IF(WWWW[[#This Row],[Total required water points]]-WWWW[[#This Row],['#Water points coverage]]&lt;0,0,WWWW[[#This Row],[Total required water points]]-WWWW[[#This Row],['#Water points coverage]])</f>
        <v>1</v>
      </c>
      <c r="CK524" s="558">
        <f>ROUND(IF(WWWW[[#This Row],[Total PoP ]]&lt;500,1,WWWW[[#This Row],[Total PoP ]]/500),0)</f>
        <v>1</v>
      </c>
      <c r="CL524" s="558">
        <f>(WWWW[[#This Row],['#_Constructed latrines_by_WASHAgencies]]+WWWW[[#This Row],['#_Non Cluster partner latrines]])-WWWW[[#This Row],['#_Non-functional latrines]]</f>
        <v>0</v>
      </c>
      <c r="CM52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2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24"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4" s="558">
        <f>IF(WWWW[[#This Row],[Location Type 1]]="Village","NA",IF(WWWW[[#This Row],['#_Constructed/Existing latrines in TLS]]*50&gt;WWWW[[#This Row],['#_students at TLS_CFS]],WWWW[[#This Row],['#_students at TLS_CFS]],(WWWW[[#This Row],['#_Constructed/Existing latrines in TLS]]*50)))</f>
        <v>0</v>
      </c>
      <c r="CQ524" s="558">
        <f>ROUND(IF(WWWW[[#This Row],[Location Type 1]]="camp",WWWW[[#This Row],[Total PoP ]]/20,IF(WWWW[[#This Row],[Location Type 1]]="Temporary Location",WWWW[[#This Row],[Total PoP ]]/50,(WWWW[[#This Row],[Total PoP ]]/6))),0)</f>
        <v>44</v>
      </c>
      <c r="CR524" s="558">
        <f>IF(WWWW[[#This Row],[Total required Latrines]]-(WWWW[[#This Row],['#_Constructed latrines_by_WASHAgencies]]+WWWW[[#This Row],['#_Non Cluster partner latrines]])&lt;0,0,WWWW[[#This Row],[Total required Latrines]]-(WWWW[[#This Row],['#_Constructed latrines_by_WASHAgencies]]+WWWW[[#This Row],['#_Non Cluster partner latrines]]))</f>
        <v>44</v>
      </c>
      <c r="CS524" s="78">
        <f>1-WWWW[[#This Row],[% people access to functioning Latrine]]</f>
        <v>1</v>
      </c>
      <c r="CT524" s="560">
        <f>IF(OR(WWWW[[#This Row],['#_Non-functional latrines]]="",WWWW[[#This Row],['#_Non-functional latrines]]=0),0,WWWW[[#This Row],['#_Non-functional latrines]]/(WWWW[[#This Row],['#_Constructed latrines_by_WASHAgencies]]+WWWW[[#This Row],['#_Non Cluster partner latrines]]))</f>
        <v>0</v>
      </c>
      <c r="CU524" s="556">
        <f>IF(500*(WWWW[[#This Row],['#_male hygiene promoters]]+WWWW[[#This Row],['#_female hygiene promoters]])&gt;WWWW[[#This Row],[Total PoP ]],WWWW[[#This Row],[Total PoP ]],500*(WWWW[[#This Row],['#_male hygiene promoters]]+WWWW[[#This Row],['#_female hygiene promoters]]))</f>
        <v>0</v>
      </c>
      <c r="CV52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4" s="558">
        <f>IF(WWWW[[#This Row],['# People with access to soap]]&gt;WWWW[[#This Row],['# People with access to Sanity Pads]],WWWW[[#This Row],['# People with access to soap]],WWWW[[#This Row],['# People with access to Sanity Pads]])</f>
        <v>0</v>
      </c>
      <c r="CY524"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4" s="561">
        <f>IF(WWWW[[#This Row],[HRP3]]/WWWW[[#This Row],[Total PoP ]]&gt;100%,100%,WWWW[[#This Row],[HRP3]]/WWWW[[#This Row],[Total PoP ]])</f>
        <v>0</v>
      </c>
      <c r="DA524" s="560">
        <f>1-WWWW[[#This Row],[Hygiene Coverage%]]</f>
        <v>1</v>
      </c>
      <c r="DB524" s="559">
        <f>WWWW[[#This Row],['# people reached by regular dedicated hygiene promotion_5]]/WWWW[[#This Row],[Total PoP ]]</f>
        <v>0</v>
      </c>
      <c r="DC524" s="559">
        <f>IF(WWWW[[#This Row],['#_households that received standard amount of soap for this quarter]]/WWWW[[#This Row],[Total HH]]&gt;1,1,WWWW[[#This Row],['#_households that received standard amount of soap for this quarter]]/WWWW[[#This Row],[Total HH]])</f>
        <v>0</v>
      </c>
      <c r="DD524" s="559">
        <f>IF(WWWW[[#This Row],['#_households that received standard amount of sanitary pads for this quarter]]/WWWW[[#This Row],[Total HH]]&gt;1,1,WWWW[[#This Row],['#_households that received standard amount of sanitary pads for this quarter]]/WWWW[[#This Row],[Total HH]])</f>
        <v>0</v>
      </c>
      <c r="DE524" s="558">
        <f>WWWW[[#This Row],['#_Constructed/Existing hand washing stations]]-WWWW[[#This Row],['#_Non-Functional_hand_washing_stations]]</f>
        <v>0</v>
      </c>
      <c r="DF524" s="757">
        <f>IF(WWWW[[#This Row],['# Functional hand washing stations during reporting period]]*20&gt;WWWW[[#This Row],[Total HH]],WWWW[[#This Row],[Total HH]],WWWW[[#This Row],['# Functional hand washing stations during reporting period]]*20)</f>
        <v>0</v>
      </c>
      <c r="DG524" s="556">
        <f>IF(WWWW[[#This Row],[Is sufficient soap available for TLS? (Yes/No)]]="yes",WWWW[[#This Row],['#_Constructed/Existing hand washing stations at TLS]],0)</f>
        <v>0</v>
      </c>
      <c r="DH524" s="556">
        <f>IF(WWWW[[#This Row],['# Functional hand washing stations during reporting period]]*100&gt;WWWW[[#This Row],[Total PoP ]],WWWW[[#This Row],[Total PoP ]],WWWW[[#This Row],['# Functional hand washing stations during reporting period]]*100)</f>
        <v>0</v>
      </c>
      <c r="DI524" s="556" t="str">
        <f>IF(OR(WWWW[[#This Row],['#_students at TLS_CFS]]="",WWWW[[#This Row],['#_students at TLS_CFS]]=0),"No","Yes")</f>
        <v>No</v>
      </c>
      <c r="DJ524" s="554" t="str">
        <f>VLOOKUP(WWWW[[#This Row],[Site Name]],SiteDB6[[Site Name]:[CCCM Management]],6,FALSE)</f>
        <v>Yes</v>
      </c>
      <c r="DK524" s="554" t="str">
        <f>VLOOKUP(WWWW[[#This Row],[Site Name]],SiteDB6[[Site Name]:[CCCM Focal Agency]],7,FALSE)</f>
        <v>KBC-NSS</v>
      </c>
      <c r="DL524" s="554" t="str">
        <f>VLOOKUP(WWWW[[#This Row],[Site Name]],SiteDB6[[Site Name]:[Location Type 1]],9,FALSE)</f>
        <v>Village Type Camp</v>
      </c>
      <c r="DM524" s="554" t="str">
        <f>VLOOKUP(WWWW[[#This Row],[Site Name]],SiteDB6[[Site Name]:[Type of Accommodation]],10,FALSE)</f>
        <v>Camp</v>
      </c>
      <c r="DN524" s="554" t="str">
        <f>VLOOKUP(WWWW[[#This Row],[Site Name]],SiteDB6[[Site Name]:[Ethnic or GCA/NGCA]],11,FALSE)</f>
        <v>GCA</v>
      </c>
      <c r="DO524" s="554">
        <f>VLOOKUP(WWWW[[#This Row],[Site Name]],SiteDB6[[Site Name]:[Lat]],12,FALSE)</f>
        <v>23.400155999999999</v>
      </c>
      <c r="DP524" s="554">
        <f>VLOOKUP(WWWW[[#This Row],[Site Name]],SiteDB6[[Site Name]:[Long]],13,FALSE)</f>
        <v>98.220614999999995</v>
      </c>
      <c r="DQ524" s="554" t="str">
        <f>VLOOKUP(WWWW[[#This Row],[Site Name]],SiteDB6[[Site Name]:[Pcode]],3,FALSE)</f>
        <v>MMR015CMP006</v>
      </c>
      <c r="DR524" s="563" t="str">
        <f t="shared" si="18"/>
        <v>Notcovered</v>
      </c>
      <c r="DS524" s="563"/>
    </row>
    <row r="525" spans="1:126">
      <c r="A525" s="552" t="s">
        <v>2518</v>
      </c>
      <c r="B525" s="555" t="s">
        <v>38</v>
      </c>
      <c r="C525" s="555" t="s">
        <v>38</v>
      </c>
      <c r="D525" s="555" t="s">
        <v>722</v>
      </c>
      <c r="E525" s="555" t="s">
        <v>716</v>
      </c>
      <c r="F525" s="584" t="s">
        <v>720</v>
      </c>
      <c r="G525" s="554" t="s">
        <v>45</v>
      </c>
      <c r="H525" s="555" t="s">
        <v>725</v>
      </c>
      <c r="I525" s="557">
        <v>30</v>
      </c>
      <c r="J525" s="557">
        <v>138</v>
      </c>
      <c r="K525" s="564"/>
      <c r="L525" s="565">
        <v>43465</v>
      </c>
      <c r="M525" s="557"/>
      <c r="N525" s="557"/>
      <c r="O525" s="557"/>
      <c r="P525" s="557"/>
      <c r="Q525" s="556"/>
      <c r="R525" s="557"/>
      <c r="S525" s="557"/>
      <c r="T525" s="557">
        <v>0</v>
      </c>
      <c r="U525" s="557"/>
      <c r="V525" s="557"/>
      <c r="W525" s="557">
        <v>0</v>
      </c>
      <c r="X525" s="557"/>
      <c r="Y525" s="557"/>
      <c r="Z525" s="557"/>
      <c r="AA525" s="557"/>
      <c r="AB525" s="557"/>
      <c r="AC525" s="557"/>
      <c r="AD525" s="557"/>
      <c r="AE525" s="557">
        <v>1</v>
      </c>
      <c r="AF525" s="557"/>
      <c r="AG525" s="557"/>
      <c r="AH525" s="557"/>
      <c r="AI525" s="557"/>
      <c r="AJ525" s="557"/>
      <c r="AK525" s="557"/>
      <c r="AL525" s="557"/>
      <c r="AM525" s="557"/>
      <c r="AN525" s="557"/>
      <c r="AO525" s="563"/>
      <c r="AP525" s="557">
        <v>8</v>
      </c>
      <c r="AQ525" s="557"/>
      <c r="AR525" s="559"/>
      <c r="AS525" s="557"/>
      <c r="AT525" s="557"/>
      <c r="AU525" s="557"/>
      <c r="AV525" s="557"/>
      <c r="AW525" s="557"/>
      <c r="AX525" s="554" t="s">
        <v>43</v>
      </c>
      <c r="AY525" s="563" t="s">
        <v>145</v>
      </c>
      <c r="AZ525" s="557"/>
      <c r="BA525" s="557"/>
      <c r="BB525" s="557">
        <v>0</v>
      </c>
      <c r="BC525" s="554"/>
      <c r="BD525" s="557"/>
      <c r="BE525" s="557"/>
      <c r="BF525" s="557">
        <v>0</v>
      </c>
      <c r="BG525" s="557">
        <v>2</v>
      </c>
      <c r="BH525" s="557"/>
      <c r="BI525" s="557"/>
      <c r="BJ525" s="557">
        <v>0</v>
      </c>
      <c r="BK525" s="557"/>
      <c r="BL525" s="557"/>
      <c r="BM525" s="554"/>
      <c r="BN525" s="558"/>
      <c r="BO525" s="559"/>
      <c r="BP525" s="554"/>
      <c r="BQ525" s="560" t="str">
        <f>IFERROR(WWWW[[#This Row],['#_Water sources treated]]/WWWW[[#This Row],['#_Water sources tested for contamination]],"no test")</f>
        <v>no test</v>
      </c>
      <c r="BR525" s="559" t="str">
        <f>IFERROR(WWWW[[#This Row],['#_Household received remediation action due to contamination]]/WWWW[[#This Row],['#_Household water samples tested for contamination]],"no test")</f>
        <v>no test</v>
      </c>
      <c r="BS525" s="558" t="str">
        <f>IF(AND(WWWW[[#This Row],[% of water sources treated]]="no test",WWWW[[#This Row],[% Household received corrective actions]]="no test"),"No Test","Tested")</f>
        <v>No Test</v>
      </c>
      <c r="BT525" s="558">
        <f>WWWW[[#This Row],['#_Constructed/existing protected hand dug well]]-WWWW[[#This Row],['#_Non-functional protected hand dug well]]</f>
        <v>0</v>
      </c>
      <c r="BU525" s="558">
        <f>(WWWW[[#This Row],['#_Constructed/Existing tube wells/boreholes/handpumps_WASH_agency]]+WWWW[[#This Row],['#_Non-Cluster partner water tube-wells/boreholes/handpumps]])-WWWW[[#This Row],['#_Non-functional tube wells/boreholes/handpumps]]</f>
        <v>0</v>
      </c>
      <c r="BV525" s="558">
        <f>WWWW[[#This Row],['#_Constructed/Existingwater storage tank with gravity fed reticulation system]]-WWWW[[#This Row],['#_Non-functional storage tank gravity fed reticulation system]]</f>
        <v>0</v>
      </c>
      <c r="BW525" s="558">
        <f>WWWW[[#This Row],['#_Water boating or water trucking]]</f>
        <v>0</v>
      </c>
      <c r="BX525" s="558">
        <f>WWWW[[#This Row],['#_Constructed/Existing water distribution system from river or natural spring]]</f>
        <v>0</v>
      </c>
      <c r="BY52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5" s="559">
        <f>IF(WWWW[[#This Row],[Location Type 1]]="Village",WWWW[[#This Row],[Access to safe drinking water for Village]],WWWW[[#This Row],[Access to safe drinking water for Camp]])</f>
        <v>0</v>
      </c>
      <c r="CB525" s="556">
        <f>WWWW[[#This Row],[%Equitable and continuous access to sufficient quantity of safe drinking water]]*WWWW[[#This Row],[Total PoP ]]</f>
        <v>0</v>
      </c>
      <c r="CC525" s="559">
        <f>IF((WWWW[[#This Row],['#_Constructed/Existing protected/fenced ponds]]*250)/WWWW[[#This Row],[Total PoP ]]&gt;1,1,(WWWW[[#This Row],['#_Constructed/Existing protected/fenced ponds]]*250)/WWWW[[#This Row],[Total PoP ]])</f>
        <v>1</v>
      </c>
      <c r="CD525" s="556">
        <f>WWWW[[#This Row],[% Access to unimproved water points]]*WWWW[[#This Row],[Total PoP ]]</f>
        <v>138</v>
      </c>
      <c r="CE52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v>
      </c>
      <c r="CG525" s="556">
        <f>WWWW[[#This Row],[HRP1]]/500</f>
        <v>0.27600000000000002</v>
      </c>
      <c r="CH525" s="561">
        <f>1-WWWW[[#This Row],[% Equitable and continuous access to sufficient quantity of domestic water]]</f>
        <v>0</v>
      </c>
      <c r="CI525" s="556">
        <f>WWWW[[#This Row],[%equitable and continuous access to sufficient quantity of safe drinking and domestic water''s GAP]]*WWWW[[#This Row],[Total PoP ]]</f>
        <v>0</v>
      </c>
      <c r="CJ525" s="558">
        <f>IF(WWWW[[#This Row],[Total required water points]]-WWWW[[#This Row],['#Water points coverage]]&lt;0,0,WWWW[[#This Row],[Total required water points]]-WWWW[[#This Row],['#Water points coverage]])</f>
        <v>0.72399999999999998</v>
      </c>
      <c r="CK525" s="558">
        <f>ROUND(IF(WWWW[[#This Row],[Total PoP ]]&lt;500,1,WWWW[[#This Row],[Total PoP ]]/500),0)</f>
        <v>1</v>
      </c>
      <c r="CL525" s="558">
        <f>(WWWW[[#This Row],['#_Constructed latrines_by_WASHAgencies]]+WWWW[[#This Row],['#_Non Cluster partner latrines]])-WWWW[[#This Row],['#_Non-functional latrines]]</f>
        <v>8</v>
      </c>
      <c r="CM52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138</v>
      </c>
      <c r="CO525"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5" s="558">
        <f>IF(WWWW[[#This Row],[Location Type 1]]="Village","NA",IF(WWWW[[#This Row],['#_Constructed/Existing latrines in TLS]]*50&gt;WWWW[[#This Row],['#_students at TLS_CFS]],WWWW[[#This Row],['#_students at TLS_CFS]],(WWWW[[#This Row],['#_Constructed/Existing latrines in TLS]]*50)))</f>
        <v>0</v>
      </c>
      <c r="CQ525" s="558">
        <f>ROUND(IF(WWWW[[#This Row],[Location Type 1]]="camp",WWWW[[#This Row],[Total PoP ]]/20,IF(WWWW[[#This Row],[Location Type 1]]="Temporary Location",WWWW[[#This Row],[Total PoP ]]/50,(WWWW[[#This Row],[Total PoP ]]/6))),0)</f>
        <v>7</v>
      </c>
      <c r="CR525" s="558">
        <f>IF(WWWW[[#This Row],[Total required Latrines]]-(WWWW[[#This Row],['#_Constructed latrines_by_WASHAgencies]]+WWWW[[#This Row],['#_Non Cluster partner latrines]])&lt;0,0,WWWW[[#This Row],[Total required Latrines]]-(WWWW[[#This Row],['#_Constructed latrines_by_WASHAgencies]]+WWWW[[#This Row],['#_Non Cluster partner latrines]]))</f>
        <v>0</v>
      </c>
      <c r="CS525" s="78">
        <f>1-WWWW[[#This Row],[% people access to functioning Latrine]]</f>
        <v>0</v>
      </c>
      <c r="CT525" s="560">
        <f>IF(OR(WWWW[[#This Row],['#_Non-functional latrines]]="",WWWW[[#This Row],['#_Non-functional latrines]]=0),0,WWWW[[#This Row],['#_Non-functional latrines]]/(WWWW[[#This Row],['#_Constructed latrines_by_WASHAgencies]]+WWWW[[#This Row],['#_Non Cluster partner latrines]]))</f>
        <v>0</v>
      </c>
      <c r="CU525" s="556">
        <f>IF(500*(WWWW[[#This Row],['#_male hygiene promoters]]+WWWW[[#This Row],['#_female hygiene promoters]])&gt;WWWW[[#This Row],[Total PoP ]],WWWW[[#This Row],[Total PoP ]],500*(WWWW[[#This Row],['#_male hygiene promoters]]+WWWW[[#This Row],['#_female hygiene promoters]]))</f>
        <v>0</v>
      </c>
      <c r="CV52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5" s="558">
        <f>IF(WWWW[[#This Row],['# People with access to soap]]&gt;WWWW[[#This Row],['# People with access to Sanity Pads]],WWWW[[#This Row],['# People with access to soap]],WWWW[[#This Row],['# People with access to Sanity Pads]])</f>
        <v>0</v>
      </c>
      <c r="CY525"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5" s="561">
        <f>IF(WWWW[[#This Row],[HRP3]]/WWWW[[#This Row],[Total PoP ]]&gt;100%,100%,WWWW[[#This Row],[HRP3]]/WWWW[[#This Row],[Total PoP ]])</f>
        <v>0</v>
      </c>
      <c r="DA525" s="560">
        <f>1-WWWW[[#This Row],[Hygiene Coverage%]]</f>
        <v>1</v>
      </c>
      <c r="DB525" s="559">
        <f>WWWW[[#This Row],['# people reached by regular dedicated hygiene promotion_5]]/WWWW[[#This Row],[Total PoP ]]</f>
        <v>0</v>
      </c>
      <c r="DC525" s="559">
        <f>IF(WWWW[[#This Row],['#_households that received standard amount of soap for this quarter]]/WWWW[[#This Row],[Total HH]]&gt;1,1,WWWW[[#This Row],['#_households that received standard amount of soap for this quarter]]/WWWW[[#This Row],[Total HH]])</f>
        <v>0</v>
      </c>
      <c r="DD525" s="559">
        <f>IF(WWWW[[#This Row],['#_households that received standard amount of sanitary pads for this quarter]]/WWWW[[#This Row],[Total HH]]&gt;1,1,WWWW[[#This Row],['#_households that received standard amount of sanitary pads for this quarter]]/WWWW[[#This Row],[Total HH]])</f>
        <v>0</v>
      </c>
      <c r="DE525" s="558">
        <f>WWWW[[#This Row],['#_Constructed/Existing hand washing stations]]-WWWW[[#This Row],['#_Non-Functional_hand_washing_stations]]</f>
        <v>0</v>
      </c>
      <c r="DF525" s="757">
        <f>IF(WWWW[[#This Row],['# Functional hand washing stations during reporting period]]*20&gt;WWWW[[#This Row],[Total HH]],WWWW[[#This Row],[Total HH]],WWWW[[#This Row],['# Functional hand washing stations during reporting period]]*20)</f>
        <v>0</v>
      </c>
      <c r="DG525" s="556">
        <f>IF(WWWW[[#This Row],[Is sufficient soap available for TLS? (Yes/No)]]="yes",WWWW[[#This Row],['#_Constructed/Existing hand washing stations at TLS]],0)</f>
        <v>0</v>
      </c>
      <c r="DH525" s="556">
        <f>IF(WWWW[[#This Row],['# Functional hand washing stations during reporting period]]*100&gt;WWWW[[#This Row],[Total PoP ]],WWWW[[#This Row],[Total PoP ]],WWWW[[#This Row],['# Functional hand washing stations during reporting period]]*100)</f>
        <v>0</v>
      </c>
      <c r="DI525" s="556" t="str">
        <f>IF(OR(WWWW[[#This Row],['#_students at TLS_CFS]]="",WWWW[[#This Row],['#_students at TLS_CFS]]=0),"No","Yes")</f>
        <v>No</v>
      </c>
      <c r="DJ525" s="554" t="str">
        <f>VLOOKUP(WWWW[[#This Row],[Site Name]],SiteDB6[[Site Name]:[CCCM Management]],6,FALSE)</f>
        <v>Yes</v>
      </c>
      <c r="DK525" s="554" t="str">
        <f>VLOOKUP(WWWW[[#This Row],[Site Name]],SiteDB6[[Site Name]:[CCCM Focal Agency]],7,FALSE)</f>
        <v>KMSS-LSO</v>
      </c>
      <c r="DL525" s="554" t="str">
        <f>VLOOKUP(WWWW[[#This Row],[Site Name]],SiteDB6[[Site Name]:[Location Type 1]],9,FALSE)</f>
        <v>Camp</v>
      </c>
      <c r="DM525" s="554" t="str">
        <f>VLOOKUP(WWWW[[#This Row],[Site Name]],SiteDB6[[Site Name]:[Type of Accommodation]],10,FALSE)</f>
        <v>Camp</v>
      </c>
      <c r="DN525" s="554" t="str">
        <f>VLOOKUP(WWWW[[#This Row],[Site Name]],SiteDB6[[Site Name]:[Ethnic or GCA/NGCA]],11,FALSE)</f>
        <v>GCA</v>
      </c>
      <c r="DO525" s="554">
        <f>VLOOKUP(WWWW[[#This Row],[Site Name]],SiteDB6[[Site Name]:[Lat]],12,FALSE)</f>
        <v>23.463000000000001</v>
      </c>
      <c r="DP525" s="554">
        <f>VLOOKUP(WWWW[[#This Row],[Site Name]],SiteDB6[[Site Name]:[Long]],13,FALSE)</f>
        <v>98.248999999999995</v>
      </c>
      <c r="DQ525" s="554" t="str">
        <f>VLOOKUP(WWWW[[#This Row],[Site Name]],SiteDB6[[Site Name]:[Pcode]],3,FALSE)</f>
        <v>MMR015CMP217</v>
      </c>
      <c r="DR525" s="563" t="str">
        <f t="shared" si="18"/>
        <v>Covered</v>
      </c>
      <c r="DS525" s="563"/>
    </row>
    <row r="526" spans="1:126">
      <c r="A526" s="552" t="s">
        <v>2518</v>
      </c>
      <c r="B526" s="555" t="s">
        <v>200</v>
      </c>
      <c r="C526" s="555" t="s">
        <v>200</v>
      </c>
      <c r="D526" s="555" t="s">
        <v>2963</v>
      </c>
      <c r="E526" s="555" t="s">
        <v>716</v>
      </c>
      <c r="F526" s="555" t="s">
        <v>726</v>
      </c>
      <c r="G526" s="574" t="str">
        <f>VLOOKUP(WWWW[[#This Row],[Site Name]],SiteDB6[[Site Name]:[Location Type]],8,FALSE)</f>
        <v>Camp</v>
      </c>
      <c r="H526" s="555" t="s">
        <v>751</v>
      </c>
      <c r="I526" s="557">
        <v>51</v>
      </c>
      <c r="J526" s="557">
        <v>207</v>
      </c>
      <c r="K526" s="564" t="s">
        <v>2964</v>
      </c>
      <c r="L526" s="565" t="s">
        <v>2965</v>
      </c>
      <c r="M526" s="557"/>
      <c r="N526" s="557"/>
      <c r="O526" s="557"/>
      <c r="P526" s="557"/>
      <c r="Q526" s="556" t="s">
        <v>43</v>
      </c>
      <c r="R526" s="557"/>
      <c r="S526" s="557"/>
      <c r="T526" s="557"/>
      <c r="U526" s="557"/>
      <c r="V526" s="557"/>
      <c r="W526" s="557"/>
      <c r="X526" s="557"/>
      <c r="Y526" s="557"/>
      <c r="Z526" s="557"/>
      <c r="AA526" s="557"/>
      <c r="AB526" s="557"/>
      <c r="AC526" s="557"/>
      <c r="AD526" s="557"/>
      <c r="AE526" s="557"/>
      <c r="AF526" s="557"/>
      <c r="AG526" s="557"/>
      <c r="AH526" s="557"/>
      <c r="AI526" s="557"/>
      <c r="AJ526" s="557"/>
      <c r="AK526" s="557"/>
      <c r="AL526" s="557"/>
      <c r="AM526" s="557"/>
      <c r="AN526" s="557"/>
      <c r="AO526" s="563"/>
      <c r="AP526" s="557">
        <v>12</v>
      </c>
      <c r="AQ526" s="557"/>
      <c r="AR526" s="559"/>
      <c r="AS526" s="557"/>
      <c r="AT526" s="557"/>
      <c r="AU526" s="557"/>
      <c r="AV526" s="557"/>
      <c r="AW526" s="557"/>
      <c r="AX526" s="554" t="s">
        <v>43</v>
      </c>
      <c r="AY526" s="563" t="s">
        <v>145</v>
      </c>
      <c r="AZ526" s="557"/>
      <c r="BA526" s="557"/>
      <c r="BB526" s="557"/>
      <c r="BC526" s="554"/>
      <c r="BD526" s="557"/>
      <c r="BE526" s="557"/>
      <c r="BF526" s="557"/>
      <c r="BG526" s="557">
        <v>3</v>
      </c>
      <c r="BH526" s="557"/>
      <c r="BI526" s="557"/>
      <c r="BJ526" s="557"/>
      <c r="BK526" s="557">
        <v>0</v>
      </c>
      <c r="BL526" s="557">
        <v>0</v>
      </c>
      <c r="BM526" s="554"/>
      <c r="BN526" s="558"/>
      <c r="BO526" s="559"/>
      <c r="BP526" s="554"/>
      <c r="BQ526" s="560" t="str">
        <f>IFERROR(WWWW[[#This Row],['#_Water sources treated]]/WWWW[[#This Row],['#_Water sources tested for contamination]],"no test")</f>
        <v>no test</v>
      </c>
      <c r="BR526" s="559" t="str">
        <f>IFERROR(WWWW[[#This Row],['#_Household received remediation action due to contamination]]/WWWW[[#This Row],['#_Household water samples tested for contamination]],"no test")</f>
        <v>no test</v>
      </c>
      <c r="BS526" s="558" t="str">
        <f>IF(AND(WWWW[[#This Row],[% of water sources treated]]="no test",WWWW[[#This Row],[% Household received corrective actions]]="no test"),"No Test","Tested")</f>
        <v>No Test</v>
      </c>
      <c r="BT526" s="558">
        <f>WWWW[[#This Row],['#_Constructed/existing protected hand dug well]]-WWWW[[#This Row],['#_Non-functional protected hand dug well]]</f>
        <v>0</v>
      </c>
      <c r="BU526" s="558">
        <f>(WWWW[[#This Row],['#_Constructed/Existing tube wells/boreholes/handpumps_WASH_agency]]+WWWW[[#This Row],['#_Non-Cluster partner water tube-wells/boreholes/handpumps]])-WWWW[[#This Row],['#_Non-functional tube wells/boreholes/handpumps]]</f>
        <v>0</v>
      </c>
      <c r="BV526" s="558">
        <f>WWWW[[#This Row],['#_Constructed/Existingwater storage tank with gravity fed reticulation system]]-WWWW[[#This Row],['#_Non-functional storage tank gravity fed reticulation system]]</f>
        <v>0</v>
      </c>
      <c r="BW526" s="558">
        <f>WWWW[[#This Row],['#_Water boating or water trucking]]</f>
        <v>0</v>
      </c>
      <c r="BX526" s="558">
        <f>WWWW[[#This Row],['#_Constructed/Existing water distribution system from river or natural spring]]</f>
        <v>0</v>
      </c>
      <c r="BY52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6" s="559">
        <f>IF(WWWW[[#This Row],[Location Type 1]]="Village",WWWW[[#This Row],[Access to safe drinking water for Village]],WWWW[[#This Row],[Access to safe drinking water for Camp]])</f>
        <v>0</v>
      </c>
      <c r="CB526" s="556">
        <f>WWWW[[#This Row],[%Equitable and continuous access to sufficient quantity of safe drinking water]]*WWWW[[#This Row],[Total PoP ]]</f>
        <v>0</v>
      </c>
      <c r="CC526" s="559">
        <f>IF((WWWW[[#This Row],['#_Constructed/Existing protected/fenced ponds]]*250)/WWWW[[#This Row],[Total PoP ]]&gt;1,1,(WWWW[[#This Row],['#_Constructed/Existing protected/fenced ponds]]*250)/WWWW[[#This Row],[Total PoP ]])</f>
        <v>0</v>
      </c>
      <c r="CD526" s="556">
        <f>WWWW[[#This Row],[% Access to unimproved water points]]*WWWW[[#This Row],[Total PoP ]]</f>
        <v>0</v>
      </c>
      <c r="CE52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2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26" s="556">
        <f>WWWW[[#This Row],[HRP1]]/500</f>
        <v>0</v>
      </c>
      <c r="CH526" s="561">
        <f>1-WWWW[[#This Row],[% Equitable and continuous access to sufficient quantity of domestic water]]</f>
        <v>1</v>
      </c>
      <c r="CI526" s="556">
        <f>WWWW[[#This Row],[%equitable and continuous access to sufficient quantity of safe drinking and domestic water''s GAP]]*WWWW[[#This Row],[Total PoP ]]</f>
        <v>207</v>
      </c>
      <c r="CJ526" s="558">
        <f>IF(WWWW[[#This Row],[Total required water points]]-WWWW[[#This Row],['#Water points coverage]]&lt;0,0,WWWW[[#This Row],[Total required water points]]-WWWW[[#This Row],['#Water points coverage]])</f>
        <v>1</v>
      </c>
      <c r="CK526" s="558">
        <f>ROUND(IF(WWWW[[#This Row],[Total PoP ]]&lt;500,1,WWWW[[#This Row],[Total PoP ]]/500),0)</f>
        <v>1</v>
      </c>
      <c r="CL526" s="558">
        <f>(WWWW[[#This Row],['#_Constructed latrines_by_WASHAgencies]]+WWWW[[#This Row],['#_Non Cluster partner latrines]])-WWWW[[#This Row],['#_Non-functional latrines]]</f>
        <v>12</v>
      </c>
      <c r="CM52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207</v>
      </c>
      <c r="CO526"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6" s="558">
        <f>IF(WWWW[[#This Row],[Location Type 1]]="Village","NA",IF(WWWW[[#This Row],['#_Constructed/Existing latrines in TLS]]*50&gt;WWWW[[#This Row],['#_students at TLS_CFS]],WWWW[[#This Row],['#_students at TLS_CFS]],(WWWW[[#This Row],['#_Constructed/Existing latrines in TLS]]*50)))</f>
        <v>0</v>
      </c>
      <c r="CQ526" s="558">
        <f>ROUND(IF(WWWW[[#This Row],[Location Type 1]]="camp",WWWW[[#This Row],[Total PoP ]]/20,IF(WWWW[[#This Row],[Location Type 1]]="Temporary Location",WWWW[[#This Row],[Total PoP ]]/50,(WWWW[[#This Row],[Total PoP ]]/6))),0)</f>
        <v>10</v>
      </c>
      <c r="CR526" s="558">
        <f>IF(WWWW[[#This Row],[Total required Latrines]]-(WWWW[[#This Row],['#_Constructed latrines_by_WASHAgencies]]+WWWW[[#This Row],['#_Non Cluster partner latrines]])&lt;0,0,WWWW[[#This Row],[Total required Latrines]]-(WWWW[[#This Row],['#_Constructed latrines_by_WASHAgencies]]+WWWW[[#This Row],['#_Non Cluster partner latrines]]))</f>
        <v>0</v>
      </c>
      <c r="CS526" s="78">
        <f>1-WWWW[[#This Row],[% people access to functioning Latrine]]</f>
        <v>0</v>
      </c>
      <c r="CT526" s="560">
        <f>IF(OR(WWWW[[#This Row],['#_Non-functional latrines]]="",WWWW[[#This Row],['#_Non-functional latrines]]=0),0,WWWW[[#This Row],['#_Non-functional latrines]]/(WWWW[[#This Row],['#_Constructed latrines_by_WASHAgencies]]+WWWW[[#This Row],['#_Non Cluster partner latrines]]))</f>
        <v>0</v>
      </c>
      <c r="CU526" s="556">
        <f>IF(500*(WWWW[[#This Row],['#_male hygiene promoters]]+WWWW[[#This Row],['#_female hygiene promoters]])&gt;WWWW[[#This Row],[Total PoP ]],WWWW[[#This Row],[Total PoP ]],500*(WWWW[[#This Row],['#_male hygiene promoters]]+WWWW[[#This Row],['#_female hygiene promoters]]))</f>
        <v>0</v>
      </c>
      <c r="CV52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6" s="558">
        <f>IF(WWWW[[#This Row],['# People with access to soap]]&gt;WWWW[[#This Row],['# People with access to Sanity Pads]],WWWW[[#This Row],['# People with access to soap]],WWWW[[#This Row],['# People with access to Sanity Pads]])</f>
        <v>0</v>
      </c>
      <c r="CY52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6" s="561">
        <f>IF(WWWW[[#This Row],[HRP3]]/WWWW[[#This Row],[Total PoP ]]&gt;100%,100%,WWWW[[#This Row],[HRP3]]/WWWW[[#This Row],[Total PoP ]])</f>
        <v>0</v>
      </c>
      <c r="DA526" s="560">
        <f>1-WWWW[[#This Row],[Hygiene Coverage%]]</f>
        <v>1</v>
      </c>
      <c r="DB526" s="559">
        <f>WWWW[[#This Row],['# people reached by regular dedicated hygiene promotion_5]]/WWWW[[#This Row],[Total PoP ]]</f>
        <v>0</v>
      </c>
      <c r="DC526" s="559">
        <f>IF(WWWW[[#This Row],['#_households that received standard amount of soap for this quarter]]/WWWW[[#This Row],[Total HH]]&gt;1,1,WWWW[[#This Row],['#_households that received standard amount of soap for this quarter]]/WWWW[[#This Row],[Total HH]])</f>
        <v>0</v>
      </c>
      <c r="DD526" s="559">
        <f>IF(WWWW[[#This Row],['#_households that received standard amount of sanitary pads for this quarter]]/WWWW[[#This Row],[Total HH]]&gt;1,1,WWWW[[#This Row],['#_households that received standard amount of sanitary pads for this quarter]]/WWWW[[#This Row],[Total HH]])</f>
        <v>0</v>
      </c>
      <c r="DE526" s="558">
        <f>WWWW[[#This Row],['#_Constructed/Existing hand washing stations]]-WWWW[[#This Row],['#_Non-Functional_hand_washing_stations]]</f>
        <v>0</v>
      </c>
      <c r="DF526" s="757">
        <f>IF(WWWW[[#This Row],['# Functional hand washing stations during reporting period]]*20&gt;WWWW[[#This Row],[Total HH]],WWWW[[#This Row],[Total HH]],WWWW[[#This Row],['# Functional hand washing stations during reporting period]]*20)</f>
        <v>0</v>
      </c>
      <c r="DG526" s="556">
        <f>IF(WWWW[[#This Row],[Is sufficient soap available for TLS? (Yes/No)]]="yes",WWWW[[#This Row],['#_Constructed/Existing hand washing stations at TLS]],0)</f>
        <v>0</v>
      </c>
      <c r="DH526" s="556">
        <f>IF(WWWW[[#This Row],['# Functional hand washing stations during reporting period]]*100&gt;WWWW[[#This Row],[Total PoP ]],WWWW[[#This Row],[Total PoP ]],WWWW[[#This Row],['# Functional hand washing stations during reporting period]]*100)</f>
        <v>0</v>
      </c>
      <c r="DI526" s="556" t="str">
        <f>IF(OR(WWWW[[#This Row],['#_students at TLS_CFS]]="",WWWW[[#This Row],['#_students at TLS_CFS]]=0),"No","Yes")</f>
        <v>No</v>
      </c>
      <c r="DJ526" s="554">
        <f>VLOOKUP(WWWW[[#This Row],[Site Name]],SiteDB6[[Site Name]:[CCCM Management]],6,FALSE)</f>
        <v>0</v>
      </c>
      <c r="DK526" s="554" t="str">
        <f>VLOOKUP(WWWW[[#This Row],[Site Name]],SiteDB6[[Site Name]:[CCCM Focal Agency]],7,FALSE)</f>
        <v>uncovered</v>
      </c>
      <c r="DL526" s="554" t="str">
        <f>VLOOKUP(WWWW[[#This Row],[Site Name]],SiteDB6[[Site Name]:[Location Type 1]],9,FALSE)</f>
        <v>Camp</v>
      </c>
      <c r="DM526" s="554" t="str">
        <f>VLOOKUP(WWWW[[#This Row],[Site Name]],SiteDB6[[Site Name]:[Type of Accommodation]],10,FALSE)</f>
        <v>Camp like setting</v>
      </c>
      <c r="DN526" s="554" t="str">
        <f>VLOOKUP(WWWW[[#This Row],[Site Name]],SiteDB6[[Site Name]:[Ethnic or GCA/NGCA]],11,FALSE)</f>
        <v>GCA</v>
      </c>
      <c r="DO526" s="554">
        <f>VLOOKUP(WWWW[[#This Row],[Site Name]],SiteDB6[[Site Name]:[Lat]],12,FALSE)</f>
        <v>24.006319999999999</v>
      </c>
      <c r="DP526" s="554">
        <f>VLOOKUP(WWWW[[#This Row],[Site Name]],SiteDB6[[Site Name]:[Long]],13,FALSE)</f>
        <v>97.909400000000005</v>
      </c>
      <c r="DQ526" s="554" t="str">
        <f>VLOOKUP(WWWW[[#This Row],[Site Name]],SiteDB6[[Site Name]:[Pcode]],3,FALSE)</f>
        <v>MMR015CMP213</v>
      </c>
      <c r="DR526" s="563" t="str">
        <f t="shared" si="18"/>
        <v>Covered</v>
      </c>
      <c r="DS526" s="563"/>
    </row>
    <row r="527" spans="1:126">
      <c r="A527" s="552" t="s">
        <v>2518</v>
      </c>
      <c r="B527" s="555" t="s">
        <v>38</v>
      </c>
      <c r="C527" s="555" t="s">
        <v>38</v>
      </c>
      <c r="D527" s="555" t="s">
        <v>722</v>
      </c>
      <c r="E527" s="555" t="s">
        <v>716</v>
      </c>
      <c r="F527" s="555" t="s">
        <v>726</v>
      </c>
      <c r="G527" s="554" t="s">
        <v>45</v>
      </c>
      <c r="H527" s="555" t="s">
        <v>727</v>
      </c>
      <c r="I527" s="557">
        <v>24</v>
      </c>
      <c r="J527" s="557">
        <v>114</v>
      </c>
      <c r="K527" s="564"/>
      <c r="L527" s="565">
        <v>43465</v>
      </c>
      <c r="M527" s="557"/>
      <c r="N527" s="557"/>
      <c r="O527" s="557"/>
      <c r="P527" s="557"/>
      <c r="Q527" s="556"/>
      <c r="R527" s="557"/>
      <c r="S527" s="557"/>
      <c r="T527" s="557">
        <v>1</v>
      </c>
      <c r="U527" s="557"/>
      <c r="V527" s="557"/>
      <c r="W527" s="557">
        <v>1</v>
      </c>
      <c r="X527" s="557"/>
      <c r="Y527" s="557"/>
      <c r="Z527" s="557"/>
      <c r="AA527" s="557"/>
      <c r="AB527" s="557"/>
      <c r="AC527" s="557"/>
      <c r="AD527" s="557"/>
      <c r="AE527" s="557"/>
      <c r="AF527" s="557"/>
      <c r="AG527" s="557"/>
      <c r="AH527" s="557"/>
      <c r="AI527" s="557"/>
      <c r="AJ527" s="557"/>
      <c r="AK527" s="557"/>
      <c r="AL527" s="557"/>
      <c r="AM527" s="557"/>
      <c r="AN527" s="557"/>
      <c r="AO527" s="563"/>
      <c r="AP527" s="557">
        <v>8</v>
      </c>
      <c r="AQ527" s="557"/>
      <c r="AR527" s="559"/>
      <c r="AS527" s="557"/>
      <c r="AT527" s="557"/>
      <c r="AU527" s="557"/>
      <c r="AV527" s="557"/>
      <c r="AW527" s="557"/>
      <c r="AX527" s="554" t="s">
        <v>43</v>
      </c>
      <c r="AY527" s="563" t="s">
        <v>1200</v>
      </c>
      <c r="AZ527" s="557"/>
      <c r="BA527" s="557"/>
      <c r="BB527" s="557">
        <v>1</v>
      </c>
      <c r="BC527" s="554"/>
      <c r="BD527" s="557"/>
      <c r="BE527" s="557"/>
      <c r="BF527" s="557">
        <v>1</v>
      </c>
      <c r="BG527" s="557">
        <v>2</v>
      </c>
      <c r="BH527" s="557"/>
      <c r="BI527" s="557"/>
      <c r="BJ527" s="557">
        <v>2</v>
      </c>
      <c r="BK527" s="557"/>
      <c r="BL527" s="557"/>
      <c r="BM527" s="554"/>
      <c r="BN527" s="558"/>
      <c r="BO527" s="559"/>
      <c r="BP527" s="554"/>
      <c r="BQ527" s="560" t="str">
        <f>IFERROR(WWWW[[#This Row],['#_Water sources treated]]/WWWW[[#This Row],['#_Water sources tested for contamination]],"no test")</f>
        <v>no test</v>
      </c>
      <c r="BR527" s="559" t="str">
        <f>IFERROR(WWWW[[#This Row],['#_Household received remediation action due to contamination]]/WWWW[[#This Row],['#_Household water samples tested for contamination]],"no test")</f>
        <v>no test</v>
      </c>
      <c r="BS527" s="558" t="str">
        <f>IF(AND(WWWW[[#This Row],[% of water sources treated]]="no test",WWWW[[#This Row],[% Household received corrective actions]]="no test"),"No Test","Tested")</f>
        <v>No Test</v>
      </c>
      <c r="BT527" s="558">
        <f>WWWW[[#This Row],['#_Constructed/existing protected hand dug well]]-WWWW[[#This Row],['#_Non-functional protected hand dug well]]</f>
        <v>1</v>
      </c>
      <c r="BU527" s="558">
        <f>(WWWW[[#This Row],['#_Constructed/Existing tube wells/boreholes/handpumps_WASH_agency]]+WWWW[[#This Row],['#_Non-Cluster partner water tube-wells/boreholes/handpumps]])-WWWW[[#This Row],['#_Non-functional tube wells/boreholes/handpumps]]</f>
        <v>1</v>
      </c>
      <c r="BV527" s="558">
        <f>WWWW[[#This Row],['#_Constructed/Existingwater storage tank with gravity fed reticulation system]]-WWWW[[#This Row],['#_Non-functional storage tank gravity fed reticulation system]]</f>
        <v>0</v>
      </c>
      <c r="BW527" s="558">
        <f>WWWW[[#This Row],['#_Water boating or water trucking]]</f>
        <v>0</v>
      </c>
      <c r="BX527" s="558">
        <f>WWWW[[#This Row],['#_Constructed/Existing water distribution system from river or natural spring]]</f>
        <v>0</v>
      </c>
      <c r="BY52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2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27" s="559">
        <f>IF(WWWW[[#This Row],[Location Type 1]]="Village",WWWW[[#This Row],[Access to safe drinking water for Village]],WWWW[[#This Row],[Access to safe drinking water for Camp]])</f>
        <v>1</v>
      </c>
      <c r="CB527" s="556">
        <f>WWWW[[#This Row],[%Equitable and continuous access to sufficient quantity of safe drinking water]]*WWWW[[#This Row],[Total PoP ]]</f>
        <v>114</v>
      </c>
      <c r="CC527" s="559">
        <f>IF((WWWW[[#This Row],['#_Constructed/Existing protected/fenced ponds]]*250)/WWWW[[#This Row],[Total PoP ]]&gt;1,1,(WWWW[[#This Row],['#_Constructed/Existing protected/fenced ponds]]*250)/WWWW[[#This Row],[Total PoP ]])</f>
        <v>0</v>
      </c>
      <c r="CD527" s="556">
        <f>WWWW[[#This Row],[% Access to unimproved water points]]*WWWW[[#This Row],[Total PoP ]]</f>
        <v>0</v>
      </c>
      <c r="CE52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2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G527" s="556">
        <f>WWWW[[#This Row],[HRP1]]/500</f>
        <v>0.22800000000000001</v>
      </c>
      <c r="CH527" s="561">
        <f>1-WWWW[[#This Row],[% Equitable and continuous access to sufficient quantity of domestic water]]</f>
        <v>0</v>
      </c>
      <c r="CI527" s="556">
        <f>WWWW[[#This Row],[%equitable and continuous access to sufficient quantity of safe drinking and domestic water''s GAP]]*WWWW[[#This Row],[Total PoP ]]</f>
        <v>0</v>
      </c>
      <c r="CJ527" s="558">
        <f>IF(WWWW[[#This Row],[Total required water points]]-WWWW[[#This Row],['#Water points coverage]]&lt;0,0,WWWW[[#This Row],[Total required water points]]-WWWW[[#This Row],['#Water points coverage]])</f>
        <v>0.77200000000000002</v>
      </c>
      <c r="CK527" s="558">
        <f>ROUND(IF(WWWW[[#This Row],[Total PoP ]]&lt;500,1,WWWW[[#This Row],[Total PoP ]]/500),0)</f>
        <v>1</v>
      </c>
      <c r="CL527" s="558">
        <f>(WWWW[[#This Row],['#_Constructed latrines_by_WASHAgencies]]+WWWW[[#This Row],['#_Non Cluster partner latrines]])-WWWW[[#This Row],['#_Non-functional latrines]]</f>
        <v>8</v>
      </c>
      <c r="CM52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2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114</v>
      </c>
      <c r="CO527"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7" s="558">
        <f>IF(WWWW[[#This Row],[Location Type 1]]="Village","NA",IF(WWWW[[#This Row],['#_Constructed/Existing latrines in TLS]]*50&gt;WWWW[[#This Row],['#_students at TLS_CFS]],WWWW[[#This Row],['#_students at TLS_CFS]],(WWWW[[#This Row],['#_Constructed/Existing latrines in TLS]]*50)))</f>
        <v>0</v>
      </c>
      <c r="CQ527" s="558">
        <f>ROUND(IF(WWWW[[#This Row],[Location Type 1]]="camp",WWWW[[#This Row],[Total PoP ]]/20,IF(WWWW[[#This Row],[Location Type 1]]="Temporary Location",WWWW[[#This Row],[Total PoP ]]/50,(WWWW[[#This Row],[Total PoP ]]/6))),0)</f>
        <v>6</v>
      </c>
      <c r="CR527" s="558">
        <f>IF(WWWW[[#This Row],[Total required Latrines]]-(WWWW[[#This Row],['#_Constructed latrines_by_WASHAgencies]]+WWWW[[#This Row],['#_Non Cluster partner latrines]])&lt;0,0,WWWW[[#This Row],[Total required Latrines]]-(WWWW[[#This Row],['#_Constructed latrines_by_WASHAgencies]]+WWWW[[#This Row],['#_Non Cluster partner latrines]]))</f>
        <v>0</v>
      </c>
      <c r="CS527" s="78">
        <f>1-WWWW[[#This Row],[% people access to functioning Latrine]]</f>
        <v>0</v>
      </c>
      <c r="CT527" s="560">
        <f>IF(OR(WWWW[[#This Row],['#_Non-functional latrines]]="",WWWW[[#This Row],['#_Non-functional latrines]]=0),0,WWWW[[#This Row],['#_Non-functional latrines]]/(WWWW[[#This Row],['#_Constructed latrines_by_WASHAgencies]]+WWWW[[#This Row],['#_Non Cluster partner latrines]]))</f>
        <v>0</v>
      </c>
      <c r="CU527" s="556">
        <f>IF(500*(WWWW[[#This Row],['#_male hygiene promoters]]+WWWW[[#This Row],['#_female hygiene promoters]])&gt;WWWW[[#This Row],[Total PoP ]],WWWW[[#This Row],[Total PoP ]],500*(WWWW[[#This Row],['#_male hygiene promoters]]+WWWW[[#This Row],['#_female hygiene promoters]]))</f>
        <v>114</v>
      </c>
      <c r="CV52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7" s="558">
        <f>IF(WWWW[[#This Row],['# People with access to soap]]&gt;WWWW[[#This Row],['# People with access to Sanity Pads]],WWWW[[#This Row],['# People with access to soap]],WWWW[[#This Row],['# People with access to Sanity Pads]])</f>
        <v>0</v>
      </c>
      <c r="CY527" s="558">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Z527" s="561">
        <f>IF(WWWW[[#This Row],[HRP3]]/WWWW[[#This Row],[Total PoP ]]&gt;100%,100%,WWWW[[#This Row],[HRP3]]/WWWW[[#This Row],[Total PoP ]])</f>
        <v>1</v>
      </c>
      <c r="DA527" s="560">
        <f>1-WWWW[[#This Row],[Hygiene Coverage%]]</f>
        <v>0</v>
      </c>
      <c r="DB527" s="559">
        <f>WWWW[[#This Row],['# people reached by regular dedicated hygiene promotion_5]]/WWWW[[#This Row],[Total PoP ]]</f>
        <v>1</v>
      </c>
      <c r="DC527" s="559">
        <f>IF(WWWW[[#This Row],['#_households that received standard amount of soap for this quarter]]/WWWW[[#This Row],[Total HH]]&gt;1,1,WWWW[[#This Row],['#_households that received standard amount of soap for this quarter]]/WWWW[[#This Row],[Total HH]])</f>
        <v>0</v>
      </c>
      <c r="DD527" s="559">
        <f>IF(WWWW[[#This Row],['#_households that received standard amount of sanitary pads for this quarter]]/WWWW[[#This Row],[Total HH]]&gt;1,1,WWWW[[#This Row],['#_households that received standard amount of sanitary pads for this quarter]]/WWWW[[#This Row],[Total HH]])</f>
        <v>0</v>
      </c>
      <c r="DE527" s="558">
        <f>WWWW[[#This Row],['#_Constructed/Existing hand washing stations]]-WWWW[[#This Row],['#_Non-Functional_hand_washing_stations]]</f>
        <v>0</v>
      </c>
      <c r="DF527" s="757">
        <f>IF(WWWW[[#This Row],['# Functional hand washing stations during reporting period]]*20&gt;WWWW[[#This Row],[Total HH]],WWWW[[#This Row],[Total HH]],WWWW[[#This Row],['# Functional hand washing stations during reporting period]]*20)</f>
        <v>0</v>
      </c>
      <c r="DG527" s="556">
        <f>IF(WWWW[[#This Row],[Is sufficient soap available for TLS? (Yes/No)]]="yes",WWWW[[#This Row],['#_Constructed/Existing hand washing stations at TLS]],0)</f>
        <v>0</v>
      </c>
      <c r="DH527" s="556">
        <f>IF(WWWW[[#This Row],['# Functional hand washing stations during reporting period]]*100&gt;WWWW[[#This Row],[Total PoP ]],WWWW[[#This Row],[Total PoP ]],WWWW[[#This Row],['# Functional hand washing stations during reporting period]]*100)</f>
        <v>0</v>
      </c>
      <c r="DI527" s="556" t="str">
        <f>IF(OR(WWWW[[#This Row],['#_students at TLS_CFS]]="",WWWW[[#This Row],['#_students at TLS_CFS]]=0),"No","Yes")</f>
        <v>No</v>
      </c>
      <c r="DJ527" s="554" t="str">
        <f>VLOOKUP(WWWW[[#This Row],[Site Name]],SiteDB6[[Site Name]:[CCCM Management]],6,FALSE)</f>
        <v>Yes</v>
      </c>
      <c r="DK527" s="554" t="str">
        <f>VLOOKUP(WWWW[[#This Row],[Site Name]],SiteDB6[[Site Name]:[CCCM Focal Agency]],7,FALSE)</f>
        <v>KMSS-LSO</v>
      </c>
      <c r="DL527" s="554" t="str">
        <f>VLOOKUP(WWWW[[#This Row],[Site Name]],SiteDB6[[Site Name]:[Location Type 1]],9,FALSE)</f>
        <v>Camp</v>
      </c>
      <c r="DM527" s="554" t="str">
        <f>VLOOKUP(WWWW[[#This Row],[Site Name]],SiteDB6[[Site Name]:[Type of Accommodation]],10,FALSE)</f>
        <v>Camp</v>
      </c>
      <c r="DN527" s="554" t="str">
        <f>VLOOKUP(WWWW[[#This Row],[Site Name]],SiteDB6[[Site Name]:[Ethnic or GCA/NGCA]],11,FALSE)</f>
        <v>GCA</v>
      </c>
      <c r="DO527" s="554">
        <f>VLOOKUP(WWWW[[#This Row],[Site Name]],SiteDB6[[Site Name]:[Lat]],12,FALSE)</f>
        <v>24.006789000000001</v>
      </c>
      <c r="DP527" s="554">
        <f>VLOOKUP(WWWW[[#This Row],[Site Name]],SiteDB6[[Site Name]:[Long]],13,FALSE)</f>
        <v>97.911647000000002</v>
      </c>
      <c r="DQ527" s="554" t="str">
        <f>VLOOKUP(WWWW[[#This Row],[Site Name]],SiteDB6[[Site Name]:[Pcode]],3,FALSE)</f>
        <v>MMR015CMP216</v>
      </c>
      <c r="DR527" s="563" t="str">
        <f t="shared" si="18"/>
        <v>Covered</v>
      </c>
      <c r="DS527" s="563"/>
    </row>
    <row r="528" spans="1:126">
      <c r="A528" s="552" t="s">
        <v>2518</v>
      </c>
      <c r="B528" s="555" t="s">
        <v>38</v>
      </c>
      <c r="C528" s="555" t="s">
        <v>38</v>
      </c>
      <c r="D528" s="555" t="s">
        <v>722</v>
      </c>
      <c r="E528" s="555" t="s">
        <v>716</v>
      </c>
      <c r="F528" s="555" t="s">
        <v>717</v>
      </c>
      <c r="G528" s="554" t="s">
        <v>45</v>
      </c>
      <c r="H528" s="555" t="s">
        <v>728</v>
      </c>
      <c r="I528" s="557">
        <v>120</v>
      </c>
      <c r="J528" s="557">
        <v>570</v>
      </c>
      <c r="K528" s="564"/>
      <c r="L528" s="565">
        <v>43465</v>
      </c>
      <c r="M528" s="557"/>
      <c r="N528" s="557"/>
      <c r="O528" s="557"/>
      <c r="P528" s="557"/>
      <c r="Q528" s="556"/>
      <c r="R528" s="557"/>
      <c r="S528" s="557"/>
      <c r="T528" s="557">
        <v>0</v>
      </c>
      <c r="U528" s="557"/>
      <c r="V528" s="557"/>
      <c r="W528" s="557">
        <v>1</v>
      </c>
      <c r="X528" s="557"/>
      <c r="Y528" s="557"/>
      <c r="Z528" s="557"/>
      <c r="AA528" s="557"/>
      <c r="AB528" s="557"/>
      <c r="AC528" s="557"/>
      <c r="AD528" s="557"/>
      <c r="AE528" s="557"/>
      <c r="AF528" s="557"/>
      <c r="AG528" s="557"/>
      <c r="AH528" s="557"/>
      <c r="AI528" s="557"/>
      <c r="AJ528" s="557"/>
      <c r="AK528" s="557"/>
      <c r="AL528" s="557"/>
      <c r="AM528" s="557"/>
      <c r="AN528" s="557"/>
      <c r="AO528" s="563"/>
      <c r="AP528" s="557">
        <v>17</v>
      </c>
      <c r="AQ528" s="557"/>
      <c r="AR528" s="559"/>
      <c r="AS528" s="557"/>
      <c r="AT528" s="557"/>
      <c r="AU528" s="557"/>
      <c r="AV528" s="557"/>
      <c r="AW528" s="557"/>
      <c r="AX528" s="554" t="s">
        <v>43</v>
      </c>
      <c r="AY528" s="563" t="s">
        <v>145</v>
      </c>
      <c r="AZ528" s="557"/>
      <c r="BA528" s="557"/>
      <c r="BB528" s="557"/>
      <c r="BC528" s="554"/>
      <c r="BD528" s="557"/>
      <c r="BE528" s="557"/>
      <c r="BF528" s="557">
        <v>0</v>
      </c>
      <c r="BG528" s="557">
        <v>2</v>
      </c>
      <c r="BH528" s="557"/>
      <c r="BI528" s="557"/>
      <c r="BJ528" s="557">
        <v>2</v>
      </c>
      <c r="BK528" s="557"/>
      <c r="BL528" s="557"/>
      <c r="BM528" s="554"/>
      <c r="BN528" s="558"/>
      <c r="BO528" s="559"/>
      <c r="BP528" s="554"/>
      <c r="BQ528" s="560" t="str">
        <f>IFERROR(WWWW[[#This Row],['#_Water sources treated]]/WWWW[[#This Row],['#_Water sources tested for contamination]],"no test")</f>
        <v>no test</v>
      </c>
      <c r="BR528" s="559" t="str">
        <f>IFERROR(WWWW[[#This Row],['#_Household received remediation action due to contamination]]/WWWW[[#This Row],['#_Household water samples tested for contamination]],"no test")</f>
        <v>no test</v>
      </c>
      <c r="BS528" s="558" t="str">
        <f>IF(AND(WWWW[[#This Row],[% of water sources treated]]="no test",WWWW[[#This Row],[% Household received corrective actions]]="no test"),"No Test","Tested")</f>
        <v>No Test</v>
      </c>
      <c r="BT528" s="558">
        <f>WWWW[[#This Row],['#_Constructed/existing protected hand dug well]]-WWWW[[#This Row],['#_Non-functional protected hand dug well]]</f>
        <v>0</v>
      </c>
      <c r="BU528" s="558">
        <f>(WWWW[[#This Row],['#_Constructed/Existing tube wells/boreholes/handpumps_WASH_agency]]+WWWW[[#This Row],['#_Non-Cluster partner water tube-wells/boreholes/handpumps]])-WWWW[[#This Row],['#_Non-functional tube wells/boreholes/handpumps]]</f>
        <v>1</v>
      </c>
      <c r="BV528" s="558">
        <f>WWWW[[#This Row],['#_Constructed/Existingwater storage tank with gravity fed reticulation system]]-WWWW[[#This Row],['#_Non-functional storage tank gravity fed reticulation system]]</f>
        <v>0</v>
      </c>
      <c r="BW528" s="558">
        <f>WWWW[[#This Row],['#_Water boating or water trucking]]</f>
        <v>0</v>
      </c>
      <c r="BX528" s="558">
        <f>WWWW[[#This Row],['#_Constructed/Existing water distribution system from river or natural spring]]</f>
        <v>0</v>
      </c>
      <c r="BY52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0.8771929824561403</v>
      </c>
      <c r="BZ52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0.43859649122807015</v>
      </c>
      <c r="CA528" s="559">
        <f>IF(WWWW[[#This Row],[Location Type 1]]="Village",WWWW[[#This Row],[Access to safe drinking water for Village]],WWWW[[#This Row],[Access to safe drinking water for Camp]])</f>
        <v>0.8771929824561403</v>
      </c>
      <c r="CB528" s="556">
        <f>WWWW[[#This Row],[%Equitable and continuous access to sufficient quantity of safe drinking water]]*WWWW[[#This Row],[Total PoP ]]</f>
        <v>500</v>
      </c>
      <c r="CC528" s="559">
        <f>IF((WWWW[[#This Row],['#_Constructed/Existing protected/fenced ponds]]*250)/WWWW[[#This Row],[Total PoP ]]&gt;1,1,(WWWW[[#This Row],['#_Constructed/Existing protected/fenced ponds]]*250)/WWWW[[#This Row],[Total PoP ]])</f>
        <v>0</v>
      </c>
      <c r="CD528" s="556">
        <f>WWWW[[#This Row],[% Access to unimproved water points]]*WWWW[[#This Row],[Total PoP ]]</f>
        <v>0</v>
      </c>
      <c r="CE52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0.8771929824561403</v>
      </c>
      <c r="CF52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G528" s="556">
        <f>WWWW[[#This Row],[HRP1]]/500</f>
        <v>1</v>
      </c>
      <c r="CH528" s="561">
        <f>1-WWWW[[#This Row],[% Equitable and continuous access to sufficient quantity of domestic water]]</f>
        <v>0.1228070175438597</v>
      </c>
      <c r="CI528" s="556">
        <f>WWWW[[#This Row],[%equitable and continuous access to sufficient quantity of safe drinking and domestic water''s GAP]]*WWWW[[#This Row],[Total PoP ]]</f>
        <v>70.000000000000028</v>
      </c>
      <c r="CJ528" s="558">
        <f>IF(WWWW[[#This Row],[Total required water points]]-WWWW[[#This Row],['#Water points coverage]]&lt;0,0,WWWW[[#This Row],[Total required water points]]-WWWW[[#This Row],['#Water points coverage]])</f>
        <v>0</v>
      </c>
      <c r="CK528" s="558">
        <f>ROUND(IF(WWWW[[#This Row],[Total PoP ]]&lt;500,1,WWWW[[#This Row],[Total PoP ]]/500),0)</f>
        <v>1</v>
      </c>
      <c r="CL528" s="558">
        <f>(WWWW[[#This Row],['#_Constructed latrines_by_WASHAgencies]]+WWWW[[#This Row],['#_Non Cluster partner latrines]])-WWWW[[#This Row],['#_Non-functional latrines]]</f>
        <v>17</v>
      </c>
      <c r="CM52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0.59649122807017541</v>
      </c>
      <c r="CN52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340</v>
      </c>
      <c r="CO528"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8" s="558">
        <f>IF(WWWW[[#This Row],[Location Type 1]]="Village","NA",IF(WWWW[[#This Row],['#_Constructed/Existing latrines in TLS]]*50&gt;WWWW[[#This Row],['#_students at TLS_CFS]],WWWW[[#This Row],['#_students at TLS_CFS]],(WWWW[[#This Row],['#_Constructed/Existing latrines in TLS]]*50)))</f>
        <v>0</v>
      </c>
      <c r="CQ528" s="558">
        <f>ROUND(IF(WWWW[[#This Row],[Location Type 1]]="camp",WWWW[[#This Row],[Total PoP ]]/20,IF(WWWW[[#This Row],[Location Type 1]]="Temporary Location",WWWW[[#This Row],[Total PoP ]]/50,(WWWW[[#This Row],[Total PoP ]]/6))),0)</f>
        <v>29</v>
      </c>
      <c r="CR528" s="558">
        <f>IF(WWWW[[#This Row],[Total required Latrines]]-(WWWW[[#This Row],['#_Constructed latrines_by_WASHAgencies]]+WWWW[[#This Row],['#_Non Cluster partner latrines]])&lt;0,0,WWWW[[#This Row],[Total required Latrines]]-(WWWW[[#This Row],['#_Constructed latrines_by_WASHAgencies]]+WWWW[[#This Row],['#_Non Cluster partner latrines]]))</f>
        <v>12</v>
      </c>
      <c r="CS528" s="78">
        <f>1-WWWW[[#This Row],[% people access to functioning Latrine]]</f>
        <v>0.40350877192982459</v>
      </c>
      <c r="CT528" s="560">
        <f>IF(OR(WWWW[[#This Row],['#_Non-functional latrines]]="",WWWW[[#This Row],['#_Non-functional latrines]]=0),0,WWWW[[#This Row],['#_Non-functional latrines]]/(WWWW[[#This Row],['#_Constructed latrines_by_WASHAgencies]]+WWWW[[#This Row],['#_Non Cluster partner latrines]]))</f>
        <v>0</v>
      </c>
      <c r="CU528" s="556">
        <f>IF(500*(WWWW[[#This Row],['#_male hygiene promoters]]+WWWW[[#This Row],['#_female hygiene promoters]])&gt;WWWW[[#This Row],[Total PoP ]],WWWW[[#This Row],[Total PoP ]],500*(WWWW[[#This Row],['#_male hygiene promoters]]+WWWW[[#This Row],['#_female hygiene promoters]]))</f>
        <v>570</v>
      </c>
      <c r="CV52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8" s="558">
        <f>IF(WWWW[[#This Row],['# People with access to soap]]&gt;WWWW[[#This Row],['# People with access to Sanity Pads]],WWWW[[#This Row],['# People with access to soap]],WWWW[[#This Row],['# People with access to Sanity Pads]])</f>
        <v>0</v>
      </c>
      <c r="CY528" s="558">
        <f>IF(WWWW[[#This Row],['# people reached by regular dedicated hygiene promotion_5]]&gt;WWWW[[#This Row],['# People received regular supply of hygiene items_6]],WWWW[[#This Row],['# people reached by regular dedicated hygiene promotion_5]],WWWW[[#This Row],['# People received regular supply of hygiene items_6]])</f>
        <v>570</v>
      </c>
      <c r="CZ528" s="561">
        <f>IF(WWWW[[#This Row],[HRP3]]/WWWW[[#This Row],[Total PoP ]]&gt;100%,100%,WWWW[[#This Row],[HRP3]]/WWWW[[#This Row],[Total PoP ]])</f>
        <v>1</v>
      </c>
      <c r="DA528" s="560">
        <f>1-WWWW[[#This Row],[Hygiene Coverage%]]</f>
        <v>0</v>
      </c>
      <c r="DB528" s="559">
        <f>WWWW[[#This Row],['# people reached by regular dedicated hygiene promotion_5]]/WWWW[[#This Row],[Total PoP ]]</f>
        <v>1</v>
      </c>
      <c r="DC528" s="559">
        <f>IF(WWWW[[#This Row],['#_households that received standard amount of soap for this quarter]]/WWWW[[#This Row],[Total HH]]&gt;1,1,WWWW[[#This Row],['#_households that received standard amount of soap for this quarter]]/WWWW[[#This Row],[Total HH]])</f>
        <v>0</v>
      </c>
      <c r="DD528" s="559">
        <f>IF(WWWW[[#This Row],['#_households that received standard amount of sanitary pads for this quarter]]/WWWW[[#This Row],[Total HH]]&gt;1,1,WWWW[[#This Row],['#_households that received standard amount of sanitary pads for this quarter]]/WWWW[[#This Row],[Total HH]])</f>
        <v>0</v>
      </c>
      <c r="DE528" s="558">
        <f>WWWW[[#This Row],['#_Constructed/Existing hand washing stations]]-WWWW[[#This Row],['#_Non-Functional_hand_washing_stations]]</f>
        <v>0</v>
      </c>
      <c r="DF528" s="757">
        <f>IF(WWWW[[#This Row],['# Functional hand washing stations during reporting period]]*20&gt;WWWW[[#This Row],[Total HH]],WWWW[[#This Row],[Total HH]],WWWW[[#This Row],['# Functional hand washing stations during reporting period]]*20)</f>
        <v>0</v>
      </c>
      <c r="DG528" s="556">
        <f>IF(WWWW[[#This Row],[Is sufficient soap available for TLS? (Yes/No)]]="yes",WWWW[[#This Row],['#_Constructed/Existing hand washing stations at TLS]],0)</f>
        <v>0</v>
      </c>
      <c r="DH528" s="556">
        <f>IF(WWWW[[#This Row],['# Functional hand washing stations during reporting period]]*100&gt;WWWW[[#This Row],[Total PoP ]],WWWW[[#This Row],[Total PoP ]],WWWW[[#This Row],['# Functional hand washing stations during reporting period]]*100)</f>
        <v>0</v>
      </c>
      <c r="DI528" s="556" t="str">
        <f>IF(OR(WWWW[[#This Row],['#_students at TLS_CFS]]="",WWWW[[#This Row],['#_students at TLS_CFS]]=0),"No","Yes")</f>
        <v>No</v>
      </c>
      <c r="DJ528" s="554" t="str">
        <f>VLOOKUP(WWWW[[#This Row],[Site Name]],SiteDB6[[Site Name]:[CCCM Management]],6,FALSE)</f>
        <v>Yes</v>
      </c>
      <c r="DK528" s="554" t="str">
        <f>VLOOKUP(WWWW[[#This Row],[Site Name]],SiteDB6[[Site Name]:[CCCM Focal Agency]],7,FALSE)</f>
        <v>KBC-NSS</v>
      </c>
      <c r="DL528" s="554" t="str">
        <f>VLOOKUP(WWWW[[#This Row],[Site Name]],SiteDB6[[Site Name]:[Location Type 1]],9,FALSE)</f>
        <v>Camp</v>
      </c>
      <c r="DM528" s="554" t="str">
        <f>VLOOKUP(WWWW[[#This Row],[Site Name]],SiteDB6[[Site Name]:[Type of Accommodation]],10,FALSE)</f>
        <v>Camp</v>
      </c>
      <c r="DN528" s="554" t="str">
        <f>VLOOKUP(WWWW[[#This Row],[Site Name]],SiteDB6[[Site Name]:[Ethnic or GCA/NGCA]],11,FALSE)</f>
        <v>GCA</v>
      </c>
      <c r="DO528" s="554">
        <f>VLOOKUP(WWWW[[#This Row],[Site Name]],SiteDB6[[Site Name]:[Lat]],12,FALSE)</f>
        <v>23.821380000000001</v>
      </c>
      <c r="DP528" s="554">
        <f>VLOOKUP(WWWW[[#This Row],[Site Name]],SiteDB6[[Site Name]:[Long]],13,FALSE)</f>
        <v>97.681970000000007</v>
      </c>
      <c r="DQ528" s="554" t="str">
        <f>VLOOKUP(WWWW[[#This Row],[Site Name]],SiteDB6[[Site Name]:[Pcode]],3,FALSE)</f>
        <v>MMR015CMP004</v>
      </c>
      <c r="DR528" s="563" t="str">
        <f t="shared" si="18"/>
        <v>Covered</v>
      </c>
      <c r="DS528" s="563"/>
    </row>
    <row r="529" spans="1:123">
      <c r="A529" s="552" t="s">
        <v>2518</v>
      </c>
      <c r="B529" s="555" t="s">
        <v>317</v>
      </c>
      <c r="C529" s="555" t="s">
        <v>317</v>
      </c>
      <c r="D529" s="555"/>
      <c r="E529" s="555" t="s">
        <v>716</v>
      </c>
      <c r="F529" s="555" t="s">
        <v>717</v>
      </c>
      <c r="G529" s="554" t="s">
        <v>45</v>
      </c>
      <c r="H529" s="555" t="s">
        <v>764</v>
      </c>
      <c r="I529" s="557">
        <v>68</v>
      </c>
      <c r="J529" s="557">
        <v>350</v>
      </c>
      <c r="K529" s="564"/>
      <c r="L529" s="565"/>
      <c r="M529" s="557"/>
      <c r="N529" s="557"/>
      <c r="O529" s="557"/>
      <c r="P529" s="557"/>
      <c r="Q529" s="556"/>
      <c r="R529" s="557"/>
      <c r="S529" s="557"/>
      <c r="T529" s="557"/>
      <c r="U529" s="557"/>
      <c r="V529" s="557"/>
      <c r="W529" s="557"/>
      <c r="X529" s="557"/>
      <c r="Y529" s="557"/>
      <c r="Z529" s="557"/>
      <c r="AA529" s="557"/>
      <c r="AB529" s="557"/>
      <c r="AC529" s="557"/>
      <c r="AD529" s="557"/>
      <c r="AE529" s="557"/>
      <c r="AF529" s="557"/>
      <c r="AG529" s="557"/>
      <c r="AH529" s="557"/>
      <c r="AI529" s="557"/>
      <c r="AJ529" s="557"/>
      <c r="AK529" s="557"/>
      <c r="AL529" s="557"/>
      <c r="AM529" s="557"/>
      <c r="AN529" s="557"/>
      <c r="AO529" s="563"/>
      <c r="AP529" s="557"/>
      <c r="AQ529" s="557"/>
      <c r="AR529" s="559"/>
      <c r="AS529" s="557"/>
      <c r="AT529" s="557"/>
      <c r="AU529" s="557"/>
      <c r="AV529" s="557"/>
      <c r="AW529" s="557"/>
      <c r="AX529" s="554"/>
      <c r="AY529" s="563"/>
      <c r="AZ529" s="557"/>
      <c r="BA529" s="557"/>
      <c r="BB529" s="557"/>
      <c r="BC529" s="554"/>
      <c r="BD529" s="557"/>
      <c r="BE529" s="557"/>
      <c r="BF529" s="557"/>
      <c r="BG529" s="557"/>
      <c r="BH529" s="557"/>
      <c r="BI529" s="557"/>
      <c r="BJ529" s="557"/>
      <c r="BK529" s="557"/>
      <c r="BL529" s="557"/>
      <c r="BM529" s="554"/>
      <c r="BN529" s="558"/>
      <c r="BO529" s="559"/>
      <c r="BP529" s="554"/>
      <c r="BQ529" s="560" t="str">
        <f>IFERROR(WWWW[[#This Row],['#_Water sources treated]]/WWWW[[#This Row],['#_Water sources tested for contamination]],"no test")</f>
        <v>no test</v>
      </c>
      <c r="BR529" s="559" t="str">
        <f>IFERROR(WWWW[[#This Row],['#_Household received remediation action due to contamination]]/WWWW[[#This Row],['#_Household water samples tested for contamination]],"no test")</f>
        <v>no test</v>
      </c>
      <c r="BS529" s="558" t="str">
        <f>IF(AND(WWWW[[#This Row],[% of water sources treated]]="no test",WWWW[[#This Row],[% Household received corrective actions]]="no test"),"No Test","Tested")</f>
        <v>No Test</v>
      </c>
      <c r="BT529" s="558">
        <f>WWWW[[#This Row],['#_Constructed/existing protected hand dug well]]-WWWW[[#This Row],['#_Non-functional protected hand dug well]]</f>
        <v>0</v>
      </c>
      <c r="BU529" s="558">
        <f>(WWWW[[#This Row],['#_Constructed/Existing tube wells/boreholes/handpumps_WASH_agency]]+WWWW[[#This Row],['#_Non-Cluster partner water tube-wells/boreholes/handpumps]])-WWWW[[#This Row],['#_Non-functional tube wells/boreholes/handpumps]]</f>
        <v>0</v>
      </c>
      <c r="BV529" s="558">
        <f>WWWW[[#This Row],['#_Constructed/Existingwater storage tank with gravity fed reticulation system]]-WWWW[[#This Row],['#_Non-functional storage tank gravity fed reticulation system]]</f>
        <v>0</v>
      </c>
      <c r="BW529" s="558">
        <f>WWWW[[#This Row],['#_Water boating or water trucking]]</f>
        <v>0</v>
      </c>
      <c r="BX529" s="558">
        <f>WWWW[[#This Row],['#_Constructed/Existing water distribution system from river or natural spring]]</f>
        <v>0</v>
      </c>
      <c r="BY52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2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29" s="559">
        <f>IF(WWWW[[#This Row],[Location Type 1]]="Village",WWWW[[#This Row],[Access to safe drinking water for Village]],WWWW[[#This Row],[Access to safe drinking water for Camp]])</f>
        <v>0</v>
      </c>
      <c r="CB529" s="556">
        <f>WWWW[[#This Row],[%Equitable and continuous access to sufficient quantity of safe drinking water]]*WWWW[[#This Row],[Total PoP ]]</f>
        <v>0</v>
      </c>
      <c r="CC529" s="559">
        <f>IF((WWWW[[#This Row],['#_Constructed/Existing protected/fenced ponds]]*250)/WWWW[[#This Row],[Total PoP ]]&gt;1,1,(WWWW[[#This Row],['#_Constructed/Existing protected/fenced ponds]]*250)/WWWW[[#This Row],[Total PoP ]])</f>
        <v>0</v>
      </c>
      <c r="CD529" s="556">
        <f>WWWW[[#This Row],[% Access to unimproved water points]]*WWWW[[#This Row],[Total PoP ]]</f>
        <v>0</v>
      </c>
      <c r="CE52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2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29" s="556">
        <f>WWWW[[#This Row],[HRP1]]/500</f>
        <v>0</v>
      </c>
      <c r="CH529" s="561">
        <f>1-WWWW[[#This Row],[% Equitable and continuous access to sufficient quantity of domestic water]]</f>
        <v>1</v>
      </c>
      <c r="CI529" s="556">
        <f>WWWW[[#This Row],[%equitable and continuous access to sufficient quantity of safe drinking and domestic water''s GAP]]*WWWW[[#This Row],[Total PoP ]]</f>
        <v>350</v>
      </c>
      <c r="CJ529" s="558">
        <f>IF(WWWW[[#This Row],[Total required water points]]-WWWW[[#This Row],['#Water points coverage]]&lt;0,0,WWWW[[#This Row],[Total required water points]]-WWWW[[#This Row],['#Water points coverage]])</f>
        <v>1</v>
      </c>
      <c r="CK529" s="558">
        <f>ROUND(IF(WWWW[[#This Row],[Total PoP ]]&lt;500,1,WWWW[[#This Row],[Total PoP ]]/500),0)</f>
        <v>1</v>
      </c>
      <c r="CL529" s="558">
        <f>(WWWW[[#This Row],['#_Constructed latrines_by_WASHAgencies]]+WWWW[[#This Row],['#_Non Cluster partner latrines]])-WWWW[[#This Row],['#_Non-functional latrines]]</f>
        <v>0</v>
      </c>
      <c r="CM52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2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29"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29" s="558">
        <f>IF(WWWW[[#This Row],[Location Type 1]]="Village","NA",IF(WWWW[[#This Row],['#_Constructed/Existing latrines in TLS]]*50&gt;WWWW[[#This Row],['#_students at TLS_CFS]],WWWW[[#This Row],['#_students at TLS_CFS]],(WWWW[[#This Row],['#_Constructed/Existing latrines in TLS]]*50)))</f>
        <v>0</v>
      </c>
      <c r="CQ529" s="558">
        <f>ROUND(IF(WWWW[[#This Row],[Location Type 1]]="camp",WWWW[[#This Row],[Total PoP ]]/20,IF(WWWW[[#This Row],[Location Type 1]]="Temporary Location",WWWW[[#This Row],[Total PoP ]]/50,(WWWW[[#This Row],[Total PoP ]]/6))),0)</f>
        <v>18</v>
      </c>
      <c r="CR529" s="558">
        <f>IF(WWWW[[#This Row],[Total required Latrines]]-(WWWW[[#This Row],['#_Constructed latrines_by_WASHAgencies]]+WWWW[[#This Row],['#_Non Cluster partner latrines]])&lt;0,0,WWWW[[#This Row],[Total required Latrines]]-(WWWW[[#This Row],['#_Constructed latrines_by_WASHAgencies]]+WWWW[[#This Row],['#_Non Cluster partner latrines]]))</f>
        <v>18</v>
      </c>
      <c r="CS529" s="78">
        <f>1-WWWW[[#This Row],[% people access to functioning Latrine]]</f>
        <v>1</v>
      </c>
      <c r="CT529" s="560">
        <f>IF(OR(WWWW[[#This Row],['#_Non-functional latrines]]="",WWWW[[#This Row],['#_Non-functional latrines]]=0),0,WWWW[[#This Row],['#_Non-functional latrines]]/(WWWW[[#This Row],['#_Constructed latrines_by_WASHAgencies]]+WWWW[[#This Row],['#_Non Cluster partner latrines]]))</f>
        <v>0</v>
      </c>
      <c r="CU529" s="556">
        <f>IF(500*(WWWW[[#This Row],['#_male hygiene promoters]]+WWWW[[#This Row],['#_female hygiene promoters]])&gt;WWWW[[#This Row],[Total PoP ]],WWWW[[#This Row],[Total PoP ]],500*(WWWW[[#This Row],['#_male hygiene promoters]]+WWWW[[#This Row],['#_female hygiene promoters]]))</f>
        <v>0</v>
      </c>
      <c r="CV52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2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29" s="558">
        <f>IF(WWWW[[#This Row],['# People with access to soap]]&gt;WWWW[[#This Row],['# People with access to Sanity Pads]],WWWW[[#This Row],['# People with access to soap]],WWWW[[#This Row],['# People with access to Sanity Pads]])</f>
        <v>0</v>
      </c>
      <c r="CY52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29" s="561">
        <f>IF(WWWW[[#This Row],[HRP3]]/WWWW[[#This Row],[Total PoP ]]&gt;100%,100%,WWWW[[#This Row],[HRP3]]/WWWW[[#This Row],[Total PoP ]])</f>
        <v>0</v>
      </c>
      <c r="DA529" s="560">
        <f>1-WWWW[[#This Row],[Hygiene Coverage%]]</f>
        <v>1</v>
      </c>
      <c r="DB529" s="559">
        <f>WWWW[[#This Row],['# people reached by regular dedicated hygiene promotion_5]]/WWWW[[#This Row],[Total PoP ]]</f>
        <v>0</v>
      </c>
      <c r="DC529" s="559">
        <f>IF(WWWW[[#This Row],['#_households that received standard amount of soap for this quarter]]/WWWW[[#This Row],[Total HH]]&gt;1,1,WWWW[[#This Row],['#_households that received standard amount of soap for this quarter]]/WWWW[[#This Row],[Total HH]])</f>
        <v>0</v>
      </c>
      <c r="DD529" s="559">
        <f>IF(WWWW[[#This Row],['#_households that received standard amount of sanitary pads for this quarter]]/WWWW[[#This Row],[Total HH]]&gt;1,1,WWWW[[#This Row],['#_households that received standard amount of sanitary pads for this quarter]]/WWWW[[#This Row],[Total HH]])</f>
        <v>0</v>
      </c>
      <c r="DE529" s="558">
        <f>WWWW[[#This Row],['#_Constructed/Existing hand washing stations]]-WWWW[[#This Row],['#_Non-Functional_hand_washing_stations]]</f>
        <v>0</v>
      </c>
      <c r="DF529" s="757">
        <f>IF(WWWW[[#This Row],['# Functional hand washing stations during reporting period]]*20&gt;WWWW[[#This Row],[Total HH]],WWWW[[#This Row],[Total HH]],WWWW[[#This Row],['# Functional hand washing stations during reporting period]]*20)</f>
        <v>0</v>
      </c>
      <c r="DG529" s="556">
        <f>IF(WWWW[[#This Row],[Is sufficient soap available for TLS? (Yes/No)]]="yes",WWWW[[#This Row],['#_Constructed/Existing hand washing stations at TLS]],0)</f>
        <v>0</v>
      </c>
      <c r="DH529" s="556">
        <f>IF(WWWW[[#This Row],['# Functional hand washing stations during reporting period]]*100&gt;WWWW[[#This Row],[Total PoP ]],WWWW[[#This Row],[Total PoP ]],WWWW[[#This Row],['# Functional hand washing stations during reporting period]]*100)</f>
        <v>0</v>
      </c>
      <c r="DI529" s="556" t="str">
        <f>IF(OR(WWWW[[#This Row],['#_students at TLS_CFS]]="",WWWW[[#This Row],['#_students at TLS_CFS]]=0),"No","Yes")</f>
        <v>No</v>
      </c>
      <c r="DJ529" s="554" t="str">
        <f>VLOOKUP(WWWW[[#This Row],[Site Name]],SiteDB6[[Site Name]:[CCCM Management]],6,FALSE)</f>
        <v>Yes</v>
      </c>
      <c r="DK529" s="554" t="str">
        <f>VLOOKUP(WWWW[[#This Row],[Site Name]],SiteDB6[[Site Name]:[CCCM Focal Agency]],7,FALSE)</f>
        <v>KBC-NSS</v>
      </c>
      <c r="DL529" s="554" t="str">
        <f>VLOOKUP(WWWW[[#This Row],[Site Name]],SiteDB6[[Site Name]:[Location Type 1]],9,FALSE)</f>
        <v>Camp</v>
      </c>
      <c r="DM529" s="554" t="str">
        <f>VLOOKUP(WWWW[[#This Row],[Site Name]],SiteDB6[[Site Name]:[Type of Accommodation]],10,FALSE)</f>
        <v>Camp</v>
      </c>
      <c r="DN529" s="554" t="str">
        <f>VLOOKUP(WWWW[[#This Row],[Site Name]],SiteDB6[[Site Name]:[Ethnic or GCA/NGCA]],11,FALSE)</f>
        <v>GCA</v>
      </c>
      <c r="DO529" s="554">
        <f>VLOOKUP(WWWW[[#This Row],[Site Name]],SiteDB6[[Site Name]:[Lat]],12,FALSE)</f>
        <v>23.828520000000001</v>
      </c>
      <c r="DP529" s="554">
        <f>VLOOKUP(WWWW[[#This Row],[Site Name]],SiteDB6[[Site Name]:[Long]],13,FALSE)</f>
        <v>97.669557999999995</v>
      </c>
      <c r="DQ529" s="554" t="str">
        <f>VLOOKUP(WWWW[[#This Row],[Site Name]],SiteDB6[[Site Name]:[Pcode]],3,FALSE)</f>
        <v>MMR015CMP001</v>
      </c>
      <c r="DR529" s="563" t="str">
        <f t="shared" si="18"/>
        <v>Notcovered</v>
      </c>
      <c r="DS529" s="563"/>
    </row>
    <row r="530" spans="1:123">
      <c r="A530" s="552" t="s">
        <v>2518</v>
      </c>
      <c r="B530" s="555" t="s">
        <v>317</v>
      </c>
      <c r="C530" s="555" t="s">
        <v>317</v>
      </c>
      <c r="D530" s="555"/>
      <c r="E530" s="555" t="s">
        <v>716</v>
      </c>
      <c r="F530" s="555" t="s">
        <v>717</v>
      </c>
      <c r="G530" s="554" t="s">
        <v>45</v>
      </c>
      <c r="H530" s="555" t="s">
        <v>752</v>
      </c>
      <c r="I530" s="557">
        <v>34</v>
      </c>
      <c r="J530" s="557">
        <v>176</v>
      </c>
      <c r="K530" s="564"/>
      <c r="L530" s="565"/>
      <c r="M530" s="557"/>
      <c r="N530" s="557"/>
      <c r="O530" s="557"/>
      <c r="P530" s="557"/>
      <c r="Q530" s="556"/>
      <c r="R530" s="557"/>
      <c r="S530" s="557"/>
      <c r="T530" s="557"/>
      <c r="U530" s="557"/>
      <c r="V530" s="557"/>
      <c r="W530" s="557"/>
      <c r="X530" s="557"/>
      <c r="Y530" s="557"/>
      <c r="Z530" s="557"/>
      <c r="AA530" s="557"/>
      <c r="AB530" s="557"/>
      <c r="AC530" s="557"/>
      <c r="AD530" s="557"/>
      <c r="AE530" s="557"/>
      <c r="AF530" s="557"/>
      <c r="AG530" s="557"/>
      <c r="AH530" s="557"/>
      <c r="AI530" s="557"/>
      <c r="AJ530" s="557"/>
      <c r="AK530" s="557"/>
      <c r="AL530" s="557"/>
      <c r="AM530" s="557"/>
      <c r="AN530" s="557"/>
      <c r="AO530" s="563"/>
      <c r="AP530" s="557"/>
      <c r="AQ530" s="557"/>
      <c r="AR530" s="559"/>
      <c r="AS530" s="557"/>
      <c r="AT530" s="557"/>
      <c r="AU530" s="557"/>
      <c r="AV530" s="557"/>
      <c r="AW530" s="557"/>
      <c r="AX530" s="554"/>
      <c r="AY530" s="563"/>
      <c r="AZ530" s="557"/>
      <c r="BA530" s="557"/>
      <c r="BB530" s="557"/>
      <c r="BC530" s="554"/>
      <c r="BD530" s="557"/>
      <c r="BE530" s="557"/>
      <c r="BF530" s="557"/>
      <c r="BG530" s="557"/>
      <c r="BH530" s="557"/>
      <c r="BI530" s="557"/>
      <c r="BJ530" s="557"/>
      <c r="BK530" s="557"/>
      <c r="BL530" s="557"/>
      <c r="BM530" s="554"/>
      <c r="BN530" s="558"/>
      <c r="BO530" s="559"/>
      <c r="BP530" s="554"/>
      <c r="BQ530" s="560" t="str">
        <f>IFERROR(WWWW[[#This Row],['#_Water sources treated]]/WWWW[[#This Row],['#_Water sources tested for contamination]],"no test")</f>
        <v>no test</v>
      </c>
      <c r="BR530" s="559" t="str">
        <f>IFERROR(WWWW[[#This Row],['#_Household received remediation action due to contamination]]/WWWW[[#This Row],['#_Household water samples tested for contamination]],"no test")</f>
        <v>no test</v>
      </c>
      <c r="BS530" s="558" t="str">
        <f>IF(AND(WWWW[[#This Row],[% of water sources treated]]="no test",WWWW[[#This Row],[% Household received corrective actions]]="no test"),"No Test","Tested")</f>
        <v>No Test</v>
      </c>
      <c r="BT530" s="558">
        <f>WWWW[[#This Row],['#_Constructed/existing protected hand dug well]]-WWWW[[#This Row],['#_Non-functional protected hand dug well]]</f>
        <v>0</v>
      </c>
      <c r="BU530" s="558">
        <f>(WWWW[[#This Row],['#_Constructed/Existing tube wells/boreholes/handpumps_WASH_agency]]+WWWW[[#This Row],['#_Non-Cluster partner water tube-wells/boreholes/handpumps]])-WWWW[[#This Row],['#_Non-functional tube wells/boreholes/handpumps]]</f>
        <v>0</v>
      </c>
      <c r="BV530" s="558">
        <f>WWWW[[#This Row],['#_Constructed/Existingwater storage tank with gravity fed reticulation system]]-WWWW[[#This Row],['#_Non-functional storage tank gravity fed reticulation system]]</f>
        <v>0</v>
      </c>
      <c r="BW530" s="558">
        <f>WWWW[[#This Row],['#_Water boating or water trucking]]</f>
        <v>0</v>
      </c>
      <c r="BX530" s="558">
        <f>WWWW[[#This Row],['#_Constructed/Existing water distribution system from river or natural spring]]</f>
        <v>0</v>
      </c>
      <c r="BY53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3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30" s="559">
        <f>IF(WWWW[[#This Row],[Location Type 1]]="Village",WWWW[[#This Row],[Access to safe drinking water for Village]],WWWW[[#This Row],[Access to safe drinking water for Camp]])</f>
        <v>0</v>
      </c>
      <c r="CB530" s="556">
        <f>WWWW[[#This Row],[%Equitable and continuous access to sufficient quantity of safe drinking water]]*WWWW[[#This Row],[Total PoP ]]</f>
        <v>0</v>
      </c>
      <c r="CC530" s="559">
        <f>IF((WWWW[[#This Row],['#_Constructed/Existing protected/fenced ponds]]*250)/WWWW[[#This Row],[Total PoP ]]&gt;1,1,(WWWW[[#This Row],['#_Constructed/Existing protected/fenced ponds]]*250)/WWWW[[#This Row],[Total PoP ]])</f>
        <v>0</v>
      </c>
      <c r="CD530" s="556">
        <f>WWWW[[#This Row],[% Access to unimproved water points]]*WWWW[[#This Row],[Total PoP ]]</f>
        <v>0</v>
      </c>
      <c r="CE53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3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30" s="556">
        <f>WWWW[[#This Row],[HRP1]]/500</f>
        <v>0</v>
      </c>
      <c r="CH530" s="561">
        <f>1-WWWW[[#This Row],[% Equitable and continuous access to sufficient quantity of domestic water]]</f>
        <v>1</v>
      </c>
      <c r="CI530" s="556">
        <f>WWWW[[#This Row],[%equitable and continuous access to sufficient quantity of safe drinking and domestic water''s GAP]]*WWWW[[#This Row],[Total PoP ]]</f>
        <v>176</v>
      </c>
      <c r="CJ530" s="558">
        <f>IF(WWWW[[#This Row],[Total required water points]]-WWWW[[#This Row],['#Water points coverage]]&lt;0,0,WWWW[[#This Row],[Total required water points]]-WWWW[[#This Row],['#Water points coverage]])</f>
        <v>1</v>
      </c>
      <c r="CK530" s="558">
        <f>ROUND(IF(WWWW[[#This Row],[Total PoP ]]&lt;500,1,WWWW[[#This Row],[Total PoP ]]/500),0)</f>
        <v>1</v>
      </c>
      <c r="CL530" s="558">
        <f>(WWWW[[#This Row],['#_Constructed latrines_by_WASHAgencies]]+WWWW[[#This Row],['#_Non Cluster partner latrines]])-WWWW[[#This Row],['#_Non-functional latrines]]</f>
        <v>0</v>
      </c>
      <c r="CM53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3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3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0" s="558">
        <f>IF(WWWW[[#This Row],[Location Type 1]]="Village","NA",IF(WWWW[[#This Row],['#_Constructed/Existing latrines in TLS]]*50&gt;WWWW[[#This Row],['#_students at TLS_CFS]],WWWW[[#This Row],['#_students at TLS_CFS]],(WWWW[[#This Row],['#_Constructed/Existing latrines in TLS]]*50)))</f>
        <v>0</v>
      </c>
      <c r="CQ530" s="558">
        <f>ROUND(IF(WWWW[[#This Row],[Location Type 1]]="camp",WWWW[[#This Row],[Total PoP ]]/20,IF(WWWW[[#This Row],[Location Type 1]]="Temporary Location",WWWW[[#This Row],[Total PoP ]]/50,(WWWW[[#This Row],[Total PoP ]]/6))),0)</f>
        <v>9</v>
      </c>
      <c r="CR530" s="558">
        <f>IF(WWWW[[#This Row],[Total required Latrines]]-(WWWW[[#This Row],['#_Constructed latrines_by_WASHAgencies]]+WWWW[[#This Row],['#_Non Cluster partner latrines]])&lt;0,0,WWWW[[#This Row],[Total required Latrines]]-(WWWW[[#This Row],['#_Constructed latrines_by_WASHAgencies]]+WWWW[[#This Row],['#_Non Cluster partner latrines]]))</f>
        <v>9</v>
      </c>
      <c r="CS530" s="78">
        <f>1-WWWW[[#This Row],[% people access to functioning Latrine]]</f>
        <v>1</v>
      </c>
      <c r="CT530" s="560">
        <f>IF(OR(WWWW[[#This Row],['#_Non-functional latrines]]="",WWWW[[#This Row],['#_Non-functional latrines]]=0),0,WWWW[[#This Row],['#_Non-functional latrines]]/(WWWW[[#This Row],['#_Constructed latrines_by_WASHAgencies]]+WWWW[[#This Row],['#_Non Cluster partner latrines]]))</f>
        <v>0</v>
      </c>
      <c r="CU530" s="556">
        <f>IF(500*(WWWW[[#This Row],['#_male hygiene promoters]]+WWWW[[#This Row],['#_female hygiene promoters]])&gt;WWWW[[#This Row],[Total PoP ]],WWWW[[#This Row],[Total PoP ]],500*(WWWW[[#This Row],['#_male hygiene promoters]]+WWWW[[#This Row],['#_female hygiene promoters]]))</f>
        <v>0</v>
      </c>
      <c r="CV53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0" s="558">
        <f>IF(WWWW[[#This Row],['# People with access to soap]]&gt;WWWW[[#This Row],['# People with access to Sanity Pads]],WWWW[[#This Row],['# People with access to soap]],WWWW[[#This Row],['# People with access to Sanity Pads]])</f>
        <v>0</v>
      </c>
      <c r="CY530"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30" s="561">
        <f>IF(WWWW[[#This Row],[HRP3]]/WWWW[[#This Row],[Total PoP ]]&gt;100%,100%,WWWW[[#This Row],[HRP3]]/WWWW[[#This Row],[Total PoP ]])</f>
        <v>0</v>
      </c>
      <c r="DA530" s="560">
        <f>1-WWWW[[#This Row],[Hygiene Coverage%]]</f>
        <v>1</v>
      </c>
      <c r="DB530" s="559">
        <f>WWWW[[#This Row],['# people reached by regular dedicated hygiene promotion_5]]/WWWW[[#This Row],[Total PoP ]]</f>
        <v>0</v>
      </c>
      <c r="DC530" s="559">
        <f>IF(WWWW[[#This Row],['#_households that received standard amount of soap for this quarter]]/WWWW[[#This Row],[Total HH]]&gt;1,1,WWWW[[#This Row],['#_households that received standard amount of soap for this quarter]]/WWWW[[#This Row],[Total HH]])</f>
        <v>0</v>
      </c>
      <c r="DD530" s="559">
        <f>IF(WWWW[[#This Row],['#_households that received standard amount of sanitary pads for this quarter]]/WWWW[[#This Row],[Total HH]]&gt;1,1,WWWW[[#This Row],['#_households that received standard amount of sanitary pads for this quarter]]/WWWW[[#This Row],[Total HH]])</f>
        <v>0</v>
      </c>
      <c r="DE530" s="558">
        <f>WWWW[[#This Row],['#_Constructed/Existing hand washing stations]]-WWWW[[#This Row],['#_Non-Functional_hand_washing_stations]]</f>
        <v>0</v>
      </c>
      <c r="DF530" s="757">
        <f>IF(WWWW[[#This Row],['# Functional hand washing stations during reporting period]]*20&gt;WWWW[[#This Row],[Total HH]],WWWW[[#This Row],[Total HH]],WWWW[[#This Row],['# Functional hand washing stations during reporting period]]*20)</f>
        <v>0</v>
      </c>
      <c r="DG530" s="556">
        <f>IF(WWWW[[#This Row],[Is sufficient soap available for TLS? (Yes/No)]]="yes",WWWW[[#This Row],['#_Constructed/Existing hand washing stations at TLS]],0)</f>
        <v>0</v>
      </c>
      <c r="DH530" s="556">
        <f>IF(WWWW[[#This Row],['# Functional hand washing stations during reporting period]]*100&gt;WWWW[[#This Row],[Total PoP ]],WWWW[[#This Row],[Total PoP ]],WWWW[[#This Row],['# Functional hand washing stations during reporting period]]*100)</f>
        <v>0</v>
      </c>
      <c r="DI530" s="556" t="str">
        <f>IF(OR(WWWW[[#This Row],['#_students at TLS_CFS]]="",WWWW[[#This Row],['#_students at TLS_CFS]]=0),"No","Yes")</f>
        <v>No</v>
      </c>
      <c r="DJ530" s="554" t="str">
        <f>VLOOKUP(WWWW[[#This Row],[Site Name]],SiteDB6[[Site Name]:[CCCM Management]],6,FALSE)</f>
        <v>Yes</v>
      </c>
      <c r="DK530" s="554" t="str">
        <f>VLOOKUP(WWWW[[#This Row],[Site Name]],SiteDB6[[Site Name]:[CCCM Focal Agency]],7,FALSE)</f>
        <v>KBC-NSS</v>
      </c>
      <c r="DL530" s="554" t="str">
        <f>VLOOKUP(WWWW[[#This Row],[Site Name]],SiteDB6[[Site Name]:[Location Type 1]],9,FALSE)</f>
        <v>Camp</v>
      </c>
      <c r="DM530" s="554" t="str">
        <f>VLOOKUP(WWWW[[#This Row],[Site Name]],SiteDB6[[Site Name]:[Type of Accommodation]],10,FALSE)</f>
        <v>Camp</v>
      </c>
      <c r="DN530" s="554" t="str">
        <f>VLOOKUP(WWWW[[#This Row],[Site Name]],SiteDB6[[Site Name]:[Ethnic or GCA/NGCA]],11,FALSE)</f>
        <v>GCA</v>
      </c>
      <c r="DO530" s="554">
        <f>VLOOKUP(WWWW[[#This Row],[Site Name]],SiteDB6[[Site Name]:[Lat]],12,FALSE)</f>
        <v>23.841646999999998</v>
      </c>
      <c r="DP530" s="554">
        <f>VLOOKUP(WWWW[[#This Row],[Site Name]],SiteDB6[[Site Name]:[Long]],13,FALSE)</f>
        <v>97.700940000000003</v>
      </c>
      <c r="DQ530" s="554" t="str">
        <f>VLOOKUP(WWWW[[#This Row],[Site Name]],SiteDB6[[Site Name]:[Pcode]],3,FALSE)</f>
        <v>MMR015CMP214</v>
      </c>
      <c r="DR530" s="563" t="str">
        <f t="shared" si="18"/>
        <v>Notcovered</v>
      </c>
      <c r="DS530" s="563"/>
    </row>
    <row r="531" spans="1:123">
      <c r="A531" s="552" t="s">
        <v>2518</v>
      </c>
      <c r="B531" s="555" t="s">
        <v>38</v>
      </c>
      <c r="C531" s="555" t="s">
        <v>38</v>
      </c>
      <c r="D531" s="555" t="s">
        <v>722</v>
      </c>
      <c r="E531" s="555" t="s">
        <v>716</v>
      </c>
      <c r="F531" s="555" t="s">
        <v>717</v>
      </c>
      <c r="G531" s="554" t="s">
        <v>45</v>
      </c>
      <c r="H531" s="555" t="s">
        <v>718</v>
      </c>
      <c r="I531" s="557">
        <v>44</v>
      </c>
      <c r="J531" s="557">
        <v>209</v>
      </c>
      <c r="K531" s="564"/>
      <c r="L531" s="565">
        <v>43465</v>
      </c>
      <c r="M531" s="557"/>
      <c r="N531" s="557"/>
      <c r="O531" s="557"/>
      <c r="P531" s="557"/>
      <c r="Q531" s="556"/>
      <c r="R531" s="557"/>
      <c r="S531" s="557"/>
      <c r="T531" s="557">
        <v>1</v>
      </c>
      <c r="U531" s="557"/>
      <c r="V531" s="557"/>
      <c r="W531" s="557">
        <v>1</v>
      </c>
      <c r="X531" s="557"/>
      <c r="Y531" s="557"/>
      <c r="Z531" s="557"/>
      <c r="AA531" s="557"/>
      <c r="AB531" s="557"/>
      <c r="AC531" s="557"/>
      <c r="AD531" s="557"/>
      <c r="AE531" s="557"/>
      <c r="AF531" s="557"/>
      <c r="AG531" s="557"/>
      <c r="AH531" s="557"/>
      <c r="AI531" s="557"/>
      <c r="AJ531" s="557"/>
      <c r="AK531" s="557"/>
      <c r="AL531" s="557"/>
      <c r="AM531" s="557"/>
      <c r="AN531" s="557"/>
      <c r="AO531" s="563"/>
      <c r="AP531" s="557">
        <v>15</v>
      </c>
      <c r="AQ531" s="557"/>
      <c r="AR531" s="559"/>
      <c r="AS531" s="557"/>
      <c r="AT531" s="557"/>
      <c r="AU531" s="557"/>
      <c r="AV531" s="557"/>
      <c r="AW531" s="557"/>
      <c r="AX531" s="554" t="s">
        <v>43</v>
      </c>
      <c r="AY531" s="563" t="s">
        <v>145</v>
      </c>
      <c r="AZ531" s="557"/>
      <c r="BA531" s="557"/>
      <c r="BB531" s="557"/>
      <c r="BC531" s="554"/>
      <c r="BD531" s="557"/>
      <c r="BE531" s="557"/>
      <c r="BF531" s="557">
        <v>0</v>
      </c>
      <c r="BG531" s="557">
        <v>2</v>
      </c>
      <c r="BH531" s="557"/>
      <c r="BI531" s="557"/>
      <c r="BJ531" s="557">
        <v>2</v>
      </c>
      <c r="BK531" s="557"/>
      <c r="BL531" s="557"/>
      <c r="BM531" s="554"/>
      <c r="BN531" s="558"/>
      <c r="BO531" s="559"/>
      <c r="BP531" s="554"/>
      <c r="BQ531" s="560" t="str">
        <f>IFERROR(WWWW[[#This Row],['#_Water sources treated]]/WWWW[[#This Row],['#_Water sources tested for contamination]],"no test")</f>
        <v>no test</v>
      </c>
      <c r="BR531" s="559" t="str">
        <f>IFERROR(WWWW[[#This Row],['#_Household received remediation action due to contamination]]/WWWW[[#This Row],['#_Household water samples tested for contamination]],"no test")</f>
        <v>no test</v>
      </c>
      <c r="BS531" s="558" t="str">
        <f>IF(AND(WWWW[[#This Row],[% of water sources treated]]="no test",WWWW[[#This Row],[% Household received corrective actions]]="no test"),"No Test","Tested")</f>
        <v>No Test</v>
      </c>
      <c r="BT531" s="558">
        <f>WWWW[[#This Row],['#_Constructed/existing protected hand dug well]]-WWWW[[#This Row],['#_Non-functional protected hand dug well]]</f>
        <v>1</v>
      </c>
      <c r="BU531" s="558">
        <f>(WWWW[[#This Row],['#_Constructed/Existing tube wells/boreholes/handpumps_WASH_agency]]+WWWW[[#This Row],['#_Non-Cluster partner water tube-wells/boreholes/handpumps]])-WWWW[[#This Row],['#_Non-functional tube wells/boreholes/handpumps]]</f>
        <v>1</v>
      </c>
      <c r="BV531" s="558">
        <f>WWWW[[#This Row],['#_Constructed/Existingwater storage tank with gravity fed reticulation system]]-WWWW[[#This Row],['#_Non-functional storage tank gravity fed reticulation system]]</f>
        <v>0</v>
      </c>
      <c r="BW531" s="558">
        <f>WWWW[[#This Row],['#_Water boating or water trucking]]</f>
        <v>0</v>
      </c>
      <c r="BX531" s="558">
        <f>WWWW[[#This Row],['#_Constructed/Existing water distribution system from river or natural spring]]</f>
        <v>0</v>
      </c>
      <c r="BY53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1" s="559">
        <f>IF(WWWW[[#This Row],[Location Type 1]]="Village",WWWW[[#This Row],[Access to safe drinking water for Village]],WWWW[[#This Row],[Access to safe drinking water for Camp]])</f>
        <v>1</v>
      </c>
      <c r="CB531" s="556">
        <f>WWWW[[#This Row],[%Equitable and continuous access to sufficient quantity of safe drinking water]]*WWWW[[#This Row],[Total PoP ]]</f>
        <v>209</v>
      </c>
      <c r="CC531" s="559">
        <f>IF((WWWW[[#This Row],['#_Constructed/Existing protected/fenced ponds]]*250)/WWWW[[#This Row],[Total PoP ]]&gt;1,1,(WWWW[[#This Row],['#_Constructed/Existing protected/fenced ponds]]*250)/WWWW[[#This Row],[Total PoP ]])</f>
        <v>0</v>
      </c>
      <c r="CD531" s="556">
        <f>WWWW[[#This Row],[% Access to unimproved water points]]*WWWW[[#This Row],[Total PoP ]]</f>
        <v>0</v>
      </c>
      <c r="CE53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209</v>
      </c>
      <c r="CG531" s="556">
        <f>WWWW[[#This Row],[HRP1]]/500</f>
        <v>0.41799999999999998</v>
      </c>
      <c r="CH531" s="561">
        <f>1-WWWW[[#This Row],[% Equitable and continuous access to sufficient quantity of domestic water]]</f>
        <v>0</v>
      </c>
      <c r="CI531" s="556">
        <f>WWWW[[#This Row],[%equitable and continuous access to sufficient quantity of safe drinking and domestic water''s GAP]]*WWWW[[#This Row],[Total PoP ]]</f>
        <v>0</v>
      </c>
      <c r="CJ531" s="558">
        <f>IF(WWWW[[#This Row],[Total required water points]]-WWWW[[#This Row],['#Water points coverage]]&lt;0,0,WWWW[[#This Row],[Total required water points]]-WWWW[[#This Row],['#Water points coverage]])</f>
        <v>0.58200000000000007</v>
      </c>
      <c r="CK531" s="558">
        <f>ROUND(IF(WWWW[[#This Row],[Total PoP ]]&lt;500,1,WWWW[[#This Row],[Total PoP ]]/500),0)</f>
        <v>1</v>
      </c>
      <c r="CL531" s="558">
        <f>(WWWW[[#This Row],['#_Constructed latrines_by_WASHAgencies]]+WWWW[[#This Row],['#_Non Cluster partner latrines]])-WWWW[[#This Row],['#_Non-functional latrines]]</f>
        <v>15</v>
      </c>
      <c r="CM53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3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209</v>
      </c>
      <c r="CO531"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1" s="558">
        <f>IF(WWWW[[#This Row],[Location Type 1]]="Village","NA",IF(WWWW[[#This Row],['#_Constructed/Existing latrines in TLS]]*50&gt;WWWW[[#This Row],['#_students at TLS_CFS]],WWWW[[#This Row],['#_students at TLS_CFS]],(WWWW[[#This Row],['#_Constructed/Existing latrines in TLS]]*50)))</f>
        <v>0</v>
      </c>
      <c r="CQ531" s="558">
        <f>ROUND(IF(WWWW[[#This Row],[Location Type 1]]="camp",WWWW[[#This Row],[Total PoP ]]/20,IF(WWWW[[#This Row],[Location Type 1]]="Temporary Location",WWWW[[#This Row],[Total PoP ]]/50,(WWWW[[#This Row],[Total PoP ]]/6))),0)</f>
        <v>10</v>
      </c>
      <c r="CR531" s="558">
        <f>IF(WWWW[[#This Row],[Total required Latrines]]-(WWWW[[#This Row],['#_Constructed latrines_by_WASHAgencies]]+WWWW[[#This Row],['#_Non Cluster partner latrines]])&lt;0,0,WWWW[[#This Row],[Total required Latrines]]-(WWWW[[#This Row],['#_Constructed latrines_by_WASHAgencies]]+WWWW[[#This Row],['#_Non Cluster partner latrines]]))</f>
        <v>0</v>
      </c>
      <c r="CS531" s="78">
        <f>1-WWWW[[#This Row],[% people access to functioning Latrine]]</f>
        <v>0</v>
      </c>
      <c r="CT531" s="560">
        <f>IF(OR(WWWW[[#This Row],['#_Non-functional latrines]]="",WWWW[[#This Row],['#_Non-functional latrines]]=0),0,WWWW[[#This Row],['#_Non-functional latrines]]/(WWWW[[#This Row],['#_Constructed latrines_by_WASHAgencies]]+WWWW[[#This Row],['#_Non Cluster partner latrines]]))</f>
        <v>0</v>
      </c>
      <c r="CU531" s="556">
        <f>IF(500*(WWWW[[#This Row],['#_male hygiene promoters]]+WWWW[[#This Row],['#_female hygiene promoters]])&gt;WWWW[[#This Row],[Total PoP ]],WWWW[[#This Row],[Total PoP ]],500*(WWWW[[#This Row],['#_male hygiene promoters]]+WWWW[[#This Row],['#_female hygiene promoters]]))</f>
        <v>209</v>
      </c>
      <c r="CV53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1" s="558">
        <f>IF(WWWW[[#This Row],['# People with access to soap]]&gt;WWWW[[#This Row],['# People with access to Sanity Pads]],WWWW[[#This Row],['# People with access to soap]],WWWW[[#This Row],['# People with access to Sanity Pads]])</f>
        <v>0</v>
      </c>
      <c r="CY531" s="558">
        <f>IF(WWWW[[#This Row],['# people reached by regular dedicated hygiene promotion_5]]&gt;WWWW[[#This Row],['# People received regular supply of hygiene items_6]],WWWW[[#This Row],['# people reached by regular dedicated hygiene promotion_5]],WWWW[[#This Row],['# People received regular supply of hygiene items_6]])</f>
        <v>209</v>
      </c>
      <c r="CZ531" s="561">
        <f>IF(WWWW[[#This Row],[HRP3]]/WWWW[[#This Row],[Total PoP ]]&gt;100%,100%,WWWW[[#This Row],[HRP3]]/WWWW[[#This Row],[Total PoP ]])</f>
        <v>1</v>
      </c>
      <c r="DA531" s="560">
        <f>1-WWWW[[#This Row],[Hygiene Coverage%]]</f>
        <v>0</v>
      </c>
      <c r="DB531" s="559">
        <f>WWWW[[#This Row],['# people reached by regular dedicated hygiene promotion_5]]/WWWW[[#This Row],[Total PoP ]]</f>
        <v>1</v>
      </c>
      <c r="DC531" s="559">
        <f>IF(WWWW[[#This Row],['#_households that received standard amount of soap for this quarter]]/WWWW[[#This Row],[Total HH]]&gt;1,1,WWWW[[#This Row],['#_households that received standard amount of soap for this quarter]]/WWWW[[#This Row],[Total HH]])</f>
        <v>0</v>
      </c>
      <c r="DD531" s="559">
        <f>IF(WWWW[[#This Row],['#_households that received standard amount of sanitary pads for this quarter]]/WWWW[[#This Row],[Total HH]]&gt;1,1,WWWW[[#This Row],['#_households that received standard amount of sanitary pads for this quarter]]/WWWW[[#This Row],[Total HH]])</f>
        <v>0</v>
      </c>
      <c r="DE531" s="558">
        <f>WWWW[[#This Row],['#_Constructed/Existing hand washing stations]]-WWWW[[#This Row],['#_Non-Functional_hand_washing_stations]]</f>
        <v>0</v>
      </c>
      <c r="DF531" s="757">
        <f>IF(WWWW[[#This Row],['# Functional hand washing stations during reporting period]]*20&gt;WWWW[[#This Row],[Total HH]],WWWW[[#This Row],[Total HH]],WWWW[[#This Row],['# Functional hand washing stations during reporting period]]*20)</f>
        <v>0</v>
      </c>
      <c r="DG531" s="556">
        <f>IF(WWWW[[#This Row],[Is sufficient soap available for TLS? (Yes/No)]]="yes",WWWW[[#This Row],['#_Constructed/Existing hand washing stations at TLS]],0)</f>
        <v>0</v>
      </c>
      <c r="DH531" s="556">
        <f>IF(WWWW[[#This Row],['# Functional hand washing stations during reporting period]]*100&gt;WWWW[[#This Row],[Total PoP ]],WWWW[[#This Row],[Total PoP ]],WWWW[[#This Row],['# Functional hand washing stations during reporting period]]*100)</f>
        <v>0</v>
      </c>
      <c r="DI531" s="556" t="str">
        <f>IF(OR(WWWW[[#This Row],['#_students at TLS_CFS]]="",WWWW[[#This Row],['#_students at TLS_CFS]]=0),"No","Yes")</f>
        <v>No</v>
      </c>
      <c r="DJ531" s="554" t="str">
        <f>VLOOKUP(WWWW[[#This Row],[Site Name]],SiteDB6[[Site Name]:[CCCM Management]],6,FALSE)</f>
        <v>Yes</v>
      </c>
      <c r="DK531" s="554" t="str">
        <f>VLOOKUP(WWWW[[#This Row],[Site Name]],SiteDB6[[Site Name]:[CCCM Focal Agency]],7,FALSE)</f>
        <v>KMSS-LSO</v>
      </c>
      <c r="DL531" s="554" t="str">
        <f>VLOOKUP(WWWW[[#This Row],[Site Name]],SiteDB6[[Site Name]:[Location Type 1]],9,FALSE)</f>
        <v>Camp</v>
      </c>
      <c r="DM531" s="554" t="str">
        <f>VLOOKUP(WWWW[[#This Row],[Site Name]],SiteDB6[[Site Name]:[Type of Accommodation]],10,FALSE)</f>
        <v>Camp</v>
      </c>
      <c r="DN531" s="554" t="str">
        <f>VLOOKUP(WWWW[[#This Row],[Site Name]],SiteDB6[[Site Name]:[Ethnic or GCA/NGCA]],11,FALSE)</f>
        <v>GCA</v>
      </c>
      <c r="DO531" s="554">
        <f>VLOOKUP(WWWW[[#This Row],[Site Name]],SiteDB6[[Site Name]:[Lat]],12,FALSE)</f>
        <v>23.828150000000001</v>
      </c>
      <c r="DP531" s="554">
        <f>VLOOKUP(WWWW[[#This Row],[Site Name]],SiteDB6[[Site Name]:[Long]],13,FALSE)</f>
        <v>97.670360000000002</v>
      </c>
      <c r="DQ531" s="554" t="str">
        <f>VLOOKUP(WWWW[[#This Row],[Site Name]],SiteDB6[[Site Name]:[Pcode]],3,FALSE)</f>
        <v>MMR015CMP003</v>
      </c>
      <c r="DR531" s="563" t="str">
        <f t="shared" si="18"/>
        <v>Covered</v>
      </c>
      <c r="DS531" s="563"/>
    </row>
    <row r="532" spans="1:123">
      <c r="A532" s="552" t="s">
        <v>2518</v>
      </c>
      <c r="B532" s="555" t="s">
        <v>1957</v>
      </c>
      <c r="C532" s="555" t="s">
        <v>1957</v>
      </c>
      <c r="D532" s="584" t="s">
        <v>2970</v>
      </c>
      <c r="E532" s="574" t="s">
        <v>716</v>
      </c>
      <c r="F532" s="555" t="s">
        <v>720</v>
      </c>
      <c r="G532" s="574" t="str">
        <f>VLOOKUP(WWWW[[#This Row],[Site Name]],SiteDB6[[Site Name]:[Location Type]],8,FALSE)</f>
        <v>Camp</v>
      </c>
      <c r="H532" s="555" t="s">
        <v>732</v>
      </c>
      <c r="I532" s="557">
        <v>57</v>
      </c>
      <c r="J532" s="557">
        <v>266</v>
      </c>
      <c r="K532" s="593" t="s">
        <v>2971</v>
      </c>
      <c r="L532" s="58" t="s">
        <v>2972</v>
      </c>
      <c r="M532" s="557">
        <v>139</v>
      </c>
      <c r="N532" s="557"/>
      <c r="O532" s="557"/>
      <c r="P532" s="557"/>
      <c r="Q532" s="556" t="s">
        <v>43</v>
      </c>
      <c r="R532" s="557">
        <v>5</v>
      </c>
      <c r="S532" s="557">
        <v>4</v>
      </c>
      <c r="T532" s="557"/>
      <c r="U532" s="557"/>
      <c r="V532" s="557"/>
      <c r="W532" s="557"/>
      <c r="X532" s="557"/>
      <c r="Y532" s="557"/>
      <c r="Z532" s="557"/>
      <c r="AA532" s="557">
        <v>16</v>
      </c>
      <c r="AB532" s="557"/>
      <c r="AC532" s="557"/>
      <c r="AD532" s="557"/>
      <c r="AE532" s="557"/>
      <c r="AF532" s="557"/>
      <c r="AG532" s="557">
        <v>1</v>
      </c>
      <c r="AH532" s="557"/>
      <c r="AI532" s="557">
        <v>1</v>
      </c>
      <c r="AJ532" s="557"/>
      <c r="AK532" s="557">
        <v>15</v>
      </c>
      <c r="AL532" s="557"/>
      <c r="AM532" s="557"/>
      <c r="AN532" s="557"/>
      <c r="AO532" s="563"/>
      <c r="AP532" s="557">
        <v>15</v>
      </c>
      <c r="AQ532" s="557"/>
      <c r="AR532" s="559"/>
      <c r="AS532" s="557">
        <v>4</v>
      </c>
      <c r="AT532" s="557">
        <v>4</v>
      </c>
      <c r="AU532" s="557">
        <v>6</v>
      </c>
      <c r="AV532" s="557"/>
      <c r="AW532" s="557"/>
      <c r="AX532" s="554" t="s">
        <v>43</v>
      </c>
      <c r="AY532" s="563" t="s">
        <v>145</v>
      </c>
      <c r="AZ532" s="557"/>
      <c r="BA532" s="557"/>
      <c r="BB532" s="557"/>
      <c r="BC532" s="554"/>
      <c r="BD532" s="557">
        <v>4</v>
      </c>
      <c r="BE532" s="557">
        <v>3</v>
      </c>
      <c r="BF532" s="557"/>
      <c r="BG532" s="557">
        <v>1</v>
      </c>
      <c r="BH532" s="557"/>
      <c r="BI532" s="557"/>
      <c r="BJ532" s="557">
        <v>1</v>
      </c>
      <c r="BK532" s="557">
        <v>57</v>
      </c>
      <c r="BL532" s="557">
        <v>0</v>
      </c>
      <c r="BM532" s="554"/>
      <c r="BN532" s="558"/>
      <c r="BO532" s="559">
        <v>0.5</v>
      </c>
      <c r="BP532" s="554"/>
      <c r="BQ532" s="560">
        <f>IFERROR(WWWW[[#This Row],['#_Water sources treated]]/WWWW[[#This Row],['#_Water sources tested for contamination]],"no test")</f>
        <v>0</v>
      </c>
      <c r="BR532" s="559">
        <f>IFERROR(WWWW[[#This Row],['#_Household received remediation action due to contamination]]/WWWW[[#This Row],['#_Household water samples tested for contamination]],"no test")</f>
        <v>0</v>
      </c>
      <c r="BS532" s="558" t="str">
        <f>IF(AND(WWWW[[#This Row],[% of water sources treated]]="no test",WWWW[[#This Row],[% Household received corrective actions]]="no test"),"No Test","Tested")</f>
        <v>Tested</v>
      </c>
      <c r="BT532" s="558">
        <f>WWWW[[#This Row],['#_Constructed/existing protected hand dug well]]-WWWW[[#This Row],['#_Non-functional protected hand dug well]]</f>
        <v>0</v>
      </c>
      <c r="BU532" s="558">
        <f>(WWWW[[#This Row],['#_Constructed/Existing tube wells/boreholes/handpumps_WASH_agency]]+WWWW[[#This Row],['#_Non-Cluster partner water tube-wells/boreholes/handpumps]])-WWWW[[#This Row],['#_Non-functional tube wells/boreholes/handpumps]]</f>
        <v>0</v>
      </c>
      <c r="BV532" s="558">
        <f>WWWW[[#This Row],['#_Constructed/Existingwater storage tank with gravity fed reticulation system]]-WWWW[[#This Row],['#_Non-functional storage tank gravity fed reticulation system]]</f>
        <v>16</v>
      </c>
      <c r="BW532" s="558">
        <f>WWWW[[#This Row],['#_Water boating or water trucking]]</f>
        <v>0</v>
      </c>
      <c r="BX532" s="558">
        <f>WWWW[[#This Row],['#_Constructed/Existing water distribution system from river or natural spring]]</f>
        <v>0</v>
      </c>
      <c r="BY532"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2"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2" s="559">
        <f>IF(WWWW[[#This Row],[Location Type 1]]="Village",WWWW[[#This Row],[Access to safe drinking water for Village]],WWWW[[#This Row],[Access to safe drinking water for Camp]])</f>
        <v>1</v>
      </c>
      <c r="CB532" s="556">
        <f>WWWW[[#This Row],[%Equitable and continuous access to sufficient quantity of safe drinking water]]*WWWW[[#This Row],[Total PoP ]]</f>
        <v>266</v>
      </c>
      <c r="CC532" s="559">
        <f>IF((WWWW[[#This Row],['#_Constructed/Existing protected/fenced ponds]]*250)/WWWW[[#This Row],[Total PoP ]]&gt;1,1,(WWWW[[#This Row],['#_Constructed/Existing protected/fenced ponds]]*250)/WWWW[[#This Row],[Total PoP ]])</f>
        <v>0</v>
      </c>
      <c r="CD532" s="556">
        <f>WWWW[[#This Row],[% Access to unimproved water points]]*WWWW[[#This Row],[Total PoP ]]</f>
        <v>0</v>
      </c>
      <c r="CE532"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2"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G532" s="556">
        <f>WWWW[[#This Row],[HRP1]]/500</f>
        <v>0.53200000000000003</v>
      </c>
      <c r="CH532" s="561">
        <f>1-WWWW[[#This Row],[% Equitable and continuous access to sufficient quantity of domestic water]]</f>
        <v>0</v>
      </c>
      <c r="CI532" s="556">
        <f>WWWW[[#This Row],[%equitable and continuous access to sufficient quantity of safe drinking and domestic water''s GAP]]*WWWW[[#This Row],[Total PoP ]]</f>
        <v>0</v>
      </c>
      <c r="CJ532" s="558">
        <f>IF(WWWW[[#This Row],[Total required water points]]-WWWW[[#This Row],['#Water points coverage]]&lt;0,0,WWWW[[#This Row],[Total required water points]]-WWWW[[#This Row],['#Water points coverage]])</f>
        <v>0.46799999999999997</v>
      </c>
      <c r="CK532" s="558">
        <f>ROUND(IF(WWWW[[#This Row],[Total PoP ]]&lt;500,1,WWWW[[#This Row],[Total PoP ]]/500),0)</f>
        <v>1</v>
      </c>
      <c r="CL532" s="558">
        <f>(WWWW[[#This Row],['#_Constructed latrines_by_WASHAgencies]]+WWWW[[#This Row],['#_Non Cluster partner latrines]])-WWWW[[#This Row],['#_Non-functional latrines]]</f>
        <v>11</v>
      </c>
      <c r="CM532"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0.82706766917293228</v>
      </c>
      <c r="CN532"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220</v>
      </c>
      <c r="CO532"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CP532" s="558">
        <f>IF(WWWW[[#This Row],[Location Type 1]]="Village","NA",IF(WWWW[[#This Row],['#_Constructed/Existing latrines in TLS]]*50&gt;WWWW[[#This Row],['#_students at TLS_CFS]],WWWW[[#This Row],['#_students at TLS_CFS]],(WWWW[[#This Row],['#_Constructed/Existing latrines in TLS]]*50)))</f>
        <v>0</v>
      </c>
      <c r="CQ532" s="558">
        <f>ROUND(IF(WWWW[[#This Row],[Location Type 1]]="camp",WWWW[[#This Row],[Total PoP ]]/20,IF(WWWW[[#This Row],[Location Type 1]]="Temporary Location",WWWW[[#This Row],[Total PoP ]]/50,(WWWW[[#This Row],[Total PoP ]]/6))),0)</f>
        <v>13</v>
      </c>
      <c r="CR532" s="558">
        <f>IF(WWWW[[#This Row],[Total required Latrines]]-(WWWW[[#This Row],['#_Constructed latrines_by_WASHAgencies]]+WWWW[[#This Row],['#_Non Cluster partner latrines]])&lt;0,0,WWWW[[#This Row],[Total required Latrines]]-(WWWW[[#This Row],['#_Constructed latrines_by_WASHAgencies]]+WWWW[[#This Row],['#_Non Cluster partner latrines]]))</f>
        <v>0</v>
      </c>
      <c r="CS532" s="78">
        <f>1-WWWW[[#This Row],[% people access to functioning Latrine]]</f>
        <v>0.17293233082706772</v>
      </c>
      <c r="CT532" s="560">
        <f>IF(OR(WWWW[[#This Row],['#_Non-functional latrines]]="",WWWW[[#This Row],['#_Non-functional latrines]]=0),0,WWWW[[#This Row],['#_Non-functional latrines]]/(WWWW[[#This Row],['#_Constructed latrines_by_WASHAgencies]]+WWWW[[#This Row],['#_Non Cluster partner latrines]]))</f>
        <v>0.26666666666666666</v>
      </c>
      <c r="CU532" s="556">
        <f>IF(500*(WWWW[[#This Row],['#_male hygiene promoters]]+WWWW[[#This Row],['#_female hygiene promoters]])&gt;WWWW[[#This Row],[Total PoP ]],WWWW[[#This Row],[Total PoP ]],500*(WWWW[[#This Row],['#_male hygiene promoters]]+WWWW[[#This Row],['#_female hygiene promoters]]))</f>
        <v>266</v>
      </c>
      <c r="CV532"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266</v>
      </c>
      <c r="CW532"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2" s="558">
        <f>IF(WWWW[[#This Row],['# People with access to soap]]&gt;WWWW[[#This Row],['# People with access to Sanity Pads]],WWWW[[#This Row],['# People with access to soap]],WWWW[[#This Row],['# People with access to Sanity Pads]])</f>
        <v>266</v>
      </c>
      <c r="CY532" s="558">
        <f>IF(WWWW[[#This Row],['# people reached by regular dedicated hygiene promotion_5]]&gt;WWWW[[#This Row],['# People received regular supply of hygiene items_6]],WWWW[[#This Row],['# people reached by regular dedicated hygiene promotion_5]],WWWW[[#This Row],['# People received regular supply of hygiene items_6]])</f>
        <v>266</v>
      </c>
      <c r="CZ532" s="561">
        <f>IF(WWWW[[#This Row],[HRP3]]/WWWW[[#This Row],[Total PoP ]]&gt;100%,100%,WWWW[[#This Row],[HRP3]]/WWWW[[#This Row],[Total PoP ]])</f>
        <v>1</v>
      </c>
      <c r="DA532" s="560">
        <f>1-WWWW[[#This Row],[Hygiene Coverage%]]</f>
        <v>0</v>
      </c>
      <c r="DB532" s="559">
        <f>WWWW[[#This Row],['# people reached by regular dedicated hygiene promotion_5]]/WWWW[[#This Row],[Total PoP ]]</f>
        <v>1</v>
      </c>
      <c r="DC532" s="559">
        <f>IF(WWWW[[#This Row],['#_households that received standard amount of soap for this quarter]]/WWWW[[#This Row],[Total HH]]&gt;1,1,WWWW[[#This Row],['#_households that received standard amount of soap for this quarter]]/WWWW[[#This Row],[Total HH]])</f>
        <v>1</v>
      </c>
      <c r="DD532" s="559">
        <f>IF(WWWW[[#This Row],['#_households that received standard amount of sanitary pads for this quarter]]/WWWW[[#This Row],[Total HH]]&gt;1,1,WWWW[[#This Row],['#_households that received standard amount of sanitary pads for this quarter]]/WWWW[[#This Row],[Total HH]])</f>
        <v>0</v>
      </c>
      <c r="DE532" s="558">
        <f>WWWW[[#This Row],['#_Constructed/Existing hand washing stations]]-WWWW[[#This Row],['#_Non-Functional_hand_washing_stations]]</f>
        <v>1</v>
      </c>
      <c r="DF532" s="757">
        <f>IF(WWWW[[#This Row],['# Functional hand washing stations during reporting period]]*20&gt;WWWW[[#This Row],[Total HH]],WWWW[[#This Row],[Total HH]],WWWW[[#This Row],['# Functional hand washing stations during reporting period]]*20)</f>
        <v>20</v>
      </c>
      <c r="DG532" s="556">
        <f>IF(WWWW[[#This Row],[Is sufficient soap available for TLS? (Yes/No)]]="yes",WWWW[[#This Row],['#_Constructed/Existing hand washing stations at TLS]],0)</f>
        <v>0</v>
      </c>
      <c r="DH532" s="556">
        <f>IF(WWWW[[#This Row],['# Functional hand washing stations during reporting period]]*100&gt;WWWW[[#This Row],[Total PoP ]],WWWW[[#This Row],[Total PoP ]],WWWW[[#This Row],['# Functional hand washing stations during reporting period]]*100)</f>
        <v>100</v>
      </c>
      <c r="DI532" s="556" t="str">
        <f>IF(OR(WWWW[[#This Row],['#_students at TLS_CFS]]="",WWWW[[#This Row],['#_students at TLS_CFS]]=0),"No","Yes")</f>
        <v>Yes</v>
      </c>
      <c r="DJ532" s="554" t="str">
        <f>VLOOKUP(WWWW[[#This Row],[Site Name]],SiteDB6[[Site Name]:[CCCM Management]],6,FALSE)</f>
        <v>Yes</v>
      </c>
      <c r="DK532" s="554" t="str">
        <f>VLOOKUP(WWWW[[#This Row],[Site Name]],SiteDB6[[Site Name]:[CCCM Focal Agency]],7,FALSE)</f>
        <v>KBC-NSS</v>
      </c>
      <c r="DL532" s="554" t="str">
        <f>VLOOKUP(WWWW[[#This Row],[Site Name]],SiteDB6[[Site Name]:[Location Type 1]],9,FALSE)</f>
        <v>Camp</v>
      </c>
      <c r="DM532" s="554" t="str">
        <f>VLOOKUP(WWWW[[#This Row],[Site Name]],SiteDB6[[Site Name]:[Type of Accommodation]],10,FALSE)</f>
        <v>Camp</v>
      </c>
      <c r="DN532" s="554" t="str">
        <f>VLOOKUP(WWWW[[#This Row],[Site Name]],SiteDB6[[Site Name]:[Ethnic or GCA/NGCA]],11,FALSE)</f>
        <v>GCA</v>
      </c>
      <c r="DO532" s="554">
        <f>VLOOKUP(WWWW[[#This Row],[Site Name]],SiteDB6[[Site Name]:[Lat]],12,FALSE)</f>
        <v>23.694130000000001</v>
      </c>
      <c r="DP532" s="554">
        <f>VLOOKUP(WWWW[[#This Row],[Site Name]],SiteDB6[[Site Name]:[Long]],13,FALSE)</f>
        <v>97.818979999999996</v>
      </c>
      <c r="DQ532" s="554" t="str">
        <f>VLOOKUP(WWWW[[#This Row],[Site Name]],SiteDB6[[Site Name]:[Pcode]],3,FALSE)</f>
        <v>MMR015CMP007</v>
      </c>
      <c r="DR532" s="563" t="str">
        <f t="shared" si="18"/>
        <v>Covered</v>
      </c>
      <c r="DS532" s="563"/>
    </row>
    <row r="533" spans="1:123">
      <c r="A533" s="552" t="s">
        <v>2518</v>
      </c>
      <c r="B533" s="555" t="s">
        <v>1957</v>
      </c>
      <c r="C533" s="555" t="s">
        <v>1957</v>
      </c>
      <c r="D533" s="584" t="s">
        <v>2970</v>
      </c>
      <c r="E533" s="574" t="s">
        <v>716</v>
      </c>
      <c r="F533" s="555" t="s">
        <v>720</v>
      </c>
      <c r="G533" s="574" t="str">
        <f>VLOOKUP(WWWW[[#This Row],[Site Name]],SiteDB6[[Site Name]:[Location Type]],8,FALSE)</f>
        <v>Camp</v>
      </c>
      <c r="H533" s="555" t="s">
        <v>2198</v>
      </c>
      <c r="I533" s="557">
        <v>36</v>
      </c>
      <c r="J533" s="557">
        <v>121</v>
      </c>
      <c r="K533" s="593" t="s">
        <v>2971</v>
      </c>
      <c r="L533" s="58" t="s">
        <v>2972</v>
      </c>
      <c r="M533" s="557">
        <v>37</v>
      </c>
      <c r="N533" s="557"/>
      <c r="O533" s="557"/>
      <c r="P533" s="557"/>
      <c r="Q533" s="556" t="s">
        <v>43</v>
      </c>
      <c r="R533" s="557">
        <v>5</v>
      </c>
      <c r="S533" s="557">
        <v>4</v>
      </c>
      <c r="T533" s="557"/>
      <c r="U533" s="557"/>
      <c r="V533" s="557"/>
      <c r="W533" s="557">
        <v>1</v>
      </c>
      <c r="X533" s="557">
        <v>1</v>
      </c>
      <c r="Y533" s="557"/>
      <c r="Z533" s="557"/>
      <c r="AA533" s="557"/>
      <c r="AB533" s="557"/>
      <c r="AC533" s="557"/>
      <c r="AD533" s="557"/>
      <c r="AE533" s="557"/>
      <c r="AF533" s="557"/>
      <c r="AG533" s="557">
        <v>1</v>
      </c>
      <c r="AH533" s="557"/>
      <c r="AI533" s="557">
        <v>1</v>
      </c>
      <c r="AJ533" s="557"/>
      <c r="AK533" s="557">
        <v>15</v>
      </c>
      <c r="AL533" s="557"/>
      <c r="AM533" s="557"/>
      <c r="AN533" s="557"/>
      <c r="AO533" s="563"/>
      <c r="AP533" s="557">
        <v>10</v>
      </c>
      <c r="AQ533" s="557"/>
      <c r="AR533" s="559"/>
      <c r="AS533" s="557">
        <v>4</v>
      </c>
      <c r="AT533" s="557">
        <v>4</v>
      </c>
      <c r="AU533" s="557">
        <v>4</v>
      </c>
      <c r="AV533" s="557"/>
      <c r="AW533" s="557"/>
      <c r="AX533" s="554" t="s">
        <v>43</v>
      </c>
      <c r="AY533" s="563" t="s">
        <v>144</v>
      </c>
      <c r="AZ533" s="557"/>
      <c r="BA533" s="557"/>
      <c r="BB533" s="557"/>
      <c r="BC533" s="554"/>
      <c r="BD533" s="557">
        <v>4</v>
      </c>
      <c r="BE533" s="557">
        <v>2</v>
      </c>
      <c r="BF533" s="557"/>
      <c r="BG533" s="557">
        <v>0</v>
      </c>
      <c r="BH533" s="557"/>
      <c r="BI533" s="557"/>
      <c r="BJ533" s="557">
        <v>1</v>
      </c>
      <c r="BK533" s="557">
        <v>36</v>
      </c>
      <c r="BL533" s="557">
        <v>0</v>
      </c>
      <c r="BM533" s="554"/>
      <c r="BN533" s="558"/>
      <c r="BO533" s="559">
        <v>0.5</v>
      </c>
      <c r="BP533" s="554"/>
      <c r="BQ533" s="560">
        <f>IFERROR(WWWW[[#This Row],['#_Water sources treated]]/WWWW[[#This Row],['#_Water sources tested for contamination]],"no test")</f>
        <v>0</v>
      </c>
      <c r="BR533" s="559">
        <f>IFERROR(WWWW[[#This Row],['#_Household received remediation action due to contamination]]/WWWW[[#This Row],['#_Household water samples tested for contamination]],"no test")</f>
        <v>0</v>
      </c>
      <c r="BS533" s="558" t="str">
        <f>IF(AND(WWWW[[#This Row],[% of water sources treated]]="no test",WWWW[[#This Row],[% Household received corrective actions]]="no test"),"No Test","Tested")</f>
        <v>Tested</v>
      </c>
      <c r="BT533" s="558">
        <f>WWWW[[#This Row],['#_Constructed/existing protected hand dug well]]-WWWW[[#This Row],['#_Non-functional protected hand dug well]]</f>
        <v>0</v>
      </c>
      <c r="BU533" s="558">
        <f>(WWWW[[#This Row],['#_Constructed/Existing tube wells/boreholes/handpumps_WASH_agency]]+WWWW[[#This Row],['#_Non-Cluster partner water tube-wells/boreholes/handpumps]])-WWWW[[#This Row],['#_Non-functional tube wells/boreholes/handpumps]]</f>
        <v>2</v>
      </c>
      <c r="BV533" s="558">
        <f>WWWW[[#This Row],['#_Constructed/Existingwater storage tank with gravity fed reticulation system]]-WWWW[[#This Row],['#_Non-functional storage tank gravity fed reticulation system]]</f>
        <v>0</v>
      </c>
      <c r="BW533" s="558">
        <f>WWWW[[#This Row],['#_Water boating or water trucking]]</f>
        <v>0</v>
      </c>
      <c r="BX533" s="558">
        <f>WWWW[[#This Row],['#_Constructed/Existing water distribution system from river or natural spring]]</f>
        <v>0</v>
      </c>
      <c r="BY533"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3"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3" s="559">
        <f>IF(WWWW[[#This Row],[Location Type 1]]="Village",WWWW[[#This Row],[Access to safe drinking water for Village]],WWWW[[#This Row],[Access to safe drinking water for Camp]])</f>
        <v>1</v>
      </c>
      <c r="CB533" s="556">
        <f>WWWW[[#This Row],[%Equitable and continuous access to sufficient quantity of safe drinking water]]*WWWW[[#This Row],[Total PoP ]]</f>
        <v>121</v>
      </c>
      <c r="CC533" s="559">
        <f>IF((WWWW[[#This Row],['#_Constructed/Existing protected/fenced ponds]]*250)/WWWW[[#This Row],[Total PoP ]]&gt;1,1,(WWWW[[#This Row],['#_Constructed/Existing protected/fenced ponds]]*250)/WWWW[[#This Row],[Total PoP ]])</f>
        <v>0</v>
      </c>
      <c r="CD533" s="556">
        <f>WWWW[[#This Row],[% Access to unimproved water points]]*WWWW[[#This Row],[Total PoP ]]</f>
        <v>0</v>
      </c>
      <c r="CE533"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3"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v>
      </c>
      <c r="CG533" s="556">
        <f>WWWW[[#This Row],[HRP1]]/500</f>
        <v>0.24199999999999999</v>
      </c>
      <c r="CH533" s="561">
        <f>1-WWWW[[#This Row],[% Equitable and continuous access to sufficient quantity of domestic water]]</f>
        <v>0</v>
      </c>
      <c r="CI533" s="556">
        <f>WWWW[[#This Row],[%equitable and continuous access to sufficient quantity of safe drinking and domestic water''s GAP]]*WWWW[[#This Row],[Total PoP ]]</f>
        <v>0</v>
      </c>
      <c r="CJ533" s="558">
        <f>IF(WWWW[[#This Row],[Total required water points]]-WWWW[[#This Row],['#Water points coverage]]&lt;0,0,WWWW[[#This Row],[Total required water points]]-WWWW[[#This Row],['#Water points coverage]])</f>
        <v>0.75800000000000001</v>
      </c>
      <c r="CK533" s="558">
        <f>ROUND(IF(WWWW[[#This Row],[Total PoP ]]&lt;500,1,WWWW[[#This Row],[Total PoP ]]/500),0)</f>
        <v>1</v>
      </c>
      <c r="CL533" s="558">
        <f>(WWWW[[#This Row],['#_Constructed latrines_by_WASHAgencies]]+WWWW[[#This Row],['#_Non Cluster partner latrines]])-WWWW[[#This Row],['#_Non-functional latrines]]</f>
        <v>6</v>
      </c>
      <c r="CM533"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0.99173553719008267</v>
      </c>
      <c r="CN533"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533"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P533" s="558">
        <f>IF(WWWW[[#This Row],[Location Type 1]]="Village","NA",IF(WWWW[[#This Row],['#_Constructed/Existing latrines in TLS]]*50&gt;WWWW[[#This Row],['#_students at TLS_CFS]],WWWW[[#This Row],['#_students at TLS_CFS]],(WWWW[[#This Row],['#_Constructed/Existing latrines in TLS]]*50)))</f>
        <v>0</v>
      </c>
      <c r="CQ533" s="558">
        <f>ROUND(IF(WWWW[[#This Row],[Location Type 1]]="camp",WWWW[[#This Row],[Total PoP ]]/20,IF(WWWW[[#This Row],[Location Type 1]]="Temporary Location",WWWW[[#This Row],[Total PoP ]]/50,(WWWW[[#This Row],[Total PoP ]]/6))),0)</f>
        <v>6</v>
      </c>
      <c r="CR533" s="558">
        <f>IF(WWWW[[#This Row],[Total required Latrines]]-(WWWW[[#This Row],['#_Constructed latrines_by_WASHAgencies]]+WWWW[[#This Row],['#_Non Cluster partner latrines]])&lt;0,0,WWWW[[#This Row],[Total required Latrines]]-(WWWW[[#This Row],['#_Constructed latrines_by_WASHAgencies]]+WWWW[[#This Row],['#_Non Cluster partner latrines]]))</f>
        <v>0</v>
      </c>
      <c r="CS533" s="78">
        <f>1-WWWW[[#This Row],[% people access to functioning Latrine]]</f>
        <v>8.2644628099173278E-3</v>
      </c>
      <c r="CT533" s="560">
        <f>IF(OR(WWWW[[#This Row],['#_Non-functional latrines]]="",WWWW[[#This Row],['#_Non-functional latrines]]=0),0,WWWW[[#This Row],['#_Non-functional latrines]]/(WWWW[[#This Row],['#_Constructed latrines_by_WASHAgencies]]+WWWW[[#This Row],['#_Non Cluster partner latrines]]))</f>
        <v>0.4</v>
      </c>
      <c r="CU533" s="556">
        <f>IF(500*(WWWW[[#This Row],['#_male hygiene promoters]]+WWWW[[#This Row],['#_female hygiene promoters]])&gt;WWWW[[#This Row],[Total PoP ]],WWWW[[#This Row],[Total PoP ]],500*(WWWW[[#This Row],['#_male hygiene promoters]]+WWWW[[#This Row],['#_female hygiene promoters]]))</f>
        <v>121</v>
      </c>
      <c r="CV533"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121</v>
      </c>
      <c r="CW533"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3" s="558">
        <f>IF(WWWW[[#This Row],['# People with access to soap]]&gt;WWWW[[#This Row],['# People with access to Sanity Pads]],WWWW[[#This Row],['# People with access to soap]],WWWW[[#This Row],['# People with access to Sanity Pads]])</f>
        <v>121</v>
      </c>
      <c r="CY533" s="558">
        <f>IF(WWWW[[#This Row],['# people reached by regular dedicated hygiene promotion_5]]&gt;WWWW[[#This Row],['# People received regular supply of hygiene items_6]],WWWW[[#This Row],['# people reached by regular dedicated hygiene promotion_5]],WWWW[[#This Row],['# People received regular supply of hygiene items_6]])</f>
        <v>121</v>
      </c>
      <c r="CZ533" s="561">
        <f>IF(WWWW[[#This Row],[HRP3]]/WWWW[[#This Row],[Total PoP ]]&gt;100%,100%,WWWW[[#This Row],[HRP3]]/WWWW[[#This Row],[Total PoP ]])</f>
        <v>1</v>
      </c>
      <c r="DA533" s="560">
        <f>1-WWWW[[#This Row],[Hygiene Coverage%]]</f>
        <v>0</v>
      </c>
      <c r="DB533" s="559">
        <f>WWWW[[#This Row],['# people reached by regular dedicated hygiene promotion_5]]/WWWW[[#This Row],[Total PoP ]]</f>
        <v>1</v>
      </c>
      <c r="DC533" s="559">
        <f>IF(WWWW[[#This Row],['#_households that received standard amount of soap for this quarter]]/WWWW[[#This Row],[Total HH]]&gt;1,1,WWWW[[#This Row],['#_households that received standard amount of soap for this quarter]]/WWWW[[#This Row],[Total HH]])</f>
        <v>1</v>
      </c>
      <c r="DD533" s="559">
        <f>IF(WWWW[[#This Row],['#_households that received standard amount of sanitary pads for this quarter]]/WWWW[[#This Row],[Total HH]]&gt;1,1,WWWW[[#This Row],['#_households that received standard amount of sanitary pads for this quarter]]/WWWW[[#This Row],[Total HH]])</f>
        <v>0</v>
      </c>
      <c r="DE533" s="558">
        <f>WWWW[[#This Row],['#_Constructed/Existing hand washing stations]]-WWWW[[#This Row],['#_Non-Functional_hand_washing_stations]]</f>
        <v>2</v>
      </c>
      <c r="DF533" s="757">
        <f>IF(WWWW[[#This Row],['# Functional hand washing stations during reporting period]]*20&gt;WWWW[[#This Row],[Total HH]],WWWW[[#This Row],[Total HH]],WWWW[[#This Row],['# Functional hand washing stations during reporting period]]*20)</f>
        <v>36</v>
      </c>
      <c r="DG533" s="556">
        <f>IF(WWWW[[#This Row],[Is sufficient soap available for TLS? (Yes/No)]]="yes",WWWW[[#This Row],['#_Constructed/Existing hand washing stations at TLS]],0)</f>
        <v>0</v>
      </c>
      <c r="DH533" s="556">
        <f>IF(WWWW[[#This Row],['# Functional hand washing stations during reporting period]]*100&gt;WWWW[[#This Row],[Total PoP ]],WWWW[[#This Row],[Total PoP ]],WWWW[[#This Row],['# Functional hand washing stations during reporting period]]*100)</f>
        <v>121</v>
      </c>
      <c r="DI533" s="556" t="str">
        <f>IF(OR(WWWW[[#This Row],['#_students at TLS_CFS]]="",WWWW[[#This Row],['#_students at TLS_CFS]]=0),"No","Yes")</f>
        <v>Yes</v>
      </c>
      <c r="DJ533" s="554" t="str">
        <f>VLOOKUP(WWWW[[#This Row],[Site Name]],SiteDB6[[Site Name]:[CCCM Management]],6,FALSE)</f>
        <v>Yes</v>
      </c>
      <c r="DK533" s="554" t="str">
        <f>VLOOKUP(WWWW[[#This Row],[Site Name]],SiteDB6[[Site Name]:[CCCM Focal Agency]],7,FALSE)</f>
        <v>KMSS-LSO</v>
      </c>
      <c r="DL533" s="554" t="str">
        <f>VLOOKUP(WWWW[[#This Row],[Site Name]],SiteDB6[[Site Name]:[Location Type 1]],9,FALSE)</f>
        <v>Camp</v>
      </c>
      <c r="DM533" s="554" t="str">
        <f>VLOOKUP(WWWW[[#This Row],[Site Name]],SiteDB6[[Site Name]:[Type of Accommodation]],10,FALSE)</f>
        <v>Camp</v>
      </c>
      <c r="DN533" s="554" t="str">
        <f>VLOOKUP(WWWW[[#This Row],[Site Name]],SiteDB6[[Site Name]:[Ethnic or GCA/NGCA]],11,FALSE)</f>
        <v>GCA</v>
      </c>
      <c r="DO533" s="554">
        <f>VLOOKUP(WWWW[[#This Row],[Site Name]],SiteDB6[[Site Name]:[Lat]],12,FALSE)</f>
        <v>23.682887999999998</v>
      </c>
      <c r="DP533" s="554">
        <f>VLOOKUP(WWWW[[#This Row],[Site Name]],SiteDB6[[Site Name]:[Long]],13,FALSE)</f>
        <v>97.810101000000003</v>
      </c>
      <c r="DQ533" s="554" t="str">
        <f>VLOOKUP(WWWW[[#This Row],[Site Name]],SiteDB6[[Site Name]:[Pcode]],3,FALSE)</f>
        <v>MMR015CMP225</v>
      </c>
      <c r="DR533" s="563" t="str">
        <f t="shared" si="18"/>
        <v>Covered</v>
      </c>
      <c r="DS533" s="563"/>
    </row>
    <row r="534" spans="1:123">
      <c r="A534" s="552" t="s">
        <v>2518</v>
      </c>
      <c r="B534" s="555" t="s">
        <v>200</v>
      </c>
      <c r="C534" s="555" t="s">
        <v>200</v>
      </c>
      <c r="D534" s="555" t="s">
        <v>2963</v>
      </c>
      <c r="E534" s="555" t="s">
        <v>716</v>
      </c>
      <c r="F534" s="555" t="s">
        <v>735</v>
      </c>
      <c r="G534" s="574" t="str">
        <f>VLOOKUP(WWWW[[#This Row],[Site Name]],SiteDB6[[Site Name]:[Location Type]],8,FALSE)</f>
        <v>Camp</v>
      </c>
      <c r="H534" s="555" t="s">
        <v>736</v>
      </c>
      <c r="I534" s="557">
        <v>36</v>
      </c>
      <c r="J534" s="557">
        <v>166</v>
      </c>
      <c r="K534" s="564" t="s">
        <v>2964</v>
      </c>
      <c r="L534" s="565" t="s">
        <v>2965</v>
      </c>
      <c r="M534" s="557">
        <v>57</v>
      </c>
      <c r="N534" s="557"/>
      <c r="O534" s="557"/>
      <c r="P534" s="557"/>
      <c r="Q534" s="556" t="s">
        <v>43</v>
      </c>
      <c r="R534" s="557"/>
      <c r="S534" s="557"/>
      <c r="T534" s="557">
        <v>3</v>
      </c>
      <c r="U534" s="557">
        <v>1</v>
      </c>
      <c r="V534" s="557"/>
      <c r="W534" s="557">
        <v>1</v>
      </c>
      <c r="X534" s="557"/>
      <c r="Y534" s="557"/>
      <c r="Z534" s="557"/>
      <c r="AA534" s="557"/>
      <c r="AB534" s="557"/>
      <c r="AC534" s="557"/>
      <c r="AD534" s="557"/>
      <c r="AE534" s="557"/>
      <c r="AF534" s="557"/>
      <c r="AG534" s="557"/>
      <c r="AH534" s="557"/>
      <c r="AI534" s="557"/>
      <c r="AJ534" s="557"/>
      <c r="AK534" s="557"/>
      <c r="AL534" s="557"/>
      <c r="AM534" s="557"/>
      <c r="AN534" s="557"/>
      <c r="AO534" s="563"/>
      <c r="AP534" s="557">
        <v>20</v>
      </c>
      <c r="AQ534" s="557"/>
      <c r="AR534" s="559"/>
      <c r="AS534" s="557">
        <v>2</v>
      </c>
      <c r="AT534" s="557"/>
      <c r="AU534" s="557"/>
      <c r="AV534" s="557"/>
      <c r="AW534" s="557"/>
      <c r="AX534" s="554" t="s">
        <v>43</v>
      </c>
      <c r="AY534" s="563" t="s">
        <v>145</v>
      </c>
      <c r="AZ534" s="557"/>
      <c r="BA534" s="557"/>
      <c r="BB534" s="557"/>
      <c r="BC534" s="554"/>
      <c r="BD534" s="557"/>
      <c r="BE534" s="557"/>
      <c r="BF534" s="557"/>
      <c r="BG534" s="557">
        <v>2</v>
      </c>
      <c r="BH534" s="557"/>
      <c r="BI534" s="557"/>
      <c r="BJ534" s="557">
        <v>1</v>
      </c>
      <c r="BK534" s="557">
        <v>0</v>
      </c>
      <c r="BL534" s="557">
        <v>0</v>
      </c>
      <c r="BM534" s="554" t="s">
        <v>144</v>
      </c>
      <c r="BN534" s="558"/>
      <c r="BO534" s="559"/>
      <c r="BP534" s="554"/>
      <c r="BQ534" s="560" t="str">
        <f>IFERROR(WWWW[[#This Row],['#_Water sources treated]]/WWWW[[#This Row],['#_Water sources tested for contamination]],"no test")</f>
        <v>no test</v>
      </c>
      <c r="BR534" s="559" t="str">
        <f>IFERROR(WWWW[[#This Row],['#_Household received remediation action due to contamination]]/WWWW[[#This Row],['#_Household water samples tested for contamination]],"no test")</f>
        <v>no test</v>
      </c>
      <c r="BS534" s="558" t="str">
        <f>IF(AND(WWWW[[#This Row],[% of water sources treated]]="no test",WWWW[[#This Row],[% Household received corrective actions]]="no test"),"No Test","Tested")</f>
        <v>No Test</v>
      </c>
      <c r="BT534" s="558">
        <f>WWWW[[#This Row],['#_Constructed/existing protected hand dug well]]-WWWW[[#This Row],['#_Non-functional protected hand dug well]]</f>
        <v>2</v>
      </c>
      <c r="BU534" s="558">
        <f>(WWWW[[#This Row],['#_Constructed/Existing tube wells/boreholes/handpumps_WASH_agency]]+WWWW[[#This Row],['#_Non-Cluster partner water tube-wells/boreholes/handpumps]])-WWWW[[#This Row],['#_Non-functional tube wells/boreholes/handpumps]]</f>
        <v>1</v>
      </c>
      <c r="BV534" s="558">
        <f>WWWW[[#This Row],['#_Constructed/Existingwater storage tank with gravity fed reticulation system]]-WWWW[[#This Row],['#_Non-functional storage tank gravity fed reticulation system]]</f>
        <v>0</v>
      </c>
      <c r="BW534" s="558">
        <f>WWWW[[#This Row],['#_Water boating or water trucking]]</f>
        <v>0</v>
      </c>
      <c r="BX534" s="558">
        <f>WWWW[[#This Row],['#_Constructed/Existing water distribution system from river or natural spring]]</f>
        <v>0</v>
      </c>
      <c r="BY534"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4"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4" s="559">
        <f>IF(WWWW[[#This Row],[Location Type 1]]="Village",WWWW[[#This Row],[Access to safe drinking water for Village]],WWWW[[#This Row],[Access to safe drinking water for Camp]])</f>
        <v>1</v>
      </c>
      <c r="CB534" s="556">
        <f>WWWW[[#This Row],[%Equitable and continuous access to sufficient quantity of safe drinking water]]*WWWW[[#This Row],[Total PoP ]]</f>
        <v>166</v>
      </c>
      <c r="CC534" s="559">
        <f>IF((WWWW[[#This Row],['#_Constructed/Existing protected/fenced ponds]]*250)/WWWW[[#This Row],[Total PoP ]]&gt;1,1,(WWWW[[#This Row],['#_Constructed/Existing protected/fenced ponds]]*250)/WWWW[[#This Row],[Total PoP ]])</f>
        <v>0</v>
      </c>
      <c r="CD534" s="556">
        <f>WWWW[[#This Row],[% Access to unimproved water points]]*WWWW[[#This Row],[Total PoP ]]</f>
        <v>0</v>
      </c>
      <c r="CE534"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4"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G534" s="556">
        <f>WWWW[[#This Row],[HRP1]]/500</f>
        <v>0.33200000000000002</v>
      </c>
      <c r="CH534" s="561">
        <f>1-WWWW[[#This Row],[% Equitable and continuous access to sufficient quantity of domestic water]]</f>
        <v>0</v>
      </c>
      <c r="CI534" s="556">
        <f>WWWW[[#This Row],[%equitable and continuous access to sufficient quantity of safe drinking and domestic water''s GAP]]*WWWW[[#This Row],[Total PoP ]]</f>
        <v>0</v>
      </c>
      <c r="CJ534" s="558">
        <f>IF(WWWW[[#This Row],[Total required water points]]-WWWW[[#This Row],['#Water points coverage]]&lt;0,0,WWWW[[#This Row],[Total required water points]]-WWWW[[#This Row],['#Water points coverage]])</f>
        <v>0.66799999999999993</v>
      </c>
      <c r="CK534" s="558">
        <f>ROUND(IF(WWWW[[#This Row],[Total PoP ]]&lt;500,1,WWWW[[#This Row],[Total PoP ]]/500),0)</f>
        <v>1</v>
      </c>
      <c r="CL534" s="558">
        <f>(WWWW[[#This Row],['#_Constructed latrines_by_WASHAgencies]]+WWWW[[#This Row],['#_Non Cluster partner latrines]])-WWWW[[#This Row],['#_Non-functional latrines]]</f>
        <v>18</v>
      </c>
      <c r="CM534"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34"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166</v>
      </c>
      <c r="CO534"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4" s="558">
        <f>IF(WWWW[[#This Row],[Location Type 1]]="Village","NA",IF(WWWW[[#This Row],['#_Constructed/Existing latrines in TLS]]*50&gt;WWWW[[#This Row],['#_students at TLS_CFS]],WWWW[[#This Row],['#_students at TLS_CFS]],(WWWW[[#This Row],['#_Constructed/Existing latrines in TLS]]*50)))</f>
        <v>0</v>
      </c>
      <c r="CQ534" s="558">
        <f>ROUND(IF(WWWW[[#This Row],[Location Type 1]]="camp",WWWW[[#This Row],[Total PoP ]]/20,IF(WWWW[[#This Row],[Location Type 1]]="Temporary Location",WWWW[[#This Row],[Total PoP ]]/50,(WWWW[[#This Row],[Total PoP ]]/6))),0)</f>
        <v>8</v>
      </c>
      <c r="CR534" s="558">
        <f>IF(WWWW[[#This Row],[Total required Latrines]]-(WWWW[[#This Row],['#_Constructed latrines_by_WASHAgencies]]+WWWW[[#This Row],['#_Non Cluster partner latrines]])&lt;0,0,WWWW[[#This Row],[Total required Latrines]]-(WWWW[[#This Row],['#_Constructed latrines_by_WASHAgencies]]+WWWW[[#This Row],['#_Non Cluster partner latrines]]))</f>
        <v>0</v>
      </c>
      <c r="CS534" s="78">
        <f>1-WWWW[[#This Row],[% people access to functioning Latrine]]</f>
        <v>0</v>
      </c>
      <c r="CT534" s="560">
        <f>IF(OR(WWWW[[#This Row],['#_Non-functional latrines]]="",WWWW[[#This Row],['#_Non-functional latrines]]=0),0,WWWW[[#This Row],['#_Non-functional latrines]]/(WWWW[[#This Row],['#_Constructed latrines_by_WASHAgencies]]+WWWW[[#This Row],['#_Non Cluster partner latrines]]))</f>
        <v>0.1</v>
      </c>
      <c r="CU534" s="556">
        <f>IF(500*(WWWW[[#This Row],['#_male hygiene promoters]]+WWWW[[#This Row],['#_female hygiene promoters]])&gt;WWWW[[#This Row],[Total PoP ]],WWWW[[#This Row],[Total PoP ]],500*(WWWW[[#This Row],['#_male hygiene promoters]]+WWWW[[#This Row],['#_female hygiene promoters]]))</f>
        <v>166</v>
      </c>
      <c r="CV534"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4"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4" s="558">
        <f>IF(WWWW[[#This Row],['# People with access to soap]]&gt;WWWW[[#This Row],['# People with access to Sanity Pads]],WWWW[[#This Row],['# People with access to soap]],WWWW[[#This Row],['# People with access to Sanity Pads]])</f>
        <v>0</v>
      </c>
      <c r="CY534" s="558">
        <f>IF(WWWW[[#This Row],['# people reached by regular dedicated hygiene promotion_5]]&gt;WWWW[[#This Row],['# People received regular supply of hygiene items_6]],WWWW[[#This Row],['# people reached by regular dedicated hygiene promotion_5]],WWWW[[#This Row],['# People received regular supply of hygiene items_6]])</f>
        <v>166</v>
      </c>
      <c r="CZ534" s="561">
        <f>IF(WWWW[[#This Row],[HRP3]]/WWWW[[#This Row],[Total PoP ]]&gt;100%,100%,WWWW[[#This Row],[HRP3]]/WWWW[[#This Row],[Total PoP ]])</f>
        <v>1</v>
      </c>
      <c r="DA534" s="560">
        <f>1-WWWW[[#This Row],[Hygiene Coverage%]]</f>
        <v>0</v>
      </c>
      <c r="DB534" s="559">
        <f>WWWW[[#This Row],['# people reached by regular dedicated hygiene promotion_5]]/WWWW[[#This Row],[Total PoP ]]</f>
        <v>1</v>
      </c>
      <c r="DC534" s="559">
        <f>IF(WWWW[[#This Row],['#_households that received standard amount of soap for this quarter]]/WWWW[[#This Row],[Total HH]]&gt;1,1,WWWW[[#This Row],['#_households that received standard amount of soap for this quarter]]/WWWW[[#This Row],[Total HH]])</f>
        <v>0</v>
      </c>
      <c r="DD534" s="559">
        <f>IF(WWWW[[#This Row],['#_households that received standard amount of sanitary pads for this quarter]]/WWWW[[#This Row],[Total HH]]&gt;1,1,WWWW[[#This Row],['#_households that received standard amount of sanitary pads for this quarter]]/WWWW[[#This Row],[Total HH]])</f>
        <v>0</v>
      </c>
      <c r="DE534" s="558">
        <f>WWWW[[#This Row],['#_Constructed/Existing hand washing stations]]-WWWW[[#This Row],['#_Non-Functional_hand_washing_stations]]</f>
        <v>0</v>
      </c>
      <c r="DF534" s="757">
        <f>IF(WWWW[[#This Row],['# Functional hand washing stations during reporting period]]*20&gt;WWWW[[#This Row],[Total HH]],WWWW[[#This Row],[Total HH]],WWWW[[#This Row],['# Functional hand washing stations during reporting period]]*20)</f>
        <v>0</v>
      </c>
      <c r="DG534" s="556">
        <f>IF(WWWW[[#This Row],[Is sufficient soap available for TLS? (Yes/No)]]="yes",WWWW[[#This Row],['#_Constructed/Existing hand washing stations at TLS]],0)</f>
        <v>0</v>
      </c>
      <c r="DH534" s="556">
        <f>IF(WWWW[[#This Row],['# Functional hand washing stations during reporting period]]*100&gt;WWWW[[#This Row],[Total PoP ]],WWWW[[#This Row],[Total PoP ]],WWWW[[#This Row],['# Functional hand washing stations during reporting period]]*100)</f>
        <v>0</v>
      </c>
      <c r="DI534" s="556" t="str">
        <f>IF(OR(WWWW[[#This Row],['#_students at TLS_CFS]]="",WWWW[[#This Row],['#_students at TLS_CFS]]=0),"No","Yes")</f>
        <v>Yes</v>
      </c>
      <c r="DJ534" s="554" t="str">
        <f>VLOOKUP(WWWW[[#This Row],[Site Name]],SiteDB6[[Site Name]:[CCCM Management]],6,FALSE)</f>
        <v>Yes</v>
      </c>
      <c r="DK534" s="554" t="str">
        <f>VLOOKUP(WWWW[[#This Row],[Site Name]],SiteDB6[[Site Name]:[CCCM Focal Agency]],7,FALSE)</f>
        <v>KBC-NSS</v>
      </c>
      <c r="DL534" s="554" t="str">
        <f>VLOOKUP(WWWW[[#This Row],[Site Name]],SiteDB6[[Site Name]:[Location Type 1]],9,FALSE)</f>
        <v>Camp</v>
      </c>
      <c r="DM534" s="554" t="str">
        <f>VLOOKUP(WWWW[[#This Row],[Site Name]],SiteDB6[[Site Name]:[Type of Accommodation]],10,FALSE)</f>
        <v>Camp</v>
      </c>
      <c r="DN534" s="554" t="str">
        <f>VLOOKUP(WWWW[[#This Row],[Site Name]],SiteDB6[[Site Name]:[Ethnic or GCA/NGCA]],11,FALSE)</f>
        <v>GCA</v>
      </c>
      <c r="DO534" s="554">
        <f>VLOOKUP(WWWW[[#This Row],[Site Name]],SiteDB6[[Site Name]:[Lat]],12,FALSE)</f>
        <v>23.354268999999999</v>
      </c>
      <c r="DP534" s="554">
        <f>VLOOKUP(WWWW[[#This Row],[Site Name]],SiteDB6[[Site Name]:[Long]],13,FALSE)</f>
        <v>98.218626999999998</v>
      </c>
      <c r="DQ534" s="554" t="str">
        <f>VLOOKUP(WWWW[[#This Row],[Site Name]],SiteDB6[[Site Name]:[Pcode]],3,FALSE)</f>
        <v>MMR015CMP218</v>
      </c>
      <c r="DR534" s="563" t="str">
        <f t="shared" si="18"/>
        <v>Covered</v>
      </c>
      <c r="DS534" s="563"/>
    </row>
    <row r="535" spans="1:123" ht="20.25">
      <c r="A535" s="552" t="s">
        <v>2518</v>
      </c>
      <c r="B535" s="555" t="s">
        <v>200</v>
      </c>
      <c r="C535" s="555" t="s">
        <v>200</v>
      </c>
      <c r="D535" s="555" t="s">
        <v>2963</v>
      </c>
      <c r="E535" s="555" t="s">
        <v>716</v>
      </c>
      <c r="F535" s="555" t="s">
        <v>737</v>
      </c>
      <c r="G535" s="574" t="str">
        <f>VLOOKUP(WWWW[[#This Row],[Site Name]],SiteDB6[[Site Name]:[Location Type]],8,FALSE)</f>
        <v>Camp</v>
      </c>
      <c r="H535" s="555" t="s">
        <v>748</v>
      </c>
      <c r="I535" s="557">
        <v>57</v>
      </c>
      <c r="J535" s="557">
        <v>263</v>
      </c>
      <c r="K535" s="564" t="s">
        <v>2964</v>
      </c>
      <c r="L535" s="565" t="s">
        <v>2965</v>
      </c>
      <c r="M535" s="557">
        <v>65</v>
      </c>
      <c r="N535" s="557"/>
      <c r="O535" s="557"/>
      <c r="P535" s="557"/>
      <c r="Q535" s="556" t="s">
        <v>43</v>
      </c>
      <c r="R535" s="557"/>
      <c r="S535" s="557"/>
      <c r="T535" s="557"/>
      <c r="U535" s="557"/>
      <c r="V535" s="557"/>
      <c r="W535" s="557"/>
      <c r="X535" s="557"/>
      <c r="Y535" s="557"/>
      <c r="Z535" s="557"/>
      <c r="AA535" s="557"/>
      <c r="AB535" s="557"/>
      <c r="AC535" s="557"/>
      <c r="AD535" s="557"/>
      <c r="AE535" s="557"/>
      <c r="AF535" s="557">
        <v>1</v>
      </c>
      <c r="AG535" s="557"/>
      <c r="AH535" s="557"/>
      <c r="AI535" s="557"/>
      <c r="AJ535" s="557"/>
      <c r="AK535" s="557"/>
      <c r="AL535" s="557"/>
      <c r="AM535" s="557"/>
      <c r="AN535" s="557"/>
      <c r="AO535" s="563"/>
      <c r="AP535" s="557">
        <v>8</v>
      </c>
      <c r="AQ535" s="557"/>
      <c r="AR535" s="559"/>
      <c r="AS535" s="557"/>
      <c r="AT535" s="557"/>
      <c r="AU535" s="557"/>
      <c r="AV535" s="557"/>
      <c r="AW535" s="557"/>
      <c r="AX535" s="554" t="s">
        <v>43</v>
      </c>
      <c r="AY535" s="563" t="s">
        <v>144</v>
      </c>
      <c r="AZ535" s="557"/>
      <c r="BA535" s="557"/>
      <c r="BB535" s="557"/>
      <c r="BC535" s="591" t="s">
        <v>2966</v>
      </c>
      <c r="BD535" s="557">
        <v>4</v>
      </c>
      <c r="BE535" s="557"/>
      <c r="BF535" s="557"/>
      <c r="BG535" s="557">
        <v>3</v>
      </c>
      <c r="BH535" s="557"/>
      <c r="BI535" s="557"/>
      <c r="BJ535" s="557">
        <v>1</v>
      </c>
      <c r="BK535" s="557">
        <v>0</v>
      </c>
      <c r="BL535" s="557">
        <v>0</v>
      </c>
      <c r="BM535" s="554"/>
      <c r="BN535" s="558"/>
      <c r="BO535" s="559"/>
      <c r="BP535" s="554"/>
      <c r="BQ535" s="560" t="str">
        <f>IFERROR(WWWW[[#This Row],['#_Water sources treated]]/WWWW[[#This Row],['#_Water sources tested for contamination]],"no test")</f>
        <v>no test</v>
      </c>
      <c r="BR535" s="559" t="str">
        <f>IFERROR(WWWW[[#This Row],['#_Household received remediation action due to contamination]]/WWWW[[#This Row],['#_Household water samples tested for contamination]],"no test")</f>
        <v>no test</v>
      </c>
      <c r="BS535" s="558" t="str">
        <f>IF(AND(WWWW[[#This Row],[% of water sources treated]]="no test",WWWW[[#This Row],[% Household received corrective actions]]="no test"),"No Test","Tested")</f>
        <v>No Test</v>
      </c>
      <c r="BT535" s="558">
        <f>WWWW[[#This Row],['#_Constructed/existing protected hand dug well]]-WWWW[[#This Row],['#_Non-functional protected hand dug well]]</f>
        <v>0</v>
      </c>
      <c r="BU535" s="558">
        <f>(WWWW[[#This Row],['#_Constructed/Existing tube wells/boreholes/handpumps_WASH_agency]]+WWWW[[#This Row],['#_Non-Cluster partner water tube-wells/boreholes/handpumps]])-WWWW[[#This Row],['#_Non-functional tube wells/boreholes/handpumps]]</f>
        <v>0</v>
      </c>
      <c r="BV535" s="558">
        <f>WWWW[[#This Row],['#_Constructed/Existingwater storage tank with gravity fed reticulation system]]-WWWW[[#This Row],['#_Non-functional storage tank gravity fed reticulation system]]</f>
        <v>0</v>
      </c>
      <c r="BW535" s="558">
        <f>WWWW[[#This Row],['#_Water boating or water trucking]]</f>
        <v>0</v>
      </c>
      <c r="BX535" s="558">
        <f>WWWW[[#This Row],['#_Constructed/Existing water distribution system from river or natural spring]]</f>
        <v>1</v>
      </c>
      <c r="BY535"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2.5348542458808617E-4</v>
      </c>
      <c r="BZ535"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2.5348542458808617E-4</v>
      </c>
      <c r="CA535" s="559">
        <f>IF(WWWW[[#This Row],[Location Type 1]]="Village",WWWW[[#This Row],[Access to safe drinking water for Village]],WWWW[[#This Row],[Access to safe drinking water for Camp]])</f>
        <v>2.5348542458808617E-4</v>
      </c>
      <c r="CB535" s="556">
        <f>WWWW[[#This Row],[%Equitable and continuous access to sufficient quantity of safe drinking water]]*WWWW[[#This Row],[Total PoP ]]</f>
        <v>6.6666666666666666E-2</v>
      </c>
      <c r="CC535" s="559">
        <f>IF((WWWW[[#This Row],['#_Constructed/Existing protected/fenced ponds]]*250)/WWWW[[#This Row],[Total PoP ]]&gt;1,1,(WWWW[[#This Row],['#_Constructed/Existing protected/fenced ponds]]*250)/WWWW[[#This Row],[Total PoP ]])</f>
        <v>0</v>
      </c>
      <c r="CD535" s="556">
        <f>WWWW[[#This Row],[% Access to unimproved water points]]*WWWW[[#This Row],[Total PoP ]]</f>
        <v>0</v>
      </c>
      <c r="CE535"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2.5348542458808617E-4</v>
      </c>
      <c r="CF535"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6.6666666666666666E-2</v>
      </c>
      <c r="CG535" s="556">
        <f>WWWW[[#This Row],[HRP1]]/500</f>
        <v>1.3333333333333334E-4</v>
      </c>
      <c r="CH535" s="561">
        <f>1-WWWW[[#This Row],[% Equitable and continuous access to sufficient quantity of domestic water]]</f>
        <v>0.99974651457541186</v>
      </c>
      <c r="CI535" s="556">
        <f>WWWW[[#This Row],[%equitable and continuous access to sufficient quantity of safe drinking and domestic water''s GAP]]*WWWW[[#This Row],[Total PoP ]]</f>
        <v>262.93333333333334</v>
      </c>
      <c r="CJ535" s="558">
        <f>IF(WWWW[[#This Row],[Total required water points]]-WWWW[[#This Row],['#Water points coverage]]&lt;0,0,WWWW[[#This Row],[Total required water points]]-WWWW[[#This Row],['#Water points coverage]])</f>
        <v>0.99986666666666668</v>
      </c>
      <c r="CK535" s="558">
        <f>ROUND(IF(WWWW[[#This Row],[Total PoP ]]&lt;500,1,WWWW[[#This Row],[Total PoP ]]/500),0)</f>
        <v>1</v>
      </c>
      <c r="CL535" s="558">
        <f>(WWWW[[#This Row],['#_Constructed latrines_by_WASHAgencies]]+WWWW[[#This Row],['#_Non Cluster partner latrines]])-WWWW[[#This Row],['#_Non-functional latrines]]</f>
        <v>8</v>
      </c>
      <c r="CM535"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0.60836501901140683</v>
      </c>
      <c r="CN535"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35"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5" s="558">
        <f>IF(WWWW[[#This Row],[Location Type 1]]="Village","NA",IF(WWWW[[#This Row],['#_Constructed/Existing latrines in TLS]]*50&gt;WWWW[[#This Row],['#_students at TLS_CFS]],WWWW[[#This Row],['#_students at TLS_CFS]],(WWWW[[#This Row],['#_Constructed/Existing latrines in TLS]]*50)))</f>
        <v>0</v>
      </c>
      <c r="CQ535" s="558">
        <f>ROUND(IF(WWWW[[#This Row],[Location Type 1]]="camp",WWWW[[#This Row],[Total PoP ]]/20,IF(WWWW[[#This Row],[Location Type 1]]="Temporary Location",WWWW[[#This Row],[Total PoP ]]/50,(WWWW[[#This Row],[Total PoP ]]/6))),0)</f>
        <v>13</v>
      </c>
      <c r="CR535" s="558">
        <f>IF(WWWW[[#This Row],[Total required Latrines]]-(WWWW[[#This Row],['#_Constructed latrines_by_WASHAgencies]]+WWWW[[#This Row],['#_Non Cluster partner latrines]])&lt;0,0,WWWW[[#This Row],[Total required Latrines]]-(WWWW[[#This Row],['#_Constructed latrines_by_WASHAgencies]]+WWWW[[#This Row],['#_Non Cluster partner latrines]]))</f>
        <v>5</v>
      </c>
      <c r="CS535" s="78">
        <f>1-WWWW[[#This Row],[% people access to functioning Latrine]]</f>
        <v>0.39163498098859317</v>
      </c>
      <c r="CT535" s="560">
        <f>IF(OR(WWWW[[#This Row],['#_Non-functional latrines]]="",WWWW[[#This Row],['#_Non-functional latrines]]=0),0,WWWW[[#This Row],['#_Non-functional latrines]]/(WWWW[[#This Row],['#_Constructed latrines_by_WASHAgencies]]+WWWW[[#This Row],['#_Non Cluster partner latrines]]))</f>
        <v>0</v>
      </c>
      <c r="CU535" s="556">
        <f>IF(500*(WWWW[[#This Row],['#_male hygiene promoters]]+WWWW[[#This Row],['#_female hygiene promoters]])&gt;WWWW[[#This Row],[Total PoP ]],WWWW[[#This Row],[Total PoP ]],500*(WWWW[[#This Row],['#_male hygiene promoters]]+WWWW[[#This Row],['#_female hygiene promoters]]))</f>
        <v>263</v>
      </c>
      <c r="CV535"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5"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5" s="558">
        <f>IF(WWWW[[#This Row],['# People with access to soap]]&gt;WWWW[[#This Row],['# People with access to Sanity Pads]],WWWW[[#This Row],['# People with access to soap]],WWWW[[#This Row],['# People with access to Sanity Pads]])</f>
        <v>0</v>
      </c>
      <c r="CY535" s="558">
        <f>IF(WWWW[[#This Row],['# people reached by regular dedicated hygiene promotion_5]]&gt;WWWW[[#This Row],['# People received regular supply of hygiene items_6]],WWWW[[#This Row],['# people reached by regular dedicated hygiene promotion_5]],WWWW[[#This Row],['# People received regular supply of hygiene items_6]])</f>
        <v>263</v>
      </c>
      <c r="CZ535" s="561">
        <f>IF(WWWW[[#This Row],[HRP3]]/WWWW[[#This Row],[Total PoP ]]&gt;100%,100%,WWWW[[#This Row],[HRP3]]/WWWW[[#This Row],[Total PoP ]])</f>
        <v>1</v>
      </c>
      <c r="DA535" s="560">
        <f>1-WWWW[[#This Row],[Hygiene Coverage%]]</f>
        <v>0</v>
      </c>
      <c r="DB535" s="559">
        <f>WWWW[[#This Row],['# people reached by regular dedicated hygiene promotion_5]]/WWWW[[#This Row],[Total PoP ]]</f>
        <v>1</v>
      </c>
      <c r="DC535" s="559">
        <f>IF(WWWW[[#This Row],['#_households that received standard amount of soap for this quarter]]/WWWW[[#This Row],[Total HH]]&gt;1,1,WWWW[[#This Row],['#_households that received standard amount of soap for this quarter]]/WWWW[[#This Row],[Total HH]])</f>
        <v>0</v>
      </c>
      <c r="DD535" s="559">
        <f>IF(WWWW[[#This Row],['#_households that received standard amount of sanitary pads for this quarter]]/WWWW[[#This Row],[Total HH]]&gt;1,1,WWWW[[#This Row],['#_households that received standard amount of sanitary pads for this quarter]]/WWWW[[#This Row],[Total HH]])</f>
        <v>0</v>
      </c>
      <c r="DE535" s="558">
        <f>WWWW[[#This Row],['#_Constructed/Existing hand washing stations]]-WWWW[[#This Row],['#_Non-Functional_hand_washing_stations]]</f>
        <v>4</v>
      </c>
      <c r="DF535" s="757">
        <f>IF(WWWW[[#This Row],['# Functional hand washing stations during reporting period]]*20&gt;WWWW[[#This Row],[Total HH]],WWWW[[#This Row],[Total HH]],WWWW[[#This Row],['# Functional hand washing stations during reporting period]]*20)</f>
        <v>57</v>
      </c>
      <c r="DG535" s="556">
        <f>IF(WWWW[[#This Row],[Is sufficient soap available for TLS? (Yes/No)]]="yes",WWWW[[#This Row],['#_Constructed/Existing hand washing stations at TLS]],0)</f>
        <v>0</v>
      </c>
      <c r="DH535" s="556">
        <f>IF(WWWW[[#This Row],['# Functional hand washing stations during reporting period]]*100&gt;WWWW[[#This Row],[Total PoP ]],WWWW[[#This Row],[Total PoP ]],WWWW[[#This Row],['# Functional hand washing stations during reporting period]]*100)</f>
        <v>263</v>
      </c>
      <c r="DI535" s="556" t="str">
        <f>IF(OR(WWWW[[#This Row],['#_students at TLS_CFS]]="",WWWW[[#This Row],['#_students at TLS_CFS]]=0),"No","Yes")</f>
        <v>Yes</v>
      </c>
      <c r="DJ535" s="554" t="str">
        <f>VLOOKUP(WWWW[[#This Row],[Site Name]],SiteDB6[[Site Name]:[CCCM Management]],6,FALSE)</f>
        <v>Yes</v>
      </c>
      <c r="DK535" s="554" t="str">
        <f>VLOOKUP(WWWW[[#This Row],[Site Name]],SiteDB6[[Site Name]:[CCCM Focal Agency]],7,FALSE)</f>
        <v>KBC-NSS</v>
      </c>
      <c r="DL535" s="554" t="str">
        <f>VLOOKUP(WWWW[[#This Row],[Site Name]],SiteDB6[[Site Name]:[Location Type 1]],9,FALSE)</f>
        <v>Camp</v>
      </c>
      <c r="DM535" s="554" t="str">
        <f>VLOOKUP(WWWW[[#This Row],[Site Name]],SiteDB6[[Site Name]:[Type of Accommodation]],10,FALSE)</f>
        <v>Camp</v>
      </c>
      <c r="DN535" s="554" t="str">
        <f>VLOOKUP(WWWW[[#This Row],[Site Name]],SiteDB6[[Site Name]:[Ethnic or GCA/NGCA]],11,FALSE)</f>
        <v>GCA</v>
      </c>
      <c r="DO535" s="554">
        <f>VLOOKUP(WWWW[[#This Row],[Site Name]],SiteDB6[[Site Name]:[Lat]],12,FALSE)</f>
        <v>23.094290000000001</v>
      </c>
      <c r="DP535" s="554">
        <f>VLOOKUP(WWWW[[#This Row],[Site Name]],SiteDB6[[Site Name]:[Long]],13,FALSE)</f>
        <v>97.404089999999997</v>
      </c>
      <c r="DQ535" s="554" t="str">
        <f>VLOOKUP(WWWW[[#This Row],[Site Name]],SiteDB6[[Site Name]:[Pcode]],3,FALSE)</f>
        <v>MMR015CMP014</v>
      </c>
      <c r="DR535" s="563" t="str">
        <f t="shared" si="18"/>
        <v>Covered</v>
      </c>
      <c r="DS535" s="563"/>
    </row>
    <row r="536" spans="1:123">
      <c r="A536" s="552" t="s">
        <v>2518</v>
      </c>
      <c r="B536" s="555" t="s">
        <v>317</v>
      </c>
      <c r="C536" s="555" t="s">
        <v>317</v>
      </c>
      <c r="D536" s="555"/>
      <c r="E536" s="555" t="s">
        <v>716</v>
      </c>
      <c r="F536" s="555" t="s">
        <v>717</v>
      </c>
      <c r="G536" s="554" t="s">
        <v>45</v>
      </c>
      <c r="H536" s="555" t="s">
        <v>754</v>
      </c>
      <c r="I536" s="557">
        <v>118</v>
      </c>
      <c r="J536" s="557">
        <v>568</v>
      </c>
      <c r="K536" s="564"/>
      <c r="L536" s="565"/>
      <c r="M536" s="557"/>
      <c r="N536" s="557"/>
      <c r="O536" s="557"/>
      <c r="P536" s="557"/>
      <c r="Q536" s="556"/>
      <c r="R536" s="557"/>
      <c r="S536" s="557"/>
      <c r="T536" s="557"/>
      <c r="U536" s="557"/>
      <c r="V536" s="557"/>
      <c r="W536" s="557"/>
      <c r="X536" s="557"/>
      <c r="Y536" s="557"/>
      <c r="Z536" s="557"/>
      <c r="AA536" s="557"/>
      <c r="AB536" s="557"/>
      <c r="AC536" s="557"/>
      <c r="AD536" s="557"/>
      <c r="AE536" s="557"/>
      <c r="AF536" s="557"/>
      <c r="AG536" s="557"/>
      <c r="AH536" s="557"/>
      <c r="AI536" s="557"/>
      <c r="AJ536" s="557"/>
      <c r="AK536" s="557"/>
      <c r="AL536" s="557"/>
      <c r="AM536" s="557"/>
      <c r="AN536" s="557"/>
      <c r="AO536" s="563"/>
      <c r="AP536" s="557"/>
      <c r="AQ536" s="557"/>
      <c r="AR536" s="559"/>
      <c r="AS536" s="557"/>
      <c r="AT536" s="557"/>
      <c r="AU536" s="557"/>
      <c r="AV536" s="557"/>
      <c r="AW536" s="557"/>
      <c r="AX536" s="554"/>
      <c r="AY536" s="563"/>
      <c r="AZ536" s="557"/>
      <c r="BA536" s="557"/>
      <c r="BB536" s="557"/>
      <c r="BC536" s="554"/>
      <c r="BD536" s="557"/>
      <c r="BE536" s="557"/>
      <c r="BF536" s="557"/>
      <c r="BG536" s="557"/>
      <c r="BH536" s="557"/>
      <c r="BI536" s="557"/>
      <c r="BJ536" s="557"/>
      <c r="BK536" s="557"/>
      <c r="BL536" s="557"/>
      <c r="BM536" s="554"/>
      <c r="BN536" s="558"/>
      <c r="BO536" s="559"/>
      <c r="BP536" s="554"/>
      <c r="BQ536" s="560" t="str">
        <f>IFERROR(WWWW[[#This Row],['#_Water sources treated]]/WWWW[[#This Row],['#_Water sources tested for contamination]],"no test")</f>
        <v>no test</v>
      </c>
      <c r="BR536" s="559" t="str">
        <f>IFERROR(WWWW[[#This Row],['#_Household received remediation action due to contamination]]/WWWW[[#This Row],['#_Household water samples tested for contamination]],"no test")</f>
        <v>no test</v>
      </c>
      <c r="BS536" s="558" t="str">
        <f>IF(AND(WWWW[[#This Row],[% of water sources treated]]="no test",WWWW[[#This Row],[% Household received corrective actions]]="no test"),"No Test","Tested")</f>
        <v>No Test</v>
      </c>
      <c r="BT536" s="558">
        <f>WWWW[[#This Row],['#_Constructed/existing protected hand dug well]]-WWWW[[#This Row],['#_Non-functional protected hand dug well]]</f>
        <v>0</v>
      </c>
      <c r="BU536" s="558">
        <f>(WWWW[[#This Row],['#_Constructed/Existing tube wells/boreholes/handpumps_WASH_agency]]+WWWW[[#This Row],['#_Non-Cluster partner water tube-wells/boreholes/handpumps]])-WWWW[[#This Row],['#_Non-functional tube wells/boreholes/handpumps]]</f>
        <v>0</v>
      </c>
      <c r="BV536" s="558">
        <f>WWWW[[#This Row],['#_Constructed/Existingwater storage tank with gravity fed reticulation system]]-WWWW[[#This Row],['#_Non-functional storage tank gravity fed reticulation system]]</f>
        <v>0</v>
      </c>
      <c r="BW536" s="558">
        <f>WWWW[[#This Row],['#_Water boating or water trucking]]</f>
        <v>0</v>
      </c>
      <c r="BX536" s="558">
        <f>WWWW[[#This Row],['#_Constructed/Existing water distribution system from river or natural spring]]</f>
        <v>0</v>
      </c>
      <c r="BY536"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36"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36" s="559">
        <f>IF(WWWW[[#This Row],[Location Type 1]]="Village",WWWW[[#This Row],[Access to safe drinking water for Village]],WWWW[[#This Row],[Access to safe drinking water for Camp]])</f>
        <v>0</v>
      </c>
      <c r="CB536" s="556">
        <f>WWWW[[#This Row],[%Equitable and continuous access to sufficient quantity of safe drinking water]]*WWWW[[#This Row],[Total PoP ]]</f>
        <v>0</v>
      </c>
      <c r="CC536" s="559">
        <f>IF((WWWW[[#This Row],['#_Constructed/Existing protected/fenced ponds]]*250)/WWWW[[#This Row],[Total PoP ]]&gt;1,1,(WWWW[[#This Row],['#_Constructed/Existing protected/fenced ponds]]*250)/WWWW[[#This Row],[Total PoP ]])</f>
        <v>0</v>
      </c>
      <c r="CD536" s="556">
        <f>WWWW[[#This Row],[% Access to unimproved water points]]*WWWW[[#This Row],[Total PoP ]]</f>
        <v>0</v>
      </c>
      <c r="CE536"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36"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36" s="556">
        <f>WWWW[[#This Row],[HRP1]]/500</f>
        <v>0</v>
      </c>
      <c r="CH536" s="561">
        <f>1-WWWW[[#This Row],[% Equitable and continuous access to sufficient quantity of domestic water]]</f>
        <v>1</v>
      </c>
      <c r="CI536" s="556">
        <f>WWWW[[#This Row],[%equitable and continuous access to sufficient quantity of safe drinking and domestic water''s GAP]]*WWWW[[#This Row],[Total PoP ]]</f>
        <v>568</v>
      </c>
      <c r="CJ536" s="558">
        <f>IF(WWWW[[#This Row],[Total required water points]]-WWWW[[#This Row],['#Water points coverage]]&lt;0,0,WWWW[[#This Row],[Total required water points]]-WWWW[[#This Row],['#Water points coverage]])</f>
        <v>1</v>
      </c>
      <c r="CK536" s="558">
        <f>ROUND(IF(WWWW[[#This Row],[Total PoP ]]&lt;500,1,WWWW[[#This Row],[Total PoP ]]/500),0)</f>
        <v>1</v>
      </c>
      <c r="CL536" s="558">
        <f>(WWWW[[#This Row],['#_Constructed latrines_by_WASHAgencies]]+WWWW[[#This Row],['#_Non Cluster partner latrines]])-WWWW[[#This Row],['#_Non-functional latrines]]</f>
        <v>0</v>
      </c>
      <c r="CM536"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36"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36"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6" s="558">
        <f>IF(WWWW[[#This Row],[Location Type 1]]="Village","NA",IF(WWWW[[#This Row],['#_Constructed/Existing latrines in TLS]]*50&gt;WWWW[[#This Row],['#_students at TLS_CFS]],WWWW[[#This Row],['#_students at TLS_CFS]],(WWWW[[#This Row],['#_Constructed/Existing latrines in TLS]]*50)))</f>
        <v>0</v>
      </c>
      <c r="CQ536" s="558">
        <f>ROUND(IF(WWWW[[#This Row],[Location Type 1]]="camp",WWWW[[#This Row],[Total PoP ]]/20,IF(WWWW[[#This Row],[Location Type 1]]="Temporary Location",WWWW[[#This Row],[Total PoP ]]/50,(WWWW[[#This Row],[Total PoP ]]/6))),0)</f>
        <v>28</v>
      </c>
      <c r="CR536" s="558">
        <f>IF(WWWW[[#This Row],[Total required Latrines]]-(WWWW[[#This Row],['#_Constructed latrines_by_WASHAgencies]]+WWWW[[#This Row],['#_Non Cluster partner latrines]])&lt;0,0,WWWW[[#This Row],[Total required Latrines]]-(WWWW[[#This Row],['#_Constructed latrines_by_WASHAgencies]]+WWWW[[#This Row],['#_Non Cluster partner latrines]]))</f>
        <v>28</v>
      </c>
      <c r="CS536" s="78">
        <f>1-WWWW[[#This Row],[% people access to functioning Latrine]]</f>
        <v>1</v>
      </c>
      <c r="CT536" s="560">
        <f>IF(OR(WWWW[[#This Row],['#_Non-functional latrines]]="",WWWW[[#This Row],['#_Non-functional latrines]]=0),0,WWWW[[#This Row],['#_Non-functional latrines]]/(WWWW[[#This Row],['#_Constructed latrines_by_WASHAgencies]]+WWWW[[#This Row],['#_Non Cluster partner latrines]]))</f>
        <v>0</v>
      </c>
      <c r="CU536" s="556">
        <f>IF(500*(WWWW[[#This Row],['#_male hygiene promoters]]+WWWW[[#This Row],['#_female hygiene promoters]])&gt;WWWW[[#This Row],[Total PoP ]],WWWW[[#This Row],[Total PoP ]],500*(WWWW[[#This Row],['#_male hygiene promoters]]+WWWW[[#This Row],['#_female hygiene promoters]]))</f>
        <v>0</v>
      </c>
      <c r="CV536"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6"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6" s="558">
        <f>IF(WWWW[[#This Row],['# People with access to soap]]&gt;WWWW[[#This Row],['# People with access to Sanity Pads]],WWWW[[#This Row],['# People with access to soap]],WWWW[[#This Row],['# People with access to Sanity Pads]])</f>
        <v>0</v>
      </c>
      <c r="CY536"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36" s="561">
        <f>IF(WWWW[[#This Row],[HRP3]]/WWWW[[#This Row],[Total PoP ]]&gt;100%,100%,WWWW[[#This Row],[HRP3]]/WWWW[[#This Row],[Total PoP ]])</f>
        <v>0</v>
      </c>
      <c r="DA536" s="560">
        <f>1-WWWW[[#This Row],[Hygiene Coverage%]]</f>
        <v>1</v>
      </c>
      <c r="DB536" s="559">
        <f>WWWW[[#This Row],['# people reached by regular dedicated hygiene promotion_5]]/WWWW[[#This Row],[Total PoP ]]</f>
        <v>0</v>
      </c>
      <c r="DC536" s="559">
        <f>IF(WWWW[[#This Row],['#_households that received standard amount of soap for this quarter]]/WWWW[[#This Row],[Total HH]]&gt;1,1,WWWW[[#This Row],['#_households that received standard amount of soap for this quarter]]/WWWW[[#This Row],[Total HH]])</f>
        <v>0</v>
      </c>
      <c r="DD536" s="559">
        <f>IF(WWWW[[#This Row],['#_households that received standard amount of sanitary pads for this quarter]]/WWWW[[#This Row],[Total HH]]&gt;1,1,WWWW[[#This Row],['#_households that received standard amount of sanitary pads for this quarter]]/WWWW[[#This Row],[Total HH]])</f>
        <v>0</v>
      </c>
      <c r="DE536" s="558">
        <f>WWWW[[#This Row],['#_Constructed/Existing hand washing stations]]-WWWW[[#This Row],['#_Non-Functional_hand_washing_stations]]</f>
        <v>0</v>
      </c>
      <c r="DF536" s="757">
        <f>IF(WWWW[[#This Row],['# Functional hand washing stations during reporting period]]*20&gt;WWWW[[#This Row],[Total HH]],WWWW[[#This Row],[Total HH]],WWWW[[#This Row],['# Functional hand washing stations during reporting period]]*20)</f>
        <v>0</v>
      </c>
      <c r="DG536" s="556">
        <f>IF(WWWW[[#This Row],[Is sufficient soap available for TLS? (Yes/No)]]="yes",WWWW[[#This Row],['#_Constructed/Existing hand washing stations at TLS]],0)</f>
        <v>0</v>
      </c>
      <c r="DH536" s="556">
        <f>IF(WWWW[[#This Row],['# Functional hand washing stations during reporting period]]*100&gt;WWWW[[#This Row],[Total PoP ]],WWWW[[#This Row],[Total PoP ]],WWWW[[#This Row],['# Functional hand washing stations during reporting period]]*100)</f>
        <v>0</v>
      </c>
      <c r="DI536" s="556" t="str">
        <f>IF(OR(WWWW[[#This Row],['#_students at TLS_CFS]]="",WWWW[[#This Row],['#_students at TLS_CFS]]=0),"No","Yes")</f>
        <v>No</v>
      </c>
      <c r="DJ536" s="554" t="str">
        <f>VLOOKUP(WWWW[[#This Row],[Site Name]],SiteDB6[[Site Name]:[CCCM Management]],6,FALSE)</f>
        <v>Yes</v>
      </c>
      <c r="DK536" s="554" t="str">
        <f>VLOOKUP(WWWW[[#This Row],[Site Name]],SiteDB6[[Site Name]:[CCCM Focal Agency]],7,FALSE)</f>
        <v>KBC-NSS</v>
      </c>
      <c r="DL536" s="554" t="str">
        <f>VLOOKUP(WWWW[[#This Row],[Site Name]],SiteDB6[[Site Name]:[Location Type 1]],9,FALSE)</f>
        <v>Camp</v>
      </c>
      <c r="DM536" s="554" t="str">
        <f>VLOOKUP(WWWW[[#This Row],[Site Name]],SiteDB6[[Site Name]:[Type of Accommodation]],10,FALSE)</f>
        <v>Camp</v>
      </c>
      <c r="DN536" s="554" t="str">
        <f>VLOOKUP(WWWW[[#This Row],[Site Name]],SiteDB6[[Site Name]:[Ethnic or GCA/NGCA]],11,FALSE)</f>
        <v>GCA</v>
      </c>
      <c r="DO536" s="554">
        <f>VLOOKUP(WWWW[[#This Row],[Site Name]],SiteDB6[[Site Name]:[Lat]],12,FALSE)</f>
        <v>23.838190000000001</v>
      </c>
      <c r="DP536" s="554">
        <f>VLOOKUP(WWWW[[#This Row],[Site Name]],SiteDB6[[Site Name]:[Long]],13,FALSE)</f>
        <v>97.709879999999998</v>
      </c>
      <c r="DQ536" s="554" t="str">
        <f>VLOOKUP(WWWW[[#This Row],[Site Name]],SiteDB6[[Site Name]:[Pcode]],3,FALSE)</f>
        <v>MMR015CMP215</v>
      </c>
      <c r="DR536" s="563" t="str">
        <f t="shared" si="18"/>
        <v>Notcovered</v>
      </c>
      <c r="DS536" s="563"/>
    </row>
    <row r="537" spans="1:123">
      <c r="A537" s="552" t="s">
        <v>2518</v>
      </c>
      <c r="B537" s="555" t="s">
        <v>1957</v>
      </c>
      <c r="C537" s="555" t="s">
        <v>1957</v>
      </c>
      <c r="D537" s="584" t="s">
        <v>2970</v>
      </c>
      <c r="E537" s="574" t="s">
        <v>716</v>
      </c>
      <c r="F537" s="555" t="s">
        <v>720</v>
      </c>
      <c r="G537" s="574" t="str">
        <f>VLOOKUP(WWWW[[#This Row],[Site Name]],SiteDB6[[Site Name]:[Location Type]],8,FALSE)</f>
        <v>Camp</v>
      </c>
      <c r="H537" s="555" t="s">
        <v>743</v>
      </c>
      <c r="I537" s="557">
        <v>103</v>
      </c>
      <c r="J537" s="557">
        <v>632</v>
      </c>
      <c r="K537" s="593" t="s">
        <v>2971</v>
      </c>
      <c r="L537" s="58" t="s">
        <v>2972</v>
      </c>
      <c r="M537" s="557"/>
      <c r="N537" s="557"/>
      <c r="O537" s="557"/>
      <c r="P537" s="557"/>
      <c r="Q537" s="556" t="s">
        <v>43</v>
      </c>
      <c r="R537" s="557">
        <v>4</v>
      </c>
      <c r="S537" s="557">
        <v>5</v>
      </c>
      <c r="T537" s="557"/>
      <c r="U537" s="557"/>
      <c r="V537" s="557"/>
      <c r="W537" s="557"/>
      <c r="X537" s="557"/>
      <c r="Y537" s="557"/>
      <c r="Z537" s="557"/>
      <c r="AA537" s="557">
        <v>11</v>
      </c>
      <c r="AB537" s="557"/>
      <c r="AC537" s="557"/>
      <c r="AD537" s="557"/>
      <c r="AE537" s="557"/>
      <c r="AF537" s="557"/>
      <c r="AG537" s="557">
        <v>1</v>
      </c>
      <c r="AH537" s="557"/>
      <c r="AI537" s="557">
        <v>1</v>
      </c>
      <c r="AJ537" s="557"/>
      <c r="AK537" s="557">
        <v>15</v>
      </c>
      <c r="AL537" s="557"/>
      <c r="AM537" s="557"/>
      <c r="AN537" s="557"/>
      <c r="AO537" s="563"/>
      <c r="AP537" s="557">
        <v>103</v>
      </c>
      <c r="AQ537" s="557"/>
      <c r="AR537" s="559"/>
      <c r="AS537" s="557"/>
      <c r="AT537" s="557"/>
      <c r="AU537" s="557"/>
      <c r="AV537" s="557"/>
      <c r="AW537" s="557"/>
      <c r="AX537" s="554" t="s">
        <v>148</v>
      </c>
      <c r="AY537" s="563" t="s">
        <v>145</v>
      </c>
      <c r="AZ537" s="557"/>
      <c r="BA537" s="557"/>
      <c r="BB537" s="557"/>
      <c r="BC537" s="554"/>
      <c r="BD537" s="557">
        <v>2</v>
      </c>
      <c r="BE537" s="557"/>
      <c r="BF537" s="557"/>
      <c r="BG537" s="557"/>
      <c r="BH537" s="557"/>
      <c r="BI537" s="557"/>
      <c r="BJ537" s="557">
        <v>1</v>
      </c>
      <c r="BK537" s="557">
        <v>103</v>
      </c>
      <c r="BL537" s="557">
        <v>0</v>
      </c>
      <c r="BM537" s="554"/>
      <c r="BN537" s="558"/>
      <c r="BO537" s="559">
        <v>0.5</v>
      </c>
      <c r="BP537" s="554"/>
      <c r="BQ537" s="560">
        <f>IFERROR(WWWW[[#This Row],['#_Water sources treated]]/WWWW[[#This Row],['#_Water sources tested for contamination]],"no test")</f>
        <v>0</v>
      </c>
      <c r="BR537" s="559">
        <f>IFERROR(WWWW[[#This Row],['#_Household received remediation action due to contamination]]/WWWW[[#This Row],['#_Household water samples tested for contamination]],"no test")</f>
        <v>0</v>
      </c>
      <c r="BS537" s="558" t="str">
        <f>IF(AND(WWWW[[#This Row],[% of water sources treated]]="no test",WWWW[[#This Row],[% Household received corrective actions]]="no test"),"No Test","Tested")</f>
        <v>Tested</v>
      </c>
      <c r="BT537" s="558">
        <f>WWWW[[#This Row],['#_Constructed/existing protected hand dug well]]-WWWW[[#This Row],['#_Non-functional protected hand dug well]]</f>
        <v>0</v>
      </c>
      <c r="BU537" s="558">
        <f>(WWWW[[#This Row],['#_Constructed/Existing tube wells/boreholes/handpumps_WASH_agency]]+WWWW[[#This Row],['#_Non-Cluster partner water tube-wells/boreholes/handpumps]])-WWWW[[#This Row],['#_Non-functional tube wells/boreholes/handpumps]]</f>
        <v>0</v>
      </c>
      <c r="BV537" s="558">
        <f>WWWW[[#This Row],['#_Constructed/Existingwater storage tank with gravity fed reticulation system]]-WWWW[[#This Row],['#_Non-functional storage tank gravity fed reticulation system]]</f>
        <v>11</v>
      </c>
      <c r="BW537" s="558">
        <f>WWWW[[#This Row],['#_Water boating or water trucking]]</f>
        <v>0</v>
      </c>
      <c r="BX537" s="558">
        <f>WWWW[[#This Row],['#_Constructed/Existing water distribution system from river or natural spring]]</f>
        <v>0</v>
      </c>
      <c r="BY537"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7"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7" s="559">
        <f>IF(WWWW[[#This Row],[Location Type 1]]="Village",WWWW[[#This Row],[Access to safe drinking water for Village]],WWWW[[#This Row],[Access to safe drinking water for Camp]])</f>
        <v>1</v>
      </c>
      <c r="CB537" s="556">
        <f>WWWW[[#This Row],[%Equitable and continuous access to sufficient quantity of safe drinking water]]*WWWW[[#This Row],[Total PoP ]]</f>
        <v>632</v>
      </c>
      <c r="CC537" s="559">
        <f>IF((WWWW[[#This Row],['#_Constructed/Existing protected/fenced ponds]]*250)/WWWW[[#This Row],[Total PoP ]]&gt;1,1,(WWWW[[#This Row],['#_Constructed/Existing protected/fenced ponds]]*250)/WWWW[[#This Row],[Total PoP ]])</f>
        <v>0</v>
      </c>
      <c r="CD537" s="556">
        <f>WWWW[[#This Row],[% Access to unimproved water points]]*WWWW[[#This Row],[Total PoP ]]</f>
        <v>0</v>
      </c>
      <c r="CE537"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7"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632</v>
      </c>
      <c r="CG537" s="556">
        <f>WWWW[[#This Row],[HRP1]]/500</f>
        <v>1.264</v>
      </c>
      <c r="CH537" s="561">
        <f>1-WWWW[[#This Row],[% Equitable and continuous access to sufficient quantity of domestic water]]</f>
        <v>0</v>
      </c>
      <c r="CI537" s="556">
        <f>WWWW[[#This Row],[%equitable and continuous access to sufficient quantity of safe drinking and domestic water''s GAP]]*WWWW[[#This Row],[Total PoP ]]</f>
        <v>0</v>
      </c>
      <c r="CJ537" s="558">
        <f>IF(WWWW[[#This Row],[Total required water points]]-WWWW[[#This Row],['#Water points coverage]]&lt;0,0,WWWW[[#This Row],[Total required water points]]-WWWW[[#This Row],['#Water points coverage]])</f>
        <v>0</v>
      </c>
      <c r="CK537" s="558">
        <f>ROUND(IF(WWWW[[#This Row],[Total PoP ]]&lt;500,1,WWWW[[#This Row],[Total PoP ]]/500),0)</f>
        <v>1</v>
      </c>
      <c r="CL537" s="558">
        <f>(WWWW[[#This Row],['#_Constructed latrines_by_WASHAgencies]]+WWWW[[#This Row],['#_Non Cluster partner latrines]])-WWWW[[#This Row],['#_Non-functional latrines]]</f>
        <v>103</v>
      </c>
      <c r="CM537"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0.97784810126582278</v>
      </c>
      <c r="CN537"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618</v>
      </c>
      <c r="CO537"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7" s="558">
        <f>IF(WWWW[[#This Row],[Location Type 1]]="Village","NA",IF(WWWW[[#This Row],['#_Constructed/Existing latrines in TLS]]*50&gt;WWWW[[#This Row],['#_students at TLS_CFS]],WWWW[[#This Row],['#_students at TLS_CFS]],(WWWW[[#This Row],['#_Constructed/Existing latrines in TLS]]*50)))</f>
        <v>0</v>
      </c>
      <c r="CQ537" s="558">
        <f>ROUND(IF(WWWW[[#This Row],[Location Type 1]]="camp",WWWW[[#This Row],[Total PoP ]]/20,IF(WWWW[[#This Row],[Location Type 1]]="Temporary Location",WWWW[[#This Row],[Total PoP ]]/50,(WWWW[[#This Row],[Total PoP ]]/6))),0)</f>
        <v>105</v>
      </c>
      <c r="CR537" s="558">
        <f>IF(WWWW[[#This Row],[Total required Latrines]]-(WWWW[[#This Row],['#_Constructed latrines_by_WASHAgencies]]+WWWW[[#This Row],['#_Non Cluster partner latrines]])&lt;0,0,WWWW[[#This Row],[Total required Latrines]]-(WWWW[[#This Row],['#_Constructed latrines_by_WASHAgencies]]+WWWW[[#This Row],['#_Non Cluster partner latrines]]))</f>
        <v>2</v>
      </c>
      <c r="CS537" s="78">
        <f>1-WWWW[[#This Row],[% people access to functioning Latrine]]</f>
        <v>2.2151898734177222E-2</v>
      </c>
      <c r="CT537" s="560">
        <f>IF(OR(WWWW[[#This Row],['#_Non-functional latrines]]="",WWWW[[#This Row],['#_Non-functional latrines]]=0),0,WWWW[[#This Row],['#_Non-functional latrines]]/(WWWW[[#This Row],['#_Constructed latrines_by_WASHAgencies]]+WWWW[[#This Row],['#_Non Cluster partner latrines]]))</f>
        <v>0</v>
      </c>
      <c r="CU537" s="556">
        <f>IF(500*(WWWW[[#This Row],['#_male hygiene promoters]]+WWWW[[#This Row],['#_female hygiene promoters]])&gt;WWWW[[#This Row],[Total PoP ]],WWWW[[#This Row],[Total PoP ]],500*(WWWW[[#This Row],['#_male hygiene promoters]]+WWWW[[#This Row],['#_female hygiene promoters]]))</f>
        <v>500</v>
      </c>
      <c r="CV537"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632</v>
      </c>
      <c r="CW537"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7" s="558">
        <f>IF(WWWW[[#This Row],['# People with access to soap]]&gt;WWWW[[#This Row],['# People with access to Sanity Pads]],WWWW[[#This Row],['# People with access to soap]],WWWW[[#This Row],['# People with access to Sanity Pads]])</f>
        <v>632</v>
      </c>
      <c r="CY537" s="558">
        <f>IF(WWWW[[#This Row],['# people reached by regular dedicated hygiene promotion_5]]&gt;WWWW[[#This Row],['# People received regular supply of hygiene items_6]],WWWW[[#This Row],['# people reached by regular dedicated hygiene promotion_5]],WWWW[[#This Row],['# People received regular supply of hygiene items_6]])</f>
        <v>632</v>
      </c>
      <c r="CZ537" s="561">
        <f>IF(WWWW[[#This Row],[HRP3]]/WWWW[[#This Row],[Total PoP ]]&gt;100%,100%,WWWW[[#This Row],[HRP3]]/WWWW[[#This Row],[Total PoP ]])</f>
        <v>1</v>
      </c>
      <c r="DA537" s="560">
        <f>1-WWWW[[#This Row],[Hygiene Coverage%]]</f>
        <v>0</v>
      </c>
      <c r="DB537" s="559">
        <f>WWWW[[#This Row],['# people reached by regular dedicated hygiene promotion_5]]/WWWW[[#This Row],[Total PoP ]]</f>
        <v>0.79113924050632911</v>
      </c>
      <c r="DC537" s="559">
        <f>IF(WWWW[[#This Row],['#_households that received standard amount of soap for this quarter]]/WWWW[[#This Row],[Total HH]]&gt;1,1,WWWW[[#This Row],['#_households that received standard amount of soap for this quarter]]/WWWW[[#This Row],[Total HH]])</f>
        <v>1</v>
      </c>
      <c r="DD537" s="559">
        <f>IF(WWWW[[#This Row],['#_households that received standard amount of sanitary pads for this quarter]]/WWWW[[#This Row],[Total HH]]&gt;1,1,WWWW[[#This Row],['#_households that received standard amount of sanitary pads for this quarter]]/WWWW[[#This Row],[Total HH]])</f>
        <v>0</v>
      </c>
      <c r="DE537" s="558">
        <f>WWWW[[#This Row],['#_Constructed/Existing hand washing stations]]-WWWW[[#This Row],['#_Non-Functional_hand_washing_stations]]</f>
        <v>2</v>
      </c>
      <c r="DF537" s="757">
        <f>IF(WWWW[[#This Row],['# Functional hand washing stations during reporting period]]*20&gt;WWWW[[#This Row],[Total HH]],WWWW[[#This Row],[Total HH]],WWWW[[#This Row],['# Functional hand washing stations during reporting period]]*20)</f>
        <v>40</v>
      </c>
      <c r="DG537" s="556">
        <f>IF(WWWW[[#This Row],[Is sufficient soap available for TLS? (Yes/No)]]="yes",WWWW[[#This Row],['#_Constructed/Existing hand washing stations at TLS]],0)</f>
        <v>0</v>
      </c>
      <c r="DH537" s="556">
        <f>IF(WWWW[[#This Row],['# Functional hand washing stations during reporting period]]*100&gt;WWWW[[#This Row],[Total PoP ]],WWWW[[#This Row],[Total PoP ]],WWWW[[#This Row],['# Functional hand washing stations during reporting period]]*100)</f>
        <v>200</v>
      </c>
      <c r="DI537" s="556" t="str">
        <f>IF(OR(WWWW[[#This Row],['#_students at TLS_CFS]]="",WWWW[[#This Row],['#_students at TLS_CFS]]=0),"No","Yes")</f>
        <v>No</v>
      </c>
      <c r="DJ537" s="554" t="str">
        <f>VLOOKUP(WWWW[[#This Row],[Site Name]],SiteDB6[[Site Name]:[CCCM Management]],6,FALSE)</f>
        <v>Yes</v>
      </c>
      <c r="DK537" s="554" t="str">
        <f>VLOOKUP(WWWW[[#This Row],[Site Name]],SiteDB6[[Site Name]:[CCCM Focal Agency]],7,FALSE)</f>
        <v>KMSS-LSO</v>
      </c>
      <c r="DL537" s="554" t="str">
        <f>VLOOKUP(WWWW[[#This Row],[Site Name]],SiteDB6[[Site Name]:[Location Type 1]],9,FALSE)</f>
        <v>Village Type Camp</v>
      </c>
      <c r="DM537" s="554" t="str">
        <f>VLOOKUP(WWWW[[#This Row],[Site Name]],SiteDB6[[Site Name]:[Type of Accommodation]],10,FALSE)</f>
        <v>Camp</v>
      </c>
      <c r="DN537" s="554" t="str">
        <f>VLOOKUP(WWWW[[#This Row],[Site Name]],SiteDB6[[Site Name]:[Ethnic or GCA/NGCA]],11,FALSE)</f>
        <v>GCA</v>
      </c>
      <c r="DO537" s="554">
        <f>VLOOKUP(WWWW[[#This Row],[Site Name]],SiteDB6[[Site Name]:[Lat]],12,FALSE)</f>
        <v>23.447111</v>
      </c>
      <c r="DP537" s="554">
        <f>VLOOKUP(WWWW[[#This Row],[Site Name]],SiteDB6[[Site Name]:[Long]],13,FALSE)</f>
        <v>97.868876999999998</v>
      </c>
      <c r="DQ537" s="554" t="str">
        <f>VLOOKUP(WWWW[[#This Row],[Site Name]],SiteDB6[[Site Name]:[Pcode]],3,FALSE)</f>
        <v>MMR015CMP219</v>
      </c>
      <c r="DR537" s="563" t="str">
        <f t="shared" si="18"/>
        <v>Covered</v>
      </c>
      <c r="DS537" s="563"/>
    </row>
    <row r="538" spans="1:123">
      <c r="A538" s="552" t="s">
        <v>2518</v>
      </c>
      <c r="B538" s="555" t="s">
        <v>1957</v>
      </c>
      <c r="C538" s="555" t="s">
        <v>1957</v>
      </c>
      <c r="D538" s="584" t="s">
        <v>2970</v>
      </c>
      <c r="E538" s="574" t="s">
        <v>716</v>
      </c>
      <c r="F538" s="555" t="s">
        <v>720</v>
      </c>
      <c r="G538" s="574" t="str">
        <f>VLOOKUP(WWWW[[#This Row],[Site Name]],SiteDB6[[Site Name]:[Location Type]],8,FALSE)</f>
        <v>Camp</v>
      </c>
      <c r="H538" s="555" t="s">
        <v>763</v>
      </c>
      <c r="I538" s="312">
        <v>36</v>
      </c>
      <c r="J538" s="312">
        <v>191</v>
      </c>
      <c r="K538" s="593" t="s">
        <v>2971</v>
      </c>
      <c r="L538" s="58" t="s">
        <v>2972</v>
      </c>
      <c r="M538" s="557">
        <v>44</v>
      </c>
      <c r="N538" s="557"/>
      <c r="O538" s="557"/>
      <c r="P538" s="557"/>
      <c r="Q538" s="556" t="s">
        <v>43</v>
      </c>
      <c r="R538" s="557">
        <v>5</v>
      </c>
      <c r="S538" s="557">
        <v>4</v>
      </c>
      <c r="T538" s="557"/>
      <c r="U538" s="557"/>
      <c r="V538" s="557"/>
      <c r="W538" s="557"/>
      <c r="X538" s="557"/>
      <c r="Y538" s="557"/>
      <c r="Z538" s="557"/>
      <c r="AA538" s="557">
        <v>16</v>
      </c>
      <c r="AB538" s="557"/>
      <c r="AC538" s="557"/>
      <c r="AD538" s="557"/>
      <c r="AE538" s="557"/>
      <c r="AF538" s="557"/>
      <c r="AG538" s="557">
        <v>1</v>
      </c>
      <c r="AH538" s="557">
        <v>1</v>
      </c>
      <c r="AI538" s="557">
        <v>1</v>
      </c>
      <c r="AJ538" s="557"/>
      <c r="AK538" s="557">
        <v>15</v>
      </c>
      <c r="AL538" s="557"/>
      <c r="AM538" s="557"/>
      <c r="AN538" s="557"/>
      <c r="AO538" s="563"/>
      <c r="AP538" s="557">
        <v>36</v>
      </c>
      <c r="AQ538" s="557"/>
      <c r="AR538" s="559"/>
      <c r="AS538" s="557"/>
      <c r="AT538" s="557"/>
      <c r="AU538" s="557"/>
      <c r="AV538" s="557"/>
      <c r="AW538" s="557"/>
      <c r="AX538" s="554" t="s">
        <v>148</v>
      </c>
      <c r="AY538" s="586" t="s">
        <v>1200</v>
      </c>
      <c r="AZ538" s="557"/>
      <c r="BA538" s="557"/>
      <c r="BB538" s="557"/>
      <c r="BC538" s="592"/>
      <c r="BD538" s="557"/>
      <c r="BE538" s="557"/>
      <c r="BF538" s="557"/>
      <c r="BG538" s="557"/>
      <c r="BH538" s="557"/>
      <c r="BI538" s="557"/>
      <c r="BJ538" s="557">
        <v>1</v>
      </c>
      <c r="BK538" s="557">
        <v>36</v>
      </c>
      <c r="BL538" s="557">
        <v>0</v>
      </c>
      <c r="BM538" s="554"/>
      <c r="BN538" s="558"/>
      <c r="BO538" s="559">
        <v>0.5</v>
      </c>
      <c r="BP538" s="554"/>
      <c r="BQ538" s="560">
        <f>IFERROR(WWWW[[#This Row],['#_Water sources treated]]/WWWW[[#This Row],['#_Water sources tested for contamination]],"no test")</f>
        <v>0</v>
      </c>
      <c r="BR538" s="559">
        <f>IFERROR(WWWW[[#This Row],['#_Household received remediation action due to contamination]]/WWWW[[#This Row],['#_Household water samples tested for contamination]],"no test")</f>
        <v>0</v>
      </c>
      <c r="BS538" s="558" t="str">
        <f>IF(AND(WWWW[[#This Row],[% of water sources treated]]="no test",WWWW[[#This Row],[% Household received corrective actions]]="no test"),"No Test","Tested")</f>
        <v>Tested</v>
      </c>
      <c r="BT538" s="558">
        <f>WWWW[[#This Row],['#_Constructed/existing protected hand dug well]]-WWWW[[#This Row],['#_Non-functional protected hand dug well]]</f>
        <v>0</v>
      </c>
      <c r="BU538" s="558">
        <f>(WWWW[[#This Row],['#_Constructed/Existing tube wells/boreholes/handpumps_WASH_agency]]+WWWW[[#This Row],['#_Non-Cluster partner water tube-wells/boreholes/handpumps]])-WWWW[[#This Row],['#_Non-functional tube wells/boreholes/handpumps]]</f>
        <v>0</v>
      </c>
      <c r="BV538" s="558">
        <f>WWWW[[#This Row],['#_Constructed/Existingwater storage tank with gravity fed reticulation system]]-WWWW[[#This Row],['#_Non-functional storage tank gravity fed reticulation system]]</f>
        <v>16</v>
      </c>
      <c r="BW538" s="558">
        <f>WWWW[[#This Row],['#_Water boating or water trucking]]</f>
        <v>0</v>
      </c>
      <c r="BX538" s="558">
        <f>WWWW[[#This Row],['#_Constructed/Existing water distribution system from river or natural spring]]</f>
        <v>0</v>
      </c>
      <c r="BY538"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38"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38" s="559">
        <f>IF(WWWW[[#This Row],[Location Type 1]]="Village",WWWW[[#This Row],[Access to safe drinking water for Village]],WWWW[[#This Row],[Access to safe drinking water for Camp]])</f>
        <v>1</v>
      </c>
      <c r="CB538" s="556">
        <f>WWWW[[#This Row],[%Equitable and continuous access to sufficient quantity of safe drinking water]]*WWWW[[#This Row],[Total PoP ]]</f>
        <v>191</v>
      </c>
      <c r="CC538" s="559">
        <f>IF((WWWW[[#This Row],['#_Constructed/Existing protected/fenced ponds]]*250)/WWWW[[#This Row],[Total PoP ]]&gt;1,1,(WWWW[[#This Row],['#_Constructed/Existing protected/fenced ponds]]*250)/WWWW[[#This Row],[Total PoP ]])</f>
        <v>0</v>
      </c>
      <c r="CD538" s="556">
        <f>WWWW[[#This Row],[% Access to unimproved water points]]*WWWW[[#This Row],[Total PoP ]]</f>
        <v>0</v>
      </c>
      <c r="CE538"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38"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G538" s="556">
        <f>WWWW[[#This Row],[HRP1]]/500</f>
        <v>0.38200000000000001</v>
      </c>
      <c r="CH538" s="561">
        <f>1-WWWW[[#This Row],[% Equitable and continuous access to sufficient quantity of domestic water]]</f>
        <v>0</v>
      </c>
      <c r="CI538" s="556">
        <f>WWWW[[#This Row],[%equitable and continuous access to sufficient quantity of safe drinking and domestic water''s GAP]]*WWWW[[#This Row],[Total PoP ]]</f>
        <v>0</v>
      </c>
      <c r="CJ538" s="558">
        <f>IF(WWWW[[#This Row],[Total required water points]]-WWWW[[#This Row],['#Water points coverage]]&lt;0,0,WWWW[[#This Row],[Total required water points]]-WWWW[[#This Row],['#Water points coverage]])</f>
        <v>0.61799999999999999</v>
      </c>
      <c r="CK538" s="558">
        <f>ROUND(IF(WWWW[[#This Row],[Total PoP ]]&lt;500,1,WWWW[[#This Row],[Total PoP ]]/500),0)</f>
        <v>1</v>
      </c>
      <c r="CL538" s="558">
        <f>(WWWW[[#This Row],['#_Constructed latrines_by_WASHAgencies]]+WWWW[[#This Row],['#_Non Cluster partner latrines]])-WWWW[[#This Row],['#_Non-functional latrines]]</f>
        <v>36</v>
      </c>
      <c r="CM538"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38"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191</v>
      </c>
      <c r="CO538"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8" s="558">
        <f>IF(WWWW[[#This Row],[Location Type 1]]="Village","NA",IF(WWWW[[#This Row],['#_Constructed/Existing latrines in TLS]]*50&gt;WWWW[[#This Row],['#_students at TLS_CFS]],WWWW[[#This Row],['#_students at TLS_CFS]],(WWWW[[#This Row],['#_Constructed/Existing latrines in TLS]]*50)))</f>
        <v>0</v>
      </c>
      <c r="CQ538" s="558">
        <f>ROUND(IF(WWWW[[#This Row],[Location Type 1]]="camp",WWWW[[#This Row],[Total PoP ]]/20,IF(WWWW[[#This Row],[Location Type 1]]="Temporary Location",WWWW[[#This Row],[Total PoP ]]/50,(WWWW[[#This Row],[Total PoP ]]/6))),0)</f>
        <v>10</v>
      </c>
      <c r="CR538" s="558">
        <f>IF(WWWW[[#This Row],[Total required Latrines]]-(WWWW[[#This Row],['#_Constructed latrines_by_WASHAgencies]]+WWWW[[#This Row],['#_Non Cluster partner latrines]])&lt;0,0,WWWW[[#This Row],[Total required Latrines]]-(WWWW[[#This Row],['#_Constructed latrines_by_WASHAgencies]]+WWWW[[#This Row],['#_Non Cluster partner latrines]]))</f>
        <v>0</v>
      </c>
      <c r="CS538" s="78">
        <f>1-WWWW[[#This Row],[% people access to functioning Latrine]]</f>
        <v>0</v>
      </c>
      <c r="CT538" s="560">
        <f>IF(OR(WWWW[[#This Row],['#_Non-functional latrines]]="",WWWW[[#This Row],['#_Non-functional latrines]]=0),0,WWWW[[#This Row],['#_Non-functional latrines]]/(WWWW[[#This Row],['#_Constructed latrines_by_WASHAgencies]]+WWWW[[#This Row],['#_Non Cluster partner latrines]]))</f>
        <v>0</v>
      </c>
      <c r="CU538" s="556">
        <f>IF(500*(WWWW[[#This Row],['#_male hygiene promoters]]+WWWW[[#This Row],['#_female hygiene promoters]])&gt;WWWW[[#This Row],[Total PoP ]],WWWW[[#This Row],[Total PoP ]],500*(WWWW[[#This Row],['#_male hygiene promoters]]+WWWW[[#This Row],['#_female hygiene promoters]]))</f>
        <v>191</v>
      </c>
      <c r="CV538"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191</v>
      </c>
      <c r="CW538"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8" s="558">
        <f>IF(WWWW[[#This Row],['# People with access to soap]]&gt;WWWW[[#This Row],['# People with access to Sanity Pads]],WWWW[[#This Row],['# People with access to soap]],WWWW[[#This Row],['# People with access to Sanity Pads]])</f>
        <v>191</v>
      </c>
      <c r="CY538" s="558">
        <f>IF(WWWW[[#This Row],['# people reached by regular dedicated hygiene promotion_5]]&gt;WWWW[[#This Row],['# People received regular supply of hygiene items_6]],WWWW[[#This Row],['# people reached by regular dedicated hygiene promotion_5]],WWWW[[#This Row],['# People received regular supply of hygiene items_6]])</f>
        <v>191</v>
      </c>
      <c r="CZ538" s="561">
        <f>IF(WWWW[[#This Row],[HRP3]]/WWWW[[#This Row],[Total PoP ]]&gt;100%,100%,WWWW[[#This Row],[HRP3]]/WWWW[[#This Row],[Total PoP ]])</f>
        <v>1</v>
      </c>
      <c r="DA538" s="560">
        <f>1-WWWW[[#This Row],[Hygiene Coverage%]]</f>
        <v>0</v>
      </c>
      <c r="DB538" s="559">
        <f>WWWW[[#This Row],['# people reached by regular dedicated hygiene promotion_5]]/WWWW[[#This Row],[Total PoP ]]</f>
        <v>1</v>
      </c>
      <c r="DC538" s="559">
        <f>IF(WWWW[[#This Row],['#_households that received standard amount of soap for this quarter]]/WWWW[[#This Row],[Total HH]]&gt;1,1,WWWW[[#This Row],['#_households that received standard amount of soap for this quarter]]/WWWW[[#This Row],[Total HH]])</f>
        <v>1</v>
      </c>
      <c r="DD538" s="559">
        <f>IF(WWWW[[#This Row],['#_households that received standard amount of sanitary pads for this quarter]]/WWWW[[#This Row],[Total HH]]&gt;1,1,WWWW[[#This Row],['#_households that received standard amount of sanitary pads for this quarter]]/WWWW[[#This Row],[Total HH]])</f>
        <v>0</v>
      </c>
      <c r="DE538" s="558">
        <f>WWWW[[#This Row],['#_Constructed/Existing hand washing stations]]-WWWW[[#This Row],['#_Non-Functional_hand_washing_stations]]</f>
        <v>0</v>
      </c>
      <c r="DF538" s="757">
        <f>IF(WWWW[[#This Row],['# Functional hand washing stations during reporting period]]*20&gt;WWWW[[#This Row],[Total HH]],WWWW[[#This Row],[Total HH]],WWWW[[#This Row],['# Functional hand washing stations during reporting period]]*20)</f>
        <v>0</v>
      </c>
      <c r="DG538" s="556">
        <f>IF(WWWW[[#This Row],[Is sufficient soap available for TLS? (Yes/No)]]="yes",WWWW[[#This Row],['#_Constructed/Existing hand washing stations at TLS]],0)</f>
        <v>0</v>
      </c>
      <c r="DH538" s="556">
        <f>IF(WWWW[[#This Row],['# Functional hand washing stations during reporting period]]*100&gt;WWWW[[#This Row],[Total PoP ]],WWWW[[#This Row],[Total PoP ]],WWWW[[#This Row],['# Functional hand washing stations during reporting period]]*100)</f>
        <v>0</v>
      </c>
      <c r="DI538" s="556" t="str">
        <f>IF(OR(WWWW[[#This Row],['#_students at TLS_CFS]]="",WWWW[[#This Row],['#_students at TLS_CFS]]=0),"No","Yes")</f>
        <v>Yes</v>
      </c>
      <c r="DJ538" s="554" t="str">
        <f>VLOOKUP(WWWW[[#This Row],[Site Name]],SiteDB6[[Site Name]:[CCCM Management]],6,FALSE)</f>
        <v>Yes</v>
      </c>
      <c r="DK538" s="554" t="str">
        <f>VLOOKUP(WWWW[[#This Row],[Site Name]],SiteDB6[[Site Name]:[CCCM Focal Agency]],7,FALSE)</f>
        <v>KMSS-LSO</v>
      </c>
      <c r="DL538" s="554" t="str">
        <f>VLOOKUP(WWWW[[#This Row],[Site Name]],SiteDB6[[Site Name]:[Location Type 1]],9,FALSE)</f>
        <v>Camp</v>
      </c>
      <c r="DM538" s="554" t="str">
        <f>VLOOKUP(WWWW[[#This Row],[Site Name]],SiteDB6[[Site Name]:[Type of Accommodation]],10,FALSE)</f>
        <v>Camp</v>
      </c>
      <c r="DN538" s="554" t="str">
        <f>VLOOKUP(WWWW[[#This Row],[Site Name]],SiteDB6[[Site Name]:[Ethnic or GCA/NGCA]],11,FALSE)</f>
        <v>GCA</v>
      </c>
      <c r="DO538" s="554">
        <f>VLOOKUP(WWWW[[#This Row],[Site Name]],SiteDB6[[Site Name]:[Lat]],12,FALSE)</f>
        <v>0</v>
      </c>
      <c r="DP538" s="554">
        <f>VLOOKUP(WWWW[[#This Row],[Site Name]],SiteDB6[[Site Name]:[Long]],13,FALSE)</f>
        <v>0</v>
      </c>
      <c r="DQ538" s="554" t="str">
        <f>VLOOKUP(WWWW[[#This Row],[Site Name]],SiteDB6[[Site Name]:[Pcode]],3,FALSE)</f>
        <v>MMR015CMP249</v>
      </c>
      <c r="DR538" s="563" t="str">
        <f t="shared" si="18"/>
        <v>Covered</v>
      </c>
      <c r="DS538" s="563"/>
    </row>
    <row r="539" spans="1:123">
      <c r="A539" s="552" t="s">
        <v>2518</v>
      </c>
      <c r="B539" s="555" t="s">
        <v>200</v>
      </c>
      <c r="C539" s="555" t="s">
        <v>200</v>
      </c>
      <c r="D539" s="555" t="s">
        <v>2963</v>
      </c>
      <c r="E539" s="555" t="s">
        <v>716</v>
      </c>
      <c r="F539" s="555" t="s">
        <v>737</v>
      </c>
      <c r="G539" s="574" t="str">
        <f>VLOOKUP(WWWW[[#This Row],[Site Name]],SiteDB6[[Site Name]:[Location Type]],8,FALSE)</f>
        <v>Camp</v>
      </c>
      <c r="H539" s="555" t="s">
        <v>738</v>
      </c>
      <c r="I539" s="557">
        <v>6</v>
      </c>
      <c r="J539" s="557">
        <v>27</v>
      </c>
      <c r="K539" s="564" t="s">
        <v>2964</v>
      </c>
      <c r="L539" s="565" t="s">
        <v>2965</v>
      </c>
      <c r="M539" s="557"/>
      <c r="N539" s="557"/>
      <c r="O539" s="557"/>
      <c r="P539" s="557"/>
      <c r="Q539" s="556"/>
      <c r="R539" s="557"/>
      <c r="S539" s="557"/>
      <c r="T539" s="557"/>
      <c r="U539" s="557"/>
      <c r="V539" s="557"/>
      <c r="W539" s="557"/>
      <c r="X539" s="557"/>
      <c r="Y539" s="557"/>
      <c r="Z539" s="557"/>
      <c r="AA539" s="557"/>
      <c r="AB539" s="557"/>
      <c r="AC539" s="557"/>
      <c r="AD539" s="557"/>
      <c r="AE539" s="557"/>
      <c r="AF539" s="557"/>
      <c r="AG539" s="557"/>
      <c r="AH539" s="557"/>
      <c r="AI539" s="557"/>
      <c r="AJ539" s="557"/>
      <c r="AK539" s="557"/>
      <c r="AL539" s="557"/>
      <c r="AM539" s="557"/>
      <c r="AN539" s="557"/>
      <c r="AO539" s="563"/>
      <c r="AP539" s="557"/>
      <c r="AQ539" s="557"/>
      <c r="AR539" s="559"/>
      <c r="AS539" s="557"/>
      <c r="AT539" s="557"/>
      <c r="AU539" s="557"/>
      <c r="AV539" s="557"/>
      <c r="AW539" s="557"/>
      <c r="AX539" s="554" t="s">
        <v>144</v>
      </c>
      <c r="AY539" s="563" t="s">
        <v>144</v>
      </c>
      <c r="AZ539" s="557"/>
      <c r="BA539" s="557"/>
      <c r="BB539" s="557"/>
      <c r="BC539" s="554"/>
      <c r="BD539" s="557"/>
      <c r="BE539" s="557"/>
      <c r="BF539" s="557"/>
      <c r="BG539" s="557"/>
      <c r="BH539" s="557"/>
      <c r="BI539" s="557"/>
      <c r="BJ539" s="557"/>
      <c r="BK539" s="557">
        <v>0</v>
      </c>
      <c r="BL539" s="557">
        <v>0</v>
      </c>
      <c r="BM539" s="554"/>
      <c r="BN539" s="558"/>
      <c r="BO539" s="559"/>
      <c r="BP539" s="554"/>
      <c r="BQ539" s="560" t="str">
        <f>IFERROR(WWWW[[#This Row],['#_Water sources treated]]/WWWW[[#This Row],['#_Water sources tested for contamination]],"no test")</f>
        <v>no test</v>
      </c>
      <c r="BR539" s="559" t="str">
        <f>IFERROR(WWWW[[#This Row],['#_Household received remediation action due to contamination]]/WWWW[[#This Row],['#_Household water samples tested for contamination]],"no test")</f>
        <v>no test</v>
      </c>
      <c r="BS539" s="558" t="str">
        <f>IF(AND(WWWW[[#This Row],[% of water sources treated]]="no test",WWWW[[#This Row],[% Household received corrective actions]]="no test"),"No Test","Tested")</f>
        <v>No Test</v>
      </c>
      <c r="BT539" s="558">
        <f>WWWW[[#This Row],['#_Constructed/existing protected hand dug well]]-WWWW[[#This Row],['#_Non-functional protected hand dug well]]</f>
        <v>0</v>
      </c>
      <c r="BU539" s="558">
        <f>(WWWW[[#This Row],['#_Constructed/Existing tube wells/boreholes/handpumps_WASH_agency]]+WWWW[[#This Row],['#_Non-Cluster partner water tube-wells/boreholes/handpumps]])-WWWW[[#This Row],['#_Non-functional tube wells/boreholes/handpumps]]</f>
        <v>0</v>
      </c>
      <c r="BV539" s="558">
        <f>WWWW[[#This Row],['#_Constructed/Existingwater storage tank with gravity fed reticulation system]]-WWWW[[#This Row],['#_Non-functional storage tank gravity fed reticulation system]]</f>
        <v>0</v>
      </c>
      <c r="BW539" s="558">
        <f>WWWW[[#This Row],['#_Water boating or water trucking]]</f>
        <v>0</v>
      </c>
      <c r="BX539" s="558">
        <f>WWWW[[#This Row],['#_Constructed/Existing water distribution system from river or natural spring]]</f>
        <v>0</v>
      </c>
      <c r="BY539"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39"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39" s="559">
        <f>IF(WWWW[[#This Row],[Location Type 1]]="Village",WWWW[[#This Row],[Access to safe drinking water for Village]],WWWW[[#This Row],[Access to safe drinking water for Camp]])</f>
        <v>0</v>
      </c>
      <c r="CB539" s="556">
        <f>WWWW[[#This Row],[%Equitable and continuous access to sufficient quantity of safe drinking water]]*WWWW[[#This Row],[Total PoP ]]</f>
        <v>0</v>
      </c>
      <c r="CC539" s="559">
        <f>IF((WWWW[[#This Row],['#_Constructed/Existing protected/fenced ponds]]*250)/WWWW[[#This Row],[Total PoP ]]&gt;1,1,(WWWW[[#This Row],['#_Constructed/Existing protected/fenced ponds]]*250)/WWWW[[#This Row],[Total PoP ]])</f>
        <v>0</v>
      </c>
      <c r="CD539" s="556">
        <f>WWWW[[#This Row],[% Access to unimproved water points]]*WWWW[[#This Row],[Total PoP ]]</f>
        <v>0</v>
      </c>
      <c r="CE539"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39"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39" s="556">
        <f>WWWW[[#This Row],[HRP1]]/500</f>
        <v>0</v>
      </c>
      <c r="CH539" s="561">
        <f>1-WWWW[[#This Row],[% Equitable and continuous access to sufficient quantity of domestic water]]</f>
        <v>1</v>
      </c>
      <c r="CI539" s="556">
        <f>WWWW[[#This Row],[%equitable and continuous access to sufficient quantity of safe drinking and domestic water''s GAP]]*WWWW[[#This Row],[Total PoP ]]</f>
        <v>27</v>
      </c>
      <c r="CJ539" s="558">
        <f>IF(WWWW[[#This Row],[Total required water points]]-WWWW[[#This Row],['#Water points coverage]]&lt;0,0,WWWW[[#This Row],[Total required water points]]-WWWW[[#This Row],['#Water points coverage]])</f>
        <v>1</v>
      </c>
      <c r="CK539" s="558">
        <f>ROUND(IF(WWWW[[#This Row],[Total PoP ]]&lt;500,1,WWWW[[#This Row],[Total PoP ]]/500),0)</f>
        <v>1</v>
      </c>
      <c r="CL539" s="558">
        <f>(WWWW[[#This Row],['#_Constructed latrines_by_WASHAgencies]]+WWWW[[#This Row],['#_Non Cluster partner latrines]])-WWWW[[#This Row],['#_Non-functional latrines]]</f>
        <v>0</v>
      </c>
      <c r="CM539"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39"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39"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39" s="558">
        <f>IF(WWWW[[#This Row],[Location Type 1]]="Village","NA",IF(WWWW[[#This Row],['#_Constructed/Existing latrines in TLS]]*50&gt;WWWW[[#This Row],['#_students at TLS_CFS]],WWWW[[#This Row],['#_students at TLS_CFS]],(WWWW[[#This Row],['#_Constructed/Existing latrines in TLS]]*50)))</f>
        <v>0</v>
      </c>
      <c r="CQ539" s="558">
        <f>ROUND(IF(WWWW[[#This Row],[Location Type 1]]="camp",WWWW[[#This Row],[Total PoP ]]/20,IF(WWWW[[#This Row],[Location Type 1]]="Temporary Location",WWWW[[#This Row],[Total PoP ]]/50,(WWWW[[#This Row],[Total PoP ]]/6))),0)</f>
        <v>1</v>
      </c>
      <c r="CR539" s="558">
        <f>IF(WWWW[[#This Row],[Total required Latrines]]-(WWWW[[#This Row],['#_Constructed latrines_by_WASHAgencies]]+WWWW[[#This Row],['#_Non Cluster partner latrines]])&lt;0,0,WWWW[[#This Row],[Total required Latrines]]-(WWWW[[#This Row],['#_Constructed latrines_by_WASHAgencies]]+WWWW[[#This Row],['#_Non Cluster partner latrines]]))</f>
        <v>1</v>
      </c>
      <c r="CS539" s="78">
        <f>1-WWWW[[#This Row],[% people access to functioning Latrine]]</f>
        <v>1</v>
      </c>
      <c r="CT539" s="560">
        <f>IF(OR(WWWW[[#This Row],['#_Non-functional latrines]]="",WWWW[[#This Row],['#_Non-functional latrines]]=0),0,WWWW[[#This Row],['#_Non-functional latrines]]/(WWWW[[#This Row],['#_Constructed latrines_by_WASHAgencies]]+WWWW[[#This Row],['#_Non Cluster partner latrines]]))</f>
        <v>0</v>
      </c>
      <c r="CU539" s="556">
        <f>IF(500*(WWWW[[#This Row],['#_male hygiene promoters]]+WWWW[[#This Row],['#_female hygiene promoters]])&gt;WWWW[[#This Row],[Total PoP ]],WWWW[[#This Row],[Total PoP ]],500*(WWWW[[#This Row],['#_male hygiene promoters]]+WWWW[[#This Row],['#_female hygiene promoters]]))</f>
        <v>0</v>
      </c>
      <c r="CV539"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39"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39" s="558">
        <f>IF(WWWW[[#This Row],['# People with access to soap]]&gt;WWWW[[#This Row],['# People with access to Sanity Pads]],WWWW[[#This Row],['# People with access to soap]],WWWW[[#This Row],['# People with access to Sanity Pads]])</f>
        <v>0</v>
      </c>
      <c r="CY539" s="558">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39" s="561">
        <f>IF(WWWW[[#This Row],[HRP3]]/WWWW[[#This Row],[Total PoP ]]&gt;100%,100%,WWWW[[#This Row],[HRP3]]/WWWW[[#This Row],[Total PoP ]])</f>
        <v>0</v>
      </c>
      <c r="DA539" s="560">
        <f>1-WWWW[[#This Row],[Hygiene Coverage%]]</f>
        <v>1</v>
      </c>
      <c r="DB539" s="559">
        <f>WWWW[[#This Row],['# people reached by regular dedicated hygiene promotion_5]]/WWWW[[#This Row],[Total PoP ]]</f>
        <v>0</v>
      </c>
      <c r="DC539" s="559">
        <f>IF(WWWW[[#This Row],['#_households that received standard amount of soap for this quarter]]/WWWW[[#This Row],[Total HH]]&gt;1,1,WWWW[[#This Row],['#_households that received standard amount of soap for this quarter]]/WWWW[[#This Row],[Total HH]])</f>
        <v>0</v>
      </c>
      <c r="DD539" s="559">
        <f>IF(WWWW[[#This Row],['#_households that received standard amount of sanitary pads for this quarter]]/WWWW[[#This Row],[Total HH]]&gt;1,1,WWWW[[#This Row],['#_households that received standard amount of sanitary pads for this quarter]]/WWWW[[#This Row],[Total HH]])</f>
        <v>0</v>
      </c>
      <c r="DE539" s="558">
        <f>WWWW[[#This Row],['#_Constructed/Existing hand washing stations]]-WWWW[[#This Row],['#_Non-Functional_hand_washing_stations]]</f>
        <v>0</v>
      </c>
      <c r="DF539" s="757">
        <f>IF(WWWW[[#This Row],['# Functional hand washing stations during reporting period]]*20&gt;WWWW[[#This Row],[Total HH]],WWWW[[#This Row],[Total HH]],WWWW[[#This Row],['# Functional hand washing stations during reporting period]]*20)</f>
        <v>0</v>
      </c>
      <c r="DG539" s="556">
        <f>IF(WWWW[[#This Row],[Is sufficient soap available for TLS? (Yes/No)]]="yes",WWWW[[#This Row],['#_Constructed/Existing hand washing stations at TLS]],0)</f>
        <v>0</v>
      </c>
      <c r="DH539" s="556">
        <f>IF(WWWW[[#This Row],['# Functional hand washing stations during reporting period]]*100&gt;WWWW[[#This Row],[Total PoP ]],WWWW[[#This Row],[Total PoP ]],WWWW[[#This Row],['# Functional hand washing stations during reporting period]]*100)</f>
        <v>0</v>
      </c>
      <c r="DI539" s="556" t="str">
        <f>IF(OR(WWWW[[#This Row],['#_students at TLS_CFS]]="",WWWW[[#This Row],['#_students at TLS_CFS]]=0),"No","Yes")</f>
        <v>No</v>
      </c>
      <c r="DJ539" s="554">
        <f>VLOOKUP(WWWW[[#This Row],[Site Name]],SiteDB6[[Site Name]:[CCCM Management]],6,FALSE)</f>
        <v>0</v>
      </c>
      <c r="DK539" s="554" t="str">
        <f>VLOOKUP(WWWW[[#This Row],[Site Name]],SiteDB6[[Site Name]:[CCCM Focal Agency]],7,FALSE)</f>
        <v>uncovered</v>
      </c>
      <c r="DL539" s="554" t="str">
        <f>VLOOKUP(WWWW[[#This Row],[Site Name]],SiteDB6[[Site Name]:[Location Type 1]],9,FALSE)</f>
        <v>Camp</v>
      </c>
      <c r="DM539" s="554" t="str">
        <f>VLOOKUP(WWWW[[#This Row],[Site Name]],SiteDB6[[Site Name]:[Type of Accommodation]],10,FALSE)</f>
        <v>Camp like setting</v>
      </c>
      <c r="DN539" s="554" t="str">
        <f>VLOOKUP(WWWW[[#This Row],[Site Name]],SiteDB6[[Site Name]:[Ethnic or GCA/NGCA]],11,FALSE)</f>
        <v>GCA</v>
      </c>
      <c r="DO539" s="554">
        <f>VLOOKUP(WWWW[[#This Row],[Site Name]],SiteDB6[[Site Name]:[Lat]],12,FALSE)</f>
        <v>22.765999999999998</v>
      </c>
      <c r="DP539" s="554">
        <f>VLOOKUP(WWWW[[#This Row],[Site Name]],SiteDB6[[Site Name]:[Long]],13,FALSE)</f>
        <v>97.358999999999995</v>
      </c>
      <c r="DQ539" s="554" t="str">
        <f>VLOOKUP(WWWW[[#This Row],[Site Name]],SiteDB6[[Site Name]:[Pcode]],3,FALSE)</f>
        <v>MMR015CMP221</v>
      </c>
      <c r="DR539" s="563" t="str">
        <f t="shared" si="18"/>
        <v>Covered</v>
      </c>
      <c r="DS539" s="563"/>
    </row>
    <row r="540" spans="1:123" ht="20.25">
      <c r="A540" s="552" t="s">
        <v>2518</v>
      </c>
      <c r="B540" s="555" t="s">
        <v>1957</v>
      </c>
      <c r="C540" s="555" t="s">
        <v>1957</v>
      </c>
      <c r="D540" s="584" t="s">
        <v>2970</v>
      </c>
      <c r="E540" s="574" t="s">
        <v>716</v>
      </c>
      <c r="F540" s="555" t="s">
        <v>735</v>
      </c>
      <c r="G540" s="574" t="str">
        <f>VLOOKUP(WWWW[[#This Row],[Site Name]],SiteDB6[[Site Name]:[Location Type]],8,FALSE)</f>
        <v>Camp</v>
      </c>
      <c r="H540" s="584" t="s">
        <v>765</v>
      </c>
      <c r="I540" s="312">
        <v>36</v>
      </c>
      <c r="J540" s="312">
        <v>175</v>
      </c>
      <c r="K540" s="593" t="s">
        <v>2971</v>
      </c>
      <c r="L540" s="58" t="s">
        <v>2972</v>
      </c>
      <c r="M540" s="557">
        <v>63</v>
      </c>
      <c r="N540" s="557"/>
      <c r="O540" s="557"/>
      <c r="P540" s="557"/>
      <c r="Q540" s="556" t="s">
        <v>43</v>
      </c>
      <c r="R540" s="557">
        <v>4</v>
      </c>
      <c r="S540" s="557">
        <v>4</v>
      </c>
      <c r="T540" s="557">
        <v>1</v>
      </c>
      <c r="U540" s="557"/>
      <c r="V540" s="557"/>
      <c r="W540" s="557">
        <v>1</v>
      </c>
      <c r="X540" s="557"/>
      <c r="Y540" s="557"/>
      <c r="Z540" s="557"/>
      <c r="AA540" s="557">
        <v>13</v>
      </c>
      <c r="AB540" s="557">
        <v>13</v>
      </c>
      <c r="AC540" s="557"/>
      <c r="AD540" s="557"/>
      <c r="AE540" s="557"/>
      <c r="AF540" s="557"/>
      <c r="AG540" s="557">
        <v>1</v>
      </c>
      <c r="AH540" s="557"/>
      <c r="AI540" s="557">
        <v>1</v>
      </c>
      <c r="AJ540" s="557"/>
      <c r="AK540" s="557">
        <v>15</v>
      </c>
      <c r="AL540" s="557"/>
      <c r="AM540" s="557"/>
      <c r="AN540" s="557"/>
      <c r="AO540" s="563"/>
      <c r="AP540" s="557">
        <v>27</v>
      </c>
      <c r="AQ540" s="557">
        <v>9</v>
      </c>
      <c r="AR540" s="559"/>
      <c r="AS540" s="557"/>
      <c r="AT540" s="557"/>
      <c r="AU540" s="557"/>
      <c r="AV540" s="557"/>
      <c r="AW540" s="557"/>
      <c r="AX540" s="592" t="s">
        <v>144</v>
      </c>
      <c r="AY540" s="586" t="s">
        <v>144</v>
      </c>
      <c r="AZ540" s="557"/>
      <c r="BA540" s="557"/>
      <c r="BB540" s="557"/>
      <c r="BC540" s="591" t="s">
        <v>2969</v>
      </c>
      <c r="BD540" s="557"/>
      <c r="BE540" s="557"/>
      <c r="BF540" s="557"/>
      <c r="BG540" s="557">
        <v>2</v>
      </c>
      <c r="BH540" s="557"/>
      <c r="BI540" s="557"/>
      <c r="BJ540" s="557">
        <v>1</v>
      </c>
      <c r="BK540" s="557">
        <v>36</v>
      </c>
      <c r="BL540" s="557">
        <v>0</v>
      </c>
      <c r="BM540" s="554"/>
      <c r="BN540" s="558"/>
      <c r="BO540" s="559">
        <v>0.5</v>
      </c>
      <c r="BP540" s="554"/>
      <c r="BQ540" s="560">
        <f>IFERROR(WWWW[[#This Row],['#_Water sources treated]]/WWWW[[#This Row],['#_Water sources tested for contamination]],"no test")</f>
        <v>0</v>
      </c>
      <c r="BR540" s="559">
        <f>IFERROR(WWWW[[#This Row],['#_Household received remediation action due to contamination]]/WWWW[[#This Row],['#_Household water samples tested for contamination]],"no test")</f>
        <v>0</v>
      </c>
      <c r="BS540" s="558" t="str">
        <f>IF(AND(WWWW[[#This Row],[% of water sources treated]]="no test",WWWW[[#This Row],[% Household received corrective actions]]="no test"),"No Test","Tested")</f>
        <v>Tested</v>
      </c>
      <c r="BT540" s="558">
        <f>WWWW[[#This Row],['#_Constructed/existing protected hand dug well]]-WWWW[[#This Row],['#_Non-functional protected hand dug well]]</f>
        <v>1</v>
      </c>
      <c r="BU540" s="558">
        <f>(WWWW[[#This Row],['#_Constructed/Existing tube wells/boreholes/handpumps_WASH_agency]]+WWWW[[#This Row],['#_Non-Cluster partner water tube-wells/boreholes/handpumps]])-WWWW[[#This Row],['#_Non-functional tube wells/boreholes/handpumps]]</f>
        <v>1</v>
      </c>
      <c r="BV540" s="558">
        <f>WWWW[[#This Row],['#_Constructed/Existingwater storage tank with gravity fed reticulation system]]-WWWW[[#This Row],['#_Non-functional storage tank gravity fed reticulation system]]</f>
        <v>0</v>
      </c>
      <c r="BW540" s="558">
        <f>WWWW[[#This Row],['#_Water boating or water trucking]]</f>
        <v>0</v>
      </c>
      <c r="BX540" s="558">
        <f>WWWW[[#This Row],['#_Constructed/Existing water distribution system from river or natural spring]]</f>
        <v>0</v>
      </c>
      <c r="BY540"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0"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40" s="559">
        <f>IF(WWWW[[#This Row],[Location Type 1]]="Village",WWWW[[#This Row],[Access to safe drinking water for Village]],WWWW[[#This Row],[Access to safe drinking water for Camp]])</f>
        <v>1</v>
      </c>
      <c r="CB540" s="556">
        <f>WWWW[[#This Row],[%Equitable and continuous access to sufficient quantity of safe drinking water]]*WWWW[[#This Row],[Total PoP ]]</f>
        <v>175</v>
      </c>
      <c r="CC540" s="559">
        <f>IF((WWWW[[#This Row],['#_Constructed/Existing protected/fenced ponds]]*250)/WWWW[[#This Row],[Total PoP ]]&gt;1,1,(WWWW[[#This Row],['#_Constructed/Existing protected/fenced ponds]]*250)/WWWW[[#This Row],[Total PoP ]])</f>
        <v>0</v>
      </c>
      <c r="CD540" s="556">
        <f>WWWW[[#This Row],[% Access to unimproved water points]]*WWWW[[#This Row],[Total PoP ]]</f>
        <v>0</v>
      </c>
      <c r="CE540"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0"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v>
      </c>
      <c r="CG540" s="556">
        <f>WWWW[[#This Row],[HRP1]]/500</f>
        <v>0.35</v>
      </c>
      <c r="CH540" s="561">
        <f>1-WWWW[[#This Row],[% Equitable and continuous access to sufficient quantity of domestic water]]</f>
        <v>0</v>
      </c>
      <c r="CI540" s="556">
        <f>WWWW[[#This Row],[%equitable and continuous access to sufficient quantity of safe drinking and domestic water''s GAP]]*WWWW[[#This Row],[Total PoP ]]</f>
        <v>0</v>
      </c>
      <c r="CJ540" s="558">
        <f>IF(WWWW[[#This Row],[Total required water points]]-WWWW[[#This Row],['#Water points coverage]]&lt;0,0,WWWW[[#This Row],[Total required water points]]-WWWW[[#This Row],['#Water points coverage]])</f>
        <v>0.65</v>
      </c>
      <c r="CK540" s="558">
        <f>ROUND(IF(WWWW[[#This Row],[Total PoP ]]&lt;500,1,WWWW[[#This Row],[Total PoP ]]/500),0)</f>
        <v>1</v>
      </c>
      <c r="CL540" s="558">
        <f>(WWWW[[#This Row],['#_Constructed latrines_by_WASHAgencies]]+WWWW[[#This Row],['#_Non Cluster partner latrines]])-WWWW[[#This Row],['#_Non-functional latrines]]</f>
        <v>36</v>
      </c>
      <c r="CM540"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40"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175</v>
      </c>
      <c r="CO540"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0" s="558">
        <f>IF(WWWW[[#This Row],[Location Type 1]]="Village","NA",IF(WWWW[[#This Row],['#_Constructed/Existing latrines in TLS]]*50&gt;WWWW[[#This Row],['#_students at TLS_CFS]],WWWW[[#This Row],['#_students at TLS_CFS]],(WWWW[[#This Row],['#_Constructed/Existing latrines in TLS]]*50)))</f>
        <v>0</v>
      </c>
      <c r="CQ540" s="558">
        <f>ROUND(IF(WWWW[[#This Row],[Location Type 1]]="camp",WWWW[[#This Row],[Total PoP ]]/20,IF(WWWW[[#This Row],[Location Type 1]]="Temporary Location",WWWW[[#This Row],[Total PoP ]]/50,(WWWW[[#This Row],[Total PoP ]]/6))),0)</f>
        <v>9</v>
      </c>
      <c r="CR540" s="558">
        <f>IF(WWWW[[#This Row],[Total required Latrines]]-(WWWW[[#This Row],['#_Constructed latrines_by_WASHAgencies]]+WWWW[[#This Row],['#_Non Cluster partner latrines]])&lt;0,0,WWWW[[#This Row],[Total required Latrines]]-(WWWW[[#This Row],['#_Constructed latrines_by_WASHAgencies]]+WWWW[[#This Row],['#_Non Cluster partner latrines]]))</f>
        <v>0</v>
      </c>
      <c r="CS540" s="78">
        <f>1-WWWW[[#This Row],[% people access to functioning Latrine]]</f>
        <v>0</v>
      </c>
      <c r="CT540" s="560">
        <f>IF(OR(WWWW[[#This Row],['#_Non-functional latrines]]="",WWWW[[#This Row],['#_Non-functional latrines]]=0),0,WWWW[[#This Row],['#_Non-functional latrines]]/(WWWW[[#This Row],['#_Constructed latrines_by_WASHAgencies]]+WWWW[[#This Row],['#_Non Cluster partner latrines]]))</f>
        <v>0</v>
      </c>
      <c r="CU540" s="556">
        <f>IF(500*(WWWW[[#This Row],['#_male hygiene promoters]]+WWWW[[#This Row],['#_female hygiene promoters]])&gt;WWWW[[#This Row],[Total PoP ]],WWWW[[#This Row],[Total PoP ]],500*(WWWW[[#This Row],['#_male hygiene promoters]]+WWWW[[#This Row],['#_female hygiene promoters]]))</f>
        <v>175</v>
      </c>
      <c r="CV540"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CW540"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0" s="558">
        <f>IF(WWWW[[#This Row],['# People with access to soap]]&gt;WWWW[[#This Row],['# People with access to Sanity Pads]],WWWW[[#This Row],['# People with access to soap]],WWWW[[#This Row],['# People with access to Sanity Pads]])</f>
        <v>175</v>
      </c>
      <c r="CY540" s="558">
        <f>IF(WWWW[[#This Row],['# people reached by regular dedicated hygiene promotion_5]]&gt;WWWW[[#This Row],['# People received regular supply of hygiene items_6]],WWWW[[#This Row],['# people reached by regular dedicated hygiene promotion_5]],WWWW[[#This Row],['# People received regular supply of hygiene items_6]])</f>
        <v>175</v>
      </c>
      <c r="CZ540" s="561">
        <f>IF(WWWW[[#This Row],[HRP3]]/WWWW[[#This Row],[Total PoP ]]&gt;100%,100%,WWWW[[#This Row],[HRP3]]/WWWW[[#This Row],[Total PoP ]])</f>
        <v>1</v>
      </c>
      <c r="DA540" s="560">
        <f>1-WWWW[[#This Row],[Hygiene Coverage%]]</f>
        <v>0</v>
      </c>
      <c r="DB540" s="559">
        <f>WWWW[[#This Row],['# people reached by regular dedicated hygiene promotion_5]]/WWWW[[#This Row],[Total PoP ]]</f>
        <v>1</v>
      </c>
      <c r="DC540" s="559">
        <f>IF(WWWW[[#This Row],['#_households that received standard amount of soap for this quarter]]/WWWW[[#This Row],[Total HH]]&gt;1,1,WWWW[[#This Row],['#_households that received standard amount of soap for this quarter]]/WWWW[[#This Row],[Total HH]])</f>
        <v>1</v>
      </c>
      <c r="DD540" s="559">
        <f>IF(WWWW[[#This Row],['#_households that received standard amount of sanitary pads for this quarter]]/WWWW[[#This Row],[Total HH]]&gt;1,1,WWWW[[#This Row],['#_households that received standard amount of sanitary pads for this quarter]]/WWWW[[#This Row],[Total HH]])</f>
        <v>0</v>
      </c>
      <c r="DE540" s="558">
        <f>WWWW[[#This Row],['#_Constructed/Existing hand washing stations]]-WWWW[[#This Row],['#_Non-Functional_hand_washing_stations]]</f>
        <v>0</v>
      </c>
      <c r="DF540" s="757">
        <f>IF(WWWW[[#This Row],['# Functional hand washing stations during reporting period]]*20&gt;WWWW[[#This Row],[Total HH]],WWWW[[#This Row],[Total HH]],WWWW[[#This Row],['# Functional hand washing stations during reporting period]]*20)</f>
        <v>0</v>
      </c>
      <c r="DG540" s="556">
        <f>IF(WWWW[[#This Row],[Is sufficient soap available for TLS? (Yes/No)]]="yes",WWWW[[#This Row],['#_Constructed/Existing hand washing stations at TLS]],0)</f>
        <v>0</v>
      </c>
      <c r="DH540" s="556">
        <f>IF(WWWW[[#This Row],['# Functional hand washing stations during reporting period]]*100&gt;WWWW[[#This Row],[Total PoP ]],WWWW[[#This Row],[Total PoP ]],WWWW[[#This Row],['# Functional hand washing stations during reporting period]]*100)</f>
        <v>0</v>
      </c>
      <c r="DI540" s="556" t="str">
        <f>IF(OR(WWWW[[#This Row],['#_students at TLS_CFS]]="",WWWW[[#This Row],['#_students at TLS_CFS]]=0),"No","Yes")</f>
        <v>Yes</v>
      </c>
      <c r="DJ540" s="554">
        <f>VLOOKUP(WWWW[[#This Row],[Site Name]],SiteDB6[[Site Name]:[CCCM Management]],6,FALSE)</f>
        <v>0</v>
      </c>
      <c r="DK540" s="554">
        <f>VLOOKUP(WWWW[[#This Row],[Site Name]],SiteDB6[[Site Name]:[CCCM Focal Agency]],7,FALSE)</f>
        <v>0</v>
      </c>
      <c r="DL540" s="554" t="str">
        <f>VLOOKUP(WWWW[[#This Row],[Site Name]],SiteDB6[[Site Name]:[Location Type 1]],9,FALSE)</f>
        <v>Camp</v>
      </c>
      <c r="DM540" s="554" t="str">
        <f>VLOOKUP(WWWW[[#This Row],[Site Name]],SiteDB6[[Site Name]:[Type of Accommodation]],10,FALSE)</f>
        <v>Closed Camp</v>
      </c>
      <c r="DN540" s="554" t="str">
        <f>VLOOKUP(WWWW[[#This Row],[Site Name]],SiteDB6[[Site Name]:[Ethnic or GCA/NGCA]],11,FALSE)</f>
        <v>GCA</v>
      </c>
      <c r="DO540" s="554">
        <f>VLOOKUP(WWWW[[#This Row],[Site Name]],SiteDB6[[Site Name]:[Lat]],12,FALSE)</f>
        <v>23.353999999999999</v>
      </c>
      <c r="DP540" s="554">
        <f>VLOOKUP(WWWW[[#This Row],[Site Name]],SiteDB6[[Site Name]:[Long]],13,FALSE)</f>
        <v>98.221000000000004</v>
      </c>
      <c r="DQ540" s="554" t="str">
        <f>VLOOKUP(WWWW[[#This Row],[Site Name]],SiteDB6[[Site Name]:[Pcode]],3,FALSE)</f>
        <v>MMR015CMP226</v>
      </c>
      <c r="DR540" s="563" t="str">
        <f t="shared" si="18"/>
        <v>Covered</v>
      </c>
      <c r="DS540" s="563"/>
    </row>
    <row r="541" spans="1:123">
      <c r="A541" s="552" t="s">
        <v>2518</v>
      </c>
      <c r="B541" s="555" t="s">
        <v>1957</v>
      </c>
      <c r="C541" s="555" t="s">
        <v>1957</v>
      </c>
      <c r="D541" s="584" t="s">
        <v>2970</v>
      </c>
      <c r="E541" s="574" t="s">
        <v>716</v>
      </c>
      <c r="F541" s="555" t="s">
        <v>720</v>
      </c>
      <c r="G541" s="574" t="str">
        <f>VLOOKUP(WWWW[[#This Row],[Site Name]],SiteDB6[[Site Name]:[Location Type]],8,FALSE)</f>
        <v>Camp</v>
      </c>
      <c r="H541" s="555" t="s">
        <v>739</v>
      </c>
      <c r="I541" s="312">
        <v>205</v>
      </c>
      <c r="J541" s="312">
        <v>1077</v>
      </c>
      <c r="K541" s="593" t="s">
        <v>2971</v>
      </c>
      <c r="L541" s="58" t="s">
        <v>2972</v>
      </c>
      <c r="M541" s="557">
        <v>269</v>
      </c>
      <c r="N541" s="557"/>
      <c r="O541" s="557"/>
      <c r="P541" s="557"/>
      <c r="Q541" s="556" t="s">
        <v>43</v>
      </c>
      <c r="R541" s="557">
        <v>5</v>
      </c>
      <c r="S541" s="557">
        <v>4</v>
      </c>
      <c r="T541" s="557"/>
      <c r="U541" s="557"/>
      <c r="V541" s="557"/>
      <c r="W541" s="557"/>
      <c r="X541" s="557"/>
      <c r="Y541" s="557"/>
      <c r="Z541" s="557"/>
      <c r="AA541" s="557">
        <v>99</v>
      </c>
      <c r="AB541" s="557"/>
      <c r="AC541" s="557"/>
      <c r="AD541" s="557"/>
      <c r="AE541" s="557"/>
      <c r="AF541" s="557"/>
      <c r="AG541" s="557">
        <v>1</v>
      </c>
      <c r="AH541" s="557"/>
      <c r="AI541" s="557">
        <v>1</v>
      </c>
      <c r="AJ541" s="557"/>
      <c r="AK541" s="557">
        <v>15</v>
      </c>
      <c r="AL541" s="557"/>
      <c r="AM541" s="557"/>
      <c r="AN541" s="557"/>
      <c r="AO541" s="563"/>
      <c r="AP541" s="312">
        <v>179</v>
      </c>
      <c r="AQ541" s="312">
        <v>26</v>
      </c>
      <c r="AR541" s="559"/>
      <c r="AS541" s="557"/>
      <c r="AT541" s="557">
        <v>26</v>
      </c>
      <c r="AU541" s="557"/>
      <c r="AV541" s="557"/>
      <c r="AW541" s="557"/>
      <c r="AX541" s="592" t="s">
        <v>144</v>
      </c>
      <c r="AY541" s="586" t="s">
        <v>144</v>
      </c>
      <c r="AZ541" s="557"/>
      <c r="BA541" s="557"/>
      <c r="BB541" s="557"/>
      <c r="BC541" s="592" t="s">
        <v>2968</v>
      </c>
      <c r="BD541" s="557">
        <v>2</v>
      </c>
      <c r="BE541" s="557"/>
      <c r="BF541" s="557"/>
      <c r="BG541" s="557">
        <v>2</v>
      </c>
      <c r="BH541" s="557"/>
      <c r="BI541" s="557"/>
      <c r="BJ541" s="557">
        <v>1</v>
      </c>
      <c r="BK541" s="557">
        <v>205</v>
      </c>
      <c r="BL541" s="557">
        <v>0</v>
      </c>
      <c r="BM541" s="554"/>
      <c r="BN541" s="558"/>
      <c r="BO541" s="559">
        <v>0.5</v>
      </c>
      <c r="BP541" s="554"/>
      <c r="BQ541" s="560">
        <f>IFERROR(WWWW[[#This Row],['#_Water sources treated]]/WWWW[[#This Row],['#_Water sources tested for contamination]],"no test")</f>
        <v>0</v>
      </c>
      <c r="BR541" s="559">
        <f>IFERROR(WWWW[[#This Row],['#_Household received remediation action due to contamination]]/WWWW[[#This Row],['#_Household water samples tested for contamination]],"no test")</f>
        <v>0</v>
      </c>
      <c r="BS541" s="558" t="str">
        <f>IF(AND(WWWW[[#This Row],[% of water sources treated]]="no test",WWWW[[#This Row],[% Household received corrective actions]]="no test"),"No Test","Tested")</f>
        <v>Tested</v>
      </c>
      <c r="BT541" s="558">
        <f>WWWW[[#This Row],['#_Constructed/existing protected hand dug well]]-WWWW[[#This Row],['#_Non-functional protected hand dug well]]</f>
        <v>0</v>
      </c>
      <c r="BU541" s="558">
        <f>(WWWW[[#This Row],['#_Constructed/Existing tube wells/boreholes/handpumps_WASH_agency]]+WWWW[[#This Row],['#_Non-Cluster partner water tube-wells/boreholes/handpumps]])-WWWW[[#This Row],['#_Non-functional tube wells/boreholes/handpumps]]</f>
        <v>0</v>
      </c>
      <c r="BV541" s="558">
        <f>WWWW[[#This Row],['#_Constructed/Existingwater storage tank with gravity fed reticulation system]]-WWWW[[#This Row],['#_Non-functional storage tank gravity fed reticulation system]]</f>
        <v>99</v>
      </c>
      <c r="BW541" s="558">
        <f>WWWW[[#This Row],['#_Water boating or water trucking]]</f>
        <v>0</v>
      </c>
      <c r="BX541" s="558">
        <f>WWWW[[#This Row],['#_Constructed/Existing water distribution system from river or natural spring]]</f>
        <v>0</v>
      </c>
      <c r="BY541" s="560">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1" s="560">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41" s="559">
        <f>IF(WWWW[[#This Row],[Location Type 1]]="Village",WWWW[[#This Row],[Access to safe drinking water for Village]],WWWW[[#This Row],[Access to safe drinking water for Camp]])</f>
        <v>1</v>
      </c>
      <c r="CB541" s="556">
        <f>WWWW[[#This Row],[%Equitable and continuous access to sufficient quantity of safe drinking water]]*WWWW[[#This Row],[Total PoP ]]</f>
        <v>1077</v>
      </c>
      <c r="CC541" s="559">
        <f>IF((WWWW[[#This Row],['#_Constructed/Existing protected/fenced ponds]]*250)/WWWW[[#This Row],[Total PoP ]]&gt;1,1,(WWWW[[#This Row],['#_Constructed/Existing protected/fenced ponds]]*250)/WWWW[[#This Row],[Total PoP ]])</f>
        <v>0</v>
      </c>
      <c r="CD541" s="556">
        <f>WWWW[[#This Row],[% Access to unimproved water points]]*WWWW[[#This Row],[Total PoP ]]</f>
        <v>0</v>
      </c>
      <c r="CE541" s="5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1" s="5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G541" s="556">
        <f>WWWW[[#This Row],[HRP1]]/500</f>
        <v>2.1539999999999999</v>
      </c>
      <c r="CH541" s="561">
        <f>1-WWWW[[#This Row],[% Equitable and continuous access to sufficient quantity of domestic water]]</f>
        <v>0</v>
      </c>
      <c r="CI541" s="556">
        <f>WWWW[[#This Row],[%equitable and continuous access to sufficient quantity of safe drinking and domestic water''s GAP]]*WWWW[[#This Row],[Total PoP ]]</f>
        <v>0</v>
      </c>
      <c r="CJ541" s="558">
        <f>IF(WWWW[[#This Row],[Total required water points]]-WWWW[[#This Row],['#Water points coverage]]&lt;0,0,WWWW[[#This Row],[Total required water points]]-WWWW[[#This Row],['#Water points coverage]])</f>
        <v>0</v>
      </c>
      <c r="CK541" s="558">
        <f>ROUND(IF(WWWW[[#This Row],[Total PoP ]]&lt;500,1,WWWW[[#This Row],[Total PoP ]]/500),0)</f>
        <v>2</v>
      </c>
      <c r="CL541" s="558">
        <f>(WWWW[[#This Row],['#_Constructed latrines_by_WASHAgencies]]+WWWW[[#This Row],['#_Non Cluster partner latrines]])-WWWW[[#This Row],['#_Non-functional latrines]]</f>
        <v>205</v>
      </c>
      <c r="CM541" s="559">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41" s="556">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1077</v>
      </c>
      <c r="CO541" s="5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1" s="558">
        <f>IF(WWWW[[#This Row],[Location Type 1]]="Village","NA",IF(WWWW[[#This Row],['#_Constructed/Existing latrines in TLS]]*50&gt;WWWW[[#This Row],['#_students at TLS_CFS]],WWWW[[#This Row],['#_students at TLS_CFS]],(WWWW[[#This Row],['#_Constructed/Existing latrines in TLS]]*50)))</f>
        <v>0</v>
      </c>
      <c r="CQ541" s="558">
        <f>ROUND(IF(WWWW[[#This Row],[Location Type 1]]="camp",WWWW[[#This Row],[Total PoP ]]/20,IF(WWWW[[#This Row],[Location Type 1]]="Temporary Location",WWWW[[#This Row],[Total PoP ]]/50,(WWWW[[#This Row],[Total PoP ]]/6))),0)</f>
        <v>180</v>
      </c>
      <c r="CR541" s="558">
        <f>IF(WWWW[[#This Row],[Total required Latrines]]-(WWWW[[#This Row],['#_Constructed latrines_by_WASHAgencies]]+WWWW[[#This Row],['#_Non Cluster partner latrines]])&lt;0,0,WWWW[[#This Row],[Total required Latrines]]-(WWWW[[#This Row],['#_Constructed latrines_by_WASHAgencies]]+WWWW[[#This Row],['#_Non Cluster partner latrines]]))</f>
        <v>0</v>
      </c>
      <c r="CS541" s="78">
        <f>1-WWWW[[#This Row],[% people access to functioning Latrine]]</f>
        <v>0</v>
      </c>
      <c r="CT541" s="560">
        <f>IF(OR(WWWW[[#This Row],['#_Non-functional latrines]]="",WWWW[[#This Row],['#_Non-functional latrines]]=0),0,WWWW[[#This Row],['#_Non-functional latrines]]/(WWWW[[#This Row],['#_Constructed latrines_by_WASHAgencies]]+WWWW[[#This Row],['#_Non Cluster partner latrines]]))</f>
        <v>0</v>
      </c>
      <c r="CU541" s="556">
        <f>IF(500*(WWWW[[#This Row],['#_male hygiene promoters]]+WWWW[[#This Row],['#_female hygiene promoters]])&gt;WWWW[[#This Row],[Total PoP ]],WWWW[[#This Row],[Total PoP ]],500*(WWWW[[#This Row],['#_male hygiene promoters]]+WWWW[[#This Row],['#_female hygiene promoters]]))</f>
        <v>500</v>
      </c>
      <c r="CV541" s="558">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1077</v>
      </c>
      <c r="CW541" s="558">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1" s="558">
        <f>IF(WWWW[[#This Row],['# People with access to soap]]&gt;WWWW[[#This Row],['# People with access to Sanity Pads]],WWWW[[#This Row],['# People with access to soap]],WWWW[[#This Row],['# People with access to Sanity Pads]])</f>
        <v>1077</v>
      </c>
      <c r="CY541" s="558">
        <f>IF(WWWW[[#This Row],['# people reached by regular dedicated hygiene promotion_5]]&gt;WWWW[[#This Row],['# People received regular supply of hygiene items_6]],WWWW[[#This Row],['# people reached by regular dedicated hygiene promotion_5]],WWWW[[#This Row],['# People received regular supply of hygiene items_6]])</f>
        <v>1077</v>
      </c>
      <c r="CZ541" s="561">
        <f>IF(WWWW[[#This Row],[HRP3]]/WWWW[[#This Row],[Total PoP ]]&gt;100%,100%,WWWW[[#This Row],[HRP3]]/WWWW[[#This Row],[Total PoP ]])</f>
        <v>1</v>
      </c>
      <c r="DA541" s="560">
        <f>1-WWWW[[#This Row],[Hygiene Coverage%]]</f>
        <v>0</v>
      </c>
      <c r="DB541" s="559">
        <f>WWWW[[#This Row],['# people reached by regular dedicated hygiene promotion_5]]/WWWW[[#This Row],[Total PoP ]]</f>
        <v>0.46425255338904364</v>
      </c>
      <c r="DC541" s="559">
        <f>IF(WWWW[[#This Row],['#_households that received standard amount of soap for this quarter]]/WWWW[[#This Row],[Total HH]]&gt;1,1,WWWW[[#This Row],['#_households that received standard amount of soap for this quarter]]/WWWW[[#This Row],[Total HH]])</f>
        <v>1</v>
      </c>
      <c r="DD541" s="559">
        <f>IF(WWWW[[#This Row],['#_households that received standard amount of sanitary pads for this quarter]]/WWWW[[#This Row],[Total HH]]&gt;1,1,WWWW[[#This Row],['#_households that received standard amount of sanitary pads for this quarter]]/WWWW[[#This Row],[Total HH]])</f>
        <v>0</v>
      </c>
      <c r="DE541" s="558">
        <f>WWWW[[#This Row],['#_Constructed/Existing hand washing stations]]-WWWW[[#This Row],['#_Non-Functional_hand_washing_stations]]</f>
        <v>2</v>
      </c>
      <c r="DF541" s="757">
        <f>IF(WWWW[[#This Row],['# Functional hand washing stations during reporting period]]*20&gt;WWWW[[#This Row],[Total HH]],WWWW[[#This Row],[Total HH]],WWWW[[#This Row],['# Functional hand washing stations during reporting period]]*20)</f>
        <v>40</v>
      </c>
      <c r="DG541" s="556">
        <f>IF(WWWW[[#This Row],[Is sufficient soap available for TLS? (Yes/No)]]="yes",WWWW[[#This Row],['#_Constructed/Existing hand washing stations at TLS]],0)</f>
        <v>0</v>
      </c>
      <c r="DH541" s="556">
        <f>IF(WWWW[[#This Row],['# Functional hand washing stations during reporting period]]*100&gt;WWWW[[#This Row],[Total PoP ]],WWWW[[#This Row],[Total PoP ]],WWWW[[#This Row],['# Functional hand washing stations during reporting period]]*100)</f>
        <v>200</v>
      </c>
      <c r="DI541" s="556" t="str">
        <f>IF(OR(WWWW[[#This Row],['#_students at TLS_CFS]]="",WWWW[[#This Row],['#_students at TLS_CFS]]=0),"No","Yes")</f>
        <v>Yes</v>
      </c>
      <c r="DJ541" s="554" t="str">
        <f>VLOOKUP(WWWW[[#This Row],[Site Name]],SiteDB6[[Site Name]:[CCCM Management]],6,FALSE)</f>
        <v>Yes</v>
      </c>
      <c r="DK541" s="554" t="str">
        <f>VLOOKUP(WWWW[[#This Row],[Site Name]],SiteDB6[[Site Name]:[CCCM Focal Agency]],7,FALSE)</f>
        <v>KBC-NSS</v>
      </c>
      <c r="DL541" s="554" t="str">
        <f>VLOOKUP(WWWW[[#This Row],[Site Name]],SiteDB6[[Site Name]:[Location Type 1]],9,FALSE)</f>
        <v>Village Type Camp</v>
      </c>
      <c r="DM541" s="554" t="str">
        <f>VLOOKUP(WWWW[[#This Row],[Site Name]],SiteDB6[[Site Name]:[Type of Accommodation]],10,FALSE)</f>
        <v>Camp</v>
      </c>
      <c r="DN541" s="554" t="str">
        <f>VLOOKUP(WWWW[[#This Row],[Site Name]],SiteDB6[[Site Name]:[Ethnic or GCA/NGCA]],11,FALSE)</f>
        <v>GCA</v>
      </c>
      <c r="DO541" s="554">
        <f>VLOOKUP(WWWW[[#This Row],[Site Name]],SiteDB6[[Site Name]:[Lat]],12,FALSE)</f>
        <v>23.38503</v>
      </c>
      <c r="DP541" s="554">
        <f>VLOOKUP(WWWW[[#This Row],[Site Name]],SiteDB6[[Site Name]:[Long]],13,FALSE)</f>
        <v>97.837040000000002</v>
      </c>
      <c r="DQ541" s="554" t="str">
        <f>VLOOKUP(WWWW[[#This Row],[Site Name]],SiteDB6[[Site Name]:[Pcode]],3,FALSE)</f>
        <v>MMR015CMP020</v>
      </c>
      <c r="DR541" s="563" t="str">
        <f t="shared" si="18"/>
        <v>Covered</v>
      </c>
      <c r="DS541" s="563"/>
    </row>
    <row r="542" spans="1:123">
      <c r="A542" s="552" t="s">
        <v>2518</v>
      </c>
      <c r="B542" s="599" t="s">
        <v>305</v>
      </c>
      <c r="C542" s="599" t="s">
        <v>305</v>
      </c>
      <c r="D542" s="584"/>
      <c r="E542" s="574" t="s">
        <v>716</v>
      </c>
      <c r="F542" s="555" t="s">
        <v>757</v>
      </c>
      <c r="G542" s="592" t="str">
        <f>VLOOKUP(WWWW[[#This Row],[Site Name]],SiteDB6[[Site Name]:[Location Type]],8,FALSE)</f>
        <v>New Temporary Site</v>
      </c>
      <c r="H542" s="555" t="s">
        <v>2995</v>
      </c>
      <c r="I542" s="312">
        <v>53</v>
      </c>
      <c r="J542" s="312">
        <v>194</v>
      </c>
      <c r="K542" s="593"/>
      <c r="L542" s="58"/>
      <c r="M542" s="312"/>
      <c r="N542" s="312"/>
      <c r="O542" s="312"/>
      <c r="P542" s="312"/>
      <c r="Q542" s="585"/>
      <c r="R542" s="312"/>
      <c r="S542" s="312"/>
      <c r="T542" s="312"/>
      <c r="U542" s="312"/>
      <c r="V542" s="312"/>
      <c r="W542" s="312"/>
      <c r="X542" s="312"/>
      <c r="Y542" s="312"/>
      <c r="Z542" s="312"/>
      <c r="AA542" s="312"/>
      <c r="AB542" s="312"/>
      <c r="AC542" s="312"/>
      <c r="AD542" s="312"/>
      <c r="AE542" s="312"/>
      <c r="AF542" s="312"/>
      <c r="AG542" s="312"/>
      <c r="AH542" s="312"/>
      <c r="AI542" s="312"/>
      <c r="AJ542" s="312"/>
      <c r="AK542" s="312"/>
      <c r="AL542" s="312"/>
      <c r="AM542" s="312"/>
      <c r="AN542" s="312"/>
      <c r="AO542" s="586"/>
      <c r="AP542" s="312"/>
      <c r="AQ542" s="312"/>
      <c r="AR542" s="594"/>
      <c r="AS542" s="312"/>
      <c r="AT542" s="312"/>
      <c r="AU542" s="312"/>
      <c r="AV542" s="312"/>
      <c r="AW542" s="312"/>
      <c r="AX542" s="592"/>
      <c r="AY542" s="586"/>
      <c r="AZ542" s="312"/>
      <c r="BA542" s="312"/>
      <c r="BB542" s="312"/>
      <c r="BC542" s="592"/>
      <c r="BD542" s="312"/>
      <c r="BE542" s="312"/>
      <c r="BF542" s="312"/>
      <c r="BG542" s="312"/>
      <c r="BH542" s="312"/>
      <c r="BI542" s="312"/>
      <c r="BJ542" s="312"/>
      <c r="BK542" s="312">
        <v>53</v>
      </c>
      <c r="BL542" s="312">
        <v>53</v>
      </c>
      <c r="BM542" s="592"/>
      <c r="BN542" s="595"/>
      <c r="BO542" s="594"/>
      <c r="BP542" s="592"/>
      <c r="BQ542" s="596" t="str">
        <f>IFERROR(WWWW[[#This Row],['#_Water sources treated]]/WWWW[[#This Row],['#_Water sources tested for contamination]],"no test")</f>
        <v>no test</v>
      </c>
      <c r="BR542" s="594" t="str">
        <f>IFERROR(WWWW[[#This Row],['#_Household received remediation action due to contamination]]/WWWW[[#This Row],['#_Household water samples tested for contamination]],"no test")</f>
        <v>no test</v>
      </c>
      <c r="BS542" s="595" t="str">
        <f>IF(AND(WWWW[[#This Row],[% of water sources treated]]="no test",WWWW[[#This Row],[% Household received corrective actions]]="no test"),"No Test","Tested")</f>
        <v>No Test</v>
      </c>
      <c r="BT542" s="595">
        <f>WWWW[[#This Row],['#_Constructed/existing protected hand dug well]]-WWWW[[#This Row],['#_Non-functional protected hand dug well]]</f>
        <v>0</v>
      </c>
      <c r="BU542" s="595">
        <f>(WWWW[[#This Row],['#_Constructed/Existing tube wells/boreholes/handpumps_WASH_agency]]+WWWW[[#This Row],['#_Non-Cluster partner water tube-wells/boreholes/handpumps]])-WWWW[[#This Row],['#_Non-functional tube wells/boreholes/handpumps]]</f>
        <v>0</v>
      </c>
      <c r="BV542" s="595">
        <f>WWWW[[#This Row],['#_Constructed/Existingwater storage tank with gravity fed reticulation system]]-WWWW[[#This Row],['#_Non-functional storage tank gravity fed reticulation system]]</f>
        <v>0</v>
      </c>
      <c r="BW542" s="595">
        <f>WWWW[[#This Row],['#_Water boating or water trucking]]</f>
        <v>0</v>
      </c>
      <c r="BX542" s="595">
        <f>WWWW[[#This Row],['#_Constructed/Existing water distribution system from river or natural spring]]</f>
        <v>0</v>
      </c>
      <c r="BY542"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42"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42" s="594">
        <f>IF(WWWW[[#This Row],[Location Type 1]]="Village",WWWW[[#This Row],[Access to safe drinking water for Village]],WWWW[[#This Row],[Access to safe drinking water for Camp]])</f>
        <v>0</v>
      </c>
      <c r="CB542" s="585">
        <f>WWWW[[#This Row],[%Equitable and continuous access to sufficient quantity of safe drinking water]]*WWWW[[#This Row],[Total PoP ]]</f>
        <v>0</v>
      </c>
      <c r="CC542" s="594">
        <f>IF((WWWW[[#This Row],['#_Constructed/Existing protected/fenced ponds]]*250)/WWWW[[#This Row],[Total PoP ]]&gt;1,1,(WWWW[[#This Row],['#_Constructed/Existing protected/fenced ponds]]*250)/WWWW[[#This Row],[Total PoP ]])</f>
        <v>0</v>
      </c>
      <c r="CD542" s="585">
        <f>WWWW[[#This Row],[% Access to unimproved water points]]*WWWW[[#This Row],[Total PoP ]]</f>
        <v>0</v>
      </c>
      <c r="CE542"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42"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42" s="585">
        <f>WWWW[[#This Row],[HRP1]]/500</f>
        <v>0</v>
      </c>
      <c r="CH542" s="597">
        <f>1-WWWW[[#This Row],[% Equitable and continuous access to sufficient quantity of domestic water]]</f>
        <v>1</v>
      </c>
      <c r="CI542" s="585">
        <f>WWWW[[#This Row],[%equitable and continuous access to sufficient quantity of safe drinking and domestic water''s GAP]]*WWWW[[#This Row],[Total PoP ]]</f>
        <v>194</v>
      </c>
      <c r="CJ542" s="595">
        <f>IF(WWWW[[#This Row],[Total required water points]]-WWWW[[#This Row],['#Water points coverage]]&lt;0,0,WWWW[[#This Row],[Total required water points]]-WWWW[[#This Row],['#Water points coverage]])</f>
        <v>1</v>
      </c>
      <c r="CK542" s="595">
        <f>ROUND(IF(WWWW[[#This Row],[Total PoP ]]&lt;500,1,WWWW[[#This Row],[Total PoP ]]/500),0)</f>
        <v>1</v>
      </c>
      <c r="CL542" s="595">
        <f>(WWWW[[#This Row],['#_Constructed latrines_by_WASHAgencies]]+WWWW[[#This Row],['#_Non Cluster partner latrines]])-WWWW[[#This Row],['#_Non-functional latrines]]</f>
        <v>0</v>
      </c>
      <c r="CM542"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42"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42"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2" s="595">
        <f>IF(WWWW[[#This Row],[Location Type 1]]="Village","NA",IF(WWWW[[#This Row],['#_Constructed/Existing latrines in TLS]]*50&gt;WWWW[[#This Row],['#_students at TLS_CFS]],WWWW[[#This Row],['#_students at TLS_CFS]],(WWWW[[#This Row],['#_Constructed/Existing latrines in TLS]]*50)))</f>
        <v>0</v>
      </c>
      <c r="CQ542" s="595">
        <f>ROUND(IF(WWWW[[#This Row],[Location Type 1]]="camp",WWWW[[#This Row],[Total PoP ]]/20,IF(WWWW[[#This Row],[Location Type 1]]="Temporary Location",WWWW[[#This Row],[Total PoP ]]/50,(WWWW[[#This Row],[Total PoP ]]/6))),0)</f>
        <v>4</v>
      </c>
      <c r="CR542" s="595">
        <f>IF(WWWW[[#This Row],[Total required Latrines]]-(WWWW[[#This Row],['#_Constructed latrines_by_WASHAgencies]]+WWWW[[#This Row],['#_Non Cluster partner latrines]])&lt;0,0,WWWW[[#This Row],[Total required Latrines]]-(WWWW[[#This Row],['#_Constructed latrines_by_WASHAgencies]]+WWWW[[#This Row],['#_Non Cluster partner latrines]]))</f>
        <v>4</v>
      </c>
      <c r="CS542" s="78">
        <f>1-WWWW[[#This Row],[% people access to functioning Latrine]]</f>
        <v>1</v>
      </c>
      <c r="CT542" s="596">
        <f>IF(OR(WWWW[[#This Row],['#_Non-functional latrines]]="",WWWW[[#This Row],['#_Non-functional latrines]]=0),0,WWWW[[#This Row],['#_Non-functional latrines]]/(WWWW[[#This Row],['#_Constructed latrines_by_WASHAgencies]]+WWWW[[#This Row],['#_Non Cluster partner latrines]]))</f>
        <v>0</v>
      </c>
      <c r="CU542" s="585">
        <f>IF(500*(WWWW[[#This Row],['#_male hygiene promoters]]+WWWW[[#This Row],['#_female hygiene promoters]])&gt;WWWW[[#This Row],[Total PoP ]],WWWW[[#This Row],[Total PoP ]],500*(WWWW[[#This Row],['#_male hygiene promoters]]+WWWW[[#This Row],['#_female hygiene promoters]]))</f>
        <v>0</v>
      </c>
      <c r="CV542"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194</v>
      </c>
      <c r="CW542"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194</v>
      </c>
      <c r="CX542" s="595">
        <f>IF(WWWW[[#This Row],['# People with access to soap]]&gt;WWWW[[#This Row],['# People with access to Sanity Pads]],WWWW[[#This Row],['# People with access to soap]],WWWW[[#This Row],['# People with access to Sanity Pads]])</f>
        <v>194</v>
      </c>
      <c r="CY542" s="595">
        <f>IF(WWWW[[#This Row],['# people reached by regular dedicated hygiene promotion_5]]&gt;WWWW[[#This Row],['# People received regular supply of hygiene items_6]],WWWW[[#This Row],['# people reached by regular dedicated hygiene promotion_5]],WWWW[[#This Row],['# People received regular supply of hygiene items_6]])</f>
        <v>194</v>
      </c>
      <c r="CZ542" s="597">
        <f>IF(WWWW[[#This Row],[HRP3]]/WWWW[[#This Row],[Total PoP ]]&gt;100%,100%,WWWW[[#This Row],[HRP3]]/WWWW[[#This Row],[Total PoP ]])</f>
        <v>1</v>
      </c>
      <c r="DA542" s="596">
        <f>1-WWWW[[#This Row],[Hygiene Coverage%]]</f>
        <v>0</v>
      </c>
      <c r="DB542" s="594">
        <f>WWWW[[#This Row],['# people reached by regular dedicated hygiene promotion_5]]/WWWW[[#This Row],[Total PoP ]]</f>
        <v>0</v>
      </c>
      <c r="DC542" s="594">
        <f>IF(WWWW[[#This Row],['#_households that received standard amount of soap for this quarter]]/WWWW[[#This Row],[Total HH]]&gt;1,1,WWWW[[#This Row],['#_households that received standard amount of soap for this quarter]]/WWWW[[#This Row],[Total HH]])</f>
        <v>1</v>
      </c>
      <c r="DD542" s="594">
        <f>IF(WWWW[[#This Row],['#_households that received standard amount of sanitary pads for this quarter]]/WWWW[[#This Row],[Total HH]]&gt;1,1,WWWW[[#This Row],['#_households that received standard amount of sanitary pads for this quarter]]/WWWW[[#This Row],[Total HH]])</f>
        <v>1</v>
      </c>
      <c r="DE542" s="595">
        <f>WWWW[[#This Row],['#_Constructed/Existing hand washing stations]]-WWWW[[#This Row],['#_Non-Functional_hand_washing_stations]]</f>
        <v>0</v>
      </c>
      <c r="DF542" s="757">
        <f>IF(WWWW[[#This Row],['# Functional hand washing stations during reporting period]]*20&gt;WWWW[[#This Row],[Total HH]],WWWW[[#This Row],[Total HH]],WWWW[[#This Row],['# Functional hand washing stations during reporting period]]*20)</f>
        <v>0</v>
      </c>
      <c r="DG542" s="585">
        <f>IF(WWWW[[#This Row],[Is sufficient soap available for TLS? (Yes/No)]]="yes",WWWW[[#This Row],['#_Constructed/Existing hand washing stations at TLS]],0)</f>
        <v>0</v>
      </c>
      <c r="DH542" s="585">
        <f>IF(WWWW[[#This Row],['# Functional hand washing stations during reporting period]]*100&gt;WWWW[[#This Row],[Total PoP ]],WWWW[[#This Row],[Total PoP ]],WWWW[[#This Row],['# Functional hand washing stations during reporting period]]*100)</f>
        <v>0</v>
      </c>
      <c r="DI542" s="585" t="str">
        <f>IF(OR(WWWW[[#This Row],['#_students at TLS_CFS]]="",WWWW[[#This Row],['#_students at TLS_CFS]]=0),"No","Yes")</f>
        <v>No</v>
      </c>
      <c r="DJ542" s="592">
        <f>VLOOKUP(WWWW[[#This Row],[Site Name]],SiteDB6[[Site Name]:[CCCM Management]],6,FALSE)</f>
        <v>0</v>
      </c>
      <c r="DK542" s="592">
        <f>VLOOKUP(WWWW[[#This Row],[Site Name]],SiteDB6[[Site Name]:[CCCM Focal Agency]],7,FALSE)</f>
        <v>0</v>
      </c>
      <c r="DL542" s="592" t="str">
        <f>VLOOKUP(WWWW[[#This Row],[Site Name]],SiteDB6[[Site Name]:[Location Type 1]],9,FALSE)</f>
        <v>Temporary location</v>
      </c>
      <c r="DM542" s="592" t="str">
        <f>VLOOKUP(WWWW[[#This Row],[Site Name]],SiteDB6[[Site Name]:[Type of Accommodation]],10,FALSE)</f>
        <v>Temporary location</v>
      </c>
      <c r="DN542" s="592" t="str">
        <f>VLOOKUP(WWWW[[#This Row],[Site Name]],SiteDB6[[Site Name]:[Ethnic or GCA/NGCA]],11,FALSE)</f>
        <v>GCA</v>
      </c>
      <c r="DO542" s="592">
        <f>VLOOKUP(WWWW[[#This Row],[Site Name]],SiteDB6[[Site Name]:[Lat]],12,FALSE)</f>
        <v>0</v>
      </c>
      <c r="DP542" s="592">
        <f>VLOOKUP(WWWW[[#This Row],[Site Name]],SiteDB6[[Site Name]:[Long]],13,FALSE)</f>
        <v>0</v>
      </c>
      <c r="DQ542" s="592">
        <f>VLOOKUP(WWWW[[#This Row],[Site Name]],SiteDB6[[Site Name]:[Pcode]],3,FALSE)</f>
        <v>0</v>
      </c>
      <c r="DR542" s="586" t="str">
        <f t="shared" ref="DR542:DR546" si="19">IF(C542="none","Notcovered","Covered")</f>
        <v>Covered</v>
      </c>
      <c r="DS542" s="586"/>
    </row>
    <row r="543" spans="1:123">
      <c r="A543" s="552" t="s">
        <v>2518</v>
      </c>
      <c r="B543" s="599" t="s">
        <v>305</v>
      </c>
      <c r="C543" s="599" t="s">
        <v>305</v>
      </c>
      <c r="D543" s="584"/>
      <c r="E543" s="574" t="s">
        <v>716</v>
      </c>
      <c r="F543" s="555" t="s">
        <v>757</v>
      </c>
      <c r="G543" s="592" t="str">
        <f>VLOOKUP(WWWW[[#This Row],[Site Name]],SiteDB6[[Site Name]:[Location Type]],8,FALSE)</f>
        <v>New Temporary Site</v>
      </c>
      <c r="H543" s="555" t="s">
        <v>2993</v>
      </c>
      <c r="I543" s="312">
        <v>133</v>
      </c>
      <c r="J543" s="312">
        <v>373</v>
      </c>
      <c r="K543" s="593"/>
      <c r="L543" s="58"/>
      <c r="M543" s="312"/>
      <c r="N543" s="312"/>
      <c r="O543" s="312"/>
      <c r="P543" s="312"/>
      <c r="Q543" s="585"/>
      <c r="R543" s="312"/>
      <c r="S543" s="312"/>
      <c r="T543" s="312"/>
      <c r="U543" s="312"/>
      <c r="V543" s="312"/>
      <c r="W543" s="312"/>
      <c r="X543" s="312"/>
      <c r="Y543" s="312"/>
      <c r="Z543" s="312"/>
      <c r="AA543" s="312"/>
      <c r="AB543" s="312"/>
      <c r="AC543" s="312"/>
      <c r="AD543" s="312"/>
      <c r="AE543" s="312"/>
      <c r="AF543" s="312"/>
      <c r="AG543" s="312"/>
      <c r="AH543" s="312"/>
      <c r="AI543" s="312"/>
      <c r="AJ543" s="312"/>
      <c r="AK543" s="312"/>
      <c r="AL543" s="312"/>
      <c r="AM543" s="312"/>
      <c r="AN543" s="312"/>
      <c r="AO543" s="586"/>
      <c r="AP543" s="312"/>
      <c r="AQ543" s="312"/>
      <c r="AR543" s="594"/>
      <c r="AS543" s="312"/>
      <c r="AT543" s="312"/>
      <c r="AU543" s="312"/>
      <c r="AV543" s="312"/>
      <c r="AW543" s="312"/>
      <c r="AX543" s="592"/>
      <c r="AY543" s="586"/>
      <c r="AZ543" s="312"/>
      <c r="BA543" s="312"/>
      <c r="BB543" s="312"/>
      <c r="BC543" s="592"/>
      <c r="BD543" s="312"/>
      <c r="BE543" s="312"/>
      <c r="BF543" s="312"/>
      <c r="BG543" s="312">
        <v>1</v>
      </c>
      <c r="BH543" s="312"/>
      <c r="BI543" s="312"/>
      <c r="BJ543" s="312"/>
      <c r="BK543" s="312"/>
      <c r="BL543" s="312"/>
      <c r="BM543" s="592"/>
      <c r="BN543" s="595"/>
      <c r="BO543" s="594"/>
      <c r="BP543" s="592"/>
      <c r="BQ543" s="596" t="str">
        <f>IFERROR(WWWW[[#This Row],['#_Water sources treated]]/WWWW[[#This Row],['#_Water sources tested for contamination]],"no test")</f>
        <v>no test</v>
      </c>
      <c r="BR543" s="594" t="str">
        <f>IFERROR(WWWW[[#This Row],['#_Household received remediation action due to contamination]]/WWWW[[#This Row],['#_Household water samples tested for contamination]],"no test")</f>
        <v>no test</v>
      </c>
      <c r="BS543" s="595" t="str">
        <f>IF(AND(WWWW[[#This Row],[% of water sources treated]]="no test",WWWW[[#This Row],[% Household received corrective actions]]="no test"),"No Test","Tested")</f>
        <v>No Test</v>
      </c>
      <c r="BT543" s="595">
        <f>WWWW[[#This Row],['#_Constructed/existing protected hand dug well]]-WWWW[[#This Row],['#_Non-functional protected hand dug well]]</f>
        <v>0</v>
      </c>
      <c r="BU543" s="595">
        <f>(WWWW[[#This Row],['#_Constructed/Existing tube wells/boreholes/handpumps_WASH_agency]]+WWWW[[#This Row],['#_Non-Cluster partner water tube-wells/boreholes/handpumps]])-WWWW[[#This Row],['#_Non-functional tube wells/boreholes/handpumps]]</f>
        <v>0</v>
      </c>
      <c r="BV543" s="595">
        <f>WWWW[[#This Row],['#_Constructed/Existingwater storage tank with gravity fed reticulation system]]-WWWW[[#This Row],['#_Non-functional storage tank gravity fed reticulation system]]</f>
        <v>0</v>
      </c>
      <c r="BW543" s="595">
        <f>WWWW[[#This Row],['#_Water boating or water trucking]]</f>
        <v>0</v>
      </c>
      <c r="BX543" s="595">
        <f>WWWW[[#This Row],['#_Constructed/Existing water distribution system from river or natural spring]]</f>
        <v>0</v>
      </c>
      <c r="BY543"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43"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43" s="594">
        <f>IF(WWWW[[#This Row],[Location Type 1]]="Village",WWWW[[#This Row],[Access to safe drinking water for Village]],WWWW[[#This Row],[Access to safe drinking water for Camp]])</f>
        <v>0</v>
      </c>
      <c r="CB543" s="585">
        <f>WWWW[[#This Row],[%Equitable and continuous access to sufficient quantity of safe drinking water]]*WWWW[[#This Row],[Total PoP ]]</f>
        <v>0</v>
      </c>
      <c r="CC543" s="594">
        <f>IF((WWWW[[#This Row],['#_Constructed/Existing protected/fenced ponds]]*250)/WWWW[[#This Row],[Total PoP ]]&gt;1,1,(WWWW[[#This Row],['#_Constructed/Existing protected/fenced ponds]]*250)/WWWW[[#This Row],[Total PoP ]])</f>
        <v>0</v>
      </c>
      <c r="CD543" s="585">
        <f>WWWW[[#This Row],[% Access to unimproved water points]]*WWWW[[#This Row],[Total PoP ]]</f>
        <v>0</v>
      </c>
      <c r="CE543"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43"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43" s="585">
        <f>WWWW[[#This Row],[HRP1]]/500</f>
        <v>0</v>
      </c>
      <c r="CH543" s="597">
        <f>1-WWWW[[#This Row],[% Equitable and continuous access to sufficient quantity of domestic water]]</f>
        <v>1</v>
      </c>
      <c r="CI543" s="585">
        <f>WWWW[[#This Row],[%equitable and continuous access to sufficient quantity of safe drinking and domestic water''s GAP]]*WWWW[[#This Row],[Total PoP ]]</f>
        <v>373</v>
      </c>
      <c r="CJ543" s="595">
        <f>IF(WWWW[[#This Row],[Total required water points]]-WWWW[[#This Row],['#Water points coverage]]&lt;0,0,WWWW[[#This Row],[Total required water points]]-WWWW[[#This Row],['#Water points coverage]])</f>
        <v>1</v>
      </c>
      <c r="CK543" s="595">
        <f>ROUND(IF(WWWW[[#This Row],[Total PoP ]]&lt;500,1,WWWW[[#This Row],[Total PoP ]]/500),0)</f>
        <v>1</v>
      </c>
      <c r="CL543" s="595">
        <f>(WWWW[[#This Row],['#_Constructed latrines_by_WASHAgencies]]+WWWW[[#This Row],['#_Non Cluster partner latrines]])-WWWW[[#This Row],['#_Non-functional latrines]]</f>
        <v>0</v>
      </c>
      <c r="CM543"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43"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43"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3" s="595">
        <f>IF(WWWW[[#This Row],[Location Type 1]]="Village","NA",IF(WWWW[[#This Row],['#_Constructed/Existing latrines in TLS]]*50&gt;WWWW[[#This Row],['#_students at TLS_CFS]],WWWW[[#This Row],['#_students at TLS_CFS]],(WWWW[[#This Row],['#_Constructed/Existing latrines in TLS]]*50)))</f>
        <v>0</v>
      </c>
      <c r="CQ543" s="595">
        <f>ROUND(IF(WWWW[[#This Row],[Location Type 1]]="camp",WWWW[[#This Row],[Total PoP ]]/20,IF(WWWW[[#This Row],[Location Type 1]]="Temporary Location",WWWW[[#This Row],[Total PoP ]]/50,(WWWW[[#This Row],[Total PoP ]]/6))),0)</f>
        <v>7</v>
      </c>
      <c r="CR543" s="595">
        <f>IF(WWWW[[#This Row],[Total required Latrines]]-(WWWW[[#This Row],['#_Constructed latrines_by_WASHAgencies]]+WWWW[[#This Row],['#_Non Cluster partner latrines]])&lt;0,0,WWWW[[#This Row],[Total required Latrines]]-(WWWW[[#This Row],['#_Constructed latrines_by_WASHAgencies]]+WWWW[[#This Row],['#_Non Cluster partner latrines]]))</f>
        <v>7</v>
      </c>
      <c r="CS543" s="78">
        <f>1-WWWW[[#This Row],[% people access to functioning Latrine]]</f>
        <v>1</v>
      </c>
      <c r="CT543" s="596">
        <f>IF(OR(WWWW[[#This Row],['#_Non-functional latrines]]="",WWWW[[#This Row],['#_Non-functional latrines]]=0),0,WWWW[[#This Row],['#_Non-functional latrines]]/(WWWW[[#This Row],['#_Constructed latrines_by_WASHAgencies]]+WWWW[[#This Row],['#_Non Cluster partner latrines]]))</f>
        <v>0</v>
      </c>
      <c r="CU543" s="585">
        <f>IF(500*(WWWW[[#This Row],['#_male hygiene promoters]]+WWWW[[#This Row],['#_female hygiene promoters]])&gt;WWWW[[#This Row],[Total PoP ]],WWWW[[#This Row],[Total PoP ]],500*(WWWW[[#This Row],['#_male hygiene promoters]]+WWWW[[#This Row],['#_female hygiene promoters]]))</f>
        <v>0</v>
      </c>
      <c r="CV543"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43"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3" s="595">
        <f>IF(WWWW[[#This Row],['# People with access to soap]]&gt;WWWW[[#This Row],['# People with access to Sanity Pads]],WWWW[[#This Row],['# People with access to soap]],WWWW[[#This Row],['# People with access to Sanity Pads]])</f>
        <v>0</v>
      </c>
      <c r="CY543" s="595">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43" s="597">
        <f>IF(WWWW[[#This Row],[HRP3]]/WWWW[[#This Row],[Total PoP ]]&gt;100%,100%,WWWW[[#This Row],[HRP3]]/WWWW[[#This Row],[Total PoP ]])</f>
        <v>0</v>
      </c>
      <c r="DA543" s="596">
        <f>1-WWWW[[#This Row],[Hygiene Coverage%]]</f>
        <v>1</v>
      </c>
      <c r="DB543" s="594">
        <f>WWWW[[#This Row],['# people reached by regular dedicated hygiene promotion_5]]/WWWW[[#This Row],[Total PoP ]]</f>
        <v>0</v>
      </c>
      <c r="DC543" s="594">
        <f>IF(WWWW[[#This Row],['#_households that received standard amount of soap for this quarter]]/WWWW[[#This Row],[Total HH]]&gt;1,1,WWWW[[#This Row],['#_households that received standard amount of soap for this quarter]]/WWWW[[#This Row],[Total HH]])</f>
        <v>0</v>
      </c>
      <c r="DD543" s="594">
        <f>IF(WWWW[[#This Row],['#_households that received standard amount of sanitary pads for this quarter]]/WWWW[[#This Row],[Total HH]]&gt;1,1,WWWW[[#This Row],['#_households that received standard amount of sanitary pads for this quarter]]/WWWW[[#This Row],[Total HH]])</f>
        <v>0</v>
      </c>
      <c r="DE543" s="595">
        <f>WWWW[[#This Row],['#_Constructed/Existing hand washing stations]]-WWWW[[#This Row],['#_Non-Functional_hand_washing_stations]]</f>
        <v>0</v>
      </c>
      <c r="DF543" s="757">
        <f>IF(WWWW[[#This Row],['# Functional hand washing stations during reporting period]]*20&gt;WWWW[[#This Row],[Total HH]],WWWW[[#This Row],[Total HH]],WWWW[[#This Row],['# Functional hand washing stations during reporting period]]*20)</f>
        <v>0</v>
      </c>
      <c r="DG543" s="585">
        <f>IF(WWWW[[#This Row],[Is sufficient soap available for TLS? (Yes/No)]]="yes",WWWW[[#This Row],['#_Constructed/Existing hand washing stations at TLS]],0)</f>
        <v>0</v>
      </c>
      <c r="DH543" s="585">
        <f>IF(WWWW[[#This Row],['# Functional hand washing stations during reporting period]]*100&gt;WWWW[[#This Row],[Total PoP ]],WWWW[[#This Row],[Total PoP ]],WWWW[[#This Row],['# Functional hand washing stations during reporting period]]*100)</f>
        <v>0</v>
      </c>
      <c r="DI543" s="585" t="str">
        <f>IF(OR(WWWW[[#This Row],['#_students at TLS_CFS]]="",WWWW[[#This Row],['#_students at TLS_CFS]]=0),"No","Yes")</f>
        <v>No</v>
      </c>
      <c r="DJ543" s="592">
        <f>VLOOKUP(WWWW[[#This Row],[Site Name]],SiteDB6[[Site Name]:[CCCM Management]],6,FALSE)</f>
        <v>0</v>
      </c>
      <c r="DK543" s="592">
        <f>VLOOKUP(WWWW[[#This Row],[Site Name]],SiteDB6[[Site Name]:[CCCM Focal Agency]],7,FALSE)</f>
        <v>0</v>
      </c>
      <c r="DL543" s="592" t="str">
        <f>VLOOKUP(WWWW[[#This Row],[Site Name]],SiteDB6[[Site Name]:[Location Type 1]],9,FALSE)</f>
        <v>Temporary location</v>
      </c>
      <c r="DM543" s="592" t="str">
        <f>VLOOKUP(WWWW[[#This Row],[Site Name]],SiteDB6[[Site Name]:[Type of Accommodation]],10,FALSE)</f>
        <v>Temporary location</v>
      </c>
      <c r="DN543" s="592" t="str">
        <f>VLOOKUP(WWWW[[#This Row],[Site Name]],SiteDB6[[Site Name]:[Ethnic or GCA/NGCA]],11,FALSE)</f>
        <v>GCA</v>
      </c>
      <c r="DO543" s="592">
        <f>VLOOKUP(WWWW[[#This Row],[Site Name]],SiteDB6[[Site Name]:[Lat]],12,FALSE)</f>
        <v>0</v>
      </c>
      <c r="DP543" s="592">
        <f>VLOOKUP(WWWW[[#This Row],[Site Name]],SiteDB6[[Site Name]:[Long]],13,FALSE)</f>
        <v>0</v>
      </c>
      <c r="DQ543" s="592">
        <f>VLOOKUP(WWWW[[#This Row],[Site Name]],SiteDB6[[Site Name]:[Pcode]],3,FALSE)</f>
        <v>0</v>
      </c>
      <c r="DR543" s="586" t="str">
        <f t="shared" si="19"/>
        <v>Covered</v>
      </c>
      <c r="DS543" s="586"/>
    </row>
    <row r="544" spans="1:123">
      <c r="A544" s="552" t="s">
        <v>2518</v>
      </c>
      <c r="B544" s="599" t="s">
        <v>305</v>
      </c>
      <c r="C544" s="599" t="s">
        <v>305</v>
      </c>
      <c r="D544" s="584"/>
      <c r="E544" s="574" t="s">
        <v>716</v>
      </c>
      <c r="F544" s="555" t="s">
        <v>757</v>
      </c>
      <c r="G544" s="592" t="str">
        <f>VLOOKUP(WWWW[[#This Row],[Site Name]],SiteDB6[[Site Name]:[Location Type]],8,FALSE)</f>
        <v>New Temporary Site</v>
      </c>
      <c r="H544" s="555" t="s">
        <v>2994</v>
      </c>
      <c r="I544" s="312">
        <v>125</v>
      </c>
      <c r="J544" s="312">
        <v>1360</v>
      </c>
      <c r="K544" s="593"/>
      <c r="L544" s="58"/>
      <c r="M544" s="312"/>
      <c r="N544" s="312"/>
      <c r="O544" s="312"/>
      <c r="P544" s="312"/>
      <c r="Q544" s="585"/>
      <c r="R544" s="312"/>
      <c r="S544" s="312"/>
      <c r="T544" s="312"/>
      <c r="U544" s="312"/>
      <c r="V544" s="312"/>
      <c r="W544" s="312"/>
      <c r="X544" s="312"/>
      <c r="Y544" s="312"/>
      <c r="Z544" s="312"/>
      <c r="AA544" s="312"/>
      <c r="AB544" s="312"/>
      <c r="AC544" s="312"/>
      <c r="AD544" s="312"/>
      <c r="AE544" s="312"/>
      <c r="AF544" s="312"/>
      <c r="AG544" s="312"/>
      <c r="AH544" s="312"/>
      <c r="AI544" s="312"/>
      <c r="AJ544" s="312"/>
      <c r="AK544" s="312"/>
      <c r="AL544" s="312"/>
      <c r="AM544" s="312"/>
      <c r="AN544" s="312"/>
      <c r="AO544" s="586"/>
      <c r="AP544" s="312">
        <v>20</v>
      </c>
      <c r="AQ544" s="312"/>
      <c r="AR544" s="594"/>
      <c r="AS544" s="312"/>
      <c r="AT544" s="312"/>
      <c r="AU544" s="312"/>
      <c r="AV544" s="312"/>
      <c r="AW544" s="312"/>
      <c r="AX544" s="592"/>
      <c r="AY544" s="586"/>
      <c r="AZ544" s="312"/>
      <c r="BA544" s="312"/>
      <c r="BB544" s="312"/>
      <c r="BC544" s="592"/>
      <c r="BD544" s="312">
        <v>4</v>
      </c>
      <c r="BE544" s="312"/>
      <c r="BF544" s="312"/>
      <c r="BG544" s="312"/>
      <c r="BH544" s="312"/>
      <c r="BI544" s="312"/>
      <c r="BJ544" s="312"/>
      <c r="BK544" s="312">
        <v>134</v>
      </c>
      <c r="BL544" s="312">
        <v>134</v>
      </c>
      <c r="BM544" s="592"/>
      <c r="BN544" s="595"/>
      <c r="BO544" s="594"/>
      <c r="BP544" s="592"/>
      <c r="BQ544" s="596" t="str">
        <f>IFERROR(WWWW[[#This Row],['#_Water sources treated]]/WWWW[[#This Row],['#_Water sources tested for contamination]],"no test")</f>
        <v>no test</v>
      </c>
      <c r="BR544" s="594" t="str">
        <f>IFERROR(WWWW[[#This Row],['#_Household received remediation action due to contamination]]/WWWW[[#This Row],['#_Household water samples tested for contamination]],"no test")</f>
        <v>no test</v>
      </c>
      <c r="BS544" s="595" t="str">
        <f>IF(AND(WWWW[[#This Row],[% of water sources treated]]="no test",WWWW[[#This Row],[% Household received corrective actions]]="no test"),"No Test","Tested")</f>
        <v>No Test</v>
      </c>
      <c r="BT544" s="595">
        <f>WWWW[[#This Row],['#_Constructed/existing protected hand dug well]]-WWWW[[#This Row],['#_Non-functional protected hand dug well]]</f>
        <v>0</v>
      </c>
      <c r="BU544" s="595">
        <f>(WWWW[[#This Row],['#_Constructed/Existing tube wells/boreholes/handpumps_WASH_agency]]+WWWW[[#This Row],['#_Non-Cluster partner water tube-wells/boreholes/handpumps]])-WWWW[[#This Row],['#_Non-functional tube wells/boreholes/handpumps]]</f>
        <v>0</v>
      </c>
      <c r="BV544" s="595">
        <f>WWWW[[#This Row],['#_Constructed/Existingwater storage tank with gravity fed reticulation system]]-WWWW[[#This Row],['#_Non-functional storage tank gravity fed reticulation system]]</f>
        <v>0</v>
      </c>
      <c r="BW544" s="595">
        <f>WWWW[[#This Row],['#_Water boating or water trucking]]</f>
        <v>0</v>
      </c>
      <c r="BX544" s="595">
        <f>WWWW[[#This Row],['#_Constructed/Existing water distribution system from river or natural spring]]</f>
        <v>0</v>
      </c>
      <c r="BY544" s="596">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44" s="596">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44" s="594">
        <f>IF(WWWW[[#This Row],[Location Type 1]]="Village",WWWW[[#This Row],[Access to safe drinking water for Village]],WWWW[[#This Row],[Access to safe drinking water for Camp]])</f>
        <v>0</v>
      </c>
      <c r="CB544" s="585">
        <f>WWWW[[#This Row],[%Equitable and continuous access to sufficient quantity of safe drinking water]]*WWWW[[#This Row],[Total PoP ]]</f>
        <v>0</v>
      </c>
      <c r="CC544" s="594">
        <f>IF((WWWW[[#This Row],['#_Constructed/Existing protected/fenced ponds]]*250)/WWWW[[#This Row],[Total PoP ]]&gt;1,1,(WWWW[[#This Row],['#_Constructed/Existing protected/fenced ponds]]*250)/WWWW[[#This Row],[Total PoP ]])</f>
        <v>0</v>
      </c>
      <c r="CD544" s="585">
        <f>WWWW[[#This Row],[% Access to unimproved water points]]*WWWW[[#This Row],[Total PoP ]]</f>
        <v>0</v>
      </c>
      <c r="CE544" s="59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44" s="585">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44" s="585">
        <f>WWWW[[#This Row],[HRP1]]/500</f>
        <v>0</v>
      </c>
      <c r="CH544" s="597">
        <f>1-WWWW[[#This Row],[% Equitable and continuous access to sufficient quantity of domestic water]]</f>
        <v>1</v>
      </c>
      <c r="CI544" s="585">
        <f>WWWW[[#This Row],[%equitable and continuous access to sufficient quantity of safe drinking and domestic water''s GAP]]*WWWW[[#This Row],[Total PoP ]]</f>
        <v>1360</v>
      </c>
      <c r="CJ544" s="595">
        <f>IF(WWWW[[#This Row],[Total required water points]]-WWWW[[#This Row],['#Water points coverage]]&lt;0,0,WWWW[[#This Row],[Total required water points]]-WWWW[[#This Row],['#Water points coverage]])</f>
        <v>3</v>
      </c>
      <c r="CK544" s="595">
        <f>ROUND(IF(WWWW[[#This Row],[Total PoP ]]&lt;500,1,WWWW[[#This Row],[Total PoP ]]/500),0)</f>
        <v>3</v>
      </c>
      <c r="CL544" s="595">
        <f>(WWWW[[#This Row],['#_Constructed latrines_by_WASHAgencies]]+WWWW[[#This Row],['#_Non Cluster partner latrines]])-WWWW[[#This Row],['#_Non-functional latrines]]</f>
        <v>20</v>
      </c>
      <c r="CM544" s="594">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0.73529411764705888</v>
      </c>
      <c r="CN544" s="585">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1000</v>
      </c>
      <c r="CO544" s="598">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4" s="595">
        <f>IF(WWWW[[#This Row],[Location Type 1]]="Village","NA",IF(WWWW[[#This Row],['#_Constructed/Existing latrines in TLS]]*50&gt;WWWW[[#This Row],['#_students at TLS_CFS]],WWWW[[#This Row],['#_students at TLS_CFS]],(WWWW[[#This Row],['#_Constructed/Existing latrines in TLS]]*50)))</f>
        <v>0</v>
      </c>
      <c r="CQ544" s="595">
        <f>ROUND(IF(WWWW[[#This Row],[Location Type 1]]="camp",WWWW[[#This Row],[Total PoP ]]/20,IF(WWWW[[#This Row],[Location Type 1]]="Temporary Location",WWWW[[#This Row],[Total PoP ]]/50,(WWWW[[#This Row],[Total PoP ]]/6))),0)</f>
        <v>27</v>
      </c>
      <c r="CR544" s="595">
        <f>IF(WWWW[[#This Row],[Total required Latrines]]-(WWWW[[#This Row],['#_Constructed latrines_by_WASHAgencies]]+WWWW[[#This Row],['#_Non Cluster partner latrines]])&lt;0,0,WWWW[[#This Row],[Total required Latrines]]-(WWWW[[#This Row],['#_Constructed latrines_by_WASHAgencies]]+WWWW[[#This Row],['#_Non Cluster partner latrines]]))</f>
        <v>7</v>
      </c>
      <c r="CS544" s="78">
        <f>1-WWWW[[#This Row],[% people access to functioning Latrine]]</f>
        <v>0.26470588235294112</v>
      </c>
      <c r="CT544" s="596">
        <f>IF(OR(WWWW[[#This Row],['#_Non-functional latrines]]="",WWWW[[#This Row],['#_Non-functional latrines]]=0),0,WWWW[[#This Row],['#_Non-functional latrines]]/(WWWW[[#This Row],['#_Constructed latrines_by_WASHAgencies]]+WWWW[[#This Row],['#_Non Cluster partner latrines]]))</f>
        <v>0</v>
      </c>
      <c r="CU544" s="585">
        <f>IF(500*(WWWW[[#This Row],['#_male hygiene promoters]]+WWWW[[#This Row],['#_female hygiene promoters]])&gt;WWWW[[#This Row],[Total PoP ]],WWWW[[#This Row],[Total PoP ]],500*(WWWW[[#This Row],['#_male hygiene promoters]]+WWWW[[#This Row],['#_female hygiene promoters]]))</f>
        <v>0</v>
      </c>
      <c r="CV544" s="595">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670</v>
      </c>
      <c r="CW544" s="595">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670</v>
      </c>
      <c r="CX544" s="595">
        <f>IF(WWWW[[#This Row],['# People with access to soap]]&gt;WWWW[[#This Row],['# People with access to Sanity Pads]],WWWW[[#This Row],['# People with access to soap]],WWWW[[#This Row],['# People with access to Sanity Pads]])</f>
        <v>670</v>
      </c>
      <c r="CY544" s="595">
        <f>IF(WWWW[[#This Row],['# people reached by regular dedicated hygiene promotion_5]]&gt;WWWW[[#This Row],['# People received regular supply of hygiene items_6]],WWWW[[#This Row],['# people reached by regular dedicated hygiene promotion_5]],WWWW[[#This Row],['# People received regular supply of hygiene items_6]])</f>
        <v>670</v>
      </c>
      <c r="CZ544" s="597">
        <f>IF(WWWW[[#This Row],[HRP3]]/WWWW[[#This Row],[Total PoP ]]&gt;100%,100%,WWWW[[#This Row],[HRP3]]/WWWW[[#This Row],[Total PoP ]])</f>
        <v>0.49264705882352944</v>
      </c>
      <c r="DA544" s="596">
        <f>1-WWWW[[#This Row],[Hygiene Coverage%]]</f>
        <v>0.50735294117647056</v>
      </c>
      <c r="DB544" s="594">
        <f>WWWW[[#This Row],['# people reached by regular dedicated hygiene promotion_5]]/WWWW[[#This Row],[Total PoP ]]</f>
        <v>0</v>
      </c>
      <c r="DC544" s="594">
        <f>IF(WWWW[[#This Row],['#_households that received standard amount of soap for this quarter]]/WWWW[[#This Row],[Total HH]]&gt;1,1,WWWW[[#This Row],['#_households that received standard amount of soap for this quarter]]/WWWW[[#This Row],[Total HH]])</f>
        <v>1</v>
      </c>
      <c r="DD544" s="594">
        <f>IF(WWWW[[#This Row],['#_households that received standard amount of sanitary pads for this quarter]]/WWWW[[#This Row],[Total HH]]&gt;1,1,WWWW[[#This Row],['#_households that received standard amount of sanitary pads for this quarter]]/WWWW[[#This Row],[Total HH]])</f>
        <v>1</v>
      </c>
      <c r="DE544" s="595">
        <f>WWWW[[#This Row],['#_Constructed/Existing hand washing stations]]-WWWW[[#This Row],['#_Non-Functional_hand_washing_stations]]</f>
        <v>4</v>
      </c>
      <c r="DF544" s="757">
        <f>IF(WWWW[[#This Row],['# Functional hand washing stations during reporting period]]*20&gt;WWWW[[#This Row],[Total HH]],WWWW[[#This Row],[Total HH]],WWWW[[#This Row],['# Functional hand washing stations during reporting period]]*20)</f>
        <v>80</v>
      </c>
      <c r="DG544" s="585">
        <f>IF(WWWW[[#This Row],[Is sufficient soap available for TLS? (Yes/No)]]="yes",WWWW[[#This Row],['#_Constructed/Existing hand washing stations at TLS]],0)</f>
        <v>0</v>
      </c>
      <c r="DH544" s="585">
        <f>IF(WWWW[[#This Row],['# Functional hand washing stations during reporting period]]*100&gt;WWWW[[#This Row],[Total PoP ]],WWWW[[#This Row],[Total PoP ]],WWWW[[#This Row],['# Functional hand washing stations during reporting period]]*100)</f>
        <v>400</v>
      </c>
      <c r="DI544" s="585" t="str">
        <f>IF(OR(WWWW[[#This Row],['#_students at TLS_CFS]]="",WWWW[[#This Row],['#_students at TLS_CFS]]=0),"No","Yes")</f>
        <v>No</v>
      </c>
      <c r="DJ544" s="592">
        <f>VLOOKUP(WWWW[[#This Row],[Site Name]],SiteDB6[[Site Name]:[CCCM Management]],6,FALSE)</f>
        <v>0</v>
      </c>
      <c r="DK544" s="592">
        <f>VLOOKUP(WWWW[[#This Row],[Site Name]],SiteDB6[[Site Name]:[CCCM Focal Agency]],7,FALSE)</f>
        <v>0</v>
      </c>
      <c r="DL544" s="592" t="str">
        <f>VLOOKUP(WWWW[[#This Row],[Site Name]],SiteDB6[[Site Name]:[Location Type 1]],9,FALSE)</f>
        <v>Temporary location</v>
      </c>
      <c r="DM544" s="592" t="str">
        <f>VLOOKUP(WWWW[[#This Row],[Site Name]],SiteDB6[[Site Name]:[Type of Accommodation]],10,FALSE)</f>
        <v>Temporary location</v>
      </c>
      <c r="DN544" s="592" t="str">
        <f>VLOOKUP(WWWW[[#This Row],[Site Name]],SiteDB6[[Site Name]:[Ethnic or GCA/NGCA]],11,FALSE)</f>
        <v>GCA</v>
      </c>
      <c r="DO544" s="592">
        <f>VLOOKUP(WWWW[[#This Row],[Site Name]],SiteDB6[[Site Name]:[Lat]],12,FALSE)</f>
        <v>0</v>
      </c>
      <c r="DP544" s="592">
        <f>VLOOKUP(WWWW[[#This Row],[Site Name]],SiteDB6[[Site Name]:[Long]],13,FALSE)</f>
        <v>0</v>
      </c>
      <c r="DQ544" s="592">
        <f>VLOOKUP(WWWW[[#This Row],[Site Name]],SiteDB6[[Site Name]:[Pcode]],3,FALSE)</f>
        <v>0</v>
      </c>
      <c r="DR544" s="586" t="str">
        <f t="shared" si="19"/>
        <v>Covered</v>
      </c>
      <c r="DS544" s="586"/>
    </row>
    <row r="545" spans="1:123">
      <c r="A545" s="701" t="s">
        <v>2519</v>
      </c>
      <c r="B545" s="701" t="s">
        <v>284</v>
      </c>
      <c r="C545" s="702" t="s">
        <v>284</v>
      </c>
      <c r="D545" s="702" t="s">
        <v>2955</v>
      </c>
      <c r="E545" s="702" t="s">
        <v>39</v>
      </c>
      <c r="F545" s="702" t="s">
        <v>203</v>
      </c>
      <c r="G545" s="711" t="str">
        <f>VLOOKUP(WWWW[[#This Row],[Site Name]],SiteDB6[[Site Name]:[Location Type]],8,FALSE)</f>
        <v>Camp_not registered</v>
      </c>
      <c r="H545" s="702" t="s">
        <v>1100</v>
      </c>
      <c r="I545" s="705">
        <v>70</v>
      </c>
      <c r="J545" s="705">
        <v>356</v>
      </c>
      <c r="K545" s="706" t="s">
        <v>3270</v>
      </c>
      <c r="L545" s="707" t="s">
        <v>3271</v>
      </c>
      <c r="M545" s="705"/>
      <c r="N545" s="705">
        <v>0</v>
      </c>
      <c r="O545" s="705">
        <v>1</v>
      </c>
      <c r="P545" s="705">
        <v>0</v>
      </c>
      <c r="Q545" s="708" t="s">
        <v>43</v>
      </c>
      <c r="R545" s="705">
        <v>0</v>
      </c>
      <c r="S545" s="705">
        <v>0</v>
      </c>
      <c r="T545" s="807">
        <v>0</v>
      </c>
      <c r="U545" s="705"/>
      <c r="V545" s="705"/>
      <c r="W545" s="705">
        <v>1</v>
      </c>
      <c r="X545" s="705">
        <v>0</v>
      </c>
      <c r="Y545" s="705"/>
      <c r="Z545" s="705"/>
      <c r="AA545" s="705"/>
      <c r="AB545" s="705"/>
      <c r="AC545" s="705"/>
      <c r="AD545" s="705"/>
      <c r="AE545" s="705"/>
      <c r="AF545" s="705"/>
      <c r="AG545" s="705"/>
      <c r="AH545" s="705"/>
      <c r="AI545" s="705">
        <v>1</v>
      </c>
      <c r="AJ545" s="705">
        <v>1</v>
      </c>
      <c r="AK545" s="705">
        <v>8</v>
      </c>
      <c r="AL545" s="705">
        <v>0</v>
      </c>
      <c r="AM545" s="705"/>
      <c r="AN545" s="705"/>
      <c r="AO545" s="709"/>
      <c r="AP545" s="705">
        <v>13</v>
      </c>
      <c r="AQ545" s="705"/>
      <c r="AR545" s="710"/>
      <c r="AS545" s="705"/>
      <c r="AT545" s="705"/>
      <c r="AU545" s="705"/>
      <c r="AV545" s="705"/>
      <c r="AW545" s="705"/>
      <c r="AX545" s="711" t="s">
        <v>43</v>
      </c>
      <c r="AY545" s="709" t="s">
        <v>145</v>
      </c>
      <c r="AZ545" s="705">
        <v>0</v>
      </c>
      <c r="BA545" s="705">
        <v>1</v>
      </c>
      <c r="BB545" s="705"/>
      <c r="BC545" s="711"/>
      <c r="BD545" s="705">
        <v>4</v>
      </c>
      <c r="BE545" s="705"/>
      <c r="BF545" s="705"/>
      <c r="BG545" s="705">
        <v>2</v>
      </c>
      <c r="BH545" s="705"/>
      <c r="BI545" s="705">
        <v>0</v>
      </c>
      <c r="BJ545" s="705">
        <v>1</v>
      </c>
      <c r="BK545" s="705"/>
      <c r="BL545" s="705"/>
      <c r="BM545" s="711"/>
      <c r="BN545" s="712"/>
      <c r="BO545" s="710"/>
      <c r="BP545" s="711"/>
      <c r="BQ545" s="713">
        <f>IFERROR(WWWW[[#This Row],['#_Water sources treated]]/WWWW[[#This Row],['#_Water sources tested for contamination]],"no test")</f>
        <v>1</v>
      </c>
      <c r="BR545" s="710">
        <f>IFERROR(WWWW[[#This Row],['#_Household received remediation action due to contamination]]/WWWW[[#This Row],['#_Household water samples tested for contamination]],"no test")</f>
        <v>0</v>
      </c>
      <c r="BS545" s="712" t="str">
        <f>IF(AND(WWWW[[#This Row],[% of water sources treated]]="no test",WWWW[[#This Row],[% Household received corrective actions]]="no test"),"No Test","Tested")</f>
        <v>Tested</v>
      </c>
      <c r="BT545" s="712">
        <f>WWWW[[#This Row],['#_Constructed/existing protected hand dug well]]-WWWW[[#This Row],['#_Non-functional protected hand dug well]]</f>
        <v>0</v>
      </c>
      <c r="BU545" s="712">
        <f>(WWWW[[#This Row],['#_Constructed/Existing tube wells/boreholes/handpumps_WASH_agency]]+WWWW[[#This Row],['#_Non-Cluster partner water tube-wells/boreholes/handpumps]])-WWWW[[#This Row],['#_Non-functional tube wells/boreholes/handpumps]]</f>
        <v>1</v>
      </c>
      <c r="BV545" s="712">
        <f>WWWW[[#This Row],['#_Constructed/Existingwater storage tank with gravity fed reticulation system]]-WWWW[[#This Row],['#_Non-functional storage tank gravity fed reticulation system]]</f>
        <v>0</v>
      </c>
      <c r="BW545" s="712">
        <f>WWWW[[#This Row],['#_Water boating or water trucking]]</f>
        <v>0</v>
      </c>
      <c r="BX545" s="712">
        <f>WWWW[[#This Row],['#_Constructed/Existing water distribution system from river or natural spring]]</f>
        <v>0</v>
      </c>
      <c r="BY54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0.702247191011236</v>
      </c>
      <c r="CA545" s="710">
        <f>IF(WWWW[[#This Row],[Location Type 1]]="Village",WWWW[[#This Row],[Access to safe drinking water for Village]],WWWW[[#This Row],[Access to safe drinking water for Camp]])</f>
        <v>1</v>
      </c>
      <c r="CB545" s="708">
        <f>WWWW[[#This Row],[%Equitable and continuous access to sufficient quantity of safe drinking water]]*WWWW[[#This Row],[Total PoP ]]</f>
        <v>356</v>
      </c>
      <c r="CC545" s="710">
        <f>IF((WWWW[[#This Row],['#_Constructed/Existing protected/fenced ponds]]*250)/WWWW[[#This Row],[Total PoP ]]&gt;1,1,(WWWW[[#This Row],['#_Constructed/Existing protected/fenced ponds]]*250)/WWWW[[#This Row],[Total PoP ]])</f>
        <v>0</v>
      </c>
      <c r="CD545" s="708">
        <f>WWWW[[#This Row],[% Access to unimproved water points]]*WWWW[[#This Row],[Total PoP ]]</f>
        <v>0</v>
      </c>
      <c r="CE54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G545" s="708">
        <f>WWWW[[#This Row],[HRP1]]/500</f>
        <v>0.71199999999999997</v>
      </c>
      <c r="CH545" s="714">
        <f>1-WWWW[[#This Row],[% Equitable and continuous access to sufficient quantity of domestic water]]</f>
        <v>0</v>
      </c>
      <c r="CI545" s="708">
        <f>WWWW[[#This Row],[%equitable and continuous access to sufficient quantity of safe drinking and domestic water''s GAP]]*WWWW[[#This Row],[Total PoP ]]</f>
        <v>0</v>
      </c>
      <c r="CJ545" s="712">
        <f>IF(WWWW[[#This Row],[Total required water points]]-WWWW[[#This Row],['#Water points coverage]]&lt;0,0,WWWW[[#This Row],[Total required water points]]-WWWW[[#This Row],['#Water points coverage]])</f>
        <v>0.28800000000000003</v>
      </c>
      <c r="CK545" s="712">
        <f>ROUND(IF(WWWW[[#This Row],[Total PoP ]]&lt;500,1,WWWW[[#This Row],[Total PoP ]]/500),0)</f>
        <v>1</v>
      </c>
      <c r="CL545" s="712">
        <f>(WWWW[[#This Row],['#_Constructed latrines_by_WASHAgencies]]+WWWW[[#This Row],['#_Non Cluster partner latrines]])-WWWW[[#This Row],['#_Non-functional latrines]]</f>
        <v>13</v>
      </c>
      <c r="CM54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0.7303370786516854</v>
      </c>
      <c r="CN54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54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5" s="712">
        <f>IF(WWWW[[#This Row],[Location Type 1]]="Village","NA",IF(WWWW[[#This Row],['#_Constructed/Existing latrines in TLS]]*50&gt;WWWW[[#This Row],['#_students at TLS_CFS]],WWWW[[#This Row],['#_students at TLS_CFS]],(WWWW[[#This Row],['#_Constructed/Existing latrines in TLS]]*50)))</f>
        <v>0</v>
      </c>
      <c r="CQ545" s="712">
        <f>ROUND(IF(WWWW[[#This Row],[Location Type 1]]="camp",WWWW[[#This Row],[Total PoP ]]/20,IF(WWWW[[#This Row],[Location Type 1]]="Temporary Location",WWWW[[#This Row],[Total PoP ]]/50,(WWWW[[#This Row],[Total PoP ]]/6))),0)</f>
        <v>18</v>
      </c>
      <c r="CR545" s="712">
        <f>IF(WWWW[[#This Row],[Total required Latrines]]-(WWWW[[#This Row],['#_Constructed latrines_by_WASHAgencies]]+WWWW[[#This Row],['#_Non Cluster partner latrines]])&lt;0,0,WWWW[[#This Row],[Total required Latrines]]-(WWWW[[#This Row],['#_Constructed latrines_by_WASHAgencies]]+WWWW[[#This Row],['#_Non Cluster partner latrines]]))</f>
        <v>5</v>
      </c>
      <c r="CS545" s="714">
        <f>1-WWWW[[#This Row],[% people access to functioning Latrine]]</f>
        <v>0.2696629213483146</v>
      </c>
      <c r="CT545" s="713">
        <f>IF(OR(WWWW[[#This Row],['#_Non-functional latrines]]="",WWWW[[#This Row],['#_Non-functional latrines]]=0),0,WWWW[[#This Row],['#_Non-functional latrines]]/(WWWW[[#This Row],['#_Constructed latrines_by_WASHAgencies]]+WWWW[[#This Row],['#_Non Cluster partner latrines]]))</f>
        <v>0</v>
      </c>
      <c r="CU545" s="708">
        <f>IF(500*(WWWW[[#This Row],['#_male hygiene promoters]]+WWWW[[#This Row],['#_female hygiene promoters]])&gt;WWWW[[#This Row],[Total PoP ]],WWWW[[#This Row],[Total PoP ]],500*(WWWW[[#This Row],['#_male hygiene promoters]]+WWWW[[#This Row],['#_female hygiene promoters]]))</f>
        <v>356</v>
      </c>
      <c r="CV54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4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5" s="712">
        <f>IF(WWWW[[#This Row],['# People with access to soap]]&gt;WWWW[[#This Row],['# People with access to Sanity Pads]],WWWW[[#This Row],['# People with access to soap]],WWWW[[#This Row],['# People with access to Sanity Pads]])</f>
        <v>0</v>
      </c>
      <c r="CY545" s="712">
        <f>IF(WWWW[[#This Row],['# people reached by regular dedicated hygiene promotion_5]]&gt;WWWW[[#This Row],['# People received regular supply of hygiene items_6]],WWWW[[#This Row],['# people reached by regular dedicated hygiene promotion_5]],WWWW[[#This Row],['# People received regular supply of hygiene items_6]])</f>
        <v>356</v>
      </c>
      <c r="CZ545" s="714">
        <f>IF(WWWW[[#This Row],[HRP3]]/WWWW[[#This Row],[Total PoP ]]&gt;100%,100%,WWWW[[#This Row],[HRP3]]/WWWW[[#This Row],[Total PoP ]])</f>
        <v>1</v>
      </c>
      <c r="DA545" s="713">
        <f>1-WWWW[[#This Row],[Hygiene Coverage%]]</f>
        <v>0</v>
      </c>
      <c r="DB545" s="710">
        <f>WWWW[[#This Row],['# people reached by regular dedicated hygiene promotion_5]]/WWWW[[#This Row],[Total PoP ]]</f>
        <v>1</v>
      </c>
      <c r="DC545" s="710">
        <f>IF(WWWW[[#This Row],['#_households that received standard amount of soap for this quarter]]/WWWW[[#This Row],[Total HH]]&gt;1,1,WWWW[[#This Row],['#_households that received standard amount of soap for this quarter]]/WWWW[[#This Row],[Total HH]])</f>
        <v>0</v>
      </c>
      <c r="DD545" s="710">
        <f>IF(WWWW[[#This Row],['#_households that received standard amount of sanitary pads for this quarter]]/WWWW[[#This Row],[Total HH]]&gt;1,1,WWWW[[#This Row],['#_households that received standard amount of sanitary pads for this quarter]]/WWWW[[#This Row],[Total HH]])</f>
        <v>0</v>
      </c>
      <c r="DE545" s="712">
        <f>WWWW[[#This Row],['#_Constructed/Existing hand washing stations]]-WWWW[[#This Row],['#_Non-Functional_hand_washing_stations]]</f>
        <v>4</v>
      </c>
      <c r="DF545" s="757">
        <f>IF(WWWW[[#This Row],['# Functional hand washing stations during reporting period]]*20&gt;WWWW[[#This Row],[Total HH]],WWWW[[#This Row],[Total HH]],WWWW[[#This Row],['# Functional hand washing stations during reporting period]]*20)</f>
        <v>70</v>
      </c>
      <c r="DG545" s="708">
        <f>IF(WWWW[[#This Row],[Is sufficient soap available for TLS? (Yes/No)]]="yes",WWWW[[#This Row],['#_Constructed/Existing hand washing stations at TLS]],0)</f>
        <v>0</v>
      </c>
      <c r="DH545" s="759">
        <f>IF(WWWW[[#This Row],['# Functional hand washing stations during reporting period]]*100&gt;WWWW[[#This Row],[Total PoP ]],WWWW[[#This Row],[Total PoP ]],WWWW[[#This Row],['# Functional hand washing stations during reporting period]]*100)</f>
        <v>356</v>
      </c>
      <c r="DI545" s="759" t="str">
        <f>IF(OR(WWWW[[#This Row],['#_students at TLS_CFS]]="",WWWW[[#This Row],['#_students at TLS_CFS]]=0),"No","Yes")</f>
        <v>No</v>
      </c>
      <c r="DJ545" s="711">
        <f>VLOOKUP(WWWW[[#This Row],[Site Name]],SiteDB6[[Site Name]:[CCCM Management]],6,FALSE)</f>
        <v>0</v>
      </c>
      <c r="DK545" s="711">
        <f>VLOOKUP(WWWW[[#This Row],[Site Name]],SiteDB6[[Site Name]:[CCCM Focal Agency]],7,FALSE)</f>
        <v>0</v>
      </c>
      <c r="DL545" s="711" t="str">
        <f>VLOOKUP(WWWW[[#This Row],[Site Name]],SiteDB6[[Site Name]:[Location Type 1]],9,FALSE)</f>
        <v>Camp</v>
      </c>
      <c r="DM545" s="711" t="str">
        <f>VLOOKUP(WWWW[[#This Row],[Site Name]],SiteDB6[[Site Name]:[Type of Accommodation]],10,FALSE)</f>
        <v>camp</v>
      </c>
      <c r="DN545" s="711" t="str">
        <f>VLOOKUP(WWWW[[#This Row],[Site Name]],SiteDB6[[Site Name]:[Ethnic or GCA/NGCA]],11,FALSE)</f>
        <v>GCA</v>
      </c>
      <c r="DO545" s="711">
        <f>VLOOKUP(WWWW[[#This Row],[Site Name]],SiteDB6[[Site Name]:[Lat]],12,FALSE)</f>
        <v>0</v>
      </c>
      <c r="DP545" s="711">
        <f>VLOOKUP(WWWW[[#This Row],[Site Name]],SiteDB6[[Site Name]:[Long]],13,FALSE)</f>
        <v>0</v>
      </c>
      <c r="DQ545" s="711">
        <f>VLOOKUP(WWWW[[#This Row],[Site Name]],SiteDB6[[Site Name]:[Pcode]],3,FALSE)</f>
        <v>0</v>
      </c>
      <c r="DR545" s="709" t="str">
        <f t="shared" si="19"/>
        <v>Covered</v>
      </c>
      <c r="DS545" s="709"/>
    </row>
    <row r="546" spans="1:123">
      <c r="A546" s="701" t="s">
        <v>2519</v>
      </c>
      <c r="B546" s="701" t="s">
        <v>284</v>
      </c>
      <c r="C546" s="702" t="s">
        <v>284</v>
      </c>
      <c r="D546" s="702" t="s">
        <v>2955</v>
      </c>
      <c r="E546" s="702" t="s">
        <v>39</v>
      </c>
      <c r="F546" s="702" t="s">
        <v>203</v>
      </c>
      <c r="G546" s="711" t="str">
        <f>VLOOKUP(WWWW[[#This Row],[Site Name]],SiteDB6[[Site Name]:[Location Type]],8,FALSE)</f>
        <v>Camp</v>
      </c>
      <c r="H546" s="702" t="s">
        <v>285</v>
      </c>
      <c r="I546" s="705">
        <v>166</v>
      </c>
      <c r="J546" s="705">
        <v>815</v>
      </c>
      <c r="K546" s="706" t="s">
        <v>3270</v>
      </c>
      <c r="L546" s="707" t="s">
        <v>3271</v>
      </c>
      <c r="M546" s="705"/>
      <c r="N546" s="705">
        <v>0</v>
      </c>
      <c r="O546" s="705">
        <v>0</v>
      </c>
      <c r="P546" s="705">
        <v>0</v>
      </c>
      <c r="Q546" s="708" t="s">
        <v>43</v>
      </c>
      <c r="R546" s="705">
        <v>13</v>
      </c>
      <c r="S546" s="705">
        <v>10</v>
      </c>
      <c r="T546" s="807">
        <v>2</v>
      </c>
      <c r="U546" s="705"/>
      <c r="V546" s="705"/>
      <c r="W546" s="705">
        <v>8</v>
      </c>
      <c r="X546" s="705">
        <v>0</v>
      </c>
      <c r="Y546" s="705"/>
      <c r="Z546" s="705"/>
      <c r="AA546" s="705"/>
      <c r="AB546" s="705"/>
      <c r="AC546" s="705"/>
      <c r="AD546" s="705">
        <v>0</v>
      </c>
      <c r="AE546" s="705"/>
      <c r="AF546" s="705"/>
      <c r="AG546" s="705"/>
      <c r="AH546" s="705"/>
      <c r="AI546" s="705">
        <v>0</v>
      </c>
      <c r="AJ546" s="705">
        <v>0</v>
      </c>
      <c r="AK546" s="705">
        <v>10</v>
      </c>
      <c r="AL546" s="705">
        <v>1</v>
      </c>
      <c r="AM546" s="705"/>
      <c r="AN546" s="705"/>
      <c r="AO546" s="709"/>
      <c r="AP546" s="705">
        <v>38</v>
      </c>
      <c r="AQ546" s="705"/>
      <c r="AR546" s="710"/>
      <c r="AS546" s="705"/>
      <c r="AT546" s="705"/>
      <c r="AU546" s="705">
        <v>50</v>
      </c>
      <c r="AV546" s="705"/>
      <c r="AW546" s="705"/>
      <c r="AX546" s="711" t="s">
        <v>43</v>
      </c>
      <c r="AY546" s="709" t="s">
        <v>145</v>
      </c>
      <c r="AZ546" s="705">
        <v>0</v>
      </c>
      <c r="BA546" s="705">
        <v>0</v>
      </c>
      <c r="BB546" s="705"/>
      <c r="BC546" s="711" t="s">
        <v>2958</v>
      </c>
      <c r="BD546" s="705">
        <v>6</v>
      </c>
      <c r="BE546" s="705">
        <v>3</v>
      </c>
      <c r="BF546" s="705"/>
      <c r="BG546" s="705">
        <v>3</v>
      </c>
      <c r="BH546" s="705"/>
      <c r="BI546" s="705">
        <v>0</v>
      </c>
      <c r="BJ546" s="705">
        <v>2</v>
      </c>
      <c r="BK546" s="705">
        <v>80</v>
      </c>
      <c r="BL546" s="705">
        <v>213</v>
      </c>
      <c r="BM546" s="711"/>
      <c r="BN546" s="712"/>
      <c r="BO546" s="710"/>
      <c r="BP546" s="711" t="s">
        <v>2958</v>
      </c>
      <c r="BQ546" s="713" t="str">
        <f>IFERROR(WWWW[[#This Row],['#_Water sources treated]]/WWWW[[#This Row],['#_Water sources tested for contamination]],"no test")</f>
        <v>no test</v>
      </c>
      <c r="BR546" s="710">
        <f>IFERROR(WWWW[[#This Row],['#_Household received remediation action due to contamination]]/WWWW[[#This Row],['#_Household water samples tested for contamination]],"no test")</f>
        <v>0.1</v>
      </c>
      <c r="BS546" s="712" t="str">
        <f>IF(AND(WWWW[[#This Row],[% of water sources treated]]="no test",WWWW[[#This Row],[% Household received corrective actions]]="no test"),"No Test","Tested")</f>
        <v>Tested</v>
      </c>
      <c r="BT546" s="712">
        <f>WWWW[[#This Row],['#_Constructed/existing protected hand dug well]]-WWWW[[#This Row],['#_Non-functional protected hand dug well]]</f>
        <v>2</v>
      </c>
      <c r="BU546" s="712">
        <f>(WWWW[[#This Row],['#_Constructed/Existing tube wells/boreholes/handpumps_WASH_agency]]+WWWW[[#This Row],['#_Non-Cluster partner water tube-wells/boreholes/handpumps]])-WWWW[[#This Row],['#_Non-functional tube wells/boreholes/handpumps]]</f>
        <v>8</v>
      </c>
      <c r="BV546" s="712">
        <f>WWWW[[#This Row],['#_Constructed/Existingwater storage tank with gravity fed reticulation system]]-WWWW[[#This Row],['#_Non-functional storage tank gravity fed reticulation system]]</f>
        <v>0</v>
      </c>
      <c r="BW546" s="712">
        <f>WWWW[[#This Row],['#_Water boating or water trucking]]</f>
        <v>0</v>
      </c>
      <c r="BX546" s="712">
        <f>WWWW[[#This Row],['#_Constructed/Existing water distribution system from river or natural spring]]</f>
        <v>0</v>
      </c>
      <c r="BY54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46" s="710">
        <f>IF(WWWW[[#This Row],[Location Type 1]]="Village",WWWW[[#This Row],[Access to safe drinking water for Village]],WWWW[[#This Row],[Access to safe drinking water for Camp]])</f>
        <v>1</v>
      </c>
      <c r="CB546" s="708">
        <f>WWWW[[#This Row],[%Equitable and continuous access to sufficient quantity of safe drinking water]]*WWWW[[#This Row],[Total PoP ]]</f>
        <v>815</v>
      </c>
      <c r="CC546" s="710">
        <f>IF((WWWW[[#This Row],['#_Constructed/Existing protected/fenced ponds]]*250)/WWWW[[#This Row],[Total PoP ]]&gt;1,1,(WWWW[[#This Row],['#_Constructed/Existing protected/fenced ponds]]*250)/WWWW[[#This Row],[Total PoP ]])</f>
        <v>0</v>
      </c>
      <c r="CD546" s="708">
        <f>WWWW[[#This Row],[% Access to unimproved water points]]*WWWW[[#This Row],[Total PoP ]]</f>
        <v>0</v>
      </c>
      <c r="CE54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815</v>
      </c>
      <c r="CG546" s="708">
        <f>WWWW[[#This Row],[HRP1]]/500</f>
        <v>1.63</v>
      </c>
      <c r="CH546" s="714">
        <f>1-WWWW[[#This Row],[% Equitable and continuous access to sufficient quantity of domestic water]]</f>
        <v>0</v>
      </c>
      <c r="CI546" s="708">
        <f>WWWW[[#This Row],[%equitable and continuous access to sufficient quantity of safe drinking and domestic water''s GAP]]*WWWW[[#This Row],[Total PoP ]]</f>
        <v>0</v>
      </c>
      <c r="CJ546" s="712">
        <f>IF(WWWW[[#This Row],[Total required water points]]-WWWW[[#This Row],['#Water points coverage]]&lt;0,0,WWWW[[#This Row],[Total required water points]]-WWWW[[#This Row],['#Water points coverage]])</f>
        <v>0.37000000000000011</v>
      </c>
      <c r="CK546" s="712">
        <f>ROUND(IF(WWWW[[#This Row],[Total PoP ]]&lt;500,1,WWWW[[#This Row],[Total PoP ]]/500),0)</f>
        <v>2</v>
      </c>
      <c r="CL546" s="712">
        <f>(WWWW[[#This Row],['#_Constructed latrines_by_WASHAgencies]]+WWWW[[#This Row],['#_Non Cluster partner latrines]])-WWWW[[#This Row],['#_Non-functional latrines]]</f>
        <v>38</v>
      </c>
      <c r="CM54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0.93251533742331283</v>
      </c>
      <c r="CN54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54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815</v>
      </c>
      <c r="CP546" s="712">
        <f>IF(WWWW[[#This Row],[Location Type 1]]="Village","NA",IF(WWWW[[#This Row],['#_Constructed/Existing latrines in TLS]]*50&gt;WWWW[[#This Row],['#_students at TLS_CFS]],WWWW[[#This Row],['#_students at TLS_CFS]],(WWWW[[#This Row],['#_Constructed/Existing latrines in TLS]]*50)))</f>
        <v>0</v>
      </c>
      <c r="CQ546" s="712">
        <f>ROUND(IF(WWWW[[#This Row],[Location Type 1]]="camp",WWWW[[#This Row],[Total PoP ]]/20,IF(WWWW[[#This Row],[Location Type 1]]="Temporary Location",WWWW[[#This Row],[Total PoP ]]/50,(WWWW[[#This Row],[Total PoP ]]/6))),0)</f>
        <v>41</v>
      </c>
      <c r="CR546" s="712">
        <f>IF(WWWW[[#This Row],[Total required Latrines]]-(WWWW[[#This Row],['#_Constructed latrines_by_WASHAgencies]]+WWWW[[#This Row],['#_Non Cluster partner latrines]])&lt;0,0,WWWW[[#This Row],[Total required Latrines]]-(WWWW[[#This Row],['#_Constructed latrines_by_WASHAgencies]]+WWWW[[#This Row],['#_Non Cluster partner latrines]]))</f>
        <v>3</v>
      </c>
      <c r="CS546" s="714">
        <f>1-WWWW[[#This Row],[% people access to functioning Latrine]]</f>
        <v>6.7484662576687171E-2</v>
      </c>
      <c r="CT546" s="713">
        <f>IF(OR(WWWW[[#This Row],['#_Non-functional latrines]]="",WWWW[[#This Row],['#_Non-functional latrines]]=0),0,WWWW[[#This Row],['#_Non-functional latrines]]/(WWWW[[#This Row],['#_Constructed latrines_by_WASHAgencies]]+WWWW[[#This Row],['#_Non Cluster partner latrines]]))</f>
        <v>0</v>
      </c>
      <c r="CU546" s="708">
        <f>IF(500*(WWWW[[#This Row],['#_male hygiene promoters]]+WWWW[[#This Row],['#_female hygiene promoters]])&gt;WWWW[[#This Row],[Total PoP ]],WWWW[[#This Row],[Total PoP ]],500*(WWWW[[#This Row],['#_male hygiene promoters]]+WWWW[[#This Row],['#_female hygiene promoters]]))</f>
        <v>815</v>
      </c>
      <c r="CV54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400</v>
      </c>
      <c r="CW54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815</v>
      </c>
      <c r="CX546" s="712">
        <f>IF(WWWW[[#This Row],['# People with access to soap]]&gt;WWWW[[#This Row],['# People with access to Sanity Pads]],WWWW[[#This Row],['# People with access to soap]],WWWW[[#This Row],['# People with access to Sanity Pads]])</f>
        <v>815</v>
      </c>
      <c r="CY546" s="712">
        <f>IF(WWWW[[#This Row],['# people reached by regular dedicated hygiene promotion_5]]&gt;WWWW[[#This Row],['# People received regular supply of hygiene items_6]],WWWW[[#This Row],['# people reached by regular dedicated hygiene promotion_5]],WWWW[[#This Row],['# People received regular supply of hygiene items_6]])</f>
        <v>815</v>
      </c>
      <c r="CZ546" s="714">
        <f>IF(WWWW[[#This Row],[HRP3]]/WWWW[[#This Row],[Total PoP ]]&gt;100%,100%,WWWW[[#This Row],[HRP3]]/WWWW[[#This Row],[Total PoP ]])</f>
        <v>1</v>
      </c>
      <c r="DA546" s="713">
        <f>1-WWWW[[#This Row],[Hygiene Coverage%]]</f>
        <v>0</v>
      </c>
      <c r="DB546" s="710">
        <f>WWWW[[#This Row],['# people reached by regular dedicated hygiene promotion_5]]/WWWW[[#This Row],[Total PoP ]]</f>
        <v>1</v>
      </c>
      <c r="DC546" s="710">
        <f>IF(WWWW[[#This Row],['#_households that received standard amount of soap for this quarter]]/WWWW[[#This Row],[Total HH]]&gt;1,1,WWWW[[#This Row],['#_households that received standard amount of soap for this quarter]]/WWWW[[#This Row],[Total HH]])</f>
        <v>0.48192771084337349</v>
      </c>
      <c r="DD546" s="710">
        <f>IF(WWWW[[#This Row],['#_households that received standard amount of sanitary pads for this quarter]]/WWWW[[#This Row],[Total HH]]&gt;1,1,WWWW[[#This Row],['#_households that received standard amount of sanitary pads for this quarter]]/WWWW[[#This Row],[Total HH]])</f>
        <v>1</v>
      </c>
      <c r="DE546" s="712">
        <f>WWWW[[#This Row],['#_Constructed/Existing hand washing stations]]-WWWW[[#This Row],['#_Non-Functional_hand_washing_stations]]</f>
        <v>3</v>
      </c>
      <c r="DF546" s="757">
        <f>IF(WWWW[[#This Row],['# Functional hand washing stations during reporting period]]*20&gt;WWWW[[#This Row],[Total HH]],WWWW[[#This Row],[Total HH]],WWWW[[#This Row],['# Functional hand washing stations during reporting period]]*20)</f>
        <v>60</v>
      </c>
      <c r="DG546" s="708">
        <f>IF(WWWW[[#This Row],[Is sufficient soap available for TLS? (Yes/No)]]="yes",WWWW[[#This Row],['#_Constructed/Existing hand washing stations at TLS]],0)</f>
        <v>0</v>
      </c>
      <c r="DH546" s="759">
        <f>IF(WWWW[[#This Row],['# Functional hand washing stations during reporting period]]*100&gt;WWWW[[#This Row],[Total PoP ]],WWWW[[#This Row],[Total PoP ]],WWWW[[#This Row],['# Functional hand washing stations during reporting period]]*100)</f>
        <v>300</v>
      </c>
      <c r="DI546" s="759" t="str">
        <f>IF(OR(WWWW[[#This Row],['#_students at TLS_CFS]]="",WWWW[[#This Row],['#_students at TLS_CFS]]=0),"No","Yes")</f>
        <v>No</v>
      </c>
      <c r="DJ546" s="711" t="str">
        <f>VLOOKUP(WWWW[[#This Row],[Site Name]],SiteDB6[[Site Name]:[CCCM Management]],6,FALSE)</f>
        <v>Yes</v>
      </c>
      <c r="DK546" s="711" t="str">
        <f>VLOOKUP(WWWW[[#This Row],[Site Name]],SiteDB6[[Site Name]:[CCCM Focal Agency]],7,FALSE)</f>
        <v>KMSS-BMO</v>
      </c>
      <c r="DL546" s="711" t="str">
        <f>VLOOKUP(WWWW[[#This Row],[Site Name]],SiteDB6[[Site Name]:[Location Type 1]],9,FALSE)</f>
        <v>Camp</v>
      </c>
      <c r="DM546" s="711" t="str">
        <f>VLOOKUP(WWWW[[#This Row],[Site Name]],SiteDB6[[Site Name]:[Type of Accommodation]],10,FALSE)</f>
        <v>Camp</v>
      </c>
      <c r="DN546" s="711" t="str">
        <f>VLOOKUP(WWWW[[#This Row],[Site Name]],SiteDB6[[Site Name]:[Ethnic or GCA/NGCA]],11,FALSE)</f>
        <v>GCA</v>
      </c>
      <c r="DO546" s="711">
        <f>VLOOKUP(WWWW[[#This Row],[Site Name]],SiteDB6[[Site Name]:[Lat]],12,FALSE)</f>
        <v>24.260719999999999</v>
      </c>
      <c r="DP546" s="711">
        <f>VLOOKUP(WWWW[[#This Row],[Site Name]],SiteDB6[[Site Name]:[Long]],13,FALSE)</f>
        <v>97.238829999999993</v>
      </c>
      <c r="DQ546" s="711" t="str">
        <f>VLOOKUP(WWWW[[#This Row],[Site Name]],SiteDB6[[Site Name]:[Pcode]],3,FALSE)</f>
        <v>MMR001CMP050</v>
      </c>
      <c r="DR546" s="709" t="str">
        <f t="shared" si="19"/>
        <v>Covered</v>
      </c>
      <c r="DS546" s="709"/>
    </row>
    <row r="547" spans="1:123">
      <c r="A547" s="701" t="s">
        <v>2519</v>
      </c>
      <c r="B547" s="701" t="s">
        <v>200</v>
      </c>
      <c r="C547" s="702" t="s">
        <v>200</v>
      </c>
      <c r="D547" s="702" t="s">
        <v>2960</v>
      </c>
      <c r="E547" s="702" t="s">
        <v>39</v>
      </c>
      <c r="F547" s="702" t="s">
        <v>213</v>
      </c>
      <c r="G547" s="711" t="str">
        <f>VLOOKUP(WWWW[[#This Row],[Site Name]],SiteDB6[[Site Name]:[Location Type]],8,FALSE)</f>
        <v>Camp_not registered</v>
      </c>
      <c r="H547" s="702" t="s">
        <v>214</v>
      </c>
      <c r="I547" s="705">
        <v>141</v>
      </c>
      <c r="J547" s="705">
        <v>665</v>
      </c>
      <c r="K547" s="706">
        <v>43466</v>
      </c>
      <c r="L547" s="707">
        <v>43830</v>
      </c>
      <c r="M547" s="705"/>
      <c r="N547" s="705"/>
      <c r="O547" s="705"/>
      <c r="P547" s="705"/>
      <c r="Q547" s="708" t="s">
        <v>43</v>
      </c>
      <c r="R547" s="705">
        <v>2</v>
      </c>
      <c r="S547" s="705">
        <v>3</v>
      </c>
      <c r="T547" s="807">
        <v>1</v>
      </c>
      <c r="U547" s="705"/>
      <c r="V547" s="705"/>
      <c r="W547" s="806">
        <v>1</v>
      </c>
      <c r="X547" s="806">
        <v>1</v>
      </c>
      <c r="Y547" s="705"/>
      <c r="Z547" s="705"/>
      <c r="AA547" s="705"/>
      <c r="AB547" s="705"/>
      <c r="AC547" s="705"/>
      <c r="AD547" s="705"/>
      <c r="AE547" s="705"/>
      <c r="AF547" s="705"/>
      <c r="AG547" s="705"/>
      <c r="AH547" s="705"/>
      <c r="AI547" s="705"/>
      <c r="AJ547" s="705"/>
      <c r="AK547" s="705"/>
      <c r="AL547" s="705"/>
      <c r="AM547" s="705"/>
      <c r="AN547" s="705"/>
      <c r="AO547" s="709"/>
      <c r="AP547" s="705">
        <v>28</v>
      </c>
      <c r="AQ547" s="705"/>
      <c r="AR547" s="710"/>
      <c r="AS547" s="705"/>
      <c r="AT547" s="705"/>
      <c r="AU547" s="705"/>
      <c r="AV547" s="705"/>
      <c r="AW547" s="705"/>
      <c r="AX547" s="711" t="s">
        <v>43</v>
      </c>
      <c r="AY547" s="709" t="s">
        <v>145</v>
      </c>
      <c r="AZ547" s="705"/>
      <c r="BA547" s="705"/>
      <c r="BB547" s="705"/>
      <c r="BC547" s="711"/>
      <c r="BD547" s="705">
        <v>10</v>
      </c>
      <c r="BE547" s="705"/>
      <c r="BF547" s="705"/>
      <c r="BG547" s="705">
        <v>3</v>
      </c>
      <c r="BH547" s="705"/>
      <c r="BI547" s="705"/>
      <c r="BJ547" s="705"/>
      <c r="BK547" s="705">
        <v>139</v>
      </c>
      <c r="BL547" s="705">
        <v>31</v>
      </c>
      <c r="BM547" s="711"/>
      <c r="BN547" s="712"/>
      <c r="BO547" s="710"/>
      <c r="BP547" s="711"/>
      <c r="BQ547" s="713" t="str">
        <f>IFERROR(WWWW[[#This Row],['#_Water sources treated]]/WWWW[[#This Row],['#_Water sources tested for contamination]],"no test")</f>
        <v>no test</v>
      </c>
      <c r="BR547" s="710" t="str">
        <f>IFERROR(WWWW[[#This Row],['#_Household received remediation action due to contamination]]/WWWW[[#This Row],['#_Household water samples tested for contamination]],"no test")</f>
        <v>no test</v>
      </c>
      <c r="BS547" s="712" t="str">
        <f>IF(AND(WWWW[[#This Row],[% of water sources treated]]="no test",WWWW[[#This Row],[% Household received corrective actions]]="no test"),"No Test","Tested")</f>
        <v>No Test</v>
      </c>
      <c r="BT547" s="712">
        <f>WWWW[[#This Row],['#_Constructed/existing protected hand dug well]]-WWWW[[#This Row],['#_Non-functional protected hand dug well]]</f>
        <v>1</v>
      </c>
      <c r="BU547" s="712">
        <f>(WWWW[[#This Row],['#_Constructed/Existing tube wells/boreholes/handpumps_WASH_agency]]+WWWW[[#This Row],['#_Non-Cluster partner water tube-wells/boreholes/handpumps]])-WWWW[[#This Row],['#_Non-functional tube wells/boreholes/handpumps]]</f>
        <v>2</v>
      </c>
      <c r="BV547" s="712">
        <f>WWWW[[#This Row],['#_Constructed/Existingwater storage tank with gravity fed reticulation system]]-WWWW[[#This Row],['#_Non-functional storage tank gravity fed reticulation system]]</f>
        <v>0</v>
      </c>
      <c r="BW547" s="712">
        <f>WWWW[[#This Row],['#_Water boating or water trucking]]</f>
        <v>0</v>
      </c>
      <c r="BX547" s="712">
        <f>WWWW[[#This Row],['#_Constructed/Existing water distribution system from river or natural spring]]</f>
        <v>0</v>
      </c>
      <c r="BY54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47" s="710">
        <f>IF(WWWW[[#This Row],[Location Type 1]]="Village",WWWW[[#This Row],[Access to safe drinking water for Village]],WWWW[[#This Row],[Access to safe drinking water for Camp]])</f>
        <v>1</v>
      </c>
      <c r="CB547" s="708">
        <f>WWWW[[#This Row],[%Equitable and continuous access to sufficient quantity of safe drinking water]]*WWWW[[#This Row],[Total PoP ]]</f>
        <v>665</v>
      </c>
      <c r="CC547" s="710">
        <f>IF((WWWW[[#This Row],['#_Constructed/Existing protected/fenced ponds]]*250)/WWWW[[#This Row],[Total PoP ]]&gt;1,1,(WWWW[[#This Row],['#_Constructed/Existing protected/fenced ponds]]*250)/WWWW[[#This Row],[Total PoP ]])</f>
        <v>0</v>
      </c>
      <c r="CD547" s="708">
        <f>WWWW[[#This Row],[% Access to unimproved water points]]*WWWW[[#This Row],[Total PoP ]]</f>
        <v>0</v>
      </c>
      <c r="CE54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CG547" s="708">
        <f>WWWW[[#This Row],[HRP1]]/500</f>
        <v>1.33</v>
      </c>
      <c r="CH547" s="714">
        <f>1-WWWW[[#This Row],[% Equitable and continuous access to sufficient quantity of domestic water]]</f>
        <v>0</v>
      </c>
      <c r="CI547" s="708">
        <f>WWWW[[#This Row],[%equitable and continuous access to sufficient quantity of safe drinking and domestic water''s GAP]]*WWWW[[#This Row],[Total PoP ]]</f>
        <v>0</v>
      </c>
      <c r="CJ547" s="712">
        <f>IF(WWWW[[#This Row],[Total required water points]]-WWWW[[#This Row],['#Water points coverage]]&lt;0,0,WWWW[[#This Row],[Total required water points]]-WWWW[[#This Row],['#Water points coverage]])</f>
        <v>0</v>
      </c>
      <c r="CK547" s="712">
        <f>ROUND(IF(WWWW[[#This Row],[Total PoP ]]&lt;500,1,WWWW[[#This Row],[Total PoP ]]/500),0)</f>
        <v>1</v>
      </c>
      <c r="CL547" s="712">
        <f>(WWWW[[#This Row],['#_Constructed latrines_by_WASHAgencies]]+WWWW[[#This Row],['#_Non Cluster partner latrines]])-WWWW[[#This Row],['#_Non-functional latrines]]</f>
        <v>28</v>
      </c>
      <c r="CM54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0.84210526315789469</v>
      </c>
      <c r="CN54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54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7" s="712">
        <f>IF(WWWW[[#This Row],[Location Type 1]]="Village","NA",IF(WWWW[[#This Row],['#_Constructed/Existing latrines in TLS]]*50&gt;WWWW[[#This Row],['#_students at TLS_CFS]],WWWW[[#This Row],['#_students at TLS_CFS]],(WWWW[[#This Row],['#_Constructed/Existing latrines in TLS]]*50)))</f>
        <v>0</v>
      </c>
      <c r="CQ547" s="712">
        <f>ROUND(IF(WWWW[[#This Row],[Location Type 1]]="camp",WWWW[[#This Row],[Total PoP ]]/20,IF(WWWW[[#This Row],[Location Type 1]]="Temporary Location",WWWW[[#This Row],[Total PoP ]]/50,(WWWW[[#This Row],[Total PoP ]]/6))),0)</f>
        <v>33</v>
      </c>
      <c r="CR547" s="712">
        <f>IF(WWWW[[#This Row],[Total required Latrines]]-(WWWW[[#This Row],['#_Constructed latrines_by_WASHAgencies]]+WWWW[[#This Row],['#_Non Cluster partner latrines]])&lt;0,0,WWWW[[#This Row],[Total required Latrines]]-(WWWW[[#This Row],['#_Constructed latrines_by_WASHAgencies]]+WWWW[[#This Row],['#_Non Cluster partner latrines]]))</f>
        <v>5</v>
      </c>
      <c r="CS547" s="714">
        <f>1-WWWW[[#This Row],[% people access to functioning Latrine]]</f>
        <v>0.15789473684210531</v>
      </c>
      <c r="CT547" s="713">
        <f>IF(OR(WWWW[[#This Row],['#_Non-functional latrines]]="",WWWW[[#This Row],['#_Non-functional latrines]]=0),0,WWWW[[#This Row],['#_Non-functional latrines]]/(WWWW[[#This Row],['#_Constructed latrines_by_WASHAgencies]]+WWWW[[#This Row],['#_Non Cluster partner latrines]]))</f>
        <v>0</v>
      </c>
      <c r="CU547" s="708">
        <f>IF(500*(WWWW[[#This Row],['#_male hygiene promoters]]+WWWW[[#This Row],['#_female hygiene promoters]])&gt;WWWW[[#This Row],[Total PoP ]],WWWW[[#This Row],[Total PoP ]],500*(WWWW[[#This Row],['#_male hygiene promoters]]+WWWW[[#This Row],['#_female hygiene promoters]]))</f>
        <v>0</v>
      </c>
      <c r="CV54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665</v>
      </c>
      <c r="CW54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155</v>
      </c>
      <c r="CX547" s="712">
        <f>IF(WWWW[[#This Row],['# People with access to soap]]&gt;WWWW[[#This Row],['# People with access to Sanity Pads]],WWWW[[#This Row],['# People with access to soap]],WWWW[[#This Row],['# People with access to Sanity Pads]])</f>
        <v>665</v>
      </c>
      <c r="CY547" s="712">
        <f>IF(WWWW[[#This Row],['# people reached by regular dedicated hygiene promotion_5]]&gt;WWWW[[#This Row],['# People received regular supply of hygiene items_6]],WWWW[[#This Row],['# people reached by regular dedicated hygiene promotion_5]],WWWW[[#This Row],['# People received regular supply of hygiene items_6]])</f>
        <v>665</v>
      </c>
      <c r="CZ547" s="714">
        <f>IF(WWWW[[#This Row],[HRP3]]/WWWW[[#This Row],[Total PoP ]]&gt;100%,100%,WWWW[[#This Row],[HRP3]]/WWWW[[#This Row],[Total PoP ]])</f>
        <v>1</v>
      </c>
      <c r="DA547" s="713">
        <f>1-WWWW[[#This Row],[Hygiene Coverage%]]</f>
        <v>0</v>
      </c>
      <c r="DB547" s="710">
        <f>WWWW[[#This Row],['# people reached by regular dedicated hygiene promotion_5]]/WWWW[[#This Row],[Total PoP ]]</f>
        <v>0</v>
      </c>
      <c r="DC547" s="710">
        <f>IF(WWWW[[#This Row],['#_households that received standard amount of soap for this quarter]]/WWWW[[#This Row],[Total HH]]&gt;1,1,WWWW[[#This Row],['#_households that received standard amount of soap for this quarter]]/WWWW[[#This Row],[Total HH]])</f>
        <v>0.98581560283687941</v>
      </c>
      <c r="DD547" s="710">
        <f>IF(WWWW[[#This Row],['#_households that received standard amount of sanitary pads for this quarter]]/WWWW[[#This Row],[Total HH]]&gt;1,1,WWWW[[#This Row],['#_households that received standard amount of sanitary pads for this quarter]]/WWWW[[#This Row],[Total HH]])</f>
        <v>0.21985815602836881</v>
      </c>
      <c r="DE547" s="712">
        <f>WWWW[[#This Row],['#_Constructed/Existing hand washing stations]]-WWWW[[#This Row],['#_Non-Functional_hand_washing_stations]]</f>
        <v>10</v>
      </c>
      <c r="DF547" s="757">
        <f>IF(WWWW[[#This Row],['# Functional hand washing stations during reporting period]]*20&gt;WWWW[[#This Row],[Total HH]],WWWW[[#This Row],[Total HH]],WWWW[[#This Row],['# Functional hand washing stations during reporting period]]*20)</f>
        <v>141</v>
      </c>
      <c r="DG547" s="708">
        <f>IF(WWWW[[#This Row],[Is sufficient soap available for TLS? (Yes/No)]]="yes",WWWW[[#This Row],['#_Constructed/Existing hand washing stations at TLS]],0)</f>
        <v>0</v>
      </c>
      <c r="DH547" s="759">
        <f>IF(WWWW[[#This Row],['# Functional hand washing stations during reporting period]]*100&gt;WWWW[[#This Row],[Total PoP ]],WWWW[[#This Row],[Total PoP ]],WWWW[[#This Row],['# Functional hand washing stations during reporting period]]*100)</f>
        <v>665</v>
      </c>
      <c r="DI547" s="759" t="str">
        <f>IF(OR(WWWW[[#This Row],['#_students at TLS_CFS]]="",WWWW[[#This Row],['#_students at TLS_CFS]]=0),"No","Yes")</f>
        <v>No</v>
      </c>
      <c r="DJ547" s="711">
        <f>VLOOKUP(WWWW[[#This Row],[Site Name]],SiteDB6[[Site Name]:[CCCM Management]],6,FALSE)</f>
        <v>0</v>
      </c>
      <c r="DK547" s="711">
        <f>VLOOKUP(WWWW[[#This Row],[Site Name]],SiteDB6[[Site Name]:[CCCM Focal Agency]],7,FALSE)</f>
        <v>0</v>
      </c>
      <c r="DL547" s="711" t="str">
        <f>VLOOKUP(WWWW[[#This Row],[Site Name]],SiteDB6[[Site Name]:[Location Type 1]],9,FALSE)</f>
        <v>Camp</v>
      </c>
      <c r="DM547" s="711" t="str">
        <f>VLOOKUP(WWWW[[#This Row],[Site Name]],SiteDB6[[Site Name]:[Type of Accommodation]],10,FALSE)</f>
        <v>Camp</v>
      </c>
      <c r="DN547" s="711" t="str">
        <f>VLOOKUP(WWWW[[#This Row],[Site Name]],SiteDB6[[Site Name]:[Ethnic or GCA/NGCA]],11,FALSE)</f>
        <v>GCA</v>
      </c>
      <c r="DO547" s="711">
        <f>VLOOKUP(WWWW[[#This Row],[Site Name]],SiteDB6[[Site Name]:[Lat]],12,FALSE)</f>
        <v>0</v>
      </c>
      <c r="DP547" s="711">
        <f>VLOOKUP(WWWW[[#This Row],[Site Name]],SiteDB6[[Site Name]:[Long]],13,FALSE)</f>
        <v>0</v>
      </c>
      <c r="DQ547" s="711">
        <f>VLOOKUP(WWWW[[#This Row],[Site Name]],SiteDB6[[Site Name]:[Pcode]],3,FALSE)</f>
        <v>0</v>
      </c>
      <c r="DR547" s="709" t="str">
        <f t="shared" ref="DR547:DR549" si="20">IF(C547="none","Notcovered","Covered")</f>
        <v>Covered</v>
      </c>
      <c r="DS547" s="709"/>
    </row>
    <row r="548" spans="1:123">
      <c r="A548" s="701" t="s">
        <v>2519</v>
      </c>
      <c r="B548" s="701" t="s">
        <v>317</v>
      </c>
      <c r="C548" s="702" t="s">
        <v>317</v>
      </c>
      <c r="D548" s="702"/>
      <c r="E548" s="702" t="s">
        <v>39</v>
      </c>
      <c r="F548" s="702" t="s">
        <v>203</v>
      </c>
      <c r="G548" s="711" t="str">
        <f>VLOOKUP(WWWW[[#This Row],[Site Name]],SiteDB6[[Site Name]:[Location Type]],8,FALSE)</f>
        <v>Camp</v>
      </c>
      <c r="H548" s="702" t="s">
        <v>1023</v>
      </c>
      <c r="I548" s="705">
        <v>190</v>
      </c>
      <c r="J548" s="705">
        <v>928</v>
      </c>
      <c r="K548" s="706"/>
      <c r="L548" s="707"/>
      <c r="M548" s="705"/>
      <c r="N548" s="705"/>
      <c r="O548" s="705"/>
      <c r="P548" s="705"/>
      <c r="Q548" s="708"/>
      <c r="R548" s="705"/>
      <c r="S548" s="705"/>
      <c r="T548" s="807"/>
      <c r="U548" s="705"/>
      <c r="V548" s="705"/>
      <c r="W548" s="705"/>
      <c r="X548" s="705"/>
      <c r="Y548" s="705"/>
      <c r="Z548" s="705"/>
      <c r="AA548" s="705"/>
      <c r="AB548" s="705"/>
      <c r="AC548" s="705"/>
      <c r="AD548" s="705"/>
      <c r="AE548" s="705"/>
      <c r="AF548" s="705"/>
      <c r="AG548" s="705"/>
      <c r="AH548" s="705"/>
      <c r="AI548" s="705"/>
      <c r="AJ548" s="705"/>
      <c r="AK548" s="705"/>
      <c r="AL548" s="705"/>
      <c r="AM548" s="705"/>
      <c r="AN548" s="705"/>
      <c r="AO548" s="709"/>
      <c r="AP548" s="705"/>
      <c r="AQ548" s="705"/>
      <c r="AR548" s="710"/>
      <c r="AS548" s="705"/>
      <c r="AT548" s="705"/>
      <c r="AU548" s="705"/>
      <c r="AV548" s="705"/>
      <c r="AW548" s="705"/>
      <c r="AX548" s="711"/>
      <c r="AY548" s="709"/>
      <c r="AZ548" s="705"/>
      <c r="BA548" s="705"/>
      <c r="BB548" s="705"/>
      <c r="BC548" s="711"/>
      <c r="BD548" s="705"/>
      <c r="BE548" s="705"/>
      <c r="BF548" s="705"/>
      <c r="BG548" s="705"/>
      <c r="BH548" s="705"/>
      <c r="BI548" s="705"/>
      <c r="BJ548" s="705"/>
      <c r="BK548" s="705"/>
      <c r="BL548" s="705"/>
      <c r="BM548" s="711"/>
      <c r="BN548" s="712"/>
      <c r="BO548" s="710"/>
      <c r="BP548" s="711"/>
      <c r="BQ548" s="713" t="str">
        <f>IFERROR(WWWW[[#This Row],['#_Water sources treated]]/WWWW[[#This Row],['#_Water sources tested for contamination]],"no test")</f>
        <v>no test</v>
      </c>
      <c r="BR548" s="710" t="str">
        <f>IFERROR(WWWW[[#This Row],['#_Household received remediation action due to contamination]]/WWWW[[#This Row],['#_Household water samples tested for contamination]],"no test")</f>
        <v>no test</v>
      </c>
      <c r="BS548" s="712" t="str">
        <f>IF(AND(WWWW[[#This Row],[% of water sources treated]]="no test",WWWW[[#This Row],[% Household received corrective actions]]="no test"),"No Test","Tested")</f>
        <v>No Test</v>
      </c>
      <c r="BT548" s="712">
        <f>WWWW[[#This Row],['#_Constructed/existing protected hand dug well]]-WWWW[[#This Row],['#_Non-functional protected hand dug well]]</f>
        <v>0</v>
      </c>
      <c r="BU548" s="712">
        <f>(WWWW[[#This Row],['#_Constructed/Existing tube wells/boreholes/handpumps_WASH_agency]]+WWWW[[#This Row],['#_Non-Cluster partner water tube-wells/boreholes/handpumps]])-WWWW[[#This Row],['#_Non-functional tube wells/boreholes/handpumps]]</f>
        <v>0</v>
      </c>
      <c r="BV548" s="712">
        <f>WWWW[[#This Row],['#_Constructed/Existingwater storage tank with gravity fed reticulation system]]-WWWW[[#This Row],['#_Non-functional storage tank gravity fed reticulation system]]</f>
        <v>0</v>
      </c>
      <c r="BW548" s="712">
        <f>WWWW[[#This Row],['#_Water boating or water trucking]]</f>
        <v>0</v>
      </c>
      <c r="BX548" s="712">
        <f>WWWW[[#This Row],['#_Constructed/Existing water distribution system from river or natural spring]]</f>
        <v>0</v>
      </c>
      <c r="BY54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4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48" s="710">
        <f>IF(WWWW[[#This Row],[Location Type 1]]="Village",WWWW[[#This Row],[Access to safe drinking water for Village]],WWWW[[#This Row],[Access to safe drinking water for Camp]])</f>
        <v>0</v>
      </c>
      <c r="CB548" s="708">
        <f>WWWW[[#This Row],[%Equitable and continuous access to sufficient quantity of safe drinking water]]*WWWW[[#This Row],[Total PoP ]]</f>
        <v>0</v>
      </c>
      <c r="CC548" s="710">
        <f>IF((WWWW[[#This Row],['#_Constructed/Existing protected/fenced ponds]]*250)/WWWW[[#This Row],[Total PoP ]]&gt;1,1,(WWWW[[#This Row],['#_Constructed/Existing protected/fenced ponds]]*250)/WWWW[[#This Row],[Total PoP ]])</f>
        <v>0</v>
      </c>
      <c r="CD548" s="708">
        <f>WWWW[[#This Row],[% Access to unimproved water points]]*WWWW[[#This Row],[Total PoP ]]</f>
        <v>0</v>
      </c>
      <c r="CE54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4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48" s="708">
        <f>WWWW[[#This Row],[HRP1]]/500</f>
        <v>0</v>
      </c>
      <c r="CH548" s="714">
        <f>1-WWWW[[#This Row],[% Equitable and continuous access to sufficient quantity of domestic water]]</f>
        <v>1</v>
      </c>
      <c r="CI548" s="708">
        <f>WWWW[[#This Row],[%equitable and continuous access to sufficient quantity of safe drinking and domestic water''s GAP]]*WWWW[[#This Row],[Total PoP ]]</f>
        <v>928</v>
      </c>
      <c r="CJ548" s="712">
        <f>IF(WWWW[[#This Row],[Total required water points]]-WWWW[[#This Row],['#Water points coverage]]&lt;0,0,WWWW[[#This Row],[Total required water points]]-WWWW[[#This Row],['#Water points coverage]])</f>
        <v>2</v>
      </c>
      <c r="CK548" s="712">
        <f>ROUND(IF(WWWW[[#This Row],[Total PoP ]]&lt;500,1,WWWW[[#This Row],[Total PoP ]]/500),0)</f>
        <v>2</v>
      </c>
      <c r="CL548" s="712">
        <f>(WWWW[[#This Row],['#_Constructed latrines_by_WASHAgencies]]+WWWW[[#This Row],['#_Non Cluster partner latrines]])-WWWW[[#This Row],['#_Non-functional latrines]]</f>
        <v>0</v>
      </c>
      <c r="CM54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4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4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8" s="712">
        <f>IF(WWWW[[#This Row],[Location Type 1]]="Village","NA",IF(WWWW[[#This Row],['#_Constructed/Existing latrines in TLS]]*50&gt;WWWW[[#This Row],['#_students at TLS_CFS]],WWWW[[#This Row],['#_students at TLS_CFS]],(WWWW[[#This Row],['#_Constructed/Existing latrines in TLS]]*50)))</f>
        <v>0</v>
      </c>
      <c r="CQ548" s="712">
        <f>ROUND(IF(WWWW[[#This Row],[Location Type 1]]="camp",WWWW[[#This Row],[Total PoP ]]/20,IF(WWWW[[#This Row],[Location Type 1]]="Temporary Location",WWWW[[#This Row],[Total PoP ]]/50,(WWWW[[#This Row],[Total PoP ]]/6))),0)</f>
        <v>46</v>
      </c>
      <c r="CR548" s="712">
        <f>IF(WWWW[[#This Row],[Total required Latrines]]-(WWWW[[#This Row],['#_Constructed latrines_by_WASHAgencies]]+WWWW[[#This Row],['#_Non Cluster partner latrines]])&lt;0,0,WWWW[[#This Row],[Total required Latrines]]-(WWWW[[#This Row],['#_Constructed latrines_by_WASHAgencies]]+WWWW[[#This Row],['#_Non Cluster partner latrines]]))</f>
        <v>46</v>
      </c>
      <c r="CS548" s="714">
        <f>1-WWWW[[#This Row],[% people access to functioning Latrine]]</f>
        <v>1</v>
      </c>
      <c r="CT548" s="713">
        <f>IF(OR(WWWW[[#This Row],['#_Non-functional latrines]]="",WWWW[[#This Row],['#_Non-functional latrines]]=0),0,WWWW[[#This Row],['#_Non-functional latrines]]/(WWWW[[#This Row],['#_Constructed latrines_by_WASHAgencies]]+WWWW[[#This Row],['#_Non Cluster partner latrines]]))</f>
        <v>0</v>
      </c>
      <c r="CU548" s="708">
        <f>IF(500*(WWWW[[#This Row],['#_male hygiene promoters]]+WWWW[[#This Row],['#_female hygiene promoters]])&gt;WWWW[[#This Row],[Total PoP ]],WWWW[[#This Row],[Total PoP ]],500*(WWWW[[#This Row],['#_male hygiene promoters]]+WWWW[[#This Row],['#_female hygiene promoters]]))</f>
        <v>0</v>
      </c>
      <c r="CV54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4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48" s="712">
        <f>IF(WWWW[[#This Row],['# People with access to soap]]&gt;WWWW[[#This Row],['# People with access to Sanity Pads]],WWWW[[#This Row],['# People with access to soap]],WWWW[[#This Row],['# People with access to Sanity Pads]])</f>
        <v>0</v>
      </c>
      <c r="CY54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48" s="714">
        <f>IF(WWWW[[#This Row],[HRP3]]/WWWW[[#This Row],[Total PoP ]]&gt;100%,100%,WWWW[[#This Row],[HRP3]]/WWWW[[#This Row],[Total PoP ]])</f>
        <v>0</v>
      </c>
      <c r="DA548" s="713">
        <f>1-WWWW[[#This Row],[Hygiene Coverage%]]</f>
        <v>1</v>
      </c>
      <c r="DB548" s="710">
        <f>WWWW[[#This Row],['# people reached by regular dedicated hygiene promotion_5]]/WWWW[[#This Row],[Total PoP ]]</f>
        <v>0</v>
      </c>
      <c r="DC548" s="710">
        <f>IF(WWWW[[#This Row],['#_households that received standard amount of soap for this quarter]]/WWWW[[#This Row],[Total HH]]&gt;1,1,WWWW[[#This Row],['#_households that received standard amount of soap for this quarter]]/WWWW[[#This Row],[Total HH]])</f>
        <v>0</v>
      </c>
      <c r="DD548" s="710">
        <f>IF(WWWW[[#This Row],['#_households that received standard amount of sanitary pads for this quarter]]/WWWW[[#This Row],[Total HH]]&gt;1,1,WWWW[[#This Row],['#_households that received standard amount of sanitary pads for this quarter]]/WWWW[[#This Row],[Total HH]])</f>
        <v>0</v>
      </c>
      <c r="DE548" s="712">
        <f>WWWW[[#This Row],['#_Constructed/Existing hand washing stations]]-WWWW[[#This Row],['#_Non-Functional_hand_washing_stations]]</f>
        <v>0</v>
      </c>
      <c r="DF548" s="757">
        <f>IF(WWWW[[#This Row],['# Functional hand washing stations during reporting period]]*20&gt;WWWW[[#This Row],[Total HH]],WWWW[[#This Row],[Total HH]],WWWW[[#This Row],['# Functional hand washing stations during reporting period]]*20)</f>
        <v>0</v>
      </c>
      <c r="DG548" s="708">
        <f>IF(WWWW[[#This Row],[Is sufficient soap available for TLS? (Yes/No)]]="yes",WWWW[[#This Row],['#_Constructed/Existing hand washing stations at TLS]],0)</f>
        <v>0</v>
      </c>
      <c r="DH548" s="759">
        <f>IF(WWWW[[#This Row],['# Functional hand washing stations during reporting period]]*100&gt;WWWW[[#This Row],[Total PoP ]],WWWW[[#This Row],[Total PoP ]],WWWW[[#This Row],['# Functional hand washing stations during reporting period]]*100)</f>
        <v>0</v>
      </c>
      <c r="DI548" s="759" t="str">
        <f>IF(OR(WWWW[[#This Row],['#_students at TLS_CFS]]="",WWWW[[#This Row],['#_students at TLS_CFS]]=0),"No","Yes")</f>
        <v>No</v>
      </c>
      <c r="DJ548" s="711">
        <f>VLOOKUP(WWWW[[#This Row],[Site Name]],SiteDB6[[Site Name]:[CCCM Management]],6,FALSE)</f>
        <v>0</v>
      </c>
      <c r="DK548" s="711" t="str">
        <f>VLOOKUP(WWWW[[#This Row],[Site Name]],SiteDB6[[Site Name]:[CCCM Focal Agency]],7,FALSE)</f>
        <v>uncovered</v>
      </c>
      <c r="DL548" s="711" t="str">
        <f>VLOOKUP(WWWW[[#This Row],[Site Name]],SiteDB6[[Site Name]:[Location Type 1]],9,FALSE)</f>
        <v>Camp</v>
      </c>
      <c r="DM548" s="711" t="str">
        <f>VLOOKUP(WWWW[[#This Row],[Site Name]],SiteDB6[[Site Name]:[Type of Accommodation]],10,FALSE)</f>
        <v>Host Families</v>
      </c>
      <c r="DN548" s="711" t="str">
        <f>VLOOKUP(WWWW[[#This Row],[Site Name]],SiteDB6[[Site Name]:[Ethnic or GCA/NGCA]],11,FALSE)</f>
        <v>GCA</v>
      </c>
      <c r="DO548" s="711">
        <f>VLOOKUP(WWWW[[#This Row],[Site Name]],SiteDB6[[Site Name]:[Lat]],12,FALSE)</f>
        <v>24.263786</v>
      </c>
      <c r="DP548" s="711">
        <f>VLOOKUP(WWWW[[#This Row],[Site Name]],SiteDB6[[Site Name]:[Long]],13,FALSE)</f>
        <v>97.228835000000004</v>
      </c>
      <c r="DQ548" s="711" t="str">
        <f>VLOOKUP(WWWW[[#This Row],[Site Name]],SiteDB6[[Site Name]:[Pcode]],3,FALSE)</f>
        <v>MMR001CMP163</v>
      </c>
      <c r="DR548" s="709" t="str">
        <f t="shared" si="20"/>
        <v>Notcovered</v>
      </c>
      <c r="DS548" s="709"/>
    </row>
    <row r="549" spans="1:123">
      <c r="A549" s="701" t="s">
        <v>2519</v>
      </c>
      <c r="B549" s="701" t="s">
        <v>200</v>
      </c>
      <c r="C549" s="702" t="s">
        <v>200</v>
      </c>
      <c r="D549" s="702" t="s">
        <v>2960</v>
      </c>
      <c r="E549" s="702" t="s">
        <v>39</v>
      </c>
      <c r="F549" s="702" t="s">
        <v>203</v>
      </c>
      <c r="G549" s="711" t="str">
        <f>VLOOKUP(WWWW[[#This Row],[Site Name]],SiteDB6[[Site Name]:[Location Type]],8,FALSE)</f>
        <v>Camp</v>
      </c>
      <c r="H549" s="702" t="s">
        <v>204</v>
      </c>
      <c r="I549" s="705">
        <v>11</v>
      </c>
      <c r="J549" s="705">
        <v>52</v>
      </c>
      <c r="K549" s="706">
        <v>43466</v>
      </c>
      <c r="L549" s="707">
        <v>43830</v>
      </c>
      <c r="M549" s="705"/>
      <c r="N549" s="705"/>
      <c r="O549" s="705"/>
      <c r="P549" s="705"/>
      <c r="Q549" s="708" t="s">
        <v>144</v>
      </c>
      <c r="R549" s="705"/>
      <c r="S549" s="705"/>
      <c r="T549" s="807"/>
      <c r="U549" s="705"/>
      <c r="V549" s="705"/>
      <c r="W549" s="705"/>
      <c r="X549" s="705">
        <v>1</v>
      </c>
      <c r="Y549" s="705"/>
      <c r="Z549" s="705"/>
      <c r="AA549" s="705"/>
      <c r="AB549" s="705"/>
      <c r="AC549" s="705"/>
      <c r="AD549" s="705"/>
      <c r="AE549" s="705"/>
      <c r="AF549" s="705"/>
      <c r="AG549" s="705"/>
      <c r="AH549" s="705"/>
      <c r="AI549" s="705"/>
      <c r="AJ549" s="705"/>
      <c r="AK549" s="705"/>
      <c r="AL549" s="705"/>
      <c r="AM549" s="705"/>
      <c r="AN549" s="705"/>
      <c r="AO549" s="709"/>
      <c r="AP549" s="705">
        <v>2</v>
      </c>
      <c r="AQ549" s="705"/>
      <c r="AR549" s="710"/>
      <c r="AS549" s="705"/>
      <c r="AT549" s="705"/>
      <c r="AU549" s="705"/>
      <c r="AV549" s="705"/>
      <c r="AW549" s="705"/>
      <c r="AX549" s="711" t="s">
        <v>43</v>
      </c>
      <c r="AY549" s="709" t="s">
        <v>148</v>
      </c>
      <c r="AZ549" s="705"/>
      <c r="BA549" s="705"/>
      <c r="BB549" s="705"/>
      <c r="BC549" s="711"/>
      <c r="BD549" s="705">
        <v>1</v>
      </c>
      <c r="BE549" s="705"/>
      <c r="BF549" s="705"/>
      <c r="BG549" s="705">
        <v>1</v>
      </c>
      <c r="BH549" s="705"/>
      <c r="BI549" s="705"/>
      <c r="BJ549" s="705"/>
      <c r="BK549" s="705">
        <v>11</v>
      </c>
      <c r="BL549" s="705">
        <v>2</v>
      </c>
      <c r="BM549" s="711"/>
      <c r="BN549" s="712"/>
      <c r="BO549" s="710"/>
      <c r="BP549" s="711"/>
      <c r="BQ549" s="713" t="str">
        <f>IFERROR(WWWW[[#This Row],['#_Water sources treated]]/WWWW[[#This Row],['#_Water sources tested for contamination]],"no test")</f>
        <v>no test</v>
      </c>
      <c r="BR549" s="710" t="str">
        <f>IFERROR(WWWW[[#This Row],['#_Household received remediation action due to contamination]]/WWWW[[#This Row],['#_Household water samples tested for contamination]],"no test")</f>
        <v>no test</v>
      </c>
      <c r="BS549" s="712" t="str">
        <f>IF(AND(WWWW[[#This Row],[% of water sources treated]]="no test",WWWW[[#This Row],[% Household received corrective actions]]="no test"),"No Test","Tested")</f>
        <v>No Test</v>
      </c>
      <c r="BT549" s="712">
        <f>WWWW[[#This Row],['#_Constructed/existing protected hand dug well]]-WWWW[[#This Row],['#_Non-functional protected hand dug well]]</f>
        <v>0</v>
      </c>
      <c r="BU549" s="712">
        <f>(WWWW[[#This Row],['#_Constructed/Existing tube wells/boreholes/handpumps_WASH_agency]]+WWWW[[#This Row],['#_Non-Cluster partner water tube-wells/boreholes/handpumps]])-WWWW[[#This Row],['#_Non-functional tube wells/boreholes/handpumps]]</f>
        <v>1</v>
      </c>
      <c r="BV549" s="712">
        <f>WWWW[[#This Row],['#_Constructed/Existingwater storage tank with gravity fed reticulation system]]-WWWW[[#This Row],['#_Non-functional storage tank gravity fed reticulation system]]</f>
        <v>0</v>
      </c>
      <c r="BW549" s="712">
        <f>WWWW[[#This Row],['#_Water boating or water trucking]]</f>
        <v>0</v>
      </c>
      <c r="BX549" s="712">
        <f>WWWW[[#This Row],['#_Constructed/Existing water distribution system from river or natural spring]]</f>
        <v>0</v>
      </c>
      <c r="BY54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4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49" s="710">
        <f>IF(WWWW[[#This Row],[Location Type 1]]="Village",WWWW[[#This Row],[Access to safe drinking water for Village]],WWWW[[#This Row],[Access to safe drinking water for Camp]])</f>
        <v>1</v>
      </c>
      <c r="CB549" s="708">
        <f>WWWW[[#This Row],[%Equitable and continuous access to sufficient quantity of safe drinking water]]*WWWW[[#This Row],[Total PoP ]]</f>
        <v>52</v>
      </c>
      <c r="CC549" s="710">
        <f>IF((WWWW[[#This Row],['#_Constructed/Existing protected/fenced ponds]]*250)/WWWW[[#This Row],[Total PoP ]]&gt;1,1,(WWWW[[#This Row],['#_Constructed/Existing protected/fenced ponds]]*250)/WWWW[[#This Row],[Total PoP ]])</f>
        <v>0</v>
      </c>
      <c r="CD549" s="708">
        <f>WWWW[[#This Row],[% Access to unimproved water points]]*WWWW[[#This Row],[Total PoP ]]</f>
        <v>0</v>
      </c>
      <c r="CE54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4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G549" s="708">
        <f>WWWW[[#This Row],[HRP1]]/500</f>
        <v>0.104</v>
      </c>
      <c r="CH549" s="714">
        <f>1-WWWW[[#This Row],[% Equitable and continuous access to sufficient quantity of domestic water]]</f>
        <v>0</v>
      </c>
      <c r="CI549" s="708">
        <f>WWWW[[#This Row],[%equitable and continuous access to sufficient quantity of safe drinking and domestic water''s GAP]]*WWWW[[#This Row],[Total PoP ]]</f>
        <v>0</v>
      </c>
      <c r="CJ549" s="712">
        <f>IF(WWWW[[#This Row],[Total required water points]]-WWWW[[#This Row],['#Water points coverage]]&lt;0,0,WWWW[[#This Row],[Total required water points]]-WWWW[[#This Row],['#Water points coverage]])</f>
        <v>0.89600000000000002</v>
      </c>
      <c r="CK549" s="712">
        <f>ROUND(IF(WWWW[[#This Row],[Total PoP ]]&lt;500,1,WWWW[[#This Row],[Total PoP ]]/500),0)</f>
        <v>1</v>
      </c>
      <c r="CL549" s="712">
        <f>(WWWW[[#This Row],['#_Constructed latrines_by_WASHAgencies]]+WWWW[[#This Row],['#_Non Cluster partner latrines]])-WWWW[[#This Row],['#_Non-functional latrines]]</f>
        <v>2</v>
      </c>
      <c r="CM54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0.76923076923076927</v>
      </c>
      <c r="CN54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54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49" s="712">
        <f>IF(WWWW[[#This Row],[Location Type 1]]="Village","NA",IF(WWWW[[#This Row],['#_Constructed/Existing latrines in TLS]]*50&gt;WWWW[[#This Row],['#_students at TLS_CFS]],WWWW[[#This Row],['#_students at TLS_CFS]],(WWWW[[#This Row],['#_Constructed/Existing latrines in TLS]]*50)))</f>
        <v>0</v>
      </c>
      <c r="CQ549" s="712">
        <f>ROUND(IF(WWWW[[#This Row],[Location Type 1]]="camp",WWWW[[#This Row],[Total PoP ]]/20,IF(WWWW[[#This Row],[Location Type 1]]="Temporary Location",WWWW[[#This Row],[Total PoP ]]/50,(WWWW[[#This Row],[Total PoP ]]/6))),0)</f>
        <v>3</v>
      </c>
      <c r="CR549" s="712">
        <f>IF(WWWW[[#This Row],[Total required Latrines]]-(WWWW[[#This Row],['#_Constructed latrines_by_WASHAgencies]]+WWWW[[#This Row],['#_Non Cluster partner latrines]])&lt;0,0,WWWW[[#This Row],[Total required Latrines]]-(WWWW[[#This Row],['#_Constructed latrines_by_WASHAgencies]]+WWWW[[#This Row],['#_Non Cluster partner latrines]]))</f>
        <v>1</v>
      </c>
      <c r="CS549" s="714">
        <f>1-WWWW[[#This Row],[% people access to functioning Latrine]]</f>
        <v>0.23076923076923073</v>
      </c>
      <c r="CT549" s="713">
        <f>IF(OR(WWWW[[#This Row],['#_Non-functional latrines]]="",WWWW[[#This Row],['#_Non-functional latrines]]=0),0,WWWW[[#This Row],['#_Non-functional latrines]]/(WWWW[[#This Row],['#_Constructed latrines_by_WASHAgencies]]+WWWW[[#This Row],['#_Non Cluster partner latrines]]))</f>
        <v>0</v>
      </c>
      <c r="CU549" s="708">
        <f>IF(500*(WWWW[[#This Row],['#_male hygiene promoters]]+WWWW[[#This Row],['#_female hygiene promoters]])&gt;WWWW[[#This Row],[Total PoP ]],WWWW[[#This Row],[Total PoP ]],500*(WWWW[[#This Row],['#_male hygiene promoters]]+WWWW[[#This Row],['#_female hygiene promoters]]))</f>
        <v>0</v>
      </c>
      <c r="CV54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CW54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549" s="712">
        <f>IF(WWWW[[#This Row],['# People with access to soap]]&gt;WWWW[[#This Row],['# People with access to Sanity Pads]],WWWW[[#This Row],['# People with access to soap]],WWWW[[#This Row],['# People with access to Sanity Pads]])</f>
        <v>52</v>
      </c>
      <c r="CY549" s="712">
        <f>IF(WWWW[[#This Row],['# people reached by regular dedicated hygiene promotion_5]]&gt;WWWW[[#This Row],['# People received regular supply of hygiene items_6]],WWWW[[#This Row],['# people reached by regular dedicated hygiene promotion_5]],WWWW[[#This Row],['# People received regular supply of hygiene items_6]])</f>
        <v>52</v>
      </c>
      <c r="CZ549" s="714">
        <f>IF(WWWW[[#This Row],[HRP3]]/WWWW[[#This Row],[Total PoP ]]&gt;100%,100%,WWWW[[#This Row],[HRP3]]/WWWW[[#This Row],[Total PoP ]])</f>
        <v>1</v>
      </c>
      <c r="DA549" s="713">
        <f>1-WWWW[[#This Row],[Hygiene Coverage%]]</f>
        <v>0</v>
      </c>
      <c r="DB549" s="710">
        <f>WWWW[[#This Row],['# people reached by regular dedicated hygiene promotion_5]]/WWWW[[#This Row],[Total PoP ]]</f>
        <v>0</v>
      </c>
      <c r="DC549" s="710">
        <f>IF(WWWW[[#This Row],['#_households that received standard amount of soap for this quarter]]/WWWW[[#This Row],[Total HH]]&gt;1,1,WWWW[[#This Row],['#_households that received standard amount of soap for this quarter]]/WWWW[[#This Row],[Total HH]])</f>
        <v>1</v>
      </c>
      <c r="DD549" s="710">
        <f>IF(WWWW[[#This Row],['#_households that received standard amount of sanitary pads for this quarter]]/WWWW[[#This Row],[Total HH]]&gt;1,1,WWWW[[#This Row],['#_households that received standard amount of sanitary pads for this quarter]]/WWWW[[#This Row],[Total HH]])</f>
        <v>0.18181818181818182</v>
      </c>
      <c r="DE549" s="712">
        <f>WWWW[[#This Row],['#_Constructed/Existing hand washing stations]]-WWWW[[#This Row],['#_Non-Functional_hand_washing_stations]]</f>
        <v>1</v>
      </c>
      <c r="DF549" s="757">
        <f>IF(WWWW[[#This Row],['# Functional hand washing stations during reporting period]]*20&gt;WWWW[[#This Row],[Total HH]],WWWW[[#This Row],[Total HH]],WWWW[[#This Row],['# Functional hand washing stations during reporting period]]*20)</f>
        <v>11</v>
      </c>
      <c r="DG549" s="708">
        <f>IF(WWWW[[#This Row],[Is sufficient soap available for TLS? (Yes/No)]]="yes",WWWW[[#This Row],['#_Constructed/Existing hand washing stations at TLS]],0)</f>
        <v>0</v>
      </c>
      <c r="DH549" s="759">
        <f>IF(WWWW[[#This Row],['# Functional hand washing stations during reporting period]]*100&gt;WWWW[[#This Row],[Total PoP ]],WWWW[[#This Row],[Total PoP ]],WWWW[[#This Row],['# Functional hand washing stations during reporting period]]*100)</f>
        <v>52</v>
      </c>
      <c r="DI549" s="759" t="str">
        <f>IF(OR(WWWW[[#This Row],['#_students at TLS_CFS]]="",WWWW[[#This Row],['#_students at TLS_CFS]]=0),"No","Yes")</f>
        <v>No</v>
      </c>
      <c r="DJ549" s="711" t="str">
        <f>VLOOKUP(WWWW[[#This Row],[Site Name]],SiteDB6[[Site Name]:[CCCM Management]],6,FALSE)</f>
        <v>Yes</v>
      </c>
      <c r="DK549" s="711" t="str">
        <f>VLOOKUP(WWWW[[#This Row],[Site Name]],SiteDB6[[Site Name]:[CCCM Focal Agency]],7,FALSE)</f>
        <v>KBC</v>
      </c>
      <c r="DL549" s="711" t="str">
        <f>VLOOKUP(WWWW[[#This Row],[Site Name]],SiteDB6[[Site Name]:[Location Type 1]],9,FALSE)</f>
        <v>Camp</v>
      </c>
      <c r="DM549" s="711" t="str">
        <f>VLOOKUP(WWWW[[#This Row],[Site Name]],SiteDB6[[Site Name]:[Type of Accommodation]],10,FALSE)</f>
        <v>Camp</v>
      </c>
      <c r="DN549" s="711" t="str">
        <f>VLOOKUP(WWWW[[#This Row],[Site Name]],SiteDB6[[Site Name]:[Ethnic or GCA/NGCA]],11,FALSE)</f>
        <v>GCA</v>
      </c>
      <c r="DO549" s="711">
        <f>VLOOKUP(WWWW[[#This Row],[Site Name]],SiteDB6[[Site Name]:[Lat]],12,FALSE)</f>
        <v>24.260466999999998</v>
      </c>
      <c r="DP549" s="711">
        <f>VLOOKUP(WWWW[[#This Row],[Site Name]],SiteDB6[[Site Name]:[Long]],13,FALSE)</f>
        <v>97.252650000000003</v>
      </c>
      <c r="DQ549" s="711" t="str">
        <f>VLOOKUP(WWWW[[#This Row],[Site Name]],SiteDB6[[Site Name]:[Pcode]],3,FALSE)</f>
        <v>MMR001CMP194</v>
      </c>
      <c r="DR549" s="709" t="str">
        <f t="shared" si="20"/>
        <v>Covered</v>
      </c>
      <c r="DS549" s="709"/>
    </row>
    <row r="550" spans="1:123">
      <c r="A550" s="701" t="s">
        <v>2519</v>
      </c>
      <c r="B550" s="701" t="s">
        <v>38</v>
      </c>
      <c r="C550" s="702" t="s">
        <v>38</v>
      </c>
      <c r="D550" s="584" t="s">
        <v>3336</v>
      </c>
      <c r="E550" s="702" t="s">
        <v>39</v>
      </c>
      <c r="F550" s="702" t="s">
        <v>150</v>
      </c>
      <c r="G550" s="711" t="str">
        <f>VLOOKUP(WWWW[[#This Row],[Site Name]],SiteDB6[[Site Name]:[Location Type]],8,FALSE)</f>
        <v>Camp</v>
      </c>
      <c r="H550" s="702" t="s">
        <v>244</v>
      </c>
      <c r="I550" s="705">
        <v>101</v>
      </c>
      <c r="J550" s="705">
        <v>458</v>
      </c>
      <c r="K550" s="706" t="s">
        <v>3318</v>
      </c>
      <c r="L550" s="707" t="s">
        <v>3316</v>
      </c>
      <c r="M550" s="705">
        <v>48</v>
      </c>
      <c r="N550" s="705"/>
      <c r="O550" s="705"/>
      <c r="P550" s="705"/>
      <c r="Q550" s="708" t="s">
        <v>43</v>
      </c>
      <c r="R550" s="705"/>
      <c r="S550" s="705"/>
      <c r="T550" s="807"/>
      <c r="U550" s="705"/>
      <c r="V550" s="705"/>
      <c r="W550" s="705"/>
      <c r="X550" s="705"/>
      <c r="Y550" s="705"/>
      <c r="Z550" s="705"/>
      <c r="AA550" s="705">
        <v>1</v>
      </c>
      <c r="AB550" s="705"/>
      <c r="AC550" s="705"/>
      <c r="AD550" s="705"/>
      <c r="AE550" s="705"/>
      <c r="AF550" s="705"/>
      <c r="AG550" s="705"/>
      <c r="AH550" s="705"/>
      <c r="AI550" s="705"/>
      <c r="AJ550" s="705"/>
      <c r="AK550" s="705"/>
      <c r="AL550" s="705"/>
      <c r="AM550" s="705">
        <v>4</v>
      </c>
      <c r="AN550" s="705"/>
      <c r="AO550" s="709"/>
      <c r="AP550" s="705">
        <v>90</v>
      </c>
      <c r="AQ550" s="705"/>
      <c r="AR550" s="710"/>
      <c r="AS550" s="705"/>
      <c r="AT550" s="705"/>
      <c r="AU550" s="705"/>
      <c r="AV550" s="705"/>
      <c r="AW550" s="705"/>
      <c r="AX550" s="711" t="s">
        <v>43</v>
      </c>
      <c r="AY550" s="709" t="s">
        <v>145</v>
      </c>
      <c r="AZ550" s="705">
        <v>0</v>
      </c>
      <c r="BA550" s="705"/>
      <c r="BB550" s="705"/>
      <c r="BC550" s="711"/>
      <c r="BD550" s="705">
        <v>2</v>
      </c>
      <c r="BE550" s="705"/>
      <c r="BF550" s="705"/>
      <c r="BG550" s="705">
        <v>3</v>
      </c>
      <c r="BH550" s="705"/>
      <c r="BI550" s="705"/>
      <c r="BJ550" s="705">
        <v>2</v>
      </c>
      <c r="BK550" s="705"/>
      <c r="BL550" s="705"/>
      <c r="BM550" s="711" t="s">
        <v>144</v>
      </c>
      <c r="BN550" s="712"/>
      <c r="BO550" s="710"/>
      <c r="BP550" s="711"/>
      <c r="BQ550" s="713" t="str">
        <f>IFERROR(WWWW[[#This Row],['#_Water sources treated]]/WWWW[[#This Row],['#_Water sources tested for contamination]],"no test")</f>
        <v>no test</v>
      </c>
      <c r="BR550" s="710" t="str">
        <f>IFERROR(WWWW[[#This Row],['#_Household received remediation action due to contamination]]/WWWW[[#This Row],['#_Household water samples tested for contamination]],"no test")</f>
        <v>no test</v>
      </c>
      <c r="BS550" s="712" t="str">
        <f>IF(AND(WWWW[[#This Row],[% of water sources treated]]="no test",WWWW[[#This Row],[% Household received corrective actions]]="no test"),"No Test","Tested")</f>
        <v>No Test</v>
      </c>
      <c r="BT550" s="712">
        <f>WWWW[[#This Row],['#_Constructed/existing protected hand dug well]]-WWWW[[#This Row],['#_Non-functional protected hand dug well]]</f>
        <v>0</v>
      </c>
      <c r="BU550" s="712">
        <f>(WWWW[[#This Row],['#_Constructed/Existing tube wells/boreholes/handpumps_WASH_agency]]+WWWW[[#This Row],['#_Non-Cluster partner water tube-wells/boreholes/handpumps]])-WWWW[[#This Row],['#_Non-functional tube wells/boreholes/handpumps]]</f>
        <v>0</v>
      </c>
      <c r="BV550" s="712">
        <f>WWWW[[#This Row],['#_Constructed/Existingwater storage tank with gravity fed reticulation system]]-WWWW[[#This Row],['#_Non-functional storage tank gravity fed reticulation system]]</f>
        <v>1</v>
      </c>
      <c r="BW550" s="712">
        <f>WWWW[[#This Row],['#_Water boating or water trucking]]</f>
        <v>0</v>
      </c>
      <c r="BX550" s="712">
        <f>WWWW[[#This Row],['#_Constructed/Existing water distribution system from river or natural spring]]</f>
        <v>0</v>
      </c>
      <c r="BY55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0.14556040756914121</v>
      </c>
      <c r="BZ55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0.14556040756914121</v>
      </c>
      <c r="CA550" s="710">
        <f>IF(WWWW[[#This Row],[Location Type 1]]="Village",WWWW[[#This Row],[Access to safe drinking water for Village]],WWWW[[#This Row],[Access to safe drinking water for Camp]])</f>
        <v>0.14556040756914121</v>
      </c>
      <c r="CB550" s="708">
        <f>WWWW[[#This Row],[%Equitable and continuous access to sufficient quantity of safe drinking water]]*WWWW[[#This Row],[Total PoP ]]</f>
        <v>66.666666666666671</v>
      </c>
      <c r="CC550" s="710">
        <f>IF((WWWW[[#This Row],['#_Constructed/Existing protected/fenced ponds]]*250)/WWWW[[#This Row],[Total PoP ]]&gt;1,1,(WWWW[[#This Row],['#_Constructed/Existing protected/fenced ponds]]*250)/WWWW[[#This Row],[Total PoP ]])</f>
        <v>0</v>
      </c>
      <c r="CD550" s="708">
        <f>WWWW[[#This Row],[% Access to unimproved water points]]*WWWW[[#This Row],[Total PoP ]]</f>
        <v>0</v>
      </c>
      <c r="CE55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F55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50" s="708">
        <f>WWWW[[#This Row],[HRP1]]/500</f>
        <v>0.13333333333333333</v>
      </c>
      <c r="CH550" s="714">
        <f>1-WWWW[[#This Row],[% Equitable and continuous access to sufficient quantity of domestic water]]</f>
        <v>0.85443959243085876</v>
      </c>
      <c r="CI550" s="708">
        <f>WWWW[[#This Row],[%equitable and continuous access to sufficient quantity of safe drinking and domestic water''s GAP]]*WWWW[[#This Row],[Total PoP ]]</f>
        <v>391.33333333333331</v>
      </c>
      <c r="CJ550" s="712">
        <f>IF(WWWW[[#This Row],[Total required water points]]-WWWW[[#This Row],['#Water points coverage]]&lt;0,0,WWWW[[#This Row],[Total required water points]]-WWWW[[#This Row],['#Water points coverage]])</f>
        <v>0.8666666666666667</v>
      </c>
      <c r="CK550" s="712">
        <f>ROUND(IF(WWWW[[#This Row],[Total PoP ]]&lt;500,1,WWWW[[#This Row],[Total PoP ]]/500),0)</f>
        <v>1</v>
      </c>
      <c r="CL550" s="712">
        <f>(WWWW[[#This Row],['#_Constructed latrines_by_WASHAgencies]]+WWWW[[#This Row],['#_Non Cluster partner latrines]])-WWWW[[#This Row],['#_Non-functional latrines]]</f>
        <v>90</v>
      </c>
      <c r="CM55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5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458</v>
      </c>
      <c r="CO55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0" s="712">
        <f>IF(WWWW[[#This Row],[Location Type 1]]="Village","NA",IF(WWWW[[#This Row],['#_Constructed/Existing latrines in TLS]]*50&gt;WWWW[[#This Row],['#_students at TLS_CFS]],WWWW[[#This Row],['#_students at TLS_CFS]],(WWWW[[#This Row],['#_Constructed/Existing latrines in TLS]]*50)))</f>
        <v>0</v>
      </c>
      <c r="CQ550" s="712">
        <f>ROUND(IF(WWWW[[#This Row],[Location Type 1]]="camp",WWWW[[#This Row],[Total PoP ]]/20,IF(WWWW[[#This Row],[Location Type 1]]="Temporary Location",WWWW[[#This Row],[Total PoP ]]/50,(WWWW[[#This Row],[Total PoP ]]/6))),0)</f>
        <v>23</v>
      </c>
      <c r="CR550" s="712">
        <f>IF(WWWW[[#This Row],[Total required Latrines]]-(WWWW[[#This Row],['#_Constructed latrines_by_WASHAgencies]]+WWWW[[#This Row],['#_Non Cluster partner latrines]])&lt;0,0,WWWW[[#This Row],[Total required Latrines]]-(WWWW[[#This Row],['#_Constructed latrines_by_WASHAgencies]]+WWWW[[#This Row],['#_Non Cluster partner latrines]]))</f>
        <v>0</v>
      </c>
      <c r="CS550" s="714">
        <f>1-WWWW[[#This Row],[% people access to functioning Latrine]]</f>
        <v>0</v>
      </c>
      <c r="CT550" s="713">
        <f>IF(OR(WWWW[[#This Row],['#_Non-functional latrines]]="",WWWW[[#This Row],['#_Non-functional latrines]]=0),0,WWWW[[#This Row],['#_Non-functional latrines]]/(WWWW[[#This Row],['#_Constructed latrines_by_WASHAgencies]]+WWWW[[#This Row],['#_Non Cluster partner latrines]]))</f>
        <v>0</v>
      </c>
      <c r="CU550" s="708">
        <f>IF(500*(WWWW[[#This Row],['#_male hygiene promoters]]+WWWW[[#This Row],['#_female hygiene promoters]])&gt;WWWW[[#This Row],[Total PoP ]],WWWW[[#This Row],[Total PoP ]],500*(WWWW[[#This Row],['#_male hygiene promoters]]+WWWW[[#This Row],['#_female hygiene promoters]]))</f>
        <v>458</v>
      </c>
      <c r="CV55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0" s="712">
        <f>IF(WWWW[[#This Row],['# People with access to soap]]&gt;WWWW[[#This Row],['# People with access to Sanity Pads]],WWWW[[#This Row],['# People with access to soap]],WWWW[[#This Row],['# People with access to Sanity Pads]])</f>
        <v>0</v>
      </c>
      <c r="CY550" s="712">
        <f>IF(WWWW[[#This Row],['# people reached by regular dedicated hygiene promotion_5]]&gt;WWWW[[#This Row],['# People received regular supply of hygiene items_6]],WWWW[[#This Row],['# people reached by regular dedicated hygiene promotion_5]],WWWW[[#This Row],['# People received regular supply of hygiene items_6]])</f>
        <v>458</v>
      </c>
      <c r="CZ550" s="714">
        <f>IF(WWWW[[#This Row],[HRP3]]/WWWW[[#This Row],[Total PoP ]]&gt;100%,100%,WWWW[[#This Row],[HRP3]]/WWWW[[#This Row],[Total PoP ]])</f>
        <v>1</v>
      </c>
      <c r="DA550" s="713">
        <f>1-WWWW[[#This Row],[Hygiene Coverage%]]</f>
        <v>0</v>
      </c>
      <c r="DB550" s="710">
        <f>WWWW[[#This Row],['# people reached by regular dedicated hygiene promotion_5]]/WWWW[[#This Row],[Total PoP ]]</f>
        <v>1</v>
      </c>
      <c r="DC550" s="710">
        <f>IF(WWWW[[#This Row],['#_households that received standard amount of soap for this quarter]]/WWWW[[#This Row],[Total HH]]&gt;1,1,WWWW[[#This Row],['#_households that received standard amount of soap for this quarter]]/WWWW[[#This Row],[Total HH]])</f>
        <v>0</v>
      </c>
      <c r="DD550" s="710">
        <f>IF(WWWW[[#This Row],['#_households that received standard amount of sanitary pads for this quarter]]/WWWW[[#This Row],[Total HH]]&gt;1,1,WWWW[[#This Row],['#_households that received standard amount of sanitary pads for this quarter]]/WWWW[[#This Row],[Total HH]])</f>
        <v>0</v>
      </c>
      <c r="DE550" s="712">
        <f>WWWW[[#This Row],['#_Constructed/Existing hand washing stations]]-WWWW[[#This Row],['#_Non-Functional_hand_washing_stations]]</f>
        <v>2</v>
      </c>
      <c r="DF550" s="757">
        <f>IF(WWWW[[#This Row],['# Functional hand washing stations during reporting period]]*20&gt;WWWW[[#This Row],[Total HH]],WWWW[[#This Row],[Total HH]],WWWW[[#This Row],['# Functional hand washing stations during reporting period]]*20)</f>
        <v>40</v>
      </c>
      <c r="DG550" s="708">
        <f>IF(WWWW[[#This Row],[Is sufficient soap available for TLS? (Yes/No)]]="yes",WWWW[[#This Row],['#_Constructed/Existing hand washing stations at TLS]],0)</f>
        <v>0</v>
      </c>
      <c r="DH550" s="759">
        <f>IF(WWWW[[#This Row],['# Functional hand washing stations during reporting period]]*100&gt;WWWW[[#This Row],[Total PoP ]],WWWW[[#This Row],[Total PoP ]],WWWW[[#This Row],['# Functional hand washing stations during reporting period]]*100)</f>
        <v>200</v>
      </c>
      <c r="DI550" s="759" t="str">
        <f>IF(OR(WWWW[[#This Row],['#_students at TLS_CFS]]="",WWWW[[#This Row],['#_students at TLS_CFS]]=0),"No","Yes")</f>
        <v>Yes</v>
      </c>
      <c r="DJ550" s="711" t="str">
        <f>VLOOKUP(WWWW[[#This Row],[Site Name]],SiteDB6[[Site Name]:[CCCM Management]],6,FALSE)</f>
        <v>Yes</v>
      </c>
      <c r="DK550" s="711" t="str">
        <f>VLOOKUP(WWWW[[#This Row],[Site Name]],SiteDB6[[Site Name]:[CCCM Focal Agency]],7,FALSE)</f>
        <v>KMSS-MYT</v>
      </c>
      <c r="DL550" s="711" t="str">
        <f>VLOOKUP(WWWW[[#This Row],[Site Name]],SiteDB6[[Site Name]:[Location Type 1]],9,FALSE)</f>
        <v>Camp</v>
      </c>
      <c r="DM550" s="711" t="str">
        <f>VLOOKUP(WWWW[[#This Row],[Site Name]],SiteDB6[[Site Name]:[Type of Accommodation]],10,FALSE)</f>
        <v>Camp</v>
      </c>
      <c r="DN550" s="711" t="str">
        <f>VLOOKUP(WWWW[[#This Row],[Site Name]],SiteDB6[[Site Name]:[Ethnic or GCA/NGCA]],11,FALSE)</f>
        <v>NGCA</v>
      </c>
      <c r="DO550" s="711">
        <f>VLOOKUP(WWWW[[#This Row],[Site Name]],SiteDB6[[Site Name]:[Lat]],12,FALSE)</f>
        <v>25.220278</v>
      </c>
      <c r="DP550" s="711">
        <f>VLOOKUP(WWWW[[#This Row],[Site Name]],SiteDB6[[Site Name]:[Long]],13,FALSE)</f>
        <v>97.915833000000006</v>
      </c>
      <c r="DQ550" s="711" t="str">
        <f>VLOOKUP(WWWW[[#This Row],[Site Name]],SiteDB6[[Site Name]:[Pcode]],3,FALSE)</f>
        <v>MMR001CMP113</v>
      </c>
      <c r="DR550" s="709" t="str">
        <f t="shared" ref="DR550:DR579" si="21">IF(C550="none","Notcovered","Covered")</f>
        <v>Covered</v>
      </c>
      <c r="DS550" s="709"/>
    </row>
    <row r="551" spans="1:123" ht="48" customHeight="1">
      <c r="A551" s="701" t="s">
        <v>2519</v>
      </c>
      <c r="B551" s="701" t="s">
        <v>200</v>
      </c>
      <c r="C551" s="702" t="s">
        <v>200</v>
      </c>
      <c r="D551" s="702" t="s">
        <v>3272</v>
      </c>
      <c r="E551" s="702" t="s">
        <v>39</v>
      </c>
      <c r="F551" s="702" t="s">
        <v>213</v>
      </c>
      <c r="G551" s="711" t="str">
        <f>VLOOKUP(WWWW[[#This Row],[Site Name]],SiteDB6[[Site Name]:[Location Type]],8,FALSE)</f>
        <v>Camp</v>
      </c>
      <c r="H551" s="702" t="s">
        <v>225</v>
      </c>
      <c r="I551" s="705">
        <v>717</v>
      </c>
      <c r="J551" s="705">
        <v>3662</v>
      </c>
      <c r="K551" s="706">
        <v>43374</v>
      </c>
      <c r="L551" s="707">
        <v>44104</v>
      </c>
      <c r="M551" s="705">
        <v>749</v>
      </c>
      <c r="N551" s="705">
        <v>0</v>
      </c>
      <c r="O551" s="705">
        <v>0</v>
      </c>
      <c r="P551" s="705">
        <v>0</v>
      </c>
      <c r="Q551" s="708" t="s">
        <v>43</v>
      </c>
      <c r="R551" s="705">
        <v>7</v>
      </c>
      <c r="S551" s="705">
        <v>3</v>
      </c>
      <c r="T551" s="807">
        <v>3</v>
      </c>
      <c r="U551" s="705">
        <v>1</v>
      </c>
      <c r="V551" s="705"/>
      <c r="W551" s="705"/>
      <c r="X551" s="705"/>
      <c r="Y551" s="705"/>
      <c r="Z551" s="705"/>
      <c r="AA551" s="705">
        <v>3</v>
      </c>
      <c r="AB551" s="705"/>
      <c r="AC551" s="705">
        <v>1</v>
      </c>
      <c r="AD551" s="705"/>
      <c r="AE551" s="705"/>
      <c r="AF551" s="705">
        <v>183100</v>
      </c>
      <c r="AG551" s="705"/>
      <c r="AH551" s="705"/>
      <c r="AI551" s="705">
        <v>1</v>
      </c>
      <c r="AJ551" s="705"/>
      <c r="AK551" s="705"/>
      <c r="AL551" s="705"/>
      <c r="AM551" s="705"/>
      <c r="AN551" s="705">
        <v>3</v>
      </c>
      <c r="AO551" s="709" t="s">
        <v>3273</v>
      </c>
      <c r="AP551" s="705">
        <v>306</v>
      </c>
      <c r="AQ551" s="705"/>
      <c r="AR551" s="710"/>
      <c r="AS551" s="705">
        <v>20</v>
      </c>
      <c r="AT551" s="705"/>
      <c r="AU551" s="705"/>
      <c r="AV551" s="705"/>
      <c r="AW551" s="705"/>
      <c r="AX551" s="711" t="s">
        <v>43</v>
      </c>
      <c r="AY551" s="709" t="s">
        <v>145</v>
      </c>
      <c r="AZ551" s="705">
        <v>10</v>
      </c>
      <c r="BA551" s="705"/>
      <c r="BB551" s="705">
        <v>46</v>
      </c>
      <c r="BC551" s="825" t="s">
        <v>3274</v>
      </c>
      <c r="BD551" s="705">
        <v>77</v>
      </c>
      <c r="BE551" s="705"/>
      <c r="BF551" s="705"/>
      <c r="BG551" s="705">
        <v>22</v>
      </c>
      <c r="BH551" s="705"/>
      <c r="BI551" s="705"/>
      <c r="BJ551" s="705">
        <v>3</v>
      </c>
      <c r="BK551" s="705"/>
      <c r="BL551" s="705"/>
      <c r="BM551" s="752" t="s">
        <v>43</v>
      </c>
      <c r="BN551" s="712"/>
      <c r="BO551" s="710"/>
      <c r="BP551" s="711"/>
      <c r="BQ551" s="713">
        <f>IFERROR(WWWW[[#This Row],['#_Water sources treated]]/WWWW[[#This Row],['#_Water sources tested for contamination]],"no test")</f>
        <v>0</v>
      </c>
      <c r="BR551" s="710" t="str">
        <f>IFERROR(WWWW[[#This Row],['#_Household received remediation action due to contamination]]/WWWW[[#This Row],['#_Household water samples tested for contamination]],"no test")</f>
        <v>no test</v>
      </c>
      <c r="BS551" s="712" t="str">
        <f>IF(AND(WWWW[[#This Row],[% of water sources treated]]="no test",WWWW[[#This Row],[% Household received corrective actions]]="no test"),"No Test","Tested")</f>
        <v>Tested</v>
      </c>
      <c r="BT551" s="712">
        <f>WWWW[[#This Row],['#_Constructed/existing protected hand dug well]]-WWWW[[#This Row],['#_Non-functional protected hand dug well]]</f>
        <v>2</v>
      </c>
      <c r="BU551" s="712">
        <f>(WWWW[[#This Row],['#_Constructed/Existing tube wells/boreholes/handpumps_WASH_agency]]+WWWW[[#This Row],['#_Non-Cluster partner water tube-wells/boreholes/handpumps]])-WWWW[[#This Row],['#_Non-functional tube wells/boreholes/handpumps]]</f>
        <v>0</v>
      </c>
      <c r="BV551" s="712">
        <f>WWWW[[#This Row],['#_Constructed/Existingwater storage tank with gravity fed reticulation system]]-WWWW[[#This Row],['#_Non-functional storage tank gravity fed reticulation system]]</f>
        <v>3</v>
      </c>
      <c r="BW551" s="712">
        <f>WWWW[[#This Row],['#_Water boating or water trucking]]</f>
        <v>0</v>
      </c>
      <c r="BX551" s="712">
        <f>WWWW[[#This Row],['#_Constructed/Existing water distribution system from river or natural spring]]</f>
        <v>183100</v>
      </c>
      <c r="BY55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5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51" s="710">
        <f>IF(WWWW[[#This Row],[Location Type 1]]="Village",WWWW[[#This Row],[Access to safe drinking water for Village]],WWWW[[#This Row],[Access to safe drinking water for Camp]])</f>
        <v>1</v>
      </c>
      <c r="CB551" s="708">
        <f>WWWW[[#This Row],[%Equitable and continuous access to sufficient quantity of safe drinking water]]*WWWW[[#This Row],[Total PoP ]]</f>
        <v>3662</v>
      </c>
      <c r="CC551" s="710">
        <f>IF((WWWW[[#This Row],['#_Constructed/Existing protected/fenced ponds]]*250)/WWWW[[#This Row],[Total PoP ]]&gt;1,1,(WWWW[[#This Row],['#_Constructed/Existing protected/fenced ponds]]*250)/WWWW[[#This Row],[Total PoP ]])</f>
        <v>0</v>
      </c>
      <c r="CD551" s="708">
        <f>WWWW[[#This Row],[% Access to unimproved water points]]*WWWW[[#This Row],[Total PoP ]]</f>
        <v>0</v>
      </c>
      <c r="CE55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5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3662</v>
      </c>
      <c r="CG551" s="708">
        <f>WWWW[[#This Row],[HRP1]]/500</f>
        <v>7.3239999999999998</v>
      </c>
      <c r="CH551" s="714">
        <f>1-WWWW[[#This Row],[% Equitable and continuous access to sufficient quantity of domestic water]]</f>
        <v>0</v>
      </c>
      <c r="CI551" s="708">
        <f>WWWW[[#This Row],[%equitable and continuous access to sufficient quantity of safe drinking and domestic water''s GAP]]*WWWW[[#This Row],[Total PoP ]]</f>
        <v>0</v>
      </c>
      <c r="CJ551" s="712">
        <f>IF(WWWW[[#This Row],[Total required water points]]-WWWW[[#This Row],['#Water points coverage]]&lt;0,0,WWWW[[#This Row],[Total required water points]]-WWWW[[#This Row],['#Water points coverage]])</f>
        <v>0</v>
      </c>
      <c r="CK551" s="712">
        <f>ROUND(IF(WWWW[[#This Row],[Total PoP ]]&lt;500,1,WWWW[[#This Row],[Total PoP ]]/500),0)</f>
        <v>7</v>
      </c>
      <c r="CL551" s="712">
        <f>(WWWW[[#This Row],['#_Constructed latrines_by_WASHAgencies]]+WWWW[[#This Row],['#_Non Cluster partner latrines]])-WWWW[[#This Row],['#_Non-functional latrines]]</f>
        <v>286</v>
      </c>
      <c r="CM55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5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3662</v>
      </c>
      <c r="CO55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1" s="712">
        <f>IF(WWWW[[#This Row],[Location Type 1]]="Village","NA",IF(WWWW[[#This Row],['#_Constructed/Existing latrines in TLS]]*50&gt;WWWW[[#This Row],['#_students at TLS_CFS]],WWWW[[#This Row],['#_students at TLS_CFS]],(WWWW[[#This Row],['#_Constructed/Existing latrines in TLS]]*50)))</f>
        <v>749</v>
      </c>
      <c r="CQ551" s="712">
        <f>ROUND(IF(WWWW[[#This Row],[Location Type 1]]="camp",WWWW[[#This Row],[Total PoP ]]/20,IF(WWWW[[#This Row],[Location Type 1]]="Temporary Location",WWWW[[#This Row],[Total PoP ]]/50,(WWWW[[#This Row],[Total PoP ]]/6))),0)</f>
        <v>183</v>
      </c>
      <c r="CR551" s="712">
        <f>IF(WWWW[[#This Row],[Total required Latrines]]-(WWWW[[#This Row],['#_Constructed latrines_by_WASHAgencies]]+WWWW[[#This Row],['#_Non Cluster partner latrines]])&lt;0,0,WWWW[[#This Row],[Total required Latrines]]-(WWWW[[#This Row],['#_Constructed latrines_by_WASHAgencies]]+WWWW[[#This Row],['#_Non Cluster partner latrines]]))</f>
        <v>0</v>
      </c>
      <c r="CS551" s="714">
        <f>1-WWWW[[#This Row],[% people access to functioning Latrine]]</f>
        <v>0</v>
      </c>
      <c r="CT551" s="713">
        <f>IF(OR(WWWW[[#This Row],['#_Non-functional latrines]]="",WWWW[[#This Row],['#_Non-functional latrines]]=0),0,WWWW[[#This Row],['#_Non-functional latrines]]/(WWWW[[#This Row],['#_Constructed latrines_by_WASHAgencies]]+WWWW[[#This Row],['#_Non Cluster partner latrines]]))</f>
        <v>6.535947712418301E-2</v>
      </c>
      <c r="CU551" s="708">
        <f>IF(500*(WWWW[[#This Row],['#_male hygiene promoters]]+WWWW[[#This Row],['#_female hygiene promoters]])&gt;WWWW[[#This Row],[Total PoP ]],WWWW[[#This Row],[Total PoP ]],500*(WWWW[[#This Row],['#_male hygiene promoters]]+WWWW[[#This Row],['#_female hygiene promoters]]))</f>
        <v>1500</v>
      </c>
      <c r="CV55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1" s="712">
        <f>IF(WWWW[[#This Row],['# People with access to soap]]&gt;WWWW[[#This Row],['# People with access to Sanity Pads]],WWWW[[#This Row],['# People with access to soap]],WWWW[[#This Row],['# People with access to Sanity Pads]])</f>
        <v>0</v>
      </c>
      <c r="CY551" s="712">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551" s="714">
        <f>IF(WWWW[[#This Row],[HRP3]]/WWWW[[#This Row],[Total PoP ]]&gt;100%,100%,WWWW[[#This Row],[HRP3]]/WWWW[[#This Row],[Total PoP ]])</f>
        <v>0.40961223375204808</v>
      </c>
      <c r="DA551" s="713">
        <f>1-WWWW[[#This Row],[Hygiene Coverage%]]</f>
        <v>0.59038776624795197</v>
      </c>
      <c r="DB551" s="710">
        <f>WWWW[[#This Row],['# people reached by regular dedicated hygiene promotion_5]]/WWWW[[#This Row],[Total PoP ]]</f>
        <v>0.40961223375204808</v>
      </c>
      <c r="DC551" s="710">
        <f>IF(WWWW[[#This Row],['#_households that received standard amount of soap for this quarter]]/WWWW[[#This Row],[Total HH]]&gt;1,1,WWWW[[#This Row],['#_households that received standard amount of soap for this quarter]]/WWWW[[#This Row],[Total HH]])</f>
        <v>0</v>
      </c>
      <c r="DD551" s="710">
        <f>IF(WWWW[[#This Row],['#_households that received standard amount of sanitary pads for this quarter]]/WWWW[[#This Row],[Total HH]]&gt;1,1,WWWW[[#This Row],['#_households that received standard amount of sanitary pads for this quarter]]/WWWW[[#This Row],[Total HH]])</f>
        <v>0</v>
      </c>
      <c r="DE551" s="712">
        <f>WWWW[[#This Row],['#_Constructed/Existing hand washing stations]]-WWWW[[#This Row],['#_Non-Functional_hand_washing_stations]]</f>
        <v>77</v>
      </c>
      <c r="DF551" s="757">
        <f>IF(WWWW[[#This Row],['# Functional hand washing stations during reporting period]]*20&gt;WWWW[[#This Row],[Total HH]],WWWW[[#This Row],[Total HH]],WWWW[[#This Row],['# Functional hand washing stations during reporting period]]*20)</f>
        <v>717</v>
      </c>
      <c r="DG551" s="708">
        <f>IF(WWWW[[#This Row],[Is sufficient soap available for TLS? (Yes/No)]]="yes",WWWW[[#This Row],['#_Constructed/Existing hand washing stations at TLS]],0)</f>
        <v>0</v>
      </c>
      <c r="DH551" s="759">
        <f>IF(WWWW[[#This Row],['# Functional hand washing stations during reporting period]]*100&gt;WWWW[[#This Row],[Total PoP ]],WWWW[[#This Row],[Total PoP ]],WWWW[[#This Row],['# Functional hand washing stations during reporting period]]*100)</f>
        <v>3662</v>
      </c>
      <c r="DI551" s="759" t="str">
        <f>IF(OR(WWWW[[#This Row],['#_students at TLS_CFS]]="",WWWW[[#This Row],['#_students at TLS_CFS]]=0),"No","Yes")</f>
        <v>Yes</v>
      </c>
      <c r="DJ551" s="711" t="str">
        <f>VLOOKUP(WWWW[[#This Row],[Site Name]],SiteDB6[[Site Name]:[CCCM Management]],6,FALSE)</f>
        <v>Yes</v>
      </c>
      <c r="DK551" s="711" t="str">
        <f>VLOOKUP(WWWW[[#This Row],[Site Name]],SiteDB6[[Site Name]:[CCCM Focal Agency]],7,FALSE)</f>
        <v>KMSS-MYT</v>
      </c>
      <c r="DL551" s="711" t="str">
        <f>VLOOKUP(WWWW[[#This Row],[Site Name]],SiteDB6[[Site Name]:[Location Type 1]],9,FALSE)</f>
        <v>Camp</v>
      </c>
      <c r="DM551" s="711" t="str">
        <f>VLOOKUP(WWWW[[#This Row],[Site Name]],SiteDB6[[Site Name]:[Type of Accommodation]],10,FALSE)</f>
        <v>Camp</v>
      </c>
      <c r="DN551" s="711" t="str">
        <f>VLOOKUP(WWWW[[#This Row],[Site Name]],SiteDB6[[Site Name]:[Ethnic or GCA/NGCA]],11,FALSE)</f>
        <v>NGCA</v>
      </c>
      <c r="DO551" s="711">
        <f>VLOOKUP(WWWW[[#This Row],[Site Name]],SiteDB6[[Site Name]:[Lat]],12,FALSE)</f>
        <v>24.661905999999998</v>
      </c>
      <c r="DP551" s="711">
        <f>VLOOKUP(WWWW[[#This Row],[Site Name]],SiteDB6[[Site Name]:[Long]],13,FALSE)</f>
        <v>97.573126000000002</v>
      </c>
      <c r="DQ551" s="711" t="str">
        <f>VLOOKUP(WWWW[[#This Row],[Site Name]],SiteDB6[[Site Name]:[Pcode]],3,FALSE)</f>
        <v>MMR001CMP122</v>
      </c>
      <c r="DR551" s="709" t="str">
        <f t="shared" si="21"/>
        <v>Covered</v>
      </c>
      <c r="DS551" s="709"/>
    </row>
    <row r="552" spans="1:123">
      <c r="A552" s="701" t="s">
        <v>2519</v>
      </c>
      <c r="B552" s="701" t="s">
        <v>200</v>
      </c>
      <c r="C552" s="702" t="s">
        <v>200</v>
      </c>
      <c r="D552" s="702" t="s">
        <v>2960</v>
      </c>
      <c r="E552" s="702" t="s">
        <v>39</v>
      </c>
      <c r="F552" s="702" t="s">
        <v>203</v>
      </c>
      <c r="G552" s="711" t="str">
        <f>VLOOKUP(WWWW[[#This Row],[Site Name]],SiteDB6[[Site Name]:[Location Type]],8,FALSE)</f>
        <v>Camp</v>
      </c>
      <c r="H552" s="702" t="s">
        <v>206</v>
      </c>
      <c r="I552" s="705">
        <v>40</v>
      </c>
      <c r="J552" s="705">
        <v>235</v>
      </c>
      <c r="K552" s="706">
        <v>43466</v>
      </c>
      <c r="L552" s="707">
        <v>43830</v>
      </c>
      <c r="M552" s="705"/>
      <c r="N552" s="705"/>
      <c r="O552" s="705"/>
      <c r="P552" s="705"/>
      <c r="Q552" s="708" t="s">
        <v>43</v>
      </c>
      <c r="R552" s="705">
        <v>1</v>
      </c>
      <c r="S552" s="705">
        <v>2</v>
      </c>
      <c r="T552" s="807">
        <v>1</v>
      </c>
      <c r="U552" s="705"/>
      <c r="V552" s="705"/>
      <c r="W552" s="705"/>
      <c r="X552" s="705">
        <v>2</v>
      </c>
      <c r="Y552" s="705"/>
      <c r="Z552" s="705"/>
      <c r="AA552" s="705"/>
      <c r="AB552" s="705"/>
      <c r="AC552" s="705"/>
      <c r="AD552" s="705"/>
      <c r="AE552" s="705"/>
      <c r="AF552" s="705"/>
      <c r="AG552" s="705"/>
      <c r="AH552" s="705"/>
      <c r="AI552" s="705"/>
      <c r="AJ552" s="705"/>
      <c r="AK552" s="705"/>
      <c r="AL552" s="705"/>
      <c r="AM552" s="705"/>
      <c r="AN552" s="705"/>
      <c r="AO552" s="709"/>
      <c r="AP552" s="705">
        <v>7</v>
      </c>
      <c r="AQ552" s="705"/>
      <c r="AR552" s="710"/>
      <c r="AS552" s="705"/>
      <c r="AT552" s="705"/>
      <c r="AU552" s="705"/>
      <c r="AV552" s="705"/>
      <c r="AW552" s="705"/>
      <c r="AX552" s="711" t="s">
        <v>43</v>
      </c>
      <c r="AY552" s="709" t="s">
        <v>145</v>
      </c>
      <c r="AZ552" s="705"/>
      <c r="BA552" s="705"/>
      <c r="BB552" s="705"/>
      <c r="BC552" s="711"/>
      <c r="BD552" s="705">
        <v>3</v>
      </c>
      <c r="BE552" s="705"/>
      <c r="BF552" s="705"/>
      <c r="BG552" s="705">
        <v>2</v>
      </c>
      <c r="BH552" s="705"/>
      <c r="BI552" s="705"/>
      <c r="BJ552" s="705"/>
      <c r="BK552" s="705">
        <v>40</v>
      </c>
      <c r="BL552" s="705">
        <v>5</v>
      </c>
      <c r="BM552" s="711"/>
      <c r="BN552" s="712"/>
      <c r="BO552" s="710"/>
      <c r="BP552" s="711"/>
      <c r="BQ552" s="713" t="str">
        <f>IFERROR(WWWW[[#This Row],['#_Water sources treated]]/WWWW[[#This Row],['#_Water sources tested for contamination]],"no test")</f>
        <v>no test</v>
      </c>
      <c r="BR552" s="710" t="str">
        <f>IFERROR(WWWW[[#This Row],['#_Household received remediation action due to contamination]]/WWWW[[#This Row],['#_Household water samples tested for contamination]],"no test")</f>
        <v>no test</v>
      </c>
      <c r="BS552" s="712" t="str">
        <f>IF(AND(WWWW[[#This Row],[% of water sources treated]]="no test",WWWW[[#This Row],[% Household received corrective actions]]="no test"),"No Test","Tested")</f>
        <v>No Test</v>
      </c>
      <c r="BT552" s="712">
        <f>WWWW[[#This Row],['#_Constructed/existing protected hand dug well]]-WWWW[[#This Row],['#_Non-functional protected hand dug well]]</f>
        <v>1</v>
      </c>
      <c r="BU552" s="712">
        <f>(WWWW[[#This Row],['#_Constructed/Existing tube wells/boreholes/handpumps_WASH_agency]]+WWWW[[#This Row],['#_Non-Cluster partner water tube-wells/boreholes/handpumps]])-WWWW[[#This Row],['#_Non-functional tube wells/boreholes/handpumps]]</f>
        <v>2</v>
      </c>
      <c r="BV552" s="712">
        <f>WWWW[[#This Row],['#_Constructed/Existingwater storage tank with gravity fed reticulation system]]-WWWW[[#This Row],['#_Non-functional storage tank gravity fed reticulation system]]</f>
        <v>0</v>
      </c>
      <c r="BW552" s="712">
        <f>WWWW[[#This Row],['#_Water boating or water trucking]]</f>
        <v>0</v>
      </c>
      <c r="BX552" s="712">
        <f>WWWW[[#This Row],['#_Constructed/Existing water distribution system from river or natural spring]]</f>
        <v>0</v>
      </c>
      <c r="BY55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5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52" s="710">
        <f>IF(WWWW[[#This Row],[Location Type 1]]="Village",WWWW[[#This Row],[Access to safe drinking water for Village]],WWWW[[#This Row],[Access to safe drinking water for Camp]])</f>
        <v>1</v>
      </c>
      <c r="CB552" s="708">
        <f>WWWW[[#This Row],[%Equitable and continuous access to sufficient quantity of safe drinking water]]*WWWW[[#This Row],[Total PoP ]]</f>
        <v>235</v>
      </c>
      <c r="CC552" s="710">
        <f>IF((WWWW[[#This Row],['#_Constructed/Existing protected/fenced ponds]]*250)/WWWW[[#This Row],[Total PoP ]]&gt;1,1,(WWWW[[#This Row],['#_Constructed/Existing protected/fenced ponds]]*250)/WWWW[[#This Row],[Total PoP ]])</f>
        <v>0</v>
      </c>
      <c r="CD552" s="708">
        <f>WWWW[[#This Row],[% Access to unimproved water points]]*WWWW[[#This Row],[Total PoP ]]</f>
        <v>0</v>
      </c>
      <c r="CE55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5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G552" s="708">
        <f>WWWW[[#This Row],[HRP1]]/500</f>
        <v>0.47</v>
      </c>
      <c r="CH552" s="714">
        <f>1-WWWW[[#This Row],[% Equitable and continuous access to sufficient quantity of domestic water]]</f>
        <v>0</v>
      </c>
      <c r="CI552" s="708">
        <f>WWWW[[#This Row],[%equitable and continuous access to sufficient quantity of safe drinking and domestic water''s GAP]]*WWWW[[#This Row],[Total PoP ]]</f>
        <v>0</v>
      </c>
      <c r="CJ552" s="712">
        <f>IF(WWWW[[#This Row],[Total required water points]]-WWWW[[#This Row],['#Water points coverage]]&lt;0,0,WWWW[[#This Row],[Total required water points]]-WWWW[[#This Row],['#Water points coverage]])</f>
        <v>0.53</v>
      </c>
      <c r="CK552" s="712">
        <f>ROUND(IF(WWWW[[#This Row],[Total PoP ]]&lt;500,1,WWWW[[#This Row],[Total PoP ]]/500),0)</f>
        <v>1</v>
      </c>
      <c r="CL552" s="712">
        <f>(WWWW[[#This Row],['#_Constructed latrines_by_WASHAgencies]]+WWWW[[#This Row],['#_Non Cluster partner latrines]])-WWWW[[#This Row],['#_Non-functional latrines]]</f>
        <v>7</v>
      </c>
      <c r="CM55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0.5957446808510638</v>
      </c>
      <c r="CN55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55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2" s="712">
        <f>IF(WWWW[[#This Row],[Location Type 1]]="Village","NA",IF(WWWW[[#This Row],['#_Constructed/Existing latrines in TLS]]*50&gt;WWWW[[#This Row],['#_students at TLS_CFS]],WWWW[[#This Row],['#_students at TLS_CFS]],(WWWW[[#This Row],['#_Constructed/Existing latrines in TLS]]*50)))</f>
        <v>0</v>
      </c>
      <c r="CQ552" s="712">
        <f>ROUND(IF(WWWW[[#This Row],[Location Type 1]]="camp",WWWW[[#This Row],[Total PoP ]]/20,IF(WWWW[[#This Row],[Location Type 1]]="Temporary Location",WWWW[[#This Row],[Total PoP ]]/50,(WWWW[[#This Row],[Total PoP ]]/6))),0)</f>
        <v>12</v>
      </c>
      <c r="CR552" s="712">
        <f>IF(WWWW[[#This Row],[Total required Latrines]]-(WWWW[[#This Row],['#_Constructed latrines_by_WASHAgencies]]+WWWW[[#This Row],['#_Non Cluster partner latrines]])&lt;0,0,WWWW[[#This Row],[Total required Latrines]]-(WWWW[[#This Row],['#_Constructed latrines_by_WASHAgencies]]+WWWW[[#This Row],['#_Non Cluster partner latrines]]))</f>
        <v>5</v>
      </c>
      <c r="CS552" s="714">
        <f>1-WWWW[[#This Row],[% people access to functioning Latrine]]</f>
        <v>0.4042553191489362</v>
      </c>
      <c r="CT552" s="713">
        <f>IF(OR(WWWW[[#This Row],['#_Non-functional latrines]]="",WWWW[[#This Row],['#_Non-functional latrines]]=0),0,WWWW[[#This Row],['#_Non-functional latrines]]/(WWWW[[#This Row],['#_Constructed latrines_by_WASHAgencies]]+WWWW[[#This Row],['#_Non Cluster partner latrines]]))</f>
        <v>0</v>
      </c>
      <c r="CU552" s="708">
        <f>IF(500*(WWWW[[#This Row],['#_male hygiene promoters]]+WWWW[[#This Row],['#_female hygiene promoters]])&gt;WWWW[[#This Row],[Total PoP ]],WWWW[[#This Row],[Total PoP ]],500*(WWWW[[#This Row],['#_male hygiene promoters]]+WWWW[[#This Row],['#_female hygiene promoters]]))</f>
        <v>0</v>
      </c>
      <c r="CV55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v>
      </c>
      <c r="CW55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v>
      </c>
      <c r="CX552" s="712">
        <f>IF(WWWW[[#This Row],['# People with access to soap]]&gt;WWWW[[#This Row],['# People with access to Sanity Pads]],WWWW[[#This Row],['# People with access to soap]],WWWW[[#This Row],['# People with access to Sanity Pads]])</f>
        <v>235</v>
      </c>
      <c r="CY552" s="712">
        <f>IF(WWWW[[#This Row],['# people reached by regular dedicated hygiene promotion_5]]&gt;WWWW[[#This Row],['# People received regular supply of hygiene items_6]],WWWW[[#This Row],['# people reached by regular dedicated hygiene promotion_5]],WWWW[[#This Row],['# People received regular supply of hygiene items_6]])</f>
        <v>235</v>
      </c>
      <c r="CZ552" s="714">
        <f>IF(WWWW[[#This Row],[HRP3]]/WWWW[[#This Row],[Total PoP ]]&gt;100%,100%,WWWW[[#This Row],[HRP3]]/WWWW[[#This Row],[Total PoP ]])</f>
        <v>1</v>
      </c>
      <c r="DA552" s="713">
        <f>1-WWWW[[#This Row],[Hygiene Coverage%]]</f>
        <v>0</v>
      </c>
      <c r="DB552" s="710">
        <f>WWWW[[#This Row],['# people reached by regular dedicated hygiene promotion_5]]/WWWW[[#This Row],[Total PoP ]]</f>
        <v>0</v>
      </c>
      <c r="DC552" s="710">
        <f>IF(WWWW[[#This Row],['#_households that received standard amount of soap for this quarter]]/WWWW[[#This Row],[Total HH]]&gt;1,1,WWWW[[#This Row],['#_households that received standard amount of soap for this quarter]]/WWWW[[#This Row],[Total HH]])</f>
        <v>1</v>
      </c>
      <c r="DD552" s="710">
        <f>IF(WWWW[[#This Row],['#_households that received standard amount of sanitary pads for this quarter]]/WWWW[[#This Row],[Total HH]]&gt;1,1,WWWW[[#This Row],['#_households that received standard amount of sanitary pads for this quarter]]/WWWW[[#This Row],[Total HH]])</f>
        <v>0.125</v>
      </c>
      <c r="DE552" s="712">
        <f>WWWW[[#This Row],['#_Constructed/Existing hand washing stations]]-WWWW[[#This Row],['#_Non-Functional_hand_washing_stations]]</f>
        <v>3</v>
      </c>
      <c r="DF552" s="757">
        <f>IF(WWWW[[#This Row],['# Functional hand washing stations during reporting period]]*20&gt;WWWW[[#This Row],[Total HH]],WWWW[[#This Row],[Total HH]],WWWW[[#This Row],['# Functional hand washing stations during reporting period]]*20)</f>
        <v>40</v>
      </c>
      <c r="DG552" s="708">
        <f>IF(WWWW[[#This Row],[Is sufficient soap available for TLS? (Yes/No)]]="yes",WWWW[[#This Row],['#_Constructed/Existing hand washing stations at TLS]],0)</f>
        <v>0</v>
      </c>
      <c r="DH552" s="759">
        <f>IF(WWWW[[#This Row],['# Functional hand washing stations during reporting period]]*100&gt;WWWW[[#This Row],[Total PoP ]],WWWW[[#This Row],[Total PoP ]],WWWW[[#This Row],['# Functional hand washing stations during reporting period]]*100)</f>
        <v>235</v>
      </c>
      <c r="DI552" s="759" t="str">
        <f>IF(OR(WWWW[[#This Row],['#_students at TLS_CFS]]="",WWWW[[#This Row],['#_students at TLS_CFS]]=0),"No","Yes")</f>
        <v>No</v>
      </c>
      <c r="DJ552" s="711" t="str">
        <f>VLOOKUP(WWWW[[#This Row],[Site Name]],SiteDB6[[Site Name]:[CCCM Management]],6,FALSE)</f>
        <v>Yes</v>
      </c>
      <c r="DK552" s="711" t="str">
        <f>VLOOKUP(WWWW[[#This Row],[Site Name]],SiteDB6[[Site Name]:[CCCM Focal Agency]],7,FALSE)</f>
        <v>KBC</v>
      </c>
      <c r="DL552" s="711" t="str">
        <f>VLOOKUP(WWWW[[#This Row],[Site Name]],SiteDB6[[Site Name]:[Location Type 1]],9,FALSE)</f>
        <v>Camp</v>
      </c>
      <c r="DM552" s="711" t="str">
        <f>VLOOKUP(WWWW[[#This Row],[Site Name]],SiteDB6[[Site Name]:[Type of Accommodation]],10,FALSE)</f>
        <v>Camp</v>
      </c>
      <c r="DN552" s="711" t="str">
        <f>VLOOKUP(WWWW[[#This Row],[Site Name]],SiteDB6[[Site Name]:[Ethnic or GCA/NGCA]],11,FALSE)</f>
        <v>GCA</v>
      </c>
      <c r="DO552" s="711">
        <f>VLOOKUP(WWWW[[#This Row],[Site Name]],SiteDB6[[Site Name]:[Lat]],12,FALSE)</f>
        <v>24.24766</v>
      </c>
      <c r="DP552" s="711">
        <f>VLOOKUP(WWWW[[#This Row],[Site Name]],SiteDB6[[Site Name]:[Long]],13,FALSE)</f>
        <v>97.236919999999998</v>
      </c>
      <c r="DQ552" s="711" t="str">
        <f>VLOOKUP(WWWW[[#This Row],[Site Name]],SiteDB6[[Site Name]:[Pcode]],3,FALSE)</f>
        <v>MMR001CMP052</v>
      </c>
      <c r="DR552" s="709" t="str">
        <f t="shared" si="21"/>
        <v>Covered</v>
      </c>
      <c r="DS552" s="709"/>
    </row>
    <row r="553" spans="1:123">
      <c r="A553" s="701" t="s">
        <v>2519</v>
      </c>
      <c r="B553" s="701" t="s">
        <v>38</v>
      </c>
      <c r="C553" s="702" t="s">
        <v>38</v>
      </c>
      <c r="D553" s="584" t="s">
        <v>3336</v>
      </c>
      <c r="E553" s="702" t="s">
        <v>39</v>
      </c>
      <c r="F553" s="702" t="s">
        <v>213</v>
      </c>
      <c r="G553" s="711" t="str">
        <f>VLOOKUP(WWWW[[#This Row],[Site Name]],SiteDB6[[Site Name]:[Location Type]],8,FALSE)</f>
        <v>Camp</v>
      </c>
      <c r="H553" s="702" t="s">
        <v>240</v>
      </c>
      <c r="I553" s="705">
        <v>101</v>
      </c>
      <c r="J553" s="705">
        <v>458</v>
      </c>
      <c r="K553" s="706" t="s">
        <v>3315</v>
      </c>
      <c r="L553" s="707" t="s">
        <v>3316</v>
      </c>
      <c r="M553" s="705">
        <v>260</v>
      </c>
      <c r="N553" s="705"/>
      <c r="O553" s="705"/>
      <c r="P553" s="705"/>
      <c r="Q553" s="708" t="s">
        <v>43</v>
      </c>
      <c r="R553" s="705"/>
      <c r="S553" s="705"/>
      <c r="T553" s="807"/>
      <c r="U553" s="705"/>
      <c r="V553" s="705"/>
      <c r="W553" s="705"/>
      <c r="X553" s="705"/>
      <c r="Y553" s="705"/>
      <c r="Z553" s="705"/>
      <c r="AA553" s="705">
        <v>1</v>
      </c>
      <c r="AB553" s="705"/>
      <c r="AC553" s="705"/>
      <c r="AD553" s="705"/>
      <c r="AE553" s="705"/>
      <c r="AF553" s="705"/>
      <c r="AG553" s="705"/>
      <c r="AH553" s="705"/>
      <c r="AI553" s="705"/>
      <c r="AJ553" s="705"/>
      <c r="AK553" s="705"/>
      <c r="AL553" s="705"/>
      <c r="AM553" s="705">
        <v>3</v>
      </c>
      <c r="AN553" s="705"/>
      <c r="AO553" s="709"/>
      <c r="AP553" s="705">
        <v>86</v>
      </c>
      <c r="AQ553" s="705"/>
      <c r="AR553" s="710"/>
      <c r="AS553" s="705"/>
      <c r="AT553" s="705"/>
      <c r="AU553" s="705"/>
      <c r="AV553" s="705"/>
      <c r="AW553" s="705"/>
      <c r="AX553" s="711" t="s">
        <v>43</v>
      </c>
      <c r="AY553" s="709" t="s">
        <v>145</v>
      </c>
      <c r="AZ553" s="705">
        <v>3</v>
      </c>
      <c r="BA553" s="705"/>
      <c r="BB553" s="705"/>
      <c r="BC553" s="711"/>
      <c r="BD553" s="705"/>
      <c r="BE553" s="705"/>
      <c r="BF553" s="705"/>
      <c r="BG553" s="705">
        <v>3</v>
      </c>
      <c r="BH553" s="705"/>
      <c r="BI553" s="705"/>
      <c r="BJ553" s="705">
        <v>2</v>
      </c>
      <c r="BK553" s="705"/>
      <c r="BL553" s="705"/>
      <c r="BM553" s="711" t="s">
        <v>144</v>
      </c>
      <c r="BN553" s="712"/>
      <c r="BO553" s="710"/>
      <c r="BP553" s="711"/>
      <c r="BQ553" s="713" t="str">
        <f>IFERROR(WWWW[[#This Row],['#_Water sources treated]]/WWWW[[#This Row],['#_Water sources tested for contamination]],"no test")</f>
        <v>no test</v>
      </c>
      <c r="BR553" s="710" t="str">
        <f>IFERROR(WWWW[[#This Row],['#_Household received remediation action due to contamination]]/WWWW[[#This Row],['#_Household water samples tested for contamination]],"no test")</f>
        <v>no test</v>
      </c>
      <c r="BS553" s="712" t="str">
        <f>IF(AND(WWWW[[#This Row],[% of water sources treated]]="no test",WWWW[[#This Row],[% Household received corrective actions]]="no test"),"No Test","Tested")</f>
        <v>No Test</v>
      </c>
      <c r="BT553" s="712">
        <f>WWWW[[#This Row],['#_Constructed/existing protected hand dug well]]-WWWW[[#This Row],['#_Non-functional protected hand dug well]]</f>
        <v>0</v>
      </c>
      <c r="BU553" s="712">
        <f>(WWWW[[#This Row],['#_Constructed/Existing tube wells/boreholes/handpumps_WASH_agency]]+WWWW[[#This Row],['#_Non-Cluster partner water tube-wells/boreholes/handpumps]])-WWWW[[#This Row],['#_Non-functional tube wells/boreholes/handpumps]]</f>
        <v>0</v>
      </c>
      <c r="BV553" s="712">
        <f>WWWW[[#This Row],['#_Constructed/Existingwater storage tank with gravity fed reticulation system]]-WWWW[[#This Row],['#_Non-functional storage tank gravity fed reticulation system]]</f>
        <v>1</v>
      </c>
      <c r="BW553" s="712">
        <f>WWWW[[#This Row],['#_Water boating or water trucking]]</f>
        <v>0</v>
      </c>
      <c r="BX553" s="712">
        <f>WWWW[[#This Row],['#_Constructed/Existing water distribution system from river or natural spring]]</f>
        <v>0</v>
      </c>
      <c r="BY55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0.14556040756914121</v>
      </c>
      <c r="BZ55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0.14556040756914121</v>
      </c>
      <c r="CA553" s="710">
        <f>IF(WWWW[[#This Row],[Location Type 1]]="Village",WWWW[[#This Row],[Access to safe drinking water for Village]],WWWW[[#This Row],[Access to safe drinking water for Camp]])</f>
        <v>0.14556040756914121</v>
      </c>
      <c r="CB553" s="708">
        <f>WWWW[[#This Row],[%Equitable and continuous access to sufficient quantity of safe drinking water]]*WWWW[[#This Row],[Total PoP ]]</f>
        <v>66.666666666666671</v>
      </c>
      <c r="CC553" s="710">
        <f>IF((WWWW[[#This Row],['#_Constructed/Existing protected/fenced ponds]]*250)/WWWW[[#This Row],[Total PoP ]]&gt;1,1,(WWWW[[#This Row],['#_Constructed/Existing protected/fenced ponds]]*250)/WWWW[[#This Row],[Total PoP ]])</f>
        <v>0</v>
      </c>
      <c r="CD553" s="708">
        <f>WWWW[[#This Row],[% Access to unimproved water points]]*WWWW[[#This Row],[Total PoP ]]</f>
        <v>0</v>
      </c>
      <c r="CE55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0.14556040756914121</v>
      </c>
      <c r="CF55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53" s="708">
        <f>WWWW[[#This Row],[HRP1]]/500</f>
        <v>0.13333333333333333</v>
      </c>
      <c r="CH553" s="714">
        <f>1-WWWW[[#This Row],[% Equitable and continuous access to sufficient quantity of domestic water]]</f>
        <v>0.85443959243085876</v>
      </c>
      <c r="CI553" s="708">
        <f>WWWW[[#This Row],[%equitable and continuous access to sufficient quantity of safe drinking and domestic water''s GAP]]*WWWW[[#This Row],[Total PoP ]]</f>
        <v>391.33333333333331</v>
      </c>
      <c r="CJ553" s="712">
        <f>IF(WWWW[[#This Row],[Total required water points]]-WWWW[[#This Row],['#Water points coverage]]&lt;0,0,WWWW[[#This Row],[Total required water points]]-WWWW[[#This Row],['#Water points coverage]])</f>
        <v>0.8666666666666667</v>
      </c>
      <c r="CK553" s="712">
        <f>ROUND(IF(WWWW[[#This Row],[Total PoP ]]&lt;500,1,WWWW[[#This Row],[Total PoP ]]/500),0)</f>
        <v>1</v>
      </c>
      <c r="CL553" s="712">
        <f>(WWWW[[#This Row],['#_Constructed latrines_by_WASHAgencies]]+WWWW[[#This Row],['#_Non Cluster partner latrines]])-WWWW[[#This Row],['#_Non-functional latrines]]</f>
        <v>86</v>
      </c>
      <c r="CM55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5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458</v>
      </c>
      <c r="CO55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3" s="712">
        <f>IF(WWWW[[#This Row],[Location Type 1]]="Village","NA",IF(WWWW[[#This Row],['#_Constructed/Existing latrines in TLS]]*50&gt;WWWW[[#This Row],['#_students at TLS_CFS]],WWWW[[#This Row],['#_students at TLS_CFS]],(WWWW[[#This Row],['#_Constructed/Existing latrines in TLS]]*50)))</f>
        <v>0</v>
      </c>
      <c r="CQ553" s="712">
        <f>ROUND(IF(WWWW[[#This Row],[Location Type 1]]="camp",WWWW[[#This Row],[Total PoP ]]/20,IF(WWWW[[#This Row],[Location Type 1]]="Temporary Location",WWWW[[#This Row],[Total PoP ]]/50,(WWWW[[#This Row],[Total PoP ]]/6))),0)</f>
        <v>23</v>
      </c>
      <c r="CR553" s="712">
        <f>IF(WWWW[[#This Row],[Total required Latrines]]-(WWWW[[#This Row],['#_Constructed latrines_by_WASHAgencies]]+WWWW[[#This Row],['#_Non Cluster partner latrines]])&lt;0,0,WWWW[[#This Row],[Total required Latrines]]-(WWWW[[#This Row],['#_Constructed latrines_by_WASHAgencies]]+WWWW[[#This Row],['#_Non Cluster partner latrines]]))</f>
        <v>0</v>
      </c>
      <c r="CS553" s="714">
        <f>1-WWWW[[#This Row],[% people access to functioning Latrine]]</f>
        <v>0</v>
      </c>
      <c r="CT553" s="713">
        <f>IF(OR(WWWW[[#This Row],['#_Non-functional latrines]]="",WWWW[[#This Row],['#_Non-functional latrines]]=0),0,WWWW[[#This Row],['#_Non-functional latrines]]/(WWWW[[#This Row],['#_Constructed latrines_by_WASHAgencies]]+WWWW[[#This Row],['#_Non Cluster partner latrines]]))</f>
        <v>0</v>
      </c>
      <c r="CU553" s="708">
        <f>IF(500*(WWWW[[#This Row],['#_male hygiene promoters]]+WWWW[[#This Row],['#_female hygiene promoters]])&gt;WWWW[[#This Row],[Total PoP ]],WWWW[[#This Row],[Total PoP ]],500*(WWWW[[#This Row],['#_male hygiene promoters]]+WWWW[[#This Row],['#_female hygiene promoters]]))</f>
        <v>458</v>
      </c>
      <c r="CV55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3" s="712">
        <f>IF(WWWW[[#This Row],['# People with access to soap]]&gt;WWWW[[#This Row],['# People with access to Sanity Pads]],WWWW[[#This Row],['# People with access to soap]],WWWW[[#This Row],['# People with access to Sanity Pads]])</f>
        <v>0</v>
      </c>
      <c r="CY553" s="712">
        <f>IF(WWWW[[#This Row],['# people reached by regular dedicated hygiene promotion_5]]&gt;WWWW[[#This Row],['# People received regular supply of hygiene items_6]],WWWW[[#This Row],['# people reached by regular dedicated hygiene promotion_5]],WWWW[[#This Row],['# People received regular supply of hygiene items_6]])</f>
        <v>458</v>
      </c>
      <c r="CZ553" s="714">
        <f>IF(WWWW[[#This Row],[HRP3]]/WWWW[[#This Row],[Total PoP ]]&gt;100%,100%,WWWW[[#This Row],[HRP3]]/WWWW[[#This Row],[Total PoP ]])</f>
        <v>1</v>
      </c>
      <c r="DA553" s="713">
        <f>1-WWWW[[#This Row],[Hygiene Coverage%]]</f>
        <v>0</v>
      </c>
      <c r="DB553" s="710">
        <f>WWWW[[#This Row],['# people reached by regular dedicated hygiene promotion_5]]/WWWW[[#This Row],[Total PoP ]]</f>
        <v>1</v>
      </c>
      <c r="DC553" s="710">
        <f>IF(WWWW[[#This Row],['#_households that received standard amount of soap for this quarter]]/WWWW[[#This Row],[Total HH]]&gt;1,1,WWWW[[#This Row],['#_households that received standard amount of soap for this quarter]]/WWWW[[#This Row],[Total HH]])</f>
        <v>0</v>
      </c>
      <c r="DD553" s="710">
        <f>IF(WWWW[[#This Row],['#_households that received standard amount of sanitary pads for this quarter]]/WWWW[[#This Row],[Total HH]]&gt;1,1,WWWW[[#This Row],['#_households that received standard amount of sanitary pads for this quarter]]/WWWW[[#This Row],[Total HH]])</f>
        <v>0</v>
      </c>
      <c r="DE553" s="712">
        <f>WWWW[[#This Row],['#_Constructed/Existing hand washing stations]]-WWWW[[#This Row],['#_Non-Functional_hand_washing_stations]]</f>
        <v>0</v>
      </c>
      <c r="DF553" s="757">
        <f>IF(WWWW[[#This Row],['# Functional hand washing stations during reporting period]]*20&gt;WWWW[[#This Row],[Total HH]],WWWW[[#This Row],[Total HH]],WWWW[[#This Row],['# Functional hand washing stations during reporting period]]*20)</f>
        <v>0</v>
      </c>
      <c r="DG553" s="708">
        <f>IF(WWWW[[#This Row],[Is sufficient soap available for TLS? (Yes/No)]]="yes",WWWW[[#This Row],['#_Constructed/Existing hand washing stations at TLS]],0)</f>
        <v>0</v>
      </c>
      <c r="DH553" s="759">
        <f>IF(WWWW[[#This Row],['# Functional hand washing stations during reporting period]]*100&gt;WWWW[[#This Row],[Total PoP ]],WWWW[[#This Row],[Total PoP ]],WWWW[[#This Row],['# Functional hand washing stations during reporting period]]*100)</f>
        <v>0</v>
      </c>
      <c r="DI553" s="759" t="str">
        <f>IF(OR(WWWW[[#This Row],['#_students at TLS_CFS]]="",WWWW[[#This Row],['#_students at TLS_CFS]]=0),"No","Yes")</f>
        <v>Yes</v>
      </c>
      <c r="DJ553" s="711" t="str">
        <f>VLOOKUP(WWWW[[#This Row],[Site Name]],SiteDB6[[Site Name]:[CCCM Management]],6,FALSE)</f>
        <v>Yes</v>
      </c>
      <c r="DK553" s="711" t="str">
        <f>VLOOKUP(WWWW[[#This Row],[Site Name]],SiteDB6[[Site Name]:[CCCM Focal Agency]],7,FALSE)</f>
        <v>KMSS-MYT</v>
      </c>
      <c r="DL553" s="711" t="str">
        <f>VLOOKUP(WWWW[[#This Row],[Site Name]],SiteDB6[[Site Name]:[Location Type 1]],9,FALSE)</f>
        <v>Camp</v>
      </c>
      <c r="DM553" s="711" t="str">
        <f>VLOOKUP(WWWW[[#This Row],[Site Name]],SiteDB6[[Site Name]:[Type of Accommodation]],10,FALSE)</f>
        <v>Camp</v>
      </c>
      <c r="DN553" s="711" t="str">
        <f>VLOOKUP(WWWW[[#This Row],[Site Name]],SiteDB6[[Site Name]:[Ethnic or GCA/NGCA]],11,FALSE)</f>
        <v>NGCA</v>
      </c>
      <c r="DO553" s="711">
        <f>VLOOKUP(WWWW[[#This Row],[Site Name]],SiteDB6[[Site Name]:[Lat]],12,FALSE)</f>
        <v>24.461033</v>
      </c>
      <c r="DP553" s="711">
        <f>VLOOKUP(WWWW[[#This Row],[Site Name]],SiteDB6[[Site Name]:[Long]],13,FALSE)</f>
        <v>97.537099999999995</v>
      </c>
      <c r="DQ553" s="711" t="str">
        <f>VLOOKUP(WWWW[[#This Row],[Site Name]],SiteDB6[[Site Name]:[Pcode]],3,FALSE)</f>
        <v>MMR001CMP123</v>
      </c>
      <c r="DR553" s="709" t="str">
        <f t="shared" si="21"/>
        <v>Covered</v>
      </c>
      <c r="DS553" s="709"/>
    </row>
    <row r="554" spans="1:123">
      <c r="A554" s="701" t="s">
        <v>2519</v>
      </c>
      <c r="B554" s="701" t="s">
        <v>284</v>
      </c>
      <c r="C554" s="701" t="s">
        <v>284</v>
      </c>
      <c r="D554" s="702" t="s">
        <v>2955</v>
      </c>
      <c r="E554" s="702" t="s">
        <v>39</v>
      </c>
      <c r="F554" s="702" t="s">
        <v>213</v>
      </c>
      <c r="G554" s="711" t="str">
        <f>VLOOKUP(WWWW[[#This Row],[Site Name]],SiteDB6[[Site Name]:[Location Type]],8,FALSE)</f>
        <v>Camp</v>
      </c>
      <c r="H554" s="902" t="s">
        <v>289</v>
      </c>
      <c r="I554" s="705">
        <v>40</v>
      </c>
      <c r="J554" s="705">
        <v>240</v>
      </c>
      <c r="K554" s="706" t="s">
        <v>3270</v>
      </c>
      <c r="L554" s="707" t="s">
        <v>3271</v>
      </c>
      <c r="M554" s="705"/>
      <c r="N554" s="705">
        <v>0</v>
      </c>
      <c r="O554" s="705">
        <v>0</v>
      </c>
      <c r="P554" s="705">
        <v>0</v>
      </c>
      <c r="Q554" s="708" t="s">
        <v>43</v>
      </c>
      <c r="R554" s="705">
        <v>4</v>
      </c>
      <c r="S554" s="705">
        <v>7</v>
      </c>
      <c r="T554" s="807">
        <v>1</v>
      </c>
      <c r="U554" s="705"/>
      <c r="V554" s="705"/>
      <c r="W554" s="705">
        <v>0</v>
      </c>
      <c r="X554" s="705">
        <v>0</v>
      </c>
      <c r="Y554" s="705"/>
      <c r="Z554" s="705"/>
      <c r="AA554" s="705"/>
      <c r="AB554" s="705"/>
      <c r="AC554" s="705"/>
      <c r="AD554" s="705"/>
      <c r="AE554" s="705"/>
      <c r="AF554" s="705"/>
      <c r="AG554" s="705"/>
      <c r="AH554" s="705"/>
      <c r="AI554" s="705">
        <v>1</v>
      </c>
      <c r="AJ554" s="705">
        <v>1</v>
      </c>
      <c r="AK554" s="705">
        <v>4</v>
      </c>
      <c r="AL554" s="705">
        <v>0</v>
      </c>
      <c r="AM554" s="705"/>
      <c r="AN554" s="705"/>
      <c r="AO554" s="709"/>
      <c r="AP554" s="705">
        <v>9</v>
      </c>
      <c r="AQ554" s="705"/>
      <c r="AR554" s="710"/>
      <c r="AS554" s="705"/>
      <c r="AT554" s="705"/>
      <c r="AU554" s="705">
        <v>9</v>
      </c>
      <c r="AV554" s="705"/>
      <c r="AW554" s="705"/>
      <c r="AX554" s="711" t="s">
        <v>43</v>
      </c>
      <c r="AY554" s="709" t="s">
        <v>145</v>
      </c>
      <c r="AZ554" s="705">
        <v>0</v>
      </c>
      <c r="BA554" s="705">
        <v>0</v>
      </c>
      <c r="BB554" s="705"/>
      <c r="BC554" s="711"/>
      <c r="BD554" s="705">
        <v>4</v>
      </c>
      <c r="BE554" s="705">
        <v>2</v>
      </c>
      <c r="BF554" s="705"/>
      <c r="BG554" s="705">
        <v>1</v>
      </c>
      <c r="BH554" s="705"/>
      <c r="BI554" s="705">
        <v>0</v>
      </c>
      <c r="BJ554" s="705">
        <v>1</v>
      </c>
      <c r="BK554" s="705">
        <v>3</v>
      </c>
      <c r="BL554" s="705">
        <v>38</v>
      </c>
      <c r="BM554" s="711"/>
      <c r="BN554" s="712"/>
      <c r="BO554" s="710"/>
      <c r="BP554" s="711"/>
      <c r="BQ554" s="713">
        <f>IFERROR(WWWW[[#This Row],['#_Water sources treated]]/WWWW[[#This Row],['#_Water sources tested for contamination]],"no test")</f>
        <v>1</v>
      </c>
      <c r="BR554" s="710">
        <f>IFERROR(WWWW[[#This Row],['#_Household received remediation action due to contamination]]/WWWW[[#This Row],['#_Household water samples tested for contamination]],"no test")</f>
        <v>0</v>
      </c>
      <c r="BS554" s="712" t="str">
        <f>IF(AND(WWWW[[#This Row],[% of water sources treated]]="no test",WWWW[[#This Row],[% Household received corrective actions]]="no test"),"No Test","Tested")</f>
        <v>Tested</v>
      </c>
      <c r="BT554" s="712">
        <f>WWWW[[#This Row],['#_Constructed/existing protected hand dug well]]-WWWW[[#This Row],['#_Non-functional protected hand dug well]]</f>
        <v>1</v>
      </c>
      <c r="BU554" s="712">
        <f>(WWWW[[#This Row],['#_Constructed/Existing tube wells/boreholes/handpumps_WASH_agency]]+WWWW[[#This Row],['#_Non-Cluster partner water tube-wells/boreholes/handpumps]])-WWWW[[#This Row],['#_Non-functional tube wells/boreholes/handpumps]]</f>
        <v>0</v>
      </c>
      <c r="BV554" s="712">
        <f>WWWW[[#This Row],['#_Constructed/Existingwater storage tank with gravity fed reticulation system]]-WWWW[[#This Row],['#_Non-functional storage tank gravity fed reticulation system]]</f>
        <v>0</v>
      </c>
      <c r="BW554" s="712">
        <f>WWWW[[#This Row],['#_Water boating or water trucking]]</f>
        <v>0</v>
      </c>
      <c r="BX554" s="712">
        <f>WWWW[[#This Row],['#_Constructed/Existing water distribution system from river or natural spring]]</f>
        <v>0</v>
      </c>
      <c r="BY55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5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54" s="710">
        <f>IF(WWWW[[#This Row],[Location Type 1]]="Village",WWWW[[#This Row],[Access to safe drinking water for Village]],WWWW[[#This Row],[Access to safe drinking water for Camp]])</f>
        <v>1</v>
      </c>
      <c r="CB554" s="708">
        <f>WWWW[[#This Row],[%Equitable and continuous access to sufficient quantity of safe drinking water]]*WWWW[[#This Row],[Total PoP ]]</f>
        <v>240</v>
      </c>
      <c r="CC554" s="710">
        <f>IF((WWWW[[#This Row],['#_Constructed/Existing protected/fenced ponds]]*250)/WWWW[[#This Row],[Total PoP ]]&gt;1,1,(WWWW[[#This Row],['#_Constructed/Existing protected/fenced ponds]]*250)/WWWW[[#This Row],[Total PoP ]])</f>
        <v>0</v>
      </c>
      <c r="CD554" s="708">
        <f>WWWW[[#This Row],[% Access to unimproved water points]]*WWWW[[#This Row],[Total PoP ]]</f>
        <v>0</v>
      </c>
      <c r="CE55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5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240</v>
      </c>
      <c r="CG554" s="708">
        <f>WWWW[[#This Row],[HRP1]]/500</f>
        <v>0.48</v>
      </c>
      <c r="CH554" s="714">
        <f>1-WWWW[[#This Row],[% Equitable and continuous access to sufficient quantity of domestic water]]</f>
        <v>0</v>
      </c>
      <c r="CI554" s="708">
        <f>WWWW[[#This Row],[%equitable and continuous access to sufficient quantity of safe drinking and domestic water''s GAP]]*WWWW[[#This Row],[Total PoP ]]</f>
        <v>0</v>
      </c>
      <c r="CJ554" s="712">
        <f>IF(WWWW[[#This Row],[Total required water points]]-WWWW[[#This Row],['#Water points coverage]]&lt;0,0,WWWW[[#This Row],[Total required water points]]-WWWW[[#This Row],['#Water points coverage]])</f>
        <v>0.52</v>
      </c>
      <c r="CK554" s="712">
        <f>ROUND(IF(WWWW[[#This Row],[Total PoP ]]&lt;500,1,WWWW[[#This Row],[Total PoP ]]/500),0)</f>
        <v>1</v>
      </c>
      <c r="CL554" s="712">
        <f>(WWWW[[#This Row],['#_Constructed latrines_by_WASHAgencies]]+WWWW[[#This Row],['#_Non Cluster partner latrines]])-WWWW[[#This Row],['#_Non-functional latrines]]</f>
        <v>9</v>
      </c>
      <c r="CM55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v>
      </c>
      <c r="CN55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55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P554" s="712">
        <f>IF(WWWW[[#This Row],[Location Type 1]]="Village","NA",IF(WWWW[[#This Row],['#_Constructed/Existing latrines in TLS]]*50&gt;WWWW[[#This Row],['#_students at TLS_CFS]],WWWW[[#This Row],['#_students at TLS_CFS]],(WWWW[[#This Row],['#_Constructed/Existing latrines in TLS]]*50)))</f>
        <v>0</v>
      </c>
      <c r="CQ554" s="712">
        <f>ROUND(IF(WWWW[[#This Row],[Location Type 1]]="camp",WWWW[[#This Row],[Total PoP ]]/20,IF(WWWW[[#This Row],[Location Type 1]]="Temporary Location",WWWW[[#This Row],[Total PoP ]]/50,(WWWW[[#This Row],[Total PoP ]]/6))),0)</f>
        <v>12</v>
      </c>
      <c r="CR554" s="712">
        <f>IF(WWWW[[#This Row],[Total required Latrines]]-(WWWW[[#This Row],['#_Constructed latrines_by_WASHAgencies]]+WWWW[[#This Row],['#_Non Cluster partner latrines]])&lt;0,0,WWWW[[#This Row],[Total required Latrines]]-(WWWW[[#This Row],['#_Constructed latrines_by_WASHAgencies]]+WWWW[[#This Row],['#_Non Cluster partner latrines]]))</f>
        <v>3</v>
      </c>
      <c r="CS554" s="714">
        <f>1-WWWW[[#This Row],[% people access to functioning Latrine]]</f>
        <v>0.25</v>
      </c>
      <c r="CT554" s="713">
        <f>IF(OR(WWWW[[#This Row],['#_Non-functional latrines]]="",WWWW[[#This Row],['#_Non-functional latrines]]=0),0,WWWW[[#This Row],['#_Non-functional latrines]]/(WWWW[[#This Row],['#_Constructed latrines_by_WASHAgencies]]+WWWW[[#This Row],['#_Non Cluster partner latrines]]))</f>
        <v>0</v>
      </c>
      <c r="CU554" s="708">
        <f>IF(500*(WWWW[[#This Row],['#_male hygiene promoters]]+WWWW[[#This Row],['#_female hygiene promoters]])&gt;WWWW[[#This Row],[Total PoP ]],WWWW[[#This Row],[Total PoP ]],500*(WWWW[[#This Row],['#_male hygiene promoters]]+WWWW[[#This Row],['#_female hygiene promoters]]))</f>
        <v>240</v>
      </c>
      <c r="CV55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v>
      </c>
      <c r="CW55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190</v>
      </c>
      <c r="CX554" s="712">
        <f>IF(WWWW[[#This Row],['# People with access to soap]]&gt;WWWW[[#This Row],['# People with access to Sanity Pads]],WWWW[[#This Row],['# People with access to soap]],WWWW[[#This Row],['# People with access to Sanity Pads]])</f>
        <v>190</v>
      </c>
      <c r="CY554" s="712">
        <f>IF(WWWW[[#This Row],['# people reached by regular dedicated hygiene promotion_5]]&gt;WWWW[[#This Row],['# People received regular supply of hygiene items_6]],WWWW[[#This Row],['# people reached by regular dedicated hygiene promotion_5]],WWWW[[#This Row],['# People received regular supply of hygiene items_6]])</f>
        <v>240</v>
      </c>
      <c r="CZ554" s="714">
        <f>IF(WWWW[[#This Row],[HRP3]]/WWWW[[#This Row],[Total PoP ]]&gt;100%,100%,WWWW[[#This Row],[HRP3]]/WWWW[[#This Row],[Total PoP ]])</f>
        <v>1</v>
      </c>
      <c r="DA554" s="713">
        <f>1-WWWW[[#This Row],[Hygiene Coverage%]]</f>
        <v>0</v>
      </c>
      <c r="DB554" s="710">
        <f>WWWW[[#This Row],['# people reached by regular dedicated hygiene promotion_5]]/WWWW[[#This Row],[Total PoP ]]</f>
        <v>1</v>
      </c>
      <c r="DC554" s="710">
        <f>IF(WWWW[[#This Row],['#_households that received standard amount of soap for this quarter]]/WWWW[[#This Row],[Total HH]]&gt;1,1,WWWW[[#This Row],['#_households that received standard amount of soap for this quarter]]/WWWW[[#This Row],[Total HH]])</f>
        <v>7.4999999999999997E-2</v>
      </c>
      <c r="DD554" s="710">
        <f>IF(WWWW[[#This Row],['#_households that received standard amount of sanitary pads for this quarter]]/WWWW[[#This Row],[Total HH]]&gt;1,1,WWWW[[#This Row],['#_households that received standard amount of sanitary pads for this quarter]]/WWWW[[#This Row],[Total HH]])</f>
        <v>0.95</v>
      </c>
      <c r="DE554" s="712">
        <f>WWWW[[#This Row],['#_Constructed/Existing hand washing stations]]-WWWW[[#This Row],['#_Non-Functional_hand_washing_stations]]</f>
        <v>2</v>
      </c>
      <c r="DF554" s="757">
        <f>IF(WWWW[[#This Row],['# Functional hand washing stations during reporting period]]*20&gt;WWWW[[#This Row],[Total HH]],WWWW[[#This Row],[Total HH]],WWWW[[#This Row],['# Functional hand washing stations during reporting period]]*20)</f>
        <v>40</v>
      </c>
      <c r="DG554" s="708">
        <f>IF(WWWW[[#This Row],[Is sufficient soap available for TLS? (Yes/No)]]="yes",WWWW[[#This Row],['#_Constructed/Existing hand washing stations at TLS]],0)</f>
        <v>0</v>
      </c>
      <c r="DH554" s="759">
        <f>IF(WWWW[[#This Row],['# Functional hand washing stations during reporting period]]*100&gt;WWWW[[#This Row],[Total PoP ]],WWWW[[#This Row],[Total PoP ]],WWWW[[#This Row],['# Functional hand washing stations during reporting period]]*100)</f>
        <v>200</v>
      </c>
      <c r="DI554" s="759" t="str">
        <f>IF(OR(WWWW[[#This Row],['#_students at TLS_CFS]]="",WWWW[[#This Row],['#_students at TLS_CFS]]=0),"No","Yes")</f>
        <v>No</v>
      </c>
      <c r="DJ554" s="711" t="str">
        <f>VLOOKUP(WWWW[[#This Row],[Site Name]],SiteDB6[[Site Name]:[CCCM Management]],6,FALSE)</f>
        <v>Yes</v>
      </c>
      <c r="DK554" s="711" t="str">
        <f>VLOOKUP(WWWW[[#This Row],[Site Name]],SiteDB6[[Site Name]:[CCCM Focal Agency]],7,FALSE)</f>
        <v>KBC</v>
      </c>
      <c r="DL554" s="711" t="str">
        <f>VLOOKUP(WWWW[[#This Row],[Site Name]],SiteDB6[[Site Name]:[Location Type 1]],9,FALSE)</f>
        <v>Camp</v>
      </c>
      <c r="DM554" s="711" t="str">
        <f>VLOOKUP(WWWW[[#This Row],[Site Name]],SiteDB6[[Site Name]:[Type of Accommodation]],10,FALSE)</f>
        <v>Camp</v>
      </c>
      <c r="DN554" s="711" t="str">
        <f>VLOOKUP(WWWW[[#This Row],[Site Name]],SiteDB6[[Site Name]:[Ethnic or GCA/NGCA]],11,FALSE)</f>
        <v>GCA</v>
      </c>
      <c r="DO554" s="711">
        <f>VLOOKUP(WWWW[[#This Row],[Site Name]],SiteDB6[[Site Name]:[Lat]],12,FALSE)</f>
        <v>24.200972</v>
      </c>
      <c r="DP554" s="711">
        <f>VLOOKUP(WWWW[[#This Row],[Site Name]],SiteDB6[[Site Name]:[Long]],13,FALSE)</f>
        <v>97.718582999999995</v>
      </c>
      <c r="DQ554" s="711" t="str">
        <f>VLOOKUP(WWWW[[#This Row],[Site Name]],SiteDB6[[Site Name]:[Pcode]],3,FALSE)</f>
        <v>MMR001CMP071</v>
      </c>
      <c r="DR554" s="709" t="str">
        <f t="shared" si="21"/>
        <v>Covered</v>
      </c>
      <c r="DS554" s="709"/>
    </row>
    <row r="555" spans="1:123">
      <c r="A555" s="701" t="s">
        <v>2519</v>
      </c>
      <c r="B555" s="701" t="s">
        <v>200</v>
      </c>
      <c r="C555" s="702" t="s">
        <v>200</v>
      </c>
      <c r="D555" s="702" t="s">
        <v>226</v>
      </c>
      <c r="E555" s="702" t="s">
        <v>39</v>
      </c>
      <c r="F555" s="702" t="s">
        <v>150</v>
      </c>
      <c r="G555" s="711" t="str">
        <f>VLOOKUP(WWWW[[#This Row],[Site Name]],SiteDB6[[Site Name]:[Location Type]],8,FALSE)</f>
        <v>Camp</v>
      </c>
      <c r="H555" s="702" t="s">
        <v>232</v>
      </c>
      <c r="I555" s="733">
        <v>144</v>
      </c>
      <c r="J555" s="705">
        <v>680</v>
      </c>
      <c r="K555" s="706"/>
      <c r="L555" s="707">
        <v>43465</v>
      </c>
      <c r="M555" s="705"/>
      <c r="N555" s="705"/>
      <c r="O555" s="705"/>
      <c r="P555" s="705"/>
      <c r="Q555" s="708"/>
      <c r="R555" s="705"/>
      <c r="S555" s="705"/>
      <c r="T555" s="807"/>
      <c r="U555" s="705"/>
      <c r="V555" s="705"/>
      <c r="W555" s="705"/>
      <c r="X555" s="705"/>
      <c r="Y555" s="705"/>
      <c r="Z555" s="705"/>
      <c r="AA555" s="705"/>
      <c r="AB555" s="705"/>
      <c r="AC555" s="705"/>
      <c r="AD555" s="705"/>
      <c r="AE555" s="705"/>
      <c r="AF555" s="705">
        <v>27200</v>
      </c>
      <c r="AG555" s="705"/>
      <c r="AH555" s="705"/>
      <c r="AI555" s="705"/>
      <c r="AJ555" s="705"/>
      <c r="AK555" s="705"/>
      <c r="AL555" s="705"/>
      <c r="AM555" s="705"/>
      <c r="AN555" s="705"/>
      <c r="AO555" s="709"/>
      <c r="AP555" s="705"/>
      <c r="AQ555" s="705"/>
      <c r="AR555" s="710"/>
      <c r="AS555" s="705"/>
      <c r="AT555" s="705"/>
      <c r="AU555" s="705"/>
      <c r="AV555" s="705"/>
      <c r="AW555" s="705"/>
      <c r="AX555" s="711" t="s">
        <v>43</v>
      </c>
      <c r="AY555" s="709" t="s">
        <v>145</v>
      </c>
      <c r="AZ555" s="705"/>
      <c r="BA555" s="705"/>
      <c r="BB555" s="705"/>
      <c r="BC555" s="711"/>
      <c r="BD555" s="705"/>
      <c r="BE555" s="705"/>
      <c r="BF555" s="705"/>
      <c r="BG555" s="705"/>
      <c r="BH555" s="705"/>
      <c r="BI555" s="705"/>
      <c r="BJ555" s="705"/>
      <c r="BK555" s="705"/>
      <c r="BL555" s="705"/>
      <c r="BM555" s="711"/>
      <c r="BN555" s="712"/>
      <c r="BO555" s="710"/>
      <c r="BP555" s="711"/>
      <c r="BQ555" s="713" t="str">
        <f>IFERROR(WWWW[[#This Row],['#_Water sources treated]]/WWWW[[#This Row],['#_Water sources tested for contamination]],"no test")</f>
        <v>no test</v>
      </c>
      <c r="BR555" s="710" t="str">
        <f>IFERROR(WWWW[[#This Row],['#_Household received remediation action due to contamination]]/WWWW[[#This Row],['#_Household water samples tested for contamination]],"no test")</f>
        <v>no test</v>
      </c>
      <c r="BS555" s="712" t="str">
        <f>IF(AND(WWWW[[#This Row],[% of water sources treated]]="no test",WWWW[[#This Row],[% Household received corrective actions]]="no test"),"No Test","Tested")</f>
        <v>No Test</v>
      </c>
      <c r="BT555" s="712">
        <f>WWWW[[#This Row],['#_Constructed/existing protected hand dug well]]-WWWW[[#This Row],['#_Non-functional protected hand dug well]]</f>
        <v>0</v>
      </c>
      <c r="BU555" s="712">
        <f>(WWWW[[#This Row],['#_Constructed/Existing tube wells/boreholes/handpumps_WASH_agency]]+WWWW[[#This Row],['#_Non-Cluster partner water tube-wells/boreholes/handpumps]])-WWWW[[#This Row],['#_Non-functional tube wells/boreholes/handpumps]]</f>
        <v>0</v>
      </c>
      <c r="BV555" s="712">
        <f>WWWW[[#This Row],['#_Constructed/Existingwater storage tank with gravity fed reticulation system]]-WWWW[[#This Row],['#_Non-functional storage tank gravity fed reticulation system]]</f>
        <v>0</v>
      </c>
      <c r="BW555" s="712">
        <f>WWWW[[#This Row],['#_Water boating or water trucking]]</f>
        <v>0</v>
      </c>
      <c r="BX555" s="712">
        <f>WWWW[[#This Row],['#_Constructed/Existing water distribution system from river or natural spring]]</f>
        <v>27200</v>
      </c>
      <c r="BY55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5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55" s="710">
        <f>IF(WWWW[[#This Row],[Location Type 1]]="Village",WWWW[[#This Row],[Access to safe drinking water for Village]],WWWW[[#This Row],[Access to safe drinking water for Camp]])</f>
        <v>1</v>
      </c>
      <c r="CB555" s="708">
        <f>WWWW[[#This Row],[%Equitable and continuous access to sufficient quantity of safe drinking water]]*WWWW[[#This Row],[Total PoP ]]</f>
        <v>680</v>
      </c>
      <c r="CC555" s="710">
        <f>IF((WWWW[[#This Row],['#_Constructed/Existing protected/fenced ponds]]*250)/WWWW[[#This Row],[Total PoP ]]&gt;1,1,(WWWW[[#This Row],['#_Constructed/Existing protected/fenced ponds]]*250)/WWWW[[#This Row],[Total PoP ]])</f>
        <v>0</v>
      </c>
      <c r="CD555" s="708">
        <f>WWWW[[#This Row],[% Access to unimproved water points]]*WWWW[[#This Row],[Total PoP ]]</f>
        <v>0</v>
      </c>
      <c r="CE55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5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680</v>
      </c>
      <c r="CG555" s="708">
        <f>WWWW[[#This Row],[HRP1]]/500</f>
        <v>1.36</v>
      </c>
      <c r="CH555" s="714">
        <f>1-WWWW[[#This Row],[% Equitable and continuous access to sufficient quantity of domestic water]]</f>
        <v>0</v>
      </c>
      <c r="CI555" s="708">
        <f>WWWW[[#This Row],[%equitable and continuous access to sufficient quantity of safe drinking and domestic water''s GAP]]*WWWW[[#This Row],[Total PoP ]]</f>
        <v>0</v>
      </c>
      <c r="CJ555" s="712">
        <f>IF(WWWW[[#This Row],[Total required water points]]-WWWW[[#This Row],['#Water points coverage]]&lt;0,0,WWWW[[#This Row],[Total required water points]]-WWWW[[#This Row],['#Water points coverage]])</f>
        <v>0</v>
      </c>
      <c r="CK555" s="712">
        <f>ROUND(IF(WWWW[[#This Row],[Total PoP ]]&lt;500,1,WWWW[[#This Row],[Total PoP ]]/500),0)</f>
        <v>1</v>
      </c>
      <c r="CL555" s="712">
        <f>(WWWW[[#This Row],['#_Constructed latrines_by_WASHAgencies]]+WWWW[[#This Row],['#_Non Cluster partner latrines]])-WWWW[[#This Row],['#_Non-functional latrines]]</f>
        <v>0</v>
      </c>
      <c r="CM55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5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5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5" s="712">
        <f>IF(WWWW[[#This Row],[Location Type 1]]="Village","NA",IF(WWWW[[#This Row],['#_Constructed/Existing latrines in TLS]]*50&gt;WWWW[[#This Row],['#_students at TLS_CFS]],WWWW[[#This Row],['#_students at TLS_CFS]],(WWWW[[#This Row],['#_Constructed/Existing latrines in TLS]]*50)))</f>
        <v>0</v>
      </c>
      <c r="CQ555" s="712">
        <f>ROUND(IF(WWWW[[#This Row],[Location Type 1]]="camp",WWWW[[#This Row],[Total PoP ]]/20,IF(WWWW[[#This Row],[Location Type 1]]="Temporary Location",WWWW[[#This Row],[Total PoP ]]/50,(WWWW[[#This Row],[Total PoP ]]/6))),0)</f>
        <v>34</v>
      </c>
      <c r="CR555" s="712">
        <f>IF(WWWW[[#This Row],[Total required Latrines]]-(WWWW[[#This Row],['#_Constructed latrines_by_WASHAgencies]]+WWWW[[#This Row],['#_Non Cluster partner latrines]])&lt;0,0,WWWW[[#This Row],[Total required Latrines]]-(WWWW[[#This Row],['#_Constructed latrines_by_WASHAgencies]]+WWWW[[#This Row],['#_Non Cluster partner latrines]]))</f>
        <v>34</v>
      </c>
      <c r="CS555" s="714">
        <f>1-WWWW[[#This Row],[% people access to functioning Latrine]]</f>
        <v>1</v>
      </c>
      <c r="CT555" s="713">
        <f>IF(OR(WWWW[[#This Row],['#_Non-functional latrines]]="",WWWW[[#This Row],['#_Non-functional latrines]]=0),0,WWWW[[#This Row],['#_Non-functional latrines]]/(WWWW[[#This Row],['#_Constructed latrines_by_WASHAgencies]]+WWWW[[#This Row],['#_Non Cluster partner latrines]]))</f>
        <v>0</v>
      </c>
      <c r="CU555" s="708">
        <f>IF(500*(WWWW[[#This Row],['#_male hygiene promoters]]+WWWW[[#This Row],['#_female hygiene promoters]])&gt;WWWW[[#This Row],[Total PoP ]],WWWW[[#This Row],[Total PoP ]],500*(WWWW[[#This Row],['#_male hygiene promoters]]+WWWW[[#This Row],['#_female hygiene promoters]]))</f>
        <v>0</v>
      </c>
      <c r="CV55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5" s="712">
        <f>IF(WWWW[[#This Row],['# People with access to soap]]&gt;WWWW[[#This Row],['# People with access to Sanity Pads]],WWWW[[#This Row],['# People with access to soap]],WWWW[[#This Row],['# People with access to Sanity Pads]])</f>
        <v>0</v>
      </c>
      <c r="CY55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55" s="714">
        <f>IF(WWWW[[#This Row],[HRP3]]/WWWW[[#This Row],[Total PoP ]]&gt;100%,100%,WWWW[[#This Row],[HRP3]]/WWWW[[#This Row],[Total PoP ]])</f>
        <v>0</v>
      </c>
      <c r="DA555" s="713">
        <f>1-WWWW[[#This Row],[Hygiene Coverage%]]</f>
        <v>1</v>
      </c>
      <c r="DB555" s="710">
        <f>WWWW[[#This Row],['# people reached by regular dedicated hygiene promotion_5]]/WWWW[[#This Row],[Total PoP ]]</f>
        <v>0</v>
      </c>
      <c r="DC555" s="710">
        <f>IF(WWWW[[#This Row],['#_households that received standard amount of soap for this quarter]]/WWWW[[#This Row],[Total HH]]&gt;1,1,WWWW[[#This Row],['#_households that received standard amount of soap for this quarter]]/WWWW[[#This Row],[Total HH]])</f>
        <v>0</v>
      </c>
      <c r="DD555" s="710">
        <f>IF(WWWW[[#This Row],['#_households that received standard amount of sanitary pads for this quarter]]/WWWW[[#This Row],[Total HH]]&gt;1,1,WWWW[[#This Row],['#_households that received standard amount of sanitary pads for this quarter]]/WWWW[[#This Row],[Total HH]])</f>
        <v>0</v>
      </c>
      <c r="DE555" s="712">
        <f>WWWW[[#This Row],['#_Constructed/Existing hand washing stations]]-WWWW[[#This Row],['#_Non-Functional_hand_washing_stations]]</f>
        <v>0</v>
      </c>
      <c r="DF555" s="757">
        <f>IF(WWWW[[#This Row],['# Functional hand washing stations during reporting period]]*20&gt;WWWW[[#This Row],[Total HH]],WWWW[[#This Row],[Total HH]],WWWW[[#This Row],['# Functional hand washing stations during reporting period]]*20)</f>
        <v>0</v>
      </c>
      <c r="DG555" s="708">
        <f>IF(WWWW[[#This Row],[Is sufficient soap available for TLS? (Yes/No)]]="yes",WWWW[[#This Row],['#_Constructed/Existing hand washing stations at TLS]],0)</f>
        <v>0</v>
      </c>
      <c r="DH555" s="759">
        <f>IF(WWWW[[#This Row],['# Functional hand washing stations during reporting period]]*100&gt;WWWW[[#This Row],[Total PoP ]],WWWW[[#This Row],[Total PoP ]],WWWW[[#This Row],['# Functional hand washing stations during reporting period]]*100)</f>
        <v>0</v>
      </c>
      <c r="DI555" s="759" t="str">
        <f>IF(OR(WWWW[[#This Row],['#_students at TLS_CFS]]="",WWWW[[#This Row],['#_students at TLS_CFS]]=0),"No","Yes")</f>
        <v>No</v>
      </c>
      <c r="DJ555" s="711">
        <f>VLOOKUP(WWWW[[#This Row],[Site Name]],SiteDB6[[Site Name]:[CCCM Management]],6,FALSE)</f>
        <v>0</v>
      </c>
      <c r="DK555" s="711" t="str">
        <f>VLOOKUP(WWWW[[#This Row],[Site Name]],SiteDB6[[Site Name]:[CCCM Focal Agency]],7,FALSE)</f>
        <v>uncovered</v>
      </c>
      <c r="DL555" s="711" t="str">
        <f>VLOOKUP(WWWW[[#This Row],[Site Name]],SiteDB6[[Site Name]:[Location Type 1]],9,FALSE)</f>
        <v>Camp</v>
      </c>
      <c r="DM555" s="711" t="str">
        <f>VLOOKUP(WWWW[[#This Row],[Site Name]],SiteDB6[[Site Name]:[Type of Accommodation]],10,FALSE)</f>
        <v>Boarding School</v>
      </c>
      <c r="DN555" s="711" t="str">
        <f>VLOOKUP(WWWW[[#This Row],[Site Name]],SiteDB6[[Site Name]:[Ethnic or GCA/NGCA]],11,FALSE)</f>
        <v>NGCA</v>
      </c>
      <c r="DO555" s="711">
        <f>VLOOKUP(WWWW[[#This Row],[Site Name]],SiteDB6[[Site Name]:[Lat]],12,FALSE)</f>
        <v>24.752471</v>
      </c>
      <c r="DP555" s="711">
        <f>VLOOKUP(WWWW[[#This Row],[Site Name]],SiteDB6[[Site Name]:[Long]],13,FALSE)</f>
        <v>97.541793999999996</v>
      </c>
      <c r="DQ555" s="711" t="str">
        <f>VLOOKUP(WWWW[[#This Row],[Site Name]],SiteDB6[[Site Name]:[Pcode]],3,FALSE)</f>
        <v>MMR001CMP208</v>
      </c>
      <c r="DR555" s="709" t="str">
        <f t="shared" si="21"/>
        <v>Covered</v>
      </c>
      <c r="DS555" s="709"/>
    </row>
    <row r="556" spans="1:123">
      <c r="A556" s="701" t="s">
        <v>2519</v>
      </c>
      <c r="B556" s="701" t="s">
        <v>250</v>
      </c>
      <c r="C556" s="702" t="s">
        <v>250</v>
      </c>
      <c r="D556" s="702" t="s">
        <v>315</v>
      </c>
      <c r="E556" s="702" t="s">
        <v>39</v>
      </c>
      <c r="F556" s="702" t="s">
        <v>156</v>
      </c>
      <c r="G556" s="711" t="str">
        <f>VLOOKUP(WWWW[[#This Row],[Site Name]],SiteDB6[[Site Name]:[Location Type]],8,FALSE)</f>
        <v>Camp</v>
      </c>
      <c r="H556" s="702" t="s">
        <v>256</v>
      </c>
      <c r="I556" s="705">
        <v>70</v>
      </c>
      <c r="J556" s="705">
        <v>371</v>
      </c>
      <c r="K556" s="706">
        <v>43313</v>
      </c>
      <c r="L556" s="707">
        <v>44043</v>
      </c>
      <c r="M556" s="705"/>
      <c r="N556" s="705">
        <v>1</v>
      </c>
      <c r="O556" s="705">
        <v>0</v>
      </c>
      <c r="P556" s="705">
        <v>0</v>
      </c>
      <c r="Q556" s="708" t="s">
        <v>43</v>
      </c>
      <c r="R556" s="705">
        <v>10</v>
      </c>
      <c r="S556" s="705">
        <v>3</v>
      </c>
      <c r="T556" s="807">
        <v>0</v>
      </c>
      <c r="U556" s="705"/>
      <c r="V556" s="705"/>
      <c r="W556" s="705">
        <v>0</v>
      </c>
      <c r="X556" s="705">
        <v>0</v>
      </c>
      <c r="Y556" s="705"/>
      <c r="Z556" s="705"/>
      <c r="AA556" s="705">
        <v>0</v>
      </c>
      <c r="AB556" s="705"/>
      <c r="AC556" s="705"/>
      <c r="AD556" s="705">
        <v>0</v>
      </c>
      <c r="AE556" s="705">
        <v>0</v>
      </c>
      <c r="AF556" s="705">
        <v>0</v>
      </c>
      <c r="AG556" s="705">
        <v>0</v>
      </c>
      <c r="AH556" s="705">
        <v>1</v>
      </c>
      <c r="AI556" s="705"/>
      <c r="AJ556" s="705"/>
      <c r="AK556" s="705"/>
      <c r="AL556" s="705"/>
      <c r="AM556" s="705">
        <v>0</v>
      </c>
      <c r="AN556" s="705">
        <v>0</v>
      </c>
      <c r="AO556" s="709"/>
      <c r="AP556" s="705">
        <v>15</v>
      </c>
      <c r="AQ556" s="705">
        <v>7</v>
      </c>
      <c r="AR556" s="710" t="s">
        <v>3109</v>
      </c>
      <c r="AS556" s="705"/>
      <c r="AT556" s="705"/>
      <c r="AU556" s="705"/>
      <c r="AV556" s="705"/>
      <c r="AW556" s="705">
        <v>0</v>
      </c>
      <c r="AX556" s="711" t="s">
        <v>43</v>
      </c>
      <c r="AY556" s="709" t="s">
        <v>145</v>
      </c>
      <c r="AZ556" s="705">
        <v>0</v>
      </c>
      <c r="BA556" s="705">
        <v>0</v>
      </c>
      <c r="BB556" s="705">
        <v>0</v>
      </c>
      <c r="BC556" s="711"/>
      <c r="BD556" s="705">
        <v>0</v>
      </c>
      <c r="BE556" s="705"/>
      <c r="BF556" s="705">
        <v>0</v>
      </c>
      <c r="BG556" s="705">
        <v>2</v>
      </c>
      <c r="BH556" s="705"/>
      <c r="BI556" s="705">
        <v>8</v>
      </c>
      <c r="BJ556" s="705">
        <v>5</v>
      </c>
      <c r="BK556" s="705"/>
      <c r="BL556" s="705"/>
      <c r="BM556" s="711" t="s">
        <v>144</v>
      </c>
      <c r="BN556" s="712"/>
      <c r="BO556" s="710">
        <v>0.1</v>
      </c>
      <c r="BP556" s="711"/>
      <c r="BQ556" s="713" t="str">
        <f>IFERROR(WWWW[[#This Row],['#_Water sources treated]]/WWWW[[#This Row],['#_Water sources tested for contamination]],"no test")</f>
        <v>no test</v>
      </c>
      <c r="BR556" s="710" t="str">
        <f>IFERROR(WWWW[[#This Row],['#_Household received remediation action due to contamination]]/WWWW[[#This Row],['#_Household water samples tested for contamination]],"no test")</f>
        <v>no test</v>
      </c>
      <c r="BS556" s="712" t="str">
        <f>IF(AND(WWWW[[#This Row],[% of water sources treated]]="no test",WWWW[[#This Row],[% Household received corrective actions]]="no test"),"No Test","Tested")</f>
        <v>No Test</v>
      </c>
      <c r="BT556" s="712">
        <f>WWWW[[#This Row],['#_Constructed/existing protected hand dug well]]-WWWW[[#This Row],['#_Non-functional protected hand dug well]]</f>
        <v>0</v>
      </c>
      <c r="BU556" s="712">
        <f>(WWWW[[#This Row],['#_Constructed/Existing tube wells/boreholes/handpumps_WASH_agency]]+WWWW[[#This Row],['#_Non-Cluster partner water tube-wells/boreholes/handpumps]])-WWWW[[#This Row],['#_Non-functional tube wells/boreholes/handpumps]]</f>
        <v>0</v>
      </c>
      <c r="BV556" s="712">
        <f>WWWW[[#This Row],['#_Constructed/Existingwater storage tank with gravity fed reticulation system]]-WWWW[[#This Row],['#_Non-functional storage tank gravity fed reticulation system]]</f>
        <v>0</v>
      </c>
      <c r="BW556" s="712">
        <f>WWWW[[#This Row],['#_Water boating or water trucking]]</f>
        <v>0</v>
      </c>
      <c r="BX556" s="712">
        <f>WWWW[[#This Row],['#_Constructed/Existing water distribution system from river or natural spring]]</f>
        <v>0</v>
      </c>
      <c r="BY55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5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56" s="710">
        <f>IF(WWWW[[#This Row],[Location Type 1]]="Village",WWWW[[#This Row],[Access to safe drinking water for Village]],WWWW[[#This Row],[Access to safe drinking water for Camp]])</f>
        <v>0</v>
      </c>
      <c r="CB556" s="708">
        <f>WWWW[[#This Row],[%Equitable and continuous access to sufficient quantity of safe drinking water]]*WWWW[[#This Row],[Total PoP ]]</f>
        <v>0</v>
      </c>
      <c r="CC556" s="710">
        <f>IF((WWWW[[#This Row],['#_Constructed/Existing protected/fenced ponds]]*250)/WWWW[[#This Row],[Total PoP ]]&gt;1,1,(WWWW[[#This Row],['#_Constructed/Existing protected/fenced ponds]]*250)/WWWW[[#This Row],[Total PoP ]])</f>
        <v>0</v>
      </c>
      <c r="CD556" s="708">
        <f>WWWW[[#This Row],[% Access to unimproved water points]]*WWWW[[#This Row],[Total PoP ]]</f>
        <v>0</v>
      </c>
      <c r="CE55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5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56" s="708">
        <f>WWWW[[#This Row],[HRP1]]/500</f>
        <v>0</v>
      </c>
      <c r="CH556" s="714">
        <f>1-WWWW[[#This Row],[% Equitable and continuous access to sufficient quantity of domestic water]]</f>
        <v>1</v>
      </c>
      <c r="CI556" s="708">
        <f>WWWW[[#This Row],[%equitable and continuous access to sufficient quantity of safe drinking and domestic water''s GAP]]*WWWW[[#This Row],[Total PoP ]]</f>
        <v>371</v>
      </c>
      <c r="CJ556" s="712">
        <f>IF(WWWW[[#This Row],[Total required water points]]-WWWW[[#This Row],['#Water points coverage]]&lt;0,0,WWWW[[#This Row],[Total required water points]]-WWWW[[#This Row],['#Water points coverage]])</f>
        <v>1</v>
      </c>
      <c r="CK556" s="712">
        <f>ROUND(IF(WWWW[[#This Row],[Total PoP ]]&lt;500,1,WWWW[[#This Row],[Total PoP ]]/500),0)</f>
        <v>1</v>
      </c>
      <c r="CL556" s="712">
        <f>(WWWW[[#This Row],['#_Constructed latrines_by_WASHAgencies]]+WWWW[[#This Row],['#_Non Cluster partner latrines]])-WWWW[[#This Row],['#_Non-functional latrines]]</f>
        <v>22</v>
      </c>
      <c r="CM55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5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371</v>
      </c>
      <c r="CO55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6" s="712">
        <f>IF(WWWW[[#This Row],[Location Type 1]]="Village","NA",IF(WWWW[[#This Row],['#_Constructed/Existing latrines in TLS]]*50&gt;WWWW[[#This Row],['#_students at TLS_CFS]],WWWW[[#This Row],['#_students at TLS_CFS]],(WWWW[[#This Row],['#_Constructed/Existing latrines in TLS]]*50)))</f>
        <v>0</v>
      </c>
      <c r="CQ556" s="712">
        <f>ROUND(IF(WWWW[[#This Row],[Location Type 1]]="camp",WWWW[[#This Row],[Total PoP ]]/20,IF(WWWW[[#This Row],[Location Type 1]]="Temporary Location",WWWW[[#This Row],[Total PoP ]]/50,(WWWW[[#This Row],[Total PoP ]]/6))),0)</f>
        <v>19</v>
      </c>
      <c r="CR556" s="712">
        <f>IF(WWWW[[#This Row],[Total required Latrines]]-(WWWW[[#This Row],['#_Constructed latrines_by_WASHAgencies]]+WWWW[[#This Row],['#_Non Cluster partner latrines]])&lt;0,0,WWWW[[#This Row],[Total required Latrines]]-(WWWW[[#This Row],['#_Constructed latrines_by_WASHAgencies]]+WWWW[[#This Row],['#_Non Cluster partner latrines]]))</f>
        <v>0</v>
      </c>
      <c r="CS556" s="714">
        <f>1-WWWW[[#This Row],[% people access to functioning Latrine]]</f>
        <v>0</v>
      </c>
      <c r="CT556" s="713">
        <f>IF(OR(WWWW[[#This Row],['#_Non-functional latrines]]="",WWWW[[#This Row],['#_Non-functional latrines]]=0),0,WWWW[[#This Row],['#_Non-functional latrines]]/(WWWW[[#This Row],['#_Constructed latrines_by_WASHAgencies]]+WWWW[[#This Row],['#_Non Cluster partner latrines]]))</f>
        <v>0</v>
      </c>
      <c r="CU556" s="708">
        <f>IF(500*(WWWW[[#This Row],['#_male hygiene promoters]]+WWWW[[#This Row],['#_female hygiene promoters]])&gt;WWWW[[#This Row],[Total PoP ]],WWWW[[#This Row],[Total PoP ]],500*(WWWW[[#This Row],['#_male hygiene promoters]]+WWWW[[#This Row],['#_female hygiene promoters]]))</f>
        <v>371</v>
      </c>
      <c r="CV55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6" s="712">
        <f>IF(WWWW[[#This Row],['# People with access to soap]]&gt;WWWW[[#This Row],['# People with access to Sanity Pads]],WWWW[[#This Row],['# People with access to soap]],WWWW[[#This Row],['# People with access to Sanity Pads]])</f>
        <v>0</v>
      </c>
      <c r="CY556" s="712">
        <f>IF(WWWW[[#This Row],['# people reached by regular dedicated hygiene promotion_5]]&gt;WWWW[[#This Row],['# People received regular supply of hygiene items_6]],WWWW[[#This Row],['# people reached by regular dedicated hygiene promotion_5]],WWWW[[#This Row],['# People received regular supply of hygiene items_6]])</f>
        <v>371</v>
      </c>
      <c r="CZ556" s="714">
        <f>IF(WWWW[[#This Row],[HRP3]]/WWWW[[#This Row],[Total PoP ]]&gt;100%,100%,WWWW[[#This Row],[HRP3]]/WWWW[[#This Row],[Total PoP ]])</f>
        <v>1</v>
      </c>
      <c r="DA556" s="713">
        <f>1-WWWW[[#This Row],[Hygiene Coverage%]]</f>
        <v>0</v>
      </c>
      <c r="DB556" s="710">
        <f>WWWW[[#This Row],['# people reached by regular dedicated hygiene promotion_5]]/WWWW[[#This Row],[Total PoP ]]</f>
        <v>1</v>
      </c>
      <c r="DC556" s="710">
        <f>IF(WWWW[[#This Row],['#_households that received standard amount of soap for this quarter]]/WWWW[[#This Row],[Total HH]]&gt;1,1,WWWW[[#This Row],['#_households that received standard amount of soap for this quarter]]/WWWW[[#This Row],[Total HH]])</f>
        <v>0</v>
      </c>
      <c r="DD556" s="710">
        <f>IF(WWWW[[#This Row],['#_households that received standard amount of sanitary pads for this quarter]]/WWWW[[#This Row],[Total HH]]&gt;1,1,WWWW[[#This Row],['#_households that received standard amount of sanitary pads for this quarter]]/WWWW[[#This Row],[Total HH]])</f>
        <v>0</v>
      </c>
      <c r="DE556" s="712">
        <f>WWWW[[#This Row],['#_Constructed/Existing hand washing stations]]-WWWW[[#This Row],['#_Non-Functional_hand_washing_stations]]</f>
        <v>0</v>
      </c>
      <c r="DF556" s="757">
        <f>IF(WWWW[[#This Row],['# Functional hand washing stations during reporting period]]*20&gt;WWWW[[#This Row],[Total HH]],WWWW[[#This Row],[Total HH]],WWWW[[#This Row],['# Functional hand washing stations during reporting period]]*20)</f>
        <v>0</v>
      </c>
      <c r="DG556" s="708">
        <f>IF(WWWW[[#This Row],[Is sufficient soap available for TLS? (Yes/No)]]="yes",WWWW[[#This Row],['#_Constructed/Existing hand washing stations at TLS]],0)</f>
        <v>0</v>
      </c>
      <c r="DH556" s="759">
        <f>IF(WWWW[[#This Row],['# Functional hand washing stations during reporting period]]*100&gt;WWWW[[#This Row],[Total PoP ]],WWWW[[#This Row],[Total PoP ]],WWWW[[#This Row],['# Functional hand washing stations during reporting period]]*100)</f>
        <v>0</v>
      </c>
      <c r="DI556" s="759" t="str">
        <f>IF(OR(WWWW[[#This Row],['#_students at TLS_CFS]]="",WWWW[[#This Row],['#_students at TLS_CFS]]=0),"No","Yes")</f>
        <v>No</v>
      </c>
      <c r="DJ556" s="711" t="str">
        <f>VLOOKUP(WWWW[[#This Row],[Site Name]],SiteDB6[[Site Name]:[CCCM Management]],6,FALSE)</f>
        <v>Yes</v>
      </c>
      <c r="DK556" s="711" t="str">
        <f>VLOOKUP(WWWW[[#This Row],[Site Name]],SiteDB6[[Site Name]:[CCCM Focal Agency]],7,FALSE)</f>
        <v>Shalom</v>
      </c>
      <c r="DL556" s="711" t="str">
        <f>VLOOKUP(WWWW[[#This Row],[Site Name]],SiteDB6[[Site Name]:[Location Type 1]],9,FALSE)</f>
        <v>Camp</v>
      </c>
      <c r="DM556" s="711" t="str">
        <f>VLOOKUP(WWWW[[#This Row],[Site Name]],SiteDB6[[Site Name]:[Type of Accommodation]],10,FALSE)</f>
        <v>Camp</v>
      </c>
      <c r="DN556" s="711" t="str">
        <f>VLOOKUP(WWWW[[#This Row],[Site Name]],SiteDB6[[Site Name]:[Ethnic or GCA/NGCA]],11,FALSE)</f>
        <v>GCA</v>
      </c>
      <c r="DO556" s="711">
        <f>VLOOKUP(WWWW[[#This Row],[Site Name]],SiteDB6[[Site Name]:[Lat]],12,FALSE)</f>
        <v>25.635300000000001</v>
      </c>
      <c r="DP556" s="711">
        <f>VLOOKUP(WWWW[[#This Row],[Site Name]],SiteDB6[[Site Name]:[Long]],13,FALSE)</f>
        <v>96.345569999999995</v>
      </c>
      <c r="DQ556" s="711" t="str">
        <f>VLOOKUP(WWWW[[#This Row],[Site Name]],SiteDB6[[Site Name]:[Pcode]],3,FALSE)</f>
        <v>MMR001CMP176</v>
      </c>
      <c r="DR556" s="709" t="str">
        <f t="shared" si="21"/>
        <v>Covered</v>
      </c>
      <c r="DS556" s="709"/>
    </row>
    <row r="557" spans="1:123">
      <c r="A557" s="701" t="s">
        <v>2519</v>
      </c>
      <c r="B557" s="701" t="s">
        <v>149</v>
      </c>
      <c r="C557" s="702" t="s">
        <v>149</v>
      </c>
      <c r="D557" s="702" t="s">
        <v>3268</v>
      </c>
      <c r="E557" s="702" t="s">
        <v>39</v>
      </c>
      <c r="F557" s="702" t="s">
        <v>167</v>
      </c>
      <c r="G557" s="711" t="str">
        <f>VLOOKUP(WWWW[[#This Row],[Site Name]],SiteDB6[[Site Name]:[Location Type]],8,FALSE)</f>
        <v>Camp</v>
      </c>
      <c r="H557" s="702" t="s">
        <v>168</v>
      </c>
      <c r="I557" s="705">
        <v>43</v>
      </c>
      <c r="J557" s="705">
        <v>197</v>
      </c>
      <c r="K557" s="593" t="s">
        <v>3276</v>
      </c>
      <c r="L557" s="58" t="s">
        <v>3277</v>
      </c>
      <c r="M557" s="705"/>
      <c r="N557" s="705"/>
      <c r="O557" s="705"/>
      <c r="P557" s="705"/>
      <c r="Q557" s="708" t="s">
        <v>43</v>
      </c>
      <c r="R557" s="705"/>
      <c r="S557" s="705"/>
      <c r="T557" s="807">
        <v>0</v>
      </c>
      <c r="U557" s="705"/>
      <c r="V557" s="705"/>
      <c r="W557" s="705">
        <v>3</v>
      </c>
      <c r="X557" s="705"/>
      <c r="Y557" s="705"/>
      <c r="Z557" s="705"/>
      <c r="AA557" s="705"/>
      <c r="AB557" s="705"/>
      <c r="AC557" s="705"/>
      <c r="AD557" s="705"/>
      <c r="AE557" s="705"/>
      <c r="AF557" s="705"/>
      <c r="AG557" s="705"/>
      <c r="AH557" s="705">
        <v>3</v>
      </c>
      <c r="AI557" s="705"/>
      <c r="AJ557" s="705"/>
      <c r="AK557" s="705"/>
      <c r="AL557" s="705"/>
      <c r="AM557" s="705"/>
      <c r="AN557" s="705"/>
      <c r="AO557" s="709"/>
      <c r="AP557" s="705">
        <v>7</v>
      </c>
      <c r="AQ557" s="705"/>
      <c r="AR557" s="710"/>
      <c r="AS557" s="705"/>
      <c r="AT557" s="705"/>
      <c r="AU557" s="705">
        <v>9</v>
      </c>
      <c r="AV557" s="705"/>
      <c r="AW557" s="705">
        <v>7</v>
      </c>
      <c r="AX557" s="711" t="s">
        <v>43</v>
      </c>
      <c r="AY557" s="709" t="s">
        <v>145</v>
      </c>
      <c r="AZ557" s="705"/>
      <c r="BA557" s="705"/>
      <c r="BB557" s="705"/>
      <c r="BC557" s="711"/>
      <c r="BD557" s="705"/>
      <c r="BE557" s="705"/>
      <c r="BF557" s="705"/>
      <c r="BG557" s="705">
        <v>3</v>
      </c>
      <c r="BH557" s="705"/>
      <c r="BI557" s="705"/>
      <c r="BJ557" s="705">
        <v>2</v>
      </c>
      <c r="BK557" s="705"/>
      <c r="BL557" s="705"/>
      <c r="BM557" s="711"/>
      <c r="BN557" s="712"/>
      <c r="BO557" s="710"/>
      <c r="BP557" s="711"/>
      <c r="BQ557" s="713" t="str">
        <f>IFERROR(WWWW[[#This Row],['#_Water sources treated]]/WWWW[[#This Row],['#_Water sources tested for contamination]],"no test")</f>
        <v>no test</v>
      </c>
      <c r="BR557" s="710" t="str">
        <f>IFERROR(WWWW[[#This Row],['#_Household received remediation action due to contamination]]/WWWW[[#This Row],['#_Household water samples tested for contamination]],"no test")</f>
        <v>no test</v>
      </c>
      <c r="BS557" s="712" t="str">
        <f>IF(AND(WWWW[[#This Row],[% of water sources treated]]="no test",WWWW[[#This Row],[% Household received corrective actions]]="no test"),"No Test","Tested")</f>
        <v>No Test</v>
      </c>
      <c r="BT557" s="712">
        <f>WWWW[[#This Row],['#_Constructed/existing protected hand dug well]]-WWWW[[#This Row],['#_Non-functional protected hand dug well]]</f>
        <v>0</v>
      </c>
      <c r="BU557" s="712">
        <f>(WWWW[[#This Row],['#_Constructed/Existing tube wells/boreholes/handpumps_WASH_agency]]+WWWW[[#This Row],['#_Non-Cluster partner water tube-wells/boreholes/handpumps]])-WWWW[[#This Row],['#_Non-functional tube wells/boreholes/handpumps]]</f>
        <v>3</v>
      </c>
      <c r="BV557" s="712">
        <f>WWWW[[#This Row],['#_Constructed/Existingwater storage tank with gravity fed reticulation system]]-WWWW[[#This Row],['#_Non-functional storage tank gravity fed reticulation system]]</f>
        <v>0</v>
      </c>
      <c r="BW557" s="712">
        <f>WWWW[[#This Row],['#_Water boating or water trucking]]</f>
        <v>0</v>
      </c>
      <c r="BX557" s="712">
        <f>WWWW[[#This Row],['#_Constructed/Existing water distribution system from river or natural spring]]</f>
        <v>0</v>
      </c>
      <c r="BY55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5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57" s="710">
        <f>IF(WWWW[[#This Row],[Location Type 1]]="Village",WWWW[[#This Row],[Access to safe drinking water for Village]],WWWW[[#This Row],[Access to safe drinking water for Camp]])</f>
        <v>1</v>
      </c>
      <c r="CB557" s="708">
        <f>WWWW[[#This Row],[%Equitable and continuous access to sufficient quantity of safe drinking water]]*WWWW[[#This Row],[Total PoP ]]</f>
        <v>197</v>
      </c>
      <c r="CC557" s="710">
        <f>IF((WWWW[[#This Row],['#_Constructed/Existing protected/fenced ponds]]*250)/WWWW[[#This Row],[Total PoP ]]&gt;1,1,(WWWW[[#This Row],['#_Constructed/Existing protected/fenced ponds]]*250)/WWWW[[#This Row],[Total PoP ]])</f>
        <v>0</v>
      </c>
      <c r="CD557" s="708">
        <f>WWWW[[#This Row],[% Access to unimproved water points]]*WWWW[[#This Row],[Total PoP ]]</f>
        <v>0</v>
      </c>
      <c r="CE55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5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G557" s="708">
        <f>WWWW[[#This Row],[HRP1]]/500</f>
        <v>0.39400000000000002</v>
      </c>
      <c r="CH557" s="714">
        <f>1-WWWW[[#This Row],[% Equitable and continuous access to sufficient quantity of domestic water]]</f>
        <v>0</v>
      </c>
      <c r="CI557" s="708">
        <f>WWWW[[#This Row],[%equitable and continuous access to sufficient quantity of safe drinking and domestic water''s GAP]]*WWWW[[#This Row],[Total PoP ]]</f>
        <v>0</v>
      </c>
      <c r="CJ557" s="712">
        <f>IF(WWWW[[#This Row],[Total required water points]]-WWWW[[#This Row],['#Water points coverage]]&lt;0,0,WWWW[[#This Row],[Total required water points]]-WWWW[[#This Row],['#Water points coverage]])</f>
        <v>0.60599999999999998</v>
      </c>
      <c r="CK557" s="712">
        <f>ROUND(IF(WWWW[[#This Row],[Total PoP ]]&lt;500,1,WWWW[[#This Row],[Total PoP ]]/500),0)</f>
        <v>1</v>
      </c>
      <c r="CL557" s="712">
        <f>(WWWW[[#This Row],['#_Constructed latrines_by_WASHAgencies]]+WWWW[[#This Row],['#_Non Cluster partner latrines]])-WWWW[[#This Row],['#_Non-functional latrines]]</f>
        <v>7</v>
      </c>
      <c r="CM55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0.71065989847715738</v>
      </c>
      <c r="CN55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55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180</v>
      </c>
      <c r="CP557" s="712">
        <f>IF(WWWW[[#This Row],[Location Type 1]]="Village","NA",IF(WWWW[[#This Row],['#_Constructed/Existing latrines in TLS]]*50&gt;WWWW[[#This Row],['#_students at TLS_CFS]],WWWW[[#This Row],['#_students at TLS_CFS]],(WWWW[[#This Row],['#_Constructed/Existing latrines in TLS]]*50)))</f>
        <v>0</v>
      </c>
      <c r="CQ557" s="712">
        <f>ROUND(IF(WWWW[[#This Row],[Location Type 1]]="camp",WWWW[[#This Row],[Total PoP ]]/20,IF(WWWW[[#This Row],[Location Type 1]]="Temporary Location",WWWW[[#This Row],[Total PoP ]]/50,(WWWW[[#This Row],[Total PoP ]]/6))),0)</f>
        <v>10</v>
      </c>
      <c r="CR557" s="712">
        <f>IF(WWWW[[#This Row],[Total required Latrines]]-(WWWW[[#This Row],['#_Constructed latrines_by_WASHAgencies]]+WWWW[[#This Row],['#_Non Cluster partner latrines]])&lt;0,0,WWWW[[#This Row],[Total required Latrines]]-(WWWW[[#This Row],['#_Constructed latrines_by_WASHAgencies]]+WWWW[[#This Row],['#_Non Cluster partner latrines]]))</f>
        <v>3</v>
      </c>
      <c r="CS557" s="714">
        <f>1-WWWW[[#This Row],[% people access to functioning Latrine]]</f>
        <v>0.28934010152284262</v>
      </c>
      <c r="CT557" s="713">
        <f>IF(OR(WWWW[[#This Row],['#_Non-functional latrines]]="",WWWW[[#This Row],['#_Non-functional latrines]]=0),0,WWWW[[#This Row],['#_Non-functional latrines]]/(WWWW[[#This Row],['#_Constructed latrines_by_WASHAgencies]]+WWWW[[#This Row],['#_Non Cluster partner latrines]]))</f>
        <v>0</v>
      </c>
      <c r="CU557" s="708">
        <f>IF(500*(WWWW[[#This Row],['#_male hygiene promoters]]+WWWW[[#This Row],['#_female hygiene promoters]])&gt;WWWW[[#This Row],[Total PoP ]],WWWW[[#This Row],[Total PoP ]],500*(WWWW[[#This Row],['#_male hygiene promoters]]+WWWW[[#This Row],['#_female hygiene promoters]]))</f>
        <v>197</v>
      </c>
      <c r="CV55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7" s="712">
        <f>IF(WWWW[[#This Row],['# People with access to soap]]&gt;WWWW[[#This Row],['# People with access to Sanity Pads]],WWWW[[#This Row],['# People with access to soap]],WWWW[[#This Row],['# People with access to Sanity Pads]])</f>
        <v>0</v>
      </c>
      <c r="CY557" s="712">
        <f>IF(WWWW[[#This Row],['# people reached by regular dedicated hygiene promotion_5]]&gt;WWWW[[#This Row],['# People received regular supply of hygiene items_6]],WWWW[[#This Row],['# people reached by regular dedicated hygiene promotion_5]],WWWW[[#This Row],['# People received regular supply of hygiene items_6]])</f>
        <v>197</v>
      </c>
      <c r="CZ557" s="714">
        <f>IF(WWWW[[#This Row],[HRP3]]/WWWW[[#This Row],[Total PoP ]]&gt;100%,100%,WWWW[[#This Row],[HRP3]]/WWWW[[#This Row],[Total PoP ]])</f>
        <v>1</v>
      </c>
      <c r="DA557" s="713">
        <f>1-WWWW[[#This Row],[Hygiene Coverage%]]</f>
        <v>0</v>
      </c>
      <c r="DB557" s="710">
        <f>WWWW[[#This Row],['# people reached by regular dedicated hygiene promotion_5]]/WWWW[[#This Row],[Total PoP ]]</f>
        <v>1</v>
      </c>
      <c r="DC557" s="710">
        <f>IF(WWWW[[#This Row],['#_households that received standard amount of soap for this quarter]]/WWWW[[#This Row],[Total HH]]&gt;1,1,WWWW[[#This Row],['#_households that received standard amount of soap for this quarter]]/WWWW[[#This Row],[Total HH]])</f>
        <v>0</v>
      </c>
      <c r="DD557" s="710">
        <f>IF(WWWW[[#This Row],['#_households that received standard amount of sanitary pads for this quarter]]/WWWW[[#This Row],[Total HH]]&gt;1,1,WWWW[[#This Row],['#_households that received standard amount of sanitary pads for this quarter]]/WWWW[[#This Row],[Total HH]])</f>
        <v>0</v>
      </c>
      <c r="DE557" s="712">
        <f>WWWW[[#This Row],['#_Constructed/Existing hand washing stations]]-WWWW[[#This Row],['#_Non-Functional_hand_washing_stations]]</f>
        <v>0</v>
      </c>
      <c r="DF557" s="757">
        <f>IF(WWWW[[#This Row],['# Functional hand washing stations during reporting period]]*20&gt;WWWW[[#This Row],[Total HH]],WWWW[[#This Row],[Total HH]],WWWW[[#This Row],['# Functional hand washing stations during reporting period]]*20)</f>
        <v>0</v>
      </c>
      <c r="DG557" s="708">
        <f>IF(WWWW[[#This Row],[Is sufficient soap available for TLS? (Yes/No)]]="yes",WWWW[[#This Row],['#_Constructed/Existing hand washing stations at TLS]],0)</f>
        <v>0</v>
      </c>
      <c r="DH557" s="759">
        <f>IF(WWWW[[#This Row],['# Functional hand washing stations during reporting period]]*100&gt;WWWW[[#This Row],[Total PoP ]],WWWW[[#This Row],[Total PoP ]],WWWW[[#This Row],['# Functional hand washing stations during reporting period]]*100)</f>
        <v>0</v>
      </c>
      <c r="DI557" s="759" t="str">
        <f>IF(OR(WWWW[[#This Row],['#_students at TLS_CFS]]="",WWWW[[#This Row],['#_students at TLS_CFS]]=0),"No","Yes")</f>
        <v>No</v>
      </c>
      <c r="DJ557" s="711" t="str">
        <f>VLOOKUP(WWWW[[#This Row],[Site Name]],SiteDB6[[Site Name]:[CCCM Management]],6,FALSE)</f>
        <v>Yes</v>
      </c>
      <c r="DK557" s="711" t="str">
        <f>VLOOKUP(WWWW[[#This Row],[Site Name]],SiteDB6[[Site Name]:[CCCM Focal Agency]],7,FALSE)</f>
        <v>KBC</v>
      </c>
      <c r="DL557" s="711" t="str">
        <f>VLOOKUP(WWWW[[#This Row],[Site Name]],SiteDB6[[Site Name]:[Location Type 1]],9,FALSE)</f>
        <v>Camp</v>
      </c>
      <c r="DM557" s="711" t="str">
        <f>VLOOKUP(WWWW[[#This Row],[Site Name]],SiteDB6[[Site Name]:[Type of Accommodation]],10,FALSE)</f>
        <v>Camp</v>
      </c>
      <c r="DN557" s="711" t="str">
        <f>VLOOKUP(WWWW[[#This Row],[Site Name]],SiteDB6[[Site Name]:[Ethnic or GCA/NGCA]],11,FALSE)</f>
        <v>GCA</v>
      </c>
      <c r="DO557" s="711">
        <f>VLOOKUP(WWWW[[#This Row],[Site Name]],SiteDB6[[Site Name]:[Lat]],12,FALSE)</f>
        <v>25.395974089999999</v>
      </c>
      <c r="DP557" s="711">
        <f>VLOOKUP(WWWW[[#This Row],[Site Name]],SiteDB6[[Site Name]:[Long]],13,FALSE)</f>
        <v>97.382997579999994</v>
      </c>
      <c r="DQ557" s="711" t="str">
        <f>VLOOKUP(WWWW[[#This Row],[Site Name]],SiteDB6[[Site Name]:[Pcode]],3,FALSE)</f>
        <v>MMR001CMP010</v>
      </c>
      <c r="DR557" s="709" t="str">
        <f t="shared" si="21"/>
        <v>Covered</v>
      </c>
      <c r="DS557" s="709"/>
    </row>
    <row r="558" spans="1:123">
      <c r="A558" s="701" t="s">
        <v>2519</v>
      </c>
      <c r="B558" s="701" t="s">
        <v>250</v>
      </c>
      <c r="C558" s="702" t="s">
        <v>250</v>
      </c>
      <c r="D558" s="702" t="s">
        <v>315</v>
      </c>
      <c r="E558" s="702" t="s">
        <v>39</v>
      </c>
      <c r="F558" s="702" t="s">
        <v>156</v>
      </c>
      <c r="G558" s="711" t="str">
        <f>VLOOKUP(WWWW[[#This Row],[Site Name]],SiteDB6[[Site Name]:[Location Type]],8,FALSE)</f>
        <v>Camp</v>
      </c>
      <c r="H558" s="702" t="s">
        <v>257</v>
      </c>
      <c r="I558" s="705">
        <v>13</v>
      </c>
      <c r="J558" s="705">
        <v>83</v>
      </c>
      <c r="K558" s="706">
        <v>43313</v>
      </c>
      <c r="L558" s="707">
        <v>44043</v>
      </c>
      <c r="M558" s="705"/>
      <c r="N558" s="705">
        <v>1</v>
      </c>
      <c r="O558" s="705">
        <v>0</v>
      </c>
      <c r="P558" s="705">
        <v>0</v>
      </c>
      <c r="Q558" s="708" t="s">
        <v>43</v>
      </c>
      <c r="R558" s="705">
        <v>0</v>
      </c>
      <c r="S558" s="705">
        <v>1</v>
      </c>
      <c r="T558" s="807">
        <v>2</v>
      </c>
      <c r="U558" s="705"/>
      <c r="V558" s="705"/>
      <c r="W558" s="705">
        <v>0</v>
      </c>
      <c r="X558" s="705">
        <v>0</v>
      </c>
      <c r="Y558" s="705"/>
      <c r="Z558" s="705"/>
      <c r="AA558" s="705">
        <v>0</v>
      </c>
      <c r="AB558" s="705"/>
      <c r="AC558" s="705"/>
      <c r="AD558" s="705">
        <v>0</v>
      </c>
      <c r="AE558" s="705">
        <v>0</v>
      </c>
      <c r="AF558" s="705">
        <v>0</v>
      </c>
      <c r="AG558" s="705">
        <v>0</v>
      </c>
      <c r="AH558" s="705">
        <v>0</v>
      </c>
      <c r="AI558" s="705"/>
      <c r="AJ558" s="705"/>
      <c r="AK558" s="705"/>
      <c r="AL558" s="705"/>
      <c r="AM558" s="705">
        <v>0</v>
      </c>
      <c r="AN558" s="705">
        <v>0</v>
      </c>
      <c r="AO558" s="709"/>
      <c r="AP558" s="705">
        <v>4</v>
      </c>
      <c r="AQ558" s="705">
        <v>1</v>
      </c>
      <c r="AR558" s="710" t="s">
        <v>250</v>
      </c>
      <c r="AS558" s="705"/>
      <c r="AT558" s="705"/>
      <c r="AU558" s="705"/>
      <c r="AV558" s="705"/>
      <c r="AW558" s="705">
        <v>0</v>
      </c>
      <c r="AX558" s="711" t="s">
        <v>43</v>
      </c>
      <c r="AY558" s="709" t="s">
        <v>144</v>
      </c>
      <c r="AZ558" s="705">
        <v>0</v>
      </c>
      <c r="BA558" s="705">
        <v>0</v>
      </c>
      <c r="BB558" s="705">
        <v>0</v>
      </c>
      <c r="BC558" s="711"/>
      <c r="BD558" s="705">
        <v>3</v>
      </c>
      <c r="BE558" s="705"/>
      <c r="BF558" s="705">
        <v>0</v>
      </c>
      <c r="BG558" s="705">
        <v>1</v>
      </c>
      <c r="BH558" s="705"/>
      <c r="BI558" s="705">
        <v>1</v>
      </c>
      <c r="BJ558" s="705">
        <v>2</v>
      </c>
      <c r="BK558" s="705"/>
      <c r="BL558" s="705"/>
      <c r="BM558" s="711" t="s">
        <v>144</v>
      </c>
      <c r="BN558" s="712"/>
      <c r="BO558" s="710">
        <v>0.3</v>
      </c>
      <c r="BP558" s="711"/>
      <c r="BQ558" s="713" t="str">
        <f>IFERROR(WWWW[[#This Row],['#_Water sources treated]]/WWWW[[#This Row],['#_Water sources tested for contamination]],"no test")</f>
        <v>no test</v>
      </c>
      <c r="BR558" s="710" t="str">
        <f>IFERROR(WWWW[[#This Row],['#_Household received remediation action due to contamination]]/WWWW[[#This Row],['#_Household water samples tested for contamination]],"no test")</f>
        <v>no test</v>
      </c>
      <c r="BS558" s="712" t="str">
        <f>IF(AND(WWWW[[#This Row],[% of water sources treated]]="no test",WWWW[[#This Row],[% Household received corrective actions]]="no test"),"No Test","Tested")</f>
        <v>No Test</v>
      </c>
      <c r="BT558" s="712">
        <f>WWWW[[#This Row],['#_Constructed/existing protected hand dug well]]-WWWW[[#This Row],['#_Non-functional protected hand dug well]]</f>
        <v>2</v>
      </c>
      <c r="BU558" s="712">
        <f>(WWWW[[#This Row],['#_Constructed/Existing tube wells/boreholes/handpumps_WASH_agency]]+WWWW[[#This Row],['#_Non-Cluster partner water tube-wells/boreholes/handpumps]])-WWWW[[#This Row],['#_Non-functional tube wells/boreholes/handpumps]]</f>
        <v>0</v>
      </c>
      <c r="BV558" s="712">
        <f>WWWW[[#This Row],['#_Constructed/Existingwater storage tank with gravity fed reticulation system]]-WWWW[[#This Row],['#_Non-functional storage tank gravity fed reticulation system]]</f>
        <v>0</v>
      </c>
      <c r="BW558" s="712">
        <f>WWWW[[#This Row],['#_Water boating or water trucking]]</f>
        <v>0</v>
      </c>
      <c r="BX558" s="712">
        <f>WWWW[[#This Row],['#_Constructed/Existing water distribution system from river or natural spring]]</f>
        <v>0</v>
      </c>
      <c r="BY55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5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58" s="710">
        <f>IF(WWWW[[#This Row],[Location Type 1]]="Village",WWWW[[#This Row],[Access to safe drinking water for Village]],WWWW[[#This Row],[Access to safe drinking water for Camp]])</f>
        <v>1</v>
      </c>
      <c r="CB558" s="708">
        <f>WWWW[[#This Row],[%Equitable and continuous access to sufficient quantity of safe drinking water]]*WWWW[[#This Row],[Total PoP ]]</f>
        <v>83</v>
      </c>
      <c r="CC558" s="710">
        <f>IF((WWWW[[#This Row],['#_Constructed/Existing protected/fenced ponds]]*250)/WWWW[[#This Row],[Total PoP ]]&gt;1,1,(WWWW[[#This Row],['#_Constructed/Existing protected/fenced ponds]]*250)/WWWW[[#This Row],[Total PoP ]])</f>
        <v>0</v>
      </c>
      <c r="CD558" s="708">
        <f>WWWW[[#This Row],[% Access to unimproved water points]]*WWWW[[#This Row],[Total PoP ]]</f>
        <v>0</v>
      </c>
      <c r="CE55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5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G558" s="708">
        <f>WWWW[[#This Row],[HRP1]]/500</f>
        <v>0.16600000000000001</v>
      </c>
      <c r="CH558" s="714">
        <f>1-WWWW[[#This Row],[% Equitable and continuous access to sufficient quantity of domestic water]]</f>
        <v>0</v>
      </c>
      <c r="CI558" s="708">
        <f>WWWW[[#This Row],[%equitable and continuous access to sufficient quantity of safe drinking and domestic water''s GAP]]*WWWW[[#This Row],[Total PoP ]]</f>
        <v>0</v>
      </c>
      <c r="CJ558" s="712">
        <f>IF(WWWW[[#This Row],[Total required water points]]-WWWW[[#This Row],['#Water points coverage]]&lt;0,0,WWWW[[#This Row],[Total required water points]]-WWWW[[#This Row],['#Water points coverage]])</f>
        <v>0.83399999999999996</v>
      </c>
      <c r="CK558" s="712">
        <f>ROUND(IF(WWWW[[#This Row],[Total PoP ]]&lt;500,1,WWWW[[#This Row],[Total PoP ]]/500),0)</f>
        <v>1</v>
      </c>
      <c r="CL558" s="712">
        <f>(WWWW[[#This Row],['#_Constructed latrines_by_WASHAgencies]]+WWWW[[#This Row],['#_Non Cluster partner latrines]])-WWWW[[#This Row],['#_Non-functional latrines]]</f>
        <v>5</v>
      </c>
      <c r="CM55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5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83</v>
      </c>
      <c r="CO55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8" s="712">
        <f>IF(WWWW[[#This Row],[Location Type 1]]="Village","NA",IF(WWWW[[#This Row],['#_Constructed/Existing latrines in TLS]]*50&gt;WWWW[[#This Row],['#_students at TLS_CFS]],WWWW[[#This Row],['#_students at TLS_CFS]],(WWWW[[#This Row],['#_Constructed/Existing latrines in TLS]]*50)))</f>
        <v>0</v>
      </c>
      <c r="CQ558" s="712">
        <f>ROUND(IF(WWWW[[#This Row],[Location Type 1]]="camp",WWWW[[#This Row],[Total PoP ]]/20,IF(WWWW[[#This Row],[Location Type 1]]="Temporary Location",WWWW[[#This Row],[Total PoP ]]/50,(WWWW[[#This Row],[Total PoP ]]/6))),0)</f>
        <v>4</v>
      </c>
      <c r="CR558" s="712">
        <f>IF(WWWW[[#This Row],[Total required Latrines]]-(WWWW[[#This Row],['#_Constructed latrines_by_WASHAgencies]]+WWWW[[#This Row],['#_Non Cluster partner latrines]])&lt;0,0,WWWW[[#This Row],[Total required Latrines]]-(WWWW[[#This Row],['#_Constructed latrines_by_WASHAgencies]]+WWWW[[#This Row],['#_Non Cluster partner latrines]]))</f>
        <v>0</v>
      </c>
      <c r="CS558" s="714">
        <f>1-WWWW[[#This Row],[% people access to functioning Latrine]]</f>
        <v>0</v>
      </c>
      <c r="CT558" s="713">
        <f>IF(OR(WWWW[[#This Row],['#_Non-functional latrines]]="",WWWW[[#This Row],['#_Non-functional latrines]]=0),0,WWWW[[#This Row],['#_Non-functional latrines]]/(WWWW[[#This Row],['#_Constructed latrines_by_WASHAgencies]]+WWWW[[#This Row],['#_Non Cluster partner latrines]]))</f>
        <v>0</v>
      </c>
      <c r="CU558" s="708">
        <f>IF(500*(WWWW[[#This Row],['#_male hygiene promoters]]+WWWW[[#This Row],['#_female hygiene promoters]])&gt;WWWW[[#This Row],[Total PoP ]],WWWW[[#This Row],[Total PoP ]],500*(WWWW[[#This Row],['#_male hygiene promoters]]+WWWW[[#This Row],['#_female hygiene promoters]]))</f>
        <v>83</v>
      </c>
      <c r="CV55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8" s="712">
        <f>IF(WWWW[[#This Row],['# People with access to soap]]&gt;WWWW[[#This Row],['# People with access to Sanity Pads]],WWWW[[#This Row],['# People with access to soap]],WWWW[[#This Row],['# People with access to Sanity Pads]])</f>
        <v>0</v>
      </c>
      <c r="CY558" s="712">
        <f>IF(WWWW[[#This Row],['# people reached by regular dedicated hygiene promotion_5]]&gt;WWWW[[#This Row],['# People received regular supply of hygiene items_6]],WWWW[[#This Row],['# people reached by regular dedicated hygiene promotion_5]],WWWW[[#This Row],['# People received regular supply of hygiene items_6]])</f>
        <v>83</v>
      </c>
      <c r="CZ558" s="714">
        <f>IF(WWWW[[#This Row],[HRP3]]/WWWW[[#This Row],[Total PoP ]]&gt;100%,100%,WWWW[[#This Row],[HRP3]]/WWWW[[#This Row],[Total PoP ]])</f>
        <v>1</v>
      </c>
      <c r="DA558" s="713">
        <f>1-WWWW[[#This Row],[Hygiene Coverage%]]</f>
        <v>0</v>
      </c>
      <c r="DB558" s="710">
        <f>WWWW[[#This Row],['# people reached by regular dedicated hygiene promotion_5]]/WWWW[[#This Row],[Total PoP ]]</f>
        <v>1</v>
      </c>
      <c r="DC558" s="710">
        <f>IF(WWWW[[#This Row],['#_households that received standard amount of soap for this quarter]]/WWWW[[#This Row],[Total HH]]&gt;1,1,WWWW[[#This Row],['#_households that received standard amount of soap for this quarter]]/WWWW[[#This Row],[Total HH]])</f>
        <v>0</v>
      </c>
      <c r="DD558" s="710">
        <f>IF(WWWW[[#This Row],['#_households that received standard amount of sanitary pads for this quarter]]/WWWW[[#This Row],[Total HH]]&gt;1,1,WWWW[[#This Row],['#_households that received standard amount of sanitary pads for this quarter]]/WWWW[[#This Row],[Total HH]])</f>
        <v>0</v>
      </c>
      <c r="DE558" s="712">
        <f>WWWW[[#This Row],['#_Constructed/Existing hand washing stations]]-WWWW[[#This Row],['#_Non-Functional_hand_washing_stations]]</f>
        <v>3</v>
      </c>
      <c r="DF558" s="757">
        <f>IF(WWWW[[#This Row],['# Functional hand washing stations during reporting period]]*20&gt;WWWW[[#This Row],[Total HH]],WWWW[[#This Row],[Total HH]],WWWW[[#This Row],['# Functional hand washing stations during reporting period]]*20)</f>
        <v>13</v>
      </c>
      <c r="DG558" s="708">
        <f>IF(WWWW[[#This Row],[Is sufficient soap available for TLS? (Yes/No)]]="yes",WWWW[[#This Row],['#_Constructed/Existing hand washing stations at TLS]],0)</f>
        <v>0</v>
      </c>
      <c r="DH558" s="759">
        <f>IF(WWWW[[#This Row],['# Functional hand washing stations during reporting period]]*100&gt;WWWW[[#This Row],[Total PoP ]],WWWW[[#This Row],[Total PoP ]],WWWW[[#This Row],['# Functional hand washing stations during reporting period]]*100)</f>
        <v>83</v>
      </c>
      <c r="DI558" s="759" t="str">
        <f>IF(OR(WWWW[[#This Row],['#_students at TLS_CFS]]="",WWWW[[#This Row],['#_students at TLS_CFS]]=0),"No","Yes")</f>
        <v>No</v>
      </c>
      <c r="DJ558" s="711" t="str">
        <f>VLOOKUP(WWWW[[#This Row],[Site Name]],SiteDB6[[Site Name]:[CCCM Management]],6,FALSE)</f>
        <v>Yes</v>
      </c>
      <c r="DK558" s="711" t="str">
        <f>VLOOKUP(WWWW[[#This Row],[Site Name]],SiteDB6[[Site Name]:[CCCM Focal Agency]],7,FALSE)</f>
        <v>Shalom</v>
      </c>
      <c r="DL558" s="711" t="str">
        <f>VLOOKUP(WWWW[[#This Row],[Site Name]],SiteDB6[[Site Name]:[Location Type 1]],9,FALSE)</f>
        <v>Camp</v>
      </c>
      <c r="DM558" s="711" t="str">
        <f>VLOOKUP(WWWW[[#This Row],[Site Name]],SiteDB6[[Site Name]:[Type of Accommodation]],10,FALSE)</f>
        <v>Camp</v>
      </c>
      <c r="DN558" s="711" t="str">
        <f>VLOOKUP(WWWW[[#This Row],[Site Name]],SiteDB6[[Site Name]:[Ethnic or GCA/NGCA]],11,FALSE)</f>
        <v>GCA</v>
      </c>
      <c r="DO558" s="711">
        <f>VLOOKUP(WWWW[[#This Row],[Site Name]],SiteDB6[[Site Name]:[Lat]],12,FALSE)</f>
        <v>25.616509000000001</v>
      </c>
      <c r="DP558" s="711">
        <f>VLOOKUP(WWWW[[#This Row],[Site Name]],SiteDB6[[Site Name]:[Long]],13,FALSE)</f>
        <v>96.317350000000005</v>
      </c>
      <c r="DQ558" s="711" t="str">
        <f>VLOOKUP(WWWW[[#This Row],[Site Name]],SiteDB6[[Site Name]:[Pcode]],3,FALSE)</f>
        <v>MMR001CMP190</v>
      </c>
      <c r="DR558" s="709" t="str">
        <f t="shared" si="21"/>
        <v>Covered</v>
      </c>
      <c r="DS558" s="709"/>
    </row>
    <row r="559" spans="1:123">
      <c r="A559" s="701" t="s">
        <v>2519</v>
      </c>
      <c r="B559" s="701" t="s">
        <v>317</v>
      </c>
      <c r="C559" s="702" t="s">
        <v>317</v>
      </c>
      <c r="D559" s="702"/>
      <c r="E559" s="702" t="s">
        <v>39</v>
      </c>
      <c r="F559" s="702" t="s">
        <v>156</v>
      </c>
      <c r="G559" s="711" t="str">
        <f>VLOOKUP(WWWW[[#This Row],[Site Name]],SiteDB6[[Site Name]:[Location Type]],8,FALSE)</f>
        <v>Camp</v>
      </c>
      <c r="H559" s="702" t="s">
        <v>238</v>
      </c>
      <c r="I559" s="705">
        <v>70</v>
      </c>
      <c r="J559" s="705">
        <v>350</v>
      </c>
      <c r="K559" s="706"/>
      <c r="L559" s="707"/>
      <c r="M559" s="705"/>
      <c r="N559" s="705"/>
      <c r="O559" s="705"/>
      <c r="P559" s="705"/>
      <c r="Q559" s="708"/>
      <c r="R559" s="705"/>
      <c r="S559" s="705"/>
      <c r="T559" s="807"/>
      <c r="U559" s="705"/>
      <c r="V559" s="705"/>
      <c r="W559" s="705"/>
      <c r="X559" s="705"/>
      <c r="Y559" s="705"/>
      <c r="Z559" s="705"/>
      <c r="AA559" s="705"/>
      <c r="AB559" s="705"/>
      <c r="AC559" s="705"/>
      <c r="AD559" s="705"/>
      <c r="AE559" s="705"/>
      <c r="AF559" s="705"/>
      <c r="AG559" s="705"/>
      <c r="AH559" s="705"/>
      <c r="AI559" s="705"/>
      <c r="AJ559" s="705"/>
      <c r="AK559" s="705"/>
      <c r="AL559" s="705"/>
      <c r="AM559" s="705"/>
      <c r="AN559" s="705"/>
      <c r="AO559" s="709"/>
      <c r="AP559" s="705"/>
      <c r="AQ559" s="705"/>
      <c r="AR559" s="710"/>
      <c r="AS559" s="705"/>
      <c r="AT559" s="705"/>
      <c r="AU559" s="705"/>
      <c r="AV559" s="705"/>
      <c r="AW559" s="705"/>
      <c r="AX559" s="711"/>
      <c r="AY559" s="709"/>
      <c r="AZ559" s="705"/>
      <c r="BA559" s="705"/>
      <c r="BB559" s="705"/>
      <c r="BC559" s="711"/>
      <c r="BD559" s="705"/>
      <c r="BE559" s="705"/>
      <c r="BF559" s="705"/>
      <c r="BG559" s="705"/>
      <c r="BH559" s="705"/>
      <c r="BI559" s="705"/>
      <c r="BJ559" s="705"/>
      <c r="BK559" s="705"/>
      <c r="BL559" s="705"/>
      <c r="BM559" s="711"/>
      <c r="BN559" s="712"/>
      <c r="BO559" s="710"/>
      <c r="BP559" s="711"/>
      <c r="BQ559" s="713" t="str">
        <f>IFERROR(WWWW[[#This Row],['#_Water sources treated]]/WWWW[[#This Row],['#_Water sources tested for contamination]],"no test")</f>
        <v>no test</v>
      </c>
      <c r="BR559" s="710" t="str">
        <f>IFERROR(WWWW[[#This Row],['#_Household received remediation action due to contamination]]/WWWW[[#This Row],['#_Household water samples tested for contamination]],"no test")</f>
        <v>no test</v>
      </c>
      <c r="BS559" s="712" t="str">
        <f>IF(AND(WWWW[[#This Row],[% of water sources treated]]="no test",WWWW[[#This Row],[% Household received corrective actions]]="no test"),"No Test","Tested")</f>
        <v>No Test</v>
      </c>
      <c r="BT559" s="712">
        <f>WWWW[[#This Row],['#_Constructed/existing protected hand dug well]]-WWWW[[#This Row],['#_Non-functional protected hand dug well]]</f>
        <v>0</v>
      </c>
      <c r="BU559" s="712">
        <f>(WWWW[[#This Row],['#_Constructed/Existing tube wells/boreholes/handpumps_WASH_agency]]+WWWW[[#This Row],['#_Non-Cluster partner water tube-wells/boreholes/handpumps]])-WWWW[[#This Row],['#_Non-functional tube wells/boreholes/handpumps]]</f>
        <v>0</v>
      </c>
      <c r="BV559" s="712">
        <f>WWWW[[#This Row],['#_Constructed/Existingwater storage tank with gravity fed reticulation system]]-WWWW[[#This Row],['#_Non-functional storage tank gravity fed reticulation system]]</f>
        <v>0</v>
      </c>
      <c r="BW559" s="712">
        <f>WWWW[[#This Row],['#_Water boating or water trucking]]</f>
        <v>0</v>
      </c>
      <c r="BX559" s="712">
        <f>WWWW[[#This Row],['#_Constructed/Existing water distribution system from river or natural spring]]</f>
        <v>0</v>
      </c>
      <c r="BY55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5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59" s="710">
        <f>IF(WWWW[[#This Row],[Location Type 1]]="Village",WWWW[[#This Row],[Access to safe drinking water for Village]],WWWW[[#This Row],[Access to safe drinking water for Camp]])</f>
        <v>0</v>
      </c>
      <c r="CB559" s="708">
        <f>WWWW[[#This Row],[%Equitable and continuous access to sufficient quantity of safe drinking water]]*WWWW[[#This Row],[Total PoP ]]</f>
        <v>0</v>
      </c>
      <c r="CC559" s="710">
        <f>IF((WWWW[[#This Row],['#_Constructed/Existing protected/fenced ponds]]*250)/WWWW[[#This Row],[Total PoP ]]&gt;1,1,(WWWW[[#This Row],['#_Constructed/Existing protected/fenced ponds]]*250)/WWWW[[#This Row],[Total PoP ]])</f>
        <v>0</v>
      </c>
      <c r="CD559" s="708">
        <f>WWWW[[#This Row],[% Access to unimproved water points]]*WWWW[[#This Row],[Total PoP ]]</f>
        <v>0</v>
      </c>
      <c r="CE55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5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59" s="708">
        <f>WWWW[[#This Row],[HRP1]]/500</f>
        <v>0</v>
      </c>
      <c r="CH559" s="714">
        <f>1-WWWW[[#This Row],[% Equitable and continuous access to sufficient quantity of domestic water]]</f>
        <v>1</v>
      </c>
      <c r="CI559" s="708">
        <f>WWWW[[#This Row],[%equitable and continuous access to sufficient quantity of safe drinking and domestic water''s GAP]]*WWWW[[#This Row],[Total PoP ]]</f>
        <v>350</v>
      </c>
      <c r="CJ559" s="712">
        <f>IF(WWWW[[#This Row],[Total required water points]]-WWWW[[#This Row],['#Water points coverage]]&lt;0,0,WWWW[[#This Row],[Total required water points]]-WWWW[[#This Row],['#Water points coverage]])</f>
        <v>1</v>
      </c>
      <c r="CK559" s="712">
        <f>ROUND(IF(WWWW[[#This Row],[Total PoP ]]&lt;500,1,WWWW[[#This Row],[Total PoP ]]/500),0)</f>
        <v>1</v>
      </c>
      <c r="CL559" s="712">
        <f>(WWWW[[#This Row],['#_Constructed latrines_by_WASHAgencies]]+WWWW[[#This Row],['#_Non Cluster partner latrines]])-WWWW[[#This Row],['#_Non-functional latrines]]</f>
        <v>0</v>
      </c>
      <c r="CM55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5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5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59" s="712">
        <f>IF(WWWW[[#This Row],[Location Type 1]]="Village","NA",IF(WWWW[[#This Row],['#_Constructed/Existing latrines in TLS]]*50&gt;WWWW[[#This Row],['#_students at TLS_CFS]],WWWW[[#This Row],['#_students at TLS_CFS]],(WWWW[[#This Row],['#_Constructed/Existing latrines in TLS]]*50)))</f>
        <v>0</v>
      </c>
      <c r="CQ559" s="712">
        <f>ROUND(IF(WWWW[[#This Row],[Location Type 1]]="camp",WWWW[[#This Row],[Total PoP ]]/20,IF(WWWW[[#This Row],[Location Type 1]]="Temporary Location",WWWW[[#This Row],[Total PoP ]]/50,(WWWW[[#This Row],[Total PoP ]]/6))),0)</f>
        <v>18</v>
      </c>
      <c r="CR559" s="712">
        <f>IF(WWWW[[#This Row],[Total required Latrines]]-(WWWW[[#This Row],['#_Constructed latrines_by_WASHAgencies]]+WWWW[[#This Row],['#_Non Cluster partner latrines]])&lt;0,0,WWWW[[#This Row],[Total required Latrines]]-(WWWW[[#This Row],['#_Constructed latrines_by_WASHAgencies]]+WWWW[[#This Row],['#_Non Cluster partner latrines]]))</f>
        <v>18</v>
      </c>
      <c r="CS559" s="714">
        <f>1-WWWW[[#This Row],[% people access to functioning Latrine]]</f>
        <v>1</v>
      </c>
      <c r="CT559" s="713">
        <f>IF(OR(WWWW[[#This Row],['#_Non-functional latrines]]="",WWWW[[#This Row],['#_Non-functional latrines]]=0),0,WWWW[[#This Row],['#_Non-functional latrines]]/(WWWW[[#This Row],['#_Constructed latrines_by_WASHAgencies]]+WWWW[[#This Row],['#_Non Cluster partner latrines]]))</f>
        <v>0</v>
      </c>
      <c r="CU559" s="708">
        <f>IF(500*(WWWW[[#This Row],['#_male hygiene promoters]]+WWWW[[#This Row],['#_female hygiene promoters]])&gt;WWWW[[#This Row],[Total PoP ]],WWWW[[#This Row],[Total PoP ]],500*(WWWW[[#This Row],['#_male hygiene promoters]]+WWWW[[#This Row],['#_female hygiene promoters]]))</f>
        <v>0</v>
      </c>
      <c r="CV55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5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59" s="712">
        <f>IF(WWWW[[#This Row],['# People with access to soap]]&gt;WWWW[[#This Row],['# People with access to Sanity Pads]],WWWW[[#This Row],['# People with access to soap]],WWWW[[#This Row],['# People with access to Sanity Pads]])</f>
        <v>0</v>
      </c>
      <c r="CY55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59" s="714">
        <f>IF(WWWW[[#This Row],[HRP3]]/WWWW[[#This Row],[Total PoP ]]&gt;100%,100%,WWWW[[#This Row],[HRP3]]/WWWW[[#This Row],[Total PoP ]])</f>
        <v>0</v>
      </c>
      <c r="DA559" s="713">
        <f>1-WWWW[[#This Row],[Hygiene Coverage%]]</f>
        <v>1</v>
      </c>
      <c r="DB559" s="710">
        <f>WWWW[[#This Row],['# people reached by regular dedicated hygiene promotion_5]]/WWWW[[#This Row],[Total PoP ]]</f>
        <v>0</v>
      </c>
      <c r="DC559" s="710">
        <f>IF(WWWW[[#This Row],['#_households that received standard amount of soap for this quarter]]/WWWW[[#This Row],[Total HH]]&gt;1,1,WWWW[[#This Row],['#_households that received standard amount of soap for this quarter]]/WWWW[[#This Row],[Total HH]])</f>
        <v>0</v>
      </c>
      <c r="DD559" s="710">
        <f>IF(WWWW[[#This Row],['#_households that received standard amount of sanitary pads for this quarter]]/WWWW[[#This Row],[Total HH]]&gt;1,1,WWWW[[#This Row],['#_households that received standard amount of sanitary pads for this quarter]]/WWWW[[#This Row],[Total HH]])</f>
        <v>0</v>
      </c>
      <c r="DE559" s="712">
        <f>WWWW[[#This Row],['#_Constructed/Existing hand washing stations]]-WWWW[[#This Row],['#_Non-Functional_hand_washing_stations]]</f>
        <v>0</v>
      </c>
      <c r="DF559" s="757">
        <f>IF(WWWW[[#This Row],['# Functional hand washing stations during reporting period]]*20&gt;WWWW[[#This Row],[Total HH]],WWWW[[#This Row],[Total HH]],WWWW[[#This Row],['# Functional hand washing stations during reporting period]]*20)</f>
        <v>0</v>
      </c>
      <c r="DG559" s="708">
        <f>IF(WWWW[[#This Row],[Is sufficient soap available for TLS? (Yes/No)]]="yes",WWWW[[#This Row],['#_Constructed/Existing hand washing stations at TLS]],0)</f>
        <v>0</v>
      </c>
      <c r="DH559" s="759">
        <f>IF(WWWW[[#This Row],['# Functional hand washing stations during reporting period]]*100&gt;WWWW[[#This Row],[Total PoP ]],WWWW[[#This Row],[Total PoP ]],WWWW[[#This Row],['# Functional hand washing stations during reporting period]]*100)</f>
        <v>0</v>
      </c>
      <c r="DI559" s="759" t="str">
        <f>IF(OR(WWWW[[#This Row],['#_students at TLS_CFS]]="",WWWW[[#This Row],['#_students at TLS_CFS]]=0),"No","Yes")</f>
        <v>No</v>
      </c>
      <c r="DJ559" s="711" t="str">
        <f>VLOOKUP(WWWW[[#This Row],[Site Name]],SiteDB6[[Site Name]:[CCCM Management]],6,FALSE)</f>
        <v>Yes</v>
      </c>
      <c r="DK559" s="711" t="str">
        <f>VLOOKUP(WWWW[[#This Row],[Site Name]],SiteDB6[[Site Name]:[CCCM Focal Agency]],7,FALSE)</f>
        <v>KMSS-MYT</v>
      </c>
      <c r="DL559" s="711" t="str">
        <f>VLOOKUP(WWWW[[#This Row],[Site Name]],SiteDB6[[Site Name]:[Location Type 1]],9,FALSE)</f>
        <v>Camp</v>
      </c>
      <c r="DM559" s="711" t="str">
        <f>VLOOKUP(WWWW[[#This Row],[Site Name]],SiteDB6[[Site Name]:[Type of Accommodation]],10,FALSE)</f>
        <v>Camp</v>
      </c>
      <c r="DN559" s="711" t="str">
        <f>VLOOKUP(WWWW[[#This Row],[Site Name]],SiteDB6[[Site Name]:[Ethnic or GCA/NGCA]],11,FALSE)</f>
        <v>GCA</v>
      </c>
      <c r="DO559" s="711">
        <f>VLOOKUP(WWWW[[#This Row],[Site Name]],SiteDB6[[Site Name]:[Lat]],12,FALSE)</f>
        <v>25.656009999999998</v>
      </c>
      <c r="DP559" s="711">
        <f>VLOOKUP(WWWW[[#This Row],[Site Name]],SiteDB6[[Site Name]:[Long]],13,FALSE)</f>
        <v>96.361609999999999</v>
      </c>
      <c r="DQ559" s="711" t="str">
        <f>VLOOKUP(WWWW[[#This Row],[Site Name]],SiteDB6[[Site Name]:[Pcode]],3,FALSE)</f>
        <v>MMR001CMP168</v>
      </c>
      <c r="DR559" s="709" t="str">
        <f t="shared" si="21"/>
        <v>Notcovered</v>
      </c>
      <c r="DS559" s="709"/>
    </row>
    <row r="560" spans="1:123">
      <c r="A560" s="701" t="s">
        <v>2519</v>
      </c>
      <c r="B560" s="701" t="s">
        <v>200</v>
      </c>
      <c r="C560" s="702" t="s">
        <v>200</v>
      </c>
      <c r="D560" s="702" t="s">
        <v>2960</v>
      </c>
      <c r="E560" s="702" t="s">
        <v>39</v>
      </c>
      <c r="F560" s="702" t="s">
        <v>213</v>
      </c>
      <c r="G560" s="711" t="str">
        <f>VLOOKUP(WWWW[[#This Row],[Site Name]],SiteDB6[[Site Name]:[Location Type]],8,FALSE)</f>
        <v>Camp_not registered</v>
      </c>
      <c r="H560" s="702" t="s">
        <v>215</v>
      </c>
      <c r="I560" s="705">
        <v>17</v>
      </c>
      <c r="J560" s="705">
        <v>106</v>
      </c>
      <c r="K560" s="706">
        <v>43466</v>
      </c>
      <c r="L560" s="707">
        <v>43830</v>
      </c>
      <c r="M560" s="705"/>
      <c r="N560" s="705"/>
      <c r="O560" s="705"/>
      <c r="P560" s="705"/>
      <c r="Q560" s="708" t="s">
        <v>144</v>
      </c>
      <c r="R560" s="705"/>
      <c r="S560" s="705"/>
      <c r="T560" s="807">
        <v>1</v>
      </c>
      <c r="U560" s="705"/>
      <c r="V560" s="705"/>
      <c r="W560" s="705"/>
      <c r="X560" s="705"/>
      <c r="Y560" s="705"/>
      <c r="Z560" s="705"/>
      <c r="AA560" s="705"/>
      <c r="AB560" s="705"/>
      <c r="AC560" s="705"/>
      <c r="AD560" s="705"/>
      <c r="AE560" s="705"/>
      <c r="AF560" s="705"/>
      <c r="AG560" s="705"/>
      <c r="AH560" s="705"/>
      <c r="AI560" s="705"/>
      <c r="AJ560" s="705"/>
      <c r="AK560" s="705"/>
      <c r="AL560" s="705"/>
      <c r="AM560" s="705"/>
      <c r="AN560" s="705"/>
      <c r="AO560" s="709"/>
      <c r="AP560" s="705">
        <v>4</v>
      </c>
      <c r="AQ560" s="705"/>
      <c r="AR560" s="710"/>
      <c r="AS560" s="705">
        <v>1</v>
      </c>
      <c r="AT560" s="705"/>
      <c r="AU560" s="705"/>
      <c r="AV560" s="705"/>
      <c r="AW560" s="705"/>
      <c r="AX560" s="711" t="s">
        <v>43</v>
      </c>
      <c r="AY560" s="709" t="s">
        <v>145</v>
      </c>
      <c r="AZ560" s="705"/>
      <c r="BA560" s="705"/>
      <c r="BB560" s="705"/>
      <c r="BC560" s="711"/>
      <c r="BD560" s="705">
        <v>2</v>
      </c>
      <c r="BE560" s="705"/>
      <c r="BF560" s="705"/>
      <c r="BG560" s="705">
        <v>2</v>
      </c>
      <c r="BH560" s="705"/>
      <c r="BI560" s="705"/>
      <c r="BJ560" s="705"/>
      <c r="BK560" s="705">
        <v>13</v>
      </c>
      <c r="BL560" s="705">
        <v>3</v>
      </c>
      <c r="BM560" s="711"/>
      <c r="BN560" s="712"/>
      <c r="BO560" s="710"/>
      <c r="BP560" s="711"/>
      <c r="BQ560" s="713" t="str">
        <f>IFERROR(WWWW[[#This Row],['#_Water sources treated]]/WWWW[[#This Row],['#_Water sources tested for contamination]],"no test")</f>
        <v>no test</v>
      </c>
      <c r="BR560" s="710" t="str">
        <f>IFERROR(WWWW[[#This Row],['#_Household received remediation action due to contamination]]/WWWW[[#This Row],['#_Household water samples tested for contamination]],"no test")</f>
        <v>no test</v>
      </c>
      <c r="BS560" s="712" t="str">
        <f>IF(AND(WWWW[[#This Row],[% of water sources treated]]="no test",WWWW[[#This Row],[% Household received corrective actions]]="no test"),"No Test","Tested")</f>
        <v>No Test</v>
      </c>
      <c r="BT560" s="712">
        <f>WWWW[[#This Row],['#_Constructed/existing protected hand dug well]]-WWWW[[#This Row],['#_Non-functional protected hand dug well]]</f>
        <v>1</v>
      </c>
      <c r="BU560" s="712">
        <f>(WWWW[[#This Row],['#_Constructed/Existing tube wells/boreholes/handpumps_WASH_agency]]+WWWW[[#This Row],['#_Non-Cluster partner water tube-wells/boreholes/handpumps]])-WWWW[[#This Row],['#_Non-functional tube wells/boreholes/handpumps]]</f>
        <v>0</v>
      </c>
      <c r="BV560" s="712">
        <f>WWWW[[#This Row],['#_Constructed/Existingwater storage tank with gravity fed reticulation system]]-WWWW[[#This Row],['#_Non-functional storage tank gravity fed reticulation system]]</f>
        <v>0</v>
      </c>
      <c r="BW560" s="712">
        <f>WWWW[[#This Row],['#_Water boating or water trucking]]</f>
        <v>0</v>
      </c>
      <c r="BX560" s="712">
        <f>WWWW[[#This Row],['#_Constructed/Existing water distribution system from river or natural spring]]</f>
        <v>0</v>
      </c>
      <c r="BY56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6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60" s="710">
        <f>IF(WWWW[[#This Row],[Location Type 1]]="Village",WWWW[[#This Row],[Access to safe drinking water for Village]],WWWW[[#This Row],[Access to safe drinking water for Camp]])</f>
        <v>1</v>
      </c>
      <c r="CB560" s="708">
        <f>WWWW[[#This Row],[%Equitable and continuous access to sufficient quantity of safe drinking water]]*WWWW[[#This Row],[Total PoP ]]</f>
        <v>106</v>
      </c>
      <c r="CC560" s="710">
        <f>IF((WWWW[[#This Row],['#_Constructed/Existing protected/fenced ponds]]*250)/WWWW[[#This Row],[Total PoP ]]&gt;1,1,(WWWW[[#This Row],['#_Constructed/Existing protected/fenced ponds]]*250)/WWWW[[#This Row],[Total PoP ]])</f>
        <v>0</v>
      </c>
      <c r="CD560" s="708">
        <f>WWWW[[#This Row],[% Access to unimproved water points]]*WWWW[[#This Row],[Total PoP ]]</f>
        <v>0</v>
      </c>
      <c r="CE56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6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G560" s="708">
        <f>WWWW[[#This Row],[HRP1]]/500</f>
        <v>0.21199999999999999</v>
      </c>
      <c r="CH560" s="714">
        <f>1-WWWW[[#This Row],[% Equitable and continuous access to sufficient quantity of domestic water]]</f>
        <v>0</v>
      </c>
      <c r="CI560" s="708">
        <f>WWWW[[#This Row],[%equitable and continuous access to sufficient quantity of safe drinking and domestic water''s GAP]]*WWWW[[#This Row],[Total PoP ]]</f>
        <v>0</v>
      </c>
      <c r="CJ560" s="712">
        <f>IF(WWWW[[#This Row],[Total required water points]]-WWWW[[#This Row],['#Water points coverage]]&lt;0,0,WWWW[[#This Row],[Total required water points]]-WWWW[[#This Row],['#Water points coverage]])</f>
        <v>0.78800000000000003</v>
      </c>
      <c r="CK560" s="712">
        <f>ROUND(IF(WWWW[[#This Row],[Total PoP ]]&lt;500,1,WWWW[[#This Row],[Total PoP ]]/500),0)</f>
        <v>1</v>
      </c>
      <c r="CL560" s="712">
        <f>(WWWW[[#This Row],['#_Constructed latrines_by_WASHAgencies]]+WWWW[[#This Row],['#_Non Cluster partner latrines]])-WWWW[[#This Row],['#_Non-functional latrines]]</f>
        <v>3</v>
      </c>
      <c r="CM56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0.56603773584905659</v>
      </c>
      <c r="CN56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60</v>
      </c>
      <c r="CO56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0" s="712">
        <f>IF(WWWW[[#This Row],[Location Type 1]]="Village","NA",IF(WWWW[[#This Row],['#_Constructed/Existing latrines in TLS]]*50&gt;WWWW[[#This Row],['#_students at TLS_CFS]],WWWW[[#This Row],['#_students at TLS_CFS]],(WWWW[[#This Row],['#_Constructed/Existing latrines in TLS]]*50)))</f>
        <v>0</v>
      </c>
      <c r="CQ560" s="712">
        <f>ROUND(IF(WWWW[[#This Row],[Location Type 1]]="camp",WWWW[[#This Row],[Total PoP ]]/20,IF(WWWW[[#This Row],[Location Type 1]]="Temporary Location",WWWW[[#This Row],[Total PoP ]]/50,(WWWW[[#This Row],[Total PoP ]]/6))),0)</f>
        <v>5</v>
      </c>
      <c r="CR560" s="712">
        <f>IF(WWWW[[#This Row],[Total required Latrines]]-(WWWW[[#This Row],['#_Constructed latrines_by_WASHAgencies]]+WWWW[[#This Row],['#_Non Cluster partner latrines]])&lt;0,0,WWWW[[#This Row],[Total required Latrines]]-(WWWW[[#This Row],['#_Constructed latrines_by_WASHAgencies]]+WWWW[[#This Row],['#_Non Cluster partner latrines]]))</f>
        <v>1</v>
      </c>
      <c r="CS560" s="714">
        <f>1-WWWW[[#This Row],[% people access to functioning Latrine]]</f>
        <v>0.43396226415094341</v>
      </c>
      <c r="CT560" s="713">
        <f>IF(OR(WWWW[[#This Row],['#_Non-functional latrines]]="",WWWW[[#This Row],['#_Non-functional latrines]]=0),0,WWWW[[#This Row],['#_Non-functional latrines]]/(WWWW[[#This Row],['#_Constructed latrines_by_WASHAgencies]]+WWWW[[#This Row],['#_Non Cluster partner latrines]]))</f>
        <v>0.25</v>
      </c>
      <c r="CU560" s="708">
        <f>IF(500*(WWWW[[#This Row],['#_male hygiene promoters]]+WWWW[[#This Row],['#_female hygiene promoters]])&gt;WWWW[[#This Row],[Total PoP ]],WWWW[[#This Row],[Total PoP ]],500*(WWWW[[#This Row],['#_male hygiene promoters]]+WWWW[[#This Row],['#_female hygiene promoters]]))</f>
        <v>0</v>
      </c>
      <c r="CV56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v>
      </c>
      <c r="CW56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v>
      </c>
      <c r="CX560" s="712">
        <f>IF(WWWW[[#This Row],['# People with access to soap]]&gt;WWWW[[#This Row],['# People with access to Sanity Pads]],WWWW[[#This Row],['# People with access to soap]],WWWW[[#This Row],['# People with access to Sanity Pads]])</f>
        <v>65</v>
      </c>
      <c r="CY560" s="712">
        <f>IF(WWWW[[#This Row],['# people reached by regular dedicated hygiene promotion_5]]&gt;WWWW[[#This Row],['# People received regular supply of hygiene items_6]],WWWW[[#This Row],['# people reached by regular dedicated hygiene promotion_5]],WWWW[[#This Row],['# People received regular supply of hygiene items_6]])</f>
        <v>65</v>
      </c>
      <c r="CZ560" s="714">
        <f>IF(WWWW[[#This Row],[HRP3]]/WWWW[[#This Row],[Total PoP ]]&gt;100%,100%,WWWW[[#This Row],[HRP3]]/WWWW[[#This Row],[Total PoP ]])</f>
        <v>0.6132075471698113</v>
      </c>
      <c r="DA560" s="713">
        <f>1-WWWW[[#This Row],[Hygiene Coverage%]]</f>
        <v>0.3867924528301887</v>
      </c>
      <c r="DB560" s="710">
        <f>WWWW[[#This Row],['# people reached by regular dedicated hygiene promotion_5]]/WWWW[[#This Row],[Total PoP ]]</f>
        <v>0</v>
      </c>
      <c r="DC560" s="710">
        <f>IF(WWWW[[#This Row],['#_households that received standard amount of soap for this quarter]]/WWWW[[#This Row],[Total HH]]&gt;1,1,WWWW[[#This Row],['#_households that received standard amount of soap for this quarter]]/WWWW[[#This Row],[Total HH]])</f>
        <v>0.76470588235294112</v>
      </c>
      <c r="DD560" s="710">
        <f>IF(WWWW[[#This Row],['#_households that received standard amount of sanitary pads for this quarter]]/WWWW[[#This Row],[Total HH]]&gt;1,1,WWWW[[#This Row],['#_households that received standard amount of sanitary pads for this quarter]]/WWWW[[#This Row],[Total HH]])</f>
        <v>0.17647058823529413</v>
      </c>
      <c r="DE560" s="712">
        <f>WWWW[[#This Row],['#_Constructed/Existing hand washing stations]]-WWWW[[#This Row],['#_Non-Functional_hand_washing_stations]]</f>
        <v>2</v>
      </c>
      <c r="DF560" s="757">
        <f>IF(WWWW[[#This Row],['# Functional hand washing stations during reporting period]]*20&gt;WWWW[[#This Row],[Total HH]],WWWW[[#This Row],[Total HH]],WWWW[[#This Row],['# Functional hand washing stations during reporting period]]*20)</f>
        <v>17</v>
      </c>
      <c r="DG560" s="708">
        <f>IF(WWWW[[#This Row],[Is sufficient soap available for TLS? (Yes/No)]]="yes",WWWW[[#This Row],['#_Constructed/Existing hand washing stations at TLS]],0)</f>
        <v>0</v>
      </c>
      <c r="DH560" s="759">
        <f>IF(WWWW[[#This Row],['# Functional hand washing stations during reporting period]]*100&gt;WWWW[[#This Row],[Total PoP ]],WWWW[[#This Row],[Total PoP ]],WWWW[[#This Row],['# Functional hand washing stations during reporting period]]*100)</f>
        <v>106</v>
      </c>
      <c r="DI560" s="759" t="str">
        <f>IF(OR(WWWW[[#This Row],['#_students at TLS_CFS]]="",WWWW[[#This Row],['#_students at TLS_CFS]]=0),"No","Yes")</f>
        <v>No</v>
      </c>
      <c r="DJ560" s="711">
        <f>VLOOKUP(WWWW[[#This Row],[Site Name]],SiteDB6[[Site Name]:[CCCM Management]],6,FALSE)</f>
        <v>0</v>
      </c>
      <c r="DK560" s="711">
        <f>VLOOKUP(WWWW[[#This Row],[Site Name]],SiteDB6[[Site Name]:[CCCM Focal Agency]],7,FALSE)</f>
        <v>0</v>
      </c>
      <c r="DL560" s="711" t="str">
        <f>VLOOKUP(WWWW[[#This Row],[Site Name]],SiteDB6[[Site Name]:[Location Type 1]],9,FALSE)</f>
        <v>Camp</v>
      </c>
      <c r="DM560" s="711" t="str">
        <f>VLOOKUP(WWWW[[#This Row],[Site Name]],SiteDB6[[Site Name]:[Type of Accommodation]],10,FALSE)</f>
        <v>Camp</v>
      </c>
      <c r="DN560" s="711" t="str">
        <f>VLOOKUP(WWWW[[#This Row],[Site Name]],SiteDB6[[Site Name]:[Ethnic or GCA/NGCA]],11,FALSE)</f>
        <v>GCA</v>
      </c>
      <c r="DO560" s="711">
        <f>VLOOKUP(WWWW[[#This Row],[Site Name]],SiteDB6[[Site Name]:[Lat]],12,FALSE)</f>
        <v>0</v>
      </c>
      <c r="DP560" s="711">
        <f>VLOOKUP(WWWW[[#This Row],[Site Name]],SiteDB6[[Site Name]:[Long]],13,FALSE)</f>
        <v>0</v>
      </c>
      <c r="DQ560" s="711">
        <f>VLOOKUP(WWWW[[#This Row],[Site Name]],SiteDB6[[Site Name]:[Pcode]],3,FALSE)</f>
        <v>0</v>
      </c>
      <c r="DR560" s="709" t="str">
        <f t="shared" si="21"/>
        <v>Covered</v>
      </c>
      <c r="DS560" s="709"/>
    </row>
    <row r="561" spans="1:123">
      <c r="A561" s="701" t="s">
        <v>2519</v>
      </c>
      <c r="B561" s="701" t="s">
        <v>38</v>
      </c>
      <c r="C561" s="702" t="s">
        <v>38</v>
      </c>
      <c r="D561" s="702" t="s">
        <v>722</v>
      </c>
      <c r="E561" s="702" t="s">
        <v>39</v>
      </c>
      <c r="F561" s="702" t="s">
        <v>167</v>
      </c>
      <c r="G561" s="711" t="str">
        <f>VLOOKUP(WWWW[[#This Row],[Site Name]],SiteDB6[[Site Name]:[Location Type]],8,FALSE)</f>
        <v>Camp</v>
      </c>
      <c r="H561" s="702" t="s">
        <v>241</v>
      </c>
      <c r="I561" s="705">
        <v>90</v>
      </c>
      <c r="J561" s="705">
        <v>430</v>
      </c>
      <c r="K561" s="706">
        <v>43525</v>
      </c>
      <c r="L561" s="707">
        <v>44196</v>
      </c>
      <c r="M561" s="705"/>
      <c r="N561" s="705"/>
      <c r="O561" s="705"/>
      <c r="P561" s="705"/>
      <c r="Q561" s="708" t="s">
        <v>43</v>
      </c>
      <c r="R561" s="705"/>
      <c r="S561" s="705"/>
      <c r="T561" s="807">
        <v>1</v>
      </c>
      <c r="U561" s="705"/>
      <c r="V561" s="705"/>
      <c r="W561" s="705"/>
      <c r="X561" s="705"/>
      <c r="Y561" s="705"/>
      <c r="Z561" s="705"/>
      <c r="AA561" s="705"/>
      <c r="AB561" s="705"/>
      <c r="AC561" s="705"/>
      <c r="AD561" s="705"/>
      <c r="AE561" s="705"/>
      <c r="AF561" s="705"/>
      <c r="AG561" s="705"/>
      <c r="AH561" s="705"/>
      <c r="AI561" s="705"/>
      <c r="AJ561" s="705"/>
      <c r="AK561" s="705"/>
      <c r="AL561" s="705"/>
      <c r="AM561" s="705"/>
      <c r="AN561" s="705"/>
      <c r="AO561" s="709"/>
      <c r="AP561" s="705">
        <v>22</v>
      </c>
      <c r="AQ561" s="705"/>
      <c r="AR561" s="710"/>
      <c r="AS561" s="705"/>
      <c r="AT561" s="705"/>
      <c r="AU561" s="705"/>
      <c r="AV561" s="705"/>
      <c r="AW561" s="705"/>
      <c r="AX561" s="711" t="s">
        <v>43</v>
      </c>
      <c r="AY561" s="709" t="s">
        <v>145</v>
      </c>
      <c r="AZ561" s="705"/>
      <c r="BA561" s="705"/>
      <c r="BB561" s="705"/>
      <c r="BC561" s="711"/>
      <c r="BD561" s="705"/>
      <c r="BE561" s="705"/>
      <c r="BF561" s="705"/>
      <c r="BG561" s="705">
        <v>3</v>
      </c>
      <c r="BH561" s="705"/>
      <c r="BI561" s="705"/>
      <c r="BJ561" s="705">
        <v>2</v>
      </c>
      <c r="BK561" s="705"/>
      <c r="BL561" s="705"/>
      <c r="BM561" s="711"/>
      <c r="BN561" s="712"/>
      <c r="BO561" s="710"/>
      <c r="BP561" s="711"/>
      <c r="BQ561" s="713" t="str">
        <f>IFERROR(WWWW[[#This Row],['#_Water sources treated]]/WWWW[[#This Row],['#_Water sources tested for contamination]],"no test")</f>
        <v>no test</v>
      </c>
      <c r="BR561" s="710" t="str">
        <f>IFERROR(WWWW[[#This Row],['#_Household received remediation action due to contamination]]/WWWW[[#This Row],['#_Household water samples tested for contamination]],"no test")</f>
        <v>no test</v>
      </c>
      <c r="BS561" s="712" t="str">
        <f>IF(AND(WWWW[[#This Row],[% of water sources treated]]="no test",WWWW[[#This Row],[% Household received corrective actions]]="no test"),"No Test","Tested")</f>
        <v>No Test</v>
      </c>
      <c r="BT561" s="712">
        <f>WWWW[[#This Row],['#_Constructed/existing protected hand dug well]]-WWWW[[#This Row],['#_Non-functional protected hand dug well]]</f>
        <v>1</v>
      </c>
      <c r="BU561" s="712">
        <f>(WWWW[[#This Row],['#_Constructed/Existing tube wells/boreholes/handpumps_WASH_agency]]+WWWW[[#This Row],['#_Non-Cluster partner water tube-wells/boreholes/handpumps]])-WWWW[[#This Row],['#_Non-functional tube wells/boreholes/handpumps]]</f>
        <v>0</v>
      </c>
      <c r="BV561" s="712">
        <f>WWWW[[#This Row],['#_Constructed/Existingwater storage tank with gravity fed reticulation system]]-WWWW[[#This Row],['#_Non-functional storage tank gravity fed reticulation system]]</f>
        <v>0</v>
      </c>
      <c r="BW561" s="712">
        <f>WWWW[[#This Row],['#_Water boating or water trucking]]</f>
        <v>0</v>
      </c>
      <c r="BX561" s="712">
        <f>WWWW[[#This Row],['#_Constructed/Existing water distribution system from river or natural spring]]</f>
        <v>0</v>
      </c>
      <c r="BY56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0.93023255813953487</v>
      </c>
      <c r="BZ56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0.58139534883720934</v>
      </c>
      <c r="CA561" s="710">
        <f>IF(WWWW[[#This Row],[Location Type 1]]="Village",WWWW[[#This Row],[Access to safe drinking water for Village]],WWWW[[#This Row],[Access to safe drinking water for Camp]])</f>
        <v>0.93023255813953487</v>
      </c>
      <c r="CB561" s="708">
        <f>WWWW[[#This Row],[%Equitable and continuous access to sufficient quantity of safe drinking water]]*WWWW[[#This Row],[Total PoP ]]</f>
        <v>400</v>
      </c>
      <c r="CC561" s="710">
        <f>IF((WWWW[[#This Row],['#_Constructed/Existing protected/fenced ponds]]*250)/WWWW[[#This Row],[Total PoP ]]&gt;1,1,(WWWW[[#This Row],['#_Constructed/Existing protected/fenced ponds]]*250)/WWWW[[#This Row],[Total PoP ]])</f>
        <v>0</v>
      </c>
      <c r="CD561" s="708">
        <f>WWWW[[#This Row],[% Access to unimproved water points]]*WWWW[[#This Row],[Total PoP ]]</f>
        <v>0</v>
      </c>
      <c r="CE56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0.93023255813953487</v>
      </c>
      <c r="CF56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561" s="708">
        <f>WWWW[[#This Row],[HRP1]]/500</f>
        <v>0.8</v>
      </c>
      <c r="CH561" s="714">
        <f>1-WWWW[[#This Row],[% Equitable and continuous access to sufficient quantity of domestic water]]</f>
        <v>6.9767441860465129E-2</v>
      </c>
      <c r="CI561" s="708">
        <f>WWWW[[#This Row],[%equitable and continuous access to sufficient quantity of safe drinking and domestic water''s GAP]]*WWWW[[#This Row],[Total PoP ]]</f>
        <v>30.000000000000007</v>
      </c>
      <c r="CJ561" s="712">
        <f>IF(WWWW[[#This Row],[Total required water points]]-WWWW[[#This Row],['#Water points coverage]]&lt;0,0,WWWW[[#This Row],[Total required water points]]-WWWW[[#This Row],['#Water points coverage]])</f>
        <v>0.19999999999999996</v>
      </c>
      <c r="CK561" s="712">
        <f>ROUND(IF(WWWW[[#This Row],[Total PoP ]]&lt;500,1,WWWW[[#This Row],[Total PoP ]]/500),0)</f>
        <v>1</v>
      </c>
      <c r="CL561" s="712">
        <f>(WWWW[[#This Row],['#_Constructed latrines_by_WASHAgencies]]+WWWW[[#This Row],['#_Non Cluster partner latrines]])-WWWW[[#This Row],['#_Non-functional latrines]]</f>
        <v>22</v>
      </c>
      <c r="CM56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6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430</v>
      </c>
      <c r="CO56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1" s="712">
        <f>IF(WWWW[[#This Row],[Location Type 1]]="Village","NA",IF(WWWW[[#This Row],['#_Constructed/Existing latrines in TLS]]*50&gt;WWWW[[#This Row],['#_students at TLS_CFS]],WWWW[[#This Row],['#_students at TLS_CFS]],(WWWW[[#This Row],['#_Constructed/Existing latrines in TLS]]*50)))</f>
        <v>0</v>
      </c>
      <c r="CQ561" s="712">
        <f>ROUND(IF(WWWW[[#This Row],[Location Type 1]]="camp",WWWW[[#This Row],[Total PoP ]]/20,IF(WWWW[[#This Row],[Location Type 1]]="Temporary Location",WWWW[[#This Row],[Total PoP ]]/50,(WWWW[[#This Row],[Total PoP ]]/6))),0)</f>
        <v>22</v>
      </c>
      <c r="CR561" s="712">
        <f>IF(WWWW[[#This Row],[Total required Latrines]]-(WWWW[[#This Row],['#_Constructed latrines_by_WASHAgencies]]+WWWW[[#This Row],['#_Non Cluster partner latrines]])&lt;0,0,WWWW[[#This Row],[Total required Latrines]]-(WWWW[[#This Row],['#_Constructed latrines_by_WASHAgencies]]+WWWW[[#This Row],['#_Non Cluster partner latrines]]))</f>
        <v>0</v>
      </c>
      <c r="CS561" s="714">
        <f>1-WWWW[[#This Row],[% people access to functioning Latrine]]</f>
        <v>0</v>
      </c>
      <c r="CT561" s="713">
        <f>IF(OR(WWWW[[#This Row],['#_Non-functional latrines]]="",WWWW[[#This Row],['#_Non-functional latrines]]=0),0,WWWW[[#This Row],['#_Non-functional latrines]]/(WWWW[[#This Row],['#_Constructed latrines_by_WASHAgencies]]+WWWW[[#This Row],['#_Non Cluster partner latrines]]))</f>
        <v>0</v>
      </c>
      <c r="CU561" s="708">
        <f>IF(500*(WWWW[[#This Row],['#_male hygiene promoters]]+WWWW[[#This Row],['#_female hygiene promoters]])&gt;WWWW[[#This Row],[Total PoP ]],WWWW[[#This Row],[Total PoP ]],500*(WWWW[[#This Row],['#_male hygiene promoters]]+WWWW[[#This Row],['#_female hygiene promoters]]))</f>
        <v>430</v>
      </c>
      <c r="CV56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1" s="712">
        <f>IF(WWWW[[#This Row],['# People with access to soap]]&gt;WWWW[[#This Row],['# People with access to Sanity Pads]],WWWW[[#This Row],['# People with access to soap]],WWWW[[#This Row],['# People with access to Sanity Pads]])</f>
        <v>0</v>
      </c>
      <c r="CY561" s="712">
        <f>IF(WWWW[[#This Row],['# people reached by regular dedicated hygiene promotion_5]]&gt;WWWW[[#This Row],['# People received regular supply of hygiene items_6]],WWWW[[#This Row],['# people reached by regular dedicated hygiene promotion_5]],WWWW[[#This Row],['# People received regular supply of hygiene items_6]])</f>
        <v>430</v>
      </c>
      <c r="CZ561" s="714">
        <f>IF(WWWW[[#This Row],[HRP3]]/WWWW[[#This Row],[Total PoP ]]&gt;100%,100%,WWWW[[#This Row],[HRP3]]/WWWW[[#This Row],[Total PoP ]])</f>
        <v>1</v>
      </c>
      <c r="DA561" s="713">
        <f>1-WWWW[[#This Row],[Hygiene Coverage%]]</f>
        <v>0</v>
      </c>
      <c r="DB561" s="710">
        <f>WWWW[[#This Row],['# people reached by regular dedicated hygiene promotion_5]]/WWWW[[#This Row],[Total PoP ]]</f>
        <v>1</v>
      </c>
      <c r="DC561" s="710">
        <f>IF(WWWW[[#This Row],['#_households that received standard amount of soap for this quarter]]/WWWW[[#This Row],[Total HH]]&gt;1,1,WWWW[[#This Row],['#_households that received standard amount of soap for this quarter]]/WWWW[[#This Row],[Total HH]])</f>
        <v>0</v>
      </c>
      <c r="DD561" s="710">
        <f>IF(WWWW[[#This Row],['#_households that received standard amount of sanitary pads for this quarter]]/WWWW[[#This Row],[Total HH]]&gt;1,1,WWWW[[#This Row],['#_households that received standard amount of sanitary pads for this quarter]]/WWWW[[#This Row],[Total HH]])</f>
        <v>0</v>
      </c>
      <c r="DE561" s="712">
        <f>WWWW[[#This Row],['#_Constructed/Existing hand washing stations]]-WWWW[[#This Row],['#_Non-Functional_hand_washing_stations]]</f>
        <v>0</v>
      </c>
      <c r="DF561" s="757">
        <f>IF(WWWW[[#This Row],['# Functional hand washing stations during reporting period]]*20&gt;WWWW[[#This Row],[Total HH]],WWWW[[#This Row],[Total HH]],WWWW[[#This Row],['# Functional hand washing stations during reporting period]]*20)</f>
        <v>0</v>
      </c>
      <c r="DG561" s="708">
        <f>IF(WWWW[[#This Row],[Is sufficient soap available for TLS? (Yes/No)]]="yes",WWWW[[#This Row],['#_Constructed/Existing hand washing stations at TLS]],0)</f>
        <v>0</v>
      </c>
      <c r="DH561" s="759">
        <f>IF(WWWW[[#This Row],['# Functional hand washing stations during reporting period]]*100&gt;WWWW[[#This Row],[Total PoP ]],WWWW[[#This Row],[Total PoP ]],WWWW[[#This Row],['# Functional hand washing stations during reporting period]]*100)</f>
        <v>0</v>
      </c>
      <c r="DI561" s="759" t="str">
        <f>IF(OR(WWWW[[#This Row],['#_students at TLS_CFS]]="",WWWW[[#This Row],['#_students at TLS_CFS]]=0),"No","Yes")</f>
        <v>No</v>
      </c>
      <c r="DJ561" s="711" t="str">
        <f>VLOOKUP(WWWW[[#This Row],[Site Name]],SiteDB6[[Site Name]:[CCCM Management]],6,FALSE)</f>
        <v>Yes</v>
      </c>
      <c r="DK561" s="711" t="str">
        <f>VLOOKUP(WWWW[[#This Row],[Site Name]],SiteDB6[[Site Name]:[CCCM Focal Agency]],7,FALSE)</f>
        <v>KMSS-MYT</v>
      </c>
      <c r="DL561" s="711" t="str">
        <f>VLOOKUP(WWWW[[#This Row],[Site Name]],SiteDB6[[Site Name]:[Location Type 1]],9,FALSE)</f>
        <v>Camp</v>
      </c>
      <c r="DM561" s="711" t="str">
        <f>VLOOKUP(WWWW[[#This Row],[Site Name]],SiteDB6[[Site Name]:[Type of Accommodation]],10,FALSE)</f>
        <v>Camp</v>
      </c>
      <c r="DN561" s="711" t="str">
        <f>VLOOKUP(WWWW[[#This Row],[Site Name]],SiteDB6[[Site Name]:[Ethnic or GCA/NGCA]],11,FALSE)</f>
        <v>GCA</v>
      </c>
      <c r="DO561" s="711">
        <f>VLOOKUP(WWWW[[#This Row],[Site Name]],SiteDB6[[Site Name]:[Lat]],12,FALSE)</f>
        <v>25.401061110000001</v>
      </c>
      <c r="DP561" s="711">
        <f>VLOOKUP(WWWW[[#This Row],[Site Name]],SiteDB6[[Site Name]:[Long]],13,FALSE)</f>
        <v>97.379594999999995</v>
      </c>
      <c r="DQ561" s="711" t="str">
        <f>VLOOKUP(WWWW[[#This Row],[Site Name]],SiteDB6[[Site Name]:[Pcode]],3,FALSE)</f>
        <v>MMR001CMP019</v>
      </c>
      <c r="DR561" s="709" t="str">
        <f t="shared" si="21"/>
        <v>Covered</v>
      </c>
      <c r="DS561" s="709"/>
    </row>
    <row r="562" spans="1:123">
      <c r="A562" s="701" t="s">
        <v>2519</v>
      </c>
      <c r="B562" s="701" t="s">
        <v>250</v>
      </c>
      <c r="C562" s="702" t="s">
        <v>250</v>
      </c>
      <c r="D562" s="702" t="s">
        <v>315</v>
      </c>
      <c r="E562" s="702" t="s">
        <v>39</v>
      </c>
      <c r="F562" s="702" t="s">
        <v>156</v>
      </c>
      <c r="G562" s="711" t="str">
        <f>VLOOKUP(WWWW[[#This Row],[Site Name]],SiteDB6[[Site Name]:[Location Type]],8,FALSE)</f>
        <v>Camp</v>
      </c>
      <c r="H562" s="702" t="s">
        <v>258</v>
      </c>
      <c r="I562" s="705">
        <v>36</v>
      </c>
      <c r="J562" s="705">
        <v>228</v>
      </c>
      <c r="K562" s="706">
        <v>43313</v>
      </c>
      <c r="L562" s="707">
        <v>44043</v>
      </c>
      <c r="M562" s="705"/>
      <c r="N562" s="705">
        <v>1</v>
      </c>
      <c r="O562" s="705">
        <v>0</v>
      </c>
      <c r="P562" s="705">
        <v>0</v>
      </c>
      <c r="Q562" s="708" t="s">
        <v>43</v>
      </c>
      <c r="R562" s="705">
        <v>2</v>
      </c>
      <c r="S562" s="705">
        <v>2</v>
      </c>
      <c r="T562" s="807">
        <v>1</v>
      </c>
      <c r="U562" s="705"/>
      <c r="V562" s="705"/>
      <c r="W562" s="705">
        <v>0</v>
      </c>
      <c r="X562" s="705">
        <v>0</v>
      </c>
      <c r="Y562" s="705"/>
      <c r="Z562" s="705"/>
      <c r="AA562" s="705">
        <v>0</v>
      </c>
      <c r="AB562" s="705"/>
      <c r="AC562" s="705"/>
      <c r="AD562" s="705">
        <v>0</v>
      </c>
      <c r="AE562" s="705">
        <v>0</v>
      </c>
      <c r="AF562" s="705">
        <v>0</v>
      </c>
      <c r="AG562" s="705">
        <v>0</v>
      </c>
      <c r="AH562" s="705">
        <v>1</v>
      </c>
      <c r="AI562" s="705"/>
      <c r="AJ562" s="705"/>
      <c r="AK562" s="705"/>
      <c r="AL562" s="705"/>
      <c r="AM562" s="705">
        <v>0</v>
      </c>
      <c r="AN562" s="705">
        <v>0</v>
      </c>
      <c r="AO562" s="709"/>
      <c r="AP562" s="705">
        <v>10</v>
      </c>
      <c r="AQ562" s="705">
        <v>0</v>
      </c>
      <c r="AR562" s="710" t="s">
        <v>250</v>
      </c>
      <c r="AS562" s="705"/>
      <c r="AT562" s="705"/>
      <c r="AU562" s="705"/>
      <c r="AV562" s="705"/>
      <c r="AW562" s="705">
        <v>0</v>
      </c>
      <c r="AX562" s="711" t="s">
        <v>43</v>
      </c>
      <c r="AY562" s="709" t="s">
        <v>145</v>
      </c>
      <c r="AZ562" s="705">
        <v>0</v>
      </c>
      <c r="BA562" s="705">
        <v>0</v>
      </c>
      <c r="BB562" s="705">
        <v>0</v>
      </c>
      <c r="BC562" s="711"/>
      <c r="BD562" s="705">
        <v>0</v>
      </c>
      <c r="BE562" s="705"/>
      <c r="BF562" s="705">
        <v>0</v>
      </c>
      <c r="BG562" s="705">
        <v>3</v>
      </c>
      <c r="BH562" s="705"/>
      <c r="BI562" s="705">
        <v>2</v>
      </c>
      <c r="BJ562" s="705">
        <v>2</v>
      </c>
      <c r="BK562" s="705"/>
      <c r="BL562" s="705"/>
      <c r="BM562" s="711" t="s">
        <v>144</v>
      </c>
      <c r="BN562" s="712"/>
      <c r="BO562" s="710">
        <v>0.9</v>
      </c>
      <c r="BP562" s="711"/>
      <c r="BQ562" s="713" t="str">
        <f>IFERROR(WWWW[[#This Row],['#_Water sources treated]]/WWWW[[#This Row],['#_Water sources tested for contamination]],"no test")</f>
        <v>no test</v>
      </c>
      <c r="BR562" s="710" t="str">
        <f>IFERROR(WWWW[[#This Row],['#_Household received remediation action due to contamination]]/WWWW[[#This Row],['#_Household water samples tested for contamination]],"no test")</f>
        <v>no test</v>
      </c>
      <c r="BS562" s="712" t="str">
        <f>IF(AND(WWWW[[#This Row],[% of water sources treated]]="no test",WWWW[[#This Row],[% Household received corrective actions]]="no test"),"No Test","Tested")</f>
        <v>No Test</v>
      </c>
      <c r="BT562" s="712">
        <f>WWWW[[#This Row],['#_Constructed/existing protected hand dug well]]-WWWW[[#This Row],['#_Non-functional protected hand dug well]]</f>
        <v>1</v>
      </c>
      <c r="BU562" s="712">
        <f>(WWWW[[#This Row],['#_Constructed/Existing tube wells/boreholes/handpumps_WASH_agency]]+WWWW[[#This Row],['#_Non-Cluster partner water tube-wells/boreholes/handpumps]])-WWWW[[#This Row],['#_Non-functional tube wells/boreholes/handpumps]]</f>
        <v>0</v>
      </c>
      <c r="BV562" s="712">
        <f>WWWW[[#This Row],['#_Constructed/Existingwater storage tank with gravity fed reticulation system]]-WWWW[[#This Row],['#_Non-functional storage tank gravity fed reticulation system]]</f>
        <v>0</v>
      </c>
      <c r="BW562" s="712">
        <f>WWWW[[#This Row],['#_Water boating or water trucking]]</f>
        <v>0</v>
      </c>
      <c r="BX562" s="712">
        <f>WWWW[[#This Row],['#_Constructed/Existing water distribution system from river or natural spring]]</f>
        <v>0</v>
      </c>
      <c r="BY56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6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62" s="710">
        <f>IF(WWWW[[#This Row],[Location Type 1]]="Village",WWWW[[#This Row],[Access to safe drinking water for Village]],WWWW[[#This Row],[Access to safe drinking water for Camp]])</f>
        <v>1</v>
      </c>
      <c r="CB562" s="708">
        <f>WWWW[[#This Row],[%Equitable and continuous access to sufficient quantity of safe drinking water]]*WWWW[[#This Row],[Total PoP ]]</f>
        <v>228</v>
      </c>
      <c r="CC562" s="710">
        <f>IF((WWWW[[#This Row],['#_Constructed/Existing protected/fenced ponds]]*250)/WWWW[[#This Row],[Total PoP ]]&gt;1,1,(WWWW[[#This Row],['#_Constructed/Existing protected/fenced ponds]]*250)/WWWW[[#This Row],[Total PoP ]])</f>
        <v>0</v>
      </c>
      <c r="CD562" s="708">
        <f>WWWW[[#This Row],[% Access to unimproved water points]]*WWWW[[#This Row],[Total PoP ]]</f>
        <v>0</v>
      </c>
      <c r="CE56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6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G562" s="708">
        <f>WWWW[[#This Row],[HRP1]]/500</f>
        <v>0.45600000000000002</v>
      </c>
      <c r="CH562" s="714">
        <f>1-WWWW[[#This Row],[% Equitable and continuous access to sufficient quantity of domestic water]]</f>
        <v>0</v>
      </c>
      <c r="CI562" s="708">
        <f>WWWW[[#This Row],[%equitable and continuous access to sufficient quantity of safe drinking and domestic water''s GAP]]*WWWW[[#This Row],[Total PoP ]]</f>
        <v>0</v>
      </c>
      <c r="CJ562" s="712">
        <f>IF(WWWW[[#This Row],[Total required water points]]-WWWW[[#This Row],['#Water points coverage]]&lt;0,0,WWWW[[#This Row],[Total required water points]]-WWWW[[#This Row],['#Water points coverage]])</f>
        <v>0.54400000000000004</v>
      </c>
      <c r="CK562" s="712">
        <f>ROUND(IF(WWWW[[#This Row],[Total PoP ]]&lt;500,1,WWWW[[#This Row],[Total PoP ]]/500),0)</f>
        <v>1</v>
      </c>
      <c r="CL562" s="712">
        <f>(WWWW[[#This Row],['#_Constructed latrines_by_WASHAgencies]]+WWWW[[#This Row],['#_Non Cluster partner latrines]])-WWWW[[#This Row],['#_Non-functional latrines]]</f>
        <v>10</v>
      </c>
      <c r="CM56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0.8771929824561403</v>
      </c>
      <c r="CN56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56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2" s="712">
        <f>IF(WWWW[[#This Row],[Location Type 1]]="Village","NA",IF(WWWW[[#This Row],['#_Constructed/Existing latrines in TLS]]*50&gt;WWWW[[#This Row],['#_students at TLS_CFS]],WWWW[[#This Row],['#_students at TLS_CFS]],(WWWW[[#This Row],['#_Constructed/Existing latrines in TLS]]*50)))</f>
        <v>0</v>
      </c>
      <c r="CQ562" s="712">
        <f>ROUND(IF(WWWW[[#This Row],[Location Type 1]]="camp",WWWW[[#This Row],[Total PoP ]]/20,IF(WWWW[[#This Row],[Location Type 1]]="Temporary Location",WWWW[[#This Row],[Total PoP ]]/50,(WWWW[[#This Row],[Total PoP ]]/6))),0)</f>
        <v>11</v>
      </c>
      <c r="CR562" s="712">
        <f>IF(WWWW[[#This Row],[Total required Latrines]]-(WWWW[[#This Row],['#_Constructed latrines_by_WASHAgencies]]+WWWW[[#This Row],['#_Non Cluster partner latrines]])&lt;0,0,WWWW[[#This Row],[Total required Latrines]]-(WWWW[[#This Row],['#_Constructed latrines_by_WASHAgencies]]+WWWW[[#This Row],['#_Non Cluster partner latrines]]))</f>
        <v>1</v>
      </c>
      <c r="CS562" s="714">
        <f>1-WWWW[[#This Row],[% people access to functioning Latrine]]</f>
        <v>0.1228070175438597</v>
      </c>
      <c r="CT562" s="713">
        <f>IF(OR(WWWW[[#This Row],['#_Non-functional latrines]]="",WWWW[[#This Row],['#_Non-functional latrines]]=0),0,WWWW[[#This Row],['#_Non-functional latrines]]/(WWWW[[#This Row],['#_Constructed latrines_by_WASHAgencies]]+WWWW[[#This Row],['#_Non Cluster partner latrines]]))</f>
        <v>0</v>
      </c>
      <c r="CU562" s="708">
        <f>IF(500*(WWWW[[#This Row],['#_male hygiene promoters]]+WWWW[[#This Row],['#_female hygiene promoters]])&gt;WWWW[[#This Row],[Total PoP ]],WWWW[[#This Row],[Total PoP ]],500*(WWWW[[#This Row],['#_male hygiene promoters]]+WWWW[[#This Row],['#_female hygiene promoters]]))</f>
        <v>228</v>
      </c>
      <c r="CV56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2" s="712">
        <f>IF(WWWW[[#This Row],['# People with access to soap]]&gt;WWWW[[#This Row],['# People with access to Sanity Pads]],WWWW[[#This Row],['# People with access to soap]],WWWW[[#This Row],['# People with access to Sanity Pads]])</f>
        <v>0</v>
      </c>
      <c r="CY562" s="712">
        <f>IF(WWWW[[#This Row],['# people reached by regular dedicated hygiene promotion_5]]&gt;WWWW[[#This Row],['# People received regular supply of hygiene items_6]],WWWW[[#This Row],['# people reached by regular dedicated hygiene promotion_5]],WWWW[[#This Row],['# People received regular supply of hygiene items_6]])</f>
        <v>228</v>
      </c>
      <c r="CZ562" s="714">
        <f>IF(WWWW[[#This Row],[HRP3]]/WWWW[[#This Row],[Total PoP ]]&gt;100%,100%,WWWW[[#This Row],[HRP3]]/WWWW[[#This Row],[Total PoP ]])</f>
        <v>1</v>
      </c>
      <c r="DA562" s="713">
        <f>1-WWWW[[#This Row],[Hygiene Coverage%]]</f>
        <v>0</v>
      </c>
      <c r="DB562" s="710">
        <f>WWWW[[#This Row],['# people reached by regular dedicated hygiene promotion_5]]/WWWW[[#This Row],[Total PoP ]]</f>
        <v>1</v>
      </c>
      <c r="DC562" s="710">
        <f>IF(WWWW[[#This Row],['#_households that received standard amount of soap for this quarter]]/WWWW[[#This Row],[Total HH]]&gt;1,1,WWWW[[#This Row],['#_households that received standard amount of soap for this quarter]]/WWWW[[#This Row],[Total HH]])</f>
        <v>0</v>
      </c>
      <c r="DD562" s="710">
        <f>IF(WWWW[[#This Row],['#_households that received standard amount of sanitary pads for this quarter]]/WWWW[[#This Row],[Total HH]]&gt;1,1,WWWW[[#This Row],['#_households that received standard amount of sanitary pads for this quarter]]/WWWW[[#This Row],[Total HH]])</f>
        <v>0</v>
      </c>
      <c r="DE562" s="712">
        <f>WWWW[[#This Row],['#_Constructed/Existing hand washing stations]]-WWWW[[#This Row],['#_Non-Functional_hand_washing_stations]]</f>
        <v>0</v>
      </c>
      <c r="DF562" s="757">
        <f>IF(WWWW[[#This Row],['# Functional hand washing stations during reporting period]]*20&gt;WWWW[[#This Row],[Total HH]],WWWW[[#This Row],[Total HH]],WWWW[[#This Row],['# Functional hand washing stations during reporting period]]*20)</f>
        <v>0</v>
      </c>
      <c r="DG562" s="708">
        <f>IF(WWWW[[#This Row],[Is sufficient soap available for TLS? (Yes/No)]]="yes",WWWW[[#This Row],['#_Constructed/Existing hand washing stations at TLS]],0)</f>
        <v>0</v>
      </c>
      <c r="DH562" s="759">
        <f>IF(WWWW[[#This Row],['# Functional hand washing stations during reporting period]]*100&gt;WWWW[[#This Row],[Total PoP ]],WWWW[[#This Row],[Total PoP ]],WWWW[[#This Row],['# Functional hand washing stations during reporting period]]*100)</f>
        <v>0</v>
      </c>
      <c r="DI562" s="759" t="str">
        <f>IF(OR(WWWW[[#This Row],['#_students at TLS_CFS]]="",WWWW[[#This Row],['#_students at TLS_CFS]]=0),"No","Yes")</f>
        <v>No</v>
      </c>
      <c r="DJ562" s="711" t="str">
        <f>VLOOKUP(WWWW[[#This Row],[Site Name]],SiteDB6[[Site Name]:[CCCM Management]],6,FALSE)</f>
        <v>Yes</v>
      </c>
      <c r="DK562" s="711" t="str">
        <f>VLOOKUP(WWWW[[#This Row],[Site Name]],SiteDB6[[Site Name]:[CCCM Focal Agency]],7,FALSE)</f>
        <v>KBC</v>
      </c>
      <c r="DL562" s="711" t="str">
        <f>VLOOKUP(WWWW[[#This Row],[Site Name]],SiteDB6[[Site Name]:[Location Type 1]],9,FALSE)</f>
        <v>Camp</v>
      </c>
      <c r="DM562" s="711" t="str">
        <f>VLOOKUP(WWWW[[#This Row],[Site Name]],SiteDB6[[Site Name]:[Type of Accommodation]],10,FALSE)</f>
        <v>Camp</v>
      </c>
      <c r="DN562" s="711" t="str">
        <f>VLOOKUP(WWWW[[#This Row],[Site Name]],SiteDB6[[Site Name]:[Ethnic or GCA/NGCA]],11,FALSE)</f>
        <v>GCA</v>
      </c>
      <c r="DO562" s="711">
        <f>VLOOKUP(WWWW[[#This Row],[Site Name]],SiteDB6[[Site Name]:[Lat]],12,FALSE)</f>
        <v>25.647649999999999</v>
      </c>
      <c r="DP562" s="711">
        <f>VLOOKUP(WWWW[[#This Row],[Site Name]],SiteDB6[[Site Name]:[Long]],13,FALSE)</f>
        <v>96.346469999999997</v>
      </c>
      <c r="DQ562" s="711" t="str">
        <f>VLOOKUP(WWWW[[#This Row],[Site Name]],SiteDB6[[Site Name]:[Pcode]],3,FALSE)</f>
        <v>MMR001CMP169</v>
      </c>
      <c r="DR562" s="709" t="str">
        <f t="shared" si="21"/>
        <v>Covered</v>
      </c>
      <c r="DS562" s="709"/>
    </row>
    <row r="563" spans="1:123">
      <c r="A563" s="701" t="s">
        <v>2519</v>
      </c>
      <c r="B563" s="701" t="s">
        <v>250</v>
      </c>
      <c r="C563" s="702" t="s">
        <v>250</v>
      </c>
      <c r="D563" s="702" t="s">
        <v>315</v>
      </c>
      <c r="E563" s="702" t="s">
        <v>39</v>
      </c>
      <c r="F563" s="702" t="s">
        <v>156</v>
      </c>
      <c r="G563" s="711" t="str">
        <f>VLOOKUP(WWWW[[#This Row],[Site Name]],SiteDB6[[Site Name]:[Location Type]],8,FALSE)</f>
        <v>Camp</v>
      </c>
      <c r="H563" s="702" t="s">
        <v>259</v>
      </c>
      <c r="I563" s="705">
        <v>6</v>
      </c>
      <c r="J563" s="705">
        <v>31</v>
      </c>
      <c r="K563" s="706">
        <v>43313</v>
      </c>
      <c r="L563" s="707">
        <v>44043</v>
      </c>
      <c r="M563" s="705"/>
      <c r="N563" s="705">
        <v>1</v>
      </c>
      <c r="O563" s="705">
        <v>0</v>
      </c>
      <c r="P563" s="705">
        <v>0</v>
      </c>
      <c r="Q563" s="708" t="s">
        <v>43</v>
      </c>
      <c r="R563" s="705">
        <v>1</v>
      </c>
      <c r="S563" s="705">
        <v>2</v>
      </c>
      <c r="T563" s="807">
        <v>0</v>
      </c>
      <c r="U563" s="705"/>
      <c r="V563" s="705"/>
      <c r="W563" s="705">
        <v>0</v>
      </c>
      <c r="X563" s="705">
        <v>0</v>
      </c>
      <c r="Y563" s="705"/>
      <c r="Z563" s="705"/>
      <c r="AA563" s="705">
        <v>0</v>
      </c>
      <c r="AB563" s="705"/>
      <c r="AC563" s="705"/>
      <c r="AD563" s="705">
        <v>0</v>
      </c>
      <c r="AE563" s="705">
        <v>0</v>
      </c>
      <c r="AF563" s="705">
        <v>0</v>
      </c>
      <c r="AG563" s="705">
        <v>0</v>
      </c>
      <c r="AH563" s="705">
        <v>0</v>
      </c>
      <c r="AI563" s="705"/>
      <c r="AJ563" s="705"/>
      <c r="AK563" s="705"/>
      <c r="AL563" s="705"/>
      <c r="AM563" s="705">
        <v>0</v>
      </c>
      <c r="AN563" s="705">
        <v>0</v>
      </c>
      <c r="AO563" s="709"/>
      <c r="AP563" s="705">
        <v>2</v>
      </c>
      <c r="AQ563" s="705">
        <v>0</v>
      </c>
      <c r="AR563" s="710" t="s">
        <v>250</v>
      </c>
      <c r="AS563" s="705"/>
      <c r="AT563" s="705"/>
      <c r="AU563" s="705"/>
      <c r="AV563" s="705"/>
      <c r="AW563" s="705">
        <v>0</v>
      </c>
      <c r="AX563" s="711" t="s">
        <v>43</v>
      </c>
      <c r="AY563" s="709" t="s">
        <v>144</v>
      </c>
      <c r="AZ563" s="705">
        <v>0</v>
      </c>
      <c r="BA563" s="705">
        <v>0</v>
      </c>
      <c r="BB563" s="705">
        <v>0</v>
      </c>
      <c r="BC563" s="711"/>
      <c r="BD563" s="705">
        <v>0</v>
      </c>
      <c r="BE563" s="705"/>
      <c r="BF563" s="705">
        <v>0</v>
      </c>
      <c r="BG563" s="705">
        <v>1</v>
      </c>
      <c r="BH563" s="705"/>
      <c r="BI563" s="705">
        <v>1</v>
      </c>
      <c r="BJ563" s="705">
        <v>2</v>
      </c>
      <c r="BK563" s="705"/>
      <c r="BL563" s="705"/>
      <c r="BM563" s="711" t="s">
        <v>144</v>
      </c>
      <c r="BN563" s="712"/>
      <c r="BO563" s="710">
        <v>0.3</v>
      </c>
      <c r="BP563" s="711"/>
      <c r="BQ563" s="713" t="str">
        <f>IFERROR(WWWW[[#This Row],['#_Water sources treated]]/WWWW[[#This Row],['#_Water sources tested for contamination]],"no test")</f>
        <v>no test</v>
      </c>
      <c r="BR563" s="710" t="str">
        <f>IFERROR(WWWW[[#This Row],['#_Household received remediation action due to contamination]]/WWWW[[#This Row],['#_Household water samples tested for contamination]],"no test")</f>
        <v>no test</v>
      </c>
      <c r="BS563" s="712" t="str">
        <f>IF(AND(WWWW[[#This Row],[% of water sources treated]]="no test",WWWW[[#This Row],[% Household received corrective actions]]="no test"),"No Test","Tested")</f>
        <v>No Test</v>
      </c>
      <c r="BT563" s="712">
        <f>WWWW[[#This Row],['#_Constructed/existing protected hand dug well]]-WWWW[[#This Row],['#_Non-functional protected hand dug well]]</f>
        <v>0</v>
      </c>
      <c r="BU563" s="712">
        <f>(WWWW[[#This Row],['#_Constructed/Existing tube wells/boreholes/handpumps_WASH_agency]]+WWWW[[#This Row],['#_Non-Cluster partner water tube-wells/boreholes/handpumps]])-WWWW[[#This Row],['#_Non-functional tube wells/boreholes/handpumps]]</f>
        <v>0</v>
      </c>
      <c r="BV563" s="712">
        <f>WWWW[[#This Row],['#_Constructed/Existingwater storage tank with gravity fed reticulation system]]-WWWW[[#This Row],['#_Non-functional storage tank gravity fed reticulation system]]</f>
        <v>0</v>
      </c>
      <c r="BW563" s="712">
        <f>WWWW[[#This Row],['#_Water boating or water trucking]]</f>
        <v>0</v>
      </c>
      <c r="BX563" s="712">
        <f>WWWW[[#This Row],['#_Constructed/Existing water distribution system from river or natural spring]]</f>
        <v>0</v>
      </c>
      <c r="BY56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6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63" s="710">
        <f>IF(WWWW[[#This Row],[Location Type 1]]="Village",WWWW[[#This Row],[Access to safe drinking water for Village]],WWWW[[#This Row],[Access to safe drinking water for Camp]])</f>
        <v>0</v>
      </c>
      <c r="CB563" s="708">
        <f>WWWW[[#This Row],[%Equitable and continuous access to sufficient quantity of safe drinking water]]*WWWW[[#This Row],[Total PoP ]]</f>
        <v>0</v>
      </c>
      <c r="CC563" s="710">
        <f>IF((WWWW[[#This Row],['#_Constructed/Existing protected/fenced ponds]]*250)/WWWW[[#This Row],[Total PoP ]]&gt;1,1,(WWWW[[#This Row],['#_Constructed/Existing protected/fenced ponds]]*250)/WWWW[[#This Row],[Total PoP ]])</f>
        <v>0</v>
      </c>
      <c r="CD563" s="708">
        <f>WWWW[[#This Row],[% Access to unimproved water points]]*WWWW[[#This Row],[Total PoP ]]</f>
        <v>0</v>
      </c>
      <c r="CE56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6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63" s="708">
        <f>WWWW[[#This Row],[HRP1]]/500</f>
        <v>0</v>
      </c>
      <c r="CH563" s="714">
        <f>1-WWWW[[#This Row],[% Equitable and continuous access to sufficient quantity of domestic water]]</f>
        <v>1</v>
      </c>
      <c r="CI563" s="708">
        <f>WWWW[[#This Row],[%equitable and continuous access to sufficient quantity of safe drinking and domestic water''s GAP]]*WWWW[[#This Row],[Total PoP ]]</f>
        <v>31</v>
      </c>
      <c r="CJ563" s="712">
        <f>IF(WWWW[[#This Row],[Total required water points]]-WWWW[[#This Row],['#Water points coverage]]&lt;0,0,WWWW[[#This Row],[Total required water points]]-WWWW[[#This Row],['#Water points coverage]])</f>
        <v>1</v>
      </c>
      <c r="CK563" s="712">
        <f>ROUND(IF(WWWW[[#This Row],[Total PoP ]]&lt;500,1,WWWW[[#This Row],[Total PoP ]]/500),0)</f>
        <v>1</v>
      </c>
      <c r="CL563" s="712">
        <f>(WWWW[[#This Row],['#_Constructed latrines_by_WASHAgencies]]+WWWW[[#This Row],['#_Non Cluster partner latrines]])-WWWW[[#This Row],['#_Non-functional latrines]]</f>
        <v>2</v>
      </c>
      <c r="CM56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6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31</v>
      </c>
      <c r="CO56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3" s="712">
        <f>IF(WWWW[[#This Row],[Location Type 1]]="Village","NA",IF(WWWW[[#This Row],['#_Constructed/Existing latrines in TLS]]*50&gt;WWWW[[#This Row],['#_students at TLS_CFS]],WWWW[[#This Row],['#_students at TLS_CFS]],(WWWW[[#This Row],['#_Constructed/Existing latrines in TLS]]*50)))</f>
        <v>0</v>
      </c>
      <c r="CQ563" s="712">
        <f>ROUND(IF(WWWW[[#This Row],[Location Type 1]]="camp",WWWW[[#This Row],[Total PoP ]]/20,IF(WWWW[[#This Row],[Location Type 1]]="Temporary Location",WWWW[[#This Row],[Total PoP ]]/50,(WWWW[[#This Row],[Total PoP ]]/6))),0)</f>
        <v>2</v>
      </c>
      <c r="CR563" s="712">
        <f>IF(WWWW[[#This Row],[Total required Latrines]]-(WWWW[[#This Row],['#_Constructed latrines_by_WASHAgencies]]+WWWW[[#This Row],['#_Non Cluster partner latrines]])&lt;0,0,WWWW[[#This Row],[Total required Latrines]]-(WWWW[[#This Row],['#_Constructed latrines_by_WASHAgencies]]+WWWW[[#This Row],['#_Non Cluster partner latrines]]))</f>
        <v>0</v>
      </c>
      <c r="CS563" s="714">
        <f>1-WWWW[[#This Row],[% people access to functioning Latrine]]</f>
        <v>0</v>
      </c>
      <c r="CT563" s="713">
        <f>IF(OR(WWWW[[#This Row],['#_Non-functional latrines]]="",WWWW[[#This Row],['#_Non-functional latrines]]=0),0,WWWW[[#This Row],['#_Non-functional latrines]]/(WWWW[[#This Row],['#_Constructed latrines_by_WASHAgencies]]+WWWW[[#This Row],['#_Non Cluster partner latrines]]))</f>
        <v>0</v>
      </c>
      <c r="CU563" s="708">
        <f>IF(500*(WWWW[[#This Row],['#_male hygiene promoters]]+WWWW[[#This Row],['#_female hygiene promoters]])&gt;WWWW[[#This Row],[Total PoP ]],WWWW[[#This Row],[Total PoP ]],500*(WWWW[[#This Row],['#_male hygiene promoters]]+WWWW[[#This Row],['#_female hygiene promoters]]))</f>
        <v>31</v>
      </c>
      <c r="CV56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3" s="712">
        <f>IF(WWWW[[#This Row],['# People with access to soap]]&gt;WWWW[[#This Row],['# People with access to Sanity Pads]],WWWW[[#This Row],['# People with access to soap]],WWWW[[#This Row],['# People with access to Sanity Pads]])</f>
        <v>0</v>
      </c>
      <c r="CY563" s="712">
        <f>IF(WWWW[[#This Row],['# people reached by regular dedicated hygiene promotion_5]]&gt;WWWW[[#This Row],['# People received regular supply of hygiene items_6]],WWWW[[#This Row],['# people reached by regular dedicated hygiene promotion_5]],WWWW[[#This Row],['# People received regular supply of hygiene items_6]])</f>
        <v>31</v>
      </c>
      <c r="CZ563" s="714">
        <f>IF(WWWW[[#This Row],[HRP3]]/WWWW[[#This Row],[Total PoP ]]&gt;100%,100%,WWWW[[#This Row],[HRP3]]/WWWW[[#This Row],[Total PoP ]])</f>
        <v>1</v>
      </c>
      <c r="DA563" s="713">
        <f>1-WWWW[[#This Row],[Hygiene Coverage%]]</f>
        <v>0</v>
      </c>
      <c r="DB563" s="710">
        <f>WWWW[[#This Row],['# people reached by regular dedicated hygiene promotion_5]]/WWWW[[#This Row],[Total PoP ]]</f>
        <v>1</v>
      </c>
      <c r="DC563" s="710">
        <f>IF(WWWW[[#This Row],['#_households that received standard amount of soap for this quarter]]/WWWW[[#This Row],[Total HH]]&gt;1,1,WWWW[[#This Row],['#_households that received standard amount of soap for this quarter]]/WWWW[[#This Row],[Total HH]])</f>
        <v>0</v>
      </c>
      <c r="DD563" s="710">
        <f>IF(WWWW[[#This Row],['#_households that received standard amount of sanitary pads for this quarter]]/WWWW[[#This Row],[Total HH]]&gt;1,1,WWWW[[#This Row],['#_households that received standard amount of sanitary pads for this quarter]]/WWWW[[#This Row],[Total HH]])</f>
        <v>0</v>
      </c>
      <c r="DE563" s="712">
        <f>WWWW[[#This Row],['#_Constructed/Existing hand washing stations]]-WWWW[[#This Row],['#_Non-Functional_hand_washing_stations]]</f>
        <v>0</v>
      </c>
      <c r="DF563" s="757">
        <f>IF(WWWW[[#This Row],['# Functional hand washing stations during reporting period]]*20&gt;WWWW[[#This Row],[Total HH]],WWWW[[#This Row],[Total HH]],WWWW[[#This Row],['# Functional hand washing stations during reporting period]]*20)</f>
        <v>0</v>
      </c>
      <c r="DG563" s="708">
        <f>IF(WWWW[[#This Row],[Is sufficient soap available for TLS? (Yes/No)]]="yes",WWWW[[#This Row],['#_Constructed/Existing hand washing stations at TLS]],0)</f>
        <v>0</v>
      </c>
      <c r="DH563" s="759">
        <f>IF(WWWW[[#This Row],['# Functional hand washing stations during reporting period]]*100&gt;WWWW[[#This Row],[Total PoP ]],WWWW[[#This Row],[Total PoP ]],WWWW[[#This Row],['# Functional hand washing stations during reporting period]]*100)</f>
        <v>0</v>
      </c>
      <c r="DI563" s="759" t="str">
        <f>IF(OR(WWWW[[#This Row],['#_students at TLS_CFS]]="",WWWW[[#This Row],['#_students at TLS_CFS]]=0),"No","Yes")</f>
        <v>No</v>
      </c>
      <c r="DJ563" s="711" t="str">
        <f>VLOOKUP(WWWW[[#This Row],[Site Name]],SiteDB6[[Site Name]:[CCCM Management]],6,FALSE)</f>
        <v>Yes</v>
      </c>
      <c r="DK563" s="711" t="str">
        <f>VLOOKUP(WWWW[[#This Row],[Site Name]],SiteDB6[[Site Name]:[CCCM Focal Agency]],7,FALSE)</f>
        <v>uncovered</v>
      </c>
      <c r="DL563" s="711" t="str">
        <f>VLOOKUP(WWWW[[#This Row],[Site Name]],SiteDB6[[Site Name]:[Location Type 1]],9,FALSE)</f>
        <v>Camp</v>
      </c>
      <c r="DM563" s="711" t="str">
        <f>VLOOKUP(WWWW[[#This Row],[Site Name]],SiteDB6[[Site Name]:[Type of Accommodation]],10,FALSE)</f>
        <v>Camp like setting</v>
      </c>
      <c r="DN563" s="711" t="str">
        <f>VLOOKUP(WWWW[[#This Row],[Site Name]],SiteDB6[[Site Name]:[Ethnic or GCA/NGCA]],11,FALSE)</f>
        <v>GCA</v>
      </c>
      <c r="DO563" s="711">
        <f>VLOOKUP(WWWW[[#This Row],[Site Name]],SiteDB6[[Site Name]:[Lat]],12,FALSE)</f>
        <v>25.582065</v>
      </c>
      <c r="DP563" s="711">
        <f>VLOOKUP(WWWW[[#This Row],[Site Name]],SiteDB6[[Site Name]:[Long]],13,FALSE)</f>
        <v>96.283377000000002</v>
      </c>
      <c r="DQ563" s="711" t="str">
        <f>VLOOKUP(WWWW[[#This Row],[Site Name]],SiteDB6[[Site Name]:[Pcode]],3,FALSE)</f>
        <v>MMR001CMP109</v>
      </c>
      <c r="DR563" s="709" t="str">
        <f t="shared" si="21"/>
        <v>Covered</v>
      </c>
      <c r="DS563" s="709"/>
    </row>
    <row r="564" spans="1:123">
      <c r="A564" s="701" t="s">
        <v>2519</v>
      </c>
      <c r="B564" s="701" t="s">
        <v>250</v>
      </c>
      <c r="C564" s="702" t="s">
        <v>250</v>
      </c>
      <c r="D564" s="702" t="s">
        <v>315</v>
      </c>
      <c r="E564" s="702" t="s">
        <v>39</v>
      </c>
      <c r="F564" s="702" t="s">
        <v>154</v>
      </c>
      <c r="G564" s="711" t="str">
        <f>VLOOKUP(WWWW[[#This Row],[Site Name]],SiteDB6[[Site Name]:[Location Type]],8,FALSE)</f>
        <v>Camp</v>
      </c>
      <c r="H564" s="702" t="s">
        <v>253</v>
      </c>
      <c r="I564" s="705">
        <v>162</v>
      </c>
      <c r="J564" s="705">
        <v>830</v>
      </c>
      <c r="K564" s="706">
        <v>43313</v>
      </c>
      <c r="L564" s="707">
        <v>44043</v>
      </c>
      <c r="M564" s="705"/>
      <c r="N564" s="705">
        <v>1</v>
      </c>
      <c r="O564" s="705"/>
      <c r="P564" s="705"/>
      <c r="Q564" s="708" t="s">
        <v>43</v>
      </c>
      <c r="R564" s="705">
        <v>2</v>
      </c>
      <c r="S564" s="705">
        <v>3</v>
      </c>
      <c r="T564" s="807">
        <v>0</v>
      </c>
      <c r="U564" s="705"/>
      <c r="V564" s="705"/>
      <c r="W564" s="705">
        <v>0</v>
      </c>
      <c r="X564" s="705"/>
      <c r="Y564" s="705"/>
      <c r="Z564" s="705"/>
      <c r="AA564" s="705">
        <v>1</v>
      </c>
      <c r="AB564" s="705"/>
      <c r="AC564" s="705"/>
      <c r="AD564" s="705"/>
      <c r="AE564" s="705"/>
      <c r="AF564" s="705"/>
      <c r="AG564" s="705"/>
      <c r="AH564" s="705">
        <v>1</v>
      </c>
      <c r="AI564" s="705"/>
      <c r="AJ564" s="705"/>
      <c r="AK564" s="705"/>
      <c r="AL564" s="705"/>
      <c r="AM564" s="705"/>
      <c r="AN564" s="705"/>
      <c r="AO564" s="709"/>
      <c r="AP564" s="705">
        <v>40</v>
      </c>
      <c r="AQ564" s="705">
        <v>12</v>
      </c>
      <c r="AR564" s="710" t="s">
        <v>1249</v>
      </c>
      <c r="AS564" s="705"/>
      <c r="AT564" s="705"/>
      <c r="AU564" s="705"/>
      <c r="AV564" s="705"/>
      <c r="AW564" s="705">
        <v>0</v>
      </c>
      <c r="AX564" s="711" t="s">
        <v>144</v>
      </c>
      <c r="AY564" s="709" t="s">
        <v>1200</v>
      </c>
      <c r="AZ564" s="705">
        <v>0</v>
      </c>
      <c r="BA564" s="705">
        <v>0</v>
      </c>
      <c r="BB564" s="705">
        <v>0</v>
      </c>
      <c r="BC564" s="711"/>
      <c r="BD564" s="705">
        <v>5</v>
      </c>
      <c r="BE564" s="705"/>
      <c r="BF564" s="705">
        <v>0</v>
      </c>
      <c r="BG564" s="705">
        <v>9</v>
      </c>
      <c r="BH564" s="705"/>
      <c r="BI564" s="705">
        <v>2</v>
      </c>
      <c r="BJ564" s="705">
        <v>3</v>
      </c>
      <c r="BK564" s="705"/>
      <c r="BL564" s="705"/>
      <c r="BM564" s="711" t="s">
        <v>144</v>
      </c>
      <c r="BN564" s="712"/>
      <c r="BO564" s="710">
        <v>0.2</v>
      </c>
      <c r="BP564" s="711"/>
      <c r="BQ564" s="713" t="str">
        <f>IFERROR(WWWW[[#This Row],['#_Water sources treated]]/WWWW[[#This Row],['#_Water sources tested for contamination]],"no test")</f>
        <v>no test</v>
      </c>
      <c r="BR564" s="710" t="str">
        <f>IFERROR(WWWW[[#This Row],['#_Household received remediation action due to contamination]]/WWWW[[#This Row],['#_Household water samples tested for contamination]],"no test")</f>
        <v>no test</v>
      </c>
      <c r="BS564" s="712" t="str">
        <f>IF(AND(WWWW[[#This Row],[% of water sources treated]]="no test",WWWW[[#This Row],[% Household received corrective actions]]="no test"),"No Test","Tested")</f>
        <v>No Test</v>
      </c>
      <c r="BT564" s="712">
        <f>WWWW[[#This Row],['#_Constructed/existing protected hand dug well]]-WWWW[[#This Row],['#_Non-functional protected hand dug well]]</f>
        <v>0</v>
      </c>
      <c r="BU564" s="712">
        <f>(WWWW[[#This Row],['#_Constructed/Existing tube wells/boreholes/handpumps_WASH_agency]]+WWWW[[#This Row],['#_Non-Cluster partner water tube-wells/boreholes/handpumps]])-WWWW[[#This Row],['#_Non-functional tube wells/boreholes/handpumps]]</f>
        <v>0</v>
      </c>
      <c r="BV564" s="712">
        <f>WWWW[[#This Row],['#_Constructed/Existingwater storage tank with gravity fed reticulation system]]-WWWW[[#This Row],['#_Non-functional storage tank gravity fed reticulation system]]</f>
        <v>1</v>
      </c>
      <c r="BW564" s="712">
        <f>WWWW[[#This Row],['#_Water boating or water trucking]]</f>
        <v>0</v>
      </c>
      <c r="BX564" s="712">
        <f>WWWW[[#This Row],['#_Constructed/Existing water distribution system from river or natural spring]]</f>
        <v>0</v>
      </c>
      <c r="BY56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8.0321285140562249E-2</v>
      </c>
      <c r="BZ56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8.0321285140562249E-2</v>
      </c>
      <c r="CA564" s="710">
        <f>IF(WWWW[[#This Row],[Location Type 1]]="Village",WWWW[[#This Row],[Access to safe drinking water for Village]],WWWW[[#This Row],[Access to safe drinking water for Camp]])</f>
        <v>8.0321285140562249E-2</v>
      </c>
      <c r="CB564" s="708">
        <f>WWWW[[#This Row],[%Equitable and continuous access to sufficient quantity of safe drinking water]]*WWWW[[#This Row],[Total PoP ]]</f>
        <v>66.666666666666671</v>
      </c>
      <c r="CC564" s="710">
        <f>IF((WWWW[[#This Row],['#_Constructed/Existing protected/fenced ponds]]*250)/WWWW[[#This Row],[Total PoP ]]&gt;1,1,(WWWW[[#This Row],['#_Constructed/Existing protected/fenced ponds]]*250)/WWWW[[#This Row],[Total PoP ]])</f>
        <v>0</v>
      </c>
      <c r="CD564" s="708">
        <f>WWWW[[#This Row],[% Access to unimproved water points]]*WWWW[[#This Row],[Total PoP ]]</f>
        <v>0</v>
      </c>
      <c r="CE56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8.0321285140562249E-2</v>
      </c>
      <c r="CF56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64" s="708">
        <f>WWWW[[#This Row],[HRP1]]/500</f>
        <v>0.13333333333333333</v>
      </c>
      <c r="CH564" s="714">
        <f>1-WWWW[[#This Row],[% Equitable and continuous access to sufficient quantity of domestic water]]</f>
        <v>0.91967871485943775</v>
      </c>
      <c r="CI564" s="708">
        <f>WWWW[[#This Row],[%equitable and continuous access to sufficient quantity of safe drinking and domestic water''s GAP]]*WWWW[[#This Row],[Total PoP ]]</f>
        <v>763.33333333333337</v>
      </c>
      <c r="CJ564" s="712">
        <f>IF(WWWW[[#This Row],[Total required water points]]-WWWW[[#This Row],['#Water points coverage]]&lt;0,0,WWWW[[#This Row],[Total required water points]]-WWWW[[#This Row],['#Water points coverage]])</f>
        <v>1.8666666666666667</v>
      </c>
      <c r="CK564" s="712">
        <f>ROUND(IF(WWWW[[#This Row],[Total PoP ]]&lt;500,1,WWWW[[#This Row],[Total PoP ]]/500),0)</f>
        <v>2</v>
      </c>
      <c r="CL564" s="712">
        <f>(WWWW[[#This Row],['#_Constructed latrines_by_WASHAgencies]]+WWWW[[#This Row],['#_Non Cluster partner latrines]])-WWWW[[#This Row],['#_Non-functional latrines]]</f>
        <v>52</v>
      </c>
      <c r="CM56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6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830</v>
      </c>
      <c r="CO56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4" s="712">
        <f>IF(WWWW[[#This Row],[Location Type 1]]="Village","NA",IF(WWWW[[#This Row],['#_Constructed/Existing latrines in TLS]]*50&gt;WWWW[[#This Row],['#_students at TLS_CFS]],WWWW[[#This Row],['#_students at TLS_CFS]],(WWWW[[#This Row],['#_Constructed/Existing latrines in TLS]]*50)))</f>
        <v>0</v>
      </c>
      <c r="CQ564" s="712">
        <f>ROUND(IF(WWWW[[#This Row],[Location Type 1]]="camp",WWWW[[#This Row],[Total PoP ]]/20,IF(WWWW[[#This Row],[Location Type 1]]="Temporary Location",WWWW[[#This Row],[Total PoP ]]/50,(WWWW[[#This Row],[Total PoP ]]/6))),0)</f>
        <v>42</v>
      </c>
      <c r="CR564" s="712">
        <f>IF(WWWW[[#This Row],[Total required Latrines]]-(WWWW[[#This Row],['#_Constructed latrines_by_WASHAgencies]]+WWWW[[#This Row],['#_Non Cluster partner latrines]])&lt;0,0,WWWW[[#This Row],[Total required Latrines]]-(WWWW[[#This Row],['#_Constructed latrines_by_WASHAgencies]]+WWWW[[#This Row],['#_Non Cluster partner latrines]]))</f>
        <v>0</v>
      </c>
      <c r="CS564" s="714">
        <f>1-WWWW[[#This Row],[% people access to functioning Latrine]]</f>
        <v>0</v>
      </c>
      <c r="CT564" s="713">
        <f>IF(OR(WWWW[[#This Row],['#_Non-functional latrines]]="",WWWW[[#This Row],['#_Non-functional latrines]]=0),0,WWWW[[#This Row],['#_Non-functional latrines]]/(WWWW[[#This Row],['#_Constructed latrines_by_WASHAgencies]]+WWWW[[#This Row],['#_Non Cluster partner latrines]]))</f>
        <v>0</v>
      </c>
      <c r="CU564" s="708">
        <f>IF(500*(WWWW[[#This Row],['#_male hygiene promoters]]+WWWW[[#This Row],['#_female hygiene promoters]])&gt;WWWW[[#This Row],[Total PoP ]],WWWW[[#This Row],[Total PoP ]],500*(WWWW[[#This Row],['#_male hygiene promoters]]+WWWW[[#This Row],['#_female hygiene promoters]]))</f>
        <v>830</v>
      </c>
      <c r="CV56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4" s="712">
        <f>IF(WWWW[[#This Row],['# People with access to soap]]&gt;WWWW[[#This Row],['# People with access to Sanity Pads]],WWWW[[#This Row],['# People with access to soap]],WWWW[[#This Row],['# People with access to Sanity Pads]])</f>
        <v>0</v>
      </c>
      <c r="CY564" s="712">
        <f>IF(WWWW[[#This Row],['# people reached by regular dedicated hygiene promotion_5]]&gt;WWWW[[#This Row],['# People received regular supply of hygiene items_6]],WWWW[[#This Row],['# people reached by regular dedicated hygiene promotion_5]],WWWW[[#This Row],['# People received regular supply of hygiene items_6]])</f>
        <v>830</v>
      </c>
      <c r="CZ564" s="714">
        <f>IF(WWWW[[#This Row],[HRP3]]/WWWW[[#This Row],[Total PoP ]]&gt;100%,100%,WWWW[[#This Row],[HRP3]]/WWWW[[#This Row],[Total PoP ]])</f>
        <v>1</v>
      </c>
      <c r="DA564" s="713">
        <f>1-WWWW[[#This Row],[Hygiene Coverage%]]</f>
        <v>0</v>
      </c>
      <c r="DB564" s="710">
        <f>WWWW[[#This Row],['# people reached by regular dedicated hygiene promotion_5]]/WWWW[[#This Row],[Total PoP ]]</f>
        <v>1</v>
      </c>
      <c r="DC564" s="710">
        <f>IF(WWWW[[#This Row],['#_households that received standard amount of soap for this quarter]]/WWWW[[#This Row],[Total HH]]&gt;1,1,WWWW[[#This Row],['#_households that received standard amount of soap for this quarter]]/WWWW[[#This Row],[Total HH]])</f>
        <v>0</v>
      </c>
      <c r="DD564" s="710">
        <f>IF(WWWW[[#This Row],['#_households that received standard amount of sanitary pads for this quarter]]/WWWW[[#This Row],[Total HH]]&gt;1,1,WWWW[[#This Row],['#_households that received standard amount of sanitary pads for this quarter]]/WWWW[[#This Row],[Total HH]])</f>
        <v>0</v>
      </c>
      <c r="DE564" s="712">
        <f>WWWW[[#This Row],['#_Constructed/Existing hand washing stations]]-WWWW[[#This Row],['#_Non-Functional_hand_washing_stations]]</f>
        <v>5</v>
      </c>
      <c r="DF564" s="757">
        <f>IF(WWWW[[#This Row],['# Functional hand washing stations during reporting period]]*20&gt;WWWW[[#This Row],[Total HH]],WWWW[[#This Row],[Total HH]],WWWW[[#This Row],['# Functional hand washing stations during reporting period]]*20)</f>
        <v>100</v>
      </c>
      <c r="DG564" s="708">
        <f>IF(WWWW[[#This Row],[Is sufficient soap available for TLS? (Yes/No)]]="yes",WWWW[[#This Row],['#_Constructed/Existing hand washing stations at TLS]],0)</f>
        <v>0</v>
      </c>
      <c r="DH564" s="759">
        <f>IF(WWWW[[#This Row],['# Functional hand washing stations during reporting period]]*100&gt;WWWW[[#This Row],[Total PoP ]],WWWW[[#This Row],[Total PoP ]],WWWW[[#This Row],['# Functional hand washing stations during reporting period]]*100)</f>
        <v>500</v>
      </c>
      <c r="DI564" s="759" t="str">
        <f>IF(OR(WWWW[[#This Row],['#_students at TLS_CFS]]="",WWWW[[#This Row],['#_students at TLS_CFS]]=0),"No","Yes")</f>
        <v>No</v>
      </c>
      <c r="DJ564" s="711" t="str">
        <f>VLOOKUP(WWWW[[#This Row],[Site Name]],SiteDB6[[Site Name]:[CCCM Management]],6,FALSE)</f>
        <v>Yes</v>
      </c>
      <c r="DK564" s="711" t="str">
        <f>VLOOKUP(WWWW[[#This Row],[Site Name]],SiteDB6[[Site Name]:[CCCM Focal Agency]],7,FALSE)</f>
        <v>Shalom</v>
      </c>
      <c r="DL564" s="711" t="str">
        <f>VLOOKUP(WWWW[[#This Row],[Site Name]],SiteDB6[[Site Name]:[Location Type 1]],9,FALSE)</f>
        <v>Camp</v>
      </c>
      <c r="DM564" s="711" t="str">
        <f>VLOOKUP(WWWW[[#This Row],[Site Name]],SiteDB6[[Site Name]:[Type of Accommodation]],10,FALSE)</f>
        <v>Camp</v>
      </c>
      <c r="DN564" s="711" t="str">
        <f>VLOOKUP(WWWW[[#This Row],[Site Name]],SiteDB6[[Site Name]:[Ethnic or GCA/NGCA]],11,FALSE)</f>
        <v>GCA</v>
      </c>
      <c r="DO564" s="711">
        <f>VLOOKUP(WWWW[[#This Row],[Site Name]],SiteDB6[[Site Name]:[Lat]],12,FALSE)</f>
        <v>25.889410000000002</v>
      </c>
      <c r="DP564" s="711">
        <f>VLOOKUP(WWWW[[#This Row],[Site Name]],SiteDB6[[Site Name]:[Long]],13,FALSE)</f>
        <v>98.131550000000004</v>
      </c>
      <c r="DQ564" s="711" t="str">
        <f>VLOOKUP(WWWW[[#This Row],[Site Name]],SiteDB6[[Site Name]:[Pcode]],3,FALSE)</f>
        <v>MMR001CMP042</v>
      </c>
      <c r="DR564" s="709" t="str">
        <f t="shared" si="21"/>
        <v>Covered</v>
      </c>
      <c r="DS564" s="709"/>
    </row>
    <row r="565" spans="1:123">
      <c r="A565" s="701" t="s">
        <v>2519</v>
      </c>
      <c r="B565" s="701" t="s">
        <v>250</v>
      </c>
      <c r="C565" s="702" t="s">
        <v>250</v>
      </c>
      <c r="D565" s="702" t="s">
        <v>315</v>
      </c>
      <c r="E565" s="702" t="s">
        <v>39</v>
      </c>
      <c r="F565" s="702" t="s">
        <v>156</v>
      </c>
      <c r="G565" s="711" t="str">
        <f>VLOOKUP(WWWW[[#This Row],[Site Name]],SiteDB6[[Site Name]:[Location Type]],8,FALSE)</f>
        <v>Camp</v>
      </c>
      <c r="H565" s="702" t="s">
        <v>260</v>
      </c>
      <c r="I565" s="705">
        <v>70</v>
      </c>
      <c r="J565" s="705">
        <v>377</v>
      </c>
      <c r="K565" s="706">
        <v>43313</v>
      </c>
      <c r="L565" s="707">
        <v>44043</v>
      </c>
      <c r="M565" s="705"/>
      <c r="N565" s="705">
        <v>1</v>
      </c>
      <c r="O565" s="705">
        <v>0</v>
      </c>
      <c r="P565" s="705">
        <v>0</v>
      </c>
      <c r="Q565" s="708" t="s">
        <v>43</v>
      </c>
      <c r="R565" s="705">
        <v>4</v>
      </c>
      <c r="S565" s="705">
        <v>4</v>
      </c>
      <c r="T565" s="807">
        <v>0</v>
      </c>
      <c r="U565" s="705"/>
      <c r="V565" s="705"/>
      <c r="W565" s="705">
        <v>0</v>
      </c>
      <c r="X565" s="705">
        <v>0</v>
      </c>
      <c r="Y565" s="705"/>
      <c r="Z565" s="705"/>
      <c r="AA565" s="705">
        <v>0</v>
      </c>
      <c r="AB565" s="705"/>
      <c r="AC565" s="705"/>
      <c r="AD565" s="705">
        <v>0</v>
      </c>
      <c r="AE565" s="705">
        <v>0</v>
      </c>
      <c r="AF565" s="705">
        <v>0</v>
      </c>
      <c r="AG565" s="705">
        <v>0</v>
      </c>
      <c r="AH565" s="705">
        <v>0</v>
      </c>
      <c r="AI565" s="705"/>
      <c r="AJ565" s="705"/>
      <c r="AK565" s="705"/>
      <c r="AL565" s="705"/>
      <c r="AM565" s="705">
        <v>0</v>
      </c>
      <c r="AN565" s="705">
        <v>0</v>
      </c>
      <c r="AO565" s="709"/>
      <c r="AP565" s="705">
        <v>24</v>
      </c>
      <c r="AQ565" s="705">
        <v>0</v>
      </c>
      <c r="AR565" s="710" t="s">
        <v>250</v>
      </c>
      <c r="AS565" s="705"/>
      <c r="AT565" s="705"/>
      <c r="AU565" s="705"/>
      <c r="AV565" s="705"/>
      <c r="AW565" s="705">
        <v>0</v>
      </c>
      <c r="AX565" s="711" t="s">
        <v>43</v>
      </c>
      <c r="AY565" s="709" t="s">
        <v>145</v>
      </c>
      <c r="AZ565" s="705">
        <v>0</v>
      </c>
      <c r="BA565" s="705">
        <v>1</v>
      </c>
      <c r="BB565" s="705">
        <v>0</v>
      </c>
      <c r="BC565" s="711"/>
      <c r="BD565" s="705">
        <v>3</v>
      </c>
      <c r="BE565" s="705"/>
      <c r="BF565" s="705">
        <v>0</v>
      </c>
      <c r="BG565" s="705">
        <v>3</v>
      </c>
      <c r="BH565" s="705"/>
      <c r="BI565" s="705">
        <v>2</v>
      </c>
      <c r="BJ565" s="705">
        <v>3</v>
      </c>
      <c r="BK565" s="705"/>
      <c r="BL565" s="705"/>
      <c r="BM565" s="711" t="s">
        <v>144</v>
      </c>
      <c r="BN565" s="712"/>
      <c r="BO565" s="710">
        <v>0.25</v>
      </c>
      <c r="BP565" s="711"/>
      <c r="BQ565" s="713" t="str">
        <f>IFERROR(WWWW[[#This Row],['#_Water sources treated]]/WWWW[[#This Row],['#_Water sources tested for contamination]],"no test")</f>
        <v>no test</v>
      </c>
      <c r="BR565" s="710" t="str">
        <f>IFERROR(WWWW[[#This Row],['#_Household received remediation action due to contamination]]/WWWW[[#This Row],['#_Household water samples tested for contamination]],"no test")</f>
        <v>no test</v>
      </c>
      <c r="BS565" s="712" t="str">
        <f>IF(AND(WWWW[[#This Row],[% of water sources treated]]="no test",WWWW[[#This Row],[% Household received corrective actions]]="no test"),"No Test","Tested")</f>
        <v>No Test</v>
      </c>
      <c r="BT565" s="712">
        <f>WWWW[[#This Row],['#_Constructed/existing protected hand dug well]]-WWWW[[#This Row],['#_Non-functional protected hand dug well]]</f>
        <v>0</v>
      </c>
      <c r="BU565" s="712">
        <f>(WWWW[[#This Row],['#_Constructed/Existing tube wells/boreholes/handpumps_WASH_agency]]+WWWW[[#This Row],['#_Non-Cluster partner water tube-wells/boreholes/handpumps]])-WWWW[[#This Row],['#_Non-functional tube wells/boreholes/handpumps]]</f>
        <v>0</v>
      </c>
      <c r="BV565" s="712">
        <f>WWWW[[#This Row],['#_Constructed/Existingwater storage tank with gravity fed reticulation system]]-WWWW[[#This Row],['#_Non-functional storage tank gravity fed reticulation system]]</f>
        <v>0</v>
      </c>
      <c r="BW565" s="712">
        <f>WWWW[[#This Row],['#_Water boating or water trucking]]</f>
        <v>0</v>
      </c>
      <c r="BX565" s="712">
        <f>WWWW[[#This Row],['#_Constructed/Existing water distribution system from river or natural spring]]</f>
        <v>0</v>
      </c>
      <c r="BY56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6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65" s="710">
        <f>IF(WWWW[[#This Row],[Location Type 1]]="Village",WWWW[[#This Row],[Access to safe drinking water for Village]],WWWW[[#This Row],[Access to safe drinking water for Camp]])</f>
        <v>0</v>
      </c>
      <c r="CB565" s="708">
        <f>WWWW[[#This Row],[%Equitable and continuous access to sufficient quantity of safe drinking water]]*WWWW[[#This Row],[Total PoP ]]</f>
        <v>0</v>
      </c>
      <c r="CC565" s="710">
        <f>IF((WWWW[[#This Row],['#_Constructed/Existing protected/fenced ponds]]*250)/WWWW[[#This Row],[Total PoP ]]&gt;1,1,(WWWW[[#This Row],['#_Constructed/Existing protected/fenced ponds]]*250)/WWWW[[#This Row],[Total PoP ]])</f>
        <v>0</v>
      </c>
      <c r="CD565" s="708">
        <f>WWWW[[#This Row],[% Access to unimproved water points]]*WWWW[[#This Row],[Total PoP ]]</f>
        <v>0</v>
      </c>
      <c r="CE56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6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65" s="708">
        <f>WWWW[[#This Row],[HRP1]]/500</f>
        <v>0</v>
      </c>
      <c r="CH565" s="714">
        <f>1-WWWW[[#This Row],[% Equitable and continuous access to sufficient quantity of domestic water]]</f>
        <v>1</v>
      </c>
      <c r="CI565" s="708">
        <f>WWWW[[#This Row],[%equitable and continuous access to sufficient quantity of safe drinking and domestic water''s GAP]]*WWWW[[#This Row],[Total PoP ]]</f>
        <v>377</v>
      </c>
      <c r="CJ565" s="712">
        <f>IF(WWWW[[#This Row],[Total required water points]]-WWWW[[#This Row],['#Water points coverage]]&lt;0,0,WWWW[[#This Row],[Total required water points]]-WWWW[[#This Row],['#Water points coverage]])</f>
        <v>1</v>
      </c>
      <c r="CK565" s="712">
        <f>ROUND(IF(WWWW[[#This Row],[Total PoP ]]&lt;500,1,WWWW[[#This Row],[Total PoP ]]/500),0)</f>
        <v>1</v>
      </c>
      <c r="CL565" s="712">
        <f>(WWWW[[#This Row],['#_Constructed latrines_by_WASHAgencies]]+WWWW[[#This Row],['#_Non Cluster partner latrines]])-WWWW[[#This Row],['#_Non-functional latrines]]</f>
        <v>24</v>
      </c>
      <c r="CM56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6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377</v>
      </c>
      <c r="CO56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5" s="712">
        <f>IF(WWWW[[#This Row],[Location Type 1]]="Village","NA",IF(WWWW[[#This Row],['#_Constructed/Existing latrines in TLS]]*50&gt;WWWW[[#This Row],['#_students at TLS_CFS]],WWWW[[#This Row],['#_students at TLS_CFS]],(WWWW[[#This Row],['#_Constructed/Existing latrines in TLS]]*50)))</f>
        <v>0</v>
      </c>
      <c r="CQ565" s="712">
        <f>ROUND(IF(WWWW[[#This Row],[Location Type 1]]="camp",WWWW[[#This Row],[Total PoP ]]/20,IF(WWWW[[#This Row],[Location Type 1]]="Temporary Location",WWWW[[#This Row],[Total PoP ]]/50,(WWWW[[#This Row],[Total PoP ]]/6))),0)</f>
        <v>19</v>
      </c>
      <c r="CR565" s="712">
        <f>IF(WWWW[[#This Row],[Total required Latrines]]-(WWWW[[#This Row],['#_Constructed latrines_by_WASHAgencies]]+WWWW[[#This Row],['#_Non Cluster partner latrines]])&lt;0,0,WWWW[[#This Row],[Total required Latrines]]-(WWWW[[#This Row],['#_Constructed latrines_by_WASHAgencies]]+WWWW[[#This Row],['#_Non Cluster partner latrines]]))</f>
        <v>0</v>
      </c>
      <c r="CS565" s="714">
        <f>1-WWWW[[#This Row],[% people access to functioning Latrine]]</f>
        <v>0</v>
      </c>
      <c r="CT565" s="713">
        <f>IF(OR(WWWW[[#This Row],['#_Non-functional latrines]]="",WWWW[[#This Row],['#_Non-functional latrines]]=0),0,WWWW[[#This Row],['#_Non-functional latrines]]/(WWWW[[#This Row],['#_Constructed latrines_by_WASHAgencies]]+WWWW[[#This Row],['#_Non Cluster partner latrines]]))</f>
        <v>0</v>
      </c>
      <c r="CU565" s="708">
        <f>IF(500*(WWWW[[#This Row],['#_male hygiene promoters]]+WWWW[[#This Row],['#_female hygiene promoters]])&gt;WWWW[[#This Row],[Total PoP ]],WWWW[[#This Row],[Total PoP ]],500*(WWWW[[#This Row],['#_male hygiene promoters]]+WWWW[[#This Row],['#_female hygiene promoters]]))</f>
        <v>377</v>
      </c>
      <c r="CV56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5" s="712">
        <f>IF(WWWW[[#This Row],['# People with access to soap]]&gt;WWWW[[#This Row],['# People with access to Sanity Pads]],WWWW[[#This Row],['# People with access to soap]],WWWW[[#This Row],['# People with access to Sanity Pads]])</f>
        <v>0</v>
      </c>
      <c r="CY565" s="712">
        <f>IF(WWWW[[#This Row],['# people reached by regular dedicated hygiene promotion_5]]&gt;WWWW[[#This Row],['# People received regular supply of hygiene items_6]],WWWW[[#This Row],['# people reached by regular dedicated hygiene promotion_5]],WWWW[[#This Row],['# People received regular supply of hygiene items_6]])</f>
        <v>377</v>
      </c>
      <c r="CZ565" s="714">
        <f>IF(WWWW[[#This Row],[HRP3]]/WWWW[[#This Row],[Total PoP ]]&gt;100%,100%,WWWW[[#This Row],[HRP3]]/WWWW[[#This Row],[Total PoP ]])</f>
        <v>1</v>
      </c>
      <c r="DA565" s="713">
        <f>1-WWWW[[#This Row],[Hygiene Coverage%]]</f>
        <v>0</v>
      </c>
      <c r="DB565" s="710">
        <f>WWWW[[#This Row],['# people reached by regular dedicated hygiene promotion_5]]/WWWW[[#This Row],[Total PoP ]]</f>
        <v>1</v>
      </c>
      <c r="DC565" s="710">
        <f>IF(WWWW[[#This Row],['#_households that received standard amount of soap for this quarter]]/WWWW[[#This Row],[Total HH]]&gt;1,1,WWWW[[#This Row],['#_households that received standard amount of soap for this quarter]]/WWWW[[#This Row],[Total HH]])</f>
        <v>0</v>
      </c>
      <c r="DD565" s="710">
        <f>IF(WWWW[[#This Row],['#_households that received standard amount of sanitary pads for this quarter]]/WWWW[[#This Row],[Total HH]]&gt;1,1,WWWW[[#This Row],['#_households that received standard amount of sanitary pads for this quarter]]/WWWW[[#This Row],[Total HH]])</f>
        <v>0</v>
      </c>
      <c r="DE565" s="712">
        <f>WWWW[[#This Row],['#_Constructed/Existing hand washing stations]]-WWWW[[#This Row],['#_Non-Functional_hand_washing_stations]]</f>
        <v>3</v>
      </c>
      <c r="DF565" s="757">
        <f>IF(WWWW[[#This Row],['# Functional hand washing stations during reporting period]]*20&gt;WWWW[[#This Row],[Total HH]],WWWW[[#This Row],[Total HH]],WWWW[[#This Row],['# Functional hand washing stations during reporting period]]*20)</f>
        <v>60</v>
      </c>
      <c r="DG565" s="708">
        <f>IF(WWWW[[#This Row],[Is sufficient soap available for TLS? (Yes/No)]]="yes",WWWW[[#This Row],['#_Constructed/Existing hand washing stations at TLS]],0)</f>
        <v>0</v>
      </c>
      <c r="DH565" s="759">
        <f>IF(WWWW[[#This Row],['# Functional hand washing stations during reporting period]]*100&gt;WWWW[[#This Row],[Total PoP ]],WWWW[[#This Row],[Total PoP ]],WWWW[[#This Row],['# Functional hand washing stations during reporting period]]*100)</f>
        <v>300</v>
      </c>
      <c r="DI565" s="759" t="str">
        <f>IF(OR(WWWW[[#This Row],['#_students at TLS_CFS]]="",WWWW[[#This Row],['#_students at TLS_CFS]]=0),"No","Yes")</f>
        <v>No</v>
      </c>
      <c r="DJ565" s="711" t="str">
        <f>VLOOKUP(WWWW[[#This Row],[Site Name]],SiteDB6[[Site Name]:[CCCM Management]],6,FALSE)</f>
        <v>Yes</v>
      </c>
      <c r="DK565" s="711" t="str">
        <f>VLOOKUP(WWWW[[#This Row],[Site Name]],SiteDB6[[Site Name]:[CCCM Focal Agency]],7,FALSE)</f>
        <v>Shalom</v>
      </c>
      <c r="DL565" s="711" t="str">
        <f>VLOOKUP(WWWW[[#This Row],[Site Name]],SiteDB6[[Site Name]:[Location Type 1]],9,FALSE)</f>
        <v>Camp</v>
      </c>
      <c r="DM565" s="711" t="str">
        <f>VLOOKUP(WWWW[[#This Row],[Site Name]],SiteDB6[[Site Name]:[Type of Accommodation]],10,FALSE)</f>
        <v>Camp</v>
      </c>
      <c r="DN565" s="711" t="str">
        <f>VLOOKUP(WWWW[[#This Row],[Site Name]],SiteDB6[[Site Name]:[Ethnic or GCA/NGCA]],11,FALSE)</f>
        <v>GCA</v>
      </c>
      <c r="DO565" s="711">
        <f>VLOOKUP(WWWW[[#This Row],[Site Name]],SiteDB6[[Site Name]:[Lat]],12,FALSE)</f>
        <v>25.637309999999999</v>
      </c>
      <c r="DP565" s="711">
        <f>VLOOKUP(WWWW[[#This Row],[Site Name]],SiteDB6[[Site Name]:[Long]],13,FALSE)</f>
        <v>96.35257</v>
      </c>
      <c r="DQ565" s="711" t="str">
        <f>VLOOKUP(WWWW[[#This Row],[Site Name]],SiteDB6[[Site Name]:[Pcode]],3,FALSE)</f>
        <v>MMR001CMP174</v>
      </c>
      <c r="DR565" s="709" t="str">
        <f t="shared" si="21"/>
        <v>Covered</v>
      </c>
      <c r="DS565" s="709"/>
    </row>
    <row r="566" spans="1:123">
      <c r="A566" s="701" t="s">
        <v>2519</v>
      </c>
      <c r="B566" s="701" t="s">
        <v>250</v>
      </c>
      <c r="C566" s="702" t="s">
        <v>250</v>
      </c>
      <c r="D566" s="702" t="s">
        <v>315</v>
      </c>
      <c r="E566" s="702" t="s">
        <v>39</v>
      </c>
      <c r="F566" s="702" t="s">
        <v>150</v>
      </c>
      <c r="G566" s="711" t="str">
        <f>VLOOKUP(WWWW[[#This Row],[Site Name]],SiteDB6[[Site Name]:[Location Type]],8,FALSE)</f>
        <v>Camp</v>
      </c>
      <c r="H566" s="702" t="s">
        <v>276</v>
      </c>
      <c r="I566" s="705">
        <v>92</v>
      </c>
      <c r="J566" s="705">
        <v>448</v>
      </c>
      <c r="K566" s="706">
        <v>43313</v>
      </c>
      <c r="L566" s="707">
        <v>44043</v>
      </c>
      <c r="M566" s="705"/>
      <c r="N566" s="705">
        <v>1</v>
      </c>
      <c r="O566" s="705">
        <v>0</v>
      </c>
      <c r="P566" s="705">
        <v>0</v>
      </c>
      <c r="Q566" s="708" t="s">
        <v>43</v>
      </c>
      <c r="R566" s="705">
        <v>4</v>
      </c>
      <c r="S566" s="705">
        <v>4</v>
      </c>
      <c r="T566" s="807">
        <v>2</v>
      </c>
      <c r="U566" s="705"/>
      <c r="V566" s="705"/>
      <c r="W566" s="705">
        <v>3</v>
      </c>
      <c r="X566" s="705">
        <v>3</v>
      </c>
      <c r="Y566" s="705"/>
      <c r="Z566" s="705"/>
      <c r="AA566" s="705">
        <v>0</v>
      </c>
      <c r="AB566" s="705"/>
      <c r="AC566" s="705"/>
      <c r="AD566" s="705">
        <v>0</v>
      </c>
      <c r="AE566" s="705">
        <v>0</v>
      </c>
      <c r="AF566" s="705">
        <v>0</v>
      </c>
      <c r="AG566" s="705">
        <v>0</v>
      </c>
      <c r="AH566" s="705">
        <v>2</v>
      </c>
      <c r="AI566" s="705"/>
      <c r="AJ566" s="705"/>
      <c r="AK566" s="705"/>
      <c r="AL566" s="705"/>
      <c r="AM566" s="705">
        <v>0</v>
      </c>
      <c r="AN566" s="705">
        <v>0</v>
      </c>
      <c r="AO566" s="709"/>
      <c r="AP566" s="705">
        <v>16</v>
      </c>
      <c r="AQ566" s="705">
        <v>6</v>
      </c>
      <c r="AR566" s="710" t="s">
        <v>3111</v>
      </c>
      <c r="AS566" s="705"/>
      <c r="AT566" s="705"/>
      <c r="AU566" s="705"/>
      <c r="AV566" s="705"/>
      <c r="AW566" s="705">
        <v>0</v>
      </c>
      <c r="AX566" s="711" t="s">
        <v>43</v>
      </c>
      <c r="AY566" s="709" t="s">
        <v>145</v>
      </c>
      <c r="AZ566" s="705">
        <v>2</v>
      </c>
      <c r="BA566" s="705">
        <v>2</v>
      </c>
      <c r="BB566" s="705">
        <v>0</v>
      </c>
      <c r="BC566" s="711"/>
      <c r="BD566" s="705">
        <v>0</v>
      </c>
      <c r="BE566" s="705"/>
      <c r="BF566" s="705">
        <v>0</v>
      </c>
      <c r="BG566" s="705">
        <v>0</v>
      </c>
      <c r="BH566" s="705"/>
      <c r="BI566" s="705">
        <v>0</v>
      </c>
      <c r="BJ566" s="705">
        <v>0</v>
      </c>
      <c r="BK566" s="705"/>
      <c r="BL566" s="705"/>
      <c r="BM566" s="711" t="s">
        <v>144</v>
      </c>
      <c r="BN566" s="712"/>
      <c r="BO566" s="710">
        <v>0</v>
      </c>
      <c r="BP566" s="711"/>
      <c r="BQ566" s="713" t="str">
        <f>IFERROR(WWWW[[#This Row],['#_Water sources treated]]/WWWW[[#This Row],['#_Water sources tested for contamination]],"no test")</f>
        <v>no test</v>
      </c>
      <c r="BR566" s="710" t="str">
        <f>IFERROR(WWWW[[#This Row],['#_Household received remediation action due to contamination]]/WWWW[[#This Row],['#_Household water samples tested for contamination]],"no test")</f>
        <v>no test</v>
      </c>
      <c r="BS566" s="712" t="str">
        <f>IF(AND(WWWW[[#This Row],[% of water sources treated]]="no test",WWWW[[#This Row],[% Household received corrective actions]]="no test"),"No Test","Tested")</f>
        <v>No Test</v>
      </c>
      <c r="BT566" s="712">
        <f>WWWW[[#This Row],['#_Constructed/existing protected hand dug well]]-WWWW[[#This Row],['#_Non-functional protected hand dug well]]</f>
        <v>2</v>
      </c>
      <c r="BU566" s="712">
        <f>(WWWW[[#This Row],['#_Constructed/Existing tube wells/boreholes/handpumps_WASH_agency]]+WWWW[[#This Row],['#_Non-Cluster partner water tube-wells/boreholes/handpumps]])-WWWW[[#This Row],['#_Non-functional tube wells/boreholes/handpumps]]</f>
        <v>6</v>
      </c>
      <c r="BV566" s="712">
        <f>WWWW[[#This Row],['#_Constructed/Existingwater storage tank with gravity fed reticulation system]]-WWWW[[#This Row],['#_Non-functional storage tank gravity fed reticulation system]]</f>
        <v>0</v>
      </c>
      <c r="BW566" s="712">
        <f>WWWW[[#This Row],['#_Water boating or water trucking]]</f>
        <v>0</v>
      </c>
      <c r="BX566" s="712">
        <f>WWWW[[#This Row],['#_Constructed/Existing water distribution system from river or natural spring]]</f>
        <v>0</v>
      </c>
      <c r="BY56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6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66" s="710">
        <f>IF(WWWW[[#This Row],[Location Type 1]]="Village",WWWW[[#This Row],[Access to safe drinking water for Village]],WWWW[[#This Row],[Access to safe drinking water for Camp]])</f>
        <v>1</v>
      </c>
      <c r="CB566" s="708">
        <f>WWWW[[#This Row],[%Equitable and continuous access to sufficient quantity of safe drinking water]]*WWWW[[#This Row],[Total PoP ]]</f>
        <v>448</v>
      </c>
      <c r="CC566" s="710">
        <f>IF((WWWW[[#This Row],['#_Constructed/Existing protected/fenced ponds]]*250)/WWWW[[#This Row],[Total PoP ]]&gt;1,1,(WWWW[[#This Row],['#_Constructed/Existing protected/fenced ponds]]*250)/WWWW[[#This Row],[Total PoP ]])</f>
        <v>0</v>
      </c>
      <c r="CD566" s="708">
        <f>WWWW[[#This Row],[% Access to unimproved water points]]*WWWW[[#This Row],[Total PoP ]]</f>
        <v>0</v>
      </c>
      <c r="CE56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6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448</v>
      </c>
      <c r="CG566" s="708">
        <f>WWWW[[#This Row],[HRP1]]/500</f>
        <v>0.89600000000000002</v>
      </c>
      <c r="CH566" s="714">
        <f>1-WWWW[[#This Row],[% Equitable and continuous access to sufficient quantity of domestic water]]</f>
        <v>0</v>
      </c>
      <c r="CI566" s="708">
        <f>WWWW[[#This Row],[%equitable and continuous access to sufficient quantity of safe drinking and domestic water''s GAP]]*WWWW[[#This Row],[Total PoP ]]</f>
        <v>0</v>
      </c>
      <c r="CJ566" s="712">
        <f>IF(WWWW[[#This Row],[Total required water points]]-WWWW[[#This Row],['#Water points coverage]]&lt;0,0,WWWW[[#This Row],[Total required water points]]-WWWW[[#This Row],['#Water points coverage]])</f>
        <v>0.10399999999999998</v>
      </c>
      <c r="CK566" s="712">
        <f>ROUND(IF(WWWW[[#This Row],[Total PoP ]]&lt;500,1,WWWW[[#This Row],[Total PoP ]]/500),0)</f>
        <v>1</v>
      </c>
      <c r="CL566" s="712">
        <f>(WWWW[[#This Row],['#_Constructed latrines_by_WASHAgencies]]+WWWW[[#This Row],['#_Non Cluster partner latrines]])-WWWW[[#This Row],['#_Non-functional latrines]]</f>
        <v>22</v>
      </c>
      <c r="CM56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0.9821428571428571</v>
      </c>
      <c r="CN56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440</v>
      </c>
      <c r="CO56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6" s="712">
        <f>IF(WWWW[[#This Row],[Location Type 1]]="Village","NA",IF(WWWW[[#This Row],['#_Constructed/Existing latrines in TLS]]*50&gt;WWWW[[#This Row],['#_students at TLS_CFS]],WWWW[[#This Row],['#_students at TLS_CFS]],(WWWW[[#This Row],['#_Constructed/Existing latrines in TLS]]*50)))</f>
        <v>0</v>
      </c>
      <c r="CQ566" s="712">
        <f>ROUND(IF(WWWW[[#This Row],[Location Type 1]]="camp",WWWW[[#This Row],[Total PoP ]]/20,IF(WWWW[[#This Row],[Location Type 1]]="Temporary Location",WWWW[[#This Row],[Total PoP ]]/50,(WWWW[[#This Row],[Total PoP ]]/6))),0)</f>
        <v>22</v>
      </c>
      <c r="CR566" s="712">
        <f>IF(WWWW[[#This Row],[Total required Latrines]]-(WWWW[[#This Row],['#_Constructed latrines_by_WASHAgencies]]+WWWW[[#This Row],['#_Non Cluster partner latrines]])&lt;0,0,WWWW[[#This Row],[Total required Latrines]]-(WWWW[[#This Row],['#_Constructed latrines_by_WASHAgencies]]+WWWW[[#This Row],['#_Non Cluster partner latrines]]))</f>
        <v>0</v>
      </c>
      <c r="CS566" s="714">
        <f>1-WWWW[[#This Row],[% people access to functioning Latrine]]</f>
        <v>1.7857142857142905E-2</v>
      </c>
      <c r="CT566" s="713">
        <f>IF(OR(WWWW[[#This Row],['#_Non-functional latrines]]="",WWWW[[#This Row],['#_Non-functional latrines]]=0),0,WWWW[[#This Row],['#_Non-functional latrines]]/(WWWW[[#This Row],['#_Constructed latrines_by_WASHAgencies]]+WWWW[[#This Row],['#_Non Cluster partner latrines]]))</f>
        <v>0</v>
      </c>
      <c r="CU566" s="708">
        <f>IF(500*(WWWW[[#This Row],['#_male hygiene promoters]]+WWWW[[#This Row],['#_female hygiene promoters]])&gt;WWWW[[#This Row],[Total PoP ]],WWWW[[#This Row],[Total PoP ]],500*(WWWW[[#This Row],['#_male hygiene promoters]]+WWWW[[#This Row],['#_female hygiene promoters]]))</f>
        <v>0</v>
      </c>
      <c r="CV56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6" s="712">
        <f>IF(WWWW[[#This Row],['# People with access to soap]]&gt;WWWW[[#This Row],['# People with access to Sanity Pads]],WWWW[[#This Row],['# People with access to soap]],WWWW[[#This Row],['# People with access to Sanity Pads]])</f>
        <v>0</v>
      </c>
      <c r="CY56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66" s="714">
        <f>IF(WWWW[[#This Row],[HRP3]]/WWWW[[#This Row],[Total PoP ]]&gt;100%,100%,WWWW[[#This Row],[HRP3]]/WWWW[[#This Row],[Total PoP ]])</f>
        <v>0</v>
      </c>
      <c r="DA566" s="713">
        <f>1-WWWW[[#This Row],[Hygiene Coverage%]]</f>
        <v>1</v>
      </c>
      <c r="DB566" s="710">
        <f>WWWW[[#This Row],['# people reached by regular dedicated hygiene promotion_5]]/WWWW[[#This Row],[Total PoP ]]</f>
        <v>0</v>
      </c>
      <c r="DC566" s="710">
        <f>IF(WWWW[[#This Row],['#_households that received standard amount of soap for this quarter]]/WWWW[[#This Row],[Total HH]]&gt;1,1,WWWW[[#This Row],['#_households that received standard amount of soap for this quarter]]/WWWW[[#This Row],[Total HH]])</f>
        <v>0</v>
      </c>
      <c r="DD566" s="710">
        <f>IF(WWWW[[#This Row],['#_households that received standard amount of sanitary pads for this quarter]]/WWWW[[#This Row],[Total HH]]&gt;1,1,WWWW[[#This Row],['#_households that received standard amount of sanitary pads for this quarter]]/WWWW[[#This Row],[Total HH]])</f>
        <v>0</v>
      </c>
      <c r="DE566" s="712">
        <f>WWWW[[#This Row],['#_Constructed/Existing hand washing stations]]-WWWW[[#This Row],['#_Non-Functional_hand_washing_stations]]</f>
        <v>0</v>
      </c>
      <c r="DF566" s="757">
        <f>IF(WWWW[[#This Row],['# Functional hand washing stations during reporting period]]*20&gt;WWWW[[#This Row],[Total HH]],WWWW[[#This Row],[Total HH]],WWWW[[#This Row],['# Functional hand washing stations during reporting period]]*20)</f>
        <v>0</v>
      </c>
      <c r="DG566" s="708">
        <f>IF(WWWW[[#This Row],[Is sufficient soap available for TLS? (Yes/No)]]="yes",WWWW[[#This Row],['#_Constructed/Existing hand washing stations at TLS]],0)</f>
        <v>0</v>
      </c>
      <c r="DH566" s="759">
        <f>IF(WWWW[[#This Row],['# Functional hand washing stations during reporting period]]*100&gt;WWWW[[#This Row],[Total PoP ]],WWWW[[#This Row],[Total PoP ]],WWWW[[#This Row],['# Functional hand washing stations during reporting period]]*100)</f>
        <v>0</v>
      </c>
      <c r="DI566" s="759" t="str">
        <f>IF(OR(WWWW[[#This Row],['#_students at TLS_CFS]]="",WWWW[[#This Row],['#_students at TLS_CFS]]=0),"No","Yes")</f>
        <v>No</v>
      </c>
      <c r="DJ566" s="711" t="str">
        <f>VLOOKUP(WWWW[[#This Row],[Site Name]],SiteDB6[[Site Name]:[CCCM Management]],6,FALSE)</f>
        <v>Yes</v>
      </c>
      <c r="DK566" s="711" t="str">
        <f>VLOOKUP(WWWW[[#This Row],[Site Name]],SiteDB6[[Site Name]:[CCCM Focal Agency]],7,FALSE)</f>
        <v>Shalom</v>
      </c>
      <c r="DL566" s="711" t="str">
        <f>VLOOKUP(WWWW[[#This Row],[Site Name]],SiteDB6[[Site Name]:[Location Type 1]],9,FALSE)</f>
        <v>Camp</v>
      </c>
      <c r="DM566" s="711" t="str">
        <f>VLOOKUP(WWWW[[#This Row],[Site Name]],SiteDB6[[Site Name]:[Type of Accommodation]],10,FALSE)</f>
        <v>Camp</v>
      </c>
      <c r="DN566" s="711" t="str">
        <f>VLOOKUP(WWWW[[#This Row],[Site Name]],SiteDB6[[Site Name]:[Ethnic or GCA/NGCA]],11,FALSE)</f>
        <v>GCA</v>
      </c>
      <c r="DO566" s="711">
        <f>VLOOKUP(WWWW[[#This Row],[Site Name]],SiteDB6[[Site Name]:[Lat]],12,FALSE)</f>
        <v>25.321710740740698</v>
      </c>
      <c r="DP566" s="711">
        <f>VLOOKUP(WWWW[[#This Row],[Site Name]],SiteDB6[[Site Name]:[Long]],13,FALSE)</f>
        <v>97.404195925926004</v>
      </c>
      <c r="DQ566" s="711" t="str">
        <f>VLOOKUP(WWWW[[#This Row],[Site Name]],SiteDB6[[Site Name]:[Pcode]],3,FALSE)</f>
        <v>MMR001CMP028</v>
      </c>
      <c r="DR566" s="709" t="str">
        <f t="shared" si="21"/>
        <v>Covered</v>
      </c>
      <c r="DS566" s="709"/>
    </row>
    <row r="567" spans="1:123">
      <c r="A567" s="701" t="s">
        <v>2519</v>
      </c>
      <c r="B567" s="701" t="s">
        <v>149</v>
      </c>
      <c r="C567" s="702" t="s">
        <v>149</v>
      </c>
      <c r="D567" s="702" t="s">
        <v>3264</v>
      </c>
      <c r="E567" s="702" t="s">
        <v>39</v>
      </c>
      <c r="F567" s="702" t="s">
        <v>150</v>
      </c>
      <c r="G567" s="711" t="str">
        <f>VLOOKUP(WWWW[[#This Row],[Site Name]],SiteDB6[[Site Name]:[Location Type]],8,FALSE)</f>
        <v>Camp</v>
      </c>
      <c r="H567" s="702" t="s">
        <v>183</v>
      </c>
      <c r="I567" s="705">
        <v>140</v>
      </c>
      <c r="J567" s="705">
        <v>875</v>
      </c>
      <c r="K567" s="593" t="s">
        <v>3265</v>
      </c>
      <c r="L567" s="58" t="s">
        <v>3267</v>
      </c>
      <c r="M567" s="705"/>
      <c r="N567" s="705"/>
      <c r="O567" s="705"/>
      <c r="P567" s="705"/>
      <c r="Q567" s="708" t="s">
        <v>43</v>
      </c>
      <c r="R567" s="705"/>
      <c r="S567" s="705"/>
      <c r="T567" s="807">
        <v>0</v>
      </c>
      <c r="U567" s="705"/>
      <c r="V567" s="705"/>
      <c r="W567" s="705">
        <v>0</v>
      </c>
      <c r="X567" s="705"/>
      <c r="Y567" s="705"/>
      <c r="Z567" s="705"/>
      <c r="AA567" s="705">
        <v>1</v>
      </c>
      <c r="AB567" s="705"/>
      <c r="AC567" s="705"/>
      <c r="AD567" s="705"/>
      <c r="AE567" s="705"/>
      <c r="AF567" s="705"/>
      <c r="AG567" s="705"/>
      <c r="AH567" s="705">
        <v>0</v>
      </c>
      <c r="AI567" s="705"/>
      <c r="AJ567" s="705"/>
      <c r="AK567" s="705"/>
      <c r="AL567" s="705"/>
      <c r="AM567" s="705"/>
      <c r="AN567" s="705"/>
      <c r="AO567" s="709"/>
      <c r="AP567" s="705">
        <v>50</v>
      </c>
      <c r="AQ567" s="705"/>
      <c r="AR567" s="710"/>
      <c r="AS567" s="705"/>
      <c r="AT567" s="705"/>
      <c r="AU567" s="705"/>
      <c r="AV567" s="705"/>
      <c r="AW567" s="705">
        <v>50</v>
      </c>
      <c r="AX567" s="711" t="s">
        <v>43</v>
      </c>
      <c r="AY567" s="709" t="s">
        <v>145</v>
      </c>
      <c r="AZ567" s="705"/>
      <c r="BA567" s="705"/>
      <c r="BB567" s="705"/>
      <c r="BC567" s="711"/>
      <c r="BD567" s="705"/>
      <c r="BE567" s="705"/>
      <c r="BF567" s="705"/>
      <c r="BG567" s="705">
        <v>4</v>
      </c>
      <c r="BH567" s="705"/>
      <c r="BI567" s="705"/>
      <c r="BJ567" s="705">
        <v>3</v>
      </c>
      <c r="BK567" s="705"/>
      <c r="BL567" s="705"/>
      <c r="BM567" s="711"/>
      <c r="BN567" s="712"/>
      <c r="BO567" s="710"/>
      <c r="BP567" s="711"/>
      <c r="BQ567" s="713" t="str">
        <f>IFERROR(WWWW[[#This Row],['#_Water sources treated]]/WWWW[[#This Row],['#_Water sources tested for contamination]],"no test")</f>
        <v>no test</v>
      </c>
      <c r="BR567" s="710" t="str">
        <f>IFERROR(WWWW[[#This Row],['#_Household received remediation action due to contamination]]/WWWW[[#This Row],['#_Household water samples tested for contamination]],"no test")</f>
        <v>no test</v>
      </c>
      <c r="BS567" s="712" t="str">
        <f>IF(AND(WWWW[[#This Row],[% of water sources treated]]="no test",WWWW[[#This Row],[% Household received corrective actions]]="no test"),"No Test","Tested")</f>
        <v>No Test</v>
      </c>
      <c r="BT567" s="712">
        <f>WWWW[[#This Row],['#_Constructed/existing protected hand dug well]]-WWWW[[#This Row],['#_Non-functional protected hand dug well]]</f>
        <v>0</v>
      </c>
      <c r="BU567" s="712">
        <f>(WWWW[[#This Row],['#_Constructed/Existing tube wells/boreholes/handpumps_WASH_agency]]+WWWW[[#This Row],['#_Non-Cluster partner water tube-wells/boreholes/handpumps]])-WWWW[[#This Row],['#_Non-functional tube wells/boreholes/handpumps]]</f>
        <v>0</v>
      </c>
      <c r="BV567" s="712">
        <f>WWWW[[#This Row],['#_Constructed/Existingwater storage tank with gravity fed reticulation system]]-WWWW[[#This Row],['#_Non-functional storage tank gravity fed reticulation system]]</f>
        <v>1</v>
      </c>
      <c r="BW567" s="712">
        <f>WWWW[[#This Row],['#_Water boating or water trucking]]</f>
        <v>0</v>
      </c>
      <c r="BX567" s="712">
        <f>WWWW[[#This Row],['#_Constructed/Existing water distribution system from river or natural spring]]</f>
        <v>0</v>
      </c>
      <c r="BY56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7.6190476190476197E-2</v>
      </c>
      <c r="BZ56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7.6190476190476197E-2</v>
      </c>
      <c r="CA567" s="710">
        <f>IF(WWWW[[#This Row],[Location Type 1]]="Village",WWWW[[#This Row],[Access to safe drinking water for Village]],WWWW[[#This Row],[Access to safe drinking water for Camp]])</f>
        <v>7.6190476190476197E-2</v>
      </c>
      <c r="CB567" s="708">
        <f>WWWW[[#This Row],[%Equitable and continuous access to sufficient quantity of safe drinking water]]*WWWW[[#This Row],[Total PoP ]]</f>
        <v>66.666666666666671</v>
      </c>
      <c r="CC567" s="710">
        <f>IF((WWWW[[#This Row],['#_Constructed/Existing protected/fenced ponds]]*250)/WWWW[[#This Row],[Total PoP ]]&gt;1,1,(WWWW[[#This Row],['#_Constructed/Existing protected/fenced ponds]]*250)/WWWW[[#This Row],[Total PoP ]])</f>
        <v>0</v>
      </c>
      <c r="CD567" s="708">
        <f>WWWW[[#This Row],[% Access to unimproved water points]]*WWWW[[#This Row],[Total PoP ]]</f>
        <v>0</v>
      </c>
      <c r="CE56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7.6190476190476197E-2</v>
      </c>
      <c r="CF56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67" s="708">
        <f>WWWW[[#This Row],[HRP1]]/500</f>
        <v>0.13333333333333333</v>
      </c>
      <c r="CH567" s="714">
        <f>1-WWWW[[#This Row],[% Equitable and continuous access to sufficient quantity of domestic water]]</f>
        <v>0.92380952380952386</v>
      </c>
      <c r="CI567" s="708">
        <f>WWWW[[#This Row],[%equitable and continuous access to sufficient quantity of safe drinking and domestic water''s GAP]]*WWWW[[#This Row],[Total PoP ]]</f>
        <v>808.33333333333337</v>
      </c>
      <c r="CJ567" s="712">
        <f>IF(WWWW[[#This Row],[Total required water points]]-WWWW[[#This Row],['#Water points coverage]]&lt;0,0,WWWW[[#This Row],[Total required water points]]-WWWW[[#This Row],['#Water points coverage]])</f>
        <v>1.8666666666666667</v>
      </c>
      <c r="CK567" s="712">
        <f>ROUND(IF(WWWW[[#This Row],[Total PoP ]]&lt;500,1,WWWW[[#This Row],[Total PoP ]]/500),0)</f>
        <v>2</v>
      </c>
      <c r="CL567" s="712">
        <f>(WWWW[[#This Row],['#_Constructed latrines_by_WASHAgencies]]+WWWW[[#This Row],['#_Non Cluster partner latrines]])-WWWW[[#This Row],['#_Non-functional latrines]]</f>
        <v>50</v>
      </c>
      <c r="CM56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6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875</v>
      </c>
      <c r="CO56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7" s="712">
        <f>IF(WWWW[[#This Row],[Location Type 1]]="Village","NA",IF(WWWW[[#This Row],['#_Constructed/Existing latrines in TLS]]*50&gt;WWWW[[#This Row],['#_students at TLS_CFS]],WWWW[[#This Row],['#_students at TLS_CFS]],(WWWW[[#This Row],['#_Constructed/Existing latrines in TLS]]*50)))</f>
        <v>0</v>
      </c>
      <c r="CQ567" s="712">
        <f>ROUND(IF(WWWW[[#This Row],[Location Type 1]]="camp",WWWW[[#This Row],[Total PoP ]]/20,IF(WWWW[[#This Row],[Location Type 1]]="Temporary Location",WWWW[[#This Row],[Total PoP ]]/50,(WWWW[[#This Row],[Total PoP ]]/6))),0)</f>
        <v>44</v>
      </c>
      <c r="CR567" s="712">
        <f>IF(WWWW[[#This Row],[Total required Latrines]]-(WWWW[[#This Row],['#_Constructed latrines_by_WASHAgencies]]+WWWW[[#This Row],['#_Non Cluster partner latrines]])&lt;0,0,WWWW[[#This Row],[Total required Latrines]]-(WWWW[[#This Row],['#_Constructed latrines_by_WASHAgencies]]+WWWW[[#This Row],['#_Non Cluster partner latrines]]))</f>
        <v>0</v>
      </c>
      <c r="CS567" s="714">
        <f>1-WWWW[[#This Row],[% people access to functioning Latrine]]</f>
        <v>0</v>
      </c>
      <c r="CT567" s="713">
        <f>IF(OR(WWWW[[#This Row],['#_Non-functional latrines]]="",WWWW[[#This Row],['#_Non-functional latrines]]=0),0,WWWW[[#This Row],['#_Non-functional latrines]]/(WWWW[[#This Row],['#_Constructed latrines_by_WASHAgencies]]+WWWW[[#This Row],['#_Non Cluster partner latrines]]))</f>
        <v>0</v>
      </c>
      <c r="CU567" s="708">
        <f>IF(500*(WWWW[[#This Row],['#_male hygiene promoters]]+WWWW[[#This Row],['#_female hygiene promoters]])&gt;WWWW[[#This Row],[Total PoP ]],WWWW[[#This Row],[Total PoP ]],500*(WWWW[[#This Row],['#_male hygiene promoters]]+WWWW[[#This Row],['#_female hygiene promoters]]))</f>
        <v>875</v>
      </c>
      <c r="CV56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7" s="712">
        <f>IF(WWWW[[#This Row],['# People with access to soap]]&gt;WWWW[[#This Row],['# People with access to Sanity Pads]],WWWW[[#This Row],['# People with access to soap]],WWWW[[#This Row],['# People with access to Sanity Pads]])</f>
        <v>0</v>
      </c>
      <c r="CY567" s="712">
        <f>IF(WWWW[[#This Row],['# people reached by regular dedicated hygiene promotion_5]]&gt;WWWW[[#This Row],['# People received regular supply of hygiene items_6]],WWWW[[#This Row],['# people reached by regular dedicated hygiene promotion_5]],WWWW[[#This Row],['# People received regular supply of hygiene items_6]])</f>
        <v>875</v>
      </c>
      <c r="CZ567" s="714">
        <f>IF(WWWW[[#This Row],[HRP3]]/WWWW[[#This Row],[Total PoP ]]&gt;100%,100%,WWWW[[#This Row],[HRP3]]/WWWW[[#This Row],[Total PoP ]])</f>
        <v>1</v>
      </c>
      <c r="DA567" s="713">
        <f>1-WWWW[[#This Row],[Hygiene Coverage%]]</f>
        <v>0</v>
      </c>
      <c r="DB567" s="710">
        <f>WWWW[[#This Row],['# people reached by regular dedicated hygiene promotion_5]]/WWWW[[#This Row],[Total PoP ]]</f>
        <v>1</v>
      </c>
      <c r="DC567" s="710">
        <f>IF(WWWW[[#This Row],['#_households that received standard amount of soap for this quarter]]/WWWW[[#This Row],[Total HH]]&gt;1,1,WWWW[[#This Row],['#_households that received standard amount of soap for this quarter]]/WWWW[[#This Row],[Total HH]])</f>
        <v>0</v>
      </c>
      <c r="DD567" s="710">
        <f>IF(WWWW[[#This Row],['#_households that received standard amount of sanitary pads for this quarter]]/WWWW[[#This Row],[Total HH]]&gt;1,1,WWWW[[#This Row],['#_households that received standard amount of sanitary pads for this quarter]]/WWWW[[#This Row],[Total HH]])</f>
        <v>0</v>
      </c>
      <c r="DE567" s="712">
        <f>WWWW[[#This Row],['#_Constructed/Existing hand washing stations]]-WWWW[[#This Row],['#_Non-Functional_hand_washing_stations]]</f>
        <v>0</v>
      </c>
      <c r="DF567" s="757">
        <f>IF(WWWW[[#This Row],['# Functional hand washing stations during reporting period]]*20&gt;WWWW[[#This Row],[Total HH]],WWWW[[#This Row],[Total HH]],WWWW[[#This Row],['# Functional hand washing stations during reporting period]]*20)</f>
        <v>0</v>
      </c>
      <c r="DG567" s="708">
        <f>IF(WWWW[[#This Row],[Is sufficient soap available for TLS? (Yes/No)]]="yes",WWWW[[#This Row],['#_Constructed/Existing hand washing stations at TLS]],0)</f>
        <v>0</v>
      </c>
      <c r="DH567" s="759">
        <f>IF(WWWW[[#This Row],['# Functional hand washing stations during reporting period]]*100&gt;WWWW[[#This Row],[Total PoP ]],WWWW[[#This Row],[Total PoP ]],WWWW[[#This Row],['# Functional hand washing stations during reporting period]]*100)</f>
        <v>0</v>
      </c>
      <c r="DI567" s="759" t="str">
        <f>IF(OR(WWWW[[#This Row],['#_students at TLS_CFS]]="",WWWW[[#This Row],['#_students at TLS_CFS]]=0),"No","Yes")</f>
        <v>No</v>
      </c>
      <c r="DJ567" s="711" t="str">
        <f>VLOOKUP(WWWW[[#This Row],[Site Name]],SiteDB6[[Site Name]:[CCCM Management]],6,FALSE)</f>
        <v>Yes</v>
      </c>
      <c r="DK567" s="711" t="str">
        <f>VLOOKUP(WWWW[[#This Row],[Site Name]],SiteDB6[[Site Name]:[CCCM Focal Agency]],7,FALSE)</f>
        <v>KBC-MYT</v>
      </c>
      <c r="DL567" s="711" t="str">
        <f>VLOOKUP(WWWW[[#This Row],[Site Name]],SiteDB6[[Site Name]:[Location Type 1]],9,FALSE)</f>
        <v>Camp</v>
      </c>
      <c r="DM567" s="711" t="str">
        <f>VLOOKUP(WWWW[[#This Row],[Site Name]],SiteDB6[[Site Name]:[Type of Accommodation]],10,FALSE)</f>
        <v>Camp</v>
      </c>
      <c r="DN567" s="711" t="str">
        <f>VLOOKUP(WWWW[[#This Row],[Site Name]],SiteDB6[[Site Name]:[Ethnic or GCA/NGCA]],11,FALSE)</f>
        <v>NGCA</v>
      </c>
      <c r="DO567" s="711">
        <f>VLOOKUP(WWWW[[#This Row],[Site Name]],SiteDB6[[Site Name]:[Lat]],12,FALSE)</f>
        <v>25.200333000000001</v>
      </c>
      <c r="DP567" s="711">
        <f>VLOOKUP(WWWW[[#This Row],[Site Name]],SiteDB6[[Site Name]:[Long]],13,FALSE)</f>
        <v>97.807182999999995</v>
      </c>
      <c r="DQ567" s="711" t="str">
        <f>VLOOKUP(WWWW[[#This Row],[Site Name]],SiteDB6[[Site Name]:[Pcode]],3,FALSE)</f>
        <v>MMR001CMP115</v>
      </c>
      <c r="DR567" s="709" t="str">
        <f t="shared" si="21"/>
        <v>Covered</v>
      </c>
      <c r="DS567" s="709"/>
    </row>
    <row r="568" spans="1:123">
      <c r="A568" s="701" t="s">
        <v>2519</v>
      </c>
      <c r="B568" s="701" t="s">
        <v>250</v>
      </c>
      <c r="C568" s="702" t="s">
        <v>250</v>
      </c>
      <c r="D568" s="702" t="s">
        <v>315</v>
      </c>
      <c r="E568" s="702" t="s">
        <v>39</v>
      </c>
      <c r="F568" s="702" t="s">
        <v>156</v>
      </c>
      <c r="G568" s="711" t="str">
        <f>VLOOKUP(WWWW[[#This Row],[Site Name]],SiteDB6[[Site Name]:[Location Type]],8,FALSE)</f>
        <v>Camp</v>
      </c>
      <c r="H568" s="702" t="s">
        <v>261</v>
      </c>
      <c r="I568" s="705">
        <v>2</v>
      </c>
      <c r="J568" s="705">
        <v>14</v>
      </c>
      <c r="K568" s="706">
        <v>43313</v>
      </c>
      <c r="L568" s="707">
        <v>44043</v>
      </c>
      <c r="M568" s="705"/>
      <c r="N568" s="705">
        <v>0</v>
      </c>
      <c r="O568" s="705"/>
      <c r="P568" s="705"/>
      <c r="Q568" s="708"/>
      <c r="R568" s="705"/>
      <c r="S568" s="705"/>
      <c r="T568" s="807"/>
      <c r="U568" s="705"/>
      <c r="V568" s="705"/>
      <c r="W568" s="705">
        <v>0</v>
      </c>
      <c r="X568" s="705"/>
      <c r="Y568" s="705"/>
      <c r="Z568" s="705"/>
      <c r="AA568" s="705"/>
      <c r="AB568" s="705"/>
      <c r="AC568" s="705"/>
      <c r="AD568" s="705"/>
      <c r="AE568" s="705"/>
      <c r="AF568" s="705"/>
      <c r="AG568" s="705"/>
      <c r="AH568" s="705"/>
      <c r="AI568" s="705"/>
      <c r="AJ568" s="705"/>
      <c r="AK568" s="705"/>
      <c r="AL568" s="705"/>
      <c r="AM568" s="705"/>
      <c r="AN568" s="705"/>
      <c r="AO568" s="709"/>
      <c r="AP568" s="705">
        <v>0</v>
      </c>
      <c r="AQ568" s="705"/>
      <c r="AR568" s="710"/>
      <c r="AS568" s="705"/>
      <c r="AT568" s="705"/>
      <c r="AU568" s="705"/>
      <c r="AV568" s="705"/>
      <c r="AW568" s="705">
        <v>0</v>
      </c>
      <c r="AX568" s="752" t="s">
        <v>148</v>
      </c>
      <c r="AY568" s="782" t="s">
        <v>148</v>
      </c>
      <c r="AZ568" s="705"/>
      <c r="BA568" s="705"/>
      <c r="BB568" s="705"/>
      <c r="BC568" s="711"/>
      <c r="BD568" s="705"/>
      <c r="BE568" s="705"/>
      <c r="BF568" s="705">
        <v>0</v>
      </c>
      <c r="BG568" s="705"/>
      <c r="BH568" s="705"/>
      <c r="BI568" s="705"/>
      <c r="BJ568" s="705"/>
      <c r="BK568" s="705"/>
      <c r="BL568" s="705"/>
      <c r="BM568" s="711"/>
      <c r="BN568" s="712"/>
      <c r="BO568" s="710"/>
      <c r="BP568" s="711"/>
      <c r="BQ568" s="713" t="str">
        <f>IFERROR(WWWW[[#This Row],['#_Water sources treated]]/WWWW[[#This Row],['#_Water sources tested for contamination]],"no test")</f>
        <v>no test</v>
      </c>
      <c r="BR568" s="710" t="str">
        <f>IFERROR(WWWW[[#This Row],['#_Household received remediation action due to contamination]]/WWWW[[#This Row],['#_Household water samples tested for contamination]],"no test")</f>
        <v>no test</v>
      </c>
      <c r="BS568" s="712" t="str">
        <f>IF(AND(WWWW[[#This Row],[% of water sources treated]]="no test",WWWW[[#This Row],[% Household received corrective actions]]="no test"),"No Test","Tested")</f>
        <v>No Test</v>
      </c>
      <c r="BT568" s="712">
        <f>WWWW[[#This Row],['#_Constructed/existing protected hand dug well]]-WWWW[[#This Row],['#_Non-functional protected hand dug well]]</f>
        <v>0</v>
      </c>
      <c r="BU568" s="712">
        <f>(WWWW[[#This Row],['#_Constructed/Existing tube wells/boreholes/handpumps_WASH_agency]]+WWWW[[#This Row],['#_Non-Cluster partner water tube-wells/boreholes/handpumps]])-WWWW[[#This Row],['#_Non-functional tube wells/boreholes/handpumps]]</f>
        <v>0</v>
      </c>
      <c r="BV568" s="712">
        <f>WWWW[[#This Row],['#_Constructed/Existingwater storage tank with gravity fed reticulation system]]-WWWW[[#This Row],['#_Non-functional storage tank gravity fed reticulation system]]</f>
        <v>0</v>
      </c>
      <c r="BW568" s="712">
        <f>WWWW[[#This Row],['#_Water boating or water trucking]]</f>
        <v>0</v>
      </c>
      <c r="BX568" s="712">
        <f>WWWW[[#This Row],['#_Constructed/Existing water distribution system from river or natural spring]]</f>
        <v>0</v>
      </c>
      <c r="BY56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6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68" s="710">
        <f>IF(WWWW[[#This Row],[Location Type 1]]="Village",WWWW[[#This Row],[Access to safe drinking water for Village]],WWWW[[#This Row],[Access to safe drinking water for Camp]])</f>
        <v>0</v>
      </c>
      <c r="CB568" s="708">
        <f>WWWW[[#This Row],[%Equitable and continuous access to sufficient quantity of safe drinking water]]*WWWW[[#This Row],[Total PoP ]]</f>
        <v>0</v>
      </c>
      <c r="CC568" s="710">
        <f>IF((WWWW[[#This Row],['#_Constructed/Existing protected/fenced ponds]]*250)/WWWW[[#This Row],[Total PoP ]]&gt;1,1,(WWWW[[#This Row],['#_Constructed/Existing protected/fenced ponds]]*250)/WWWW[[#This Row],[Total PoP ]])</f>
        <v>0</v>
      </c>
      <c r="CD568" s="708">
        <f>WWWW[[#This Row],[% Access to unimproved water points]]*WWWW[[#This Row],[Total PoP ]]</f>
        <v>0</v>
      </c>
      <c r="CE56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6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68" s="708">
        <f>WWWW[[#This Row],[HRP1]]/500</f>
        <v>0</v>
      </c>
      <c r="CH568" s="714">
        <f>1-WWWW[[#This Row],[% Equitable and continuous access to sufficient quantity of domestic water]]</f>
        <v>1</v>
      </c>
      <c r="CI568" s="708">
        <f>WWWW[[#This Row],[%equitable and continuous access to sufficient quantity of safe drinking and domestic water''s GAP]]*WWWW[[#This Row],[Total PoP ]]</f>
        <v>14</v>
      </c>
      <c r="CJ568" s="712">
        <f>IF(WWWW[[#This Row],[Total required water points]]-WWWW[[#This Row],['#Water points coverage]]&lt;0,0,WWWW[[#This Row],[Total required water points]]-WWWW[[#This Row],['#Water points coverage]])</f>
        <v>1</v>
      </c>
      <c r="CK568" s="712">
        <f>ROUND(IF(WWWW[[#This Row],[Total PoP ]]&lt;500,1,WWWW[[#This Row],[Total PoP ]]/500),0)</f>
        <v>1</v>
      </c>
      <c r="CL568" s="712">
        <f>(WWWW[[#This Row],['#_Constructed latrines_by_WASHAgencies]]+WWWW[[#This Row],['#_Non Cluster partner latrines]])-WWWW[[#This Row],['#_Non-functional latrines]]</f>
        <v>0</v>
      </c>
      <c r="CM56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6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6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68" s="712">
        <f>IF(WWWW[[#This Row],[Location Type 1]]="Village","NA",IF(WWWW[[#This Row],['#_Constructed/Existing latrines in TLS]]*50&gt;WWWW[[#This Row],['#_students at TLS_CFS]],WWWW[[#This Row],['#_students at TLS_CFS]],(WWWW[[#This Row],['#_Constructed/Existing latrines in TLS]]*50)))</f>
        <v>0</v>
      </c>
      <c r="CQ568" s="712">
        <f>ROUND(IF(WWWW[[#This Row],[Location Type 1]]="camp",WWWW[[#This Row],[Total PoP ]]/20,IF(WWWW[[#This Row],[Location Type 1]]="Temporary Location",WWWW[[#This Row],[Total PoP ]]/50,(WWWW[[#This Row],[Total PoP ]]/6))),0)</f>
        <v>1</v>
      </c>
      <c r="CR568" s="712">
        <f>IF(WWWW[[#This Row],[Total required Latrines]]-(WWWW[[#This Row],['#_Constructed latrines_by_WASHAgencies]]+WWWW[[#This Row],['#_Non Cluster partner latrines]])&lt;0,0,WWWW[[#This Row],[Total required Latrines]]-(WWWW[[#This Row],['#_Constructed latrines_by_WASHAgencies]]+WWWW[[#This Row],['#_Non Cluster partner latrines]]))</f>
        <v>1</v>
      </c>
      <c r="CS568" s="714">
        <f>1-WWWW[[#This Row],[% people access to functioning Latrine]]</f>
        <v>1</v>
      </c>
      <c r="CT568" s="713">
        <f>IF(OR(WWWW[[#This Row],['#_Non-functional latrines]]="",WWWW[[#This Row],['#_Non-functional latrines]]=0),0,WWWW[[#This Row],['#_Non-functional latrines]]/(WWWW[[#This Row],['#_Constructed latrines_by_WASHAgencies]]+WWWW[[#This Row],['#_Non Cluster partner latrines]]))</f>
        <v>0</v>
      </c>
      <c r="CU568" s="708">
        <f>IF(500*(WWWW[[#This Row],['#_male hygiene promoters]]+WWWW[[#This Row],['#_female hygiene promoters]])&gt;WWWW[[#This Row],[Total PoP ]],WWWW[[#This Row],[Total PoP ]],500*(WWWW[[#This Row],['#_male hygiene promoters]]+WWWW[[#This Row],['#_female hygiene promoters]]))</f>
        <v>0</v>
      </c>
      <c r="CV56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8" s="712">
        <f>IF(WWWW[[#This Row],['# People with access to soap]]&gt;WWWW[[#This Row],['# People with access to Sanity Pads]],WWWW[[#This Row],['# People with access to soap]],WWWW[[#This Row],['# People with access to Sanity Pads]])</f>
        <v>0</v>
      </c>
      <c r="CY56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68" s="714">
        <f>IF(WWWW[[#This Row],[HRP3]]/WWWW[[#This Row],[Total PoP ]]&gt;100%,100%,WWWW[[#This Row],[HRP3]]/WWWW[[#This Row],[Total PoP ]])</f>
        <v>0</v>
      </c>
      <c r="DA568" s="713">
        <f>1-WWWW[[#This Row],[Hygiene Coverage%]]</f>
        <v>1</v>
      </c>
      <c r="DB568" s="710">
        <f>WWWW[[#This Row],['# people reached by regular dedicated hygiene promotion_5]]/WWWW[[#This Row],[Total PoP ]]</f>
        <v>0</v>
      </c>
      <c r="DC568" s="710">
        <f>IF(WWWW[[#This Row],['#_households that received standard amount of soap for this quarter]]/WWWW[[#This Row],[Total HH]]&gt;1,1,WWWW[[#This Row],['#_households that received standard amount of soap for this quarter]]/WWWW[[#This Row],[Total HH]])</f>
        <v>0</v>
      </c>
      <c r="DD568" s="710">
        <f>IF(WWWW[[#This Row],['#_households that received standard amount of sanitary pads for this quarter]]/WWWW[[#This Row],[Total HH]]&gt;1,1,WWWW[[#This Row],['#_households that received standard amount of sanitary pads for this quarter]]/WWWW[[#This Row],[Total HH]])</f>
        <v>0</v>
      </c>
      <c r="DE568" s="712">
        <f>WWWW[[#This Row],['#_Constructed/Existing hand washing stations]]-WWWW[[#This Row],['#_Non-Functional_hand_washing_stations]]</f>
        <v>0</v>
      </c>
      <c r="DF568" s="757">
        <f>IF(WWWW[[#This Row],['# Functional hand washing stations during reporting period]]*20&gt;WWWW[[#This Row],[Total HH]],WWWW[[#This Row],[Total HH]],WWWW[[#This Row],['# Functional hand washing stations during reporting period]]*20)</f>
        <v>0</v>
      </c>
      <c r="DG568" s="708">
        <f>IF(WWWW[[#This Row],[Is sufficient soap available for TLS? (Yes/No)]]="yes",WWWW[[#This Row],['#_Constructed/Existing hand washing stations at TLS]],0)</f>
        <v>0</v>
      </c>
      <c r="DH568" s="759">
        <f>IF(WWWW[[#This Row],['# Functional hand washing stations during reporting period]]*100&gt;WWWW[[#This Row],[Total PoP ]],WWWW[[#This Row],[Total PoP ]],WWWW[[#This Row],['# Functional hand washing stations during reporting period]]*100)</f>
        <v>0</v>
      </c>
      <c r="DI568" s="759" t="str">
        <f>IF(OR(WWWW[[#This Row],['#_students at TLS_CFS]]="",WWWW[[#This Row],['#_students at TLS_CFS]]=0),"No","Yes")</f>
        <v>No</v>
      </c>
      <c r="DJ568" s="711" t="str">
        <f>VLOOKUP(WWWW[[#This Row],[Site Name]],SiteDB6[[Site Name]:[CCCM Management]],6,FALSE)</f>
        <v>Yes</v>
      </c>
      <c r="DK568" s="711" t="str">
        <f>VLOOKUP(WWWW[[#This Row],[Site Name]],SiteDB6[[Site Name]:[CCCM Focal Agency]],7,FALSE)</f>
        <v>uncovered</v>
      </c>
      <c r="DL568" s="711" t="str">
        <f>VLOOKUP(WWWW[[#This Row],[Site Name]],SiteDB6[[Site Name]:[Location Type 1]],9,FALSE)</f>
        <v>Camp</v>
      </c>
      <c r="DM568" s="711" t="str">
        <f>VLOOKUP(WWWW[[#This Row],[Site Name]],SiteDB6[[Site Name]:[Type of Accommodation]],10,FALSE)</f>
        <v>Camp like setting</v>
      </c>
      <c r="DN568" s="711" t="str">
        <f>VLOOKUP(WWWW[[#This Row],[Site Name]],SiteDB6[[Site Name]:[Ethnic or GCA/NGCA]],11,FALSE)</f>
        <v>GCA</v>
      </c>
      <c r="DO568" s="711">
        <f>VLOOKUP(WWWW[[#This Row],[Site Name]],SiteDB6[[Site Name]:[Lat]],12,FALSE)</f>
        <v>25.615960999999999</v>
      </c>
      <c r="DP568" s="711">
        <f>VLOOKUP(WWWW[[#This Row],[Site Name]],SiteDB6[[Site Name]:[Long]],13,FALSE)</f>
        <v>96.316564</v>
      </c>
      <c r="DQ568" s="711" t="str">
        <f>VLOOKUP(WWWW[[#This Row],[Site Name]],SiteDB6[[Site Name]:[Pcode]],3,FALSE)</f>
        <v>MMR001CMP191</v>
      </c>
      <c r="DR568" s="709" t="str">
        <f t="shared" si="21"/>
        <v>Covered</v>
      </c>
      <c r="DS568" s="709"/>
    </row>
    <row r="569" spans="1:123">
      <c r="A569" s="701" t="s">
        <v>2519</v>
      </c>
      <c r="B569" s="701" t="s">
        <v>250</v>
      </c>
      <c r="C569" s="702" t="s">
        <v>250</v>
      </c>
      <c r="D569" s="702" t="s">
        <v>315</v>
      </c>
      <c r="E569" s="702" t="s">
        <v>39</v>
      </c>
      <c r="F569" s="702" t="s">
        <v>156</v>
      </c>
      <c r="G569" s="711" t="str">
        <f>VLOOKUP(WWWW[[#This Row],[Site Name]],SiteDB6[[Site Name]:[Location Type]],8,FALSE)</f>
        <v>Camp</v>
      </c>
      <c r="H569" s="702" t="s">
        <v>262</v>
      </c>
      <c r="I569" s="705">
        <v>107</v>
      </c>
      <c r="J569" s="705">
        <v>519</v>
      </c>
      <c r="K569" s="706">
        <v>43313</v>
      </c>
      <c r="L569" s="707">
        <v>44043</v>
      </c>
      <c r="M569" s="705">
        <v>28</v>
      </c>
      <c r="N569" s="705">
        <v>1</v>
      </c>
      <c r="O569" s="705">
        <v>0</v>
      </c>
      <c r="P569" s="705">
        <v>0</v>
      </c>
      <c r="Q569" s="708" t="s">
        <v>43</v>
      </c>
      <c r="R569" s="705">
        <v>4</v>
      </c>
      <c r="S569" s="705">
        <v>1</v>
      </c>
      <c r="T569" s="807">
        <v>0</v>
      </c>
      <c r="U569" s="705"/>
      <c r="V569" s="705"/>
      <c r="W569" s="705">
        <v>0</v>
      </c>
      <c r="X569" s="705">
        <v>0</v>
      </c>
      <c r="Y569" s="705"/>
      <c r="Z569" s="705"/>
      <c r="AA569" s="705">
        <v>1</v>
      </c>
      <c r="AB569" s="705"/>
      <c r="AC569" s="705"/>
      <c r="AD569" s="705">
        <v>0</v>
      </c>
      <c r="AE569" s="705">
        <v>4</v>
      </c>
      <c r="AF569" s="705">
        <v>1</v>
      </c>
      <c r="AG569" s="705">
        <v>0</v>
      </c>
      <c r="AH569" s="705">
        <v>1</v>
      </c>
      <c r="AI569" s="705"/>
      <c r="AJ569" s="705"/>
      <c r="AK569" s="705"/>
      <c r="AL569" s="705"/>
      <c r="AM569" s="705">
        <v>0</v>
      </c>
      <c r="AN569" s="705">
        <v>0</v>
      </c>
      <c r="AO569" s="709"/>
      <c r="AP569" s="705">
        <v>34</v>
      </c>
      <c r="AQ569" s="705">
        <v>0</v>
      </c>
      <c r="AR569" s="710" t="s">
        <v>250</v>
      </c>
      <c r="AS569" s="705"/>
      <c r="AT569" s="705"/>
      <c r="AU569" s="705">
        <v>14</v>
      </c>
      <c r="AV569" s="705"/>
      <c r="AW569" s="705">
        <v>0</v>
      </c>
      <c r="AX569" s="711" t="s">
        <v>43</v>
      </c>
      <c r="AY569" s="709" t="s">
        <v>145</v>
      </c>
      <c r="AZ569" s="705">
        <v>0</v>
      </c>
      <c r="BA569" s="705">
        <v>0</v>
      </c>
      <c r="BB569" s="705">
        <v>2</v>
      </c>
      <c r="BC569" s="711"/>
      <c r="BD569" s="705">
        <v>5</v>
      </c>
      <c r="BE569" s="705"/>
      <c r="BF569" s="705">
        <v>0</v>
      </c>
      <c r="BG569" s="705">
        <v>5</v>
      </c>
      <c r="BH569" s="705"/>
      <c r="BI569" s="705">
        <v>4</v>
      </c>
      <c r="BJ569" s="705">
        <v>4</v>
      </c>
      <c r="BK569" s="705"/>
      <c r="BL569" s="705"/>
      <c r="BM569" s="711" t="s">
        <v>144</v>
      </c>
      <c r="BN569" s="712"/>
      <c r="BO569" s="710">
        <v>0.3</v>
      </c>
      <c r="BP569" s="711"/>
      <c r="BQ569" s="713" t="str">
        <f>IFERROR(WWWW[[#This Row],['#_Water sources treated]]/WWWW[[#This Row],['#_Water sources tested for contamination]],"no test")</f>
        <v>no test</v>
      </c>
      <c r="BR569" s="710" t="str">
        <f>IFERROR(WWWW[[#This Row],['#_Household received remediation action due to contamination]]/WWWW[[#This Row],['#_Household water samples tested for contamination]],"no test")</f>
        <v>no test</v>
      </c>
      <c r="BS569" s="712" t="str">
        <f>IF(AND(WWWW[[#This Row],[% of water sources treated]]="no test",WWWW[[#This Row],[% Household received corrective actions]]="no test"),"No Test","Tested")</f>
        <v>No Test</v>
      </c>
      <c r="BT569" s="712">
        <f>WWWW[[#This Row],['#_Constructed/existing protected hand dug well]]-WWWW[[#This Row],['#_Non-functional protected hand dug well]]</f>
        <v>0</v>
      </c>
      <c r="BU569" s="712">
        <f>(WWWW[[#This Row],['#_Constructed/Existing tube wells/boreholes/handpumps_WASH_agency]]+WWWW[[#This Row],['#_Non-Cluster partner water tube-wells/boreholes/handpumps]])-WWWW[[#This Row],['#_Non-functional tube wells/boreholes/handpumps]]</f>
        <v>0</v>
      </c>
      <c r="BV569" s="712">
        <f>WWWW[[#This Row],['#_Constructed/Existingwater storage tank with gravity fed reticulation system]]-WWWW[[#This Row],['#_Non-functional storage tank gravity fed reticulation system]]</f>
        <v>1</v>
      </c>
      <c r="BW569" s="712">
        <f>WWWW[[#This Row],['#_Water boating or water trucking]]</f>
        <v>0</v>
      </c>
      <c r="BX569" s="712">
        <f>WWWW[[#This Row],['#_Constructed/Existing water distribution system from river or natural spring]]</f>
        <v>1</v>
      </c>
      <c r="BY56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0.1285806037251124</v>
      </c>
      <c r="BZ56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0.1285806037251124</v>
      </c>
      <c r="CA569" s="710">
        <f>IF(WWWW[[#This Row],[Location Type 1]]="Village",WWWW[[#This Row],[Access to safe drinking water for Village]],WWWW[[#This Row],[Access to safe drinking water for Camp]])</f>
        <v>0.1285806037251124</v>
      </c>
      <c r="CB569" s="708">
        <f>WWWW[[#This Row],[%Equitable and continuous access to sufficient quantity of safe drinking water]]*WWWW[[#This Row],[Total PoP ]]</f>
        <v>66.733333333333334</v>
      </c>
      <c r="CC569" s="710">
        <f>IF((WWWW[[#This Row],['#_Constructed/Existing protected/fenced ponds]]*250)/WWWW[[#This Row],[Total PoP ]]&gt;1,1,(WWWW[[#This Row],['#_Constructed/Existing protected/fenced ponds]]*250)/WWWW[[#This Row],[Total PoP ]])</f>
        <v>1</v>
      </c>
      <c r="CD569" s="708">
        <f>WWWW[[#This Row],[% Access to unimproved water points]]*WWWW[[#This Row],[Total PoP ]]</f>
        <v>519</v>
      </c>
      <c r="CE56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6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519</v>
      </c>
      <c r="CG569" s="708">
        <f>WWWW[[#This Row],[HRP1]]/500</f>
        <v>1.038</v>
      </c>
      <c r="CH569" s="714">
        <f>1-WWWW[[#This Row],[% Equitable and continuous access to sufficient quantity of domestic water]]</f>
        <v>0</v>
      </c>
      <c r="CI569" s="708">
        <f>WWWW[[#This Row],[%equitable and continuous access to sufficient quantity of safe drinking and domestic water''s GAP]]*WWWW[[#This Row],[Total PoP ]]</f>
        <v>0</v>
      </c>
      <c r="CJ569" s="712">
        <f>IF(WWWW[[#This Row],[Total required water points]]-WWWW[[#This Row],['#Water points coverage]]&lt;0,0,WWWW[[#This Row],[Total required water points]]-WWWW[[#This Row],['#Water points coverage]])</f>
        <v>0</v>
      </c>
      <c r="CK569" s="712">
        <f>ROUND(IF(WWWW[[#This Row],[Total PoP ]]&lt;500,1,WWWW[[#This Row],[Total PoP ]]/500),0)</f>
        <v>1</v>
      </c>
      <c r="CL569" s="712">
        <f>(WWWW[[#This Row],['#_Constructed latrines_by_WASHAgencies]]+WWWW[[#This Row],['#_Non Cluster partner latrines]])-WWWW[[#This Row],['#_Non-functional latrines]]</f>
        <v>34</v>
      </c>
      <c r="CM56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6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519</v>
      </c>
      <c r="CO56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569" s="712">
        <f>IF(WWWW[[#This Row],[Location Type 1]]="Village","NA",IF(WWWW[[#This Row],['#_Constructed/Existing latrines in TLS]]*50&gt;WWWW[[#This Row],['#_students at TLS_CFS]],WWWW[[#This Row],['#_students at TLS_CFS]],(WWWW[[#This Row],['#_Constructed/Existing latrines in TLS]]*50)))</f>
        <v>28</v>
      </c>
      <c r="CQ569" s="712">
        <f>ROUND(IF(WWWW[[#This Row],[Location Type 1]]="camp",WWWW[[#This Row],[Total PoP ]]/20,IF(WWWW[[#This Row],[Location Type 1]]="Temporary Location",WWWW[[#This Row],[Total PoP ]]/50,(WWWW[[#This Row],[Total PoP ]]/6))),0)</f>
        <v>26</v>
      </c>
      <c r="CR569" s="712">
        <f>IF(WWWW[[#This Row],[Total required Latrines]]-(WWWW[[#This Row],['#_Constructed latrines_by_WASHAgencies]]+WWWW[[#This Row],['#_Non Cluster partner latrines]])&lt;0,0,WWWW[[#This Row],[Total required Latrines]]-(WWWW[[#This Row],['#_Constructed latrines_by_WASHAgencies]]+WWWW[[#This Row],['#_Non Cluster partner latrines]]))</f>
        <v>0</v>
      </c>
      <c r="CS569" s="714">
        <f>1-WWWW[[#This Row],[% people access to functioning Latrine]]</f>
        <v>0</v>
      </c>
      <c r="CT569" s="713">
        <f>IF(OR(WWWW[[#This Row],['#_Non-functional latrines]]="",WWWW[[#This Row],['#_Non-functional latrines]]=0),0,WWWW[[#This Row],['#_Non-functional latrines]]/(WWWW[[#This Row],['#_Constructed latrines_by_WASHAgencies]]+WWWW[[#This Row],['#_Non Cluster partner latrines]]))</f>
        <v>0</v>
      </c>
      <c r="CU569" s="708">
        <f>IF(500*(WWWW[[#This Row],['#_male hygiene promoters]]+WWWW[[#This Row],['#_female hygiene promoters]])&gt;WWWW[[#This Row],[Total PoP ]],WWWW[[#This Row],[Total PoP ]],500*(WWWW[[#This Row],['#_male hygiene promoters]]+WWWW[[#This Row],['#_female hygiene promoters]]))</f>
        <v>519</v>
      </c>
      <c r="CV56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6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69" s="712">
        <f>IF(WWWW[[#This Row],['# People with access to soap]]&gt;WWWW[[#This Row],['# People with access to Sanity Pads]],WWWW[[#This Row],['# People with access to soap]],WWWW[[#This Row],['# People with access to Sanity Pads]])</f>
        <v>0</v>
      </c>
      <c r="CY569" s="712">
        <f>IF(WWWW[[#This Row],['# people reached by regular dedicated hygiene promotion_5]]&gt;WWWW[[#This Row],['# People received regular supply of hygiene items_6]],WWWW[[#This Row],['# people reached by regular dedicated hygiene promotion_5]],WWWW[[#This Row],['# People received regular supply of hygiene items_6]])</f>
        <v>519</v>
      </c>
      <c r="CZ569" s="714">
        <f>IF(WWWW[[#This Row],[HRP3]]/WWWW[[#This Row],[Total PoP ]]&gt;100%,100%,WWWW[[#This Row],[HRP3]]/WWWW[[#This Row],[Total PoP ]])</f>
        <v>1</v>
      </c>
      <c r="DA569" s="713">
        <f>1-WWWW[[#This Row],[Hygiene Coverage%]]</f>
        <v>0</v>
      </c>
      <c r="DB569" s="710">
        <f>WWWW[[#This Row],['# people reached by regular dedicated hygiene promotion_5]]/WWWW[[#This Row],[Total PoP ]]</f>
        <v>1</v>
      </c>
      <c r="DC569" s="710">
        <f>IF(WWWW[[#This Row],['#_households that received standard amount of soap for this quarter]]/WWWW[[#This Row],[Total HH]]&gt;1,1,WWWW[[#This Row],['#_households that received standard amount of soap for this quarter]]/WWWW[[#This Row],[Total HH]])</f>
        <v>0</v>
      </c>
      <c r="DD569" s="710">
        <f>IF(WWWW[[#This Row],['#_households that received standard amount of sanitary pads for this quarter]]/WWWW[[#This Row],[Total HH]]&gt;1,1,WWWW[[#This Row],['#_households that received standard amount of sanitary pads for this quarter]]/WWWW[[#This Row],[Total HH]])</f>
        <v>0</v>
      </c>
      <c r="DE569" s="712">
        <f>WWWW[[#This Row],['#_Constructed/Existing hand washing stations]]-WWWW[[#This Row],['#_Non-Functional_hand_washing_stations]]</f>
        <v>5</v>
      </c>
      <c r="DF569" s="757">
        <f>IF(WWWW[[#This Row],['# Functional hand washing stations during reporting period]]*20&gt;WWWW[[#This Row],[Total HH]],WWWW[[#This Row],[Total HH]],WWWW[[#This Row],['# Functional hand washing stations during reporting period]]*20)</f>
        <v>100</v>
      </c>
      <c r="DG569" s="708">
        <f>IF(WWWW[[#This Row],[Is sufficient soap available for TLS? (Yes/No)]]="yes",WWWW[[#This Row],['#_Constructed/Existing hand washing stations at TLS]],0)</f>
        <v>0</v>
      </c>
      <c r="DH569" s="759">
        <f>IF(WWWW[[#This Row],['# Functional hand washing stations during reporting period]]*100&gt;WWWW[[#This Row],[Total PoP ]],WWWW[[#This Row],[Total PoP ]],WWWW[[#This Row],['# Functional hand washing stations during reporting period]]*100)</f>
        <v>500</v>
      </c>
      <c r="DI569" s="759" t="str">
        <f>IF(OR(WWWW[[#This Row],['#_students at TLS_CFS]]="",WWWW[[#This Row],['#_students at TLS_CFS]]=0),"No","Yes")</f>
        <v>Yes</v>
      </c>
      <c r="DJ569" s="711" t="str">
        <f>VLOOKUP(WWWW[[#This Row],[Site Name]],SiteDB6[[Site Name]:[CCCM Management]],6,FALSE)</f>
        <v>Yes</v>
      </c>
      <c r="DK569" s="711" t="str">
        <f>VLOOKUP(WWWW[[#This Row],[Site Name]],SiteDB6[[Site Name]:[CCCM Focal Agency]],7,FALSE)</f>
        <v>KBC</v>
      </c>
      <c r="DL569" s="711" t="str">
        <f>VLOOKUP(WWWW[[#This Row],[Site Name]],SiteDB6[[Site Name]:[Location Type 1]],9,FALSE)</f>
        <v>Camp</v>
      </c>
      <c r="DM569" s="711" t="str">
        <f>VLOOKUP(WWWW[[#This Row],[Site Name]],SiteDB6[[Site Name]:[Type of Accommodation]],10,FALSE)</f>
        <v>Camp</v>
      </c>
      <c r="DN569" s="711" t="str">
        <f>VLOOKUP(WWWW[[#This Row],[Site Name]],SiteDB6[[Site Name]:[Ethnic or GCA/NGCA]],11,FALSE)</f>
        <v>GCA</v>
      </c>
      <c r="DO569" s="711">
        <f>VLOOKUP(WWWW[[#This Row],[Site Name]],SiteDB6[[Site Name]:[Lat]],12,FALSE)</f>
        <v>25.611160000000002</v>
      </c>
      <c r="DP569" s="711">
        <f>VLOOKUP(WWWW[[#This Row],[Site Name]],SiteDB6[[Site Name]:[Long]],13,FALSE)</f>
        <v>96.312790000000007</v>
      </c>
      <c r="DQ569" s="711" t="str">
        <f>VLOOKUP(WWWW[[#This Row],[Site Name]],SiteDB6[[Site Name]:[Pcode]],3,FALSE)</f>
        <v>MMR001CMP229</v>
      </c>
      <c r="DR569" s="709" t="str">
        <f t="shared" si="21"/>
        <v>Covered</v>
      </c>
      <c r="DS569" s="709"/>
    </row>
    <row r="570" spans="1:123">
      <c r="A570" s="701" t="s">
        <v>2519</v>
      </c>
      <c r="B570" s="701" t="s">
        <v>149</v>
      </c>
      <c r="C570" s="702" t="s">
        <v>149</v>
      </c>
      <c r="D570" s="702" t="s">
        <v>3264</v>
      </c>
      <c r="E570" s="702" t="s">
        <v>39</v>
      </c>
      <c r="F570" s="702" t="s">
        <v>156</v>
      </c>
      <c r="G570" s="711" t="str">
        <f>VLOOKUP(WWWW[[#This Row],[Site Name]],SiteDB6[[Site Name]:[Location Type]],8,FALSE)</f>
        <v>Camp</v>
      </c>
      <c r="H570" s="702" t="s">
        <v>157</v>
      </c>
      <c r="I570" s="705">
        <v>31</v>
      </c>
      <c r="J570" s="705">
        <v>132</v>
      </c>
      <c r="K570" s="553" t="s">
        <v>3265</v>
      </c>
      <c r="L570" s="755" t="s">
        <v>3267</v>
      </c>
      <c r="M570" s="705"/>
      <c r="N570" s="705"/>
      <c r="O570" s="705"/>
      <c r="P570" s="705"/>
      <c r="Q570" s="708" t="s">
        <v>43</v>
      </c>
      <c r="R570" s="705"/>
      <c r="S570" s="705"/>
      <c r="T570" s="807">
        <v>0</v>
      </c>
      <c r="U570" s="705"/>
      <c r="V570" s="705"/>
      <c r="W570" s="705">
        <v>1</v>
      </c>
      <c r="X570" s="705"/>
      <c r="Y570" s="705"/>
      <c r="Z570" s="705"/>
      <c r="AA570" s="705"/>
      <c r="AB570" s="705"/>
      <c r="AC570" s="705"/>
      <c r="AD570" s="705"/>
      <c r="AE570" s="705"/>
      <c r="AF570" s="705"/>
      <c r="AG570" s="705"/>
      <c r="AH570" s="705">
        <v>0</v>
      </c>
      <c r="AI570" s="705"/>
      <c r="AJ570" s="705"/>
      <c r="AK570" s="705"/>
      <c r="AL570" s="705"/>
      <c r="AM570" s="705"/>
      <c r="AN570" s="705"/>
      <c r="AO570" s="709"/>
      <c r="AP570" s="705">
        <v>9</v>
      </c>
      <c r="AQ570" s="705"/>
      <c r="AR570" s="710"/>
      <c r="AS570" s="705"/>
      <c r="AT570" s="705"/>
      <c r="AU570" s="705"/>
      <c r="AV570" s="705"/>
      <c r="AW570" s="705">
        <v>9</v>
      </c>
      <c r="AX570" s="711" t="s">
        <v>43</v>
      </c>
      <c r="AY570" s="709" t="s">
        <v>145</v>
      </c>
      <c r="AZ570" s="705"/>
      <c r="BA570" s="705"/>
      <c r="BB570" s="705"/>
      <c r="BC570" s="711"/>
      <c r="BD570" s="705"/>
      <c r="BE570" s="705"/>
      <c r="BF570" s="705"/>
      <c r="BG570" s="705">
        <v>2</v>
      </c>
      <c r="BH570" s="705"/>
      <c r="BI570" s="705"/>
      <c r="BJ570" s="705">
        <v>1</v>
      </c>
      <c r="BK570" s="705"/>
      <c r="BL570" s="705"/>
      <c r="BM570" s="711"/>
      <c r="BN570" s="712"/>
      <c r="BO570" s="710"/>
      <c r="BP570" s="711"/>
      <c r="BQ570" s="713" t="str">
        <f>IFERROR(WWWW[[#This Row],['#_Water sources treated]]/WWWW[[#This Row],['#_Water sources tested for contamination]],"no test")</f>
        <v>no test</v>
      </c>
      <c r="BR570" s="710" t="str">
        <f>IFERROR(WWWW[[#This Row],['#_Household received remediation action due to contamination]]/WWWW[[#This Row],['#_Household water samples tested for contamination]],"no test")</f>
        <v>no test</v>
      </c>
      <c r="BS570" s="712" t="str">
        <f>IF(AND(WWWW[[#This Row],[% of water sources treated]]="no test",WWWW[[#This Row],[% Household received corrective actions]]="no test"),"No Test","Tested")</f>
        <v>No Test</v>
      </c>
      <c r="BT570" s="712">
        <f>WWWW[[#This Row],['#_Constructed/existing protected hand dug well]]-WWWW[[#This Row],['#_Non-functional protected hand dug well]]</f>
        <v>0</v>
      </c>
      <c r="BU570" s="712">
        <f>(WWWW[[#This Row],['#_Constructed/Existing tube wells/boreholes/handpumps_WASH_agency]]+WWWW[[#This Row],['#_Non-Cluster partner water tube-wells/boreholes/handpumps]])-WWWW[[#This Row],['#_Non-functional tube wells/boreholes/handpumps]]</f>
        <v>1</v>
      </c>
      <c r="BV570" s="712">
        <f>WWWW[[#This Row],['#_Constructed/Existingwater storage tank with gravity fed reticulation system]]-WWWW[[#This Row],['#_Non-functional storage tank gravity fed reticulation system]]</f>
        <v>0</v>
      </c>
      <c r="BW570" s="712">
        <f>WWWW[[#This Row],['#_Water boating or water trucking]]</f>
        <v>0</v>
      </c>
      <c r="BX570" s="712">
        <f>WWWW[[#This Row],['#_Constructed/Existing water distribution system from river or natural spring]]</f>
        <v>0</v>
      </c>
      <c r="BY57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7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70" s="710">
        <f>IF(WWWW[[#This Row],[Location Type 1]]="Village",WWWW[[#This Row],[Access to safe drinking water for Village]],WWWW[[#This Row],[Access to safe drinking water for Camp]])</f>
        <v>1</v>
      </c>
      <c r="CB570" s="708">
        <f>WWWW[[#This Row],[%Equitable and continuous access to sufficient quantity of safe drinking water]]*WWWW[[#This Row],[Total PoP ]]</f>
        <v>132</v>
      </c>
      <c r="CC570" s="710">
        <f>IF((WWWW[[#This Row],['#_Constructed/Existing protected/fenced ponds]]*250)/WWWW[[#This Row],[Total PoP ]]&gt;1,1,(WWWW[[#This Row],['#_Constructed/Existing protected/fenced ponds]]*250)/WWWW[[#This Row],[Total PoP ]])</f>
        <v>0</v>
      </c>
      <c r="CD570" s="708">
        <f>WWWW[[#This Row],[% Access to unimproved water points]]*WWWW[[#This Row],[Total PoP ]]</f>
        <v>0</v>
      </c>
      <c r="CE57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7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G570" s="708">
        <f>WWWW[[#This Row],[HRP1]]/500</f>
        <v>0.26400000000000001</v>
      </c>
      <c r="CH570" s="714">
        <f>1-WWWW[[#This Row],[% Equitable and continuous access to sufficient quantity of domestic water]]</f>
        <v>0</v>
      </c>
      <c r="CI570" s="708">
        <f>WWWW[[#This Row],[%equitable and continuous access to sufficient quantity of safe drinking and domestic water''s GAP]]*WWWW[[#This Row],[Total PoP ]]</f>
        <v>0</v>
      </c>
      <c r="CJ570" s="712">
        <f>IF(WWWW[[#This Row],[Total required water points]]-WWWW[[#This Row],['#Water points coverage]]&lt;0,0,WWWW[[#This Row],[Total required water points]]-WWWW[[#This Row],['#Water points coverage]])</f>
        <v>0.73599999999999999</v>
      </c>
      <c r="CK570" s="712">
        <f>ROUND(IF(WWWW[[#This Row],[Total PoP ]]&lt;500,1,WWWW[[#This Row],[Total PoP ]]/500),0)</f>
        <v>1</v>
      </c>
      <c r="CL570" s="712">
        <f>(WWWW[[#This Row],['#_Constructed latrines_by_WASHAgencies]]+WWWW[[#This Row],['#_Non Cluster partner latrines]])-WWWW[[#This Row],['#_Non-functional latrines]]</f>
        <v>9</v>
      </c>
      <c r="CM57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7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132</v>
      </c>
      <c r="CO57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0" s="712">
        <f>IF(WWWW[[#This Row],[Location Type 1]]="Village","NA",IF(WWWW[[#This Row],['#_Constructed/Existing latrines in TLS]]*50&gt;WWWW[[#This Row],['#_students at TLS_CFS]],WWWW[[#This Row],['#_students at TLS_CFS]],(WWWW[[#This Row],['#_Constructed/Existing latrines in TLS]]*50)))</f>
        <v>0</v>
      </c>
      <c r="CQ570" s="712">
        <f>ROUND(IF(WWWW[[#This Row],[Location Type 1]]="camp",WWWW[[#This Row],[Total PoP ]]/20,IF(WWWW[[#This Row],[Location Type 1]]="Temporary Location",WWWW[[#This Row],[Total PoP ]]/50,(WWWW[[#This Row],[Total PoP ]]/6))),0)</f>
        <v>7</v>
      </c>
      <c r="CR570" s="712">
        <f>IF(WWWW[[#This Row],[Total required Latrines]]-(WWWW[[#This Row],['#_Constructed latrines_by_WASHAgencies]]+WWWW[[#This Row],['#_Non Cluster partner latrines]])&lt;0,0,WWWW[[#This Row],[Total required Latrines]]-(WWWW[[#This Row],['#_Constructed latrines_by_WASHAgencies]]+WWWW[[#This Row],['#_Non Cluster partner latrines]]))</f>
        <v>0</v>
      </c>
      <c r="CS570" s="714">
        <f>1-WWWW[[#This Row],[% people access to functioning Latrine]]</f>
        <v>0</v>
      </c>
      <c r="CT570" s="713">
        <f>IF(OR(WWWW[[#This Row],['#_Non-functional latrines]]="",WWWW[[#This Row],['#_Non-functional latrines]]=0),0,WWWW[[#This Row],['#_Non-functional latrines]]/(WWWW[[#This Row],['#_Constructed latrines_by_WASHAgencies]]+WWWW[[#This Row],['#_Non Cluster partner latrines]]))</f>
        <v>0</v>
      </c>
      <c r="CU570" s="708">
        <f>IF(500*(WWWW[[#This Row],['#_male hygiene promoters]]+WWWW[[#This Row],['#_female hygiene promoters]])&gt;WWWW[[#This Row],[Total PoP ]],WWWW[[#This Row],[Total PoP ]],500*(WWWW[[#This Row],['#_male hygiene promoters]]+WWWW[[#This Row],['#_female hygiene promoters]]))</f>
        <v>132</v>
      </c>
      <c r="CV57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0" s="712">
        <f>IF(WWWW[[#This Row],['# People with access to soap]]&gt;WWWW[[#This Row],['# People with access to Sanity Pads]],WWWW[[#This Row],['# People with access to soap]],WWWW[[#This Row],['# People with access to Sanity Pads]])</f>
        <v>0</v>
      </c>
      <c r="CY570" s="712">
        <f>IF(WWWW[[#This Row],['# people reached by regular dedicated hygiene promotion_5]]&gt;WWWW[[#This Row],['# People received regular supply of hygiene items_6]],WWWW[[#This Row],['# people reached by regular dedicated hygiene promotion_5]],WWWW[[#This Row],['# People received regular supply of hygiene items_6]])</f>
        <v>132</v>
      </c>
      <c r="CZ570" s="714">
        <f>IF(WWWW[[#This Row],[HRP3]]/WWWW[[#This Row],[Total PoP ]]&gt;100%,100%,WWWW[[#This Row],[HRP3]]/WWWW[[#This Row],[Total PoP ]])</f>
        <v>1</v>
      </c>
      <c r="DA570" s="713">
        <f>1-WWWW[[#This Row],[Hygiene Coverage%]]</f>
        <v>0</v>
      </c>
      <c r="DB570" s="710">
        <f>WWWW[[#This Row],['# people reached by regular dedicated hygiene promotion_5]]/WWWW[[#This Row],[Total PoP ]]</f>
        <v>1</v>
      </c>
      <c r="DC570" s="710">
        <f>IF(WWWW[[#This Row],['#_households that received standard amount of soap for this quarter]]/WWWW[[#This Row],[Total HH]]&gt;1,1,WWWW[[#This Row],['#_households that received standard amount of soap for this quarter]]/WWWW[[#This Row],[Total HH]])</f>
        <v>0</v>
      </c>
      <c r="DD570" s="710">
        <f>IF(WWWW[[#This Row],['#_households that received standard amount of sanitary pads for this quarter]]/WWWW[[#This Row],[Total HH]]&gt;1,1,WWWW[[#This Row],['#_households that received standard amount of sanitary pads for this quarter]]/WWWW[[#This Row],[Total HH]])</f>
        <v>0</v>
      </c>
      <c r="DE570" s="712">
        <f>WWWW[[#This Row],['#_Constructed/Existing hand washing stations]]-WWWW[[#This Row],['#_Non-Functional_hand_washing_stations]]</f>
        <v>0</v>
      </c>
      <c r="DF570" s="757">
        <f>IF(WWWW[[#This Row],['# Functional hand washing stations during reporting period]]*20&gt;WWWW[[#This Row],[Total HH]],WWWW[[#This Row],[Total HH]],WWWW[[#This Row],['# Functional hand washing stations during reporting period]]*20)</f>
        <v>0</v>
      </c>
      <c r="DG570" s="708">
        <f>IF(WWWW[[#This Row],[Is sufficient soap available for TLS? (Yes/No)]]="yes",WWWW[[#This Row],['#_Constructed/Existing hand washing stations at TLS]],0)</f>
        <v>0</v>
      </c>
      <c r="DH570" s="759">
        <f>IF(WWWW[[#This Row],['# Functional hand washing stations during reporting period]]*100&gt;WWWW[[#This Row],[Total PoP ]],WWWW[[#This Row],[Total PoP ]],WWWW[[#This Row],['# Functional hand washing stations during reporting period]]*100)</f>
        <v>0</v>
      </c>
      <c r="DI570" s="759" t="str">
        <f>IF(OR(WWWW[[#This Row],['#_students at TLS_CFS]]="",WWWW[[#This Row],['#_students at TLS_CFS]]=0),"No","Yes")</f>
        <v>No</v>
      </c>
      <c r="DJ570" s="711" t="str">
        <f>VLOOKUP(WWWW[[#This Row],[Site Name]],SiteDB6[[Site Name]:[CCCM Management]],6,FALSE)</f>
        <v>Yes</v>
      </c>
      <c r="DK570" s="711" t="str">
        <f>VLOOKUP(WWWW[[#This Row],[Site Name]],SiteDB6[[Site Name]:[CCCM Focal Agency]],7,FALSE)</f>
        <v>KBC</v>
      </c>
      <c r="DL570" s="711" t="str">
        <f>VLOOKUP(WWWW[[#This Row],[Site Name]],SiteDB6[[Site Name]:[Location Type 1]],9,FALSE)</f>
        <v>Camp</v>
      </c>
      <c r="DM570" s="711" t="str">
        <f>VLOOKUP(WWWW[[#This Row],[Site Name]],SiteDB6[[Site Name]:[Type of Accommodation]],10,FALSE)</f>
        <v>Camp</v>
      </c>
      <c r="DN570" s="711" t="str">
        <f>VLOOKUP(WWWW[[#This Row],[Site Name]],SiteDB6[[Site Name]:[Ethnic or GCA/NGCA]],11,FALSE)</f>
        <v>GCA</v>
      </c>
      <c r="DO570" s="711">
        <f>VLOOKUP(WWWW[[#This Row],[Site Name]],SiteDB6[[Site Name]:[Lat]],12,FALSE)</f>
        <v>25.51352</v>
      </c>
      <c r="DP570" s="711">
        <f>VLOOKUP(WWWW[[#This Row],[Site Name]],SiteDB6[[Site Name]:[Long]],13,FALSE)</f>
        <v>96.705960000000005</v>
      </c>
      <c r="DQ570" s="711" t="str">
        <f>VLOOKUP(WWWW[[#This Row],[Site Name]],SiteDB6[[Site Name]:[Pcode]],3,FALSE)</f>
        <v>MMR001CMP148</v>
      </c>
      <c r="DR570" s="709" t="str">
        <f t="shared" si="21"/>
        <v>Covered</v>
      </c>
      <c r="DS570" s="709"/>
    </row>
    <row r="571" spans="1:123">
      <c r="A571" s="701" t="s">
        <v>2519</v>
      </c>
      <c r="B571" s="701" t="s">
        <v>38</v>
      </c>
      <c r="C571" s="702" t="s">
        <v>38</v>
      </c>
      <c r="D571" s="702" t="s">
        <v>249</v>
      </c>
      <c r="E571" s="702" t="s">
        <v>39</v>
      </c>
      <c r="F571" s="702" t="s">
        <v>213</v>
      </c>
      <c r="G571" s="711" t="str">
        <f>VLOOKUP(WWWW[[#This Row],[Site Name]],SiteDB6[[Site Name]:[Location Type]],8,FALSE)</f>
        <v>Camp</v>
      </c>
      <c r="H571" s="702" t="s">
        <v>298</v>
      </c>
      <c r="I571" s="705">
        <v>1490</v>
      </c>
      <c r="J571" s="705">
        <v>8486</v>
      </c>
      <c r="K571" s="706">
        <v>43435</v>
      </c>
      <c r="L571" s="707">
        <v>43799</v>
      </c>
      <c r="M571" s="705">
        <v>1340</v>
      </c>
      <c r="N571" s="705"/>
      <c r="O571" s="705"/>
      <c r="P571" s="705"/>
      <c r="Q571" s="708" t="s">
        <v>43</v>
      </c>
      <c r="R571" s="705"/>
      <c r="S571" s="705"/>
      <c r="T571" s="807">
        <v>1</v>
      </c>
      <c r="U571" s="705"/>
      <c r="V571" s="705"/>
      <c r="W571" s="705"/>
      <c r="X571" s="705"/>
      <c r="Y571" s="705"/>
      <c r="Z571" s="705"/>
      <c r="AA571" s="705"/>
      <c r="AB571" s="705"/>
      <c r="AC571" s="705"/>
      <c r="AD571" s="705"/>
      <c r="AE571" s="705"/>
      <c r="AF571" s="705"/>
      <c r="AG571" s="705"/>
      <c r="AH571" s="705"/>
      <c r="AI571" s="705"/>
      <c r="AJ571" s="705"/>
      <c r="AK571" s="705"/>
      <c r="AL571" s="705"/>
      <c r="AM571" s="705"/>
      <c r="AN571" s="705"/>
      <c r="AO571" s="709"/>
      <c r="AP571" s="705">
        <v>22</v>
      </c>
      <c r="AQ571" s="705"/>
      <c r="AR571" s="710"/>
      <c r="AS571" s="705"/>
      <c r="AT571" s="705"/>
      <c r="AU571" s="705"/>
      <c r="AV571" s="705"/>
      <c r="AW571" s="705"/>
      <c r="AX571" s="711" t="s">
        <v>43</v>
      </c>
      <c r="AY571" s="709" t="s">
        <v>145</v>
      </c>
      <c r="AZ571" s="705">
        <v>6</v>
      </c>
      <c r="BA571" s="705"/>
      <c r="BB571" s="705"/>
      <c r="BC571" s="711"/>
      <c r="BD571" s="705"/>
      <c r="BE571" s="705"/>
      <c r="BF571" s="705"/>
      <c r="BG571" s="705">
        <v>3</v>
      </c>
      <c r="BH571" s="705"/>
      <c r="BI571" s="705"/>
      <c r="BJ571" s="705">
        <v>2</v>
      </c>
      <c r="BK571" s="705"/>
      <c r="BL571" s="705"/>
      <c r="BM571" s="711" t="s">
        <v>144</v>
      </c>
      <c r="BN571" s="712"/>
      <c r="BO571" s="710"/>
      <c r="BP571" s="711"/>
      <c r="BQ571" s="713" t="str">
        <f>IFERROR(WWWW[[#This Row],['#_Water sources treated]]/WWWW[[#This Row],['#_Water sources tested for contamination]],"no test")</f>
        <v>no test</v>
      </c>
      <c r="BR571" s="710" t="str">
        <f>IFERROR(WWWW[[#This Row],['#_Household received remediation action due to contamination]]/WWWW[[#This Row],['#_Household water samples tested for contamination]],"no test")</f>
        <v>no test</v>
      </c>
      <c r="BS571" s="712" t="str">
        <f>IF(AND(WWWW[[#This Row],[% of water sources treated]]="no test",WWWW[[#This Row],[% Household received corrective actions]]="no test"),"No Test","Tested")</f>
        <v>No Test</v>
      </c>
      <c r="BT571" s="712">
        <f>WWWW[[#This Row],['#_Constructed/existing protected hand dug well]]-WWWW[[#This Row],['#_Non-functional protected hand dug well]]</f>
        <v>1</v>
      </c>
      <c r="BU571" s="712">
        <f>(WWWW[[#This Row],['#_Constructed/Existing tube wells/boreholes/handpumps_WASH_agency]]+WWWW[[#This Row],['#_Non-Cluster partner water tube-wells/boreholes/handpumps]])-WWWW[[#This Row],['#_Non-functional tube wells/boreholes/handpumps]]</f>
        <v>0</v>
      </c>
      <c r="BV571" s="712">
        <f>WWWW[[#This Row],['#_Constructed/Existingwater storage tank with gravity fed reticulation system]]-WWWW[[#This Row],['#_Non-functional storage tank gravity fed reticulation system]]</f>
        <v>0</v>
      </c>
      <c r="BW571" s="712">
        <f>WWWW[[#This Row],['#_Water boating or water trucking]]</f>
        <v>0</v>
      </c>
      <c r="BX571" s="712">
        <f>WWWW[[#This Row],['#_Constructed/Existing water distribution system from river or natural spring]]</f>
        <v>0</v>
      </c>
      <c r="BY57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4.7136460051850106E-2</v>
      </c>
      <c r="BZ57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2.9460287532406315E-2</v>
      </c>
      <c r="CA571" s="710">
        <f>IF(WWWW[[#This Row],[Location Type 1]]="Village",WWWW[[#This Row],[Access to safe drinking water for Village]],WWWW[[#This Row],[Access to safe drinking water for Camp]])</f>
        <v>4.7136460051850106E-2</v>
      </c>
      <c r="CB571" s="708">
        <f>WWWW[[#This Row],[%Equitable and continuous access to sufficient quantity of safe drinking water]]*WWWW[[#This Row],[Total PoP ]]</f>
        <v>400</v>
      </c>
      <c r="CC571" s="710">
        <f>IF((WWWW[[#This Row],['#_Constructed/Existing protected/fenced ponds]]*250)/WWWW[[#This Row],[Total PoP ]]&gt;1,1,(WWWW[[#This Row],['#_Constructed/Existing protected/fenced ponds]]*250)/WWWW[[#This Row],[Total PoP ]])</f>
        <v>0</v>
      </c>
      <c r="CD571" s="708">
        <f>WWWW[[#This Row],[% Access to unimproved water points]]*WWWW[[#This Row],[Total PoP ]]</f>
        <v>0</v>
      </c>
      <c r="CE57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F57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571" s="708">
        <f>WWWW[[#This Row],[HRP1]]/500</f>
        <v>0.8</v>
      </c>
      <c r="CH571" s="714">
        <f>1-WWWW[[#This Row],[% Equitable and continuous access to sufficient quantity of domestic water]]</f>
        <v>0.95286353994814987</v>
      </c>
      <c r="CI571" s="708">
        <f>WWWW[[#This Row],[%equitable and continuous access to sufficient quantity of safe drinking and domestic water''s GAP]]*WWWW[[#This Row],[Total PoP ]]</f>
        <v>8086</v>
      </c>
      <c r="CJ571" s="712">
        <f>IF(WWWW[[#This Row],[Total required water points]]-WWWW[[#This Row],['#Water points coverage]]&lt;0,0,WWWW[[#This Row],[Total required water points]]-WWWW[[#This Row],['#Water points coverage]])</f>
        <v>16.2</v>
      </c>
      <c r="CK571" s="712">
        <f>ROUND(IF(WWWW[[#This Row],[Total PoP ]]&lt;500,1,WWWW[[#This Row],[Total PoP ]]/500),0)</f>
        <v>17</v>
      </c>
      <c r="CL571" s="712">
        <f>(WWWW[[#This Row],['#_Constructed latrines_by_WASHAgencies]]+WWWW[[#This Row],['#_Non Cluster partner latrines]])-WWWW[[#This Row],['#_Non-functional latrines]]</f>
        <v>22</v>
      </c>
      <c r="CM57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5.185010605703512E-2</v>
      </c>
      <c r="CN57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440</v>
      </c>
      <c r="CO57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1" s="712">
        <f>IF(WWWW[[#This Row],[Location Type 1]]="Village","NA",IF(WWWW[[#This Row],['#_Constructed/Existing latrines in TLS]]*50&gt;WWWW[[#This Row],['#_students at TLS_CFS]],WWWW[[#This Row],['#_students at TLS_CFS]],(WWWW[[#This Row],['#_Constructed/Existing latrines in TLS]]*50)))</f>
        <v>0</v>
      </c>
      <c r="CQ571" s="712">
        <f>ROUND(IF(WWWW[[#This Row],[Location Type 1]]="camp",WWWW[[#This Row],[Total PoP ]]/20,IF(WWWW[[#This Row],[Location Type 1]]="Temporary Location",WWWW[[#This Row],[Total PoP ]]/50,(WWWW[[#This Row],[Total PoP ]]/6))),0)</f>
        <v>424</v>
      </c>
      <c r="CR571" s="712">
        <f>IF(WWWW[[#This Row],[Total required Latrines]]-(WWWW[[#This Row],['#_Constructed latrines_by_WASHAgencies]]+WWWW[[#This Row],['#_Non Cluster partner latrines]])&lt;0,0,WWWW[[#This Row],[Total required Latrines]]-(WWWW[[#This Row],['#_Constructed latrines_by_WASHAgencies]]+WWWW[[#This Row],['#_Non Cluster partner latrines]]))</f>
        <v>402</v>
      </c>
      <c r="CS571" s="714">
        <f>1-WWWW[[#This Row],[% people access to functioning Latrine]]</f>
        <v>0.94814989394296489</v>
      </c>
      <c r="CT571" s="713">
        <f>IF(OR(WWWW[[#This Row],['#_Non-functional latrines]]="",WWWW[[#This Row],['#_Non-functional latrines]]=0),0,WWWW[[#This Row],['#_Non-functional latrines]]/(WWWW[[#This Row],['#_Constructed latrines_by_WASHAgencies]]+WWWW[[#This Row],['#_Non Cluster partner latrines]]))</f>
        <v>0</v>
      </c>
      <c r="CU571" s="708">
        <f>IF(500*(WWWW[[#This Row],['#_male hygiene promoters]]+WWWW[[#This Row],['#_female hygiene promoters]])&gt;WWWW[[#This Row],[Total PoP ]],WWWW[[#This Row],[Total PoP ]],500*(WWWW[[#This Row],['#_male hygiene promoters]]+WWWW[[#This Row],['#_female hygiene promoters]]))</f>
        <v>1000</v>
      </c>
      <c r="CV57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1" s="712">
        <f>IF(WWWW[[#This Row],['# People with access to soap]]&gt;WWWW[[#This Row],['# People with access to Sanity Pads]],WWWW[[#This Row],['# People with access to soap]],WWWW[[#This Row],['# People with access to Sanity Pads]])</f>
        <v>0</v>
      </c>
      <c r="CY571" s="712">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CZ571" s="714">
        <f>IF(WWWW[[#This Row],[HRP3]]/WWWW[[#This Row],[Total PoP ]]&gt;100%,100%,WWWW[[#This Row],[HRP3]]/WWWW[[#This Row],[Total PoP ]])</f>
        <v>0.11784115012962526</v>
      </c>
      <c r="DA571" s="713">
        <f>1-WWWW[[#This Row],[Hygiene Coverage%]]</f>
        <v>0.88215884987037474</v>
      </c>
      <c r="DB571" s="710">
        <f>WWWW[[#This Row],['# people reached by regular dedicated hygiene promotion_5]]/WWWW[[#This Row],[Total PoP ]]</f>
        <v>0.11784115012962526</v>
      </c>
      <c r="DC571" s="710">
        <f>IF(WWWW[[#This Row],['#_households that received standard amount of soap for this quarter]]/WWWW[[#This Row],[Total HH]]&gt;1,1,WWWW[[#This Row],['#_households that received standard amount of soap for this quarter]]/WWWW[[#This Row],[Total HH]])</f>
        <v>0</v>
      </c>
      <c r="DD571" s="710">
        <f>IF(WWWW[[#This Row],['#_households that received standard amount of sanitary pads for this quarter]]/WWWW[[#This Row],[Total HH]]&gt;1,1,WWWW[[#This Row],['#_households that received standard amount of sanitary pads for this quarter]]/WWWW[[#This Row],[Total HH]])</f>
        <v>0</v>
      </c>
      <c r="DE571" s="712">
        <f>WWWW[[#This Row],['#_Constructed/Existing hand washing stations]]-WWWW[[#This Row],['#_Non-Functional_hand_washing_stations]]</f>
        <v>0</v>
      </c>
      <c r="DF571" s="757">
        <f>IF(WWWW[[#This Row],['# Functional hand washing stations during reporting period]]*20&gt;WWWW[[#This Row],[Total HH]],WWWW[[#This Row],[Total HH]],WWWW[[#This Row],['# Functional hand washing stations during reporting period]]*20)</f>
        <v>0</v>
      </c>
      <c r="DG571" s="708">
        <f>IF(WWWW[[#This Row],[Is sufficient soap available for TLS? (Yes/No)]]="yes",WWWW[[#This Row],['#_Constructed/Existing hand washing stations at TLS]],0)</f>
        <v>0</v>
      </c>
      <c r="DH571" s="759">
        <f>IF(WWWW[[#This Row],['# Functional hand washing stations during reporting period]]*100&gt;WWWW[[#This Row],[Total PoP ]],WWWW[[#This Row],[Total PoP ]],WWWW[[#This Row],['# Functional hand washing stations during reporting period]]*100)</f>
        <v>0</v>
      </c>
      <c r="DI571" s="759" t="str">
        <f>IF(OR(WWWW[[#This Row],['#_students at TLS_CFS]]="",WWWW[[#This Row],['#_students at TLS_CFS]]=0),"No","Yes")</f>
        <v>Yes</v>
      </c>
      <c r="DJ571" s="711" t="str">
        <f>VLOOKUP(WWWW[[#This Row],[Site Name]],SiteDB6[[Site Name]:[CCCM Management]],6,FALSE)</f>
        <v>Yes</v>
      </c>
      <c r="DK571" s="711" t="str">
        <f>VLOOKUP(WWWW[[#This Row],[Site Name]],SiteDB6[[Site Name]:[CCCM Focal Agency]],7,FALSE)</f>
        <v>KMSS-MYT</v>
      </c>
      <c r="DL571" s="711" t="str">
        <f>VLOOKUP(WWWW[[#This Row],[Site Name]],SiteDB6[[Site Name]:[Location Type 1]],9,FALSE)</f>
        <v>Camp</v>
      </c>
      <c r="DM571" s="711" t="str">
        <f>VLOOKUP(WWWW[[#This Row],[Site Name]],SiteDB6[[Site Name]:[Type of Accommodation]],10,FALSE)</f>
        <v>Camp</v>
      </c>
      <c r="DN571" s="711" t="str">
        <f>VLOOKUP(WWWW[[#This Row],[Site Name]],SiteDB6[[Site Name]:[Ethnic or GCA/NGCA]],11,FALSE)</f>
        <v>NGCA</v>
      </c>
      <c r="DO571" s="711">
        <f>VLOOKUP(WWWW[[#This Row],[Site Name]],SiteDB6[[Site Name]:[Lat]],12,FALSE)</f>
        <v>24.688338999999999</v>
      </c>
      <c r="DP571" s="711">
        <f>VLOOKUP(WWWW[[#This Row],[Site Name]],SiteDB6[[Site Name]:[Long]],13,FALSE)</f>
        <v>97.568331999999998</v>
      </c>
      <c r="DQ571" s="711" t="str">
        <f>VLOOKUP(WWWW[[#This Row],[Site Name]],SiteDB6[[Site Name]:[Pcode]],3,FALSE)</f>
        <v>MMR001CMP121</v>
      </c>
      <c r="DR571" s="709" t="str">
        <f t="shared" si="21"/>
        <v>Covered</v>
      </c>
      <c r="DS571" s="709"/>
    </row>
    <row r="572" spans="1:123">
      <c r="A572" s="701" t="s">
        <v>2519</v>
      </c>
      <c r="B572" s="701" t="s">
        <v>250</v>
      </c>
      <c r="C572" s="702" t="s">
        <v>250</v>
      </c>
      <c r="D572" s="702" t="s">
        <v>315</v>
      </c>
      <c r="E572" s="702" t="s">
        <v>39</v>
      </c>
      <c r="F572" s="702" t="s">
        <v>156</v>
      </c>
      <c r="G572" s="711" t="str">
        <f>VLOOKUP(WWWW[[#This Row],[Site Name]],SiteDB6[[Site Name]:[Location Type]],8,FALSE)</f>
        <v>Camp</v>
      </c>
      <c r="H572" s="702" t="s">
        <v>251</v>
      </c>
      <c r="I572" s="705">
        <v>123</v>
      </c>
      <c r="J572" s="705">
        <v>672</v>
      </c>
      <c r="K572" s="706">
        <v>43313</v>
      </c>
      <c r="L572" s="707">
        <v>44043</v>
      </c>
      <c r="M572" s="705">
        <v>23</v>
      </c>
      <c r="N572" s="705">
        <v>2</v>
      </c>
      <c r="O572" s="705">
        <v>0</v>
      </c>
      <c r="P572" s="705">
        <v>0</v>
      </c>
      <c r="Q572" s="708" t="s">
        <v>43</v>
      </c>
      <c r="R572" s="705">
        <v>1</v>
      </c>
      <c r="S572" s="705">
        <v>2</v>
      </c>
      <c r="T572" s="807">
        <v>0</v>
      </c>
      <c r="U572" s="705"/>
      <c r="V572" s="705"/>
      <c r="W572" s="705">
        <v>0</v>
      </c>
      <c r="X572" s="705">
        <v>0</v>
      </c>
      <c r="Y572" s="705"/>
      <c r="Z572" s="705"/>
      <c r="AA572" s="705">
        <v>1</v>
      </c>
      <c r="AB572" s="705"/>
      <c r="AC572" s="705"/>
      <c r="AD572" s="705">
        <v>0</v>
      </c>
      <c r="AE572" s="705">
        <v>1</v>
      </c>
      <c r="AF572" s="705">
        <v>1</v>
      </c>
      <c r="AG572" s="705">
        <v>0</v>
      </c>
      <c r="AH572" s="705">
        <v>0</v>
      </c>
      <c r="AI572" s="705"/>
      <c r="AJ572" s="705"/>
      <c r="AK572" s="705"/>
      <c r="AL572" s="705"/>
      <c r="AM572" s="705">
        <v>0</v>
      </c>
      <c r="AN572" s="705">
        <v>0</v>
      </c>
      <c r="AO572" s="709"/>
      <c r="AP572" s="705">
        <v>18</v>
      </c>
      <c r="AQ572" s="705">
        <v>1</v>
      </c>
      <c r="AR572" s="710" t="s">
        <v>3109</v>
      </c>
      <c r="AS572" s="705"/>
      <c r="AT572" s="705"/>
      <c r="AU572" s="705">
        <v>5</v>
      </c>
      <c r="AV572" s="705"/>
      <c r="AW572" s="705">
        <v>0</v>
      </c>
      <c r="AX572" s="711" t="s">
        <v>43</v>
      </c>
      <c r="AY572" s="709" t="s">
        <v>145</v>
      </c>
      <c r="AZ572" s="705">
        <v>0</v>
      </c>
      <c r="BA572" s="705">
        <v>0</v>
      </c>
      <c r="BB572" s="705">
        <v>0</v>
      </c>
      <c r="BC572" s="711"/>
      <c r="BD572" s="705">
        <v>3</v>
      </c>
      <c r="BE572" s="705"/>
      <c r="BF572" s="705">
        <v>0</v>
      </c>
      <c r="BG572" s="705">
        <v>4</v>
      </c>
      <c r="BH572" s="705"/>
      <c r="BI572" s="705">
        <v>1</v>
      </c>
      <c r="BJ572" s="705">
        <v>2</v>
      </c>
      <c r="BK572" s="705"/>
      <c r="BL572" s="705"/>
      <c r="BM572" s="711" t="s">
        <v>144</v>
      </c>
      <c r="BN572" s="712"/>
      <c r="BO572" s="710">
        <v>0.05</v>
      </c>
      <c r="BP572" s="711"/>
      <c r="BQ572" s="713" t="str">
        <f>IFERROR(WWWW[[#This Row],['#_Water sources treated]]/WWWW[[#This Row],['#_Water sources tested for contamination]],"no test")</f>
        <v>no test</v>
      </c>
      <c r="BR572" s="710" t="str">
        <f>IFERROR(WWWW[[#This Row],['#_Household received remediation action due to contamination]]/WWWW[[#This Row],['#_Household water samples tested for contamination]],"no test")</f>
        <v>no test</v>
      </c>
      <c r="BS572" s="712" t="str">
        <f>IF(AND(WWWW[[#This Row],[% of water sources treated]]="no test",WWWW[[#This Row],[% Household received corrective actions]]="no test"),"No Test","Tested")</f>
        <v>No Test</v>
      </c>
      <c r="BT572" s="712">
        <f>WWWW[[#This Row],['#_Constructed/existing protected hand dug well]]-WWWW[[#This Row],['#_Non-functional protected hand dug well]]</f>
        <v>0</v>
      </c>
      <c r="BU572" s="712">
        <f>(WWWW[[#This Row],['#_Constructed/Existing tube wells/boreholes/handpumps_WASH_agency]]+WWWW[[#This Row],['#_Non-Cluster partner water tube-wells/boreholes/handpumps]])-WWWW[[#This Row],['#_Non-functional tube wells/boreholes/handpumps]]</f>
        <v>0</v>
      </c>
      <c r="BV572" s="712">
        <f>WWWW[[#This Row],['#_Constructed/Existingwater storage tank with gravity fed reticulation system]]-WWWW[[#This Row],['#_Non-functional storage tank gravity fed reticulation system]]</f>
        <v>1</v>
      </c>
      <c r="BW572" s="712">
        <f>WWWW[[#This Row],['#_Water boating or water trucking]]</f>
        <v>0</v>
      </c>
      <c r="BX572" s="712">
        <f>WWWW[[#This Row],['#_Constructed/Existing water distribution system from river or natural spring]]</f>
        <v>1</v>
      </c>
      <c r="BY57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9.9305555555555564E-2</v>
      </c>
      <c r="BZ57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9.9305555555555564E-2</v>
      </c>
      <c r="CA572" s="710">
        <f>IF(WWWW[[#This Row],[Location Type 1]]="Village",WWWW[[#This Row],[Access to safe drinking water for Village]],WWWW[[#This Row],[Access to safe drinking water for Camp]])</f>
        <v>9.9305555555555564E-2</v>
      </c>
      <c r="CB572" s="708">
        <f>WWWW[[#This Row],[%Equitable and continuous access to sufficient quantity of safe drinking water]]*WWWW[[#This Row],[Total PoP ]]</f>
        <v>66.733333333333334</v>
      </c>
      <c r="CC572" s="710">
        <f>IF((WWWW[[#This Row],['#_Constructed/Existing protected/fenced ponds]]*250)/WWWW[[#This Row],[Total PoP ]]&gt;1,1,(WWWW[[#This Row],['#_Constructed/Existing protected/fenced ponds]]*250)/WWWW[[#This Row],[Total PoP ]])</f>
        <v>0.37202380952380953</v>
      </c>
      <c r="CD572" s="708">
        <f>WWWW[[#This Row],[% Access to unimproved water points]]*WWWW[[#This Row],[Total PoP ]]</f>
        <v>250</v>
      </c>
      <c r="CE57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0.47132936507936507</v>
      </c>
      <c r="CF57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316.73333333333335</v>
      </c>
      <c r="CG572" s="708">
        <f>WWWW[[#This Row],[HRP1]]/500</f>
        <v>0.63346666666666673</v>
      </c>
      <c r="CH572" s="714">
        <f>1-WWWW[[#This Row],[% Equitable and continuous access to sufficient quantity of domestic water]]</f>
        <v>0.52867063492063493</v>
      </c>
      <c r="CI572" s="708">
        <f>WWWW[[#This Row],[%equitable and continuous access to sufficient quantity of safe drinking and domestic water''s GAP]]*WWWW[[#This Row],[Total PoP ]]</f>
        <v>355.26666666666665</v>
      </c>
      <c r="CJ572" s="712">
        <f>IF(WWWW[[#This Row],[Total required water points]]-WWWW[[#This Row],['#Water points coverage]]&lt;0,0,WWWW[[#This Row],[Total required water points]]-WWWW[[#This Row],['#Water points coverage]])</f>
        <v>0.36653333333333327</v>
      </c>
      <c r="CK572" s="712">
        <f>ROUND(IF(WWWW[[#This Row],[Total PoP ]]&lt;500,1,WWWW[[#This Row],[Total PoP ]]/500),0)</f>
        <v>1</v>
      </c>
      <c r="CL572" s="712">
        <f>(WWWW[[#This Row],['#_Constructed latrines_by_WASHAgencies]]+WWWW[[#This Row],['#_Non Cluster partner latrines]])-WWWW[[#This Row],['#_Non-functional latrines]]</f>
        <v>19</v>
      </c>
      <c r="CM57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0.56547619047619047</v>
      </c>
      <c r="CN57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380</v>
      </c>
      <c r="CO57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CP572" s="712">
        <f>IF(WWWW[[#This Row],[Location Type 1]]="Village","NA",IF(WWWW[[#This Row],['#_Constructed/Existing latrines in TLS]]*50&gt;WWWW[[#This Row],['#_students at TLS_CFS]],WWWW[[#This Row],['#_students at TLS_CFS]],(WWWW[[#This Row],['#_Constructed/Existing latrines in TLS]]*50)))</f>
        <v>0</v>
      </c>
      <c r="CQ572" s="712">
        <f>ROUND(IF(WWWW[[#This Row],[Location Type 1]]="camp",WWWW[[#This Row],[Total PoP ]]/20,IF(WWWW[[#This Row],[Location Type 1]]="Temporary Location",WWWW[[#This Row],[Total PoP ]]/50,(WWWW[[#This Row],[Total PoP ]]/6))),0)</f>
        <v>34</v>
      </c>
      <c r="CR572" s="712">
        <f>IF(WWWW[[#This Row],[Total required Latrines]]-(WWWW[[#This Row],['#_Constructed latrines_by_WASHAgencies]]+WWWW[[#This Row],['#_Non Cluster partner latrines]])&lt;0,0,WWWW[[#This Row],[Total required Latrines]]-(WWWW[[#This Row],['#_Constructed latrines_by_WASHAgencies]]+WWWW[[#This Row],['#_Non Cluster partner latrines]]))</f>
        <v>15</v>
      </c>
      <c r="CS572" s="714">
        <f>1-WWWW[[#This Row],[% people access to functioning Latrine]]</f>
        <v>0.43452380952380953</v>
      </c>
      <c r="CT572" s="713">
        <f>IF(OR(WWWW[[#This Row],['#_Non-functional latrines]]="",WWWW[[#This Row],['#_Non-functional latrines]]=0),0,WWWW[[#This Row],['#_Non-functional latrines]]/(WWWW[[#This Row],['#_Constructed latrines_by_WASHAgencies]]+WWWW[[#This Row],['#_Non Cluster partner latrines]]))</f>
        <v>0</v>
      </c>
      <c r="CU572" s="708">
        <f>IF(500*(WWWW[[#This Row],['#_male hygiene promoters]]+WWWW[[#This Row],['#_female hygiene promoters]])&gt;WWWW[[#This Row],[Total PoP ]],WWWW[[#This Row],[Total PoP ]],500*(WWWW[[#This Row],['#_male hygiene promoters]]+WWWW[[#This Row],['#_female hygiene promoters]]))</f>
        <v>672</v>
      </c>
      <c r="CV57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2" s="712">
        <f>IF(WWWW[[#This Row],['# People with access to soap]]&gt;WWWW[[#This Row],['# People with access to Sanity Pads]],WWWW[[#This Row],['# People with access to soap]],WWWW[[#This Row],['# People with access to Sanity Pads]])</f>
        <v>0</v>
      </c>
      <c r="CY572" s="712">
        <f>IF(WWWW[[#This Row],['# people reached by regular dedicated hygiene promotion_5]]&gt;WWWW[[#This Row],['# People received regular supply of hygiene items_6]],WWWW[[#This Row],['# people reached by regular dedicated hygiene promotion_5]],WWWW[[#This Row],['# People received regular supply of hygiene items_6]])</f>
        <v>672</v>
      </c>
      <c r="CZ572" s="714">
        <f>IF(WWWW[[#This Row],[HRP3]]/WWWW[[#This Row],[Total PoP ]]&gt;100%,100%,WWWW[[#This Row],[HRP3]]/WWWW[[#This Row],[Total PoP ]])</f>
        <v>1</v>
      </c>
      <c r="DA572" s="713">
        <f>1-WWWW[[#This Row],[Hygiene Coverage%]]</f>
        <v>0</v>
      </c>
      <c r="DB572" s="710">
        <f>WWWW[[#This Row],['# people reached by regular dedicated hygiene promotion_5]]/WWWW[[#This Row],[Total PoP ]]</f>
        <v>1</v>
      </c>
      <c r="DC572" s="710">
        <f>IF(WWWW[[#This Row],['#_households that received standard amount of soap for this quarter]]/WWWW[[#This Row],[Total HH]]&gt;1,1,WWWW[[#This Row],['#_households that received standard amount of soap for this quarter]]/WWWW[[#This Row],[Total HH]])</f>
        <v>0</v>
      </c>
      <c r="DD572" s="710">
        <f>IF(WWWW[[#This Row],['#_households that received standard amount of sanitary pads for this quarter]]/WWWW[[#This Row],[Total HH]]&gt;1,1,WWWW[[#This Row],['#_households that received standard amount of sanitary pads for this quarter]]/WWWW[[#This Row],[Total HH]])</f>
        <v>0</v>
      </c>
      <c r="DE572" s="712">
        <f>WWWW[[#This Row],['#_Constructed/Existing hand washing stations]]-WWWW[[#This Row],['#_Non-Functional_hand_washing_stations]]</f>
        <v>3</v>
      </c>
      <c r="DF572" s="757">
        <f>IF(WWWW[[#This Row],['# Functional hand washing stations during reporting period]]*20&gt;WWWW[[#This Row],[Total HH]],WWWW[[#This Row],[Total HH]],WWWW[[#This Row],['# Functional hand washing stations during reporting period]]*20)</f>
        <v>60</v>
      </c>
      <c r="DG572" s="708">
        <f>IF(WWWW[[#This Row],[Is sufficient soap available for TLS? (Yes/No)]]="yes",WWWW[[#This Row],['#_Constructed/Existing hand washing stations at TLS]],0)</f>
        <v>0</v>
      </c>
      <c r="DH572" s="759">
        <f>IF(WWWW[[#This Row],['# Functional hand washing stations during reporting period]]*100&gt;WWWW[[#This Row],[Total PoP ]],WWWW[[#This Row],[Total PoP ]],WWWW[[#This Row],['# Functional hand washing stations during reporting period]]*100)</f>
        <v>300</v>
      </c>
      <c r="DI572" s="759" t="str">
        <f>IF(OR(WWWW[[#This Row],['#_students at TLS_CFS]]="",WWWW[[#This Row],['#_students at TLS_CFS]]=0),"No","Yes")</f>
        <v>Yes</v>
      </c>
      <c r="DJ572" s="711" t="str">
        <f>VLOOKUP(WWWW[[#This Row],[Site Name]],SiteDB6[[Site Name]:[CCCM Management]],6,FALSE)</f>
        <v>Yes</v>
      </c>
      <c r="DK572" s="711" t="str">
        <f>VLOOKUP(WWWW[[#This Row],[Site Name]],SiteDB6[[Site Name]:[CCCM Focal Agency]],7,FALSE)</f>
        <v>KBC</v>
      </c>
      <c r="DL572" s="711" t="str">
        <f>VLOOKUP(WWWW[[#This Row],[Site Name]],SiteDB6[[Site Name]:[Location Type 1]],9,FALSE)</f>
        <v>Camp</v>
      </c>
      <c r="DM572" s="711" t="str">
        <f>VLOOKUP(WWWW[[#This Row],[Site Name]],SiteDB6[[Site Name]:[Type of Accommodation]],10,FALSE)</f>
        <v>camp</v>
      </c>
      <c r="DN572" s="711" t="str">
        <f>VLOOKUP(WWWW[[#This Row],[Site Name]],SiteDB6[[Site Name]:[Ethnic or GCA/NGCA]],11,FALSE)</f>
        <v>GCA</v>
      </c>
      <c r="DO572" s="711">
        <f>VLOOKUP(WWWW[[#This Row],[Site Name]],SiteDB6[[Site Name]:[Lat]],12,FALSE)</f>
        <v>0</v>
      </c>
      <c r="DP572" s="711">
        <f>VLOOKUP(WWWW[[#This Row],[Site Name]],SiteDB6[[Site Name]:[Long]],13,FALSE)</f>
        <v>0</v>
      </c>
      <c r="DQ572" s="711" t="str">
        <f>VLOOKUP(WWWW[[#This Row],[Site Name]],SiteDB6[[Site Name]:[Pcode]],3,FALSE)</f>
        <v>MMR001CMP250</v>
      </c>
      <c r="DR572" s="709" t="str">
        <f t="shared" si="21"/>
        <v>Covered</v>
      </c>
      <c r="DS572" s="709"/>
    </row>
    <row r="573" spans="1:123">
      <c r="A573" s="701" t="s">
        <v>2519</v>
      </c>
      <c r="B573" s="701" t="s">
        <v>250</v>
      </c>
      <c r="C573" s="702" t="s">
        <v>250</v>
      </c>
      <c r="D573" s="702" t="s">
        <v>315</v>
      </c>
      <c r="E573" s="702" t="s">
        <v>39</v>
      </c>
      <c r="F573" s="702" t="s">
        <v>154</v>
      </c>
      <c r="G573" s="711" t="str">
        <f>VLOOKUP(WWWW[[#This Row],[Site Name]],SiteDB6[[Site Name]:[Location Type]],8,FALSE)</f>
        <v>Camp</v>
      </c>
      <c r="H573" s="702" t="s">
        <v>255</v>
      </c>
      <c r="I573" s="705">
        <v>205</v>
      </c>
      <c r="J573" s="705">
        <v>856</v>
      </c>
      <c r="K573" s="706">
        <v>43313</v>
      </c>
      <c r="L573" s="707">
        <v>44043</v>
      </c>
      <c r="M573" s="705"/>
      <c r="N573" s="705">
        <v>1</v>
      </c>
      <c r="O573" s="705"/>
      <c r="P573" s="705"/>
      <c r="Q573" s="708" t="s">
        <v>43</v>
      </c>
      <c r="R573" s="705">
        <v>4</v>
      </c>
      <c r="S573" s="705">
        <v>2</v>
      </c>
      <c r="T573" s="807">
        <v>0</v>
      </c>
      <c r="U573" s="705"/>
      <c r="V573" s="705"/>
      <c r="W573" s="705">
        <v>0</v>
      </c>
      <c r="X573" s="705"/>
      <c r="Y573" s="705"/>
      <c r="Z573" s="705"/>
      <c r="AA573" s="705">
        <v>0</v>
      </c>
      <c r="AB573" s="705"/>
      <c r="AC573" s="705"/>
      <c r="AD573" s="705"/>
      <c r="AE573" s="705"/>
      <c r="AF573" s="705"/>
      <c r="AG573" s="705"/>
      <c r="AH573" s="705">
        <v>2</v>
      </c>
      <c r="AI573" s="705"/>
      <c r="AJ573" s="705"/>
      <c r="AK573" s="705"/>
      <c r="AL573" s="705"/>
      <c r="AM573" s="705"/>
      <c r="AN573" s="705"/>
      <c r="AO573" s="709"/>
      <c r="AP573" s="705">
        <v>47</v>
      </c>
      <c r="AQ573" s="705">
        <v>14</v>
      </c>
      <c r="AR573" s="710" t="s">
        <v>3108</v>
      </c>
      <c r="AS573" s="705"/>
      <c r="AT573" s="705"/>
      <c r="AU573" s="705"/>
      <c r="AV573" s="705"/>
      <c r="AW573" s="705">
        <v>0</v>
      </c>
      <c r="AX573" s="711" t="s">
        <v>144</v>
      </c>
      <c r="AY573" s="709" t="s">
        <v>1200</v>
      </c>
      <c r="AZ573" s="705">
        <v>0</v>
      </c>
      <c r="BA573" s="705">
        <v>0</v>
      </c>
      <c r="BB573" s="705">
        <v>0</v>
      </c>
      <c r="BC573" s="711"/>
      <c r="BD573" s="705">
        <v>3</v>
      </c>
      <c r="BE573" s="705"/>
      <c r="BF573" s="705">
        <v>0</v>
      </c>
      <c r="BG573" s="705">
        <v>12</v>
      </c>
      <c r="BH573" s="705"/>
      <c r="BI573" s="705">
        <v>4</v>
      </c>
      <c r="BJ573" s="705">
        <v>2</v>
      </c>
      <c r="BK573" s="705"/>
      <c r="BL573" s="705"/>
      <c r="BM573" s="711" t="s">
        <v>144</v>
      </c>
      <c r="BN573" s="712"/>
      <c r="BO573" s="710">
        <v>0.2</v>
      </c>
      <c r="BP573" s="711"/>
      <c r="BQ573" s="713" t="str">
        <f>IFERROR(WWWW[[#This Row],['#_Water sources treated]]/WWWW[[#This Row],['#_Water sources tested for contamination]],"no test")</f>
        <v>no test</v>
      </c>
      <c r="BR573" s="710" t="str">
        <f>IFERROR(WWWW[[#This Row],['#_Household received remediation action due to contamination]]/WWWW[[#This Row],['#_Household water samples tested for contamination]],"no test")</f>
        <v>no test</v>
      </c>
      <c r="BS573" s="712" t="str">
        <f>IF(AND(WWWW[[#This Row],[% of water sources treated]]="no test",WWWW[[#This Row],[% Household received corrective actions]]="no test"),"No Test","Tested")</f>
        <v>No Test</v>
      </c>
      <c r="BT573" s="712">
        <f>WWWW[[#This Row],['#_Constructed/existing protected hand dug well]]-WWWW[[#This Row],['#_Non-functional protected hand dug well]]</f>
        <v>0</v>
      </c>
      <c r="BU573" s="712">
        <f>(WWWW[[#This Row],['#_Constructed/Existing tube wells/boreholes/handpumps_WASH_agency]]+WWWW[[#This Row],['#_Non-Cluster partner water tube-wells/boreholes/handpumps]])-WWWW[[#This Row],['#_Non-functional tube wells/boreholes/handpumps]]</f>
        <v>0</v>
      </c>
      <c r="BV573" s="712">
        <f>WWWW[[#This Row],['#_Constructed/Existingwater storage tank with gravity fed reticulation system]]-WWWW[[#This Row],['#_Non-functional storage tank gravity fed reticulation system]]</f>
        <v>0</v>
      </c>
      <c r="BW573" s="712">
        <f>WWWW[[#This Row],['#_Water boating or water trucking]]</f>
        <v>0</v>
      </c>
      <c r="BX573" s="712">
        <f>WWWW[[#This Row],['#_Constructed/Existing water distribution system from river or natural spring]]</f>
        <v>0</v>
      </c>
      <c r="BY57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7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73" s="710">
        <f>IF(WWWW[[#This Row],[Location Type 1]]="Village",WWWW[[#This Row],[Access to safe drinking water for Village]],WWWW[[#This Row],[Access to safe drinking water for Camp]])</f>
        <v>0</v>
      </c>
      <c r="CB573" s="708">
        <f>WWWW[[#This Row],[%Equitable and continuous access to sufficient quantity of safe drinking water]]*WWWW[[#This Row],[Total PoP ]]</f>
        <v>0</v>
      </c>
      <c r="CC573" s="710">
        <f>IF((WWWW[[#This Row],['#_Constructed/Existing protected/fenced ponds]]*250)/WWWW[[#This Row],[Total PoP ]]&gt;1,1,(WWWW[[#This Row],['#_Constructed/Existing protected/fenced ponds]]*250)/WWWW[[#This Row],[Total PoP ]])</f>
        <v>0</v>
      </c>
      <c r="CD573" s="708">
        <f>WWWW[[#This Row],[% Access to unimproved water points]]*WWWW[[#This Row],[Total PoP ]]</f>
        <v>0</v>
      </c>
      <c r="CE57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7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73" s="708">
        <f>WWWW[[#This Row],[HRP1]]/500</f>
        <v>0</v>
      </c>
      <c r="CH573" s="714">
        <f>1-WWWW[[#This Row],[% Equitable and continuous access to sufficient quantity of domestic water]]</f>
        <v>1</v>
      </c>
      <c r="CI573" s="708">
        <f>WWWW[[#This Row],[%equitable and continuous access to sufficient quantity of safe drinking and domestic water''s GAP]]*WWWW[[#This Row],[Total PoP ]]</f>
        <v>856</v>
      </c>
      <c r="CJ573" s="712">
        <f>IF(WWWW[[#This Row],[Total required water points]]-WWWW[[#This Row],['#Water points coverage]]&lt;0,0,WWWW[[#This Row],[Total required water points]]-WWWW[[#This Row],['#Water points coverage]])</f>
        <v>2</v>
      </c>
      <c r="CK573" s="712">
        <f>ROUND(IF(WWWW[[#This Row],[Total PoP ]]&lt;500,1,WWWW[[#This Row],[Total PoP ]]/500),0)</f>
        <v>2</v>
      </c>
      <c r="CL573" s="712">
        <f>(WWWW[[#This Row],['#_Constructed latrines_by_WASHAgencies]]+WWWW[[#This Row],['#_Non Cluster partner latrines]])-WWWW[[#This Row],['#_Non-functional latrines]]</f>
        <v>61</v>
      </c>
      <c r="CM57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7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856</v>
      </c>
      <c r="CO57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3" s="712">
        <f>IF(WWWW[[#This Row],[Location Type 1]]="Village","NA",IF(WWWW[[#This Row],['#_Constructed/Existing latrines in TLS]]*50&gt;WWWW[[#This Row],['#_students at TLS_CFS]],WWWW[[#This Row],['#_students at TLS_CFS]],(WWWW[[#This Row],['#_Constructed/Existing latrines in TLS]]*50)))</f>
        <v>0</v>
      </c>
      <c r="CQ573" s="712">
        <f>ROUND(IF(WWWW[[#This Row],[Location Type 1]]="camp",WWWW[[#This Row],[Total PoP ]]/20,IF(WWWW[[#This Row],[Location Type 1]]="Temporary Location",WWWW[[#This Row],[Total PoP ]]/50,(WWWW[[#This Row],[Total PoP ]]/6))),0)</f>
        <v>43</v>
      </c>
      <c r="CR573" s="712">
        <f>IF(WWWW[[#This Row],[Total required Latrines]]-(WWWW[[#This Row],['#_Constructed latrines_by_WASHAgencies]]+WWWW[[#This Row],['#_Non Cluster partner latrines]])&lt;0,0,WWWW[[#This Row],[Total required Latrines]]-(WWWW[[#This Row],['#_Constructed latrines_by_WASHAgencies]]+WWWW[[#This Row],['#_Non Cluster partner latrines]]))</f>
        <v>0</v>
      </c>
      <c r="CS573" s="714">
        <f>1-WWWW[[#This Row],[% people access to functioning Latrine]]</f>
        <v>0</v>
      </c>
      <c r="CT573" s="713">
        <f>IF(OR(WWWW[[#This Row],['#_Non-functional latrines]]="",WWWW[[#This Row],['#_Non-functional latrines]]=0),0,WWWW[[#This Row],['#_Non-functional latrines]]/(WWWW[[#This Row],['#_Constructed latrines_by_WASHAgencies]]+WWWW[[#This Row],['#_Non Cluster partner latrines]]))</f>
        <v>0</v>
      </c>
      <c r="CU573" s="708">
        <f>IF(500*(WWWW[[#This Row],['#_male hygiene promoters]]+WWWW[[#This Row],['#_female hygiene promoters]])&gt;WWWW[[#This Row],[Total PoP ]],WWWW[[#This Row],[Total PoP ]],500*(WWWW[[#This Row],['#_male hygiene promoters]]+WWWW[[#This Row],['#_female hygiene promoters]]))</f>
        <v>856</v>
      </c>
      <c r="CV57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3" s="712">
        <f>IF(WWWW[[#This Row],['# People with access to soap]]&gt;WWWW[[#This Row],['# People with access to Sanity Pads]],WWWW[[#This Row],['# People with access to soap]],WWWW[[#This Row],['# People with access to Sanity Pads]])</f>
        <v>0</v>
      </c>
      <c r="CY573" s="712">
        <f>IF(WWWW[[#This Row],['# people reached by regular dedicated hygiene promotion_5]]&gt;WWWW[[#This Row],['# People received regular supply of hygiene items_6]],WWWW[[#This Row],['# people reached by regular dedicated hygiene promotion_5]],WWWW[[#This Row],['# People received regular supply of hygiene items_6]])</f>
        <v>856</v>
      </c>
      <c r="CZ573" s="714">
        <f>IF(WWWW[[#This Row],[HRP3]]/WWWW[[#This Row],[Total PoP ]]&gt;100%,100%,WWWW[[#This Row],[HRP3]]/WWWW[[#This Row],[Total PoP ]])</f>
        <v>1</v>
      </c>
      <c r="DA573" s="713">
        <f>1-WWWW[[#This Row],[Hygiene Coverage%]]</f>
        <v>0</v>
      </c>
      <c r="DB573" s="710">
        <f>WWWW[[#This Row],['# people reached by regular dedicated hygiene promotion_5]]/WWWW[[#This Row],[Total PoP ]]</f>
        <v>1</v>
      </c>
      <c r="DC573" s="710">
        <f>IF(WWWW[[#This Row],['#_households that received standard amount of soap for this quarter]]/WWWW[[#This Row],[Total HH]]&gt;1,1,WWWW[[#This Row],['#_households that received standard amount of soap for this quarter]]/WWWW[[#This Row],[Total HH]])</f>
        <v>0</v>
      </c>
      <c r="DD573" s="710">
        <f>IF(WWWW[[#This Row],['#_households that received standard amount of sanitary pads for this quarter]]/WWWW[[#This Row],[Total HH]]&gt;1,1,WWWW[[#This Row],['#_households that received standard amount of sanitary pads for this quarter]]/WWWW[[#This Row],[Total HH]])</f>
        <v>0</v>
      </c>
      <c r="DE573" s="712">
        <f>WWWW[[#This Row],['#_Constructed/Existing hand washing stations]]-WWWW[[#This Row],['#_Non-Functional_hand_washing_stations]]</f>
        <v>3</v>
      </c>
      <c r="DF573" s="757">
        <f>IF(WWWW[[#This Row],['# Functional hand washing stations during reporting period]]*20&gt;WWWW[[#This Row],[Total HH]],WWWW[[#This Row],[Total HH]],WWWW[[#This Row],['# Functional hand washing stations during reporting period]]*20)</f>
        <v>60</v>
      </c>
      <c r="DG573" s="708">
        <f>IF(WWWW[[#This Row],[Is sufficient soap available for TLS? (Yes/No)]]="yes",WWWW[[#This Row],['#_Constructed/Existing hand washing stations at TLS]],0)</f>
        <v>0</v>
      </c>
      <c r="DH573" s="759">
        <f>IF(WWWW[[#This Row],['# Functional hand washing stations during reporting period]]*100&gt;WWWW[[#This Row],[Total PoP ]],WWWW[[#This Row],[Total PoP ]],WWWW[[#This Row],['# Functional hand washing stations during reporting period]]*100)</f>
        <v>300</v>
      </c>
      <c r="DI573" s="759" t="str">
        <f>IF(OR(WWWW[[#This Row],['#_students at TLS_CFS]]="",WWWW[[#This Row],['#_students at TLS_CFS]]=0),"No","Yes")</f>
        <v>No</v>
      </c>
      <c r="DJ573" s="711" t="str">
        <f>VLOOKUP(WWWW[[#This Row],[Site Name]],SiteDB6[[Site Name]:[CCCM Management]],6,FALSE)</f>
        <v>Yes</v>
      </c>
      <c r="DK573" s="711" t="str">
        <f>VLOOKUP(WWWW[[#This Row],[Site Name]],SiteDB6[[Site Name]:[CCCM Focal Agency]],7,FALSE)</f>
        <v>Shalom</v>
      </c>
      <c r="DL573" s="711" t="str">
        <f>VLOOKUP(WWWW[[#This Row],[Site Name]],SiteDB6[[Site Name]:[Location Type 1]],9,FALSE)</f>
        <v>Camp</v>
      </c>
      <c r="DM573" s="711" t="str">
        <f>VLOOKUP(WWWW[[#This Row],[Site Name]],SiteDB6[[Site Name]:[Type of Accommodation]],10,FALSE)</f>
        <v>Camp</v>
      </c>
      <c r="DN573" s="711" t="str">
        <f>VLOOKUP(WWWW[[#This Row],[Site Name]],SiteDB6[[Site Name]:[Ethnic or GCA/NGCA]],11,FALSE)</f>
        <v>GCA</v>
      </c>
      <c r="DO573" s="711">
        <f>VLOOKUP(WWWW[[#This Row],[Site Name]],SiteDB6[[Site Name]:[Lat]],12,FALSE)</f>
        <v>25.887339999999998</v>
      </c>
      <c r="DP573" s="711">
        <f>VLOOKUP(WWWW[[#This Row],[Site Name]],SiteDB6[[Site Name]:[Long]],13,FALSE)</f>
        <v>98.129990000000006</v>
      </c>
      <c r="DQ573" s="711" t="str">
        <f>VLOOKUP(WWWW[[#This Row],[Site Name]],SiteDB6[[Site Name]:[Pcode]],3,FALSE)</f>
        <v>MMR001CMP195</v>
      </c>
      <c r="DR573" s="709" t="str">
        <f t="shared" si="21"/>
        <v>Covered</v>
      </c>
      <c r="DS573" s="709"/>
    </row>
    <row r="574" spans="1:123">
      <c r="A574" s="701" t="s">
        <v>2519</v>
      </c>
      <c r="B574" s="701" t="s">
        <v>250</v>
      </c>
      <c r="C574" s="702" t="s">
        <v>250</v>
      </c>
      <c r="D574" s="702" t="s">
        <v>315</v>
      </c>
      <c r="E574" s="702" t="s">
        <v>39</v>
      </c>
      <c r="F574" s="702" t="s">
        <v>156</v>
      </c>
      <c r="G574" s="711" t="str">
        <f>VLOOKUP(WWWW[[#This Row],[Site Name]],SiteDB6[[Site Name]:[Location Type]],8,FALSE)</f>
        <v>Camp</v>
      </c>
      <c r="H574" s="702" t="s">
        <v>263</v>
      </c>
      <c r="I574" s="705">
        <v>18</v>
      </c>
      <c r="J574" s="705">
        <v>103</v>
      </c>
      <c r="K574" s="706">
        <v>43313</v>
      </c>
      <c r="L574" s="707">
        <v>44043</v>
      </c>
      <c r="M574" s="705"/>
      <c r="N574" s="705">
        <v>1</v>
      </c>
      <c r="O574" s="705">
        <v>0</v>
      </c>
      <c r="P574" s="705">
        <v>0</v>
      </c>
      <c r="Q574" s="708" t="s">
        <v>43</v>
      </c>
      <c r="R574" s="705">
        <v>1</v>
      </c>
      <c r="S574" s="705">
        <v>2</v>
      </c>
      <c r="T574" s="807">
        <v>0</v>
      </c>
      <c r="U574" s="705"/>
      <c r="V574" s="705"/>
      <c r="W574" s="705">
        <v>0</v>
      </c>
      <c r="X574" s="705">
        <v>0</v>
      </c>
      <c r="Y574" s="705"/>
      <c r="Z574" s="705"/>
      <c r="AA574" s="705">
        <v>2</v>
      </c>
      <c r="AB574" s="705"/>
      <c r="AC574" s="705"/>
      <c r="AD574" s="705">
        <v>0</v>
      </c>
      <c r="AE574" s="705">
        <v>2</v>
      </c>
      <c r="AF574" s="705">
        <v>1</v>
      </c>
      <c r="AG574" s="705">
        <v>1</v>
      </c>
      <c r="AH574" s="705">
        <v>0</v>
      </c>
      <c r="AI574" s="705"/>
      <c r="AJ574" s="705"/>
      <c r="AK574" s="705"/>
      <c r="AL574" s="705"/>
      <c r="AM574" s="705">
        <v>0</v>
      </c>
      <c r="AN574" s="705">
        <v>0</v>
      </c>
      <c r="AO574" s="709"/>
      <c r="AP574" s="705">
        <v>4</v>
      </c>
      <c r="AQ574" s="705">
        <v>0</v>
      </c>
      <c r="AR574" s="710" t="s">
        <v>250</v>
      </c>
      <c r="AS574" s="705"/>
      <c r="AT574" s="705"/>
      <c r="AU574" s="705"/>
      <c r="AV574" s="705"/>
      <c r="AW574" s="705">
        <v>0</v>
      </c>
      <c r="AX574" s="711" t="s">
        <v>43</v>
      </c>
      <c r="AY574" s="782" t="s">
        <v>145</v>
      </c>
      <c r="AZ574" s="705">
        <v>0</v>
      </c>
      <c r="BA574" s="705">
        <v>0</v>
      </c>
      <c r="BB574" s="705">
        <v>0</v>
      </c>
      <c r="BC574" s="711"/>
      <c r="BD574" s="705">
        <v>2</v>
      </c>
      <c r="BE574" s="705"/>
      <c r="BF574" s="705">
        <v>0</v>
      </c>
      <c r="BG574" s="705">
        <v>2</v>
      </c>
      <c r="BH574" s="705"/>
      <c r="BI574" s="705">
        <v>1</v>
      </c>
      <c r="BJ574" s="705">
        <v>2</v>
      </c>
      <c r="BK574" s="705"/>
      <c r="BL574" s="705"/>
      <c r="BM574" s="711" t="s">
        <v>144</v>
      </c>
      <c r="BN574" s="712"/>
      <c r="BO574" s="710">
        <v>0.3</v>
      </c>
      <c r="BP574" s="711"/>
      <c r="BQ574" s="713" t="str">
        <f>IFERROR(WWWW[[#This Row],['#_Water sources treated]]/WWWW[[#This Row],['#_Water sources tested for contamination]],"no test")</f>
        <v>no test</v>
      </c>
      <c r="BR574" s="710" t="str">
        <f>IFERROR(WWWW[[#This Row],['#_Household received remediation action due to contamination]]/WWWW[[#This Row],['#_Household water samples tested for contamination]],"no test")</f>
        <v>no test</v>
      </c>
      <c r="BS574" s="712" t="str">
        <f>IF(AND(WWWW[[#This Row],[% of water sources treated]]="no test",WWWW[[#This Row],[% Household received corrective actions]]="no test"),"No Test","Tested")</f>
        <v>No Test</v>
      </c>
      <c r="BT574" s="712">
        <f>WWWW[[#This Row],['#_Constructed/existing protected hand dug well]]-WWWW[[#This Row],['#_Non-functional protected hand dug well]]</f>
        <v>0</v>
      </c>
      <c r="BU574" s="712">
        <f>(WWWW[[#This Row],['#_Constructed/Existing tube wells/boreholes/handpumps_WASH_agency]]+WWWW[[#This Row],['#_Non-Cluster partner water tube-wells/boreholes/handpumps]])-WWWW[[#This Row],['#_Non-functional tube wells/boreholes/handpumps]]</f>
        <v>0</v>
      </c>
      <c r="BV574" s="712">
        <f>WWWW[[#This Row],['#_Constructed/Existingwater storage tank with gravity fed reticulation system]]-WWWW[[#This Row],['#_Non-functional storage tank gravity fed reticulation system]]</f>
        <v>2</v>
      </c>
      <c r="BW574" s="712">
        <f>WWWW[[#This Row],['#_Water boating or water trucking]]</f>
        <v>0</v>
      </c>
      <c r="BX574" s="712">
        <f>WWWW[[#This Row],['#_Constructed/Existing water distribution system from river or natural spring]]</f>
        <v>1</v>
      </c>
      <c r="BY57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7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74" s="710">
        <f>IF(WWWW[[#This Row],[Location Type 1]]="Village",WWWW[[#This Row],[Access to safe drinking water for Village]],WWWW[[#This Row],[Access to safe drinking water for Camp]])</f>
        <v>1</v>
      </c>
      <c r="CB574" s="708">
        <f>WWWW[[#This Row],[%Equitable and continuous access to sufficient quantity of safe drinking water]]*WWWW[[#This Row],[Total PoP ]]</f>
        <v>103</v>
      </c>
      <c r="CC574" s="710">
        <f>IF((WWWW[[#This Row],['#_Constructed/Existing protected/fenced ponds]]*250)/WWWW[[#This Row],[Total PoP ]]&gt;1,1,(WWWW[[#This Row],['#_Constructed/Existing protected/fenced ponds]]*250)/WWWW[[#This Row],[Total PoP ]])</f>
        <v>1</v>
      </c>
      <c r="CD574" s="708">
        <f>WWWW[[#This Row],[% Access to unimproved water points]]*WWWW[[#This Row],[Total PoP ]]</f>
        <v>103</v>
      </c>
      <c r="CE57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7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G574" s="708">
        <f>WWWW[[#This Row],[HRP1]]/500</f>
        <v>0.20599999999999999</v>
      </c>
      <c r="CH574" s="714">
        <f>1-WWWW[[#This Row],[% Equitable and continuous access to sufficient quantity of domestic water]]</f>
        <v>0</v>
      </c>
      <c r="CI574" s="708">
        <f>WWWW[[#This Row],[%equitable and continuous access to sufficient quantity of safe drinking and domestic water''s GAP]]*WWWW[[#This Row],[Total PoP ]]</f>
        <v>0</v>
      </c>
      <c r="CJ574" s="712">
        <f>IF(WWWW[[#This Row],[Total required water points]]-WWWW[[#This Row],['#Water points coverage]]&lt;0,0,WWWW[[#This Row],[Total required water points]]-WWWW[[#This Row],['#Water points coverage]])</f>
        <v>0.79400000000000004</v>
      </c>
      <c r="CK574" s="712">
        <f>ROUND(IF(WWWW[[#This Row],[Total PoP ]]&lt;500,1,WWWW[[#This Row],[Total PoP ]]/500),0)</f>
        <v>1</v>
      </c>
      <c r="CL574" s="712">
        <f>(WWWW[[#This Row],['#_Constructed latrines_by_WASHAgencies]]+WWWW[[#This Row],['#_Non Cluster partner latrines]])-WWWW[[#This Row],['#_Non-functional latrines]]</f>
        <v>4</v>
      </c>
      <c r="CM57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0.77669902912621358</v>
      </c>
      <c r="CN57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57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4" s="712">
        <f>IF(WWWW[[#This Row],[Location Type 1]]="Village","NA",IF(WWWW[[#This Row],['#_Constructed/Existing latrines in TLS]]*50&gt;WWWW[[#This Row],['#_students at TLS_CFS]],WWWW[[#This Row],['#_students at TLS_CFS]],(WWWW[[#This Row],['#_Constructed/Existing latrines in TLS]]*50)))</f>
        <v>0</v>
      </c>
      <c r="CQ574" s="712">
        <f>ROUND(IF(WWWW[[#This Row],[Location Type 1]]="camp",WWWW[[#This Row],[Total PoP ]]/20,IF(WWWW[[#This Row],[Location Type 1]]="Temporary Location",WWWW[[#This Row],[Total PoP ]]/50,(WWWW[[#This Row],[Total PoP ]]/6))),0)</f>
        <v>5</v>
      </c>
      <c r="CR574" s="712">
        <f>IF(WWWW[[#This Row],[Total required Latrines]]-(WWWW[[#This Row],['#_Constructed latrines_by_WASHAgencies]]+WWWW[[#This Row],['#_Non Cluster partner latrines]])&lt;0,0,WWWW[[#This Row],[Total required Latrines]]-(WWWW[[#This Row],['#_Constructed latrines_by_WASHAgencies]]+WWWW[[#This Row],['#_Non Cluster partner latrines]]))</f>
        <v>1</v>
      </c>
      <c r="CS574" s="714">
        <f>1-WWWW[[#This Row],[% people access to functioning Latrine]]</f>
        <v>0.22330097087378642</v>
      </c>
      <c r="CT574" s="713">
        <f>IF(OR(WWWW[[#This Row],['#_Non-functional latrines]]="",WWWW[[#This Row],['#_Non-functional latrines]]=0),0,WWWW[[#This Row],['#_Non-functional latrines]]/(WWWW[[#This Row],['#_Constructed latrines_by_WASHAgencies]]+WWWW[[#This Row],['#_Non Cluster partner latrines]]))</f>
        <v>0</v>
      </c>
      <c r="CU574" s="708">
        <f>IF(500*(WWWW[[#This Row],['#_male hygiene promoters]]+WWWW[[#This Row],['#_female hygiene promoters]])&gt;WWWW[[#This Row],[Total PoP ]],WWWW[[#This Row],[Total PoP ]],500*(WWWW[[#This Row],['#_male hygiene promoters]]+WWWW[[#This Row],['#_female hygiene promoters]]))</f>
        <v>103</v>
      </c>
      <c r="CV57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4" s="712">
        <f>IF(WWWW[[#This Row],['# People with access to soap]]&gt;WWWW[[#This Row],['# People with access to Sanity Pads]],WWWW[[#This Row],['# People with access to soap]],WWWW[[#This Row],['# People with access to Sanity Pads]])</f>
        <v>0</v>
      </c>
      <c r="CY574" s="712">
        <f>IF(WWWW[[#This Row],['# people reached by regular dedicated hygiene promotion_5]]&gt;WWWW[[#This Row],['# People received regular supply of hygiene items_6]],WWWW[[#This Row],['# people reached by regular dedicated hygiene promotion_5]],WWWW[[#This Row],['# People received regular supply of hygiene items_6]])</f>
        <v>103</v>
      </c>
      <c r="CZ574" s="714">
        <f>IF(WWWW[[#This Row],[HRP3]]/WWWW[[#This Row],[Total PoP ]]&gt;100%,100%,WWWW[[#This Row],[HRP3]]/WWWW[[#This Row],[Total PoP ]])</f>
        <v>1</v>
      </c>
      <c r="DA574" s="713">
        <f>1-WWWW[[#This Row],[Hygiene Coverage%]]</f>
        <v>0</v>
      </c>
      <c r="DB574" s="710">
        <f>WWWW[[#This Row],['# people reached by regular dedicated hygiene promotion_5]]/WWWW[[#This Row],[Total PoP ]]</f>
        <v>1</v>
      </c>
      <c r="DC574" s="710">
        <f>IF(WWWW[[#This Row],['#_households that received standard amount of soap for this quarter]]/WWWW[[#This Row],[Total HH]]&gt;1,1,WWWW[[#This Row],['#_households that received standard amount of soap for this quarter]]/WWWW[[#This Row],[Total HH]])</f>
        <v>0</v>
      </c>
      <c r="DD574" s="710">
        <f>IF(WWWW[[#This Row],['#_households that received standard amount of sanitary pads for this quarter]]/WWWW[[#This Row],[Total HH]]&gt;1,1,WWWW[[#This Row],['#_households that received standard amount of sanitary pads for this quarter]]/WWWW[[#This Row],[Total HH]])</f>
        <v>0</v>
      </c>
      <c r="DE574" s="712">
        <f>WWWW[[#This Row],['#_Constructed/Existing hand washing stations]]-WWWW[[#This Row],['#_Non-Functional_hand_washing_stations]]</f>
        <v>2</v>
      </c>
      <c r="DF574" s="757">
        <f>IF(WWWW[[#This Row],['# Functional hand washing stations during reporting period]]*20&gt;WWWW[[#This Row],[Total HH]],WWWW[[#This Row],[Total HH]],WWWW[[#This Row],['# Functional hand washing stations during reporting period]]*20)</f>
        <v>18</v>
      </c>
      <c r="DG574" s="708">
        <f>IF(WWWW[[#This Row],[Is sufficient soap available for TLS? (Yes/No)]]="yes",WWWW[[#This Row],['#_Constructed/Existing hand washing stations at TLS]],0)</f>
        <v>0</v>
      </c>
      <c r="DH574" s="759">
        <f>IF(WWWW[[#This Row],['# Functional hand washing stations during reporting period]]*100&gt;WWWW[[#This Row],[Total PoP ]],WWWW[[#This Row],[Total PoP ]],WWWW[[#This Row],['# Functional hand washing stations during reporting period]]*100)</f>
        <v>103</v>
      </c>
      <c r="DI574" s="759" t="str">
        <f>IF(OR(WWWW[[#This Row],['#_students at TLS_CFS]]="",WWWW[[#This Row],['#_students at TLS_CFS]]=0),"No","Yes")</f>
        <v>No</v>
      </c>
      <c r="DJ574" s="711" t="str">
        <f>VLOOKUP(WWWW[[#This Row],[Site Name]],SiteDB6[[Site Name]:[CCCM Management]],6,FALSE)</f>
        <v>Yes</v>
      </c>
      <c r="DK574" s="711" t="str">
        <f>VLOOKUP(WWWW[[#This Row],[Site Name]],SiteDB6[[Site Name]:[CCCM Focal Agency]],7,FALSE)</f>
        <v>Shalom</v>
      </c>
      <c r="DL574" s="711" t="str">
        <f>VLOOKUP(WWWW[[#This Row],[Site Name]],SiteDB6[[Site Name]:[Location Type 1]],9,FALSE)</f>
        <v>Camp</v>
      </c>
      <c r="DM574" s="711" t="str">
        <f>VLOOKUP(WWWW[[#This Row],[Site Name]],SiteDB6[[Site Name]:[Type of Accommodation]],10,FALSE)</f>
        <v>Camp</v>
      </c>
      <c r="DN574" s="711" t="str">
        <f>VLOOKUP(WWWW[[#This Row],[Site Name]],SiteDB6[[Site Name]:[Ethnic or GCA/NGCA]],11,FALSE)</f>
        <v>GCA</v>
      </c>
      <c r="DO574" s="711">
        <f>VLOOKUP(WWWW[[#This Row],[Site Name]],SiteDB6[[Site Name]:[Lat]],12,FALSE)</f>
        <v>25.566510000000001</v>
      </c>
      <c r="DP574" s="711">
        <f>VLOOKUP(WWWW[[#This Row],[Site Name]],SiteDB6[[Site Name]:[Long]],13,FALSE)</f>
        <v>96.269199999999998</v>
      </c>
      <c r="DQ574" s="711" t="str">
        <f>VLOOKUP(WWWW[[#This Row],[Site Name]],SiteDB6[[Site Name]:[Pcode]],3,FALSE)</f>
        <v>MMR001CMP181</v>
      </c>
      <c r="DR574" s="709" t="str">
        <f t="shared" si="21"/>
        <v>Covered</v>
      </c>
      <c r="DS574" s="709"/>
    </row>
    <row r="575" spans="1:123">
      <c r="A575" s="701" t="s">
        <v>2519</v>
      </c>
      <c r="B575" s="701" t="s">
        <v>317</v>
      </c>
      <c r="C575" s="702" t="s">
        <v>317</v>
      </c>
      <c r="D575" s="702"/>
      <c r="E575" s="702" t="s">
        <v>39</v>
      </c>
      <c r="F575" s="702" t="s">
        <v>160</v>
      </c>
      <c r="G575" s="711" t="str">
        <f>VLOOKUP(WWWW[[#This Row],[Site Name]],SiteDB6[[Site Name]:[Location Type]],8,FALSE)</f>
        <v>Camp</v>
      </c>
      <c r="H575" s="702" t="s">
        <v>2015</v>
      </c>
      <c r="I575" s="705">
        <v>6</v>
      </c>
      <c r="J575" s="705">
        <v>32</v>
      </c>
      <c r="K575" s="706"/>
      <c r="L575" s="707"/>
      <c r="M575" s="705"/>
      <c r="N575" s="705"/>
      <c r="O575" s="705"/>
      <c r="P575" s="705"/>
      <c r="Q575" s="708"/>
      <c r="R575" s="705"/>
      <c r="S575" s="705"/>
      <c r="T575" s="807"/>
      <c r="U575" s="705"/>
      <c r="V575" s="705"/>
      <c r="W575" s="705"/>
      <c r="X575" s="705"/>
      <c r="Y575" s="705"/>
      <c r="Z575" s="705"/>
      <c r="AA575" s="705"/>
      <c r="AB575" s="705"/>
      <c r="AC575" s="705"/>
      <c r="AD575" s="705"/>
      <c r="AE575" s="705"/>
      <c r="AF575" s="705"/>
      <c r="AG575" s="705"/>
      <c r="AH575" s="705"/>
      <c r="AI575" s="705"/>
      <c r="AJ575" s="705"/>
      <c r="AK575" s="705"/>
      <c r="AL575" s="705"/>
      <c r="AM575" s="705"/>
      <c r="AN575" s="705"/>
      <c r="AO575" s="709"/>
      <c r="AP575" s="705"/>
      <c r="AQ575" s="705"/>
      <c r="AR575" s="710"/>
      <c r="AS575" s="705"/>
      <c r="AT575" s="705"/>
      <c r="AU575" s="705"/>
      <c r="AV575" s="705"/>
      <c r="AW575" s="705"/>
      <c r="AX575" s="711"/>
      <c r="AY575" s="709"/>
      <c r="AZ575" s="705"/>
      <c r="BA575" s="705"/>
      <c r="BB575" s="705"/>
      <c r="BC575" s="711"/>
      <c r="BD575" s="705"/>
      <c r="BE575" s="705"/>
      <c r="BF575" s="705"/>
      <c r="BG575" s="705"/>
      <c r="BH575" s="705"/>
      <c r="BI575" s="705"/>
      <c r="BJ575" s="705"/>
      <c r="BK575" s="705"/>
      <c r="BL575" s="705"/>
      <c r="BM575" s="711"/>
      <c r="BN575" s="712"/>
      <c r="BO575" s="710"/>
      <c r="BP575" s="711"/>
      <c r="BQ575" s="713" t="str">
        <f>IFERROR(WWWW[[#This Row],['#_Water sources treated]]/WWWW[[#This Row],['#_Water sources tested for contamination]],"no test")</f>
        <v>no test</v>
      </c>
      <c r="BR575" s="710" t="str">
        <f>IFERROR(WWWW[[#This Row],['#_Household received remediation action due to contamination]]/WWWW[[#This Row],['#_Household water samples tested for contamination]],"no test")</f>
        <v>no test</v>
      </c>
      <c r="BS575" s="712" t="str">
        <f>IF(AND(WWWW[[#This Row],[% of water sources treated]]="no test",WWWW[[#This Row],[% Household received corrective actions]]="no test"),"No Test","Tested")</f>
        <v>No Test</v>
      </c>
      <c r="BT575" s="712">
        <f>WWWW[[#This Row],['#_Constructed/existing protected hand dug well]]-WWWW[[#This Row],['#_Non-functional protected hand dug well]]</f>
        <v>0</v>
      </c>
      <c r="BU575" s="712">
        <f>(WWWW[[#This Row],['#_Constructed/Existing tube wells/boreholes/handpumps_WASH_agency]]+WWWW[[#This Row],['#_Non-Cluster partner water tube-wells/boreholes/handpumps]])-WWWW[[#This Row],['#_Non-functional tube wells/boreholes/handpumps]]</f>
        <v>0</v>
      </c>
      <c r="BV575" s="712">
        <f>WWWW[[#This Row],['#_Constructed/Existingwater storage tank with gravity fed reticulation system]]-WWWW[[#This Row],['#_Non-functional storage tank gravity fed reticulation system]]</f>
        <v>0</v>
      </c>
      <c r="BW575" s="712">
        <f>WWWW[[#This Row],['#_Water boating or water trucking]]</f>
        <v>0</v>
      </c>
      <c r="BX575" s="712">
        <f>WWWW[[#This Row],['#_Constructed/Existing water distribution system from river or natural spring]]</f>
        <v>0</v>
      </c>
      <c r="BY57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7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75" s="710">
        <f>IF(WWWW[[#This Row],[Location Type 1]]="Village",WWWW[[#This Row],[Access to safe drinking water for Village]],WWWW[[#This Row],[Access to safe drinking water for Camp]])</f>
        <v>0</v>
      </c>
      <c r="CB575" s="708">
        <f>WWWW[[#This Row],[%Equitable and continuous access to sufficient quantity of safe drinking water]]*WWWW[[#This Row],[Total PoP ]]</f>
        <v>0</v>
      </c>
      <c r="CC575" s="710">
        <f>IF((WWWW[[#This Row],['#_Constructed/Existing protected/fenced ponds]]*250)/WWWW[[#This Row],[Total PoP ]]&gt;1,1,(WWWW[[#This Row],['#_Constructed/Existing protected/fenced ponds]]*250)/WWWW[[#This Row],[Total PoP ]])</f>
        <v>0</v>
      </c>
      <c r="CD575" s="708">
        <f>WWWW[[#This Row],[% Access to unimproved water points]]*WWWW[[#This Row],[Total PoP ]]</f>
        <v>0</v>
      </c>
      <c r="CE57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7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75" s="708">
        <f>WWWW[[#This Row],[HRP1]]/500</f>
        <v>0</v>
      </c>
      <c r="CH575" s="714">
        <f>1-WWWW[[#This Row],[% Equitable and continuous access to sufficient quantity of domestic water]]</f>
        <v>1</v>
      </c>
      <c r="CI575" s="708">
        <f>WWWW[[#This Row],[%equitable and continuous access to sufficient quantity of safe drinking and domestic water''s GAP]]*WWWW[[#This Row],[Total PoP ]]</f>
        <v>32</v>
      </c>
      <c r="CJ575" s="712">
        <f>IF(WWWW[[#This Row],[Total required water points]]-WWWW[[#This Row],['#Water points coverage]]&lt;0,0,WWWW[[#This Row],[Total required water points]]-WWWW[[#This Row],['#Water points coverage]])</f>
        <v>1</v>
      </c>
      <c r="CK575" s="712">
        <f>ROUND(IF(WWWW[[#This Row],[Total PoP ]]&lt;500,1,WWWW[[#This Row],[Total PoP ]]/500),0)</f>
        <v>1</v>
      </c>
      <c r="CL575" s="712">
        <f>(WWWW[[#This Row],['#_Constructed latrines_by_WASHAgencies]]+WWWW[[#This Row],['#_Non Cluster partner latrines]])-WWWW[[#This Row],['#_Non-functional latrines]]</f>
        <v>0</v>
      </c>
      <c r="CM57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7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7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5" s="712">
        <f>IF(WWWW[[#This Row],[Location Type 1]]="Village","NA",IF(WWWW[[#This Row],['#_Constructed/Existing latrines in TLS]]*50&gt;WWWW[[#This Row],['#_students at TLS_CFS]],WWWW[[#This Row],['#_students at TLS_CFS]],(WWWW[[#This Row],['#_Constructed/Existing latrines in TLS]]*50)))</f>
        <v>0</v>
      </c>
      <c r="CQ575" s="712">
        <f>ROUND(IF(WWWW[[#This Row],[Location Type 1]]="camp",WWWW[[#This Row],[Total PoP ]]/20,IF(WWWW[[#This Row],[Location Type 1]]="Temporary Location",WWWW[[#This Row],[Total PoP ]]/50,(WWWW[[#This Row],[Total PoP ]]/6))),0)</f>
        <v>2</v>
      </c>
      <c r="CR575" s="712">
        <f>IF(WWWW[[#This Row],[Total required Latrines]]-(WWWW[[#This Row],['#_Constructed latrines_by_WASHAgencies]]+WWWW[[#This Row],['#_Non Cluster partner latrines]])&lt;0,0,WWWW[[#This Row],[Total required Latrines]]-(WWWW[[#This Row],['#_Constructed latrines_by_WASHAgencies]]+WWWW[[#This Row],['#_Non Cluster partner latrines]]))</f>
        <v>2</v>
      </c>
      <c r="CS575" s="714">
        <f>1-WWWW[[#This Row],[% people access to functioning Latrine]]</f>
        <v>1</v>
      </c>
      <c r="CT575" s="713">
        <f>IF(OR(WWWW[[#This Row],['#_Non-functional latrines]]="",WWWW[[#This Row],['#_Non-functional latrines]]=0),0,WWWW[[#This Row],['#_Non-functional latrines]]/(WWWW[[#This Row],['#_Constructed latrines_by_WASHAgencies]]+WWWW[[#This Row],['#_Non Cluster partner latrines]]))</f>
        <v>0</v>
      </c>
      <c r="CU575" s="708">
        <f>IF(500*(WWWW[[#This Row],['#_male hygiene promoters]]+WWWW[[#This Row],['#_female hygiene promoters]])&gt;WWWW[[#This Row],[Total PoP ]],WWWW[[#This Row],[Total PoP ]],500*(WWWW[[#This Row],['#_male hygiene promoters]]+WWWW[[#This Row],['#_female hygiene promoters]]))</f>
        <v>0</v>
      </c>
      <c r="CV57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5" s="712">
        <f>IF(WWWW[[#This Row],['# People with access to soap]]&gt;WWWW[[#This Row],['# People with access to Sanity Pads]],WWWW[[#This Row],['# People with access to soap]],WWWW[[#This Row],['# People with access to Sanity Pads]])</f>
        <v>0</v>
      </c>
      <c r="CY57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75" s="714">
        <f>IF(WWWW[[#This Row],[HRP3]]/WWWW[[#This Row],[Total PoP ]]&gt;100%,100%,WWWW[[#This Row],[HRP3]]/WWWW[[#This Row],[Total PoP ]])</f>
        <v>0</v>
      </c>
      <c r="DA575" s="713">
        <f>1-WWWW[[#This Row],[Hygiene Coverage%]]</f>
        <v>1</v>
      </c>
      <c r="DB575" s="710">
        <f>WWWW[[#This Row],['# people reached by regular dedicated hygiene promotion_5]]/WWWW[[#This Row],[Total PoP ]]</f>
        <v>0</v>
      </c>
      <c r="DC575" s="710">
        <f>IF(WWWW[[#This Row],['#_households that received standard amount of soap for this quarter]]/WWWW[[#This Row],[Total HH]]&gt;1,1,WWWW[[#This Row],['#_households that received standard amount of soap for this quarter]]/WWWW[[#This Row],[Total HH]])</f>
        <v>0</v>
      </c>
      <c r="DD575" s="710">
        <f>IF(WWWW[[#This Row],['#_households that received standard amount of sanitary pads for this quarter]]/WWWW[[#This Row],[Total HH]]&gt;1,1,WWWW[[#This Row],['#_households that received standard amount of sanitary pads for this quarter]]/WWWW[[#This Row],[Total HH]])</f>
        <v>0</v>
      </c>
      <c r="DE575" s="712">
        <f>WWWW[[#This Row],['#_Constructed/Existing hand washing stations]]-WWWW[[#This Row],['#_Non-Functional_hand_washing_stations]]</f>
        <v>0</v>
      </c>
      <c r="DF575" s="757">
        <f>IF(WWWW[[#This Row],['# Functional hand washing stations during reporting period]]*20&gt;WWWW[[#This Row],[Total HH]],WWWW[[#This Row],[Total HH]],WWWW[[#This Row],['# Functional hand washing stations during reporting period]]*20)</f>
        <v>0</v>
      </c>
      <c r="DG575" s="708">
        <f>IF(WWWW[[#This Row],[Is sufficient soap available for TLS? (Yes/No)]]="yes",WWWW[[#This Row],['#_Constructed/Existing hand washing stations at TLS]],0)</f>
        <v>0</v>
      </c>
      <c r="DH575" s="759">
        <f>IF(WWWW[[#This Row],['# Functional hand washing stations during reporting period]]*100&gt;WWWW[[#This Row],[Total PoP ]],WWWW[[#This Row],[Total PoP ]],WWWW[[#This Row],['# Functional hand washing stations during reporting period]]*100)</f>
        <v>0</v>
      </c>
      <c r="DI575" s="759" t="str">
        <f>IF(OR(WWWW[[#This Row],['#_students at TLS_CFS]]="",WWWW[[#This Row],['#_students at TLS_CFS]]=0),"No","Yes")</f>
        <v>No</v>
      </c>
      <c r="DJ575" s="711">
        <f>VLOOKUP(WWWW[[#This Row],[Site Name]],SiteDB6[[Site Name]:[CCCM Management]],6,FALSE)</f>
        <v>0</v>
      </c>
      <c r="DK575" s="711" t="str">
        <f>VLOOKUP(WWWW[[#This Row],[Site Name]],SiteDB6[[Site Name]:[CCCM Focal Agency]],7,FALSE)</f>
        <v>uncovered</v>
      </c>
      <c r="DL575" s="711" t="str">
        <f>VLOOKUP(WWWW[[#This Row],[Site Name]],SiteDB6[[Site Name]:[Location Type 1]],9,FALSE)</f>
        <v>Camp</v>
      </c>
      <c r="DM575" s="711" t="str">
        <f>VLOOKUP(WWWW[[#This Row],[Site Name]],SiteDB6[[Site Name]:[Type of Accommodation]],10,FALSE)</f>
        <v>Camp like setting</v>
      </c>
      <c r="DN575" s="711" t="str">
        <f>VLOOKUP(WWWW[[#This Row],[Site Name]],SiteDB6[[Site Name]:[Ethnic or GCA/NGCA]],11,FALSE)</f>
        <v>GCA</v>
      </c>
      <c r="DO575" s="711">
        <f>VLOOKUP(WWWW[[#This Row],[Site Name]],SiteDB6[[Site Name]:[Lat]],12,FALSE)</f>
        <v>0</v>
      </c>
      <c r="DP575" s="711">
        <f>VLOOKUP(WWWW[[#This Row],[Site Name]],SiteDB6[[Site Name]:[Long]],13,FALSE)</f>
        <v>0</v>
      </c>
      <c r="DQ575" s="711" t="str">
        <f>VLOOKUP(WWWW[[#This Row],[Site Name]],SiteDB6[[Site Name]:[Pcode]],3,FALSE)</f>
        <v>MMR001CMP262</v>
      </c>
      <c r="DR575" s="709" t="str">
        <f t="shared" si="21"/>
        <v>Notcovered</v>
      </c>
      <c r="DS575" s="709"/>
    </row>
    <row r="576" spans="1:123">
      <c r="A576" s="701" t="s">
        <v>2519</v>
      </c>
      <c r="B576" s="701" t="s">
        <v>317</v>
      </c>
      <c r="C576" s="702" t="s">
        <v>317</v>
      </c>
      <c r="D576" s="702"/>
      <c r="E576" s="702" t="s">
        <v>39</v>
      </c>
      <c r="F576" s="702" t="s">
        <v>156</v>
      </c>
      <c r="G576" s="711" t="str">
        <f>VLOOKUP(WWWW[[#This Row],[Site Name]],SiteDB6[[Site Name]:[Location Type]],8,FALSE)</f>
        <v>Camp</v>
      </c>
      <c r="H576" s="702" t="s">
        <v>265</v>
      </c>
      <c r="I576" s="705">
        <v>3</v>
      </c>
      <c r="J576" s="705">
        <v>15</v>
      </c>
      <c r="K576" s="706"/>
      <c r="L576" s="707"/>
      <c r="M576" s="705"/>
      <c r="N576" s="705">
        <v>0</v>
      </c>
      <c r="O576" s="705"/>
      <c r="P576" s="705"/>
      <c r="Q576" s="708" t="s">
        <v>43</v>
      </c>
      <c r="R576" s="705"/>
      <c r="S576" s="705"/>
      <c r="T576" s="807">
        <v>1</v>
      </c>
      <c r="U576" s="705"/>
      <c r="V576" s="705"/>
      <c r="W576" s="705">
        <v>1</v>
      </c>
      <c r="X576" s="705"/>
      <c r="Y576" s="705"/>
      <c r="Z576" s="705"/>
      <c r="AA576" s="705">
        <v>0</v>
      </c>
      <c r="AB576" s="705"/>
      <c r="AC576" s="705"/>
      <c r="AD576" s="705"/>
      <c r="AE576" s="705"/>
      <c r="AF576" s="705"/>
      <c r="AG576" s="705"/>
      <c r="AH576" s="705">
        <v>1</v>
      </c>
      <c r="AI576" s="705"/>
      <c r="AJ576" s="705"/>
      <c r="AK576" s="705"/>
      <c r="AL576" s="705"/>
      <c r="AM576" s="705"/>
      <c r="AN576" s="705"/>
      <c r="AO576" s="709"/>
      <c r="AP576" s="705">
        <v>0</v>
      </c>
      <c r="AQ576" s="705"/>
      <c r="AR576" s="710"/>
      <c r="AS576" s="705"/>
      <c r="AT576" s="705"/>
      <c r="AU576" s="705"/>
      <c r="AV576" s="705"/>
      <c r="AW576" s="705">
        <v>0</v>
      </c>
      <c r="AX576" s="711" t="s">
        <v>43</v>
      </c>
      <c r="AY576" s="709" t="s">
        <v>1200</v>
      </c>
      <c r="AZ576" s="705"/>
      <c r="BA576" s="705"/>
      <c r="BB576" s="705"/>
      <c r="BC576" s="711"/>
      <c r="BD576" s="705"/>
      <c r="BE576" s="705"/>
      <c r="BF576" s="705">
        <v>0</v>
      </c>
      <c r="BG576" s="705"/>
      <c r="BH576" s="705"/>
      <c r="BI576" s="705"/>
      <c r="BJ576" s="705"/>
      <c r="BK576" s="705"/>
      <c r="BL576" s="705"/>
      <c r="BM576" s="711"/>
      <c r="BN576" s="712"/>
      <c r="BO576" s="710"/>
      <c r="BP576" s="711"/>
      <c r="BQ576" s="713" t="str">
        <f>IFERROR(WWWW[[#This Row],['#_Water sources treated]]/WWWW[[#This Row],['#_Water sources tested for contamination]],"no test")</f>
        <v>no test</v>
      </c>
      <c r="BR576" s="710" t="str">
        <f>IFERROR(WWWW[[#This Row],['#_Household received remediation action due to contamination]]/WWWW[[#This Row],['#_Household water samples tested for contamination]],"no test")</f>
        <v>no test</v>
      </c>
      <c r="BS576" s="712" t="str">
        <f>IF(AND(WWWW[[#This Row],[% of water sources treated]]="no test",WWWW[[#This Row],[% Household received corrective actions]]="no test"),"No Test","Tested")</f>
        <v>No Test</v>
      </c>
      <c r="BT576" s="712">
        <f>WWWW[[#This Row],['#_Constructed/existing protected hand dug well]]-WWWW[[#This Row],['#_Non-functional protected hand dug well]]</f>
        <v>1</v>
      </c>
      <c r="BU576" s="712">
        <f>(WWWW[[#This Row],['#_Constructed/Existing tube wells/boreholes/handpumps_WASH_agency]]+WWWW[[#This Row],['#_Non-Cluster partner water tube-wells/boreholes/handpumps]])-WWWW[[#This Row],['#_Non-functional tube wells/boreholes/handpumps]]</f>
        <v>1</v>
      </c>
      <c r="BV576" s="712">
        <f>WWWW[[#This Row],['#_Constructed/Existingwater storage tank with gravity fed reticulation system]]-WWWW[[#This Row],['#_Non-functional storage tank gravity fed reticulation system]]</f>
        <v>0</v>
      </c>
      <c r="BW576" s="712">
        <f>WWWW[[#This Row],['#_Water boating or water trucking]]</f>
        <v>0</v>
      </c>
      <c r="BX576" s="712">
        <f>WWWW[[#This Row],['#_Constructed/Existing water distribution system from river or natural spring]]</f>
        <v>0</v>
      </c>
      <c r="BY57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7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76" s="710">
        <f>IF(WWWW[[#This Row],[Location Type 1]]="Village",WWWW[[#This Row],[Access to safe drinking water for Village]],WWWW[[#This Row],[Access to safe drinking water for Camp]])</f>
        <v>1</v>
      </c>
      <c r="CB576" s="708">
        <f>WWWW[[#This Row],[%Equitable and continuous access to sufficient quantity of safe drinking water]]*WWWW[[#This Row],[Total PoP ]]</f>
        <v>15</v>
      </c>
      <c r="CC576" s="710">
        <f>IF((WWWW[[#This Row],['#_Constructed/Existing protected/fenced ponds]]*250)/WWWW[[#This Row],[Total PoP ]]&gt;1,1,(WWWW[[#This Row],['#_Constructed/Existing protected/fenced ponds]]*250)/WWWW[[#This Row],[Total PoP ]])</f>
        <v>0</v>
      </c>
      <c r="CD576" s="708">
        <f>WWWW[[#This Row],[% Access to unimproved water points]]*WWWW[[#This Row],[Total PoP ]]</f>
        <v>0</v>
      </c>
      <c r="CE57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7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G576" s="708">
        <f>WWWW[[#This Row],[HRP1]]/500</f>
        <v>0.03</v>
      </c>
      <c r="CH576" s="714">
        <f>1-WWWW[[#This Row],[% Equitable and continuous access to sufficient quantity of domestic water]]</f>
        <v>0</v>
      </c>
      <c r="CI576" s="708">
        <f>WWWW[[#This Row],[%equitable and continuous access to sufficient quantity of safe drinking and domestic water''s GAP]]*WWWW[[#This Row],[Total PoP ]]</f>
        <v>0</v>
      </c>
      <c r="CJ576" s="712">
        <f>IF(WWWW[[#This Row],[Total required water points]]-WWWW[[#This Row],['#Water points coverage]]&lt;0,0,WWWW[[#This Row],[Total required water points]]-WWWW[[#This Row],['#Water points coverage]])</f>
        <v>0.97</v>
      </c>
      <c r="CK576" s="712">
        <f>ROUND(IF(WWWW[[#This Row],[Total PoP ]]&lt;500,1,WWWW[[#This Row],[Total PoP ]]/500),0)</f>
        <v>1</v>
      </c>
      <c r="CL576" s="712">
        <f>(WWWW[[#This Row],['#_Constructed latrines_by_WASHAgencies]]+WWWW[[#This Row],['#_Non Cluster partner latrines]])-WWWW[[#This Row],['#_Non-functional latrines]]</f>
        <v>0</v>
      </c>
      <c r="CM57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7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7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6" s="712">
        <f>IF(WWWW[[#This Row],[Location Type 1]]="Village","NA",IF(WWWW[[#This Row],['#_Constructed/Existing latrines in TLS]]*50&gt;WWWW[[#This Row],['#_students at TLS_CFS]],WWWW[[#This Row],['#_students at TLS_CFS]],(WWWW[[#This Row],['#_Constructed/Existing latrines in TLS]]*50)))</f>
        <v>0</v>
      </c>
      <c r="CQ576" s="712">
        <f>ROUND(IF(WWWW[[#This Row],[Location Type 1]]="camp",WWWW[[#This Row],[Total PoP ]]/20,IF(WWWW[[#This Row],[Location Type 1]]="Temporary Location",WWWW[[#This Row],[Total PoP ]]/50,(WWWW[[#This Row],[Total PoP ]]/6))),0)</f>
        <v>1</v>
      </c>
      <c r="CR576" s="712">
        <f>IF(WWWW[[#This Row],[Total required Latrines]]-(WWWW[[#This Row],['#_Constructed latrines_by_WASHAgencies]]+WWWW[[#This Row],['#_Non Cluster partner latrines]])&lt;0,0,WWWW[[#This Row],[Total required Latrines]]-(WWWW[[#This Row],['#_Constructed latrines_by_WASHAgencies]]+WWWW[[#This Row],['#_Non Cluster partner latrines]]))</f>
        <v>1</v>
      </c>
      <c r="CS576" s="714">
        <f>1-WWWW[[#This Row],[% people access to functioning Latrine]]</f>
        <v>1</v>
      </c>
      <c r="CT576" s="713">
        <f>IF(OR(WWWW[[#This Row],['#_Non-functional latrines]]="",WWWW[[#This Row],['#_Non-functional latrines]]=0),0,WWWW[[#This Row],['#_Non-functional latrines]]/(WWWW[[#This Row],['#_Constructed latrines_by_WASHAgencies]]+WWWW[[#This Row],['#_Non Cluster partner latrines]]))</f>
        <v>0</v>
      </c>
      <c r="CU576" s="708">
        <f>IF(500*(WWWW[[#This Row],['#_male hygiene promoters]]+WWWW[[#This Row],['#_female hygiene promoters]])&gt;WWWW[[#This Row],[Total PoP ]],WWWW[[#This Row],[Total PoP ]],500*(WWWW[[#This Row],['#_male hygiene promoters]]+WWWW[[#This Row],['#_female hygiene promoters]]))</f>
        <v>0</v>
      </c>
      <c r="CV57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6" s="712">
        <f>IF(WWWW[[#This Row],['# People with access to soap]]&gt;WWWW[[#This Row],['# People with access to Sanity Pads]],WWWW[[#This Row],['# People with access to soap]],WWWW[[#This Row],['# People with access to Sanity Pads]])</f>
        <v>0</v>
      </c>
      <c r="CY57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76" s="714">
        <f>IF(WWWW[[#This Row],[HRP3]]/WWWW[[#This Row],[Total PoP ]]&gt;100%,100%,WWWW[[#This Row],[HRP3]]/WWWW[[#This Row],[Total PoP ]])</f>
        <v>0</v>
      </c>
      <c r="DA576" s="713">
        <f>1-WWWW[[#This Row],[Hygiene Coverage%]]</f>
        <v>1</v>
      </c>
      <c r="DB576" s="710">
        <f>WWWW[[#This Row],['# people reached by regular dedicated hygiene promotion_5]]/WWWW[[#This Row],[Total PoP ]]</f>
        <v>0</v>
      </c>
      <c r="DC576" s="710">
        <f>IF(WWWW[[#This Row],['#_households that received standard amount of soap for this quarter]]/WWWW[[#This Row],[Total HH]]&gt;1,1,WWWW[[#This Row],['#_households that received standard amount of soap for this quarter]]/WWWW[[#This Row],[Total HH]])</f>
        <v>0</v>
      </c>
      <c r="DD576" s="710">
        <f>IF(WWWW[[#This Row],['#_households that received standard amount of sanitary pads for this quarter]]/WWWW[[#This Row],[Total HH]]&gt;1,1,WWWW[[#This Row],['#_households that received standard amount of sanitary pads for this quarter]]/WWWW[[#This Row],[Total HH]])</f>
        <v>0</v>
      </c>
      <c r="DE576" s="712">
        <f>WWWW[[#This Row],['#_Constructed/Existing hand washing stations]]-WWWW[[#This Row],['#_Non-Functional_hand_washing_stations]]</f>
        <v>0</v>
      </c>
      <c r="DF576" s="757">
        <f>IF(WWWW[[#This Row],['# Functional hand washing stations during reporting period]]*20&gt;WWWW[[#This Row],[Total HH]],WWWW[[#This Row],[Total HH]],WWWW[[#This Row],['# Functional hand washing stations during reporting period]]*20)</f>
        <v>0</v>
      </c>
      <c r="DG576" s="708">
        <f>IF(WWWW[[#This Row],[Is sufficient soap available for TLS? (Yes/No)]]="yes",WWWW[[#This Row],['#_Constructed/Existing hand washing stations at TLS]],0)</f>
        <v>0</v>
      </c>
      <c r="DH576" s="759">
        <f>IF(WWWW[[#This Row],['# Functional hand washing stations during reporting period]]*100&gt;WWWW[[#This Row],[Total PoP ]],WWWW[[#This Row],[Total PoP ]],WWWW[[#This Row],['# Functional hand washing stations during reporting period]]*100)</f>
        <v>0</v>
      </c>
      <c r="DI576" s="759" t="str">
        <f>IF(OR(WWWW[[#This Row],['#_students at TLS_CFS]]="",WWWW[[#This Row],['#_students at TLS_CFS]]=0),"No","Yes")</f>
        <v>No</v>
      </c>
      <c r="DJ576" s="711" t="str">
        <f>VLOOKUP(WWWW[[#This Row],[Site Name]],SiteDB6[[Site Name]:[CCCM Management]],6,FALSE)</f>
        <v>Yes</v>
      </c>
      <c r="DK576" s="711" t="str">
        <f>VLOOKUP(WWWW[[#This Row],[Site Name]],SiteDB6[[Site Name]:[CCCM Focal Agency]],7,FALSE)</f>
        <v>uncovered</v>
      </c>
      <c r="DL576" s="711" t="str">
        <f>VLOOKUP(WWWW[[#This Row],[Site Name]],SiteDB6[[Site Name]:[Location Type 1]],9,FALSE)</f>
        <v>Camp</v>
      </c>
      <c r="DM576" s="711" t="str">
        <f>VLOOKUP(WWWW[[#This Row],[Site Name]],SiteDB6[[Site Name]:[Type of Accommodation]],10,FALSE)</f>
        <v>Camp like setting</v>
      </c>
      <c r="DN576" s="711" t="str">
        <f>VLOOKUP(WWWW[[#This Row],[Site Name]],SiteDB6[[Site Name]:[Ethnic or GCA/NGCA]],11,FALSE)</f>
        <v>GCA</v>
      </c>
      <c r="DO576" s="711">
        <f>VLOOKUP(WWWW[[#This Row],[Site Name]],SiteDB6[[Site Name]:[Lat]],12,FALSE)</f>
        <v>25.6145</v>
      </c>
      <c r="DP576" s="711">
        <f>VLOOKUP(WWWW[[#This Row],[Site Name]],SiteDB6[[Site Name]:[Long]],13,FALSE)</f>
        <v>96.319829999999996</v>
      </c>
      <c r="DQ576" s="711" t="str">
        <f>VLOOKUP(WWWW[[#This Row],[Site Name]],SiteDB6[[Site Name]:[Pcode]],3,FALSE)</f>
        <v>MMR001CMP091</v>
      </c>
      <c r="DR576" s="709" t="str">
        <f t="shared" si="21"/>
        <v>Notcovered</v>
      </c>
      <c r="DS576" s="709"/>
    </row>
    <row r="577" spans="1:123">
      <c r="A577" s="701" t="s">
        <v>2519</v>
      </c>
      <c r="B577" s="701" t="s">
        <v>317</v>
      </c>
      <c r="C577" s="702" t="s">
        <v>317</v>
      </c>
      <c r="D577" s="702"/>
      <c r="E577" s="702" t="s">
        <v>39</v>
      </c>
      <c r="F577" s="702" t="s">
        <v>156</v>
      </c>
      <c r="G577" s="711" t="str">
        <f>VLOOKUP(WWWW[[#This Row],[Site Name]],SiteDB6[[Site Name]:[Location Type]],8,FALSE)</f>
        <v>Camp</v>
      </c>
      <c r="H577" s="702" t="s">
        <v>198</v>
      </c>
      <c r="I577" s="705">
        <v>10</v>
      </c>
      <c r="J577" s="705">
        <v>18</v>
      </c>
      <c r="K577" s="706"/>
      <c r="L577" s="707"/>
      <c r="M577" s="705"/>
      <c r="N577" s="705"/>
      <c r="O577" s="705"/>
      <c r="P577" s="705"/>
      <c r="Q577" s="708"/>
      <c r="R577" s="705"/>
      <c r="S577" s="705"/>
      <c r="T577" s="807"/>
      <c r="U577" s="705"/>
      <c r="V577" s="705"/>
      <c r="W577" s="705"/>
      <c r="X577" s="705"/>
      <c r="Y577" s="705"/>
      <c r="Z577" s="705"/>
      <c r="AA577" s="705"/>
      <c r="AB577" s="705"/>
      <c r="AC577" s="705"/>
      <c r="AD577" s="705"/>
      <c r="AE577" s="705"/>
      <c r="AF577" s="705"/>
      <c r="AG577" s="705"/>
      <c r="AH577" s="705"/>
      <c r="AI577" s="705"/>
      <c r="AJ577" s="705"/>
      <c r="AK577" s="705"/>
      <c r="AL577" s="705"/>
      <c r="AM577" s="705"/>
      <c r="AN577" s="705"/>
      <c r="AO577" s="709"/>
      <c r="AP577" s="705"/>
      <c r="AQ577" s="705"/>
      <c r="AR577" s="710"/>
      <c r="AS577" s="705"/>
      <c r="AT577" s="705"/>
      <c r="AU577" s="705"/>
      <c r="AV577" s="705"/>
      <c r="AW577" s="705"/>
      <c r="AX577" s="711"/>
      <c r="AY577" s="709"/>
      <c r="AZ577" s="705"/>
      <c r="BA577" s="705"/>
      <c r="BB577" s="705"/>
      <c r="BC577" s="711"/>
      <c r="BD577" s="705"/>
      <c r="BE577" s="705"/>
      <c r="BF577" s="705"/>
      <c r="BG577" s="705"/>
      <c r="BH577" s="705"/>
      <c r="BI577" s="705"/>
      <c r="BJ577" s="705"/>
      <c r="BK577" s="705"/>
      <c r="BL577" s="705"/>
      <c r="BM577" s="711"/>
      <c r="BN577" s="712"/>
      <c r="BO577" s="710"/>
      <c r="BP577" s="711"/>
      <c r="BQ577" s="713" t="str">
        <f>IFERROR(WWWW[[#This Row],['#_Water sources treated]]/WWWW[[#This Row],['#_Water sources tested for contamination]],"no test")</f>
        <v>no test</v>
      </c>
      <c r="BR577" s="710" t="str">
        <f>IFERROR(WWWW[[#This Row],['#_Household received remediation action due to contamination]]/WWWW[[#This Row],['#_Household water samples tested for contamination]],"no test")</f>
        <v>no test</v>
      </c>
      <c r="BS577" s="712" t="str">
        <f>IF(AND(WWWW[[#This Row],[% of water sources treated]]="no test",WWWW[[#This Row],[% Household received corrective actions]]="no test"),"No Test","Tested")</f>
        <v>No Test</v>
      </c>
      <c r="BT577" s="712">
        <f>WWWW[[#This Row],['#_Constructed/existing protected hand dug well]]-WWWW[[#This Row],['#_Non-functional protected hand dug well]]</f>
        <v>0</v>
      </c>
      <c r="BU577" s="712">
        <f>(WWWW[[#This Row],['#_Constructed/Existing tube wells/boreholes/handpumps_WASH_agency]]+WWWW[[#This Row],['#_Non-Cluster partner water tube-wells/boreholes/handpumps]])-WWWW[[#This Row],['#_Non-functional tube wells/boreholes/handpumps]]</f>
        <v>0</v>
      </c>
      <c r="BV577" s="712">
        <f>WWWW[[#This Row],['#_Constructed/Existingwater storage tank with gravity fed reticulation system]]-WWWW[[#This Row],['#_Non-functional storage tank gravity fed reticulation system]]</f>
        <v>0</v>
      </c>
      <c r="BW577" s="712">
        <f>WWWW[[#This Row],['#_Water boating or water trucking]]</f>
        <v>0</v>
      </c>
      <c r="BX577" s="712">
        <f>WWWW[[#This Row],['#_Constructed/Existing water distribution system from river or natural spring]]</f>
        <v>0</v>
      </c>
      <c r="BY57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7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77" s="710">
        <f>IF(WWWW[[#This Row],[Location Type 1]]="Village",WWWW[[#This Row],[Access to safe drinking water for Village]],WWWW[[#This Row],[Access to safe drinking water for Camp]])</f>
        <v>0</v>
      </c>
      <c r="CB577" s="708">
        <f>WWWW[[#This Row],[%Equitable and continuous access to sufficient quantity of safe drinking water]]*WWWW[[#This Row],[Total PoP ]]</f>
        <v>0</v>
      </c>
      <c r="CC577" s="710">
        <f>IF((WWWW[[#This Row],['#_Constructed/Existing protected/fenced ponds]]*250)/WWWW[[#This Row],[Total PoP ]]&gt;1,1,(WWWW[[#This Row],['#_Constructed/Existing protected/fenced ponds]]*250)/WWWW[[#This Row],[Total PoP ]])</f>
        <v>0</v>
      </c>
      <c r="CD577" s="708">
        <f>WWWW[[#This Row],[% Access to unimproved water points]]*WWWW[[#This Row],[Total PoP ]]</f>
        <v>0</v>
      </c>
      <c r="CE57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7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77" s="708">
        <f>WWWW[[#This Row],[HRP1]]/500</f>
        <v>0</v>
      </c>
      <c r="CH577" s="714">
        <f>1-WWWW[[#This Row],[% Equitable and continuous access to sufficient quantity of domestic water]]</f>
        <v>1</v>
      </c>
      <c r="CI577" s="708">
        <f>WWWW[[#This Row],[%equitable and continuous access to sufficient quantity of safe drinking and domestic water''s GAP]]*WWWW[[#This Row],[Total PoP ]]</f>
        <v>18</v>
      </c>
      <c r="CJ577" s="712">
        <f>IF(WWWW[[#This Row],[Total required water points]]-WWWW[[#This Row],['#Water points coverage]]&lt;0,0,WWWW[[#This Row],[Total required water points]]-WWWW[[#This Row],['#Water points coverage]])</f>
        <v>1</v>
      </c>
      <c r="CK577" s="712">
        <f>ROUND(IF(WWWW[[#This Row],[Total PoP ]]&lt;500,1,WWWW[[#This Row],[Total PoP ]]/500),0)</f>
        <v>1</v>
      </c>
      <c r="CL577" s="712">
        <f>(WWWW[[#This Row],['#_Constructed latrines_by_WASHAgencies]]+WWWW[[#This Row],['#_Non Cluster partner latrines]])-WWWW[[#This Row],['#_Non-functional latrines]]</f>
        <v>0</v>
      </c>
      <c r="CM57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7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7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7" s="712">
        <f>IF(WWWW[[#This Row],[Location Type 1]]="Village","NA",IF(WWWW[[#This Row],['#_Constructed/Existing latrines in TLS]]*50&gt;WWWW[[#This Row],['#_students at TLS_CFS]],WWWW[[#This Row],['#_students at TLS_CFS]],(WWWW[[#This Row],['#_Constructed/Existing latrines in TLS]]*50)))</f>
        <v>0</v>
      </c>
      <c r="CQ577" s="712">
        <f>ROUND(IF(WWWW[[#This Row],[Location Type 1]]="camp",WWWW[[#This Row],[Total PoP ]]/20,IF(WWWW[[#This Row],[Location Type 1]]="Temporary Location",WWWW[[#This Row],[Total PoP ]]/50,(WWWW[[#This Row],[Total PoP ]]/6))),0)</f>
        <v>1</v>
      </c>
      <c r="CR577" s="712">
        <f>IF(WWWW[[#This Row],[Total required Latrines]]-(WWWW[[#This Row],['#_Constructed latrines_by_WASHAgencies]]+WWWW[[#This Row],['#_Non Cluster partner latrines]])&lt;0,0,WWWW[[#This Row],[Total required Latrines]]-(WWWW[[#This Row],['#_Constructed latrines_by_WASHAgencies]]+WWWW[[#This Row],['#_Non Cluster partner latrines]]))</f>
        <v>1</v>
      </c>
      <c r="CS577" s="714">
        <f>1-WWWW[[#This Row],[% people access to functioning Latrine]]</f>
        <v>1</v>
      </c>
      <c r="CT577" s="713">
        <f>IF(OR(WWWW[[#This Row],['#_Non-functional latrines]]="",WWWW[[#This Row],['#_Non-functional latrines]]=0),0,WWWW[[#This Row],['#_Non-functional latrines]]/(WWWW[[#This Row],['#_Constructed latrines_by_WASHAgencies]]+WWWW[[#This Row],['#_Non Cluster partner latrines]]))</f>
        <v>0</v>
      </c>
      <c r="CU577" s="708">
        <f>IF(500*(WWWW[[#This Row],['#_male hygiene promoters]]+WWWW[[#This Row],['#_female hygiene promoters]])&gt;WWWW[[#This Row],[Total PoP ]],WWWW[[#This Row],[Total PoP ]],500*(WWWW[[#This Row],['#_male hygiene promoters]]+WWWW[[#This Row],['#_female hygiene promoters]]))</f>
        <v>0</v>
      </c>
      <c r="CV57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7" s="712">
        <f>IF(WWWW[[#This Row],['# People with access to soap]]&gt;WWWW[[#This Row],['# People with access to Sanity Pads]],WWWW[[#This Row],['# People with access to soap]],WWWW[[#This Row],['# People with access to Sanity Pads]])</f>
        <v>0</v>
      </c>
      <c r="CY57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77" s="714">
        <f>IF(WWWW[[#This Row],[HRP3]]/WWWW[[#This Row],[Total PoP ]]&gt;100%,100%,WWWW[[#This Row],[HRP3]]/WWWW[[#This Row],[Total PoP ]])</f>
        <v>0</v>
      </c>
      <c r="DA577" s="713">
        <f>1-WWWW[[#This Row],[Hygiene Coverage%]]</f>
        <v>1</v>
      </c>
      <c r="DB577" s="710">
        <f>WWWW[[#This Row],['# people reached by regular dedicated hygiene promotion_5]]/WWWW[[#This Row],[Total PoP ]]</f>
        <v>0</v>
      </c>
      <c r="DC577" s="710">
        <f>IF(WWWW[[#This Row],['#_households that received standard amount of soap for this quarter]]/WWWW[[#This Row],[Total HH]]&gt;1,1,WWWW[[#This Row],['#_households that received standard amount of soap for this quarter]]/WWWW[[#This Row],[Total HH]])</f>
        <v>0</v>
      </c>
      <c r="DD577" s="710">
        <f>IF(WWWW[[#This Row],['#_households that received standard amount of sanitary pads for this quarter]]/WWWW[[#This Row],[Total HH]]&gt;1,1,WWWW[[#This Row],['#_households that received standard amount of sanitary pads for this quarter]]/WWWW[[#This Row],[Total HH]])</f>
        <v>0</v>
      </c>
      <c r="DE577" s="712">
        <f>WWWW[[#This Row],['#_Constructed/Existing hand washing stations]]-WWWW[[#This Row],['#_Non-Functional_hand_washing_stations]]</f>
        <v>0</v>
      </c>
      <c r="DF577" s="757">
        <f>IF(WWWW[[#This Row],['# Functional hand washing stations during reporting period]]*20&gt;WWWW[[#This Row],[Total HH]],WWWW[[#This Row],[Total HH]],WWWW[[#This Row],['# Functional hand washing stations during reporting period]]*20)</f>
        <v>0</v>
      </c>
      <c r="DG577" s="708">
        <f>IF(WWWW[[#This Row],[Is sufficient soap available for TLS? (Yes/No)]]="yes",WWWW[[#This Row],['#_Constructed/Existing hand washing stations at TLS]],0)</f>
        <v>0</v>
      </c>
      <c r="DH577" s="759">
        <f>IF(WWWW[[#This Row],['# Functional hand washing stations during reporting period]]*100&gt;WWWW[[#This Row],[Total PoP ]],WWWW[[#This Row],[Total PoP ]],WWWW[[#This Row],['# Functional hand washing stations during reporting period]]*100)</f>
        <v>0</v>
      </c>
      <c r="DI577" s="759" t="str">
        <f>IF(OR(WWWW[[#This Row],['#_students at TLS_CFS]]="",WWWW[[#This Row],['#_students at TLS_CFS]]=0),"No","Yes")</f>
        <v>No</v>
      </c>
      <c r="DJ577" s="711" t="str">
        <f>VLOOKUP(WWWW[[#This Row],[Site Name]],SiteDB6[[Site Name]:[CCCM Management]],6,FALSE)</f>
        <v>Yes</v>
      </c>
      <c r="DK577" s="711" t="str">
        <f>VLOOKUP(WWWW[[#This Row],[Site Name]],SiteDB6[[Site Name]:[CCCM Focal Agency]],7,FALSE)</f>
        <v>KMSS-MYT</v>
      </c>
      <c r="DL577" s="711" t="str">
        <f>VLOOKUP(WWWW[[#This Row],[Site Name]],SiteDB6[[Site Name]:[Location Type 1]],9,FALSE)</f>
        <v>Camp</v>
      </c>
      <c r="DM577" s="711" t="str">
        <f>VLOOKUP(WWWW[[#This Row],[Site Name]],SiteDB6[[Site Name]:[Type of Accommodation]],10,FALSE)</f>
        <v>Camp</v>
      </c>
      <c r="DN577" s="711" t="str">
        <f>VLOOKUP(WWWW[[#This Row],[Site Name]],SiteDB6[[Site Name]:[Ethnic or GCA/NGCA]],11,FALSE)</f>
        <v>GCA</v>
      </c>
      <c r="DO577" s="711">
        <f>VLOOKUP(WWWW[[#This Row],[Site Name]],SiteDB6[[Site Name]:[Lat]],12,FALSE)</f>
        <v>25.920006000000001</v>
      </c>
      <c r="DP577" s="711">
        <f>VLOOKUP(WWWW[[#This Row],[Site Name]],SiteDB6[[Site Name]:[Long]],13,FALSE)</f>
        <v>96.662092000000001</v>
      </c>
      <c r="DQ577" s="711" t="str">
        <f>VLOOKUP(WWWW[[#This Row],[Site Name]],SiteDB6[[Site Name]:[Pcode]],3,FALSE)</f>
        <v>MMR001CMP247</v>
      </c>
      <c r="DR577" s="709" t="str">
        <f t="shared" si="21"/>
        <v>Notcovered</v>
      </c>
      <c r="DS577" s="709"/>
    </row>
    <row r="578" spans="1:123">
      <c r="A578" s="701" t="s">
        <v>2519</v>
      </c>
      <c r="B578" s="701" t="s">
        <v>250</v>
      </c>
      <c r="C578" s="702" t="s">
        <v>250</v>
      </c>
      <c r="D578" s="702" t="s">
        <v>315</v>
      </c>
      <c r="E578" s="702" t="s">
        <v>39</v>
      </c>
      <c r="F578" s="702" t="s">
        <v>156</v>
      </c>
      <c r="G578" s="711" t="str">
        <f>VLOOKUP(WWWW[[#This Row],[Site Name]],SiteDB6[[Site Name]:[Location Type]],8,FALSE)</f>
        <v>Camp</v>
      </c>
      <c r="H578" s="702" t="s">
        <v>264</v>
      </c>
      <c r="I578" s="705">
        <v>12</v>
      </c>
      <c r="J578" s="705">
        <v>60</v>
      </c>
      <c r="K578" s="706">
        <v>43313</v>
      </c>
      <c r="L578" s="707">
        <v>44043</v>
      </c>
      <c r="M578" s="705"/>
      <c r="N578" s="705">
        <v>1</v>
      </c>
      <c r="O578" s="705">
        <v>0</v>
      </c>
      <c r="P578" s="705">
        <v>0</v>
      </c>
      <c r="Q578" s="708" t="s">
        <v>43</v>
      </c>
      <c r="R578" s="705">
        <v>3</v>
      </c>
      <c r="S578" s="705">
        <v>4</v>
      </c>
      <c r="T578" s="807">
        <v>0</v>
      </c>
      <c r="U578" s="705"/>
      <c r="V578" s="705"/>
      <c r="W578" s="705">
        <v>0</v>
      </c>
      <c r="X578" s="705">
        <v>0</v>
      </c>
      <c r="Y578" s="705"/>
      <c r="Z578" s="705"/>
      <c r="AA578" s="705">
        <v>0</v>
      </c>
      <c r="AB578" s="705"/>
      <c r="AC578" s="705"/>
      <c r="AD578" s="705">
        <v>0</v>
      </c>
      <c r="AE578" s="705">
        <v>0</v>
      </c>
      <c r="AF578" s="705">
        <v>1</v>
      </c>
      <c r="AG578" s="705">
        <v>0</v>
      </c>
      <c r="AH578" s="705">
        <v>1</v>
      </c>
      <c r="AI578" s="705"/>
      <c r="AJ578" s="705"/>
      <c r="AK578" s="705"/>
      <c r="AL578" s="705"/>
      <c r="AM578" s="705">
        <v>0</v>
      </c>
      <c r="AN578" s="705">
        <v>0</v>
      </c>
      <c r="AO578" s="709"/>
      <c r="AP578" s="705">
        <v>2</v>
      </c>
      <c r="AQ578" s="705">
        <v>0</v>
      </c>
      <c r="AR578" s="710" t="s">
        <v>250</v>
      </c>
      <c r="AS578" s="705"/>
      <c r="AT578" s="705"/>
      <c r="AU578" s="705"/>
      <c r="AV578" s="705"/>
      <c r="AW578" s="705">
        <v>0</v>
      </c>
      <c r="AX578" s="711" t="s">
        <v>43</v>
      </c>
      <c r="AY578" s="709" t="s">
        <v>144</v>
      </c>
      <c r="AZ578" s="705">
        <v>0</v>
      </c>
      <c r="BA578" s="705">
        <v>0</v>
      </c>
      <c r="BB578" s="705">
        <v>0</v>
      </c>
      <c r="BC578" s="711"/>
      <c r="BD578" s="705">
        <v>1</v>
      </c>
      <c r="BE578" s="705"/>
      <c r="BF578" s="705">
        <v>0</v>
      </c>
      <c r="BG578" s="705">
        <v>2</v>
      </c>
      <c r="BH578" s="705"/>
      <c r="BI578" s="705">
        <v>3</v>
      </c>
      <c r="BJ578" s="705">
        <v>4</v>
      </c>
      <c r="BK578" s="705"/>
      <c r="BL578" s="705"/>
      <c r="BM578" s="711" t="s">
        <v>144</v>
      </c>
      <c r="BN578" s="712"/>
      <c r="BO578" s="710">
        <v>0.4</v>
      </c>
      <c r="BP578" s="711"/>
      <c r="BQ578" s="713" t="str">
        <f>IFERROR(WWWW[[#This Row],['#_Water sources treated]]/WWWW[[#This Row],['#_Water sources tested for contamination]],"no test")</f>
        <v>no test</v>
      </c>
      <c r="BR578" s="710" t="str">
        <f>IFERROR(WWWW[[#This Row],['#_Household received remediation action due to contamination]]/WWWW[[#This Row],['#_Household water samples tested for contamination]],"no test")</f>
        <v>no test</v>
      </c>
      <c r="BS578" s="712" t="str">
        <f>IF(AND(WWWW[[#This Row],[% of water sources treated]]="no test",WWWW[[#This Row],[% Household received corrective actions]]="no test"),"No Test","Tested")</f>
        <v>No Test</v>
      </c>
      <c r="BT578" s="712">
        <f>WWWW[[#This Row],['#_Constructed/existing protected hand dug well]]-WWWW[[#This Row],['#_Non-functional protected hand dug well]]</f>
        <v>0</v>
      </c>
      <c r="BU578" s="712">
        <f>(WWWW[[#This Row],['#_Constructed/Existing tube wells/boreholes/handpumps_WASH_agency]]+WWWW[[#This Row],['#_Non-Cluster partner water tube-wells/boreholes/handpumps]])-WWWW[[#This Row],['#_Non-functional tube wells/boreholes/handpumps]]</f>
        <v>0</v>
      </c>
      <c r="BV578" s="712">
        <f>WWWW[[#This Row],['#_Constructed/Existingwater storage tank with gravity fed reticulation system]]-WWWW[[#This Row],['#_Non-functional storage tank gravity fed reticulation system]]</f>
        <v>0</v>
      </c>
      <c r="BW578" s="712">
        <f>WWWW[[#This Row],['#_Water boating or water trucking]]</f>
        <v>0</v>
      </c>
      <c r="BX578" s="712">
        <f>WWWW[[#This Row],['#_Constructed/Existing water distribution system from river or natural spring]]</f>
        <v>1</v>
      </c>
      <c r="BY57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1.1111111111111111E-3</v>
      </c>
      <c r="BZ57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1.1111111111111111E-3</v>
      </c>
      <c r="CA578" s="710">
        <f>IF(WWWW[[#This Row],[Location Type 1]]="Village",WWWW[[#This Row],[Access to safe drinking water for Village]],WWWW[[#This Row],[Access to safe drinking water for Camp]])</f>
        <v>1.1111111111111111E-3</v>
      </c>
      <c r="CB578" s="708">
        <f>WWWW[[#This Row],[%Equitable and continuous access to sufficient quantity of safe drinking water]]*WWWW[[#This Row],[Total PoP ]]</f>
        <v>6.6666666666666666E-2</v>
      </c>
      <c r="CC578" s="710">
        <f>IF((WWWW[[#This Row],['#_Constructed/Existing protected/fenced ponds]]*250)/WWWW[[#This Row],[Total PoP ]]&gt;1,1,(WWWW[[#This Row],['#_Constructed/Existing protected/fenced ponds]]*250)/WWWW[[#This Row],[Total PoP ]])</f>
        <v>0</v>
      </c>
      <c r="CD578" s="708">
        <f>WWWW[[#This Row],[% Access to unimproved water points]]*WWWW[[#This Row],[Total PoP ]]</f>
        <v>0</v>
      </c>
      <c r="CE57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1.1111111111111111E-3</v>
      </c>
      <c r="CF57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6.6666666666666666E-2</v>
      </c>
      <c r="CG578" s="708">
        <f>WWWW[[#This Row],[HRP1]]/500</f>
        <v>1.3333333333333334E-4</v>
      </c>
      <c r="CH578" s="714">
        <f>1-WWWW[[#This Row],[% Equitable and continuous access to sufficient quantity of domestic water]]</f>
        <v>0.99888888888888894</v>
      </c>
      <c r="CI578" s="708">
        <f>WWWW[[#This Row],[%equitable and continuous access to sufficient quantity of safe drinking and domestic water''s GAP]]*WWWW[[#This Row],[Total PoP ]]</f>
        <v>59.933333333333337</v>
      </c>
      <c r="CJ578" s="712">
        <f>IF(WWWW[[#This Row],[Total required water points]]-WWWW[[#This Row],['#Water points coverage]]&lt;0,0,WWWW[[#This Row],[Total required water points]]-WWWW[[#This Row],['#Water points coverage]])</f>
        <v>0.99986666666666668</v>
      </c>
      <c r="CK578" s="712">
        <f>ROUND(IF(WWWW[[#This Row],[Total PoP ]]&lt;500,1,WWWW[[#This Row],[Total PoP ]]/500),0)</f>
        <v>1</v>
      </c>
      <c r="CL578" s="712">
        <f>(WWWW[[#This Row],['#_Constructed latrines_by_WASHAgencies]]+WWWW[[#This Row],['#_Non Cluster partner latrines]])-WWWW[[#This Row],['#_Non-functional latrines]]</f>
        <v>2</v>
      </c>
      <c r="CM57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0.66666666666666663</v>
      </c>
      <c r="CN57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57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8" s="712">
        <f>IF(WWWW[[#This Row],[Location Type 1]]="Village","NA",IF(WWWW[[#This Row],['#_Constructed/Existing latrines in TLS]]*50&gt;WWWW[[#This Row],['#_students at TLS_CFS]],WWWW[[#This Row],['#_students at TLS_CFS]],(WWWW[[#This Row],['#_Constructed/Existing latrines in TLS]]*50)))</f>
        <v>0</v>
      </c>
      <c r="CQ578" s="712">
        <f>ROUND(IF(WWWW[[#This Row],[Location Type 1]]="camp",WWWW[[#This Row],[Total PoP ]]/20,IF(WWWW[[#This Row],[Location Type 1]]="Temporary Location",WWWW[[#This Row],[Total PoP ]]/50,(WWWW[[#This Row],[Total PoP ]]/6))),0)</f>
        <v>3</v>
      </c>
      <c r="CR578" s="712">
        <f>IF(WWWW[[#This Row],[Total required Latrines]]-(WWWW[[#This Row],['#_Constructed latrines_by_WASHAgencies]]+WWWW[[#This Row],['#_Non Cluster partner latrines]])&lt;0,0,WWWW[[#This Row],[Total required Latrines]]-(WWWW[[#This Row],['#_Constructed latrines_by_WASHAgencies]]+WWWW[[#This Row],['#_Non Cluster partner latrines]]))</f>
        <v>1</v>
      </c>
      <c r="CS578" s="714">
        <f>1-WWWW[[#This Row],[% people access to functioning Latrine]]</f>
        <v>0.33333333333333337</v>
      </c>
      <c r="CT578" s="713">
        <f>IF(OR(WWWW[[#This Row],['#_Non-functional latrines]]="",WWWW[[#This Row],['#_Non-functional latrines]]=0),0,WWWW[[#This Row],['#_Non-functional latrines]]/(WWWW[[#This Row],['#_Constructed latrines_by_WASHAgencies]]+WWWW[[#This Row],['#_Non Cluster partner latrines]]))</f>
        <v>0</v>
      </c>
      <c r="CU578" s="708">
        <f>IF(500*(WWWW[[#This Row],['#_male hygiene promoters]]+WWWW[[#This Row],['#_female hygiene promoters]])&gt;WWWW[[#This Row],[Total PoP ]],WWWW[[#This Row],[Total PoP ]],500*(WWWW[[#This Row],['#_male hygiene promoters]]+WWWW[[#This Row],['#_female hygiene promoters]]))</f>
        <v>60</v>
      </c>
      <c r="CV57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8" s="712">
        <f>IF(WWWW[[#This Row],['# People with access to soap]]&gt;WWWW[[#This Row],['# People with access to Sanity Pads]],WWWW[[#This Row],['# People with access to soap]],WWWW[[#This Row],['# People with access to Sanity Pads]])</f>
        <v>0</v>
      </c>
      <c r="CY578" s="712">
        <f>IF(WWWW[[#This Row],['# people reached by regular dedicated hygiene promotion_5]]&gt;WWWW[[#This Row],['# People received regular supply of hygiene items_6]],WWWW[[#This Row],['# people reached by regular dedicated hygiene promotion_5]],WWWW[[#This Row],['# People received regular supply of hygiene items_6]])</f>
        <v>60</v>
      </c>
      <c r="CZ578" s="714">
        <f>IF(WWWW[[#This Row],[HRP3]]/WWWW[[#This Row],[Total PoP ]]&gt;100%,100%,WWWW[[#This Row],[HRP3]]/WWWW[[#This Row],[Total PoP ]])</f>
        <v>1</v>
      </c>
      <c r="DA578" s="713">
        <f>1-WWWW[[#This Row],[Hygiene Coverage%]]</f>
        <v>0</v>
      </c>
      <c r="DB578" s="710">
        <f>WWWW[[#This Row],['# people reached by regular dedicated hygiene promotion_5]]/WWWW[[#This Row],[Total PoP ]]</f>
        <v>1</v>
      </c>
      <c r="DC578" s="710">
        <f>IF(WWWW[[#This Row],['#_households that received standard amount of soap for this quarter]]/WWWW[[#This Row],[Total HH]]&gt;1,1,WWWW[[#This Row],['#_households that received standard amount of soap for this quarter]]/WWWW[[#This Row],[Total HH]])</f>
        <v>0</v>
      </c>
      <c r="DD578" s="710">
        <f>IF(WWWW[[#This Row],['#_households that received standard amount of sanitary pads for this quarter]]/WWWW[[#This Row],[Total HH]]&gt;1,1,WWWW[[#This Row],['#_households that received standard amount of sanitary pads for this quarter]]/WWWW[[#This Row],[Total HH]])</f>
        <v>0</v>
      </c>
      <c r="DE578" s="712">
        <f>WWWW[[#This Row],['#_Constructed/Existing hand washing stations]]-WWWW[[#This Row],['#_Non-Functional_hand_washing_stations]]</f>
        <v>1</v>
      </c>
      <c r="DF578" s="757">
        <f>IF(WWWW[[#This Row],['# Functional hand washing stations during reporting period]]*20&gt;WWWW[[#This Row],[Total HH]],WWWW[[#This Row],[Total HH]],WWWW[[#This Row],['# Functional hand washing stations during reporting period]]*20)</f>
        <v>12</v>
      </c>
      <c r="DG578" s="708">
        <f>IF(WWWW[[#This Row],[Is sufficient soap available for TLS? (Yes/No)]]="yes",WWWW[[#This Row],['#_Constructed/Existing hand washing stations at TLS]],0)</f>
        <v>0</v>
      </c>
      <c r="DH578" s="759">
        <f>IF(WWWW[[#This Row],['# Functional hand washing stations during reporting period]]*100&gt;WWWW[[#This Row],[Total PoP ]],WWWW[[#This Row],[Total PoP ]],WWWW[[#This Row],['# Functional hand washing stations during reporting period]]*100)</f>
        <v>60</v>
      </c>
      <c r="DI578" s="759" t="str">
        <f>IF(OR(WWWW[[#This Row],['#_students at TLS_CFS]]="",WWWW[[#This Row],['#_students at TLS_CFS]]=0),"No","Yes")</f>
        <v>No</v>
      </c>
      <c r="DJ578" s="711" t="str">
        <f>VLOOKUP(WWWW[[#This Row],[Site Name]],SiteDB6[[Site Name]:[CCCM Management]],6,FALSE)</f>
        <v>Yes</v>
      </c>
      <c r="DK578" s="711" t="str">
        <f>VLOOKUP(WWWW[[#This Row],[Site Name]],SiteDB6[[Site Name]:[CCCM Focal Agency]],7,FALSE)</f>
        <v>Shalom</v>
      </c>
      <c r="DL578" s="711" t="str">
        <f>VLOOKUP(WWWW[[#This Row],[Site Name]],SiteDB6[[Site Name]:[Location Type 1]],9,FALSE)</f>
        <v>Camp</v>
      </c>
      <c r="DM578" s="711" t="str">
        <f>VLOOKUP(WWWW[[#This Row],[Site Name]],SiteDB6[[Site Name]:[Type of Accommodation]],10,FALSE)</f>
        <v>Camp</v>
      </c>
      <c r="DN578" s="711" t="str">
        <f>VLOOKUP(WWWW[[#This Row],[Site Name]],SiteDB6[[Site Name]:[Ethnic or GCA/NGCA]],11,FALSE)</f>
        <v>GCA</v>
      </c>
      <c r="DO578" s="711">
        <f>VLOOKUP(WWWW[[#This Row],[Site Name]],SiteDB6[[Site Name]:[Lat]],12,FALSE)</f>
        <v>25.61842</v>
      </c>
      <c r="DP578" s="711">
        <f>VLOOKUP(WWWW[[#This Row],[Site Name]],SiteDB6[[Site Name]:[Long]],13,FALSE)</f>
        <v>96.316400000000002</v>
      </c>
      <c r="DQ578" s="711" t="str">
        <f>VLOOKUP(WWWW[[#This Row],[Site Name]],SiteDB6[[Site Name]:[Pcode]],3,FALSE)</f>
        <v>MMR001CMP167</v>
      </c>
      <c r="DR578" s="709" t="str">
        <f t="shared" si="21"/>
        <v>Covered</v>
      </c>
      <c r="DS578" s="709"/>
    </row>
    <row r="579" spans="1:123">
      <c r="A579" s="701" t="s">
        <v>2519</v>
      </c>
      <c r="B579" s="701" t="s">
        <v>38</v>
      </c>
      <c r="C579" s="702" t="s">
        <v>38</v>
      </c>
      <c r="D579" s="702" t="s">
        <v>328</v>
      </c>
      <c r="E579" s="702" t="s">
        <v>39</v>
      </c>
      <c r="F579" s="702" t="s">
        <v>167</v>
      </c>
      <c r="G579" s="711" t="str">
        <f>VLOOKUP(WWWW[[#This Row],[Site Name]],SiteDB6[[Site Name]:[Location Type]],8,FALSE)</f>
        <v>Camp</v>
      </c>
      <c r="H579" s="702" t="s">
        <v>1116</v>
      </c>
      <c r="I579" s="705">
        <v>14</v>
      </c>
      <c r="J579" s="705">
        <v>39</v>
      </c>
      <c r="K579" s="706">
        <v>43374</v>
      </c>
      <c r="L579" s="707">
        <v>43830</v>
      </c>
      <c r="M579" s="705"/>
      <c r="N579" s="705"/>
      <c r="O579" s="705"/>
      <c r="P579" s="705"/>
      <c r="Q579" s="708"/>
      <c r="R579" s="705"/>
      <c r="S579" s="705"/>
      <c r="T579" s="807"/>
      <c r="U579" s="705"/>
      <c r="V579" s="705"/>
      <c r="W579" s="705">
        <v>1</v>
      </c>
      <c r="X579" s="705"/>
      <c r="Y579" s="705"/>
      <c r="Z579" s="705"/>
      <c r="AA579" s="705"/>
      <c r="AB579" s="705"/>
      <c r="AC579" s="705"/>
      <c r="AD579" s="705"/>
      <c r="AE579" s="705"/>
      <c r="AF579" s="705"/>
      <c r="AG579" s="705"/>
      <c r="AH579" s="705"/>
      <c r="AI579" s="705"/>
      <c r="AJ579" s="705"/>
      <c r="AK579" s="705"/>
      <c r="AL579" s="705"/>
      <c r="AM579" s="705"/>
      <c r="AN579" s="705"/>
      <c r="AO579" s="709"/>
      <c r="AP579" s="705">
        <v>4</v>
      </c>
      <c r="AQ579" s="705"/>
      <c r="AR579" s="710"/>
      <c r="AS579" s="705"/>
      <c r="AT579" s="705"/>
      <c r="AU579" s="705"/>
      <c r="AV579" s="705"/>
      <c r="AW579" s="705"/>
      <c r="AX579" s="711" t="s">
        <v>144</v>
      </c>
      <c r="AY579" s="709" t="s">
        <v>144</v>
      </c>
      <c r="AZ579" s="705"/>
      <c r="BA579" s="705"/>
      <c r="BB579" s="705"/>
      <c r="BC579" s="711"/>
      <c r="BD579" s="705"/>
      <c r="BE579" s="705"/>
      <c r="BF579" s="705"/>
      <c r="BG579" s="705">
        <v>2</v>
      </c>
      <c r="BH579" s="705"/>
      <c r="BI579" s="705"/>
      <c r="BJ579" s="705">
        <v>1</v>
      </c>
      <c r="BK579" s="705"/>
      <c r="BL579" s="705"/>
      <c r="BM579" s="711"/>
      <c r="BN579" s="712"/>
      <c r="BO579" s="710"/>
      <c r="BP579" s="711"/>
      <c r="BQ579" s="713" t="str">
        <f>IFERROR(WWWW[[#This Row],['#_Water sources treated]]/WWWW[[#This Row],['#_Water sources tested for contamination]],"no test")</f>
        <v>no test</v>
      </c>
      <c r="BR579" s="710" t="str">
        <f>IFERROR(WWWW[[#This Row],['#_Household received remediation action due to contamination]]/WWWW[[#This Row],['#_Household water samples tested for contamination]],"no test")</f>
        <v>no test</v>
      </c>
      <c r="BS579" s="712" t="str">
        <f>IF(AND(WWWW[[#This Row],[% of water sources treated]]="no test",WWWW[[#This Row],[% Household received corrective actions]]="no test"),"No Test","Tested")</f>
        <v>No Test</v>
      </c>
      <c r="BT579" s="712">
        <f>WWWW[[#This Row],['#_Constructed/existing protected hand dug well]]-WWWW[[#This Row],['#_Non-functional protected hand dug well]]</f>
        <v>0</v>
      </c>
      <c r="BU579" s="712">
        <f>(WWWW[[#This Row],['#_Constructed/Existing tube wells/boreholes/handpumps_WASH_agency]]+WWWW[[#This Row],['#_Non-Cluster partner water tube-wells/boreholes/handpumps]])-WWWW[[#This Row],['#_Non-functional tube wells/boreholes/handpumps]]</f>
        <v>1</v>
      </c>
      <c r="BV579" s="712">
        <f>WWWW[[#This Row],['#_Constructed/Existingwater storage tank with gravity fed reticulation system]]-WWWW[[#This Row],['#_Non-functional storage tank gravity fed reticulation system]]</f>
        <v>0</v>
      </c>
      <c r="BW579" s="712">
        <f>WWWW[[#This Row],['#_Water boating or water trucking]]</f>
        <v>0</v>
      </c>
      <c r="BX579" s="712">
        <f>WWWW[[#This Row],['#_Constructed/Existing water distribution system from river or natural spring]]</f>
        <v>0</v>
      </c>
      <c r="BY57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7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79" s="710">
        <f>IF(WWWW[[#This Row],[Location Type 1]]="Village",WWWW[[#This Row],[Access to safe drinking water for Village]],WWWW[[#This Row],[Access to safe drinking water for Camp]])</f>
        <v>1</v>
      </c>
      <c r="CB579" s="708">
        <f>WWWW[[#This Row],[%Equitable and continuous access to sufficient quantity of safe drinking water]]*WWWW[[#This Row],[Total PoP ]]</f>
        <v>39</v>
      </c>
      <c r="CC579" s="710">
        <f>IF((WWWW[[#This Row],['#_Constructed/Existing protected/fenced ponds]]*250)/WWWW[[#This Row],[Total PoP ]]&gt;1,1,(WWWW[[#This Row],['#_Constructed/Existing protected/fenced ponds]]*250)/WWWW[[#This Row],[Total PoP ]])</f>
        <v>0</v>
      </c>
      <c r="CD579" s="708">
        <f>WWWW[[#This Row],[% Access to unimproved water points]]*WWWW[[#This Row],[Total PoP ]]</f>
        <v>0</v>
      </c>
      <c r="CE57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7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v>
      </c>
      <c r="CG579" s="708">
        <f>WWWW[[#This Row],[HRP1]]/500</f>
        <v>7.8E-2</v>
      </c>
      <c r="CH579" s="714">
        <f>1-WWWW[[#This Row],[% Equitable and continuous access to sufficient quantity of domestic water]]</f>
        <v>0</v>
      </c>
      <c r="CI579" s="708">
        <f>WWWW[[#This Row],[%equitable and continuous access to sufficient quantity of safe drinking and domestic water''s GAP]]*WWWW[[#This Row],[Total PoP ]]</f>
        <v>0</v>
      </c>
      <c r="CJ579" s="712">
        <f>IF(WWWW[[#This Row],[Total required water points]]-WWWW[[#This Row],['#Water points coverage]]&lt;0,0,WWWW[[#This Row],[Total required water points]]-WWWW[[#This Row],['#Water points coverage]])</f>
        <v>0.92200000000000004</v>
      </c>
      <c r="CK579" s="712">
        <f>ROUND(IF(WWWW[[#This Row],[Total PoP ]]&lt;500,1,WWWW[[#This Row],[Total PoP ]]/500),0)</f>
        <v>1</v>
      </c>
      <c r="CL579" s="712">
        <f>(WWWW[[#This Row],['#_Constructed latrines_by_WASHAgencies]]+WWWW[[#This Row],['#_Non Cluster partner latrines]])-WWWW[[#This Row],['#_Non-functional latrines]]</f>
        <v>4</v>
      </c>
      <c r="CM57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7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39</v>
      </c>
      <c r="CO57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79" s="712">
        <f>IF(WWWW[[#This Row],[Location Type 1]]="Village","NA",IF(WWWW[[#This Row],['#_Constructed/Existing latrines in TLS]]*50&gt;WWWW[[#This Row],['#_students at TLS_CFS]],WWWW[[#This Row],['#_students at TLS_CFS]],(WWWW[[#This Row],['#_Constructed/Existing latrines in TLS]]*50)))</f>
        <v>0</v>
      </c>
      <c r="CQ579" s="712">
        <f>ROUND(IF(WWWW[[#This Row],[Location Type 1]]="camp",WWWW[[#This Row],[Total PoP ]]/20,IF(WWWW[[#This Row],[Location Type 1]]="Temporary Location",WWWW[[#This Row],[Total PoP ]]/50,(WWWW[[#This Row],[Total PoP ]]/6))),0)</f>
        <v>2</v>
      </c>
      <c r="CR579" s="712">
        <f>IF(WWWW[[#This Row],[Total required Latrines]]-(WWWW[[#This Row],['#_Constructed latrines_by_WASHAgencies]]+WWWW[[#This Row],['#_Non Cluster partner latrines]])&lt;0,0,WWWW[[#This Row],[Total required Latrines]]-(WWWW[[#This Row],['#_Constructed latrines_by_WASHAgencies]]+WWWW[[#This Row],['#_Non Cluster partner latrines]]))</f>
        <v>0</v>
      </c>
      <c r="CS579" s="714">
        <f>1-WWWW[[#This Row],[% people access to functioning Latrine]]</f>
        <v>0</v>
      </c>
      <c r="CT579" s="713">
        <f>IF(OR(WWWW[[#This Row],['#_Non-functional latrines]]="",WWWW[[#This Row],['#_Non-functional latrines]]=0),0,WWWW[[#This Row],['#_Non-functional latrines]]/(WWWW[[#This Row],['#_Constructed latrines_by_WASHAgencies]]+WWWW[[#This Row],['#_Non Cluster partner latrines]]))</f>
        <v>0</v>
      </c>
      <c r="CU579" s="708">
        <f>IF(500*(WWWW[[#This Row],['#_male hygiene promoters]]+WWWW[[#This Row],['#_female hygiene promoters]])&gt;WWWW[[#This Row],[Total PoP ]],WWWW[[#This Row],[Total PoP ]],500*(WWWW[[#This Row],['#_male hygiene promoters]]+WWWW[[#This Row],['#_female hygiene promoters]]))</f>
        <v>39</v>
      </c>
      <c r="CV57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7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79" s="712">
        <f>IF(WWWW[[#This Row],['# People with access to soap]]&gt;WWWW[[#This Row],['# People with access to Sanity Pads]],WWWW[[#This Row],['# People with access to soap]],WWWW[[#This Row],['# People with access to Sanity Pads]])</f>
        <v>0</v>
      </c>
      <c r="CY579" s="712">
        <f>IF(WWWW[[#This Row],['# people reached by regular dedicated hygiene promotion_5]]&gt;WWWW[[#This Row],['# People received regular supply of hygiene items_6]],WWWW[[#This Row],['# people reached by regular dedicated hygiene promotion_5]],WWWW[[#This Row],['# People received regular supply of hygiene items_6]])</f>
        <v>39</v>
      </c>
      <c r="CZ579" s="714">
        <f>IF(WWWW[[#This Row],[HRP3]]/WWWW[[#This Row],[Total PoP ]]&gt;100%,100%,WWWW[[#This Row],[HRP3]]/WWWW[[#This Row],[Total PoP ]])</f>
        <v>1</v>
      </c>
      <c r="DA579" s="713">
        <f>1-WWWW[[#This Row],[Hygiene Coverage%]]</f>
        <v>0</v>
      </c>
      <c r="DB579" s="710">
        <f>WWWW[[#This Row],['# people reached by regular dedicated hygiene promotion_5]]/WWWW[[#This Row],[Total PoP ]]</f>
        <v>1</v>
      </c>
      <c r="DC579" s="710">
        <f>IF(WWWW[[#This Row],['#_households that received standard amount of soap for this quarter]]/WWWW[[#This Row],[Total HH]]&gt;1,1,WWWW[[#This Row],['#_households that received standard amount of soap for this quarter]]/WWWW[[#This Row],[Total HH]])</f>
        <v>0</v>
      </c>
      <c r="DD579" s="710">
        <f>IF(WWWW[[#This Row],['#_households that received standard amount of sanitary pads for this quarter]]/WWWW[[#This Row],[Total HH]]&gt;1,1,WWWW[[#This Row],['#_households that received standard amount of sanitary pads for this quarter]]/WWWW[[#This Row],[Total HH]])</f>
        <v>0</v>
      </c>
      <c r="DE579" s="712">
        <f>WWWW[[#This Row],['#_Constructed/Existing hand washing stations]]-WWWW[[#This Row],['#_Non-Functional_hand_washing_stations]]</f>
        <v>0</v>
      </c>
      <c r="DF579" s="757">
        <f>IF(WWWW[[#This Row],['# Functional hand washing stations during reporting period]]*20&gt;WWWW[[#This Row],[Total HH]],WWWW[[#This Row],[Total HH]],WWWW[[#This Row],['# Functional hand washing stations during reporting period]]*20)</f>
        <v>0</v>
      </c>
      <c r="DG579" s="708">
        <f>IF(WWWW[[#This Row],[Is sufficient soap available for TLS? (Yes/No)]]="yes",WWWW[[#This Row],['#_Constructed/Existing hand washing stations at TLS]],0)</f>
        <v>0</v>
      </c>
      <c r="DH579" s="759">
        <f>IF(WWWW[[#This Row],['# Functional hand washing stations during reporting period]]*100&gt;WWWW[[#This Row],[Total PoP ]],WWWW[[#This Row],[Total PoP ]],WWWW[[#This Row],['# Functional hand washing stations during reporting period]]*100)</f>
        <v>0</v>
      </c>
      <c r="DI579" s="759" t="str">
        <f>IF(OR(WWWW[[#This Row],['#_students at TLS_CFS]]="",WWWW[[#This Row],['#_students at TLS_CFS]]=0),"No","Yes")</f>
        <v>No</v>
      </c>
      <c r="DJ579" s="711">
        <f>VLOOKUP(WWWW[[#This Row],[Site Name]],SiteDB6[[Site Name]:[CCCM Management]],6,FALSE)</f>
        <v>0</v>
      </c>
      <c r="DK579" s="711" t="str">
        <f>VLOOKUP(WWWW[[#This Row],[Site Name]],SiteDB6[[Site Name]:[CCCM Focal Agency]],7,FALSE)</f>
        <v>KMSS-MYT</v>
      </c>
      <c r="DL579" s="711" t="str">
        <f>VLOOKUP(WWWW[[#This Row],[Site Name]],SiteDB6[[Site Name]:[Location Type 1]],9,FALSE)</f>
        <v>Camp</v>
      </c>
      <c r="DM579" s="711" t="str">
        <f>VLOOKUP(WWWW[[#This Row],[Site Name]],SiteDB6[[Site Name]:[Type of Accommodation]],10,FALSE)</f>
        <v>Camp</v>
      </c>
      <c r="DN579" s="711" t="str">
        <f>VLOOKUP(WWWW[[#This Row],[Site Name]],SiteDB6[[Site Name]:[Ethnic or GCA/NGCA]],11,FALSE)</f>
        <v>GCA</v>
      </c>
      <c r="DO579" s="711">
        <f>VLOOKUP(WWWW[[#This Row],[Site Name]],SiteDB6[[Site Name]:[Lat]],12,FALSE)</f>
        <v>0</v>
      </c>
      <c r="DP579" s="711">
        <f>VLOOKUP(WWWW[[#This Row],[Site Name]],SiteDB6[[Site Name]:[Long]],13,FALSE)</f>
        <v>0</v>
      </c>
      <c r="DQ579" s="711" t="str">
        <f>VLOOKUP(WWWW[[#This Row],[Site Name]],SiteDB6[[Site Name]:[Pcode]],3,FALSE)</f>
        <v>MMR001CMP256</v>
      </c>
      <c r="DR579" s="709" t="str">
        <f t="shared" si="21"/>
        <v>Covered</v>
      </c>
      <c r="DS579" s="709"/>
    </row>
    <row r="580" spans="1:123">
      <c r="A580" s="701" t="s">
        <v>2519</v>
      </c>
      <c r="B580" s="701" t="s">
        <v>250</v>
      </c>
      <c r="C580" s="702" t="s">
        <v>250</v>
      </c>
      <c r="D580" s="702" t="s">
        <v>315</v>
      </c>
      <c r="E580" s="702" t="s">
        <v>39</v>
      </c>
      <c r="F580" s="702" t="s">
        <v>150</v>
      </c>
      <c r="G580" s="711" t="str">
        <f>VLOOKUP(WWWW[[#This Row],[Site Name]],SiteDB6[[Site Name]:[Location Type]],8,FALSE)</f>
        <v>Camp</v>
      </c>
      <c r="H580" s="702" t="s">
        <v>277</v>
      </c>
      <c r="I580" s="705">
        <v>347</v>
      </c>
      <c r="J580" s="705">
        <v>2065</v>
      </c>
      <c r="K580" s="706">
        <v>43313</v>
      </c>
      <c r="L580" s="707">
        <v>44043</v>
      </c>
      <c r="M580" s="705">
        <v>80</v>
      </c>
      <c r="N580" s="705">
        <v>1</v>
      </c>
      <c r="O580" s="705">
        <v>0</v>
      </c>
      <c r="P580" s="705">
        <v>0</v>
      </c>
      <c r="Q580" s="708" t="s">
        <v>43</v>
      </c>
      <c r="R580" s="705">
        <v>1</v>
      </c>
      <c r="S580" s="705">
        <v>3</v>
      </c>
      <c r="T580" s="807">
        <v>4</v>
      </c>
      <c r="U580" s="705"/>
      <c r="V580" s="705"/>
      <c r="W580" s="705">
        <v>0</v>
      </c>
      <c r="X580" s="705">
        <v>7</v>
      </c>
      <c r="Y580" s="705"/>
      <c r="Z580" s="705"/>
      <c r="AA580" s="705">
        <v>0</v>
      </c>
      <c r="AB580" s="705"/>
      <c r="AC580" s="705"/>
      <c r="AD580" s="705">
        <v>0</v>
      </c>
      <c r="AE580" s="705">
        <v>0</v>
      </c>
      <c r="AF580" s="705">
        <v>0</v>
      </c>
      <c r="AG580" s="705">
        <v>0</v>
      </c>
      <c r="AH580" s="705">
        <v>0</v>
      </c>
      <c r="AI580" s="705"/>
      <c r="AJ580" s="705"/>
      <c r="AK580" s="705"/>
      <c r="AL580" s="705"/>
      <c r="AM580" s="705">
        <v>0</v>
      </c>
      <c r="AN580" s="705">
        <v>0</v>
      </c>
      <c r="AO580" s="709"/>
      <c r="AP580" s="705">
        <v>13</v>
      </c>
      <c r="AQ580" s="705">
        <v>28</v>
      </c>
      <c r="AR580" s="710" t="s">
        <v>3112</v>
      </c>
      <c r="AS580" s="705"/>
      <c r="AT580" s="705"/>
      <c r="AU580" s="705"/>
      <c r="AV580" s="705"/>
      <c r="AW580" s="705">
        <v>0</v>
      </c>
      <c r="AX580" s="711" t="s">
        <v>43</v>
      </c>
      <c r="AY580" s="709" t="s">
        <v>145</v>
      </c>
      <c r="AZ580" s="705">
        <v>0</v>
      </c>
      <c r="BA580" s="705">
        <v>0</v>
      </c>
      <c r="BB580" s="705">
        <v>0</v>
      </c>
      <c r="BC580" s="711"/>
      <c r="BD580" s="705">
        <v>5</v>
      </c>
      <c r="BE580" s="705"/>
      <c r="BF580" s="705">
        <v>0</v>
      </c>
      <c r="BG580" s="705">
        <v>4</v>
      </c>
      <c r="BH580" s="705"/>
      <c r="BI580" s="705">
        <v>0</v>
      </c>
      <c r="BJ580" s="705">
        <v>0</v>
      </c>
      <c r="BK580" s="705"/>
      <c r="BL580" s="705"/>
      <c r="BM580" s="711" t="s">
        <v>144</v>
      </c>
      <c r="BN580" s="712"/>
      <c r="BO580" s="710">
        <v>0</v>
      </c>
      <c r="BP580" s="711"/>
      <c r="BQ580" s="713" t="str">
        <f>IFERROR(WWWW[[#This Row],['#_Water sources treated]]/WWWW[[#This Row],['#_Water sources tested for contamination]],"no test")</f>
        <v>no test</v>
      </c>
      <c r="BR580" s="710" t="str">
        <f>IFERROR(WWWW[[#This Row],['#_Household received remediation action due to contamination]]/WWWW[[#This Row],['#_Household water samples tested for contamination]],"no test")</f>
        <v>no test</v>
      </c>
      <c r="BS580" s="712" t="str">
        <f>IF(AND(WWWW[[#This Row],[% of water sources treated]]="no test",WWWW[[#This Row],[% Household received corrective actions]]="no test"),"No Test","Tested")</f>
        <v>No Test</v>
      </c>
      <c r="BT580" s="712">
        <f>WWWW[[#This Row],['#_Constructed/existing protected hand dug well]]-WWWW[[#This Row],['#_Non-functional protected hand dug well]]</f>
        <v>4</v>
      </c>
      <c r="BU580" s="712">
        <f>(WWWW[[#This Row],['#_Constructed/Existing tube wells/boreholes/handpumps_WASH_agency]]+WWWW[[#This Row],['#_Non-Cluster partner water tube-wells/boreholes/handpumps]])-WWWW[[#This Row],['#_Non-functional tube wells/boreholes/handpumps]]</f>
        <v>7</v>
      </c>
      <c r="BV580" s="712">
        <f>WWWW[[#This Row],['#_Constructed/Existingwater storage tank with gravity fed reticulation system]]-WWWW[[#This Row],['#_Non-functional storage tank gravity fed reticulation system]]</f>
        <v>0</v>
      </c>
      <c r="BW580" s="712">
        <f>WWWW[[#This Row],['#_Water boating or water trucking]]</f>
        <v>0</v>
      </c>
      <c r="BX580" s="712">
        <f>WWWW[[#This Row],['#_Constructed/Existing water distribution system from river or natural spring]]</f>
        <v>0</v>
      </c>
      <c r="BY58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8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80" s="710">
        <f>IF(WWWW[[#This Row],[Location Type 1]]="Village",WWWW[[#This Row],[Access to safe drinking water for Village]],WWWW[[#This Row],[Access to safe drinking water for Camp]])</f>
        <v>1</v>
      </c>
      <c r="CB580" s="708">
        <f>WWWW[[#This Row],[%Equitable and continuous access to sufficient quantity of safe drinking water]]*WWWW[[#This Row],[Total PoP ]]</f>
        <v>2065</v>
      </c>
      <c r="CC580" s="710">
        <f>IF((WWWW[[#This Row],['#_Constructed/Existing protected/fenced ponds]]*250)/WWWW[[#This Row],[Total PoP ]]&gt;1,1,(WWWW[[#This Row],['#_Constructed/Existing protected/fenced ponds]]*250)/WWWW[[#This Row],[Total PoP ]])</f>
        <v>0</v>
      </c>
      <c r="CD580" s="708">
        <f>WWWW[[#This Row],[% Access to unimproved water points]]*WWWW[[#This Row],[Total PoP ]]</f>
        <v>0</v>
      </c>
      <c r="CE58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2065</v>
      </c>
      <c r="CG580" s="708">
        <f>WWWW[[#This Row],[HRP1]]/500</f>
        <v>4.13</v>
      </c>
      <c r="CH580" s="714">
        <f>1-WWWW[[#This Row],[% Equitable and continuous access to sufficient quantity of domestic water]]</f>
        <v>0</v>
      </c>
      <c r="CI580" s="708">
        <f>WWWW[[#This Row],[%equitable and continuous access to sufficient quantity of safe drinking and domestic water''s GAP]]*WWWW[[#This Row],[Total PoP ]]</f>
        <v>0</v>
      </c>
      <c r="CJ580" s="712">
        <f>IF(WWWW[[#This Row],[Total required water points]]-WWWW[[#This Row],['#Water points coverage]]&lt;0,0,WWWW[[#This Row],[Total required water points]]-WWWW[[#This Row],['#Water points coverage]])</f>
        <v>0</v>
      </c>
      <c r="CK580" s="712">
        <f>ROUND(IF(WWWW[[#This Row],[Total PoP ]]&lt;500,1,WWWW[[#This Row],[Total PoP ]]/500),0)</f>
        <v>4</v>
      </c>
      <c r="CL580" s="712">
        <f>(WWWW[[#This Row],['#_Constructed latrines_by_WASHAgencies]]+WWWW[[#This Row],['#_Non Cluster partner latrines]])-WWWW[[#This Row],['#_Non-functional latrines]]</f>
        <v>41</v>
      </c>
      <c r="CM58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0.39709443099273606</v>
      </c>
      <c r="CN58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820</v>
      </c>
      <c r="CO58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0" s="712">
        <f>IF(WWWW[[#This Row],[Location Type 1]]="Village","NA",IF(WWWW[[#This Row],['#_Constructed/Existing latrines in TLS]]*50&gt;WWWW[[#This Row],['#_students at TLS_CFS]],WWWW[[#This Row],['#_students at TLS_CFS]],(WWWW[[#This Row],['#_Constructed/Existing latrines in TLS]]*50)))</f>
        <v>0</v>
      </c>
      <c r="CQ580" s="712">
        <f>ROUND(IF(WWWW[[#This Row],[Location Type 1]]="camp",WWWW[[#This Row],[Total PoP ]]/20,IF(WWWW[[#This Row],[Location Type 1]]="Temporary Location",WWWW[[#This Row],[Total PoP ]]/50,(WWWW[[#This Row],[Total PoP ]]/6))),0)</f>
        <v>103</v>
      </c>
      <c r="CR580" s="712">
        <f>IF(WWWW[[#This Row],[Total required Latrines]]-(WWWW[[#This Row],['#_Constructed latrines_by_WASHAgencies]]+WWWW[[#This Row],['#_Non Cluster partner latrines]])&lt;0,0,WWWW[[#This Row],[Total required Latrines]]-(WWWW[[#This Row],['#_Constructed latrines_by_WASHAgencies]]+WWWW[[#This Row],['#_Non Cluster partner latrines]]))</f>
        <v>62</v>
      </c>
      <c r="CS580" s="714">
        <f>1-WWWW[[#This Row],[% people access to functioning Latrine]]</f>
        <v>0.602905569007264</v>
      </c>
      <c r="CT580" s="713">
        <f>IF(OR(WWWW[[#This Row],['#_Non-functional latrines]]="",WWWW[[#This Row],['#_Non-functional latrines]]=0),0,WWWW[[#This Row],['#_Non-functional latrines]]/(WWWW[[#This Row],['#_Constructed latrines_by_WASHAgencies]]+WWWW[[#This Row],['#_Non Cluster partner latrines]]))</f>
        <v>0</v>
      </c>
      <c r="CU580" s="708">
        <f>IF(500*(WWWW[[#This Row],['#_male hygiene promoters]]+WWWW[[#This Row],['#_female hygiene promoters]])&gt;WWWW[[#This Row],[Total PoP ]],WWWW[[#This Row],[Total PoP ]],500*(WWWW[[#This Row],['#_male hygiene promoters]]+WWWW[[#This Row],['#_female hygiene promoters]]))</f>
        <v>0</v>
      </c>
      <c r="CV58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0" s="712">
        <f>IF(WWWW[[#This Row],['# People with access to soap]]&gt;WWWW[[#This Row],['# People with access to Sanity Pads]],WWWW[[#This Row],['# People with access to soap]],WWWW[[#This Row],['# People with access to Sanity Pads]])</f>
        <v>0</v>
      </c>
      <c r="CY58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80" s="714">
        <f>IF(WWWW[[#This Row],[HRP3]]/WWWW[[#This Row],[Total PoP ]]&gt;100%,100%,WWWW[[#This Row],[HRP3]]/WWWW[[#This Row],[Total PoP ]])</f>
        <v>0</v>
      </c>
      <c r="DA580" s="713">
        <f>1-WWWW[[#This Row],[Hygiene Coverage%]]</f>
        <v>1</v>
      </c>
      <c r="DB580" s="710">
        <f>WWWW[[#This Row],['# people reached by regular dedicated hygiene promotion_5]]/WWWW[[#This Row],[Total PoP ]]</f>
        <v>0</v>
      </c>
      <c r="DC580" s="710">
        <f>IF(WWWW[[#This Row],['#_households that received standard amount of soap for this quarter]]/WWWW[[#This Row],[Total HH]]&gt;1,1,WWWW[[#This Row],['#_households that received standard amount of soap for this quarter]]/WWWW[[#This Row],[Total HH]])</f>
        <v>0</v>
      </c>
      <c r="DD580" s="710">
        <f>IF(WWWW[[#This Row],['#_households that received standard amount of sanitary pads for this quarter]]/WWWW[[#This Row],[Total HH]]&gt;1,1,WWWW[[#This Row],['#_households that received standard amount of sanitary pads for this quarter]]/WWWW[[#This Row],[Total HH]])</f>
        <v>0</v>
      </c>
      <c r="DE580" s="712">
        <f>WWWW[[#This Row],['#_Constructed/Existing hand washing stations]]-WWWW[[#This Row],['#_Non-Functional_hand_washing_stations]]</f>
        <v>5</v>
      </c>
      <c r="DF580" s="757">
        <f>IF(WWWW[[#This Row],['# Functional hand washing stations during reporting period]]*20&gt;WWWW[[#This Row],[Total HH]],WWWW[[#This Row],[Total HH]],WWWW[[#This Row],['# Functional hand washing stations during reporting period]]*20)</f>
        <v>100</v>
      </c>
      <c r="DG580" s="708">
        <f>IF(WWWW[[#This Row],[Is sufficient soap available for TLS? (Yes/No)]]="yes",WWWW[[#This Row],['#_Constructed/Existing hand washing stations at TLS]],0)</f>
        <v>0</v>
      </c>
      <c r="DH580" s="759">
        <f>IF(WWWW[[#This Row],['# Functional hand washing stations during reporting period]]*100&gt;WWWW[[#This Row],[Total PoP ]],WWWW[[#This Row],[Total PoP ]],WWWW[[#This Row],['# Functional hand washing stations during reporting period]]*100)</f>
        <v>500</v>
      </c>
      <c r="DI580" s="759" t="str">
        <f>IF(OR(WWWW[[#This Row],['#_students at TLS_CFS]]="",WWWW[[#This Row],['#_students at TLS_CFS]]=0),"No","Yes")</f>
        <v>Yes</v>
      </c>
      <c r="DJ580" s="711" t="str">
        <f>VLOOKUP(WWWW[[#This Row],[Site Name]],SiteDB6[[Site Name]:[CCCM Management]],6,FALSE)</f>
        <v>Yes</v>
      </c>
      <c r="DK580" s="711" t="str">
        <f>VLOOKUP(WWWW[[#This Row],[Site Name]],SiteDB6[[Site Name]:[CCCM Focal Agency]],7,FALSE)</f>
        <v>Shalom</v>
      </c>
      <c r="DL580" s="711" t="str">
        <f>VLOOKUP(WWWW[[#This Row],[Site Name]],SiteDB6[[Site Name]:[Location Type 1]],9,FALSE)</f>
        <v>Camp</v>
      </c>
      <c r="DM580" s="711" t="str">
        <f>VLOOKUP(WWWW[[#This Row],[Site Name]],SiteDB6[[Site Name]:[Type of Accommodation]],10,FALSE)</f>
        <v>Camp</v>
      </c>
      <c r="DN580" s="711" t="str">
        <f>VLOOKUP(WWWW[[#This Row],[Site Name]],SiteDB6[[Site Name]:[Ethnic or GCA/NGCA]],11,FALSE)</f>
        <v>GCA</v>
      </c>
      <c r="DO580" s="711">
        <f>VLOOKUP(WWWW[[#This Row],[Site Name]],SiteDB6[[Site Name]:[Lat]],12,FALSE)</f>
        <v>25.424529444444399</v>
      </c>
      <c r="DP580" s="711">
        <f>VLOOKUP(WWWW[[#This Row],[Site Name]],SiteDB6[[Site Name]:[Long]],13,FALSE)</f>
        <v>97.433419259259296</v>
      </c>
      <c r="DQ580" s="711" t="str">
        <f>VLOOKUP(WWWW[[#This Row],[Site Name]],SiteDB6[[Site Name]:[Pcode]],3,FALSE)</f>
        <v>MMR001CMP031</v>
      </c>
      <c r="DR580" s="709" t="str">
        <f t="shared" ref="DR580:DR610" si="22">IF(C580="none","Notcovered","Covered")</f>
        <v>Covered</v>
      </c>
      <c r="DS580" s="709"/>
    </row>
    <row r="581" spans="1:123">
      <c r="A581" s="701" t="s">
        <v>2519</v>
      </c>
      <c r="B581" s="701" t="s">
        <v>149</v>
      </c>
      <c r="C581" s="702" t="s">
        <v>149</v>
      </c>
      <c r="D581" s="702" t="s">
        <v>3264</v>
      </c>
      <c r="E581" s="702" t="s">
        <v>39</v>
      </c>
      <c r="F581" s="702" t="s">
        <v>154</v>
      </c>
      <c r="G581" s="711" t="str">
        <f>VLOOKUP(WWWW[[#This Row],[Site Name]],SiteDB6[[Site Name]:[Location Type]],8,FALSE)</f>
        <v>Camp</v>
      </c>
      <c r="H581" s="702" t="s">
        <v>155</v>
      </c>
      <c r="I581" s="705">
        <v>169</v>
      </c>
      <c r="J581" s="705">
        <v>837</v>
      </c>
      <c r="K581" s="706" t="s">
        <v>3265</v>
      </c>
      <c r="L581" s="707" t="s">
        <v>3266</v>
      </c>
      <c r="M581" s="806">
        <v>238</v>
      </c>
      <c r="N581" s="705"/>
      <c r="O581" s="705"/>
      <c r="P581" s="705"/>
      <c r="Q581" s="708" t="s">
        <v>43</v>
      </c>
      <c r="R581" s="705"/>
      <c r="S581" s="705"/>
      <c r="T581" s="807">
        <v>0</v>
      </c>
      <c r="U581" s="705"/>
      <c r="V581" s="705"/>
      <c r="W581" s="705">
        <v>0</v>
      </c>
      <c r="X581" s="705"/>
      <c r="Y581" s="705"/>
      <c r="Z581" s="705"/>
      <c r="AA581" s="705">
        <v>1</v>
      </c>
      <c r="AB581" s="705"/>
      <c r="AC581" s="705"/>
      <c r="AD581" s="705"/>
      <c r="AE581" s="705"/>
      <c r="AF581" s="705"/>
      <c r="AG581" s="705"/>
      <c r="AH581" s="705">
        <v>0</v>
      </c>
      <c r="AI581" s="705"/>
      <c r="AJ581" s="705"/>
      <c r="AK581" s="705"/>
      <c r="AL581" s="705"/>
      <c r="AM581" s="705"/>
      <c r="AN581" s="705"/>
      <c r="AO581" s="709"/>
      <c r="AP581" s="705">
        <v>32</v>
      </c>
      <c r="AQ581" s="705"/>
      <c r="AR581" s="710"/>
      <c r="AS581" s="705"/>
      <c r="AT581" s="705"/>
      <c r="AU581" s="705"/>
      <c r="AV581" s="705"/>
      <c r="AW581" s="705">
        <v>32</v>
      </c>
      <c r="AX581" s="711" t="s">
        <v>43</v>
      </c>
      <c r="AY581" s="709" t="s">
        <v>145</v>
      </c>
      <c r="AZ581" s="705"/>
      <c r="BA581" s="705"/>
      <c r="BB581" s="705">
        <v>5</v>
      </c>
      <c r="BC581" s="711"/>
      <c r="BD581" s="705"/>
      <c r="BE581" s="705"/>
      <c r="BF581" s="705"/>
      <c r="BG581" s="705">
        <v>4</v>
      </c>
      <c r="BH581" s="705"/>
      <c r="BI581" s="705"/>
      <c r="BJ581" s="705">
        <v>3</v>
      </c>
      <c r="BK581" s="705"/>
      <c r="BL581" s="705"/>
      <c r="BM581" s="711"/>
      <c r="BN581" s="712"/>
      <c r="BO581" s="710"/>
      <c r="BP581" s="711"/>
      <c r="BQ581" s="713" t="str">
        <f>IFERROR(WWWW[[#This Row],['#_Water sources treated]]/WWWW[[#This Row],['#_Water sources tested for contamination]],"no test")</f>
        <v>no test</v>
      </c>
      <c r="BR581" s="710" t="str">
        <f>IFERROR(WWWW[[#This Row],['#_Household received remediation action due to contamination]]/WWWW[[#This Row],['#_Household water samples tested for contamination]],"no test")</f>
        <v>no test</v>
      </c>
      <c r="BS581" s="712" t="str">
        <f>IF(AND(WWWW[[#This Row],[% of water sources treated]]="no test",WWWW[[#This Row],[% Household received corrective actions]]="no test"),"No Test","Tested")</f>
        <v>No Test</v>
      </c>
      <c r="BT581" s="712">
        <f>WWWW[[#This Row],['#_Constructed/existing protected hand dug well]]-WWWW[[#This Row],['#_Non-functional protected hand dug well]]</f>
        <v>0</v>
      </c>
      <c r="BU581" s="712">
        <f>(WWWW[[#This Row],['#_Constructed/Existing tube wells/boreholes/handpumps_WASH_agency]]+WWWW[[#This Row],['#_Non-Cluster partner water tube-wells/boreholes/handpumps]])-WWWW[[#This Row],['#_Non-functional tube wells/boreholes/handpumps]]</f>
        <v>0</v>
      </c>
      <c r="BV581" s="712">
        <f>WWWW[[#This Row],['#_Constructed/Existingwater storage tank with gravity fed reticulation system]]-WWWW[[#This Row],['#_Non-functional storage tank gravity fed reticulation system]]</f>
        <v>1</v>
      </c>
      <c r="BW581" s="712">
        <f>WWWW[[#This Row],['#_Water boating or water trucking]]</f>
        <v>0</v>
      </c>
      <c r="BX581" s="712">
        <f>WWWW[[#This Row],['#_Constructed/Existing water distribution system from river or natural spring]]</f>
        <v>0</v>
      </c>
      <c r="BY58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7.9649542015133412E-2</v>
      </c>
      <c r="BZ58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7.9649542015133412E-2</v>
      </c>
      <c r="CA581" s="710">
        <f>IF(WWWW[[#This Row],[Location Type 1]]="Village",WWWW[[#This Row],[Access to safe drinking water for Village]],WWWW[[#This Row],[Access to safe drinking water for Camp]])</f>
        <v>7.9649542015133412E-2</v>
      </c>
      <c r="CB581" s="708">
        <f>WWWW[[#This Row],[%Equitable and continuous access to sufficient quantity of safe drinking water]]*WWWW[[#This Row],[Total PoP ]]</f>
        <v>66.666666666666671</v>
      </c>
      <c r="CC581" s="710">
        <f>IF((WWWW[[#This Row],['#_Constructed/Existing protected/fenced ponds]]*250)/WWWW[[#This Row],[Total PoP ]]&gt;1,1,(WWWW[[#This Row],['#_Constructed/Existing protected/fenced ponds]]*250)/WWWW[[#This Row],[Total PoP ]])</f>
        <v>0</v>
      </c>
      <c r="CD581" s="708">
        <f>WWWW[[#This Row],[% Access to unimproved water points]]*WWWW[[#This Row],[Total PoP ]]</f>
        <v>0</v>
      </c>
      <c r="CE58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7.9649542015133412E-2</v>
      </c>
      <c r="CF58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81" s="708">
        <f>WWWW[[#This Row],[HRP1]]/500</f>
        <v>0.13333333333333333</v>
      </c>
      <c r="CH581" s="714">
        <f>1-WWWW[[#This Row],[% Equitable and continuous access to sufficient quantity of domestic water]]</f>
        <v>0.92035045798486659</v>
      </c>
      <c r="CI581" s="708">
        <f>WWWW[[#This Row],[%equitable and continuous access to sufficient quantity of safe drinking and domestic water''s GAP]]*WWWW[[#This Row],[Total PoP ]]</f>
        <v>770.33333333333337</v>
      </c>
      <c r="CJ581" s="712">
        <f>IF(WWWW[[#This Row],[Total required water points]]-WWWW[[#This Row],['#Water points coverage]]&lt;0,0,WWWW[[#This Row],[Total required water points]]-WWWW[[#This Row],['#Water points coverage]])</f>
        <v>1.8666666666666667</v>
      </c>
      <c r="CK581" s="712">
        <f>ROUND(IF(WWWW[[#This Row],[Total PoP ]]&lt;500,1,WWWW[[#This Row],[Total PoP ]]/500),0)</f>
        <v>2</v>
      </c>
      <c r="CL581" s="712">
        <f>(WWWW[[#This Row],['#_Constructed latrines_by_WASHAgencies]]+WWWW[[#This Row],['#_Non Cluster partner latrines]])-WWWW[[#This Row],['#_Non-functional latrines]]</f>
        <v>32</v>
      </c>
      <c r="CM58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0.7646356033452808</v>
      </c>
      <c r="CN58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640</v>
      </c>
      <c r="CO58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1" s="712">
        <f>IF(WWWW[[#This Row],[Location Type 1]]="Village","NA",IF(WWWW[[#This Row],['#_Constructed/Existing latrines in TLS]]*50&gt;WWWW[[#This Row],['#_students at TLS_CFS]],WWWW[[#This Row],['#_students at TLS_CFS]],(WWWW[[#This Row],['#_Constructed/Existing latrines in TLS]]*50)))</f>
        <v>238</v>
      </c>
      <c r="CQ581" s="712">
        <f>ROUND(IF(WWWW[[#This Row],[Location Type 1]]="camp",WWWW[[#This Row],[Total PoP ]]/20,IF(WWWW[[#This Row],[Location Type 1]]="Temporary Location",WWWW[[#This Row],[Total PoP ]]/50,(WWWW[[#This Row],[Total PoP ]]/6))),0)</f>
        <v>42</v>
      </c>
      <c r="CR581" s="712">
        <f>IF(WWWW[[#This Row],[Total required Latrines]]-(WWWW[[#This Row],['#_Constructed latrines_by_WASHAgencies]]+WWWW[[#This Row],['#_Non Cluster partner latrines]])&lt;0,0,WWWW[[#This Row],[Total required Latrines]]-(WWWW[[#This Row],['#_Constructed latrines_by_WASHAgencies]]+WWWW[[#This Row],['#_Non Cluster partner latrines]]))</f>
        <v>10</v>
      </c>
      <c r="CS581" s="714">
        <f>1-WWWW[[#This Row],[% people access to functioning Latrine]]</f>
        <v>0.2353643966547192</v>
      </c>
      <c r="CT581" s="713">
        <f>IF(OR(WWWW[[#This Row],['#_Non-functional latrines]]="",WWWW[[#This Row],['#_Non-functional latrines]]=0),0,WWWW[[#This Row],['#_Non-functional latrines]]/(WWWW[[#This Row],['#_Constructed latrines_by_WASHAgencies]]+WWWW[[#This Row],['#_Non Cluster partner latrines]]))</f>
        <v>0</v>
      </c>
      <c r="CU581" s="708">
        <f>IF(500*(WWWW[[#This Row],['#_male hygiene promoters]]+WWWW[[#This Row],['#_female hygiene promoters]])&gt;WWWW[[#This Row],[Total PoP ]],WWWW[[#This Row],[Total PoP ]],500*(WWWW[[#This Row],['#_male hygiene promoters]]+WWWW[[#This Row],['#_female hygiene promoters]]))</f>
        <v>837</v>
      </c>
      <c r="CV58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1" s="712">
        <f>IF(WWWW[[#This Row],['# People with access to soap]]&gt;WWWW[[#This Row],['# People with access to Sanity Pads]],WWWW[[#This Row],['# People with access to soap]],WWWW[[#This Row],['# People with access to Sanity Pads]])</f>
        <v>0</v>
      </c>
      <c r="CY581" s="712">
        <f>IF(WWWW[[#This Row],['# people reached by regular dedicated hygiene promotion_5]]&gt;WWWW[[#This Row],['# People received regular supply of hygiene items_6]],WWWW[[#This Row],['# people reached by regular dedicated hygiene promotion_5]],WWWW[[#This Row],['# People received regular supply of hygiene items_6]])</f>
        <v>837</v>
      </c>
      <c r="CZ581" s="714">
        <f>IF(WWWW[[#This Row],[HRP3]]/WWWW[[#This Row],[Total PoP ]]&gt;100%,100%,WWWW[[#This Row],[HRP3]]/WWWW[[#This Row],[Total PoP ]])</f>
        <v>1</v>
      </c>
      <c r="DA581" s="713">
        <f>1-WWWW[[#This Row],[Hygiene Coverage%]]</f>
        <v>0</v>
      </c>
      <c r="DB581" s="710">
        <f>WWWW[[#This Row],['# people reached by regular dedicated hygiene promotion_5]]/WWWW[[#This Row],[Total PoP ]]</f>
        <v>1</v>
      </c>
      <c r="DC581" s="710">
        <f>IF(WWWW[[#This Row],['#_households that received standard amount of soap for this quarter]]/WWWW[[#This Row],[Total HH]]&gt;1,1,WWWW[[#This Row],['#_households that received standard amount of soap for this quarter]]/WWWW[[#This Row],[Total HH]])</f>
        <v>0</v>
      </c>
      <c r="DD581" s="710">
        <f>IF(WWWW[[#This Row],['#_households that received standard amount of sanitary pads for this quarter]]/WWWW[[#This Row],[Total HH]]&gt;1,1,WWWW[[#This Row],['#_households that received standard amount of sanitary pads for this quarter]]/WWWW[[#This Row],[Total HH]])</f>
        <v>0</v>
      </c>
      <c r="DE581" s="712">
        <f>WWWW[[#This Row],['#_Constructed/Existing hand washing stations]]-WWWW[[#This Row],['#_Non-Functional_hand_washing_stations]]</f>
        <v>0</v>
      </c>
      <c r="DF581" s="757">
        <f>IF(WWWW[[#This Row],['# Functional hand washing stations during reporting period]]*20&gt;WWWW[[#This Row],[Total HH]],WWWW[[#This Row],[Total HH]],WWWW[[#This Row],['# Functional hand washing stations during reporting period]]*20)</f>
        <v>0</v>
      </c>
      <c r="DG581" s="708">
        <f>IF(WWWW[[#This Row],[Is sufficient soap available for TLS? (Yes/No)]]="yes",WWWW[[#This Row],['#_Constructed/Existing hand washing stations at TLS]],0)</f>
        <v>0</v>
      </c>
      <c r="DH581" s="759">
        <f>IF(WWWW[[#This Row],['# Functional hand washing stations during reporting period]]*100&gt;WWWW[[#This Row],[Total PoP ]],WWWW[[#This Row],[Total PoP ]],WWWW[[#This Row],['# Functional hand washing stations during reporting period]]*100)</f>
        <v>0</v>
      </c>
      <c r="DI581" s="759" t="str">
        <f>IF(OR(WWWW[[#This Row],['#_students at TLS_CFS]]="",WWWW[[#This Row],['#_students at TLS_CFS]]=0),"No","Yes")</f>
        <v>Yes</v>
      </c>
      <c r="DJ581" s="711" t="str">
        <f>VLOOKUP(WWWW[[#This Row],[Site Name]],SiteDB6[[Site Name]:[CCCM Management]],6,FALSE)</f>
        <v>Yes</v>
      </c>
      <c r="DK581" s="711" t="str">
        <f>VLOOKUP(WWWW[[#This Row],[Site Name]],SiteDB6[[Site Name]:[CCCM Focal Agency]],7,FALSE)</f>
        <v>KBC</v>
      </c>
      <c r="DL581" s="711" t="str">
        <f>VLOOKUP(WWWW[[#This Row],[Site Name]],SiteDB6[[Site Name]:[Location Type 1]],9,FALSE)</f>
        <v>Camp</v>
      </c>
      <c r="DM581" s="711" t="str">
        <f>VLOOKUP(WWWW[[#This Row],[Site Name]],SiteDB6[[Site Name]:[Type of Accommodation]],10,FALSE)</f>
        <v>Camp</v>
      </c>
      <c r="DN581" s="711" t="str">
        <f>VLOOKUP(WWWW[[#This Row],[Site Name]],SiteDB6[[Site Name]:[Ethnic or GCA/NGCA]],11,FALSE)</f>
        <v>NGCA</v>
      </c>
      <c r="DO581" s="711">
        <f>VLOOKUP(WWWW[[#This Row],[Site Name]],SiteDB6[[Site Name]:[Lat]],12,FALSE)</f>
        <v>25.754110000000001</v>
      </c>
      <c r="DP581" s="711">
        <f>VLOOKUP(WWWW[[#This Row],[Site Name]],SiteDB6[[Site Name]:[Long]],13,FALSE)</f>
        <v>98.475719999999995</v>
      </c>
      <c r="DQ581" s="711" t="str">
        <f>VLOOKUP(WWWW[[#This Row],[Site Name]],SiteDB6[[Site Name]:[Pcode]],3,FALSE)</f>
        <v>MMR001CMP043</v>
      </c>
      <c r="DR581" s="709" t="str">
        <f t="shared" si="22"/>
        <v>Covered</v>
      </c>
      <c r="DS581" s="709"/>
    </row>
    <row r="582" spans="1:123">
      <c r="A582" s="701" t="s">
        <v>2519</v>
      </c>
      <c r="B582" s="701" t="s">
        <v>38</v>
      </c>
      <c r="C582" s="702" t="s">
        <v>38</v>
      </c>
      <c r="D582" s="702" t="s">
        <v>328</v>
      </c>
      <c r="E582" s="702" t="s">
        <v>39</v>
      </c>
      <c r="F582" s="702" t="s">
        <v>156</v>
      </c>
      <c r="G582" s="711" t="str">
        <f>VLOOKUP(WWWW[[#This Row],[Site Name]],SiteDB6[[Site Name]:[Location Type]],8,FALSE)</f>
        <v>Camp</v>
      </c>
      <c r="H582" s="702" t="s">
        <v>2032</v>
      </c>
      <c r="I582" s="705">
        <v>16</v>
      </c>
      <c r="J582" s="705">
        <v>63</v>
      </c>
      <c r="K582" s="706">
        <v>43374</v>
      </c>
      <c r="L582" s="707">
        <v>43830</v>
      </c>
      <c r="M582" s="705"/>
      <c r="N582" s="705"/>
      <c r="O582" s="705"/>
      <c r="P582" s="705"/>
      <c r="Q582" s="708"/>
      <c r="R582" s="705"/>
      <c r="S582" s="705"/>
      <c r="T582" s="807"/>
      <c r="U582" s="705"/>
      <c r="V582" s="705"/>
      <c r="W582" s="705">
        <v>1</v>
      </c>
      <c r="X582" s="705">
        <v>1</v>
      </c>
      <c r="Y582" s="705"/>
      <c r="Z582" s="705"/>
      <c r="AA582" s="705"/>
      <c r="AB582" s="705"/>
      <c r="AC582" s="705"/>
      <c r="AD582" s="705"/>
      <c r="AE582" s="705"/>
      <c r="AF582" s="705"/>
      <c r="AG582" s="705"/>
      <c r="AH582" s="705"/>
      <c r="AI582" s="705"/>
      <c r="AJ582" s="705"/>
      <c r="AK582" s="705"/>
      <c r="AL582" s="705"/>
      <c r="AM582" s="705"/>
      <c r="AN582" s="705"/>
      <c r="AO582" s="709"/>
      <c r="AP582" s="705">
        <v>4</v>
      </c>
      <c r="AQ582" s="705"/>
      <c r="AR582" s="710"/>
      <c r="AS582" s="705"/>
      <c r="AT582" s="705">
        <v>2</v>
      </c>
      <c r="AU582" s="705"/>
      <c r="AV582" s="705"/>
      <c r="AW582" s="705"/>
      <c r="AX582" s="711" t="s">
        <v>144</v>
      </c>
      <c r="AY582" s="709" t="s">
        <v>144</v>
      </c>
      <c r="AZ582" s="705"/>
      <c r="BA582" s="705"/>
      <c r="BB582" s="705"/>
      <c r="BC582" s="711"/>
      <c r="BD582" s="705"/>
      <c r="BE582" s="705"/>
      <c r="BF582" s="705"/>
      <c r="BG582" s="705">
        <v>2</v>
      </c>
      <c r="BH582" s="705"/>
      <c r="BI582" s="705"/>
      <c r="BJ582" s="705">
        <v>1</v>
      </c>
      <c r="BK582" s="705"/>
      <c r="BL582" s="705"/>
      <c r="BM582" s="711"/>
      <c r="BN582" s="712"/>
      <c r="BO582" s="710"/>
      <c r="BP582" s="711"/>
      <c r="BQ582" s="713" t="str">
        <f>IFERROR(WWWW[[#This Row],['#_Water sources treated]]/WWWW[[#This Row],['#_Water sources tested for contamination]],"no test")</f>
        <v>no test</v>
      </c>
      <c r="BR582" s="710" t="str">
        <f>IFERROR(WWWW[[#This Row],['#_Household received remediation action due to contamination]]/WWWW[[#This Row],['#_Household water samples tested for contamination]],"no test")</f>
        <v>no test</v>
      </c>
      <c r="BS582" s="712" t="str">
        <f>IF(AND(WWWW[[#This Row],[% of water sources treated]]="no test",WWWW[[#This Row],[% Household received corrective actions]]="no test"),"No Test","Tested")</f>
        <v>No Test</v>
      </c>
      <c r="BT582" s="712">
        <f>WWWW[[#This Row],['#_Constructed/existing protected hand dug well]]-WWWW[[#This Row],['#_Non-functional protected hand dug well]]</f>
        <v>0</v>
      </c>
      <c r="BU582" s="712">
        <f>(WWWW[[#This Row],['#_Constructed/Existing tube wells/boreholes/handpumps_WASH_agency]]+WWWW[[#This Row],['#_Non-Cluster partner water tube-wells/boreholes/handpumps]])-WWWW[[#This Row],['#_Non-functional tube wells/boreholes/handpumps]]</f>
        <v>2</v>
      </c>
      <c r="BV582" s="712">
        <f>WWWW[[#This Row],['#_Constructed/Existingwater storage tank with gravity fed reticulation system]]-WWWW[[#This Row],['#_Non-functional storage tank gravity fed reticulation system]]</f>
        <v>0</v>
      </c>
      <c r="BW582" s="712">
        <f>WWWW[[#This Row],['#_Water boating or water trucking]]</f>
        <v>0</v>
      </c>
      <c r="BX582" s="712">
        <f>WWWW[[#This Row],['#_Constructed/Existing water distribution system from river or natural spring]]</f>
        <v>0</v>
      </c>
      <c r="BY58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8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82" s="710">
        <f>IF(WWWW[[#This Row],[Location Type 1]]="Village",WWWW[[#This Row],[Access to safe drinking water for Village]],WWWW[[#This Row],[Access to safe drinking water for Camp]])</f>
        <v>1</v>
      </c>
      <c r="CB582" s="708">
        <f>WWWW[[#This Row],[%Equitable and continuous access to sufficient quantity of safe drinking water]]*WWWW[[#This Row],[Total PoP ]]</f>
        <v>63</v>
      </c>
      <c r="CC582" s="710">
        <f>IF((WWWW[[#This Row],['#_Constructed/Existing protected/fenced ponds]]*250)/WWWW[[#This Row],[Total PoP ]]&gt;1,1,(WWWW[[#This Row],['#_Constructed/Existing protected/fenced ponds]]*250)/WWWW[[#This Row],[Total PoP ]])</f>
        <v>0</v>
      </c>
      <c r="CD582" s="708">
        <f>WWWW[[#This Row],[% Access to unimproved water points]]*WWWW[[#This Row],[Total PoP ]]</f>
        <v>0</v>
      </c>
      <c r="CE58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v>
      </c>
      <c r="CG582" s="708">
        <f>WWWW[[#This Row],[HRP1]]/500</f>
        <v>0.126</v>
      </c>
      <c r="CH582" s="714">
        <f>1-WWWW[[#This Row],[% Equitable and continuous access to sufficient quantity of domestic water]]</f>
        <v>0</v>
      </c>
      <c r="CI582" s="708">
        <f>WWWW[[#This Row],[%equitable and continuous access to sufficient quantity of safe drinking and domestic water''s GAP]]*WWWW[[#This Row],[Total PoP ]]</f>
        <v>0</v>
      </c>
      <c r="CJ582" s="712">
        <f>IF(WWWW[[#This Row],[Total required water points]]-WWWW[[#This Row],['#Water points coverage]]&lt;0,0,WWWW[[#This Row],[Total required water points]]-WWWW[[#This Row],['#Water points coverage]])</f>
        <v>0.874</v>
      </c>
      <c r="CK582" s="712">
        <f>ROUND(IF(WWWW[[#This Row],[Total PoP ]]&lt;500,1,WWWW[[#This Row],[Total PoP ]]/500),0)</f>
        <v>1</v>
      </c>
      <c r="CL582" s="712">
        <f>(WWWW[[#This Row],['#_Constructed latrines_by_WASHAgencies]]+WWWW[[#This Row],['#_Non Cluster partner latrines]])-WWWW[[#This Row],['#_Non-functional latrines]]</f>
        <v>4</v>
      </c>
      <c r="CM58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8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63</v>
      </c>
      <c r="CO58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2" s="712">
        <f>IF(WWWW[[#This Row],[Location Type 1]]="Village","NA",IF(WWWW[[#This Row],['#_Constructed/Existing latrines in TLS]]*50&gt;WWWW[[#This Row],['#_students at TLS_CFS]],WWWW[[#This Row],['#_students at TLS_CFS]],(WWWW[[#This Row],['#_Constructed/Existing latrines in TLS]]*50)))</f>
        <v>0</v>
      </c>
      <c r="CQ582" s="712">
        <f>ROUND(IF(WWWW[[#This Row],[Location Type 1]]="camp",WWWW[[#This Row],[Total PoP ]]/20,IF(WWWW[[#This Row],[Location Type 1]]="Temporary Location",WWWW[[#This Row],[Total PoP ]]/50,(WWWW[[#This Row],[Total PoP ]]/6))),0)</f>
        <v>3</v>
      </c>
      <c r="CR582" s="712">
        <f>IF(WWWW[[#This Row],[Total required Latrines]]-(WWWW[[#This Row],['#_Constructed latrines_by_WASHAgencies]]+WWWW[[#This Row],['#_Non Cluster partner latrines]])&lt;0,0,WWWW[[#This Row],[Total required Latrines]]-(WWWW[[#This Row],['#_Constructed latrines_by_WASHAgencies]]+WWWW[[#This Row],['#_Non Cluster partner latrines]]))</f>
        <v>0</v>
      </c>
      <c r="CS582" s="714">
        <f>1-WWWW[[#This Row],[% people access to functioning Latrine]]</f>
        <v>0</v>
      </c>
      <c r="CT582" s="713">
        <f>IF(OR(WWWW[[#This Row],['#_Non-functional latrines]]="",WWWW[[#This Row],['#_Non-functional latrines]]=0),0,WWWW[[#This Row],['#_Non-functional latrines]]/(WWWW[[#This Row],['#_Constructed latrines_by_WASHAgencies]]+WWWW[[#This Row],['#_Non Cluster partner latrines]]))</f>
        <v>0</v>
      </c>
      <c r="CU582" s="708">
        <f>IF(500*(WWWW[[#This Row],['#_male hygiene promoters]]+WWWW[[#This Row],['#_female hygiene promoters]])&gt;WWWW[[#This Row],[Total PoP ]],WWWW[[#This Row],[Total PoP ]],500*(WWWW[[#This Row],['#_male hygiene promoters]]+WWWW[[#This Row],['#_female hygiene promoters]]))</f>
        <v>63</v>
      </c>
      <c r="CV58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2" s="712">
        <f>IF(WWWW[[#This Row],['# People with access to soap]]&gt;WWWW[[#This Row],['# People with access to Sanity Pads]],WWWW[[#This Row],['# People with access to soap]],WWWW[[#This Row],['# People with access to Sanity Pads]])</f>
        <v>0</v>
      </c>
      <c r="CY582" s="712">
        <f>IF(WWWW[[#This Row],['# people reached by regular dedicated hygiene promotion_5]]&gt;WWWW[[#This Row],['# People received regular supply of hygiene items_6]],WWWW[[#This Row],['# people reached by regular dedicated hygiene promotion_5]],WWWW[[#This Row],['# People received regular supply of hygiene items_6]])</f>
        <v>63</v>
      </c>
      <c r="CZ582" s="714">
        <f>IF(WWWW[[#This Row],[HRP3]]/WWWW[[#This Row],[Total PoP ]]&gt;100%,100%,WWWW[[#This Row],[HRP3]]/WWWW[[#This Row],[Total PoP ]])</f>
        <v>1</v>
      </c>
      <c r="DA582" s="713">
        <f>1-WWWW[[#This Row],[Hygiene Coverage%]]</f>
        <v>0</v>
      </c>
      <c r="DB582" s="710">
        <f>WWWW[[#This Row],['# people reached by regular dedicated hygiene promotion_5]]/WWWW[[#This Row],[Total PoP ]]</f>
        <v>1</v>
      </c>
      <c r="DC582" s="710">
        <f>IF(WWWW[[#This Row],['#_households that received standard amount of soap for this quarter]]/WWWW[[#This Row],[Total HH]]&gt;1,1,WWWW[[#This Row],['#_households that received standard amount of soap for this quarter]]/WWWW[[#This Row],[Total HH]])</f>
        <v>0</v>
      </c>
      <c r="DD582" s="710">
        <f>IF(WWWW[[#This Row],['#_households that received standard amount of sanitary pads for this quarter]]/WWWW[[#This Row],[Total HH]]&gt;1,1,WWWW[[#This Row],['#_households that received standard amount of sanitary pads for this quarter]]/WWWW[[#This Row],[Total HH]])</f>
        <v>0</v>
      </c>
      <c r="DE582" s="712">
        <f>WWWW[[#This Row],['#_Constructed/Existing hand washing stations]]-WWWW[[#This Row],['#_Non-Functional_hand_washing_stations]]</f>
        <v>0</v>
      </c>
      <c r="DF582" s="757">
        <f>IF(WWWW[[#This Row],['# Functional hand washing stations during reporting period]]*20&gt;WWWW[[#This Row],[Total HH]],WWWW[[#This Row],[Total HH]],WWWW[[#This Row],['# Functional hand washing stations during reporting period]]*20)</f>
        <v>0</v>
      </c>
      <c r="DG582" s="708">
        <f>IF(WWWW[[#This Row],[Is sufficient soap available for TLS? (Yes/No)]]="yes",WWWW[[#This Row],['#_Constructed/Existing hand washing stations at TLS]],0)</f>
        <v>0</v>
      </c>
      <c r="DH582" s="759">
        <f>IF(WWWW[[#This Row],['# Functional hand washing stations during reporting period]]*100&gt;WWWW[[#This Row],[Total PoP ]],WWWW[[#This Row],[Total PoP ]],WWWW[[#This Row],['# Functional hand washing stations during reporting period]]*100)</f>
        <v>0</v>
      </c>
      <c r="DI582" s="759" t="str">
        <f>IF(OR(WWWW[[#This Row],['#_students at TLS_CFS]]="",WWWW[[#This Row],['#_students at TLS_CFS]]=0),"No","Yes")</f>
        <v>No</v>
      </c>
      <c r="DJ582" s="711">
        <f>VLOOKUP(WWWW[[#This Row],[Site Name]],SiteDB6[[Site Name]:[CCCM Management]],6,FALSE)</f>
        <v>0</v>
      </c>
      <c r="DK582" s="711" t="str">
        <f>VLOOKUP(WWWW[[#This Row],[Site Name]],SiteDB6[[Site Name]:[CCCM Focal Agency]],7,FALSE)</f>
        <v>KMSS-MYT</v>
      </c>
      <c r="DL582" s="711" t="str">
        <f>VLOOKUP(WWWW[[#This Row],[Site Name]],SiteDB6[[Site Name]:[Location Type 1]],9,FALSE)</f>
        <v>Camp</v>
      </c>
      <c r="DM582" s="711" t="str">
        <f>VLOOKUP(WWWW[[#This Row],[Site Name]],SiteDB6[[Site Name]:[Type of Accommodation]],10,FALSE)</f>
        <v>Camp</v>
      </c>
      <c r="DN582" s="711" t="str">
        <f>VLOOKUP(WWWW[[#This Row],[Site Name]],SiteDB6[[Site Name]:[Ethnic or GCA/NGCA]],11,FALSE)</f>
        <v>GCA</v>
      </c>
      <c r="DO582" s="711">
        <f>VLOOKUP(WWWW[[#This Row],[Site Name]],SiteDB6[[Site Name]:[Lat]],12,FALSE)</f>
        <v>0</v>
      </c>
      <c r="DP582" s="711">
        <f>VLOOKUP(WWWW[[#This Row],[Site Name]],SiteDB6[[Site Name]:[Long]],13,FALSE)</f>
        <v>0</v>
      </c>
      <c r="DQ582" s="711" t="str">
        <f>VLOOKUP(WWWW[[#This Row],[Site Name]],SiteDB6[[Site Name]:[Pcode]],3,FALSE)</f>
        <v>MMR001CMP270</v>
      </c>
      <c r="DR582" s="709" t="str">
        <f t="shared" si="22"/>
        <v>Covered</v>
      </c>
      <c r="DS582" s="709"/>
    </row>
    <row r="583" spans="1:123">
      <c r="A583" s="701" t="s">
        <v>2519</v>
      </c>
      <c r="B583" s="701" t="s">
        <v>250</v>
      </c>
      <c r="C583" s="702" t="s">
        <v>250</v>
      </c>
      <c r="D583" s="702" t="s">
        <v>315</v>
      </c>
      <c r="E583" s="702" t="s">
        <v>39</v>
      </c>
      <c r="F583" s="702" t="s">
        <v>167</v>
      </c>
      <c r="G583" s="711" t="str">
        <f>VLOOKUP(WWWW[[#This Row],[Site Name]],SiteDB6[[Site Name]:[Location Type]],8,FALSE)</f>
        <v>Camp</v>
      </c>
      <c r="H583" s="702" t="s">
        <v>271</v>
      </c>
      <c r="I583" s="705">
        <v>22</v>
      </c>
      <c r="J583" s="705">
        <v>92</v>
      </c>
      <c r="K583" s="706">
        <v>43313</v>
      </c>
      <c r="L583" s="707">
        <v>44043</v>
      </c>
      <c r="M583" s="705"/>
      <c r="N583" s="705">
        <v>1</v>
      </c>
      <c r="O583" s="705"/>
      <c r="P583" s="705"/>
      <c r="Q583" s="708" t="s">
        <v>43</v>
      </c>
      <c r="R583" s="705">
        <v>3</v>
      </c>
      <c r="S583" s="705">
        <v>7</v>
      </c>
      <c r="T583" s="807">
        <v>1</v>
      </c>
      <c r="U583" s="705"/>
      <c r="V583" s="705"/>
      <c r="W583" s="705">
        <v>1</v>
      </c>
      <c r="X583" s="705">
        <v>1</v>
      </c>
      <c r="Y583" s="705"/>
      <c r="Z583" s="705"/>
      <c r="AA583" s="705"/>
      <c r="AB583" s="705"/>
      <c r="AC583" s="705"/>
      <c r="AD583" s="705"/>
      <c r="AE583" s="705"/>
      <c r="AF583" s="705"/>
      <c r="AG583" s="705"/>
      <c r="AH583" s="705"/>
      <c r="AI583" s="705"/>
      <c r="AJ583" s="705"/>
      <c r="AK583" s="705"/>
      <c r="AL583" s="705"/>
      <c r="AM583" s="705"/>
      <c r="AN583" s="705"/>
      <c r="AO583" s="709"/>
      <c r="AP583" s="705">
        <v>5</v>
      </c>
      <c r="AQ583" s="705">
        <v>5</v>
      </c>
      <c r="AR583" s="710"/>
      <c r="AS583" s="705"/>
      <c r="AT583" s="705"/>
      <c r="AU583" s="705"/>
      <c r="AV583" s="705"/>
      <c r="AW583" s="705"/>
      <c r="AX583" s="711" t="s">
        <v>43</v>
      </c>
      <c r="AY583" s="709" t="s">
        <v>1200</v>
      </c>
      <c r="AZ583" s="705"/>
      <c r="BA583" s="705"/>
      <c r="BB583" s="705"/>
      <c r="BC583" s="711"/>
      <c r="BD583" s="705">
        <v>2</v>
      </c>
      <c r="BE583" s="705"/>
      <c r="BF583" s="705">
        <v>0</v>
      </c>
      <c r="BG583" s="705">
        <v>0</v>
      </c>
      <c r="BH583" s="705"/>
      <c r="BI583" s="705">
        <v>0</v>
      </c>
      <c r="BJ583" s="705">
        <v>0</v>
      </c>
      <c r="BK583" s="705"/>
      <c r="BL583" s="705"/>
      <c r="BM583" s="711" t="s">
        <v>144</v>
      </c>
      <c r="BN583" s="712"/>
      <c r="BO583" s="710">
        <v>0</v>
      </c>
      <c r="BP583" s="711"/>
      <c r="BQ583" s="713" t="str">
        <f>IFERROR(WWWW[[#This Row],['#_Water sources treated]]/WWWW[[#This Row],['#_Water sources tested for contamination]],"no test")</f>
        <v>no test</v>
      </c>
      <c r="BR583" s="710" t="str">
        <f>IFERROR(WWWW[[#This Row],['#_Household received remediation action due to contamination]]/WWWW[[#This Row],['#_Household water samples tested for contamination]],"no test")</f>
        <v>no test</v>
      </c>
      <c r="BS583" s="712" t="str">
        <f>IF(AND(WWWW[[#This Row],[% of water sources treated]]="no test",WWWW[[#This Row],[% Household received corrective actions]]="no test"),"No Test","Tested")</f>
        <v>No Test</v>
      </c>
      <c r="BT583" s="712">
        <f>WWWW[[#This Row],['#_Constructed/existing protected hand dug well]]-WWWW[[#This Row],['#_Non-functional protected hand dug well]]</f>
        <v>1</v>
      </c>
      <c r="BU583" s="712">
        <f>(WWWW[[#This Row],['#_Constructed/Existing tube wells/boreholes/handpumps_WASH_agency]]+WWWW[[#This Row],['#_Non-Cluster partner water tube-wells/boreholes/handpumps]])-WWWW[[#This Row],['#_Non-functional tube wells/boreholes/handpumps]]</f>
        <v>2</v>
      </c>
      <c r="BV583" s="712">
        <f>WWWW[[#This Row],['#_Constructed/Existingwater storage tank with gravity fed reticulation system]]-WWWW[[#This Row],['#_Non-functional storage tank gravity fed reticulation system]]</f>
        <v>0</v>
      </c>
      <c r="BW583" s="712">
        <f>WWWW[[#This Row],['#_Water boating or water trucking]]</f>
        <v>0</v>
      </c>
      <c r="BX583" s="712">
        <f>WWWW[[#This Row],['#_Constructed/Existing water distribution system from river or natural spring]]</f>
        <v>0</v>
      </c>
      <c r="BY58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8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83" s="710">
        <f>IF(WWWW[[#This Row],[Location Type 1]]="Village",WWWW[[#This Row],[Access to safe drinking water for Village]],WWWW[[#This Row],[Access to safe drinking water for Camp]])</f>
        <v>1</v>
      </c>
      <c r="CB583" s="708">
        <f>WWWW[[#This Row],[%Equitable and continuous access to sufficient quantity of safe drinking water]]*WWWW[[#This Row],[Total PoP ]]</f>
        <v>92</v>
      </c>
      <c r="CC583" s="710">
        <f>IF((WWWW[[#This Row],['#_Constructed/Existing protected/fenced ponds]]*250)/WWWW[[#This Row],[Total PoP ]]&gt;1,1,(WWWW[[#This Row],['#_Constructed/Existing protected/fenced ponds]]*250)/WWWW[[#This Row],[Total PoP ]])</f>
        <v>0</v>
      </c>
      <c r="CD583" s="708">
        <f>WWWW[[#This Row],[% Access to unimproved water points]]*WWWW[[#This Row],[Total PoP ]]</f>
        <v>0</v>
      </c>
      <c r="CE58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v>
      </c>
      <c r="CG583" s="708">
        <f>WWWW[[#This Row],[HRP1]]/500</f>
        <v>0.184</v>
      </c>
      <c r="CH583" s="714">
        <f>1-WWWW[[#This Row],[% Equitable and continuous access to sufficient quantity of domestic water]]</f>
        <v>0</v>
      </c>
      <c r="CI583" s="708">
        <f>WWWW[[#This Row],[%equitable and continuous access to sufficient quantity of safe drinking and domestic water''s GAP]]*WWWW[[#This Row],[Total PoP ]]</f>
        <v>0</v>
      </c>
      <c r="CJ583" s="712">
        <f>IF(WWWW[[#This Row],[Total required water points]]-WWWW[[#This Row],['#Water points coverage]]&lt;0,0,WWWW[[#This Row],[Total required water points]]-WWWW[[#This Row],['#Water points coverage]])</f>
        <v>0.81600000000000006</v>
      </c>
      <c r="CK583" s="712">
        <f>ROUND(IF(WWWW[[#This Row],[Total PoP ]]&lt;500,1,WWWW[[#This Row],[Total PoP ]]/500),0)</f>
        <v>1</v>
      </c>
      <c r="CL583" s="712">
        <f>(WWWW[[#This Row],['#_Constructed latrines_by_WASHAgencies]]+WWWW[[#This Row],['#_Non Cluster partner latrines]])-WWWW[[#This Row],['#_Non-functional latrines]]</f>
        <v>10</v>
      </c>
      <c r="CM58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8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92</v>
      </c>
      <c r="CO58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3" s="712">
        <f>IF(WWWW[[#This Row],[Location Type 1]]="Village","NA",IF(WWWW[[#This Row],['#_Constructed/Existing latrines in TLS]]*50&gt;WWWW[[#This Row],['#_students at TLS_CFS]],WWWW[[#This Row],['#_students at TLS_CFS]],(WWWW[[#This Row],['#_Constructed/Existing latrines in TLS]]*50)))</f>
        <v>0</v>
      </c>
      <c r="CQ583" s="712">
        <f>ROUND(IF(WWWW[[#This Row],[Location Type 1]]="camp",WWWW[[#This Row],[Total PoP ]]/20,IF(WWWW[[#This Row],[Location Type 1]]="Temporary Location",WWWW[[#This Row],[Total PoP ]]/50,(WWWW[[#This Row],[Total PoP ]]/6))),0)</f>
        <v>5</v>
      </c>
      <c r="CR583" s="712">
        <f>IF(WWWW[[#This Row],[Total required Latrines]]-(WWWW[[#This Row],['#_Constructed latrines_by_WASHAgencies]]+WWWW[[#This Row],['#_Non Cluster partner latrines]])&lt;0,0,WWWW[[#This Row],[Total required Latrines]]-(WWWW[[#This Row],['#_Constructed latrines_by_WASHAgencies]]+WWWW[[#This Row],['#_Non Cluster partner latrines]]))</f>
        <v>0</v>
      </c>
      <c r="CS583" s="714">
        <f>1-WWWW[[#This Row],[% people access to functioning Latrine]]</f>
        <v>0</v>
      </c>
      <c r="CT583" s="713">
        <f>IF(OR(WWWW[[#This Row],['#_Non-functional latrines]]="",WWWW[[#This Row],['#_Non-functional latrines]]=0),0,WWWW[[#This Row],['#_Non-functional latrines]]/(WWWW[[#This Row],['#_Constructed latrines_by_WASHAgencies]]+WWWW[[#This Row],['#_Non Cluster partner latrines]]))</f>
        <v>0</v>
      </c>
      <c r="CU583" s="708">
        <f>IF(500*(WWWW[[#This Row],['#_male hygiene promoters]]+WWWW[[#This Row],['#_female hygiene promoters]])&gt;WWWW[[#This Row],[Total PoP ]],WWWW[[#This Row],[Total PoP ]],500*(WWWW[[#This Row],['#_male hygiene promoters]]+WWWW[[#This Row],['#_female hygiene promoters]]))</f>
        <v>0</v>
      </c>
      <c r="CV58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3" s="712">
        <f>IF(WWWW[[#This Row],['# People with access to soap]]&gt;WWWW[[#This Row],['# People with access to Sanity Pads]],WWWW[[#This Row],['# People with access to soap]],WWWW[[#This Row],['# People with access to Sanity Pads]])</f>
        <v>0</v>
      </c>
      <c r="CY58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83" s="714">
        <f>IF(WWWW[[#This Row],[HRP3]]/WWWW[[#This Row],[Total PoP ]]&gt;100%,100%,WWWW[[#This Row],[HRP3]]/WWWW[[#This Row],[Total PoP ]])</f>
        <v>0</v>
      </c>
      <c r="DA583" s="713">
        <f>1-WWWW[[#This Row],[Hygiene Coverage%]]</f>
        <v>1</v>
      </c>
      <c r="DB583" s="710">
        <f>WWWW[[#This Row],['# people reached by regular dedicated hygiene promotion_5]]/WWWW[[#This Row],[Total PoP ]]</f>
        <v>0</v>
      </c>
      <c r="DC583" s="710">
        <f>IF(WWWW[[#This Row],['#_households that received standard amount of soap for this quarter]]/WWWW[[#This Row],[Total HH]]&gt;1,1,WWWW[[#This Row],['#_households that received standard amount of soap for this quarter]]/WWWW[[#This Row],[Total HH]])</f>
        <v>0</v>
      </c>
      <c r="DD583" s="710">
        <f>IF(WWWW[[#This Row],['#_households that received standard amount of sanitary pads for this quarter]]/WWWW[[#This Row],[Total HH]]&gt;1,1,WWWW[[#This Row],['#_households that received standard amount of sanitary pads for this quarter]]/WWWW[[#This Row],[Total HH]])</f>
        <v>0</v>
      </c>
      <c r="DE583" s="712">
        <f>WWWW[[#This Row],['#_Constructed/Existing hand washing stations]]-WWWW[[#This Row],['#_Non-Functional_hand_washing_stations]]</f>
        <v>2</v>
      </c>
      <c r="DF583" s="757">
        <f>IF(WWWW[[#This Row],['# Functional hand washing stations during reporting period]]*20&gt;WWWW[[#This Row],[Total HH]],WWWW[[#This Row],[Total HH]],WWWW[[#This Row],['# Functional hand washing stations during reporting period]]*20)</f>
        <v>22</v>
      </c>
      <c r="DG583" s="708">
        <f>IF(WWWW[[#This Row],[Is sufficient soap available for TLS? (Yes/No)]]="yes",WWWW[[#This Row],['#_Constructed/Existing hand washing stations at TLS]],0)</f>
        <v>0</v>
      </c>
      <c r="DH583" s="759">
        <f>IF(WWWW[[#This Row],['# Functional hand washing stations during reporting period]]*100&gt;WWWW[[#This Row],[Total PoP ]],WWWW[[#This Row],[Total PoP ]],WWWW[[#This Row],['# Functional hand washing stations during reporting period]]*100)</f>
        <v>92</v>
      </c>
      <c r="DI583" s="759" t="str">
        <f>IF(OR(WWWW[[#This Row],['#_students at TLS_CFS]]="",WWWW[[#This Row],['#_students at TLS_CFS]]=0),"No","Yes")</f>
        <v>No</v>
      </c>
      <c r="DJ583" s="711" t="str">
        <f>VLOOKUP(WWWW[[#This Row],[Site Name]],SiteDB6[[Site Name]:[CCCM Management]],6,FALSE)</f>
        <v>Yes</v>
      </c>
      <c r="DK583" s="711" t="str">
        <f>VLOOKUP(WWWW[[#This Row],[Site Name]],SiteDB6[[Site Name]:[CCCM Focal Agency]],7,FALSE)</f>
        <v>Shalom</v>
      </c>
      <c r="DL583" s="711" t="str">
        <f>VLOOKUP(WWWW[[#This Row],[Site Name]],SiteDB6[[Site Name]:[Location Type 1]],9,FALSE)</f>
        <v>Camp</v>
      </c>
      <c r="DM583" s="711" t="str">
        <f>VLOOKUP(WWWW[[#This Row],[Site Name]],SiteDB6[[Site Name]:[Type of Accommodation]],10,FALSE)</f>
        <v>Camp</v>
      </c>
      <c r="DN583" s="711" t="str">
        <f>VLOOKUP(WWWW[[#This Row],[Site Name]],SiteDB6[[Site Name]:[Ethnic or GCA/NGCA]],11,FALSE)</f>
        <v>GCA</v>
      </c>
      <c r="DO583" s="711">
        <f>VLOOKUP(WWWW[[#This Row],[Site Name]],SiteDB6[[Site Name]:[Lat]],12,FALSE)</f>
        <v>25.374343974359</v>
      </c>
      <c r="DP583" s="711">
        <f>VLOOKUP(WWWW[[#This Row],[Site Name]],SiteDB6[[Site Name]:[Long]],13,FALSE)</f>
        <v>97.2843958974359</v>
      </c>
      <c r="DQ583" s="711" t="str">
        <f>VLOOKUP(WWWW[[#This Row],[Site Name]],SiteDB6[[Site Name]:[Pcode]],3,FALSE)</f>
        <v>MMR001CMP020</v>
      </c>
      <c r="DR583" s="709" t="str">
        <f t="shared" si="22"/>
        <v>Covered</v>
      </c>
      <c r="DS583" s="709"/>
    </row>
    <row r="584" spans="1:123">
      <c r="A584" s="701" t="s">
        <v>2519</v>
      </c>
      <c r="B584" s="701" t="s">
        <v>250</v>
      </c>
      <c r="C584" s="702" t="s">
        <v>250</v>
      </c>
      <c r="D584" s="702" t="s">
        <v>315</v>
      </c>
      <c r="E584" s="702" t="s">
        <v>39</v>
      </c>
      <c r="F584" s="702" t="s">
        <v>167</v>
      </c>
      <c r="G584" s="711" t="str">
        <f>VLOOKUP(WWWW[[#This Row],[Site Name]],SiteDB6[[Site Name]:[Location Type]],8,FALSE)</f>
        <v>Camp</v>
      </c>
      <c r="H584" s="702" t="s">
        <v>272</v>
      </c>
      <c r="I584" s="705">
        <v>21</v>
      </c>
      <c r="J584" s="705">
        <v>123</v>
      </c>
      <c r="K584" s="706">
        <v>43313</v>
      </c>
      <c r="L584" s="707">
        <v>44043</v>
      </c>
      <c r="M584" s="705"/>
      <c r="N584" s="705">
        <v>1</v>
      </c>
      <c r="O584" s="705"/>
      <c r="P584" s="705"/>
      <c r="Q584" s="708" t="s">
        <v>43</v>
      </c>
      <c r="R584" s="705">
        <v>1</v>
      </c>
      <c r="S584" s="705">
        <v>4</v>
      </c>
      <c r="T584" s="807">
        <v>0</v>
      </c>
      <c r="U584" s="705"/>
      <c r="V584" s="705"/>
      <c r="W584" s="705">
        <v>1</v>
      </c>
      <c r="X584" s="705">
        <v>1</v>
      </c>
      <c r="Y584" s="705"/>
      <c r="Z584" s="705"/>
      <c r="AA584" s="705"/>
      <c r="AB584" s="705"/>
      <c r="AC584" s="705"/>
      <c r="AD584" s="705"/>
      <c r="AE584" s="705"/>
      <c r="AF584" s="705"/>
      <c r="AG584" s="705">
        <v>1</v>
      </c>
      <c r="AH584" s="705">
        <v>1</v>
      </c>
      <c r="AI584" s="705"/>
      <c r="AJ584" s="705"/>
      <c r="AK584" s="705"/>
      <c r="AL584" s="705"/>
      <c r="AM584" s="705"/>
      <c r="AN584" s="705"/>
      <c r="AO584" s="709"/>
      <c r="AP584" s="705">
        <v>3</v>
      </c>
      <c r="AQ584" s="705">
        <v>3</v>
      </c>
      <c r="AR584" s="710" t="s">
        <v>384</v>
      </c>
      <c r="AS584" s="705"/>
      <c r="AT584" s="705"/>
      <c r="AU584" s="705"/>
      <c r="AV584" s="705"/>
      <c r="AW584" s="705"/>
      <c r="AX584" s="711" t="s">
        <v>43</v>
      </c>
      <c r="AY584" s="709" t="s">
        <v>1200</v>
      </c>
      <c r="AZ584" s="705"/>
      <c r="BA584" s="705"/>
      <c r="BB584" s="705"/>
      <c r="BC584" s="711"/>
      <c r="BD584" s="705">
        <v>1</v>
      </c>
      <c r="BE584" s="705"/>
      <c r="BF584" s="705">
        <v>0</v>
      </c>
      <c r="BG584" s="705">
        <v>2</v>
      </c>
      <c r="BH584" s="705"/>
      <c r="BI584" s="705">
        <v>1</v>
      </c>
      <c r="BJ584" s="705">
        <v>0</v>
      </c>
      <c r="BK584" s="705"/>
      <c r="BL584" s="705"/>
      <c r="BM584" s="711" t="s">
        <v>144</v>
      </c>
      <c r="BN584" s="712"/>
      <c r="BO584" s="710">
        <v>0</v>
      </c>
      <c r="BP584" s="711"/>
      <c r="BQ584" s="713" t="str">
        <f>IFERROR(WWWW[[#This Row],['#_Water sources treated]]/WWWW[[#This Row],['#_Water sources tested for contamination]],"no test")</f>
        <v>no test</v>
      </c>
      <c r="BR584" s="710" t="str">
        <f>IFERROR(WWWW[[#This Row],['#_Household received remediation action due to contamination]]/WWWW[[#This Row],['#_Household water samples tested for contamination]],"no test")</f>
        <v>no test</v>
      </c>
      <c r="BS584" s="712" t="str">
        <f>IF(AND(WWWW[[#This Row],[% of water sources treated]]="no test",WWWW[[#This Row],[% Household received corrective actions]]="no test"),"No Test","Tested")</f>
        <v>No Test</v>
      </c>
      <c r="BT584" s="712">
        <f>WWWW[[#This Row],['#_Constructed/existing protected hand dug well]]-WWWW[[#This Row],['#_Non-functional protected hand dug well]]</f>
        <v>0</v>
      </c>
      <c r="BU584" s="712">
        <f>(WWWW[[#This Row],['#_Constructed/Existing tube wells/boreholes/handpumps_WASH_agency]]+WWWW[[#This Row],['#_Non-Cluster partner water tube-wells/boreholes/handpumps]])-WWWW[[#This Row],['#_Non-functional tube wells/boreholes/handpumps]]</f>
        <v>2</v>
      </c>
      <c r="BV584" s="712">
        <f>WWWW[[#This Row],['#_Constructed/Existingwater storage tank with gravity fed reticulation system]]-WWWW[[#This Row],['#_Non-functional storage tank gravity fed reticulation system]]</f>
        <v>0</v>
      </c>
      <c r="BW584" s="712">
        <f>WWWW[[#This Row],['#_Water boating or water trucking]]</f>
        <v>0</v>
      </c>
      <c r="BX584" s="712">
        <f>WWWW[[#This Row],['#_Constructed/Existing water distribution system from river or natural spring]]</f>
        <v>0</v>
      </c>
      <c r="BY58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8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84" s="710">
        <f>IF(WWWW[[#This Row],[Location Type 1]]="Village",WWWW[[#This Row],[Access to safe drinking water for Village]],WWWW[[#This Row],[Access to safe drinking water for Camp]])</f>
        <v>1</v>
      </c>
      <c r="CB584" s="708">
        <f>WWWW[[#This Row],[%Equitable and continuous access to sufficient quantity of safe drinking water]]*WWWW[[#This Row],[Total PoP ]]</f>
        <v>123</v>
      </c>
      <c r="CC584" s="710">
        <f>IF((WWWW[[#This Row],['#_Constructed/Existing protected/fenced ponds]]*250)/WWWW[[#This Row],[Total PoP ]]&gt;1,1,(WWWW[[#This Row],['#_Constructed/Existing protected/fenced ponds]]*250)/WWWW[[#This Row],[Total PoP ]])</f>
        <v>0</v>
      </c>
      <c r="CD584" s="708">
        <f>WWWW[[#This Row],[% Access to unimproved water points]]*WWWW[[#This Row],[Total PoP ]]</f>
        <v>0</v>
      </c>
      <c r="CE58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v>
      </c>
      <c r="CG584" s="708">
        <f>WWWW[[#This Row],[HRP1]]/500</f>
        <v>0.246</v>
      </c>
      <c r="CH584" s="714">
        <f>1-WWWW[[#This Row],[% Equitable and continuous access to sufficient quantity of domestic water]]</f>
        <v>0</v>
      </c>
      <c r="CI584" s="708">
        <f>WWWW[[#This Row],[%equitable and continuous access to sufficient quantity of safe drinking and domestic water''s GAP]]*WWWW[[#This Row],[Total PoP ]]</f>
        <v>0</v>
      </c>
      <c r="CJ584" s="712">
        <f>IF(WWWW[[#This Row],[Total required water points]]-WWWW[[#This Row],['#Water points coverage]]&lt;0,0,WWWW[[#This Row],[Total required water points]]-WWWW[[#This Row],['#Water points coverage]])</f>
        <v>0.754</v>
      </c>
      <c r="CK584" s="712">
        <f>ROUND(IF(WWWW[[#This Row],[Total PoP ]]&lt;500,1,WWWW[[#This Row],[Total PoP ]]/500),0)</f>
        <v>1</v>
      </c>
      <c r="CL584" s="712">
        <f>(WWWW[[#This Row],['#_Constructed latrines_by_WASHAgencies]]+WWWW[[#This Row],['#_Non Cluster partner latrines]])-WWWW[[#This Row],['#_Non-functional latrines]]</f>
        <v>6</v>
      </c>
      <c r="CM58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0.97560975609756095</v>
      </c>
      <c r="CN58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58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4" s="712">
        <f>IF(WWWW[[#This Row],[Location Type 1]]="Village","NA",IF(WWWW[[#This Row],['#_Constructed/Existing latrines in TLS]]*50&gt;WWWW[[#This Row],['#_students at TLS_CFS]],WWWW[[#This Row],['#_students at TLS_CFS]],(WWWW[[#This Row],['#_Constructed/Existing latrines in TLS]]*50)))</f>
        <v>0</v>
      </c>
      <c r="CQ584" s="712">
        <f>ROUND(IF(WWWW[[#This Row],[Location Type 1]]="camp",WWWW[[#This Row],[Total PoP ]]/20,IF(WWWW[[#This Row],[Location Type 1]]="Temporary Location",WWWW[[#This Row],[Total PoP ]]/50,(WWWW[[#This Row],[Total PoP ]]/6))),0)</f>
        <v>6</v>
      </c>
      <c r="CR584" s="712">
        <f>IF(WWWW[[#This Row],[Total required Latrines]]-(WWWW[[#This Row],['#_Constructed latrines_by_WASHAgencies]]+WWWW[[#This Row],['#_Non Cluster partner latrines]])&lt;0,0,WWWW[[#This Row],[Total required Latrines]]-(WWWW[[#This Row],['#_Constructed latrines_by_WASHAgencies]]+WWWW[[#This Row],['#_Non Cluster partner latrines]]))</f>
        <v>0</v>
      </c>
      <c r="CS584" s="714">
        <f>1-WWWW[[#This Row],[% people access to functioning Latrine]]</f>
        <v>2.4390243902439046E-2</v>
      </c>
      <c r="CT584" s="713">
        <f>IF(OR(WWWW[[#This Row],['#_Non-functional latrines]]="",WWWW[[#This Row],['#_Non-functional latrines]]=0),0,WWWW[[#This Row],['#_Non-functional latrines]]/(WWWW[[#This Row],['#_Constructed latrines_by_WASHAgencies]]+WWWW[[#This Row],['#_Non Cluster partner latrines]]))</f>
        <v>0</v>
      </c>
      <c r="CU584" s="708">
        <f>IF(500*(WWWW[[#This Row],['#_male hygiene promoters]]+WWWW[[#This Row],['#_female hygiene promoters]])&gt;WWWW[[#This Row],[Total PoP ]],WWWW[[#This Row],[Total PoP ]],500*(WWWW[[#This Row],['#_male hygiene promoters]]+WWWW[[#This Row],['#_female hygiene promoters]]))</f>
        <v>123</v>
      </c>
      <c r="CV58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4" s="712">
        <f>IF(WWWW[[#This Row],['# People with access to soap]]&gt;WWWW[[#This Row],['# People with access to Sanity Pads]],WWWW[[#This Row],['# People with access to soap]],WWWW[[#This Row],['# People with access to Sanity Pads]])</f>
        <v>0</v>
      </c>
      <c r="CY584" s="712">
        <f>IF(WWWW[[#This Row],['# people reached by regular dedicated hygiene promotion_5]]&gt;WWWW[[#This Row],['# People received regular supply of hygiene items_6]],WWWW[[#This Row],['# people reached by regular dedicated hygiene promotion_5]],WWWW[[#This Row],['# People received regular supply of hygiene items_6]])</f>
        <v>123</v>
      </c>
      <c r="CZ584" s="714">
        <f>IF(WWWW[[#This Row],[HRP3]]/WWWW[[#This Row],[Total PoP ]]&gt;100%,100%,WWWW[[#This Row],[HRP3]]/WWWW[[#This Row],[Total PoP ]])</f>
        <v>1</v>
      </c>
      <c r="DA584" s="713">
        <f>1-WWWW[[#This Row],[Hygiene Coverage%]]</f>
        <v>0</v>
      </c>
      <c r="DB584" s="710">
        <f>WWWW[[#This Row],['# people reached by regular dedicated hygiene promotion_5]]/WWWW[[#This Row],[Total PoP ]]</f>
        <v>1</v>
      </c>
      <c r="DC584" s="710">
        <f>IF(WWWW[[#This Row],['#_households that received standard amount of soap for this quarter]]/WWWW[[#This Row],[Total HH]]&gt;1,1,WWWW[[#This Row],['#_households that received standard amount of soap for this quarter]]/WWWW[[#This Row],[Total HH]])</f>
        <v>0</v>
      </c>
      <c r="DD584" s="710">
        <f>IF(WWWW[[#This Row],['#_households that received standard amount of sanitary pads for this quarter]]/WWWW[[#This Row],[Total HH]]&gt;1,1,WWWW[[#This Row],['#_households that received standard amount of sanitary pads for this quarter]]/WWWW[[#This Row],[Total HH]])</f>
        <v>0</v>
      </c>
      <c r="DE584" s="712">
        <f>WWWW[[#This Row],['#_Constructed/Existing hand washing stations]]-WWWW[[#This Row],['#_Non-Functional_hand_washing_stations]]</f>
        <v>1</v>
      </c>
      <c r="DF584" s="757">
        <f>IF(WWWW[[#This Row],['# Functional hand washing stations during reporting period]]*20&gt;WWWW[[#This Row],[Total HH]],WWWW[[#This Row],[Total HH]],WWWW[[#This Row],['# Functional hand washing stations during reporting period]]*20)</f>
        <v>20</v>
      </c>
      <c r="DG584" s="708">
        <f>IF(WWWW[[#This Row],[Is sufficient soap available for TLS? (Yes/No)]]="yes",WWWW[[#This Row],['#_Constructed/Existing hand washing stations at TLS]],0)</f>
        <v>0</v>
      </c>
      <c r="DH584" s="759">
        <f>IF(WWWW[[#This Row],['# Functional hand washing stations during reporting period]]*100&gt;WWWW[[#This Row],[Total PoP ]],WWWW[[#This Row],[Total PoP ]],WWWW[[#This Row],['# Functional hand washing stations during reporting period]]*100)</f>
        <v>100</v>
      </c>
      <c r="DI584" s="759" t="str">
        <f>IF(OR(WWWW[[#This Row],['#_students at TLS_CFS]]="",WWWW[[#This Row],['#_students at TLS_CFS]]=0),"No","Yes")</f>
        <v>No</v>
      </c>
      <c r="DJ584" s="711" t="str">
        <f>VLOOKUP(WWWW[[#This Row],[Site Name]],SiteDB6[[Site Name]:[CCCM Management]],6,FALSE)</f>
        <v>Yes</v>
      </c>
      <c r="DK584" s="711" t="str">
        <f>VLOOKUP(WWWW[[#This Row],[Site Name]],SiteDB6[[Site Name]:[CCCM Focal Agency]],7,FALSE)</f>
        <v>Shalom</v>
      </c>
      <c r="DL584" s="711" t="str">
        <f>VLOOKUP(WWWW[[#This Row],[Site Name]],SiteDB6[[Site Name]:[Location Type 1]],9,FALSE)</f>
        <v>Camp</v>
      </c>
      <c r="DM584" s="711" t="str">
        <f>VLOOKUP(WWWW[[#This Row],[Site Name]],SiteDB6[[Site Name]:[Type of Accommodation]],10,FALSE)</f>
        <v>Camp</v>
      </c>
      <c r="DN584" s="711" t="str">
        <f>VLOOKUP(WWWW[[#This Row],[Site Name]],SiteDB6[[Site Name]:[Ethnic or GCA/NGCA]],11,FALSE)</f>
        <v>GCA</v>
      </c>
      <c r="DO584" s="711">
        <f>VLOOKUP(WWWW[[#This Row],[Site Name]],SiteDB6[[Site Name]:[Lat]],12,FALSE)</f>
        <v>25.371049444444399</v>
      </c>
      <c r="DP584" s="711">
        <f>VLOOKUP(WWWW[[#This Row],[Site Name]],SiteDB6[[Site Name]:[Long]],13,FALSE)</f>
        <v>97.290952037037002</v>
      </c>
      <c r="DQ584" s="711" t="str">
        <f>VLOOKUP(WWWW[[#This Row],[Site Name]],SiteDB6[[Site Name]:[Pcode]],3,FALSE)</f>
        <v>MMR001CMP021</v>
      </c>
      <c r="DR584" s="709" t="str">
        <f t="shared" si="22"/>
        <v>Covered</v>
      </c>
      <c r="DS584" s="709"/>
    </row>
    <row r="585" spans="1:123">
      <c r="A585" s="701" t="s">
        <v>2519</v>
      </c>
      <c r="B585" s="701" t="s">
        <v>299</v>
      </c>
      <c r="C585" s="702" t="s">
        <v>299</v>
      </c>
      <c r="D585" s="702" t="s">
        <v>1922</v>
      </c>
      <c r="E585" s="702" t="s">
        <v>39</v>
      </c>
      <c r="F585" s="702" t="s">
        <v>40</v>
      </c>
      <c r="G585" s="711" t="str">
        <f>VLOOKUP(WWWW[[#This Row],[Site Name]],SiteDB6[[Site Name]:[Location Type]],8,FALSE)</f>
        <v>Camp</v>
      </c>
      <c r="H585" s="702" t="s">
        <v>1940</v>
      </c>
      <c r="I585" s="705">
        <v>358</v>
      </c>
      <c r="J585" s="705">
        <v>1661</v>
      </c>
      <c r="K585" s="706"/>
      <c r="L585" s="707">
        <v>43799</v>
      </c>
      <c r="M585" s="705"/>
      <c r="N585" s="705">
        <v>7</v>
      </c>
      <c r="O585" s="705">
        <v>15</v>
      </c>
      <c r="P585" s="705"/>
      <c r="Q585" s="708" t="s">
        <v>43</v>
      </c>
      <c r="R585" s="705"/>
      <c r="S585" s="705"/>
      <c r="T585" s="807">
        <v>4</v>
      </c>
      <c r="U585" s="705"/>
      <c r="V585" s="705"/>
      <c r="W585" s="705"/>
      <c r="X585" s="705"/>
      <c r="Y585" s="705"/>
      <c r="Z585" s="705"/>
      <c r="AA585" s="705"/>
      <c r="AB585" s="705"/>
      <c r="AC585" s="705"/>
      <c r="AD585" s="705"/>
      <c r="AE585" s="705">
        <v>5</v>
      </c>
      <c r="AF585" s="705"/>
      <c r="AG585" s="705"/>
      <c r="AH585" s="705">
        <v>5</v>
      </c>
      <c r="AI585" s="705"/>
      <c r="AJ585" s="705"/>
      <c r="AK585" s="705">
        <v>47</v>
      </c>
      <c r="AL585" s="705">
        <v>10</v>
      </c>
      <c r="AM585" s="705">
        <v>0</v>
      </c>
      <c r="AN585" s="705">
        <v>5</v>
      </c>
      <c r="AO585" s="709"/>
      <c r="AP585" s="705">
        <v>186</v>
      </c>
      <c r="AQ585" s="705"/>
      <c r="AR585" s="710"/>
      <c r="AS585" s="705">
        <v>56</v>
      </c>
      <c r="AT585" s="705"/>
      <c r="AU585" s="705"/>
      <c r="AV585" s="705"/>
      <c r="AW585" s="705"/>
      <c r="AX585" s="711" t="s">
        <v>144</v>
      </c>
      <c r="AY585" s="709" t="s">
        <v>1200</v>
      </c>
      <c r="AZ585" s="705"/>
      <c r="BA585" s="705"/>
      <c r="BB585" s="705"/>
      <c r="BC585" s="711"/>
      <c r="BD585" s="705"/>
      <c r="BE585" s="705"/>
      <c r="BF585" s="705"/>
      <c r="BG585" s="705">
        <v>14</v>
      </c>
      <c r="BH585" s="705"/>
      <c r="BI585" s="705"/>
      <c r="BJ585" s="705">
        <v>1</v>
      </c>
      <c r="BK585" s="705">
        <v>352</v>
      </c>
      <c r="BL585" s="705"/>
      <c r="BM585" s="711"/>
      <c r="BN585" s="712">
        <v>7</v>
      </c>
      <c r="BO585" s="710"/>
      <c r="BP585" s="711"/>
      <c r="BQ585" s="713" t="str">
        <f>IFERROR(WWWW[[#This Row],['#_Water sources treated]]/WWWW[[#This Row],['#_Water sources tested for contamination]],"no test")</f>
        <v>no test</v>
      </c>
      <c r="BR585" s="710">
        <f>IFERROR(WWWW[[#This Row],['#_Household received remediation action due to contamination]]/WWWW[[#This Row],['#_Household water samples tested for contamination]],"no test")</f>
        <v>0.21276595744680851</v>
      </c>
      <c r="BS585" s="712" t="str">
        <f>IF(AND(WWWW[[#This Row],[% of water sources treated]]="no test",WWWW[[#This Row],[% Household received corrective actions]]="no test"),"No Test","Tested")</f>
        <v>Tested</v>
      </c>
      <c r="BT585" s="712">
        <f>WWWW[[#This Row],['#_Constructed/existing protected hand dug well]]-WWWW[[#This Row],['#_Non-functional protected hand dug well]]</f>
        <v>4</v>
      </c>
      <c r="BU585" s="712">
        <f>(WWWW[[#This Row],['#_Constructed/Existing tube wells/boreholes/handpumps_WASH_agency]]+WWWW[[#This Row],['#_Non-Cluster partner water tube-wells/boreholes/handpumps]])-WWWW[[#This Row],['#_Non-functional tube wells/boreholes/handpumps]]</f>
        <v>0</v>
      </c>
      <c r="BV585" s="712">
        <f>WWWW[[#This Row],['#_Constructed/Existingwater storage tank with gravity fed reticulation system]]-WWWW[[#This Row],['#_Non-functional storage tank gravity fed reticulation system]]</f>
        <v>0</v>
      </c>
      <c r="BW585" s="712">
        <f>WWWW[[#This Row],['#_Water boating or water trucking]]</f>
        <v>0</v>
      </c>
      <c r="BX585" s="712">
        <f>WWWW[[#This Row],['#_Constructed/Existing water distribution system from river or natural spring]]</f>
        <v>0</v>
      </c>
      <c r="BY58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0.96327513546056598</v>
      </c>
      <c r="BZ58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0.60204695966285371</v>
      </c>
      <c r="CA585" s="710">
        <f>IF(WWWW[[#This Row],[Location Type 1]]="Village",WWWW[[#This Row],[Access to safe drinking water for Village]],WWWW[[#This Row],[Access to safe drinking water for Camp]])</f>
        <v>0.96327513546056598</v>
      </c>
      <c r="CB585" s="708">
        <f>WWWW[[#This Row],[%Equitable and continuous access to sufficient quantity of safe drinking water]]*WWWW[[#This Row],[Total PoP ]]</f>
        <v>1600</v>
      </c>
      <c r="CC585" s="710">
        <f>IF((WWWW[[#This Row],['#_Constructed/Existing protected/fenced ponds]]*250)/WWWW[[#This Row],[Total PoP ]]&gt;1,1,(WWWW[[#This Row],['#_Constructed/Existing protected/fenced ponds]]*250)/WWWW[[#This Row],[Total PoP ]])</f>
        <v>0.75255869957856714</v>
      </c>
      <c r="CD585" s="708">
        <f>WWWW[[#This Row],[% Access to unimproved water points]]*WWWW[[#This Row],[Total PoP ]]</f>
        <v>1250</v>
      </c>
      <c r="CE58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1661</v>
      </c>
      <c r="CG585" s="708">
        <f>WWWW[[#This Row],[HRP1]]/500</f>
        <v>3.3220000000000001</v>
      </c>
      <c r="CH585" s="714">
        <f>1-WWWW[[#This Row],[% Equitable and continuous access to sufficient quantity of domestic water]]</f>
        <v>0</v>
      </c>
      <c r="CI585" s="708">
        <f>WWWW[[#This Row],[%equitable and continuous access to sufficient quantity of safe drinking and domestic water''s GAP]]*WWWW[[#This Row],[Total PoP ]]</f>
        <v>0</v>
      </c>
      <c r="CJ585" s="712">
        <f>IF(WWWW[[#This Row],[Total required water points]]-WWWW[[#This Row],['#Water points coverage]]&lt;0,0,WWWW[[#This Row],[Total required water points]]-WWWW[[#This Row],['#Water points coverage]])</f>
        <v>0</v>
      </c>
      <c r="CK585" s="712">
        <f>ROUND(IF(WWWW[[#This Row],[Total PoP ]]&lt;500,1,WWWW[[#This Row],[Total PoP ]]/500),0)</f>
        <v>3</v>
      </c>
      <c r="CL585" s="712">
        <f>(WWWW[[#This Row],['#_Constructed latrines_by_WASHAgencies]]+WWWW[[#This Row],['#_Non Cluster partner latrines]])-WWWW[[#This Row],['#_Non-functional latrines]]</f>
        <v>130</v>
      </c>
      <c r="CM58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8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1661</v>
      </c>
      <c r="CO58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5" s="712">
        <f>IF(WWWW[[#This Row],[Location Type 1]]="Village","NA",IF(WWWW[[#This Row],['#_Constructed/Existing latrines in TLS]]*50&gt;WWWW[[#This Row],['#_students at TLS_CFS]],WWWW[[#This Row],['#_students at TLS_CFS]],(WWWW[[#This Row],['#_Constructed/Existing latrines in TLS]]*50)))</f>
        <v>0</v>
      </c>
      <c r="CQ585" s="712">
        <f>ROUND(IF(WWWW[[#This Row],[Location Type 1]]="camp",WWWW[[#This Row],[Total PoP ]]/20,IF(WWWW[[#This Row],[Location Type 1]]="Temporary Location",WWWW[[#This Row],[Total PoP ]]/50,(WWWW[[#This Row],[Total PoP ]]/6))),0)</f>
        <v>83</v>
      </c>
      <c r="CR585" s="712">
        <f>IF(WWWW[[#This Row],[Total required Latrines]]-(WWWW[[#This Row],['#_Constructed latrines_by_WASHAgencies]]+WWWW[[#This Row],['#_Non Cluster partner latrines]])&lt;0,0,WWWW[[#This Row],[Total required Latrines]]-(WWWW[[#This Row],['#_Constructed latrines_by_WASHAgencies]]+WWWW[[#This Row],['#_Non Cluster partner latrines]]))</f>
        <v>0</v>
      </c>
      <c r="CS585" s="714">
        <f>1-WWWW[[#This Row],[% people access to functioning Latrine]]</f>
        <v>0</v>
      </c>
      <c r="CT585" s="713">
        <f>IF(OR(WWWW[[#This Row],['#_Non-functional latrines]]="",WWWW[[#This Row],['#_Non-functional latrines]]=0),0,WWWW[[#This Row],['#_Non-functional latrines]]/(WWWW[[#This Row],['#_Constructed latrines_by_WASHAgencies]]+WWWW[[#This Row],['#_Non Cluster partner latrines]]))</f>
        <v>0.30107526881720431</v>
      </c>
      <c r="CU585" s="708">
        <f>IF(500*(WWWW[[#This Row],['#_male hygiene promoters]]+WWWW[[#This Row],['#_female hygiene promoters]])&gt;WWWW[[#This Row],[Total PoP ]],WWWW[[#This Row],[Total PoP ]],500*(WWWW[[#This Row],['#_male hygiene promoters]]+WWWW[[#This Row],['#_female hygiene promoters]]))</f>
        <v>500</v>
      </c>
      <c r="CV58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1661</v>
      </c>
      <c r="CW58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5" s="712">
        <f>IF(WWWW[[#This Row],['# People with access to soap]]&gt;WWWW[[#This Row],['# People with access to Sanity Pads]],WWWW[[#This Row],['# People with access to soap]],WWWW[[#This Row],['# People with access to Sanity Pads]])</f>
        <v>1661</v>
      </c>
      <c r="CY585" s="712">
        <f>IF(WWWW[[#This Row],['# people reached by regular dedicated hygiene promotion_5]]&gt;WWWW[[#This Row],['# People received regular supply of hygiene items_6]],WWWW[[#This Row],['# people reached by regular dedicated hygiene promotion_5]],WWWW[[#This Row],['# People received regular supply of hygiene items_6]])</f>
        <v>1661</v>
      </c>
      <c r="CZ585" s="714">
        <f>IF(WWWW[[#This Row],[HRP3]]/WWWW[[#This Row],[Total PoP ]]&gt;100%,100%,WWWW[[#This Row],[HRP3]]/WWWW[[#This Row],[Total PoP ]])</f>
        <v>1</v>
      </c>
      <c r="DA585" s="713">
        <f>1-WWWW[[#This Row],[Hygiene Coverage%]]</f>
        <v>0</v>
      </c>
      <c r="DB585" s="710">
        <f>WWWW[[#This Row],['# people reached by regular dedicated hygiene promotion_5]]/WWWW[[#This Row],[Total PoP ]]</f>
        <v>0.30102347983142685</v>
      </c>
      <c r="DC585" s="710">
        <f>IF(WWWW[[#This Row],['#_households that received standard amount of soap for this quarter]]/WWWW[[#This Row],[Total HH]]&gt;1,1,WWWW[[#This Row],['#_households that received standard amount of soap for this quarter]]/WWWW[[#This Row],[Total HH]])</f>
        <v>0.98324022346368711</v>
      </c>
      <c r="DD585" s="710">
        <f>IF(WWWW[[#This Row],['#_households that received standard amount of sanitary pads for this quarter]]/WWWW[[#This Row],[Total HH]]&gt;1,1,WWWW[[#This Row],['#_households that received standard amount of sanitary pads for this quarter]]/WWWW[[#This Row],[Total HH]])</f>
        <v>0</v>
      </c>
      <c r="DE585" s="712">
        <f>WWWW[[#This Row],['#_Constructed/Existing hand washing stations]]-WWWW[[#This Row],['#_Non-Functional_hand_washing_stations]]</f>
        <v>0</v>
      </c>
      <c r="DF585" s="757">
        <f>IF(WWWW[[#This Row],['# Functional hand washing stations during reporting period]]*20&gt;WWWW[[#This Row],[Total HH]],WWWW[[#This Row],[Total HH]],WWWW[[#This Row],['# Functional hand washing stations during reporting period]]*20)</f>
        <v>0</v>
      </c>
      <c r="DG585" s="708">
        <f>IF(WWWW[[#This Row],[Is sufficient soap available for TLS? (Yes/No)]]="yes",WWWW[[#This Row],['#_Constructed/Existing hand washing stations at TLS]],0)</f>
        <v>0</v>
      </c>
      <c r="DH585" s="759">
        <f>IF(WWWW[[#This Row],['# Functional hand washing stations during reporting period]]*100&gt;WWWW[[#This Row],[Total PoP ]],WWWW[[#This Row],[Total PoP ]],WWWW[[#This Row],['# Functional hand washing stations during reporting period]]*100)</f>
        <v>0</v>
      </c>
      <c r="DI585" s="759" t="str">
        <f>IF(OR(WWWW[[#This Row],['#_students at TLS_CFS]]="",WWWW[[#This Row],['#_students at TLS_CFS]]=0),"No","Yes")</f>
        <v>No</v>
      </c>
      <c r="DJ585" s="711" t="str">
        <f>VLOOKUP(WWWW[[#This Row],[Site Name]],SiteDB6[[Site Name]:[CCCM Management]],6,FALSE)</f>
        <v>Yes</v>
      </c>
      <c r="DK585" s="711" t="str">
        <f>VLOOKUP(WWWW[[#This Row],[Site Name]],SiteDB6[[Site Name]:[CCCM Focal Agency]],7,FALSE)</f>
        <v>KMSS-BMO</v>
      </c>
      <c r="DL585" s="711" t="str">
        <f>VLOOKUP(WWWW[[#This Row],[Site Name]],SiteDB6[[Site Name]:[Location Type 1]],9,FALSE)</f>
        <v>Camp</v>
      </c>
      <c r="DM585" s="711" t="str">
        <f>VLOOKUP(WWWW[[#This Row],[Site Name]],SiteDB6[[Site Name]:[Type of Accommodation]],10,FALSE)</f>
        <v>Camp</v>
      </c>
      <c r="DN585" s="711" t="str">
        <f>VLOOKUP(WWWW[[#This Row],[Site Name]],SiteDB6[[Site Name]:[Ethnic or GCA/NGCA]],11,FALSE)</f>
        <v>NGCA</v>
      </c>
      <c r="DO585" s="711">
        <f>VLOOKUP(WWWW[[#This Row],[Site Name]],SiteDB6[[Site Name]:[Lat]],12,FALSE)</f>
        <v>24.002433</v>
      </c>
      <c r="DP585" s="711">
        <f>VLOOKUP(WWWW[[#This Row],[Site Name]],SiteDB6[[Site Name]:[Long]],13,FALSE)</f>
        <v>97.609832999999995</v>
      </c>
      <c r="DQ585" s="711" t="str">
        <f>VLOOKUP(WWWW[[#This Row],[Site Name]],SiteDB6[[Site Name]:[Pcode]],3,FALSE)</f>
        <v>MMR001CMP129</v>
      </c>
      <c r="DR585" s="709" t="str">
        <f t="shared" si="22"/>
        <v>Covered</v>
      </c>
      <c r="DS585" s="709"/>
    </row>
    <row r="586" spans="1:123">
      <c r="A586" s="701" t="s">
        <v>2519</v>
      </c>
      <c r="B586" s="701" t="s">
        <v>299</v>
      </c>
      <c r="C586" s="702" t="s">
        <v>299</v>
      </c>
      <c r="D586" s="702" t="s">
        <v>1922</v>
      </c>
      <c r="E586" s="702" t="s">
        <v>39</v>
      </c>
      <c r="F586" s="702" t="s">
        <v>40</v>
      </c>
      <c r="G586" s="711" t="str">
        <f>VLOOKUP(WWWW[[#This Row],[Site Name]],SiteDB6[[Site Name]:[Location Type]],8,FALSE)</f>
        <v>Camp</v>
      </c>
      <c r="H586" s="702" t="s">
        <v>302</v>
      </c>
      <c r="I586" s="705">
        <v>491</v>
      </c>
      <c r="J586" s="705">
        <v>2581</v>
      </c>
      <c r="K586" s="706"/>
      <c r="L586" s="707">
        <v>43799</v>
      </c>
      <c r="M586" s="705"/>
      <c r="N586" s="705">
        <v>13</v>
      </c>
      <c r="O586" s="705">
        <v>20</v>
      </c>
      <c r="P586" s="705"/>
      <c r="Q586" s="708" t="s">
        <v>43</v>
      </c>
      <c r="R586" s="705"/>
      <c r="S586" s="705"/>
      <c r="T586" s="807">
        <v>3</v>
      </c>
      <c r="U586" s="705"/>
      <c r="V586" s="705"/>
      <c r="W586" s="705"/>
      <c r="X586" s="705"/>
      <c r="Y586" s="705"/>
      <c r="Z586" s="705"/>
      <c r="AA586" s="705"/>
      <c r="AB586" s="705"/>
      <c r="AC586" s="705"/>
      <c r="AD586" s="705"/>
      <c r="AE586" s="705">
        <v>1</v>
      </c>
      <c r="AF586" s="705"/>
      <c r="AG586" s="705"/>
      <c r="AH586" s="705">
        <v>1</v>
      </c>
      <c r="AI586" s="705"/>
      <c r="AJ586" s="705"/>
      <c r="AK586" s="705">
        <v>32</v>
      </c>
      <c r="AL586" s="705">
        <v>5</v>
      </c>
      <c r="AM586" s="705">
        <v>5</v>
      </c>
      <c r="AN586" s="705">
        <v>2</v>
      </c>
      <c r="AO586" s="709"/>
      <c r="AP586" s="705">
        <v>136</v>
      </c>
      <c r="AQ586" s="705"/>
      <c r="AR586" s="710"/>
      <c r="AS586" s="705">
        <v>32</v>
      </c>
      <c r="AT586" s="705"/>
      <c r="AU586" s="705">
        <v>2</v>
      </c>
      <c r="AV586" s="705"/>
      <c r="AW586" s="705"/>
      <c r="AX586" s="711" t="s">
        <v>144</v>
      </c>
      <c r="AY586" s="709" t="s">
        <v>1200</v>
      </c>
      <c r="AZ586" s="705"/>
      <c r="BA586" s="705"/>
      <c r="BB586" s="705"/>
      <c r="BC586" s="711"/>
      <c r="BD586" s="705"/>
      <c r="BE586" s="705"/>
      <c r="BF586" s="705"/>
      <c r="BG586" s="705">
        <v>6</v>
      </c>
      <c r="BH586" s="705"/>
      <c r="BI586" s="705"/>
      <c r="BJ586" s="705"/>
      <c r="BK586" s="705">
        <v>476</v>
      </c>
      <c r="BL586" s="705"/>
      <c r="BM586" s="711"/>
      <c r="BN586" s="712">
        <v>13</v>
      </c>
      <c r="BO586" s="710"/>
      <c r="BP586" s="711"/>
      <c r="BQ586" s="713" t="str">
        <f>IFERROR(WWWW[[#This Row],['#_Water sources treated]]/WWWW[[#This Row],['#_Water sources tested for contamination]],"no test")</f>
        <v>no test</v>
      </c>
      <c r="BR586" s="710">
        <f>IFERROR(WWWW[[#This Row],['#_Household received remediation action due to contamination]]/WWWW[[#This Row],['#_Household water samples tested for contamination]],"no test")</f>
        <v>0.15625</v>
      </c>
      <c r="BS586" s="712" t="str">
        <f>IF(AND(WWWW[[#This Row],[% of water sources treated]]="no test",WWWW[[#This Row],[% Household received corrective actions]]="no test"),"No Test","Tested")</f>
        <v>Tested</v>
      </c>
      <c r="BT586" s="712">
        <f>WWWW[[#This Row],['#_Constructed/existing protected hand dug well]]-WWWW[[#This Row],['#_Non-functional protected hand dug well]]</f>
        <v>3</v>
      </c>
      <c r="BU586" s="712">
        <f>(WWWW[[#This Row],['#_Constructed/Existing tube wells/boreholes/handpumps_WASH_agency]]+WWWW[[#This Row],['#_Non-Cluster partner water tube-wells/boreholes/handpumps]])-WWWW[[#This Row],['#_Non-functional tube wells/boreholes/handpumps]]</f>
        <v>0</v>
      </c>
      <c r="BV586" s="712">
        <f>WWWW[[#This Row],['#_Constructed/Existingwater storage tank with gravity fed reticulation system]]-WWWW[[#This Row],['#_Non-functional storage tank gravity fed reticulation system]]</f>
        <v>0</v>
      </c>
      <c r="BW586" s="712">
        <f>WWWW[[#This Row],['#_Water boating or water trucking]]</f>
        <v>0</v>
      </c>
      <c r="BX586" s="712">
        <f>WWWW[[#This Row],['#_Constructed/Existing water distribution system from river or natural spring]]</f>
        <v>0</v>
      </c>
      <c r="BY58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0.46493607129019759</v>
      </c>
      <c r="BZ58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0.29058504455637352</v>
      </c>
      <c r="CA586" s="710">
        <f>IF(WWWW[[#This Row],[Location Type 1]]="Village",WWWW[[#This Row],[Access to safe drinking water for Village]],WWWW[[#This Row],[Access to safe drinking water for Camp]])</f>
        <v>0.46493607129019759</v>
      </c>
      <c r="CB586" s="708">
        <f>WWWW[[#This Row],[%Equitable and continuous access to sufficient quantity of safe drinking water]]*WWWW[[#This Row],[Total PoP ]]</f>
        <v>1200</v>
      </c>
      <c r="CC586" s="710">
        <f>IF((WWWW[[#This Row],['#_Constructed/Existing protected/fenced ponds]]*250)/WWWW[[#This Row],[Total PoP ]]&gt;1,1,(WWWW[[#This Row],['#_Constructed/Existing protected/fenced ponds]]*250)/WWWW[[#This Row],[Total PoP ]])</f>
        <v>9.6861681518791168E-2</v>
      </c>
      <c r="CD586" s="708">
        <f>WWWW[[#This Row],[% Access to unimproved water points]]*WWWW[[#This Row],[Total PoP ]]</f>
        <v>250</v>
      </c>
      <c r="CE58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0.5617977528089888</v>
      </c>
      <c r="CF58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1450</v>
      </c>
      <c r="CG586" s="708">
        <f>WWWW[[#This Row],[HRP1]]/500</f>
        <v>2.9</v>
      </c>
      <c r="CH586" s="714">
        <f>1-WWWW[[#This Row],[% Equitable and continuous access to sufficient quantity of domestic water]]</f>
        <v>0.4382022471910112</v>
      </c>
      <c r="CI586" s="708">
        <f>WWWW[[#This Row],[%equitable and continuous access to sufficient quantity of safe drinking and domestic water''s GAP]]*WWWW[[#This Row],[Total PoP ]]</f>
        <v>1131</v>
      </c>
      <c r="CJ586" s="712">
        <f>IF(WWWW[[#This Row],[Total required water points]]-WWWW[[#This Row],['#Water points coverage]]&lt;0,0,WWWW[[#This Row],[Total required water points]]-WWWW[[#This Row],['#Water points coverage]])</f>
        <v>2.1</v>
      </c>
      <c r="CK586" s="712">
        <f>ROUND(IF(WWWW[[#This Row],[Total PoP ]]&lt;500,1,WWWW[[#This Row],[Total PoP ]]/500),0)</f>
        <v>5</v>
      </c>
      <c r="CL586" s="712">
        <f>(WWWW[[#This Row],['#_Constructed latrines_by_WASHAgencies]]+WWWW[[#This Row],['#_Non Cluster partner latrines]])-WWWW[[#This Row],['#_Non-functional latrines]]</f>
        <v>104</v>
      </c>
      <c r="CM58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0.80588919023634253</v>
      </c>
      <c r="CN58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2080</v>
      </c>
      <c r="CO58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586" s="712">
        <f>IF(WWWW[[#This Row],[Location Type 1]]="Village","NA",IF(WWWW[[#This Row],['#_Constructed/Existing latrines in TLS]]*50&gt;WWWW[[#This Row],['#_students at TLS_CFS]],WWWW[[#This Row],['#_students at TLS_CFS]],(WWWW[[#This Row],['#_Constructed/Existing latrines in TLS]]*50)))</f>
        <v>0</v>
      </c>
      <c r="CQ586" s="712">
        <f>ROUND(IF(WWWW[[#This Row],[Location Type 1]]="camp",WWWW[[#This Row],[Total PoP ]]/20,IF(WWWW[[#This Row],[Location Type 1]]="Temporary Location",WWWW[[#This Row],[Total PoP ]]/50,(WWWW[[#This Row],[Total PoP ]]/6))),0)</f>
        <v>129</v>
      </c>
      <c r="CR586" s="712">
        <f>IF(WWWW[[#This Row],[Total required Latrines]]-(WWWW[[#This Row],['#_Constructed latrines_by_WASHAgencies]]+WWWW[[#This Row],['#_Non Cluster partner latrines]])&lt;0,0,WWWW[[#This Row],[Total required Latrines]]-(WWWW[[#This Row],['#_Constructed latrines_by_WASHAgencies]]+WWWW[[#This Row],['#_Non Cluster partner latrines]]))</f>
        <v>0</v>
      </c>
      <c r="CS586" s="714">
        <f>1-WWWW[[#This Row],[% people access to functioning Latrine]]</f>
        <v>0.19411080976365747</v>
      </c>
      <c r="CT586" s="713">
        <f>IF(OR(WWWW[[#This Row],['#_Non-functional latrines]]="",WWWW[[#This Row],['#_Non-functional latrines]]=0),0,WWWW[[#This Row],['#_Non-functional latrines]]/(WWWW[[#This Row],['#_Constructed latrines_by_WASHAgencies]]+WWWW[[#This Row],['#_Non Cluster partner latrines]]))</f>
        <v>0.23529411764705882</v>
      </c>
      <c r="CU586" s="708">
        <f>IF(500*(WWWW[[#This Row],['#_male hygiene promoters]]+WWWW[[#This Row],['#_female hygiene promoters]])&gt;WWWW[[#This Row],[Total PoP ]],WWWW[[#This Row],[Total PoP ]],500*(WWWW[[#This Row],['#_male hygiene promoters]]+WWWW[[#This Row],['#_female hygiene promoters]]))</f>
        <v>0</v>
      </c>
      <c r="CV58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2380</v>
      </c>
      <c r="CW58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6" s="712">
        <f>IF(WWWW[[#This Row],['# People with access to soap]]&gt;WWWW[[#This Row],['# People with access to Sanity Pads]],WWWW[[#This Row],['# People with access to soap]],WWWW[[#This Row],['# People with access to Sanity Pads]])</f>
        <v>2380</v>
      </c>
      <c r="CY586" s="712">
        <f>IF(WWWW[[#This Row],['# people reached by regular dedicated hygiene promotion_5]]&gt;WWWW[[#This Row],['# People received regular supply of hygiene items_6]],WWWW[[#This Row],['# people reached by regular dedicated hygiene promotion_5]],WWWW[[#This Row],['# People received regular supply of hygiene items_6]])</f>
        <v>2380</v>
      </c>
      <c r="CZ586" s="714">
        <f>IF(WWWW[[#This Row],[HRP3]]/WWWW[[#This Row],[Total PoP ]]&gt;100%,100%,WWWW[[#This Row],[HRP3]]/WWWW[[#This Row],[Total PoP ]])</f>
        <v>0.92212320805889192</v>
      </c>
      <c r="DA586" s="713">
        <f>1-WWWW[[#This Row],[Hygiene Coverage%]]</f>
        <v>7.7876791941108081E-2</v>
      </c>
      <c r="DB586" s="710">
        <f>WWWW[[#This Row],['# people reached by regular dedicated hygiene promotion_5]]/WWWW[[#This Row],[Total PoP ]]</f>
        <v>0</v>
      </c>
      <c r="DC586" s="710">
        <f>IF(WWWW[[#This Row],['#_households that received standard amount of soap for this quarter]]/WWWW[[#This Row],[Total HH]]&gt;1,1,WWWW[[#This Row],['#_households that received standard amount of soap for this quarter]]/WWWW[[#This Row],[Total HH]])</f>
        <v>0.96945010183299385</v>
      </c>
      <c r="DD586" s="710">
        <f>IF(WWWW[[#This Row],['#_households that received standard amount of sanitary pads for this quarter]]/WWWW[[#This Row],[Total HH]]&gt;1,1,WWWW[[#This Row],['#_households that received standard amount of sanitary pads for this quarter]]/WWWW[[#This Row],[Total HH]])</f>
        <v>0</v>
      </c>
      <c r="DE586" s="712">
        <f>WWWW[[#This Row],['#_Constructed/Existing hand washing stations]]-WWWW[[#This Row],['#_Non-Functional_hand_washing_stations]]</f>
        <v>0</v>
      </c>
      <c r="DF586" s="757">
        <f>IF(WWWW[[#This Row],['# Functional hand washing stations during reporting period]]*20&gt;WWWW[[#This Row],[Total HH]],WWWW[[#This Row],[Total HH]],WWWW[[#This Row],['# Functional hand washing stations during reporting period]]*20)</f>
        <v>0</v>
      </c>
      <c r="DG586" s="708">
        <f>IF(WWWW[[#This Row],[Is sufficient soap available for TLS? (Yes/No)]]="yes",WWWW[[#This Row],['#_Constructed/Existing hand washing stations at TLS]],0)</f>
        <v>0</v>
      </c>
      <c r="DH586" s="759">
        <f>IF(WWWW[[#This Row],['# Functional hand washing stations during reporting period]]*100&gt;WWWW[[#This Row],[Total PoP ]],WWWW[[#This Row],[Total PoP ]],WWWW[[#This Row],['# Functional hand washing stations during reporting period]]*100)</f>
        <v>0</v>
      </c>
      <c r="DI586" s="759" t="str">
        <f>IF(OR(WWWW[[#This Row],['#_students at TLS_CFS]]="",WWWW[[#This Row],['#_students at TLS_CFS]]=0),"No","Yes")</f>
        <v>No</v>
      </c>
      <c r="DJ586" s="711" t="str">
        <f>VLOOKUP(WWWW[[#This Row],[Site Name]],SiteDB6[[Site Name]:[CCCM Management]],6,FALSE)</f>
        <v>Yes</v>
      </c>
      <c r="DK586" s="711" t="str">
        <f>VLOOKUP(WWWW[[#This Row],[Site Name]],SiteDB6[[Site Name]:[CCCM Focal Agency]],7,FALSE)</f>
        <v>KMSS-BMO</v>
      </c>
      <c r="DL586" s="711" t="str">
        <f>VLOOKUP(WWWW[[#This Row],[Site Name]],SiteDB6[[Site Name]:[Location Type 1]],9,FALSE)</f>
        <v>Camp</v>
      </c>
      <c r="DM586" s="711" t="str">
        <f>VLOOKUP(WWWW[[#This Row],[Site Name]],SiteDB6[[Site Name]:[Type of Accommodation]],10,FALSE)</f>
        <v>Camp</v>
      </c>
      <c r="DN586" s="711" t="str">
        <f>VLOOKUP(WWWW[[#This Row],[Site Name]],SiteDB6[[Site Name]:[Ethnic or GCA/NGCA]],11,FALSE)</f>
        <v>NGCA</v>
      </c>
      <c r="DO586" s="711">
        <f>VLOOKUP(WWWW[[#This Row],[Site Name]],SiteDB6[[Site Name]:[Lat]],12,FALSE)</f>
        <v>24.056132999999999</v>
      </c>
      <c r="DP586" s="711">
        <f>VLOOKUP(WWWW[[#This Row],[Site Name]],SiteDB6[[Site Name]:[Long]],13,FALSE)</f>
        <v>97.625617000000005</v>
      </c>
      <c r="DQ586" s="711" t="str">
        <f>VLOOKUP(WWWW[[#This Row],[Site Name]],SiteDB6[[Site Name]:[Pcode]],3,FALSE)</f>
        <v>MMR001CMP128</v>
      </c>
      <c r="DR586" s="709" t="str">
        <f t="shared" si="22"/>
        <v>Covered</v>
      </c>
      <c r="DS586" s="709"/>
    </row>
    <row r="587" spans="1:123">
      <c r="A587" s="701" t="s">
        <v>2519</v>
      </c>
      <c r="B587" s="701" t="s">
        <v>149</v>
      </c>
      <c r="C587" s="702" t="s">
        <v>149</v>
      </c>
      <c r="D587" s="702" t="s">
        <v>3268</v>
      </c>
      <c r="E587" s="702" t="s">
        <v>39</v>
      </c>
      <c r="F587" s="702" t="s">
        <v>167</v>
      </c>
      <c r="G587" s="711" t="str">
        <f>VLOOKUP(WWWW[[#This Row],[Site Name]],SiteDB6[[Site Name]:[Location Type]],8,FALSE)</f>
        <v>Camp</v>
      </c>
      <c r="H587" s="702" t="s">
        <v>169</v>
      </c>
      <c r="I587" s="705">
        <v>197</v>
      </c>
      <c r="J587" s="705">
        <v>1050</v>
      </c>
      <c r="K587" s="593" t="s">
        <v>3276</v>
      </c>
      <c r="L587" s="58" t="s">
        <v>3277</v>
      </c>
      <c r="M587" s="705"/>
      <c r="N587" s="705"/>
      <c r="O587" s="705"/>
      <c r="P587" s="705"/>
      <c r="Q587" s="708" t="s">
        <v>43</v>
      </c>
      <c r="R587" s="705"/>
      <c r="S587" s="705"/>
      <c r="T587" s="807">
        <v>1</v>
      </c>
      <c r="U587" s="705"/>
      <c r="V587" s="705"/>
      <c r="W587" s="705">
        <v>4</v>
      </c>
      <c r="X587" s="705"/>
      <c r="Y587" s="705"/>
      <c r="Z587" s="705"/>
      <c r="AA587" s="705"/>
      <c r="AB587" s="705"/>
      <c r="AC587" s="705"/>
      <c r="AD587" s="705"/>
      <c r="AE587" s="705"/>
      <c r="AF587" s="705"/>
      <c r="AG587" s="705"/>
      <c r="AH587" s="705">
        <v>5</v>
      </c>
      <c r="AI587" s="705"/>
      <c r="AJ587" s="705"/>
      <c r="AK587" s="705"/>
      <c r="AL587" s="705"/>
      <c r="AM587" s="705"/>
      <c r="AN587" s="705"/>
      <c r="AO587" s="709"/>
      <c r="AP587" s="705">
        <v>43</v>
      </c>
      <c r="AQ587" s="705"/>
      <c r="AR587" s="710"/>
      <c r="AS587" s="705"/>
      <c r="AT587" s="705"/>
      <c r="AU587" s="705">
        <v>41</v>
      </c>
      <c r="AV587" s="705"/>
      <c r="AW587" s="705">
        <v>43</v>
      </c>
      <c r="AX587" s="711" t="s">
        <v>43</v>
      </c>
      <c r="AY587" s="709" t="s">
        <v>145</v>
      </c>
      <c r="AZ587" s="705"/>
      <c r="BA587" s="705"/>
      <c r="BB587" s="705"/>
      <c r="BC587" s="711"/>
      <c r="BD587" s="705"/>
      <c r="BE587" s="705"/>
      <c r="BF587" s="705"/>
      <c r="BG587" s="705">
        <v>3</v>
      </c>
      <c r="BH587" s="705"/>
      <c r="BI587" s="705"/>
      <c r="BJ587" s="705">
        <v>5</v>
      </c>
      <c r="BK587" s="705"/>
      <c r="BL587" s="705"/>
      <c r="BM587" s="711"/>
      <c r="BN587" s="712"/>
      <c r="BO587" s="710"/>
      <c r="BP587" s="711"/>
      <c r="BQ587" s="713" t="str">
        <f>IFERROR(WWWW[[#This Row],['#_Water sources treated]]/WWWW[[#This Row],['#_Water sources tested for contamination]],"no test")</f>
        <v>no test</v>
      </c>
      <c r="BR587" s="710" t="str">
        <f>IFERROR(WWWW[[#This Row],['#_Household received remediation action due to contamination]]/WWWW[[#This Row],['#_Household water samples tested for contamination]],"no test")</f>
        <v>no test</v>
      </c>
      <c r="BS587" s="712" t="str">
        <f>IF(AND(WWWW[[#This Row],[% of water sources treated]]="no test",WWWW[[#This Row],[% Household received corrective actions]]="no test"),"No Test","Tested")</f>
        <v>No Test</v>
      </c>
      <c r="BT587" s="712">
        <f>WWWW[[#This Row],['#_Constructed/existing protected hand dug well]]-WWWW[[#This Row],['#_Non-functional protected hand dug well]]</f>
        <v>1</v>
      </c>
      <c r="BU587" s="712">
        <f>(WWWW[[#This Row],['#_Constructed/Existing tube wells/boreholes/handpumps_WASH_agency]]+WWWW[[#This Row],['#_Non-Cluster partner water tube-wells/boreholes/handpumps]])-WWWW[[#This Row],['#_Non-functional tube wells/boreholes/handpumps]]</f>
        <v>4</v>
      </c>
      <c r="BV587" s="712">
        <f>WWWW[[#This Row],['#_Constructed/Existingwater storage tank with gravity fed reticulation system]]-WWWW[[#This Row],['#_Non-functional storage tank gravity fed reticulation system]]</f>
        <v>0</v>
      </c>
      <c r="BW587" s="712">
        <f>WWWW[[#This Row],['#_Water boating or water trucking]]</f>
        <v>0</v>
      </c>
      <c r="BX587" s="712">
        <f>WWWW[[#This Row],['#_Constructed/Existing water distribution system from river or natural spring]]</f>
        <v>0</v>
      </c>
      <c r="BY58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8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87" s="710">
        <f>IF(WWWW[[#This Row],[Location Type 1]]="Village",WWWW[[#This Row],[Access to safe drinking water for Village]],WWWW[[#This Row],[Access to safe drinking water for Camp]])</f>
        <v>1</v>
      </c>
      <c r="CB587" s="708">
        <f>WWWW[[#This Row],[%Equitable and continuous access to sufficient quantity of safe drinking water]]*WWWW[[#This Row],[Total PoP ]]</f>
        <v>1050</v>
      </c>
      <c r="CC587" s="710">
        <f>IF((WWWW[[#This Row],['#_Constructed/Existing protected/fenced ponds]]*250)/WWWW[[#This Row],[Total PoP ]]&gt;1,1,(WWWW[[#This Row],['#_Constructed/Existing protected/fenced ponds]]*250)/WWWW[[#This Row],[Total PoP ]])</f>
        <v>0</v>
      </c>
      <c r="CD587" s="708">
        <f>WWWW[[#This Row],[% Access to unimproved water points]]*WWWW[[#This Row],[Total PoP ]]</f>
        <v>0</v>
      </c>
      <c r="CE58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1050</v>
      </c>
      <c r="CG587" s="708">
        <f>WWWW[[#This Row],[HRP1]]/500</f>
        <v>2.1</v>
      </c>
      <c r="CH587" s="714">
        <f>1-WWWW[[#This Row],[% Equitable and continuous access to sufficient quantity of domestic water]]</f>
        <v>0</v>
      </c>
      <c r="CI587" s="708">
        <f>WWWW[[#This Row],[%equitable and continuous access to sufficient quantity of safe drinking and domestic water''s GAP]]*WWWW[[#This Row],[Total PoP ]]</f>
        <v>0</v>
      </c>
      <c r="CJ587" s="712">
        <f>IF(WWWW[[#This Row],[Total required water points]]-WWWW[[#This Row],['#Water points coverage]]&lt;0,0,WWWW[[#This Row],[Total required water points]]-WWWW[[#This Row],['#Water points coverage]])</f>
        <v>0</v>
      </c>
      <c r="CK587" s="712">
        <f>ROUND(IF(WWWW[[#This Row],[Total PoP ]]&lt;500,1,WWWW[[#This Row],[Total PoP ]]/500),0)</f>
        <v>2</v>
      </c>
      <c r="CL587" s="712">
        <f>(WWWW[[#This Row],['#_Constructed latrines_by_WASHAgencies]]+WWWW[[#This Row],['#_Non Cluster partner latrines]])-WWWW[[#This Row],['#_Non-functional latrines]]</f>
        <v>43</v>
      </c>
      <c r="CM58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0.81904761904761902</v>
      </c>
      <c r="CN58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860</v>
      </c>
      <c r="CO58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820</v>
      </c>
      <c r="CP587" s="712">
        <f>IF(WWWW[[#This Row],[Location Type 1]]="Village","NA",IF(WWWW[[#This Row],['#_Constructed/Existing latrines in TLS]]*50&gt;WWWW[[#This Row],['#_students at TLS_CFS]],WWWW[[#This Row],['#_students at TLS_CFS]],(WWWW[[#This Row],['#_Constructed/Existing latrines in TLS]]*50)))</f>
        <v>0</v>
      </c>
      <c r="CQ587" s="712">
        <f>ROUND(IF(WWWW[[#This Row],[Location Type 1]]="camp",WWWW[[#This Row],[Total PoP ]]/20,IF(WWWW[[#This Row],[Location Type 1]]="Temporary Location",WWWW[[#This Row],[Total PoP ]]/50,(WWWW[[#This Row],[Total PoP ]]/6))),0)</f>
        <v>53</v>
      </c>
      <c r="CR587" s="712">
        <f>IF(WWWW[[#This Row],[Total required Latrines]]-(WWWW[[#This Row],['#_Constructed latrines_by_WASHAgencies]]+WWWW[[#This Row],['#_Non Cluster partner latrines]])&lt;0,0,WWWW[[#This Row],[Total required Latrines]]-(WWWW[[#This Row],['#_Constructed latrines_by_WASHAgencies]]+WWWW[[#This Row],['#_Non Cluster partner latrines]]))</f>
        <v>10</v>
      </c>
      <c r="CS587" s="714">
        <f>1-WWWW[[#This Row],[% people access to functioning Latrine]]</f>
        <v>0.18095238095238098</v>
      </c>
      <c r="CT587" s="713">
        <f>IF(OR(WWWW[[#This Row],['#_Non-functional latrines]]="",WWWW[[#This Row],['#_Non-functional latrines]]=0),0,WWWW[[#This Row],['#_Non-functional latrines]]/(WWWW[[#This Row],['#_Constructed latrines_by_WASHAgencies]]+WWWW[[#This Row],['#_Non Cluster partner latrines]]))</f>
        <v>0</v>
      </c>
      <c r="CU587" s="708">
        <f>IF(500*(WWWW[[#This Row],['#_male hygiene promoters]]+WWWW[[#This Row],['#_female hygiene promoters]])&gt;WWWW[[#This Row],[Total PoP ]],WWWW[[#This Row],[Total PoP ]],500*(WWWW[[#This Row],['#_male hygiene promoters]]+WWWW[[#This Row],['#_female hygiene promoters]]))</f>
        <v>1050</v>
      </c>
      <c r="CV58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7" s="712">
        <f>IF(WWWW[[#This Row],['# People with access to soap]]&gt;WWWW[[#This Row],['# People with access to Sanity Pads]],WWWW[[#This Row],['# People with access to soap]],WWWW[[#This Row],['# People with access to Sanity Pads]])</f>
        <v>0</v>
      </c>
      <c r="CY587" s="712">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CZ587" s="714">
        <f>IF(WWWW[[#This Row],[HRP3]]/WWWW[[#This Row],[Total PoP ]]&gt;100%,100%,WWWW[[#This Row],[HRP3]]/WWWW[[#This Row],[Total PoP ]])</f>
        <v>1</v>
      </c>
      <c r="DA587" s="713">
        <f>1-WWWW[[#This Row],[Hygiene Coverage%]]</f>
        <v>0</v>
      </c>
      <c r="DB587" s="710">
        <f>WWWW[[#This Row],['# people reached by regular dedicated hygiene promotion_5]]/WWWW[[#This Row],[Total PoP ]]</f>
        <v>1</v>
      </c>
      <c r="DC587" s="710">
        <f>IF(WWWW[[#This Row],['#_households that received standard amount of soap for this quarter]]/WWWW[[#This Row],[Total HH]]&gt;1,1,WWWW[[#This Row],['#_households that received standard amount of soap for this quarter]]/WWWW[[#This Row],[Total HH]])</f>
        <v>0</v>
      </c>
      <c r="DD587" s="710">
        <f>IF(WWWW[[#This Row],['#_households that received standard amount of sanitary pads for this quarter]]/WWWW[[#This Row],[Total HH]]&gt;1,1,WWWW[[#This Row],['#_households that received standard amount of sanitary pads for this quarter]]/WWWW[[#This Row],[Total HH]])</f>
        <v>0</v>
      </c>
      <c r="DE587" s="712">
        <f>WWWW[[#This Row],['#_Constructed/Existing hand washing stations]]-WWWW[[#This Row],['#_Non-Functional_hand_washing_stations]]</f>
        <v>0</v>
      </c>
      <c r="DF587" s="757">
        <f>IF(WWWW[[#This Row],['# Functional hand washing stations during reporting period]]*20&gt;WWWW[[#This Row],[Total HH]],WWWW[[#This Row],[Total HH]],WWWW[[#This Row],['# Functional hand washing stations during reporting period]]*20)</f>
        <v>0</v>
      </c>
      <c r="DG587" s="708">
        <f>IF(WWWW[[#This Row],[Is sufficient soap available for TLS? (Yes/No)]]="yes",WWWW[[#This Row],['#_Constructed/Existing hand washing stations at TLS]],0)</f>
        <v>0</v>
      </c>
      <c r="DH587" s="759">
        <f>IF(WWWW[[#This Row],['# Functional hand washing stations during reporting period]]*100&gt;WWWW[[#This Row],[Total PoP ]],WWWW[[#This Row],[Total PoP ]],WWWW[[#This Row],['# Functional hand washing stations during reporting period]]*100)</f>
        <v>0</v>
      </c>
      <c r="DI587" s="759" t="str">
        <f>IF(OR(WWWW[[#This Row],['#_students at TLS_CFS]]="",WWWW[[#This Row],['#_students at TLS_CFS]]=0),"No","Yes")</f>
        <v>No</v>
      </c>
      <c r="DJ587" s="711" t="str">
        <f>VLOOKUP(WWWW[[#This Row],[Site Name]],SiteDB6[[Site Name]:[CCCM Management]],6,FALSE)</f>
        <v>Yes</v>
      </c>
      <c r="DK587" s="711" t="str">
        <f>VLOOKUP(WWWW[[#This Row],[Site Name]],SiteDB6[[Site Name]:[CCCM Focal Agency]],7,FALSE)</f>
        <v>KBC</v>
      </c>
      <c r="DL587" s="711" t="str">
        <f>VLOOKUP(WWWW[[#This Row],[Site Name]],SiteDB6[[Site Name]:[Location Type 1]],9,FALSE)</f>
        <v>Camp</v>
      </c>
      <c r="DM587" s="711" t="str">
        <f>VLOOKUP(WWWW[[#This Row],[Site Name]],SiteDB6[[Site Name]:[Type of Accommodation]],10,FALSE)</f>
        <v>Camp</v>
      </c>
      <c r="DN587" s="711" t="str">
        <f>VLOOKUP(WWWW[[#This Row],[Site Name]],SiteDB6[[Site Name]:[Ethnic or GCA/NGCA]],11,FALSE)</f>
        <v>GCA</v>
      </c>
      <c r="DO587" s="711">
        <f>VLOOKUP(WWWW[[#This Row],[Site Name]],SiteDB6[[Site Name]:[Lat]],12,FALSE)</f>
        <v>25.403476999999999</v>
      </c>
      <c r="DP587" s="711">
        <f>VLOOKUP(WWWW[[#This Row],[Site Name]],SiteDB6[[Site Name]:[Long]],13,FALSE)</f>
        <v>97.373361000000003</v>
      </c>
      <c r="DQ587" s="711" t="str">
        <f>VLOOKUP(WWWW[[#This Row],[Site Name]],SiteDB6[[Site Name]:[Pcode]],3,FALSE)</f>
        <v>MMR001CMP018</v>
      </c>
      <c r="DR587" s="709" t="str">
        <f t="shared" si="22"/>
        <v>Covered</v>
      </c>
      <c r="DS587" s="709"/>
    </row>
    <row r="588" spans="1:123">
      <c r="A588" s="701" t="s">
        <v>2519</v>
      </c>
      <c r="B588" s="701" t="s">
        <v>38</v>
      </c>
      <c r="C588" s="702" t="s">
        <v>38</v>
      </c>
      <c r="D588" s="702" t="s">
        <v>328</v>
      </c>
      <c r="E588" s="702" t="s">
        <v>39</v>
      </c>
      <c r="F588" s="702" t="s">
        <v>160</v>
      </c>
      <c r="G588" s="711" t="str">
        <f>VLOOKUP(WWWW[[#This Row],[Site Name]],SiteDB6[[Site Name]:[Location Type]],8,FALSE)</f>
        <v>Camp</v>
      </c>
      <c r="H588" s="702" t="s">
        <v>2014</v>
      </c>
      <c r="I588" s="705">
        <v>79</v>
      </c>
      <c r="J588" s="705">
        <v>396</v>
      </c>
      <c r="K588" s="706">
        <v>43374</v>
      </c>
      <c r="L588" s="707">
        <v>43830</v>
      </c>
      <c r="M588" s="705"/>
      <c r="N588" s="705"/>
      <c r="O588" s="705"/>
      <c r="P588" s="705"/>
      <c r="Q588" s="708"/>
      <c r="R588" s="705"/>
      <c r="S588" s="705"/>
      <c r="T588" s="807"/>
      <c r="U588" s="705"/>
      <c r="V588" s="705"/>
      <c r="W588" s="705"/>
      <c r="X588" s="705">
        <v>1</v>
      </c>
      <c r="Y588" s="705"/>
      <c r="Z588" s="705"/>
      <c r="AA588" s="705"/>
      <c r="AB588" s="705"/>
      <c r="AC588" s="705"/>
      <c r="AD588" s="705"/>
      <c r="AE588" s="705"/>
      <c r="AF588" s="705"/>
      <c r="AG588" s="705"/>
      <c r="AH588" s="705"/>
      <c r="AI588" s="705"/>
      <c r="AJ588" s="705"/>
      <c r="AK588" s="705"/>
      <c r="AL588" s="705"/>
      <c r="AM588" s="705"/>
      <c r="AN588" s="705"/>
      <c r="AO588" s="709"/>
      <c r="AP588" s="705">
        <v>6</v>
      </c>
      <c r="AQ588" s="705"/>
      <c r="AR588" s="710"/>
      <c r="AS588" s="705"/>
      <c r="AT588" s="705"/>
      <c r="AU588" s="705"/>
      <c r="AV588" s="705"/>
      <c r="AW588" s="705"/>
      <c r="AX588" s="711" t="s">
        <v>43</v>
      </c>
      <c r="AY588" s="709" t="s">
        <v>1200</v>
      </c>
      <c r="AZ588" s="705"/>
      <c r="BA588" s="705"/>
      <c r="BB588" s="705"/>
      <c r="BC588" s="711"/>
      <c r="BD588" s="705"/>
      <c r="BE588" s="705"/>
      <c r="BF588" s="705"/>
      <c r="BG588" s="705">
        <v>2</v>
      </c>
      <c r="BH588" s="705"/>
      <c r="BI588" s="705"/>
      <c r="BJ588" s="705">
        <v>1</v>
      </c>
      <c r="BK588" s="705"/>
      <c r="BL588" s="705"/>
      <c r="BM588" s="711"/>
      <c r="BN588" s="712"/>
      <c r="BO588" s="710"/>
      <c r="BP588" s="711"/>
      <c r="BQ588" s="713" t="str">
        <f>IFERROR(WWWW[[#This Row],['#_Water sources treated]]/WWWW[[#This Row],['#_Water sources tested for contamination]],"no test")</f>
        <v>no test</v>
      </c>
      <c r="BR588" s="710" t="str">
        <f>IFERROR(WWWW[[#This Row],['#_Household received remediation action due to contamination]]/WWWW[[#This Row],['#_Household water samples tested for contamination]],"no test")</f>
        <v>no test</v>
      </c>
      <c r="BS588" s="712" t="str">
        <f>IF(AND(WWWW[[#This Row],[% of water sources treated]]="no test",WWWW[[#This Row],[% Household received corrective actions]]="no test"),"No Test","Tested")</f>
        <v>No Test</v>
      </c>
      <c r="BT588" s="712">
        <f>WWWW[[#This Row],['#_Constructed/existing protected hand dug well]]-WWWW[[#This Row],['#_Non-functional protected hand dug well]]</f>
        <v>0</v>
      </c>
      <c r="BU588" s="712">
        <f>(WWWW[[#This Row],['#_Constructed/Existing tube wells/boreholes/handpumps_WASH_agency]]+WWWW[[#This Row],['#_Non-Cluster partner water tube-wells/boreholes/handpumps]])-WWWW[[#This Row],['#_Non-functional tube wells/boreholes/handpumps]]</f>
        <v>1</v>
      </c>
      <c r="BV588" s="712">
        <f>WWWW[[#This Row],['#_Constructed/Existingwater storage tank with gravity fed reticulation system]]-WWWW[[#This Row],['#_Non-functional storage tank gravity fed reticulation system]]</f>
        <v>0</v>
      </c>
      <c r="BW588" s="712">
        <f>WWWW[[#This Row],['#_Water boating or water trucking]]</f>
        <v>0</v>
      </c>
      <c r="BX588" s="712">
        <f>WWWW[[#This Row],['#_Constructed/Existing water distribution system from river or natural spring]]</f>
        <v>0</v>
      </c>
      <c r="BY58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8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0.63131313131313127</v>
      </c>
      <c r="CA588" s="710">
        <f>IF(WWWW[[#This Row],[Location Type 1]]="Village",WWWW[[#This Row],[Access to safe drinking water for Village]],WWWW[[#This Row],[Access to safe drinking water for Camp]])</f>
        <v>1</v>
      </c>
      <c r="CB588" s="708">
        <f>WWWW[[#This Row],[%Equitable and continuous access to sufficient quantity of safe drinking water]]*WWWW[[#This Row],[Total PoP ]]</f>
        <v>396</v>
      </c>
      <c r="CC588" s="710">
        <f>IF((WWWW[[#This Row],['#_Constructed/Existing protected/fenced ponds]]*250)/WWWW[[#This Row],[Total PoP ]]&gt;1,1,(WWWW[[#This Row],['#_Constructed/Existing protected/fenced ponds]]*250)/WWWW[[#This Row],[Total PoP ]])</f>
        <v>0</v>
      </c>
      <c r="CD588" s="708">
        <f>WWWW[[#This Row],[% Access to unimproved water points]]*WWWW[[#This Row],[Total PoP ]]</f>
        <v>0</v>
      </c>
      <c r="CE58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G588" s="708">
        <f>WWWW[[#This Row],[HRP1]]/500</f>
        <v>0.79200000000000004</v>
      </c>
      <c r="CH588" s="714">
        <f>1-WWWW[[#This Row],[% Equitable and continuous access to sufficient quantity of domestic water]]</f>
        <v>0</v>
      </c>
      <c r="CI588" s="708">
        <f>WWWW[[#This Row],[%equitable and continuous access to sufficient quantity of safe drinking and domestic water''s GAP]]*WWWW[[#This Row],[Total PoP ]]</f>
        <v>0</v>
      </c>
      <c r="CJ588" s="712">
        <f>IF(WWWW[[#This Row],[Total required water points]]-WWWW[[#This Row],['#Water points coverage]]&lt;0,0,WWWW[[#This Row],[Total required water points]]-WWWW[[#This Row],['#Water points coverage]])</f>
        <v>0.20799999999999996</v>
      </c>
      <c r="CK588" s="712">
        <f>ROUND(IF(WWWW[[#This Row],[Total PoP ]]&lt;500,1,WWWW[[#This Row],[Total PoP ]]/500),0)</f>
        <v>1</v>
      </c>
      <c r="CL588" s="712">
        <f>(WWWW[[#This Row],['#_Constructed latrines_by_WASHAgencies]]+WWWW[[#This Row],['#_Non Cluster partner latrines]])-WWWW[[#This Row],['#_Non-functional latrines]]</f>
        <v>6</v>
      </c>
      <c r="CM58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0.30303030303030304</v>
      </c>
      <c r="CN58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58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8" s="712">
        <f>IF(WWWW[[#This Row],[Location Type 1]]="Village","NA",IF(WWWW[[#This Row],['#_Constructed/Existing latrines in TLS]]*50&gt;WWWW[[#This Row],['#_students at TLS_CFS]],WWWW[[#This Row],['#_students at TLS_CFS]],(WWWW[[#This Row],['#_Constructed/Existing latrines in TLS]]*50)))</f>
        <v>0</v>
      </c>
      <c r="CQ588" s="712">
        <f>ROUND(IF(WWWW[[#This Row],[Location Type 1]]="camp",WWWW[[#This Row],[Total PoP ]]/20,IF(WWWW[[#This Row],[Location Type 1]]="Temporary Location",WWWW[[#This Row],[Total PoP ]]/50,(WWWW[[#This Row],[Total PoP ]]/6))),0)</f>
        <v>20</v>
      </c>
      <c r="CR588" s="712">
        <f>IF(WWWW[[#This Row],[Total required Latrines]]-(WWWW[[#This Row],['#_Constructed latrines_by_WASHAgencies]]+WWWW[[#This Row],['#_Non Cluster partner latrines]])&lt;0,0,WWWW[[#This Row],[Total required Latrines]]-(WWWW[[#This Row],['#_Constructed latrines_by_WASHAgencies]]+WWWW[[#This Row],['#_Non Cluster partner latrines]]))</f>
        <v>14</v>
      </c>
      <c r="CS588" s="714">
        <f>1-WWWW[[#This Row],[% people access to functioning Latrine]]</f>
        <v>0.69696969696969702</v>
      </c>
      <c r="CT588" s="713">
        <f>IF(OR(WWWW[[#This Row],['#_Non-functional latrines]]="",WWWW[[#This Row],['#_Non-functional latrines]]=0),0,WWWW[[#This Row],['#_Non-functional latrines]]/(WWWW[[#This Row],['#_Constructed latrines_by_WASHAgencies]]+WWWW[[#This Row],['#_Non Cluster partner latrines]]))</f>
        <v>0</v>
      </c>
      <c r="CU588" s="708">
        <f>IF(500*(WWWW[[#This Row],['#_male hygiene promoters]]+WWWW[[#This Row],['#_female hygiene promoters]])&gt;WWWW[[#This Row],[Total PoP ]],WWWW[[#This Row],[Total PoP ]],500*(WWWW[[#This Row],['#_male hygiene promoters]]+WWWW[[#This Row],['#_female hygiene promoters]]))</f>
        <v>396</v>
      </c>
      <c r="CV58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8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88" s="712">
        <f>IF(WWWW[[#This Row],['# People with access to soap]]&gt;WWWW[[#This Row],['# People with access to Sanity Pads]],WWWW[[#This Row],['# People with access to soap]],WWWW[[#This Row],['# People with access to Sanity Pads]])</f>
        <v>0</v>
      </c>
      <c r="CY588" s="712">
        <f>IF(WWWW[[#This Row],['# people reached by regular dedicated hygiene promotion_5]]&gt;WWWW[[#This Row],['# People received regular supply of hygiene items_6]],WWWW[[#This Row],['# people reached by regular dedicated hygiene promotion_5]],WWWW[[#This Row],['# People received regular supply of hygiene items_6]])</f>
        <v>396</v>
      </c>
      <c r="CZ588" s="714">
        <f>IF(WWWW[[#This Row],[HRP3]]/WWWW[[#This Row],[Total PoP ]]&gt;100%,100%,WWWW[[#This Row],[HRP3]]/WWWW[[#This Row],[Total PoP ]])</f>
        <v>1</v>
      </c>
      <c r="DA588" s="713">
        <f>1-WWWW[[#This Row],[Hygiene Coverage%]]</f>
        <v>0</v>
      </c>
      <c r="DB588" s="710">
        <f>WWWW[[#This Row],['# people reached by regular dedicated hygiene promotion_5]]/WWWW[[#This Row],[Total PoP ]]</f>
        <v>1</v>
      </c>
      <c r="DC588" s="710">
        <f>IF(WWWW[[#This Row],['#_households that received standard amount of soap for this quarter]]/WWWW[[#This Row],[Total HH]]&gt;1,1,WWWW[[#This Row],['#_households that received standard amount of soap for this quarter]]/WWWW[[#This Row],[Total HH]])</f>
        <v>0</v>
      </c>
      <c r="DD588" s="710">
        <f>IF(WWWW[[#This Row],['#_households that received standard amount of sanitary pads for this quarter]]/WWWW[[#This Row],[Total HH]]&gt;1,1,WWWW[[#This Row],['#_households that received standard amount of sanitary pads for this quarter]]/WWWW[[#This Row],[Total HH]])</f>
        <v>0</v>
      </c>
      <c r="DE588" s="712">
        <f>WWWW[[#This Row],['#_Constructed/Existing hand washing stations]]-WWWW[[#This Row],['#_Non-Functional_hand_washing_stations]]</f>
        <v>0</v>
      </c>
      <c r="DF588" s="757">
        <f>IF(WWWW[[#This Row],['# Functional hand washing stations during reporting period]]*20&gt;WWWW[[#This Row],[Total HH]],WWWW[[#This Row],[Total HH]],WWWW[[#This Row],['# Functional hand washing stations during reporting period]]*20)</f>
        <v>0</v>
      </c>
      <c r="DG588" s="708">
        <f>IF(WWWW[[#This Row],[Is sufficient soap available for TLS? (Yes/No)]]="yes",WWWW[[#This Row],['#_Constructed/Existing hand washing stations at TLS]],0)</f>
        <v>0</v>
      </c>
      <c r="DH588" s="759">
        <f>IF(WWWW[[#This Row],['# Functional hand washing stations during reporting period]]*100&gt;WWWW[[#This Row],[Total PoP ]],WWWW[[#This Row],[Total PoP ]],WWWW[[#This Row],['# Functional hand washing stations during reporting period]]*100)</f>
        <v>0</v>
      </c>
      <c r="DI588" s="759" t="str">
        <f>IF(OR(WWWW[[#This Row],['#_students at TLS_CFS]]="",WWWW[[#This Row],['#_students at TLS_CFS]]=0),"No","Yes")</f>
        <v>No</v>
      </c>
      <c r="DJ588" s="711">
        <f>VLOOKUP(WWWW[[#This Row],[Site Name]],SiteDB6[[Site Name]:[CCCM Management]],6,FALSE)</f>
        <v>0</v>
      </c>
      <c r="DK588" s="711" t="str">
        <f>VLOOKUP(WWWW[[#This Row],[Site Name]],SiteDB6[[Site Name]:[CCCM Focal Agency]],7,FALSE)</f>
        <v>KMSS-MYT</v>
      </c>
      <c r="DL588" s="711" t="str">
        <f>VLOOKUP(WWWW[[#This Row],[Site Name]],SiteDB6[[Site Name]:[Location Type 1]],9,FALSE)</f>
        <v>Camp</v>
      </c>
      <c r="DM588" s="711" t="str">
        <f>VLOOKUP(WWWW[[#This Row],[Site Name]],SiteDB6[[Site Name]:[Type of Accommodation]],10,FALSE)</f>
        <v>Camp</v>
      </c>
      <c r="DN588" s="711" t="str">
        <f>VLOOKUP(WWWW[[#This Row],[Site Name]],SiteDB6[[Site Name]:[Ethnic or GCA/NGCA]],11,FALSE)</f>
        <v>GCA</v>
      </c>
      <c r="DO588" s="711">
        <f>VLOOKUP(WWWW[[#This Row],[Site Name]],SiteDB6[[Site Name]:[Lat]],12,FALSE)</f>
        <v>97.013800000000003</v>
      </c>
      <c r="DP588" s="711">
        <f>VLOOKUP(WWWW[[#This Row],[Site Name]],SiteDB6[[Site Name]:[Long]],13,FALSE)</f>
        <v>25.383465999999999</v>
      </c>
      <c r="DQ588" s="711" t="str">
        <f>VLOOKUP(WWWW[[#This Row],[Site Name]],SiteDB6[[Site Name]:[Pcode]],3,FALSE)</f>
        <v>MMR001CMP260</v>
      </c>
      <c r="DR588" s="709" t="str">
        <f t="shared" si="22"/>
        <v>Covered</v>
      </c>
      <c r="DS588" s="709"/>
    </row>
    <row r="589" spans="1:123">
      <c r="A589" s="701" t="s">
        <v>2519</v>
      </c>
      <c r="B589" s="701" t="s">
        <v>200</v>
      </c>
      <c r="C589" s="702" t="s">
        <v>200</v>
      </c>
      <c r="D589" s="702" t="s">
        <v>2960</v>
      </c>
      <c r="E589" s="702" t="s">
        <v>39</v>
      </c>
      <c r="F589" s="702" t="s">
        <v>213</v>
      </c>
      <c r="G589" s="711" t="str">
        <f>VLOOKUP(WWWW[[#This Row],[Site Name]],SiteDB6[[Site Name]:[Location Type]],8,FALSE)</f>
        <v>Camp_not registered</v>
      </c>
      <c r="H589" s="702" t="s">
        <v>217</v>
      </c>
      <c r="I589" s="705">
        <v>19</v>
      </c>
      <c r="J589" s="705">
        <v>94</v>
      </c>
      <c r="K589" s="706">
        <v>43466</v>
      </c>
      <c r="L589" s="707">
        <v>43830</v>
      </c>
      <c r="M589" s="705"/>
      <c r="N589" s="705"/>
      <c r="O589" s="705"/>
      <c r="P589" s="705"/>
      <c r="Q589" s="708" t="s">
        <v>144</v>
      </c>
      <c r="R589" s="705"/>
      <c r="S589" s="705"/>
      <c r="T589" s="807"/>
      <c r="U589" s="705"/>
      <c r="V589" s="705"/>
      <c r="W589" s="705"/>
      <c r="X589" s="705">
        <v>1</v>
      </c>
      <c r="Y589" s="705"/>
      <c r="Z589" s="705"/>
      <c r="AA589" s="705"/>
      <c r="AB589" s="705"/>
      <c r="AC589" s="705"/>
      <c r="AD589" s="705"/>
      <c r="AE589" s="705"/>
      <c r="AF589" s="705"/>
      <c r="AG589" s="705"/>
      <c r="AH589" s="705"/>
      <c r="AI589" s="705"/>
      <c r="AJ589" s="705"/>
      <c r="AK589" s="705"/>
      <c r="AL589" s="705"/>
      <c r="AM589" s="705"/>
      <c r="AN589" s="705"/>
      <c r="AO589" s="709"/>
      <c r="AP589" s="705">
        <v>5</v>
      </c>
      <c r="AQ589" s="705"/>
      <c r="AR589" s="710"/>
      <c r="AS589" s="705"/>
      <c r="AT589" s="705"/>
      <c r="AU589" s="705"/>
      <c r="AV589" s="705"/>
      <c r="AW589" s="705"/>
      <c r="AX589" s="711" t="s">
        <v>43</v>
      </c>
      <c r="AY589" s="709" t="s">
        <v>145</v>
      </c>
      <c r="AZ589" s="705"/>
      <c r="BA589" s="705"/>
      <c r="BB589" s="705"/>
      <c r="BC589" s="711"/>
      <c r="BD589" s="705">
        <v>2</v>
      </c>
      <c r="BE589" s="705"/>
      <c r="BF589" s="705"/>
      <c r="BG589" s="705">
        <v>1</v>
      </c>
      <c r="BH589" s="705"/>
      <c r="BI589" s="705"/>
      <c r="BJ589" s="705"/>
      <c r="BK589" s="705">
        <v>19</v>
      </c>
      <c r="BL589" s="705">
        <v>4</v>
      </c>
      <c r="BM589" s="711"/>
      <c r="BN589" s="712"/>
      <c r="BO589" s="710"/>
      <c r="BP589" s="711"/>
      <c r="BQ589" s="713" t="str">
        <f>IFERROR(WWWW[[#This Row],['#_Water sources treated]]/WWWW[[#This Row],['#_Water sources tested for contamination]],"no test")</f>
        <v>no test</v>
      </c>
      <c r="BR589" s="710" t="str">
        <f>IFERROR(WWWW[[#This Row],['#_Household received remediation action due to contamination]]/WWWW[[#This Row],['#_Household water samples tested for contamination]],"no test")</f>
        <v>no test</v>
      </c>
      <c r="BS589" s="712" t="str">
        <f>IF(AND(WWWW[[#This Row],[% of water sources treated]]="no test",WWWW[[#This Row],[% Household received corrective actions]]="no test"),"No Test","Tested")</f>
        <v>No Test</v>
      </c>
      <c r="BT589" s="712">
        <f>WWWW[[#This Row],['#_Constructed/existing protected hand dug well]]-WWWW[[#This Row],['#_Non-functional protected hand dug well]]</f>
        <v>0</v>
      </c>
      <c r="BU589" s="712">
        <f>(WWWW[[#This Row],['#_Constructed/Existing tube wells/boreholes/handpumps_WASH_agency]]+WWWW[[#This Row],['#_Non-Cluster partner water tube-wells/boreholes/handpumps]])-WWWW[[#This Row],['#_Non-functional tube wells/boreholes/handpumps]]</f>
        <v>1</v>
      </c>
      <c r="BV589" s="712">
        <f>WWWW[[#This Row],['#_Constructed/Existingwater storage tank with gravity fed reticulation system]]-WWWW[[#This Row],['#_Non-functional storage tank gravity fed reticulation system]]</f>
        <v>0</v>
      </c>
      <c r="BW589" s="712">
        <f>WWWW[[#This Row],['#_Water boating or water trucking]]</f>
        <v>0</v>
      </c>
      <c r="BX589" s="712">
        <f>WWWW[[#This Row],['#_Constructed/Existing water distribution system from river or natural spring]]</f>
        <v>0</v>
      </c>
      <c r="BY58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8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89" s="710">
        <f>IF(WWWW[[#This Row],[Location Type 1]]="Village",WWWW[[#This Row],[Access to safe drinking water for Village]],WWWW[[#This Row],[Access to safe drinking water for Camp]])</f>
        <v>1</v>
      </c>
      <c r="CB589" s="708">
        <f>WWWW[[#This Row],[%Equitable and continuous access to sufficient quantity of safe drinking water]]*WWWW[[#This Row],[Total PoP ]]</f>
        <v>94</v>
      </c>
      <c r="CC589" s="710">
        <f>IF((WWWW[[#This Row],['#_Constructed/Existing protected/fenced ponds]]*250)/WWWW[[#This Row],[Total PoP ]]&gt;1,1,(WWWW[[#This Row],['#_Constructed/Existing protected/fenced ponds]]*250)/WWWW[[#This Row],[Total PoP ]])</f>
        <v>0</v>
      </c>
      <c r="CD589" s="708">
        <f>WWWW[[#This Row],[% Access to unimproved water points]]*WWWW[[#This Row],[Total PoP ]]</f>
        <v>0</v>
      </c>
      <c r="CE58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8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G589" s="708">
        <f>WWWW[[#This Row],[HRP1]]/500</f>
        <v>0.188</v>
      </c>
      <c r="CH589" s="714">
        <f>1-WWWW[[#This Row],[% Equitable and continuous access to sufficient quantity of domestic water]]</f>
        <v>0</v>
      </c>
      <c r="CI589" s="708">
        <f>WWWW[[#This Row],[%equitable and continuous access to sufficient quantity of safe drinking and domestic water''s GAP]]*WWWW[[#This Row],[Total PoP ]]</f>
        <v>0</v>
      </c>
      <c r="CJ589" s="712">
        <f>IF(WWWW[[#This Row],[Total required water points]]-WWWW[[#This Row],['#Water points coverage]]&lt;0,0,WWWW[[#This Row],[Total required water points]]-WWWW[[#This Row],['#Water points coverage]])</f>
        <v>0.81200000000000006</v>
      </c>
      <c r="CK589" s="712">
        <f>ROUND(IF(WWWW[[#This Row],[Total PoP ]]&lt;500,1,WWWW[[#This Row],[Total PoP ]]/500),0)</f>
        <v>1</v>
      </c>
      <c r="CL589" s="712">
        <f>(WWWW[[#This Row],['#_Constructed latrines_by_WASHAgencies]]+WWWW[[#This Row],['#_Non Cluster partner latrines]])-WWWW[[#This Row],['#_Non-functional latrines]]</f>
        <v>5</v>
      </c>
      <c r="CM58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8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94</v>
      </c>
      <c r="CO58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89" s="712">
        <f>IF(WWWW[[#This Row],[Location Type 1]]="Village","NA",IF(WWWW[[#This Row],['#_Constructed/Existing latrines in TLS]]*50&gt;WWWW[[#This Row],['#_students at TLS_CFS]],WWWW[[#This Row],['#_students at TLS_CFS]],(WWWW[[#This Row],['#_Constructed/Existing latrines in TLS]]*50)))</f>
        <v>0</v>
      </c>
      <c r="CQ589" s="712">
        <f>ROUND(IF(WWWW[[#This Row],[Location Type 1]]="camp",WWWW[[#This Row],[Total PoP ]]/20,IF(WWWW[[#This Row],[Location Type 1]]="Temporary Location",WWWW[[#This Row],[Total PoP ]]/50,(WWWW[[#This Row],[Total PoP ]]/6))),0)</f>
        <v>5</v>
      </c>
      <c r="CR589" s="712">
        <f>IF(WWWW[[#This Row],[Total required Latrines]]-(WWWW[[#This Row],['#_Constructed latrines_by_WASHAgencies]]+WWWW[[#This Row],['#_Non Cluster partner latrines]])&lt;0,0,WWWW[[#This Row],[Total required Latrines]]-(WWWW[[#This Row],['#_Constructed latrines_by_WASHAgencies]]+WWWW[[#This Row],['#_Non Cluster partner latrines]]))</f>
        <v>0</v>
      </c>
      <c r="CS589" s="714">
        <f>1-WWWW[[#This Row],[% people access to functioning Latrine]]</f>
        <v>0</v>
      </c>
      <c r="CT589" s="713">
        <f>IF(OR(WWWW[[#This Row],['#_Non-functional latrines]]="",WWWW[[#This Row],['#_Non-functional latrines]]=0),0,WWWW[[#This Row],['#_Non-functional latrines]]/(WWWW[[#This Row],['#_Constructed latrines_by_WASHAgencies]]+WWWW[[#This Row],['#_Non Cluster partner latrines]]))</f>
        <v>0</v>
      </c>
      <c r="CU589" s="708">
        <f>IF(500*(WWWW[[#This Row],['#_male hygiene promoters]]+WWWW[[#This Row],['#_female hygiene promoters]])&gt;WWWW[[#This Row],[Total PoP ]],WWWW[[#This Row],[Total PoP ]],500*(WWWW[[#This Row],['#_male hygiene promoters]]+WWWW[[#This Row],['#_female hygiene promoters]]))</f>
        <v>0</v>
      </c>
      <c r="CV58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CW58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20</v>
      </c>
      <c r="CX589" s="712">
        <f>IF(WWWW[[#This Row],['# People with access to soap]]&gt;WWWW[[#This Row],['# People with access to Sanity Pads]],WWWW[[#This Row],['# People with access to soap]],WWWW[[#This Row],['# People with access to Sanity Pads]])</f>
        <v>94</v>
      </c>
      <c r="CY589" s="712">
        <f>IF(WWWW[[#This Row],['# people reached by regular dedicated hygiene promotion_5]]&gt;WWWW[[#This Row],['# People received regular supply of hygiene items_6]],WWWW[[#This Row],['# people reached by regular dedicated hygiene promotion_5]],WWWW[[#This Row],['# People received regular supply of hygiene items_6]])</f>
        <v>94</v>
      </c>
      <c r="CZ589" s="714">
        <f>IF(WWWW[[#This Row],[HRP3]]/WWWW[[#This Row],[Total PoP ]]&gt;100%,100%,WWWW[[#This Row],[HRP3]]/WWWW[[#This Row],[Total PoP ]])</f>
        <v>1</v>
      </c>
      <c r="DA589" s="713">
        <f>1-WWWW[[#This Row],[Hygiene Coverage%]]</f>
        <v>0</v>
      </c>
      <c r="DB589" s="710">
        <f>WWWW[[#This Row],['# people reached by regular dedicated hygiene promotion_5]]/WWWW[[#This Row],[Total PoP ]]</f>
        <v>0</v>
      </c>
      <c r="DC589" s="710">
        <f>IF(WWWW[[#This Row],['#_households that received standard amount of soap for this quarter]]/WWWW[[#This Row],[Total HH]]&gt;1,1,WWWW[[#This Row],['#_households that received standard amount of soap for this quarter]]/WWWW[[#This Row],[Total HH]])</f>
        <v>1</v>
      </c>
      <c r="DD589" s="710">
        <f>IF(WWWW[[#This Row],['#_households that received standard amount of sanitary pads for this quarter]]/WWWW[[#This Row],[Total HH]]&gt;1,1,WWWW[[#This Row],['#_households that received standard amount of sanitary pads for this quarter]]/WWWW[[#This Row],[Total HH]])</f>
        <v>0.21052631578947367</v>
      </c>
      <c r="DE589" s="712">
        <f>WWWW[[#This Row],['#_Constructed/Existing hand washing stations]]-WWWW[[#This Row],['#_Non-Functional_hand_washing_stations]]</f>
        <v>2</v>
      </c>
      <c r="DF589" s="757">
        <f>IF(WWWW[[#This Row],['# Functional hand washing stations during reporting period]]*20&gt;WWWW[[#This Row],[Total HH]],WWWW[[#This Row],[Total HH]],WWWW[[#This Row],['# Functional hand washing stations during reporting period]]*20)</f>
        <v>19</v>
      </c>
      <c r="DG589" s="708">
        <f>IF(WWWW[[#This Row],[Is sufficient soap available for TLS? (Yes/No)]]="yes",WWWW[[#This Row],['#_Constructed/Existing hand washing stations at TLS]],0)</f>
        <v>0</v>
      </c>
      <c r="DH589" s="759">
        <f>IF(WWWW[[#This Row],['# Functional hand washing stations during reporting period]]*100&gt;WWWW[[#This Row],[Total PoP ]],WWWW[[#This Row],[Total PoP ]],WWWW[[#This Row],['# Functional hand washing stations during reporting period]]*100)</f>
        <v>94</v>
      </c>
      <c r="DI589" s="759" t="str">
        <f>IF(OR(WWWW[[#This Row],['#_students at TLS_CFS]]="",WWWW[[#This Row],['#_students at TLS_CFS]]=0),"No","Yes")</f>
        <v>No</v>
      </c>
      <c r="DJ589" s="711">
        <f>VLOOKUP(WWWW[[#This Row],[Site Name]],SiteDB6[[Site Name]:[CCCM Management]],6,FALSE)</f>
        <v>0</v>
      </c>
      <c r="DK589" s="711">
        <f>VLOOKUP(WWWW[[#This Row],[Site Name]],SiteDB6[[Site Name]:[CCCM Focal Agency]],7,FALSE)</f>
        <v>0</v>
      </c>
      <c r="DL589" s="711" t="str">
        <f>VLOOKUP(WWWW[[#This Row],[Site Name]],SiteDB6[[Site Name]:[Location Type 1]],9,FALSE)</f>
        <v>Camp</v>
      </c>
      <c r="DM589" s="711" t="str">
        <f>VLOOKUP(WWWW[[#This Row],[Site Name]],SiteDB6[[Site Name]:[Type of Accommodation]],10,FALSE)</f>
        <v>Camp</v>
      </c>
      <c r="DN589" s="711" t="str">
        <f>VLOOKUP(WWWW[[#This Row],[Site Name]],SiteDB6[[Site Name]:[Ethnic or GCA/NGCA]],11,FALSE)</f>
        <v>GCA</v>
      </c>
      <c r="DO589" s="711">
        <f>VLOOKUP(WWWW[[#This Row],[Site Name]],SiteDB6[[Site Name]:[Lat]],12,FALSE)</f>
        <v>0</v>
      </c>
      <c r="DP589" s="711">
        <f>VLOOKUP(WWWW[[#This Row],[Site Name]],SiteDB6[[Site Name]:[Long]],13,FALSE)</f>
        <v>0</v>
      </c>
      <c r="DQ589" s="711">
        <f>VLOOKUP(WWWW[[#This Row],[Site Name]],SiteDB6[[Site Name]:[Pcode]],3,FALSE)</f>
        <v>0</v>
      </c>
      <c r="DR589" s="709" t="str">
        <f t="shared" si="22"/>
        <v>Covered</v>
      </c>
      <c r="DS589" s="709"/>
    </row>
    <row r="590" spans="1:123">
      <c r="A590" s="701" t="s">
        <v>2519</v>
      </c>
      <c r="B590" s="701" t="s">
        <v>200</v>
      </c>
      <c r="C590" s="702" t="s">
        <v>200</v>
      </c>
      <c r="D590" s="702" t="s">
        <v>2960</v>
      </c>
      <c r="E590" s="702" t="s">
        <v>39</v>
      </c>
      <c r="F590" s="702" t="s">
        <v>203</v>
      </c>
      <c r="G590" s="711" t="str">
        <f>VLOOKUP(WWWW[[#This Row],[Site Name]],SiteDB6[[Site Name]:[Location Type]],8,FALSE)</f>
        <v>Camp</v>
      </c>
      <c r="H590" s="702" t="s">
        <v>208</v>
      </c>
      <c r="I590" s="705">
        <v>141</v>
      </c>
      <c r="J590" s="705">
        <v>800</v>
      </c>
      <c r="K590" s="706">
        <v>43466</v>
      </c>
      <c r="L590" s="707">
        <v>43830</v>
      </c>
      <c r="M590" s="705"/>
      <c r="N590" s="705"/>
      <c r="O590" s="705"/>
      <c r="P590" s="705"/>
      <c r="Q590" s="708" t="s">
        <v>43</v>
      </c>
      <c r="R590" s="705">
        <v>2</v>
      </c>
      <c r="S590" s="705">
        <v>2</v>
      </c>
      <c r="T590" s="807">
        <v>1</v>
      </c>
      <c r="U590" s="705"/>
      <c r="V590" s="705"/>
      <c r="W590" s="705"/>
      <c r="X590" s="705">
        <v>1</v>
      </c>
      <c r="Y590" s="705"/>
      <c r="Z590" s="705"/>
      <c r="AA590" s="705"/>
      <c r="AB590" s="705"/>
      <c r="AC590" s="705"/>
      <c r="AD590" s="705"/>
      <c r="AE590" s="705"/>
      <c r="AF590" s="705"/>
      <c r="AG590" s="705"/>
      <c r="AH590" s="705"/>
      <c r="AI590" s="705"/>
      <c r="AJ590" s="705"/>
      <c r="AK590" s="705"/>
      <c r="AL590" s="705"/>
      <c r="AM590" s="705"/>
      <c r="AN590" s="705"/>
      <c r="AO590" s="709"/>
      <c r="AP590" s="705">
        <v>21</v>
      </c>
      <c r="AQ590" s="705"/>
      <c r="AR590" s="710"/>
      <c r="AS590" s="705">
        <v>2</v>
      </c>
      <c r="AT590" s="705"/>
      <c r="AU590" s="705"/>
      <c r="AV590" s="705"/>
      <c r="AW590" s="705"/>
      <c r="AX590" s="711" t="s">
        <v>43</v>
      </c>
      <c r="AY590" s="709" t="s">
        <v>145</v>
      </c>
      <c r="AZ590" s="705"/>
      <c r="BA590" s="705"/>
      <c r="BB590" s="705"/>
      <c r="BC590" s="711"/>
      <c r="BD590" s="705">
        <v>9</v>
      </c>
      <c r="BE590" s="705"/>
      <c r="BF590" s="705"/>
      <c r="BG590" s="705">
        <v>5</v>
      </c>
      <c r="BH590" s="705"/>
      <c r="BI590" s="705"/>
      <c r="BJ590" s="705"/>
      <c r="BK590" s="705">
        <v>141</v>
      </c>
      <c r="BL590" s="705">
        <v>16</v>
      </c>
      <c r="BM590" s="711"/>
      <c r="BN590" s="712"/>
      <c r="BO590" s="710"/>
      <c r="BP590" s="711"/>
      <c r="BQ590" s="713" t="str">
        <f>IFERROR(WWWW[[#This Row],['#_Water sources treated]]/WWWW[[#This Row],['#_Water sources tested for contamination]],"no test")</f>
        <v>no test</v>
      </c>
      <c r="BR590" s="710" t="str">
        <f>IFERROR(WWWW[[#This Row],['#_Household received remediation action due to contamination]]/WWWW[[#This Row],['#_Household water samples tested for contamination]],"no test")</f>
        <v>no test</v>
      </c>
      <c r="BS590" s="712" t="str">
        <f>IF(AND(WWWW[[#This Row],[% of water sources treated]]="no test",WWWW[[#This Row],[% Household received corrective actions]]="no test"),"No Test","Tested")</f>
        <v>No Test</v>
      </c>
      <c r="BT590" s="712">
        <f>WWWW[[#This Row],['#_Constructed/existing protected hand dug well]]-WWWW[[#This Row],['#_Non-functional protected hand dug well]]</f>
        <v>1</v>
      </c>
      <c r="BU590" s="712">
        <f>(WWWW[[#This Row],['#_Constructed/Existing tube wells/boreholes/handpumps_WASH_agency]]+WWWW[[#This Row],['#_Non-Cluster partner water tube-wells/boreholes/handpumps]])-WWWW[[#This Row],['#_Non-functional tube wells/boreholes/handpumps]]</f>
        <v>1</v>
      </c>
      <c r="BV590" s="712">
        <f>WWWW[[#This Row],['#_Constructed/Existingwater storage tank with gravity fed reticulation system]]-WWWW[[#This Row],['#_Non-functional storage tank gravity fed reticulation system]]</f>
        <v>0</v>
      </c>
      <c r="BW590" s="712">
        <f>WWWW[[#This Row],['#_Water boating or water trucking]]</f>
        <v>0</v>
      </c>
      <c r="BX590" s="712">
        <f>WWWW[[#This Row],['#_Constructed/Existing water distribution system from river or natural spring]]</f>
        <v>0</v>
      </c>
      <c r="BY59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9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0.625</v>
      </c>
      <c r="CA590" s="710">
        <f>IF(WWWW[[#This Row],[Location Type 1]]="Village",WWWW[[#This Row],[Access to safe drinking water for Village]],WWWW[[#This Row],[Access to safe drinking water for Camp]])</f>
        <v>1</v>
      </c>
      <c r="CB590" s="708">
        <f>WWWW[[#This Row],[%Equitable and continuous access to sufficient quantity of safe drinking water]]*WWWW[[#This Row],[Total PoP ]]</f>
        <v>800</v>
      </c>
      <c r="CC590" s="710">
        <f>IF((WWWW[[#This Row],['#_Constructed/Existing protected/fenced ponds]]*250)/WWWW[[#This Row],[Total PoP ]]&gt;1,1,(WWWW[[#This Row],['#_Constructed/Existing protected/fenced ponds]]*250)/WWWW[[#This Row],[Total PoP ]])</f>
        <v>0</v>
      </c>
      <c r="CD590" s="708">
        <f>WWWW[[#This Row],[% Access to unimproved water points]]*WWWW[[#This Row],[Total PoP ]]</f>
        <v>0</v>
      </c>
      <c r="CE59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9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G590" s="708">
        <f>WWWW[[#This Row],[HRP1]]/500</f>
        <v>1.6</v>
      </c>
      <c r="CH590" s="714">
        <f>1-WWWW[[#This Row],[% Equitable and continuous access to sufficient quantity of domestic water]]</f>
        <v>0</v>
      </c>
      <c r="CI590" s="708">
        <f>WWWW[[#This Row],[%equitable and continuous access to sufficient quantity of safe drinking and domestic water''s GAP]]*WWWW[[#This Row],[Total PoP ]]</f>
        <v>0</v>
      </c>
      <c r="CJ590" s="712">
        <f>IF(WWWW[[#This Row],[Total required water points]]-WWWW[[#This Row],['#Water points coverage]]&lt;0,0,WWWW[[#This Row],[Total required water points]]-WWWW[[#This Row],['#Water points coverage]])</f>
        <v>0.39999999999999991</v>
      </c>
      <c r="CK590" s="712">
        <f>ROUND(IF(WWWW[[#This Row],[Total PoP ]]&lt;500,1,WWWW[[#This Row],[Total PoP ]]/500),0)</f>
        <v>2</v>
      </c>
      <c r="CL590" s="712">
        <f>(WWWW[[#This Row],['#_Constructed latrines_by_WASHAgencies]]+WWWW[[#This Row],['#_Non Cluster partner latrines]])-WWWW[[#This Row],['#_Non-functional latrines]]</f>
        <v>19</v>
      </c>
      <c r="CM59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0.47499999999999998</v>
      </c>
      <c r="CN59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380</v>
      </c>
      <c r="CO59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0" s="712">
        <f>IF(WWWW[[#This Row],[Location Type 1]]="Village","NA",IF(WWWW[[#This Row],['#_Constructed/Existing latrines in TLS]]*50&gt;WWWW[[#This Row],['#_students at TLS_CFS]],WWWW[[#This Row],['#_students at TLS_CFS]],(WWWW[[#This Row],['#_Constructed/Existing latrines in TLS]]*50)))</f>
        <v>0</v>
      </c>
      <c r="CQ590" s="712">
        <f>ROUND(IF(WWWW[[#This Row],[Location Type 1]]="camp",WWWW[[#This Row],[Total PoP ]]/20,IF(WWWW[[#This Row],[Location Type 1]]="Temporary Location",WWWW[[#This Row],[Total PoP ]]/50,(WWWW[[#This Row],[Total PoP ]]/6))),0)</f>
        <v>40</v>
      </c>
      <c r="CR590" s="712">
        <f>IF(WWWW[[#This Row],[Total required Latrines]]-(WWWW[[#This Row],['#_Constructed latrines_by_WASHAgencies]]+WWWW[[#This Row],['#_Non Cluster partner latrines]])&lt;0,0,WWWW[[#This Row],[Total required Latrines]]-(WWWW[[#This Row],['#_Constructed latrines_by_WASHAgencies]]+WWWW[[#This Row],['#_Non Cluster partner latrines]]))</f>
        <v>19</v>
      </c>
      <c r="CS590" s="714">
        <f>1-WWWW[[#This Row],[% people access to functioning Latrine]]</f>
        <v>0.52500000000000002</v>
      </c>
      <c r="CT590" s="713">
        <f>IF(OR(WWWW[[#This Row],['#_Non-functional latrines]]="",WWWW[[#This Row],['#_Non-functional latrines]]=0),0,WWWW[[#This Row],['#_Non-functional latrines]]/(WWWW[[#This Row],['#_Constructed latrines_by_WASHAgencies]]+WWWW[[#This Row],['#_Non Cluster partner latrines]]))</f>
        <v>9.5238095238095233E-2</v>
      </c>
      <c r="CU590" s="708">
        <f>IF(500*(WWWW[[#This Row],['#_male hygiene promoters]]+WWWW[[#This Row],['#_female hygiene promoters]])&gt;WWWW[[#This Row],[Total PoP ]],WWWW[[#This Row],[Total PoP ]],500*(WWWW[[#This Row],['#_male hygiene promoters]]+WWWW[[#This Row],['#_female hygiene promoters]]))</f>
        <v>0</v>
      </c>
      <c r="CV59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800</v>
      </c>
      <c r="CW59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80</v>
      </c>
      <c r="CX590" s="712">
        <f>IF(WWWW[[#This Row],['# People with access to soap]]&gt;WWWW[[#This Row],['# People with access to Sanity Pads]],WWWW[[#This Row],['# People with access to soap]],WWWW[[#This Row],['# People with access to Sanity Pads]])</f>
        <v>800</v>
      </c>
      <c r="CY590" s="712">
        <f>IF(WWWW[[#This Row],['# people reached by regular dedicated hygiene promotion_5]]&gt;WWWW[[#This Row],['# People received regular supply of hygiene items_6]],WWWW[[#This Row],['# people reached by regular dedicated hygiene promotion_5]],WWWW[[#This Row],['# People received regular supply of hygiene items_6]])</f>
        <v>800</v>
      </c>
      <c r="CZ590" s="714">
        <f>IF(WWWW[[#This Row],[HRP3]]/WWWW[[#This Row],[Total PoP ]]&gt;100%,100%,WWWW[[#This Row],[HRP3]]/WWWW[[#This Row],[Total PoP ]])</f>
        <v>1</v>
      </c>
      <c r="DA590" s="713">
        <f>1-WWWW[[#This Row],[Hygiene Coverage%]]</f>
        <v>0</v>
      </c>
      <c r="DB590" s="710">
        <f>WWWW[[#This Row],['# people reached by regular dedicated hygiene promotion_5]]/WWWW[[#This Row],[Total PoP ]]</f>
        <v>0</v>
      </c>
      <c r="DC590" s="710">
        <f>IF(WWWW[[#This Row],['#_households that received standard amount of soap for this quarter]]/WWWW[[#This Row],[Total HH]]&gt;1,1,WWWW[[#This Row],['#_households that received standard amount of soap for this quarter]]/WWWW[[#This Row],[Total HH]])</f>
        <v>1</v>
      </c>
      <c r="DD590" s="710">
        <f>IF(WWWW[[#This Row],['#_households that received standard amount of sanitary pads for this quarter]]/WWWW[[#This Row],[Total HH]]&gt;1,1,WWWW[[#This Row],['#_households that received standard amount of sanitary pads for this quarter]]/WWWW[[#This Row],[Total HH]])</f>
        <v>0.11347517730496454</v>
      </c>
      <c r="DE590" s="712">
        <f>WWWW[[#This Row],['#_Constructed/Existing hand washing stations]]-WWWW[[#This Row],['#_Non-Functional_hand_washing_stations]]</f>
        <v>9</v>
      </c>
      <c r="DF590" s="757">
        <f>IF(WWWW[[#This Row],['# Functional hand washing stations during reporting period]]*20&gt;WWWW[[#This Row],[Total HH]],WWWW[[#This Row],[Total HH]],WWWW[[#This Row],['# Functional hand washing stations during reporting period]]*20)</f>
        <v>141</v>
      </c>
      <c r="DG590" s="708">
        <f>IF(WWWW[[#This Row],[Is sufficient soap available for TLS? (Yes/No)]]="yes",WWWW[[#This Row],['#_Constructed/Existing hand washing stations at TLS]],0)</f>
        <v>0</v>
      </c>
      <c r="DH590" s="759">
        <f>IF(WWWW[[#This Row],['# Functional hand washing stations during reporting period]]*100&gt;WWWW[[#This Row],[Total PoP ]],WWWW[[#This Row],[Total PoP ]],WWWW[[#This Row],['# Functional hand washing stations during reporting period]]*100)</f>
        <v>800</v>
      </c>
      <c r="DI590" s="759" t="str">
        <f>IF(OR(WWWW[[#This Row],['#_students at TLS_CFS]]="",WWWW[[#This Row],['#_students at TLS_CFS]]=0),"No","Yes")</f>
        <v>No</v>
      </c>
      <c r="DJ590" s="711" t="str">
        <f>VLOOKUP(WWWW[[#This Row],[Site Name]],SiteDB6[[Site Name]:[CCCM Management]],6,FALSE)</f>
        <v>Yes</v>
      </c>
      <c r="DK590" s="711" t="str">
        <f>VLOOKUP(WWWW[[#This Row],[Site Name]],SiteDB6[[Site Name]:[CCCM Focal Agency]],7,FALSE)</f>
        <v>Shalom</v>
      </c>
      <c r="DL590" s="711" t="str">
        <f>VLOOKUP(WWWW[[#This Row],[Site Name]],SiteDB6[[Site Name]:[Location Type 1]],9,FALSE)</f>
        <v>Camp</v>
      </c>
      <c r="DM590" s="711" t="str">
        <f>VLOOKUP(WWWW[[#This Row],[Site Name]],SiteDB6[[Site Name]:[Type of Accommodation]],10,FALSE)</f>
        <v>Camp</v>
      </c>
      <c r="DN590" s="711" t="str">
        <f>VLOOKUP(WWWW[[#This Row],[Site Name]],SiteDB6[[Site Name]:[Ethnic or GCA/NGCA]],11,FALSE)</f>
        <v>GCA</v>
      </c>
      <c r="DO590" s="711">
        <f>VLOOKUP(WWWW[[#This Row],[Site Name]],SiteDB6[[Site Name]:[Lat]],12,FALSE)</f>
        <v>24.263174360000001</v>
      </c>
      <c r="DP590" s="711">
        <f>VLOOKUP(WWWW[[#This Row],[Site Name]],SiteDB6[[Site Name]:[Long]],13,FALSE)</f>
        <v>97.240183459999997</v>
      </c>
      <c r="DQ590" s="711" t="str">
        <f>VLOOKUP(WWWW[[#This Row],[Site Name]],SiteDB6[[Site Name]:[Pcode]],3,FALSE)</f>
        <v>MMR001CMP049</v>
      </c>
      <c r="DR590" s="709" t="str">
        <f t="shared" si="22"/>
        <v>Covered</v>
      </c>
      <c r="DS590" s="709"/>
    </row>
    <row r="591" spans="1:123">
      <c r="A591" s="701" t="s">
        <v>2519</v>
      </c>
      <c r="B591" s="701" t="s">
        <v>200</v>
      </c>
      <c r="C591" s="702" t="s">
        <v>200</v>
      </c>
      <c r="D591" s="702" t="s">
        <v>2960</v>
      </c>
      <c r="E591" s="702" t="s">
        <v>39</v>
      </c>
      <c r="F591" s="702" t="s">
        <v>213</v>
      </c>
      <c r="G591" s="711" t="str">
        <f>VLOOKUP(WWWW[[#This Row],[Site Name]],SiteDB6[[Site Name]:[Location Type]],8,FALSE)</f>
        <v>Camp</v>
      </c>
      <c r="H591" s="702" t="s">
        <v>218</v>
      </c>
      <c r="I591" s="705">
        <v>242</v>
      </c>
      <c r="J591" s="705">
        <v>1258</v>
      </c>
      <c r="K591" s="706">
        <v>43466</v>
      </c>
      <c r="L591" s="707">
        <v>43830</v>
      </c>
      <c r="M591" s="705"/>
      <c r="N591" s="705"/>
      <c r="O591" s="705"/>
      <c r="P591" s="705"/>
      <c r="Q591" s="708" t="s">
        <v>144</v>
      </c>
      <c r="R591" s="705"/>
      <c r="S591" s="705"/>
      <c r="T591" s="807"/>
      <c r="U591" s="705"/>
      <c r="V591" s="705"/>
      <c r="W591" s="705">
        <v>2</v>
      </c>
      <c r="X591" s="705">
        <v>1</v>
      </c>
      <c r="Y591" s="705"/>
      <c r="Z591" s="705"/>
      <c r="AA591" s="705"/>
      <c r="AB591" s="705"/>
      <c r="AC591" s="705"/>
      <c r="AD591" s="705"/>
      <c r="AE591" s="705"/>
      <c r="AF591" s="705"/>
      <c r="AG591" s="705"/>
      <c r="AH591" s="705"/>
      <c r="AI591" s="705"/>
      <c r="AJ591" s="705"/>
      <c r="AK591" s="705"/>
      <c r="AL591" s="705"/>
      <c r="AM591" s="705"/>
      <c r="AN591" s="705"/>
      <c r="AO591" s="709"/>
      <c r="AP591" s="705">
        <v>40</v>
      </c>
      <c r="AQ591" s="705"/>
      <c r="AR591" s="710"/>
      <c r="AS591" s="705">
        <v>2</v>
      </c>
      <c r="AT591" s="705"/>
      <c r="AU591" s="705"/>
      <c r="AV591" s="705"/>
      <c r="AW591" s="705"/>
      <c r="AX591" s="711" t="s">
        <v>43</v>
      </c>
      <c r="AY591" s="709" t="s">
        <v>145</v>
      </c>
      <c r="AZ591" s="705"/>
      <c r="BA591" s="705"/>
      <c r="BB591" s="705"/>
      <c r="BC591" s="711"/>
      <c r="BD591" s="705">
        <v>17</v>
      </c>
      <c r="BE591" s="705"/>
      <c r="BF591" s="705"/>
      <c r="BG591" s="705">
        <v>5</v>
      </c>
      <c r="BH591" s="705"/>
      <c r="BI591" s="705"/>
      <c r="BJ591" s="705"/>
      <c r="BK591" s="705">
        <v>242</v>
      </c>
      <c r="BL591" s="705">
        <v>38</v>
      </c>
      <c r="BM591" s="711"/>
      <c r="BN591" s="712"/>
      <c r="BO591" s="710"/>
      <c r="BP591" s="711"/>
      <c r="BQ591" s="713" t="str">
        <f>IFERROR(WWWW[[#This Row],['#_Water sources treated]]/WWWW[[#This Row],['#_Water sources tested for contamination]],"no test")</f>
        <v>no test</v>
      </c>
      <c r="BR591" s="710" t="str">
        <f>IFERROR(WWWW[[#This Row],['#_Household received remediation action due to contamination]]/WWWW[[#This Row],['#_Household water samples tested for contamination]],"no test")</f>
        <v>no test</v>
      </c>
      <c r="BS591" s="712" t="str">
        <f>IF(AND(WWWW[[#This Row],[% of water sources treated]]="no test",WWWW[[#This Row],[% Household received corrective actions]]="no test"),"No Test","Tested")</f>
        <v>No Test</v>
      </c>
      <c r="BT591" s="712">
        <f>WWWW[[#This Row],['#_Constructed/existing protected hand dug well]]-WWWW[[#This Row],['#_Non-functional protected hand dug well]]</f>
        <v>0</v>
      </c>
      <c r="BU591" s="712">
        <f>(WWWW[[#This Row],['#_Constructed/Existing tube wells/boreholes/handpumps_WASH_agency]]+WWWW[[#This Row],['#_Non-Cluster partner water tube-wells/boreholes/handpumps]])-WWWW[[#This Row],['#_Non-functional tube wells/boreholes/handpumps]]</f>
        <v>3</v>
      </c>
      <c r="BV591" s="712">
        <f>WWWW[[#This Row],['#_Constructed/Existingwater storage tank with gravity fed reticulation system]]-WWWW[[#This Row],['#_Non-functional storage tank gravity fed reticulation system]]</f>
        <v>0</v>
      </c>
      <c r="BW591" s="712">
        <f>WWWW[[#This Row],['#_Water boating or water trucking]]</f>
        <v>0</v>
      </c>
      <c r="BX591" s="712">
        <f>WWWW[[#This Row],['#_Constructed/Existing water distribution system from river or natural spring]]</f>
        <v>0</v>
      </c>
      <c r="BY59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9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0.59618441971383151</v>
      </c>
      <c r="CA591" s="710">
        <f>IF(WWWW[[#This Row],[Location Type 1]]="Village",WWWW[[#This Row],[Access to safe drinking water for Village]],WWWW[[#This Row],[Access to safe drinking water for Camp]])</f>
        <v>1</v>
      </c>
      <c r="CB591" s="708">
        <f>WWWW[[#This Row],[%Equitable and continuous access to sufficient quantity of safe drinking water]]*WWWW[[#This Row],[Total PoP ]]</f>
        <v>1258</v>
      </c>
      <c r="CC591" s="710">
        <f>IF((WWWW[[#This Row],['#_Constructed/Existing protected/fenced ponds]]*250)/WWWW[[#This Row],[Total PoP ]]&gt;1,1,(WWWW[[#This Row],['#_Constructed/Existing protected/fenced ponds]]*250)/WWWW[[#This Row],[Total PoP ]])</f>
        <v>0</v>
      </c>
      <c r="CD591" s="708">
        <f>WWWW[[#This Row],[% Access to unimproved water points]]*WWWW[[#This Row],[Total PoP ]]</f>
        <v>0</v>
      </c>
      <c r="CE59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9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1258</v>
      </c>
      <c r="CG591" s="708">
        <f>WWWW[[#This Row],[HRP1]]/500</f>
        <v>2.516</v>
      </c>
      <c r="CH591" s="714">
        <f>1-WWWW[[#This Row],[% Equitable and continuous access to sufficient quantity of domestic water]]</f>
        <v>0</v>
      </c>
      <c r="CI591" s="708">
        <f>WWWW[[#This Row],[%equitable and continuous access to sufficient quantity of safe drinking and domestic water''s GAP]]*WWWW[[#This Row],[Total PoP ]]</f>
        <v>0</v>
      </c>
      <c r="CJ591" s="712">
        <f>IF(WWWW[[#This Row],[Total required water points]]-WWWW[[#This Row],['#Water points coverage]]&lt;0,0,WWWW[[#This Row],[Total required water points]]-WWWW[[#This Row],['#Water points coverage]])</f>
        <v>0.48399999999999999</v>
      </c>
      <c r="CK591" s="712">
        <f>ROUND(IF(WWWW[[#This Row],[Total PoP ]]&lt;500,1,WWWW[[#This Row],[Total PoP ]]/500),0)</f>
        <v>3</v>
      </c>
      <c r="CL591" s="712">
        <f>(WWWW[[#This Row],['#_Constructed latrines_by_WASHAgencies]]+WWWW[[#This Row],['#_Non Cluster partner latrines]])-WWWW[[#This Row],['#_Non-functional latrines]]</f>
        <v>38</v>
      </c>
      <c r="CM59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0.60413354531001595</v>
      </c>
      <c r="CN59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59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1" s="712">
        <f>IF(WWWW[[#This Row],[Location Type 1]]="Village","NA",IF(WWWW[[#This Row],['#_Constructed/Existing latrines in TLS]]*50&gt;WWWW[[#This Row],['#_students at TLS_CFS]],WWWW[[#This Row],['#_students at TLS_CFS]],(WWWW[[#This Row],['#_Constructed/Existing latrines in TLS]]*50)))</f>
        <v>0</v>
      </c>
      <c r="CQ591" s="712">
        <f>ROUND(IF(WWWW[[#This Row],[Location Type 1]]="camp",WWWW[[#This Row],[Total PoP ]]/20,IF(WWWW[[#This Row],[Location Type 1]]="Temporary Location",WWWW[[#This Row],[Total PoP ]]/50,(WWWW[[#This Row],[Total PoP ]]/6))),0)</f>
        <v>63</v>
      </c>
      <c r="CR591" s="712">
        <f>IF(WWWW[[#This Row],[Total required Latrines]]-(WWWW[[#This Row],['#_Constructed latrines_by_WASHAgencies]]+WWWW[[#This Row],['#_Non Cluster partner latrines]])&lt;0,0,WWWW[[#This Row],[Total required Latrines]]-(WWWW[[#This Row],['#_Constructed latrines_by_WASHAgencies]]+WWWW[[#This Row],['#_Non Cluster partner latrines]]))</f>
        <v>23</v>
      </c>
      <c r="CS591" s="714">
        <f>1-WWWW[[#This Row],[% people access to functioning Latrine]]</f>
        <v>0.39586645468998405</v>
      </c>
      <c r="CT591" s="713">
        <f>IF(OR(WWWW[[#This Row],['#_Non-functional latrines]]="",WWWW[[#This Row],['#_Non-functional latrines]]=0),0,WWWW[[#This Row],['#_Non-functional latrines]]/(WWWW[[#This Row],['#_Constructed latrines_by_WASHAgencies]]+WWWW[[#This Row],['#_Non Cluster partner latrines]]))</f>
        <v>0.05</v>
      </c>
      <c r="CU591" s="708">
        <f>IF(500*(WWWW[[#This Row],['#_male hygiene promoters]]+WWWW[[#This Row],['#_female hygiene promoters]])&gt;WWWW[[#This Row],[Total PoP ]],WWWW[[#This Row],[Total PoP ]],500*(WWWW[[#This Row],['#_male hygiene promoters]]+WWWW[[#This Row],['#_female hygiene promoters]]))</f>
        <v>0</v>
      </c>
      <c r="CV59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1258</v>
      </c>
      <c r="CW59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190</v>
      </c>
      <c r="CX591" s="712">
        <f>IF(WWWW[[#This Row],['# People with access to soap]]&gt;WWWW[[#This Row],['# People with access to Sanity Pads]],WWWW[[#This Row],['# People with access to soap]],WWWW[[#This Row],['# People with access to Sanity Pads]])</f>
        <v>1258</v>
      </c>
      <c r="CY591" s="712">
        <f>IF(WWWW[[#This Row],['# people reached by regular dedicated hygiene promotion_5]]&gt;WWWW[[#This Row],['# People received regular supply of hygiene items_6]],WWWW[[#This Row],['# people reached by regular dedicated hygiene promotion_5]],WWWW[[#This Row],['# People received regular supply of hygiene items_6]])</f>
        <v>1258</v>
      </c>
      <c r="CZ591" s="714">
        <f>IF(WWWW[[#This Row],[HRP3]]/WWWW[[#This Row],[Total PoP ]]&gt;100%,100%,WWWW[[#This Row],[HRP3]]/WWWW[[#This Row],[Total PoP ]])</f>
        <v>1</v>
      </c>
      <c r="DA591" s="713">
        <f>1-WWWW[[#This Row],[Hygiene Coverage%]]</f>
        <v>0</v>
      </c>
      <c r="DB591" s="710">
        <f>WWWW[[#This Row],['# people reached by regular dedicated hygiene promotion_5]]/WWWW[[#This Row],[Total PoP ]]</f>
        <v>0</v>
      </c>
      <c r="DC591" s="710">
        <f>IF(WWWW[[#This Row],['#_households that received standard amount of soap for this quarter]]/WWWW[[#This Row],[Total HH]]&gt;1,1,WWWW[[#This Row],['#_households that received standard amount of soap for this quarter]]/WWWW[[#This Row],[Total HH]])</f>
        <v>1</v>
      </c>
      <c r="DD591" s="710">
        <f>IF(WWWW[[#This Row],['#_households that received standard amount of sanitary pads for this quarter]]/WWWW[[#This Row],[Total HH]]&gt;1,1,WWWW[[#This Row],['#_households that received standard amount of sanitary pads for this quarter]]/WWWW[[#This Row],[Total HH]])</f>
        <v>0.15702479338842976</v>
      </c>
      <c r="DE591" s="712">
        <f>WWWW[[#This Row],['#_Constructed/Existing hand washing stations]]-WWWW[[#This Row],['#_Non-Functional_hand_washing_stations]]</f>
        <v>17</v>
      </c>
      <c r="DF591" s="757">
        <f>IF(WWWW[[#This Row],['# Functional hand washing stations during reporting period]]*20&gt;WWWW[[#This Row],[Total HH]],WWWW[[#This Row],[Total HH]],WWWW[[#This Row],['# Functional hand washing stations during reporting period]]*20)</f>
        <v>242</v>
      </c>
      <c r="DG591" s="708">
        <f>IF(WWWW[[#This Row],[Is sufficient soap available for TLS? (Yes/No)]]="yes",WWWW[[#This Row],['#_Constructed/Existing hand washing stations at TLS]],0)</f>
        <v>0</v>
      </c>
      <c r="DH591" s="759">
        <f>IF(WWWW[[#This Row],['# Functional hand washing stations during reporting period]]*100&gt;WWWW[[#This Row],[Total PoP ]],WWWW[[#This Row],[Total PoP ]],WWWW[[#This Row],['# Functional hand washing stations during reporting period]]*100)</f>
        <v>1258</v>
      </c>
      <c r="DI591" s="759" t="str">
        <f>IF(OR(WWWW[[#This Row],['#_students at TLS_CFS]]="",WWWW[[#This Row],['#_students at TLS_CFS]]=0),"No","Yes")</f>
        <v>No</v>
      </c>
      <c r="DJ591" s="711" t="str">
        <f>VLOOKUP(WWWW[[#This Row],[Site Name]],SiteDB6[[Site Name]:[CCCM Management]],6,FALSE)</f>
        <v>Yes</v>
      </c>
      <c r="DK591" s="711" t="str">
        <f>VLOOKUP(WWWW[[#This Row],[Site Name]],SiteDB6[[Site Name]:[CCCM Focal Agency]],7,FALSE)</f>
        <v>KMSS-BMO</v>
      </c>
      <c r="DL591" s="711" t="str">
        <f>VLOOKUP(WWWW[[#This Row],[Site Name]],SiteDB6[[Site Name]:[Location Type 1]],9,FALSE)</f>
        <v>Camp</v>
      </c>
      <c r="DM591" s="711" t="str">
        <f>VLOOKUP(WWWW[[#This Row],[Site Name]],SiteDB6[[Site Name]:[Type of Accommodation]],10,FALSE)</f>
        <v>Camp</v>
      </c>
      <c r="DN591" s="711" t="str">
        <f>VLOOKUP(WWWW[[#This Row],[Site Name]],SiteDB6[[Site Name]:[Ethnic or GCA/NGCA]],11,FALSE)</f>
        <v>GCA</v>
      </c>
      <c r="DO591" s="711">
        <f>VLOOKUP(WWWW[[#This Row],[Site Name]],SiteDB6[[Site Name]:[Lat]],12,FALSE)</f>
        <v>24.245100000000001</v>
      </c>
      <c r="DP591" s="711">
        <f>VLOOKUP(WWWW[[#This Row],[Site Name]],SiteDB6[[Site Name]:[Long]],13,FALSE)</f>
        <v>97.325019999999995</v>
      </c>
      <c r="DQ591" s="711" t="str">
        <f>VLOOKUP(WWWW[[#This Row],[Site Name]],SiteDB6[[Site Name]:[Pcode]],3,FALSE)</f>
        <v>MMR001CMP062</v>
      </c>
      <c r="DR591" s="709" t="str">
        <f t="shared" si="22"/>
        <v>Covered</v>
      </c>
      <c r="DS591" s="709"/>
    </row>
    <row r="592" spans="1:123">
      <c r="A592" s="701" t="s">
        <v>2519</v>
      </c>
      <c r="B592" s="701" t="s">
        <v>200</v>
      </c>
      <c r="C592" s="702" t="s">
        <v>200</v>
      </c>
      <c r="D592" s="702" t="s">
        <v>249</v>
      </c>
      <c r="E592" s="702" t="s">
        <v>39</v>
      </c>
      <c r="F592" s="702" t="s">
        <v>40</v>
      </c>
      <c r="G592" s="711" t="str">
        <f>VLOOKUP(WWWW[[#This Row],[Site Name]],SiteDB6[[Site Name]:[Location Type]],8,FALSE)</f>
        <v>Camp</v>
      </c>
      <c r="H592" s="702" t="s">
        <v>306</v>
      </c>
      <c r="I592" s="705">
        <v>128</v>
      </c>
      <c r="J592" s="705">
        <v>647</v>
      </c>
      <c r="K592" s="706">
        <v>43497</v>
      </c>
      <c r="L592" s="707">
        <v>43861</v>
      </c>
      <c r="M592" s="705"/>
      <c r="N592" s="705"/>
      <c r="O592" s="705"/>
      <c r="P592" s="705"/>
      <c r="Q592" s="708"/>
      <c r="R592" s="705"/>
      <c r="S592" s="705"/>
      <c r="T592" s="807"/>
      <c r="U592" s="705"/>
      <c r="V592" s="705"/>
      <c r="W592" s="705"/>
      <c r="X592" s="705"/>
      <c r="Y592" s="705"/>
      <c r="Z592" s="705">
        <v>1</v>
      </c>
      <c r="AA592" s="705"/>
      <c r="AB592" s="705"/>
      <c r="AC592" s="705"/>
      <c r="AD592" s="705"/>
      <c r="AE592" s="705"/>
      <c r="AF592" s="705"/>
      <c r="AG592" s="705"/>
      <c r="AH592" s="705"/>
      <c r="AI592" s="705"/>
      <c r="AJ592" s="705"/>
      <c r="AK592" s="705"/>
      <c r="AL592" s="705"/>
      <c r="AM592" s="705"/>
      <c r="AN592" s="705"/>
      <c r="AO592" s="709"/>
      <c r="AP592" s="705">
        <v>8</v>
      </c>
      <c r="AQ592" s="705"/>
      <c r="AR592" s="710"/>
      <c r="AS592" s="705"/>
      <c r="AT592" s="705"/>
      <c r="AU592" s="705">
        <v>8</v>
      </c>
      <c r="AV592" s="705"/>
      <c r="AW592" s="705"/>
      <c r="AX592" s="752" t="s">
        <v>148</v>
      </c>
      <c r="AY592" s="782" t="s">
        <v>148</v>
      </c>
      <c r="AZ592" s="705"/>
      <c r="BA592" s="705"/>
      <c r="BB592" s="705"/>
      <c r="BC592" s="711"/>
      <c r="BD592" s="705"/>
      <c r="BE592" s="705"/>
      <c r="BF592" s="705"/>
      <c r="BG592" s="705"/>
      <c r="BH592" s="705"/>
      <c r="BI592" s="705"/>
      <c r="BJ592" s="705">
        <v>1</v>
      </c>
      <c r="BK592" s="705">
        <v>128</v>
      </c>
      <c r="BL592" s="705">
        <v>128</v>
      </c>
      <c r="BM592" s="711"/>
      <c r="BN592" s="712"/>
      <c r="BO592" s="710"/>
      <c r="BP592" s="711"/>
      <c r="BQ592" s="713" t="str">
        <f>IFERROR(WWWW[[#This Row],['#_Water sources treated]]/WWWW[[#This Row],['#_Water sources tested for contamination]],"no test")</f>
        <v>no test</v>
      </c>
      <c r="BR592" s="710" t="str">
        <f>IFERROR(WWWW[[#This Row],['#_Household received remediation action due to contamination]]/WWWW[[#This Row],['#_Household water samples tested for contamination]],"no test")</f>
        <v>no test</v>
      </c>
      <c r="BS592" s="712" t="str">
        <f>IF(AND(WWWW[[#This Row],[% of water sources treated]]="no test",WWWW[[#This Row],[% Household received corrective actions]]="no test"),"No Test","Tested")</f>
        <v>No Test</v>
      </c>
      <c r="BT592" s="712">
        <f>WWWW[[#This Row],['#_Constructed/existing protected hand dug well]]-WWWW[[#This Row],['#_Non-functional protected hand dug well]]</f>
        <v>0</v>
      </c>
      <c r="BU592" s="712">
        <f>(WWWW[[#This Row],['#_Constructed/Existing tube wells/boreholes/handpumps_WASH_agency]]+WWWW[[#This Row],['#_Non-Cluster partner water tube-wells/boreholes/handpumps]])-WWWW[[#This Row],['#_Non-functional tube wells/boreholes/handpumps]]</f>
        <v>0</v>
      </c>
      <c r="BV592" s="712">
        <f>WWWW[[#This Row],['#_Constructed/Existingwater storage tank with gravity fed reticulation system]]-WWWW[[#This Row],['#_Non-functional storage tank gravity fed reticulation system]]</f>
        <v>0</v>
      </c>
      <c r="BW592" s="712">
        <f>WWWW[[#This Row],['#_Water boating or water trucking]]</f>
        <v>0</v>
      </c>
      <c r="BX592" s="712">
        <f>WWWW[[#This Row],['#_Constructed/Existing water distribution system from river or natural spring]]</f>
        <v>0</v>
      </c>
      <c r="BY59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9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92" s="710">
        <f>IF(WWWW[[#This Row],[Location Type 1]]="Village",WWWW[[#This Row],[Access to safe drinking water for Village]],WWWW[[#This Row],[Access to safe drinking water for Camp]])</f>
        <v>0</v>
      </c>
      <c r="CB592" s="708">
        <f>WWWW[[#This Row],[%Equitable and continuous access to sufficient quantity of safe drinking water]]*WWWW[[#This Row],[Total PoP ]]</f>
        <v>0</v>
      </c>
      <c r="CC592" s="710">
        <f>IF((WWWW[[#This Row],['#_Constructed/Existing protected/fenced ponds]]*250)/WWWW[[#This Row],[Total PoP ]]&gt;1,1,(WWWW[[#This Row],['#_Constructed/Existing protected/fenced ponds]]*250)/WWWW[[#This Row],[Total PoP ]])</f>
        <v>0</v>
      </c>
      <c r="CD592" s="708">
        <f>WWWW[[#This Row],[% Access to unimproved water points]]*WWWW[[#This Row],[Total PoP ]]</f>
        <v>0</v>
      </c>
      <c r="CE59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9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92" s="708">
        <f>WWWW[[#This Row],[HRP1]]/500</f>
        <v>0</v>
      </c>
      <c r="CH592" s="714">
        <f>1-WWWW[[#This Row],[% Equitable and continuous access to sufficient quantity of domestic water]]</f>
        <v>1</v>
      </c>
      <c r="CI592" s="708">
        <f>WWWW[[#This Row],[%equitable and continuous access to sufficient quantity of safe drinking and domestic water''s GAP]]*WWWW[[#This Row],[Total PoP ]]</f>
        <v>647</v>
      </c>
      <c r="CJ592" s="712">
        <f>IF(WWWW[[#This Row],[Total required water points]]-WWWW[[#This Row],['#Water points coverage]]&lt;0,0,WWWW[[#This Row],[Total required water points]]-WWWW[[#This Row],['#Water points coverage]])</f>
        <v>1</v>
      </c>
      <c r="CK592" s="712">
        <f>ROUND(IF(WWWW[[#This Row],[Total PoP ]]&lt;500,1,WWWW[[#This Row],[Total PoP ]]/500),0)</f>
        <v>1</v>
      </c>
      <c r="CL592" s="712">
        <f>(WWWW[[#This Row],['#_Constructed latrines_by_WASHAgencies]]+WWWW[[#This Row],['#_Non Cluster partner latrines]])-WWWW[[#This Row],['#_Non-functional latrines]]</f>
        <v>8</v>
      </c>
      <c r="CM59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0.2472952086553323</v>
      </c>
      <c r="CN59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59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P592" s="712">
        <f>IF(WWWW[[#This Row],[Location Type 1]]="Village","NA",IF(WWWW[[#This Row],['#_Constructed/Existing latrines in TLS]]*50&gt;WWWW[[#This Row],['#_students at TLS_CFS]],WWWW[[#This Row],['#_students at TLS_CFS]],(WWWW[[#This Row],['#_Constructed/Existing latrines in TLS]]*50)))</f>
        <v>0</v>
      </c>
      <c r="CQ592" s="712">
        <f>ROUND(IF(WWWW[[#This Row],[Location Type 1]]="camp",WWWW[[#This Row],[Total PoP ]]/20,IF(WWWW[[#This Row],[Location Type 1]]="Temporary Location",WWWW[[#This Row],[Total PoP ]]/50,(WWWW[[#This Row],[Total PoP ]]/6))),0)</f>
        <v>32</v>
      </c>
      <c r="CR592" s="712">
        <f>IF(WWWW[[#This Row],[Total required Latrines]]-(WWWW[[#This Row],['#_Constructed latrines_by_WASHAgencies]]+WWWW[[#This Row],['#_Non Cluster partner latrines]])&lt;0,0,WWWW[[#This Row],[Total required Latrines]]-(WWWW[[#This Row],['#_Constructed latrines_by_WASHAgencies]]+WWWW[[#This Row],['#_Non Cluster partner latrines]]))</f>
        <v>24</v>
      </c>
      <c r="CS592" s="714">
        <f>1-WWWW[[#This Row],[% people access to functioning Latrine]]</f>
        <v>0.75270479134466772</v>
      </c>
      <c r="CT592" s="713">
        <f>IF(OR(WWWW[[#This Row],['#_Non-functional latrines]]="",WWWW[[#This Row],['#_Non-functional latrines]]=0),0,WWWW[[#This Row],['#_Non-functional latrines]]/(WWWW[[#This Row],['#_Constructed latrines_by_WASHAgencies]]+WWWW[[#This Row],['#_Non Cluster partner latrines]]))</f>
        <v>0</v>
      </c>
      <c r="CU592" s="708">
        <f>IF(500*(WWWW[[#This Row],['#_male hygiene promoters]]+WWWW[[#This Row],['#_female hygiene promoters]])&gt;WWWW[[#This Row],[Total PoP ]],WWWW[[#This Row],[Total PoP ]],500*(WWWW[[#This Row],['#_male hygiene promoters]]+WWWW[[#This Row],['#_female hygiene promoters]]))</f>
        <v>500</v>
      </c>
      <c r="CV59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647</v>
      </c>
      <c r="CW59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647</v>
      </c>
      <c r="CX592" s="712">
        <f>IF(WWWW[[#This Row],['# People with access to soap]]&gt;WWWW[[#This Row],['# People with access to Sanity Pads]],WWWW[[#This Row],['# People with access to soap]],WWWW[[#This Row],['# People with access to Sanity Pads]])</f>
        <v>647</v>
      </c>
      <c r="CY592" s="712">
        <f>IF(WWWW[[#This Row],['# people reached by regular dedicated hygiene promotion_5]]&gt;WWWW[[#This Row],['# People received regular supply of hygiene items_6]],WWWW[[#This Row],['# people reached by regular dedicated hygiene promotion_5]],WWWW[[#This Row],['# People received regular supply of hygiene items_6]])</f>
        <v>647</v>
      </c>
      <c r="CZ592" s="714">
        <f>IF(WWWW[[#This Row],[HRP3]]/WWWW[[#This Row],[Total PoP ]]&gt;100%,100%,WWWW[[#This Row],[HRP3]]/WWWW[[#This Row],[Total PoP ]])</f>
        <v>1</v>
      </c>
      <c r="DA592" s="713">
        <f>1-WWWW[[#This Row],[Hygiene Coverage%]]</f>
        <v>0</v>
      </c>
      <c r="DB592" s="710">
        <f>WWWW[[#This Row],['# people reached by regular dedicated hygiene promotion_5]]/WWWW[[#This Row],[Total PoP ]]</f>
        <v>0.77279752704791349</v>
      </c>
      <c r="DC592" s="710">
        <f>IF(WWWW[[#This Row],['#_households that received standard amount of soap for this quarter]]/WWWW[[#This Row],[Total HH]]&gt;1,1,WWWW[[#This Row],['#_households that received standard amount of soap for this quarter]]/WWWW[[#This Row],[Total HH]])</f>
        <v>1</v>
      </c>
      <c r="DD592" s="710">
        <f>IF(WWWW[[#This Row],['#_households that received standard amount of sanitary pads for this quarter]]/WWWW[[#This Row],[Total HH]]&gt;1,1,WWWW[[#This Row],['#_households that received standard amount of sanitary pads for this quarter]]/WWWW[[#This Row],[Total HH]])</f>
        <v>1</v>
      </c>
      <c r="DE592" s="712">
        <f>WWWW[[#This Row],['#_Constructed/Existing hand washing stations]]-WWWW[[#This Row],['#_Non-Functional_hand_washing_stations]]</f>
        <v>0</v>
      </c>
      <c r="DF592" s="757">
        <f>IF(WWWW[[#This Row],['# Functional hand washing stations during reporting period]]*20&gt;WWWW[[#This Row],[Total HH]],WWWW[[#This Row],[Total HH]],WWWW[[#This Row],['# Functional hand washing stations during reporting period]]*20)</f>
        <v>0</v>
      </c>
      <c r="DG592" s="708">
        <f>IF(WWWW[[#This Row],[Is sufficient soap available for TLS? (Yes/No)]]="yes",WWWW[[#This Row],['#_Constructed/Existing hand washing stations at TLS]],0)</f>
        <v>0</v>
      </c>
      <c r="DH592" s="759">
        <f>IF(WWWW[[#This Row],['# Functional hand washing stations during reporting period]]*100&gt;WWWW[[#This Row],[Total PoP ]],WWWW[[#This Row],[Total PoP ]],WWWW[[#This Row],['# Functional hand washing stations during reporting period]]*100)</f>
        <v>0</v>
      </c>
      <c r="DI592" s="759" t="str">
        <f>IF(OR(WWWW[[#This Row],['#_students at TLS_CFS]]="",WWWW[[#This Row],['#_students at TLS_CFS]]=0),"No","Yes")</f>
        <v>No</v>
      </c>
      <c r="DJ592" s="711" t="str">
        <f>VLOOKUP(WWWW[[#This Row],[Site Name]],SiteDB6[[Site Name]:[CCCM Management]],6,FALSE)</f>
        <v>Yes</v>
      </c>
      <c r="DK592" s="711" t="str">
        <f>VLOOKUP(WWWW[[#This Row],[Site Name]],SiteDB6[[Site Name]:[CCCM Focal Agency]],7,FALSE)</f>
        <v>KBC</v>
      </c>
      <c r="DL592" s="711" t="str">
        <f>VLOOKUP(WWWW[[#This Row],[Site Name]],SiteDB6[[Site Name]:[Location Type 1]],9,FALSE)</f>
        <v>Camp</v>
      </c>
      <c r="DM592" s="711" t="str">
        <f>VLOOKUP(WWWW[[#This Row],[Site Name]],SiteDB6[[Site Name]:[Type of Accommodation]],10,FALSE)</f>
        <v>Camp</v>
      </c>
      <c r="DN592" s="711" t="str">
        <f>VLOOKUP(WWWW[[#This Row],[Site Name]],SiteDB6[[Site Name]:[Ethnic or GCA/NGCA]],11,FALSE)</f>
        <v>GCA</v>
      </c>
      <c r="DO592" s="711">
        <f>VLOOKUP(WWWW[[#This Row],[Site Name]],SiteDB6[[Site Name]:[Lat]],12,FALSE)</f>
        <v>23.83013</v>
      </c>
      <c r="DP592" s="711">
        <f>VLOOKUP(WWWW[[#This Row],[Site Name]],SiteDB6[[Site Name]:[Long]],13,FALSE)</f>
        <v>97.589979999999997</v>
      </c>
      <c r="DQ592" s="711" t="str">
        <f>VLOOKUP(WWWW[[#This Row],[Site Name]],SiteDB6[[Site Name]:[Pcode]],3,FALSE)</f>
        <v>MMR001CMP133</v>
      </c>
      <c r="DR592" s="709" t="str">
        <f t="shared" si="22"/>
        <v>Covered</v>
      </c>
      <c r="DS592" s="709"/>
    </row>
    <row r="593" spans="1:123">
      <c r="A593" s="701" t="s">
        <v>2519</v>
      </c>
      <c r="B593" s="701" t="s">
        <v>200</v>
      </c>
      <c r="C593" s="702" t="s">
        <v>200</v>
      </c>
      <c r="D593" s="702" t="s">
        <v>249</v>
      </c>
      <c r="E593" s="702" t="s">
        <v>39</v>
      </c>
      <c r="F593" s="702" t="s">
        <v>40</v>
      </c>
      <c r="G593" s="711" t="str">
        <f>VLOOKUP(WWWW[[#This Row],[Site Name]],SiteDB6[[Site Name]:[Location Type]],8,FALSE)</f>
        <v>Camp</v>
      </c>
      <c r="H593" s="702" t="s">
        <v>308</v>
      </c>
      <c r="I593" s="705">
        <v>119</v>
      </c>
      <c r="J593" s="705">
        <v>524</v>
      </c>
      <c r="K593" s="706">
        <v>43497</v>
      </c>
      <c r="L593" s="707">
        <v>43861</v>
      </c>
      <c r="M593" s="705"/>
      <c r="N593" s="705"/>
      <c r="O593" s="705"/>
      <c r="P593" s="705"/>
      <c r="Q593" s="708"/>
      <c r="R593" s="705"/>
      <c r="S593" s="705"/>
      <c r="T593" s="807"/>
      <c r="U593" s="705"/>
      <c r="V593" s="705"/>
      <c r="W593" s="705"/>
      <c r="X593" s="705"/>
      <c r="Y593" s="705"/>
      <c r="Z593" s="705">
        <v>2</v>
      </c>
      <c r="AA593" s="705"/>
      <c r="AB593" s="705"/>
      <c r="AC593" s="705"/>
      <c r="AD593" s="705"/>
      <c r="AE593" s="705"/>
      <c r="AF593" s="705"/>
      <c r="AG593" s="705"/>
      <c r="AH593" s="705"/>
      <c r="AI593" s="705"/>
      <c r="AJ593" s="705"/>
      <c r="AK593" s="705"/>
      <c r="AL593" s="705"/>
      <c r="AM593" s="705"/>
      <c r="AN593" s="705"/>
      <c r="AO593" s="709"/>
      <c r="AP593" s="705">
        <v>12</v>
      </c>
      <c r="AQ593" s="705"/>
      <c r="AR593" s="710"/>
      <c r="AS593" s="705"/>
      <c r="AT593" s="705">
        <v>10</v>
      </c>
      <c r="AU593" s="705">
        <v>12</v>
      </c>
      <c r="AV593" s="705"/>
      <c r="AW593" s="705"/>
      <c r="AX593" s="752" t="s">
        <v>148</v>
      </c>
      <c r="AY593" s="782" t="s">
        <v>148</v>
      </c>
      <c r="AZ593" s="705"/>
      <c r="BA593" s="705"/>
      <c r="BB593" s="705"/>
      <c r="BC593" s="711"/>
      <c r="BD593" s="705"/>
      <c r="BE593" s="705"/>
      <c r="BF593" s="705"/>
      <c r="BG593" s="705"/>
      <c r="BH593" s="705"/>
      <c r="BI593" s="705"/>
      <c r="BJ593" s="705"/>
      <c r="BK593" s="705">
        <v>119</v>
      </c>
      <c r="BL593" s="705">
        <v>119</v>
      </c>
      <c r="BM593" s="711"/>
      <c r="BN593" s="712"/>
      <c r="BO593" s="710"/>
      <c r="BP593" s="711"/>
      <c r="BQ593" s="713" t="str">
        <f>IFERROR(WWWW[[#This Row],['#_Water sources treated]]/WWWW[[#This Row],['#_Water sources tested for contamination]],"no test")</f>
        <v>no test</v>
      </c>
      <c r="BR593" s="710" t="str">
        <f>IFERROR(WWWW[[#This Row],['#_Household received remediation action due to contamination]]/WWWW[[#This Row],['#_Household water samples tested for contamination]],"no test")</f>
        <v>no test</v>
      </c>
      <c r="BS593" s="712" t="str">
        <f>IF(AND(WWWW[[#This Row],[% of water sources treated]]="no test",WWWW[[#This Row],[% Household received corrective actions]]="no test"),"No Test","Tested")</f>
        <v>No Test</v>
      </c>
      <c r="BT593" s="712">
        <f>WWWW[[#This Row],['#_Constructed/existing protected hand dug well]]-WWWW[[#This Row],['#_Non-functional protected hand dug well]]</f>
        <v>0</v>
      </c>
      <c r="BU593" s="712">
        <f>(WWWW[[#This Row],['#_Constructed/Existing tube wells/boreholes/handpumps_WASH_agency]]+WWWW[[#This Row],['#_Non-Cluster partner water tube-wells/boreholes/handpumps]])-WWWW[[#This Row],['#_Non-functional tube wells/boreholes/handpumps]]</f>
        <v>0</v>
      </c>
      <c r="BV593" s="712">
        <f>WWWW[[#This Row],['#_Constructed/Existingwater storage tank with gravity fed reticulation system]]-WWWW[[#This Row],['#_Non-functional storage tank gravity fed reticulation system]]</f>
        <v>0</v>
      </c>
      <c r="BW593" s="712">
        <f>WWWW[[#This Row],['#_Water boating or water trucking]]</f>
        <v>0</v>
      </c>
      <c r="BX593" s="712">
        <f>WWWW[[#This Row],['#_Constructed/Existing water distribution system from river or natural spring]]</f>
        <v>0</v>
      </c>
      <c r="BY59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9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93" s="710">
        <f>IF(WWWW[[#This Row],[Location Type 1]]="Village",WWWW[[#This Row],[Access to safe drinking water for Village]],WWWW[[#This Row],[Access to safe drinking water for Camp]])</f>
        <v>0</v>
      </c>
      <c r="CB593" s="708">
        <f>WWWW[[#This Row],[%Equitable and continuous access to sufficient quantity of safe drinking water]]*WWWW[[#This Row],[Total PoP ]]</f>
        <v>0</v>
      </c>
      <c r="CC593" s="710">
        <f>IF((WWWW[[#This Row],['#_Constructed/Existing protected/fenced ponds]]*250)/WWWW[[#This Row],[Total PoP ]]&gt;1,1,(WWWW[[#This Row],['#_Constructed/Existing protected/fenced ponds]]*250)/WWWW[[#This Row],[Total PoP ]])</f>
        <v>0</v>
      </c>
      <c r="CD593" s="708">
        <f>WWWW[[#This Row],[% Access to unimproved water points]]*WWWW[[#This Row],[Total PoP ]]</f>
        <v>0</v>
      </c>
      <c r="CE59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9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93" s="708">
        <f>WWWW[[#This Row],[HRP1]]/500</f>
        <v>0</v>
      </c>
      <c r="CH593" s="714">
        <f>1-WWWW[[#This Row],[% Equitable and continuous access to sufficient quantity of domestic water]]</f>
        <v>1</v>
      </c>
      <c r="CI593" s="708">
        <f>WWWW[[#This Row],[%equitable and continuous access to sufficient quantity of safe drinking and domestic water''s GAP]]*WWWW[[#This Row],[Total PoP ]]</f>
        <v>524</v>
      </c>
      <c r="CJ593" s="712">
        <f>IF(WWWW[[#This Row],[Total required water points]]-WWWW[[#This Row],['#Water points coverage]]&lt;0,0,WWWW[[#This Row],[Total required water points]]-WWWW[[#This Row],['#Water points coverage]])</f>
        <v>1</v>
      </c>
      <c r="CK593" s="712">
        <f>ROUND(IF(WWWW[[#This Row],[Total PoP ]]&lt;500,1,WWWW[[#This Row],[Total PoP ]]/500),0)</f>
        <v>1</v>
      </c>
      <c r="CL593" s="712">
        <f>(WWWW[[#This Row],['#_Constructed latrines_by_WASHAgencies]]+WWWW[[#This Row],['#_Non Cluster partner latrines]])-WWWW[[#This Row],['#_Non-functional latrines]]</f>
        <v>12</v>
      </c>
      <c r="CM59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0.4580152671755725</v>
      </c>
      <c r="CN59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59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CP593" s="712">
        <f>IF(WWWW[[#This Row],[Location Type 1]]="Village","NA",IF(WWWW[[#This Row],['#_Constructed/Existing latrines in TLS]]*50&gt;WWWW[[#This Row],['#_students at TLS_CFS]],WWWW[[#This Row],['#_students at TLS_CFS]],(WWWW[[#This Row],['#_Constructed/Existing latrines in TLS]]*50)))</f>
        <v>0</v>
      </c>
      <c r="CQ593" s="712">
        <f>ROUND(IF(WWWW[[#This Row],[Location Type 1]]="camp",WWWW[[#This Row],[Total PoP ]]/20,IF(WWWW[[#This Row],[Location Type 1]]="Temporary Location",WWWW[[#This Row],[Total PoP ]]/50,(WWWW[[#This Row],[Total PoP ]]/6))),0)</f>
        <v>26</v>
      </c>
      <c r="CR593" s="712">
        <f>IF(WWWW[[#This Row],[Total required Latrines]]-(WWWW[[#This Row],['#_Constructed latrines_by_WASHAgencies]]+WWWW[[#This Row],['#_Non Cluster partner latrines]])&lt;0,0,WWWW[[#This Row],[Total required Latrines]]-(WWWW[[#This Row],['#_Constructed latrines_by_WASHAgencies]]+WWWW[[#This Row],['#_Non Cluster partner latrines]]))</f>
        <v>14</v>
      </c>
      <c r="CS593" s="714">
        <f>1-WWWW[[#This Row],[% people access to functioning Latrine]]</f>
        <v>0.5419847328244275</v>
      </c>
      <c r="CT593" s="713">
        <f>IF(OR(WWWW[[#This Row],['#_Non-functional latrines]]="",WWWW[[#This Row],['#_Non-functional latrines]]=0),0,WWWW[[#This Row],['#_Non-functional latrines]]/(WWWW[[#This Row],['#_Constructed latrines_by_WASHAgencies]]+WWWW[[#This Row],['#_Non Cluster partner latrines]]))</f>
        <v>0</v>
      </c>
      <c r="CU593" s="708">
        <f>IF(500*(WWWW[[#This Row],['#_male hygiene promoters]]+WWWW[[#This Row],['#_female hygiene promoters]])&gt;WWWW[[#This Row],[Total PoP ]],WWWW[[#This Row],[Total PoP ]],500*(WWWW[[#This Row],['#_male hygiene promoters]]+WWWW[[#This Row],['#_female hygiene promoters]]))</f>
        <v>0</v>
      </c>
      <c r="CV59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524</v>
      </c>
      <c r="CW59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524</v>
      </c>
      <c r="CX593" s="712">
        <f>IF(WWWW[[#This Row],['# People with access to soap]]&gt;WWWW[[#This Row],['# People with access to Sanity Pads]],WWWW[[#This Row],['# People with access to soap]],WWWW[[#This Row],['# People with access to Sanity Pads]])</f>
        <v>524</v>
      </c>
      <c r="CY593" s="712">
        <f>IF(WWWW[[#This Row],['# people reached by regular dedicated hygiene promotion_5]]&gt;WWWW[[#This Row],['# People received regular supply of hygiene items_6]],WWWW[[#This Row],['# people reached by regular dedicated hygiene promotion_5]],WWWW[[#This Row],['# People received regular supply of hygiene items_6]])</f>
        <v>524</v>
      </c>
      <c r="CZ593" s="714">
        <f>IF(WWWW[[#This Row],[HRP3]]/WWWW[[#This Row],[Total PoP ]]&gt;100%,100%,WWWW[[#This Row],[HRP3]]/WWWW[[#This Row],[Total PoP ]])</f>
        <v>1</v>
      </c>
      <c r="DA593" s="713">
        <f>1-WWWW[[#This Row],[Hygiene Coverage%]]</f>
        <v>0</v>
      </c>
      <c r="DB593" s="710">
        <f>WWWW[[#This Row],['# people reached by regular dedicated hygiene promotion_5]]/WWWW[[#This Row],[Total PoP ]]</f>
        <v>0</v>
      </c>
      <c r="DC593" s="710">
        <f>IF(WWWW[[#This Row],['#_households that received standard amount of soap for this quarter]]/WWWW[[#This Row],[Total HH]]&gt;1,1,WWWW[[#This Row],['#_households that received standard amount of soap for this quarter]]/WWWW[[#This Row],[Total HH]])</f>
        <v>1</v>
      </c>
      <c r="DD593" s="710">
        <f>IF(WWWW[[#This Row],['#_households that received standard amount of sanitary pads for this quarter]]/WWWW[[#This Row],[Total HH]]&gt;1,1,WWWW[[#This Row],['#_households that received standard amount of sanitary pads for this quarter]]/WWWW[[#This Row],[Total HH]])</f>
        <v>1</v>
      </c>
      <c r="DE593" s="712">
        <f>WWWW[[#This Row],['#_Constructed/Existing hand washing stations]]-WWWW[[#This Row],['#_Non-Functional_hand_washing_stations]]</f>
        <v>0</v>
      </c>
      <c r="DF593" s="757">
        <f>IF(WWWW[[#This Row],['# Functional hand washing stations during reporting period]]*20&gt;WWWW[[#This Row],[Total HH]],WWWW[[#This Row],[Total HH]],WWWW[[#This Row],['# Functional hand washing stations during reporting period]]*20)</f>
        <v>0</v>
      </c>
      <c r="DG593" s="708">
        <f>IF(WWWW[[#This Row],[Is sufficient soap available for TLS? (Yes/No)]]="yes",WWWW[[#This Row],['#_Constructed/Existing hand washing stations at TLS]],0)</f>
        <v>0</v>
      </c>
      <c r="DH593" s="759">
        <f>IF(WWWW[[#This Row],['# Functional hand washing stations during reporting period]]*100&gt;WWWW[[#This Row],[Total PoP ]],WWWW[[#This Row],[Total PoP ]],WWWW[[#This Row],['# Functional hand washing stations during reporting period]]*100)</f>
        <v>0</v>
      </c>
      <c r="DI593" s="759" t="str">
        <f>IF(OR(WWWW[[#This Row],['#_students at TLS_CFS]]="",WWWW[[#This Row],['#_students at TLS_CFS]]=0),"No","Yes")</f>
        <v>No</v>
      </c>
      <c r="DJ593" s="711" t="str">
        <f>VLOOKUP(WWWW[[#This Row],[Site Name]],SiteDB6[[Site Name]:[CCCM Management]],6,FALSE)</f>
        <v>Yes</v>
      </c>
      <c r="DK593" s="711" t="str">
        <f>VLOOKUP(WWWW[[#This Row],[Site Name]],SiteDB6[[Site Name]:[CCCM Focal Agency]],7,FALSE)</f>
        <v>KBC</v>
      </c>
      <c r="DL593" s="711" t="str">
        <f>VLOOKUP(WWWW[[#This Row],[Site Name]],SiteDB6[[Site Name]:[Location Type 1]],9,FALSE)</f>
        <v>Camp</v>
      </c>
      <c r="DM593" s="711" t="str">
        <f>VLOOKUP(WWWW[[#This Row],[Site Name]],SiteDB6[[Site Name]:[Type of Accommodation]],10,FALSE)</f>
        <v>Camp</v>
      </c>
      <c r="DN593" s="711" t="str">
        <f>VLOOKUP(WWWW[[#This Row],[Site Name]],SiteDB6[[Site Name]:[Ethnic or GCA/NGCA]],11,FALSE)</f>
        <v>GCA</v>
      </c>
      <c r="DO593" s="711">
        <f>VLOOKUP(WWWW[[#This Row],[Site Name]],SiteDB6[[Site Name]:[Lat]],12,FALSE)</f>
        <v>23.829599000000002</v>
      </c>
      <c r="DP593" s="711">
        <f>VLOOKUP(WWWW[[#This Row],[Site Name]],SiteDB6[[Site Name]:[Long]],13,FALSE)</f>
        <v>97.590767</v>
      </c>
      <c r="DQ593" s="711" t="str">
        <f>VLOOKUP(WWWW[[#This Row],[Site Name]],SiteDB6[[Site Name]:[Pcode]],3,FALSE)</f>
        <v>MMR001CMP230</v>
      </c>
      <c r="DR593" s="709" t="str">
        <f t="shared" si="22"/>
        <v>Covered</v>
      </c>
      <c r="DS593" s="709"/>
    </row>
    <row r="594" spans="1:123">
      <c r="A594" s="701" t="s">
        <v>2519</v>
      </c>
      <c r="B594" s="701" t="s">
        <v>200</v>
      </c>
      <c r="C594" s="702" t="s">
        <v>200</v>
      </c>
      <c r="D594" s="702" t="s">
        <v>249</v>
      </c>
      <c r="E594" s="702" t="s">
        <v>39</v>
      </c>
      <c r="F594" s="702" t="s">
        <v>40</v>
      </c>
      <c r="G594" s="711" t="str">
        <f>VLOOKUP(WWWW[[#This Row],[Site Name]],SiteDB6[[Site Name]:[Location Type]],8,FALSE)</f>
        <v>Camp</v>
      </c>
      <c r="H594" s="702" t="s">
        <v>309</v>
      </c>
      <c r="I594" s="705">
        <v>443</v>
      </c>
      <c r="J594" s="705">
        <v>2338</v>
      </c>
      <c r="K594" s="706">
        <v>43497</v>
      </c>
      <c r="L594" s="707">
        <v>43861</v>
      </c>
      <c r="M594" s="705"/>
      <c r="N594" s="705"/>
      <c r="O594" s="705"/>
      <c r="P594" s="705"/>
      <c r="Q594" s="708"/>
      <c r="R594" s="705"/>
      <c r="S594" s="705"/>
      <c r="T594" s="807"/>
      <c r="U594" s="705"/>
      <c r="V594" s="705"/>
      <c r="W594" s="705"/>
      <c r="X594" s="705"/>
      <c r="Y594" s="705"/>
      <c r="Z594" s="705"/>
      <c r="AA594" s="705"/>
      <c r="AB594" s="705"/>
      <c r="AC594" s="705"/>
      <c r="AD594" s="705"/>
      <c r="AE594" s="705"/>
      <c r="AF594" s="705"/>
      <c r="AG594" s="705"/>
      <c r="AH594" s="705"/>
      <c r="AI594" s="705"/>
      <c r="AJ594" s="705"/>
      <c r="AK594" s="705"/>
      <c r="AL594" s="705"/>
      <c r="AM594" s="705"/>
      <c r="AN594" s="705"/>
      <c r="AO594" s="709"/>
      <c r="AP594" s="705"/>
      <c r="AQ594" s="705"/>
      <c r="AR594" s="710"/>
      <c r="AS594" s="705"/>
      <c r="AT594" s="705"/>
      <c r="AU594" s="705"/>
      <c r="AV594" s="705"/>
      <c r="AW594" s="705"/>
      <c r="AX594" s="752" t="s">
        <v>148</v>
      </c>
      <c r="AY594" s="782" t="s">
        <v>148</v>
      </c>
      <c r="AZ594" s="705"/>
      <c r="BA594" s="705"/>
      <c r="BB594" s="705"/>
      <c r="BC594" s="711"/>
      <c r="BD594" s="705"/>
      <c r="BE594" s="705"/>
      <c r="BF594" s="705"/>
      <c r="BG594" s="705"/>
      <c r="BH594" s="705"/>
      <c r="BI594" s="705"/>
      <c r="BJ594" s="705"/>
      <c r="BK594" s="705"/>
      <c r="BL594" s="705"/>
      <c r="BM594" s="711"/>
      <c r="BN594" s="712"/>
      <c r="BO594" s="710"/>
      <c r="BP594" s="711"/>
      <c r="BQ594" s="713" t="str">
        <f>IFERROR(WWWW[[#This Row],['#_Water sources treated]]/WWWW[[#This Row],['#_Water sources tested for contamination]],"no test")</f>
        <v>no test</v>
      </c>
      <c r="BR594" s="710" t="str">
        <f>IFERROR(WWWW[[#This Row],['#_Household received remediation action due to contamination]]/WWWW[[#This Row],['#_Household water samples tested for contamination]],"no test")</f>
        <v>no test</v>
      </c>
      <c r="BS594" s="712" t="str">
        <f>IF(AND(WWWW[[#This Row],[% of water sources treated]]="no test",WWWW[[#This Row],[% Household received corrective actions]]="no test"),"No Test","Tested")</f>
        <v>No Test</v>
      </c>
      <c r="BT594" s="712">
        <f>WWWW[[#This Row],['#_Constructed/existing protected hand dug well]]-WWWW[[#This Row],['#_Non-functional protected hand dug well]]</f>
        <v>0</v>
      </c>
      <c r="BU594" s="712">
        <f>(WWWW[[#This Row],['#_Constructed/Existing tube wells/boreholes/handpumps_WASH_agency]]+WWWW[[#This Row],['#_Non-Cluster partner water tube-wells/boreholes/handpumps]])-WWWW[[#This Row],['#_Non-functional tube wells/boreholes/handpumps]]</f>
        <v>0</v>
      </c>
      <c r="BV594" s="712">
        <f>WWWW[[#This Row],['#_Constructed/Existingwater storage tank with gravity fed reticulation system]]-WWWW[[#This Row],['#_Non-functional storage tank gravity fed reticulation system]]</f>
        <v>0</v>
      </c>
      <c r="BW594" s="712">
        <f>WWWW[[#This Row],['#_Water boating or water trucking]]</f>
        <v>0</v>
      </c>
      <c r="BX594" s="712">
        <f>WWWW[[#This Row],['#_Constructed/Existing water distribution system from river or natural spring]]</f>
        <v>0</v>
      </c>
      <c r="BY59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9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94" s="710">
        <f>IF(WWWW[[#This Row],[Location Type 1]]="Village",WWWW[[#This Row],[Access to safe drinking water for Village]],WWWW[[#This Row],[Access to safe drinking water for Camp]])</f>
        <v>0</v>
      </c>
      <c r="CB594" s="708">
        <f>WWWW[[#This Row],[%Equitable and continuous access to sufficient quantity of safe drinking water]]*WWWW[[#This Row],[Total PoP ]]</f>
        <v>0</v>
      </c>
      <c r="CC594" s="710">
        <f>IF((WWWW[[#This Row],['#_Constructed/Existing protected/fenced ponds]]*250)/WWWW[[#This Row],[Total PoP ]]&gt;1,1,(WWWW[[#This Row],['#_Constructed/Existing protected/fenced ponds]]*250)/WWWW[[#This Row],[Total PoP ]])</f>
        <v>0</v>
      </c>
      <c r="CD594" s="708">
        <f>WWWW[[#This Row],[% Access to unimproved water points]]*WWWW[[#This Row],[Total PoP ]]</f>
        <v>0</v>
      </c>
      <c r="CE59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9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94" s="708">
        <f>WWWW[[#This Row],[HRP1]]/500</f>
        <v>0</v>
      </c>
      <c r="CH594" s="714">
        <f>1-WWWW[[#This Row],[% Equitable and continuous access to sufficient quantity of domestic water]]</f>
        <v>1</v>
      </c>
      <c r="CI594" s="708">
        <f>WWWW[[#This Row],[%equitable and continuous access to sufficient quantity of safe drinking and domestic water''s GAP]]*WWWW[[#This Row],[Total PoP ]]</f>
        <v>2338</v>
      </c>
      <c r="CJ594" s="712">
        <f>IF(WWWW[[#This Row],[Total required water points]]-WWWW[[#This Row],['#Water points coverage]]&lt;0,0,WWWW[[#This Row],[Total required water points]]-WWWW[[#This Row],['#Water points coverage]])</f>
        <v>5</v>
      </c>
      <c r="CK594" s="712">
        <f>ROUND(IF(WWWW[[#This Row],[Total PoP ]]&lt;500,1,WWWW[[#This Row],[Total PoP ]]/500),0)</f>
        <v>5</v>
      </c>
      <c r="CL594" s="712">
        <f>(WWWW[[#This Row],['#_Constructed latrines_by_WASHAgencies]]+WWWW[[#This Row],['#_Non Cluster partner latrines]])-WWWW[[#This Row],['#_Non-functional latrines]]</f>
        <v>0</v>
      </c>
      <c r="CM59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9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9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4" s="712">
        <f>IF(WWWW[[#This Row],[Location Type 1]]="Village","NA",IF(WWWW[[#This Row],['#_Constructed/Existing latrines in TLS]]*50&gt;WWWW[[#This Row],['#_students at TLS_CFS]],WWWW[[#This Row],['#_students at TLS_CFS]],(WWWW[[#This Row],['#_Constructed/Existing latrines in TLS]]*50)))</f>
        <v>0</v>
      </c>
      <c r="CQ594" s="712">
        <f>ROUND(IF(WWWW[[#This Row],[Location Type 1]]="camp",WWWW[[#This Row],[Total PoP ]]/20,IF(WWWW[[#This Row],[Location Type 1]]="Temporary Location",WWWW[[#This Row],[Total PoP ]]/50,(WWWW[[#This Row],[Total PoP ]]/6))),0)</f>
        <v>117</v>
      </c>
      <c r="CR594" s="712">
        <f>IF(WWWW[[#This Row],[Total required Latrines]]-(WWWW[[#This Row],['#_Constructed latrines_by_WASHAgencies]]+WWWW[[#This Row],['#_Non Cluster partner latrines]])&lt;0,0,WWWW[[#This Row],[Total required Latrines]]-(WWWW[[#This Row],['#_Constructed latrines_by_WASHAgencies]]+WWWW[[#This Row],['#_Non Cluster partner latrines]]))</f>
        <v>117</v>
      </c>
      <c r="CS594" s="714">
        <f>1-WWWW[[#This Row],[% people access to functioning Latrine]]</f>
        <v>1</v>
      </c>
      <c r="CT594" s="713">
        <f>IF(OR(WWWW[[#This Row],['#_Non-functional latrines]]="",WWWW[[#This Row],['#_Non-functional latrines]]=0),0,WWWW[[#This Row],['#_Non-functional latrines]]/(WWWW[[#This Row],['#_Constructed latrines_by_WASHAgencies]]+WWWW[[#This Row],['#_Non Cluster partner latrines]]))</f>
        <v>0</v>
      </c>
      <c r="CU594" s="708">
        <f>IF(500*(WWWW[[#This Row],['#_male hygiene promoters]]+WWWW[[#This Row],['#_female hygiene promoters]])&gt;WWWW[[#This Row],[Total PoP ]],WWWW[[#This Row],[Total PoP ]],500*(WWWW[[#This Row],['#_male hygiene promoters]]+WWWW[[#This Row],['#_female hygiene promoters]]))</f>
        <v>0</v>
      </c>
      <c r="CV59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4" s="712">
        <f>IF(WWWW[[#This Row],['# People with access to soap]]&gt;WWWW[[#This Row],['# People with access to Sanity Pads]],WWWW[[#This Row],['# People with access to soap]],WWWW[[#This Row],['# People with access to Sanity Pads]])</f>
        <v>0</v>
      </c>
      <c r="CY59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94" s="714">
        <f>IF(WWWW[[#This Row],[HRP3]]/WWWW[[#This Row],[Total PoP ]]&gt;100%,100%,WWWW[[#This Row],[HRP3]]/WWWW[[#This Row],[Total PoP ]])</f>
        <v>0</v>
      </c>
      <c r="DA594" s="713">
        <f>1-WWWW[[#This Row],[Hygiene Coverage%]]</f>
        <v>1</v>
      </c>
      <c r="DB594" s="710">
        <f>WWWW[[#This Row],['# people reached by regular dedicated hygiene promotion_5]]/WWWW[[#This Row],[Total PoP ]]</f>
        <v>0</v>
      </c>
      <c r="DC594" s="710">
        <f>IF(WWWW[[#This Row],['#_households that received standard amount of soap for this quarter]]/WWWW[[#This Row],[Total HH]]&gt;1,1,WWWW[[#This Row],['#_households that received standard amount of soap for this quarter]]/WWWW[[#This Row],[Total HH]])</f>
        <v>0</v>
      </c>
      <c r="DD594" s="710">
        <f>IF(WWWW[[#This Row],['#_households that received standard amount of sanitary pads for this quarter]]/WWWW[[#This Row],[Total HH]]&gt;1,1,WWWW[[#This Row],['#_households that received standard amount of sanitary pads for this quarter]]/WWWW[[#This Row],[Total HH]])</f>
        <v>0</v>
      </c>
      <c r="DE594" s="712">
        <f>WWWW[[#This Row],['#_Constructed/Existing hand washing stations]]-WWWW[[#This Row],['#_Non-Functional_hand_washing_stations]]</f>
        <v>0</v>
      </c>
      <c r="DF594" s="757">
        <f>IF(WWWW[[#This Row],['# Functional hand washing stations during reporting period]]*20&gt;WWWW[[#This Row],[Total HH]],WWWW[[#This Row],[Total HH]],WWWW[[#This Row],['# Functional hand washing stations during reporting period]]*20)</f>
        <v>0</v>
      </c>
      <c r="DG594" s="708">
        <f>IF(WWWW[[#This Row],[Is sufficient soap available for TLS? (Yes/No)]]="yes",WWWW[[#This Row],['#_Constructed/Existing hand washing stations at TLS]],0)</f>
        <v>0</v>
      </c>
      <c r="DH594" s="759">
        <f>IF(WWWW[[#This Row],['# Functional hand washing stations during reporting period]]*100&gt;WWWW[[#This Row],[Total PoP ]],WWWW[[#This Row],[Total PoP ]],WWWW[[#This Row],['# Functional hand washing stations during reporting period]]*100)</f>
        <v>0</v>
      </c>
      <c r="DI594" s="759" t="str">
        <f>IF(OR(WWWW[[#This Row],['#_students at TLS_CFS]]="",WWWW[[#This Row],['#_students at TLS_CFS]]=0),"No","Yes")</f>
        <v>No</v>
      </c>
      <c r="DJ594" s="711" t="str">
        <f>VLOOKUP(WWWW[[#This Row],[Site Name]],SiteDB6[[Site Name]:[CCCM Management]],6,FALSE)</f>
        <v>Yes</v>
      </c>
      <c r="DK594" s="711" t="str">
        <f>VLOOKUP(WWWW[[#This Row],[Site Name]],SiteDB6[[Site Name]:[CCCM Focal Agency]],7,FALSE)</f>
        <v>KMSS-BMO</v>
      </c>
      <c r="DL594" s="711" t="str">
        <f>VLOOKUP(WWWW[[#This Row],[Site Name]],SiteDB6[[Site Name]:[Location Type 1]],9,FALSE)</f>
        <v>Camp</v>
      </c>
      <c r="DM594" s="711" t="str">
        <f>VLOOKUP(WWWW[[#This Row],[Site Name]],SiteDB6[[Site Name]:[Type of Accommodation]],10,FALSE)</f>
        <v>Camp</v>
      </c>
      <c r="DN594" s="711" t="str">
        <f>VLOOKUP(WWWW[[#This Row],[Site Name]],SiteDB6[[Site Name]:[Ethnic or GCA/NGCA]],11,FALSE)</f>
        <v>GCA</v>
      </c>
      <c r="DO594" s="711">
        <f>VLOOKUP(WWWW[[#This Row],[Site Name]],SiteDB6[[Site Name]:[Lat]],12,FALSE)</f>
        <v>23.835319999999999</v>
      </c>
      <c r="DP594" s="711">
        <f>VLOOKUP(WWWW[[#This Row],[Site Name]],SiteDB6[[Site Name]:[Long]],13,FALSE)</f>
        <v>97.578490000000002</v>
      </c>
      <c r="DQ594" s="711" t="str">
        <f>VLOOKUP(WWWW[[#This Row],[Site Name]],SiteDB6[[Site Name]:[Pcode]],3,FALSE)</f>
        <v>MMR001CMP132</v>
      </c>
      <c r="DR594" s="709" t="str">
        <f t="shared" si="22"/>
        <v>Covered</v>
      </c>
      <c r="DS594" s="709"/>
    </row>
    <row r="595" spans="1:123">
      <c r="A595" s="701" t="s">
        <v>2519</v>
      </c>
      <c r="B595" s="701" t="s">
        <v>317</v>
      </c>
      <c r="C595" s="702" t="s">
        <v>317</v>
      </c>
      <c r="D595" s="702"/>
      <c r="E595" s="702" t="s">
        <v>39</v>
      </c>
      <c r="F595" s="702" t="s">
        <v>40</v>
      </c>
      <c r="G595" s="711" t="str">
        <f>VLOOKUP(WWWW[[#This Row],[Site Name]],SiteDB6[[Site Name]:[Location Type]],8,FALSE)</f>
        <v>Camp</v>
      </c>
      <c r="H595" s="702" t="s">
        <v>1009</v>
      </c>
      <c r="I595" s="705">
        <v>80</v>
      </c>
      <c r="J595" s="705">
        <v>290</v>
      </c>
      <c r="K595" s="706"/>
      <c r="L595" s="707"/>
      <c r="M595" s="705"/>
      <c r="N595" s="705"/>
      <c r="O595" s="705"/>
      <c r="P595" s="705"/>
      <c r="Q595" s="708"/>
      <c r="R595" s="705"/>
      <c r="S595" s="705"/>
      <c r="T595" s="807"/>
      <c r="U595" s="705"/>
      <c r="V595" s="705"/>
      <c r="W595" s="705"/>
      <c r="X595" s="705"/>
      <c r="Y595" s="705"/>
      <c r="Z595" s="705"/>
      <c r="AA595" s="705"/>
      <c r="AB595" s="705"/>
      <c r="AC595" s="705"/>
      <c r="AD595" s="705"/>
      <c r="AE595" s="705"/>
      <c r="AF595" s="705"/>
      <c r="AG595" s="705"/>
      <c r="AH595" s="705"/>
      <c r="AI595" s="705"/>
      <c r="AJ595" s="705"/>
      <c r="AK595" s="705"/>
      <c r="AL595" s="705"/>
      <c r="AM595" s="705"/>
      <c r="AN595" s="705"/>
      <c r="AO595" s="709"/>
      <c r="AP595" s="705"/>
      <c r="AQ595" s="705"/>
      <c r="AR595" s="710"/>
      <c r="AS595" s="705"/>
      <c r="AT595" s="705"/>
      <c r="AU595" s="705"/>
      <c r="AV595" s="705"/>
      <c r="AW595" s="705"/>
      <c r="AX595" s="711"/>
      <c r="AY595" s="709"/>
      <c r="AZ595" s="705"/>
      <c r="BA595" s="705"/>
      <c r="BB595" s="705"/>
      <c r="BC595" s="711"/>
      <c r="BD595" s="705"/>
      <c r="BE595" s="705"/>
      <c r="BF595" s="705"/>
      <c r="BG595" s="705"/>
      <c r="BH595" s="705"/>
      <c r="BI595" s="705"/>
      <c r="BJ595" s="705"/>
      <c r="BK595" s="705"/>
      <c r="BL595" s="705"/>
      <c r="BM595" s="711"/>
      <c r="BN595" s="712"/>
      <c r="BO595" s="710"/>
      <c r="BP595" s="711"/>
      <c r="BQ595" s="713" t="str">
        <f>IFERROR(WWWW[[#This Row],['#_Water sources treated]]/WWWW[[#This Row],['#_Water sources tested for contamination]],"no test")</f>
        <v>no test</v>
      </c>
      <c r="BR595" s="710" t="str">
        <f>IFERROR(WWWW[[#This Row],['#_Household received remediation action due to contamination]]/WWWW[[#This Row],['#_Household water samples tested for contamination]],"no test")</f>
        <v>no test</v>
      </c>
      <c r="BS595" s="712" t="str">
        <f>IF(AND(WWWW[[#This Row],[% of water sources treated]]="no test",WWWW[[#This Row],[% Household received corrective actions]]="no test"),"No Test","Tested")</f>
        <v>No Test</v>
      </c>
      <c r="BT595" s="712">
        <f>WWWW[[#This Row],['#_Constructed/existing protected hand dug well]]-WWWW[[#This Row],['#_Non-functional protected hand dug well]]</f>
        <v>0</v>
      </c>
      <c r="BU595" s="712">
        <f>(WWWW[[#This Row],['#_Constructed/Existing tube wells/boreholes/handpumps_WASH_agency]]+WWWW[[#This Row],['#_Non-Cluster partner water tube-wells/boreholes/handpumps]])-WWWW[[#This Row],['#_Non-functional tube wells/boreholes/handpumps]]</f>
        <v>0</v>
      </c>
      <c r="BV595" s="712">
        <f>WWWW[[#This Row],['#_Constructed/Existingwater storage tank with gravity fed reticulation system]]-WWWW[[#This Row],['#_Non-functional storage tank gravity fed reticulation system]]</f>
        <v>0</v>
      </c>
      <c r="BW595" s="712">
        <f>WWWW[[#This Row],['#_Water boating or water trucking]]</f>
        <v>0</v>
      </c>
      <c r="BX595" s="712">
        <f>WWWW[[#This Row],['#_Constructed/Existing water distribution system from river or natural spring]]</f>
        <v>0</v>
      </c>
      <c r="BY59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59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595" s="710">
        <f>IF(WWWW[[#This Row],[Location Type 1]]="Village",WWWW[[#This Row],[Access to safe drinking water for Village]],WWWW[[#This Row],[Access to safe drinking water for Camp]])</f>
        <v>0</v>
      </c>
      <c r="CB595" s="708">
        <f>WWWW[[#This Row],[%Equitable and continuous access to sufficient quantity of safe drinking water]]*WWWW[[#This Row],[Total PoP ]]</f>
        <v>0</v>
      </c>
      <c r="CC595" s="710">
        <f>IF((WWWW[[#This Row],['#_Constructed/Existing protected/fenced ponds]]*250)/WWWW[[#This Row],[Total PoP ]]&gt;1,1,(WWWW[[#This Row],['#_Constructed/Existing protected/fenced ponds]]*250)/WWWW[[#This Row],[Total PoP ]])</f>
        <v>0</v>
      </c>
      <c r="CD595" s="708">
        <f>WWWW[[#This Row],[% Access to unimproved water points]]*WWWW[[#This Row],[Total PoP ]]</f>
        <v>0</v>
      </c>
      <c r="CE59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59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595" s="708">
        <f>WWWW[[#This Row],[HRP1]]/500</f>
        <v>0</v>
      </c>
      <c r="CH595" s="714">
        <f>1-WWWW[[#This Row],[% Equitable and continuous access to sufficient quantity of domestic water]]</f>
        <v>1</v>
      </c>
      <c r="CI595" s="708">
        <f>WWWW[[#This Row],[%equitable and continuous access to sufficient quantity of safe drinking and domestic water''s GAP]]*WWWW[[#This Row],[Total PoP ]]</f>
        <v>290</v>
      </c>
      <c r="CJ595" s="712">
        <f>IF(WWWW[[#This Row],[Total required water points]]-WWWW[[#This Row],['#Water points coverage]]&lt;0,0,WWWW[[#This Row],[Total required water points]]-WWWW[[#This Row],['#Water points coverage]])</f>
        <v>1</v>
      </c>
      <c r="CK595" s="712">
        <f>ROUND(IF(WWWW[[#This Row],[Total PoP ]]&lt;500,1,WWWW[[#This Row],[Total PoP ]]/500),0)</f>
        <v>1</v>
      </c>
      <c r="CL595" s="712">
        <f>(WWWW[[#This Row],['#_Constructed latrines_by_WASHAgencies]]+WWWW[[#This Row],['#_Non Cluster partner latrines]])-WWWW[[#This Row],['#_Non-functional latrines]]</f>
        <v>0</v>
      </c>
      <c r="CM59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59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59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5" s="712">
        <f>IF(WWWW[[#This Row],[Location Type 1]]="Village","NA",IF(WWWW[[#This Row],['#_Constructed/Existing latrines in TLS]]*50&gt;WWWW[[#This Row],['#_students at TLS_CFS]],WWWW[[#This Row],['#_students at TLS_CFS]],(WWWW[[#This Row],['#_Constructed/Existing latrines in TLS]]*50)))</f>
        <v>0</v>
      </c>
      <c r="CQ595" s="712">
        <f>ROUND(IF(WWWW[[#This Row],[Location Type 1]]="camp",WWWW[[#This Row],[Total PoP ]]/20,IF(WWWW[[#This Row],[Location Type 1]]="Temporary Location",WWWW[[#This Row],[Total PoP ]]/50,(WWWW[[#This Row],[Total PoP ]]/6))),0)</f>
        <v>15</v>
      </c>
      <c r="CR595" s="712">
        <f>IF(WWWW[[#This Row],[Total required Latrines]]-(WWWW[[#This Row],['#_Constructed latrines_by_WASHAgencies]]+WWWW[[#This Row],['#_Non Cluster partner latrines]])&lt;0,0,WWWW[[#This Row],[Total required Latrines]]-(WWWW[[#This Row],['#_Constructed latrines_by_WASHAgencies]]+WWWW[[#This Row],['#_Non Cluster partner latrines]]))</f>
        <v>15</v>
      </c>
      <c r="CS595" s="714">
        <f>1-WWWW[[#This Row],[% people access to functioning Latrine]]</f>
        <v>1</v>
      </c>
      <c r="CT595" s="713">
        <f>IF(OR(WWWW[[#This Row],['#_Non-functional latrines]]="",WWWW[[#This Row],['#_Non-functional latrines]]=0),0,WWWW[[#This Row],['#_Non-functional latrines]]/(WWWW[[#This Row],['#_Constructed latrines_by_WASHAgencies]]+WWWW[[#This Row],['#_Non Cluster partner latrines]]))</f>
        <v>0</v>
      </c>
      <c r="CU595" s="708">
        <f>IF(500*(WWWW[[#This Row],['#_male hygiene promoters]]+WWWW[[#This Row],['#_female hygiene promoters]])&gt;WWWW[[#This Row],[Total PoP ]],WWWW[[#This Row],[Total PoP ]],500*(WWWW[[#This Row],['#_male hygiene promoters]]+WWWW[[#This Row],['#_female hygiene promoters]]))</f>
        <v>0</v>
      </c>
      <c r="CV59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5" s="712">
        <f>IF(WWWW[[#This Row],['# People with access to soap]]&gt;WWWW[[#This Row],['# People with access to Sanity Pads]],WWWW[[#This Row],['# People with access to soap]],WWWW[[#This Row],['# People with access to Sanity Pads]])</f>
        <v>0</v>
      </c>
      <c r="CY59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595" s="714">
        <f>IF(WWWW[[#This Row],[HRP3]]/WWWW[[#This Row],[Total PoP ]]&gt;100%,100%,WWWW[[#This Row],[HRP3]]/WWWW[[#This Row],[Total PoP ]])</f>
        <v>0</v>
      </c>
      <c r="DA595" s="713">
        <f>1-WWWW[[#This Row],[Hygiene Coverage%]]</f>
        <v>1</v>
      </c>
      <c r="DB595" s="710">
        <f>WWWW[[#This Row],['# people reached by regular dedicated hygiene promotion_5]]/WWWW[[#This Row],[Total PoP ]]</f>
        <v>0</v>
      </c>
      <c r="DC595" s="710">
        <f>IF(WWWW[[#This Row],['#_households that received standard amount of soap for this quarter]]/WWWW[[#This Row],[Total HH]]&gt;1,1,WWWW[[#This Row],['#_households that received standard amount of soap for this quarter]]/WWWW[[#This Row],[Total HH]])</f>
        <v>0</v>
      </c>
      <c r="DD595" s="710">
        <f>IF(WWWW[[#This Row],['#_households that received standard amount of sanitary pads for this quarter]]/WWWW[[#This Row],[Total HH]]&gt;1,1,WWWW[[#This Row],['#_households that received standard amount of sanitary pads for this quarter]]/WWWW[[#This Row],[Total HH]])</f>
        <v>0</v>
      </c>
      <c r="DE595" s="712">
        <f>WWWW[[#This Row],['#_Constructed/Existing hand washing stations]]-WWWW[[#This Row],['#_Non-Functional_hand_washing_stations]]</f>
        <v>0</v>
      </c>
      <c r="DF595" s="757">
        <f>IF(WWWW[[#This Row],['# Functional hand washing stations during reporting period]]*20&gt;WWWW[[#This Row],[Total HH]],WWWW[[#This Row],[Total HH]],WWWW[[#This Row],['# Functional hand washing stations during reporting period]]*20)</f>
        <v>0</v>
      </c>
      <c r="DG595" s="708">
        <f>IF(WWWW[[#This Row],[Is sufficient soap available for TLS? (Yes/No)]]="yes",WWWW[[#This Row],['#_Constructed/Existing hand washing stations at TLS]],0)</f>
        <v>0</v>
      </c>
      <c r="DH595" s="759">
        <f>IF(WWWW[[#This Row],['# Functional hand washing stations during reporting period]]*100&gt;WWWW[[#This Row],[Total PoP ]],WWWW[[#This Row],[Total PoP ]],WWWW[[#This Row],['# Functional hand washing stations during reporting period]]*100)</f>
        <v>0</v>
      </c>
      <c r="DI595" s="759" t="str">
        <f>IF(OR(WWWW[[#This Row],['#_students at TLS_CFS]]="",WWWW[[#This Row],['#_students at TLS_CFS]]=0),"No","Yes")</f>
        <v>No</v>
      </c>
      <c r="DJ595" s="711">
        <f>VLOOKUP(WWWW[[#This Row],[Site Name]],SiteDB6[[Site Name]:[CCCM Management]],6,FALSE)</f>
        <v>0</v>
      </c>
      <c r="DK595" s="711" t="str">
        <f>VLOOKUP(WWWW[[#This Row],[Site Name]],SiteDB6[[Site Name]:[CCCM Focal Agency]],7,FALSE)</f>
        <v>uncovered</v>
      </c>
      <c r="DL595" s="711" t="str">
        <f>VLOOKUP(WWWW[[#This Row],[Site Name]],SiteDB6[[Site Name]:[Location Type 1]],9,FALSE)</f>
        <v>Camp</v>
      </c>
      <c r="DM595" s="711" t="str">
        <f>VLOOKUP(WWWW[[#This Row],[Site Name]],SiteDB6[[Site Name]:[Type of Accommodation]],10,FALSE)</f>
        <v>Host Families</v>
      </c>
      <c r="DN595" s="711" t="str">
        <f>VLOOKUP(WWWW[[#This Row],[Site Name]],SiteDB6[[Site Name]:[Ethnic or GCA/NGCA]],11,FALSE)</f>
        <v>GCA</v>
      </c>
      <c r="DO595" s="711">
        <f>VLOOKUP(WWWW[[#This Row],[Site Name]],SiteDB6[[Site Name]:[Lat]],12,FALSE)</f>
        <v>24.118618999999999</v>
      </c>
      <c r="DP595" s="711">
        <f>VLOOKUP(WWWW[[#This Row],[Site Name]],SiteDB6[[Site Name]:[Long]],13,FALSE)</f>
        <v>97.298055000000005</v>
      </c>
      <c r="DQ595" s="711" t="str">
        <f>VLOOKUP(WWWW[[#This Row],[Site Name]],SiteDB6[[Site Name]:[Pcode]],3,FALSE)</f>
        <v>MMR001CMP196</v>
      </c>
      <c r="DR595" s="709" t="str">
        <f t="shared" si="22"/>
        <v>Notcovered</v>
      </c>
      <c r="DS595" s="709"/>
    </row>
    <row r="596" spans="1:123">
      <c r="A596" s="701" t="s">
        <v>2519</v>
      </c>
      <c r="B596" s="701" t="s">
        <v>38</v>
      </c>
      <c r="C596" s="702" t="s">
        <v>38</v>
      </c>
      <c r="D596" s="702" t="s">
        <v>328</v>
      </c>
      <c r="E596" s="702" t="s">
        <v>39</v>
      </c>
      <c r="F596" s="702" t="s">
        <v>156</v>
      </c>
      <c r="G596" s="711" t="str">
        <f>VLOOKUP(WWWW[[#This Row],[Site Name]],SiteDB6[[Site Name]:[Location Type]],8,FALSE)</f>
        <v>Camp</v>
      </c>
      <c r="H596" s="702" t="s">
        <v>2030</v>
      </c>
      <c r="I596" s="705">
        <v>48</v>
      </c>
      <c r="J596" s="705">
        <v>218</v>
      </c>
      <c r="K596" s="706">
        <v>43374</v>
      </c>
      <c r="L596" s="707">
        <v>43830</v>
      </c>
      <c r="M596" s="705"/>
      <c r="N596" s="705"/>
      <c r="O596" s="705"/>
      <c r="P596" s="705"/>
      <c r="Q596" s="708"/>
      <c r="R596" s="705"/>
      <c r="S596" s="705"/>
      <c r="T596" s="807"/>
      <c r="U596" s="705"/>
      <c r="V596" s="705"/>
      <c r="W596" s="705"/>
      <c r="X596" s="705"/>
      <c r="Y596" s="705"/>
      <c r="Z596" s="705"/>
      <c r="AA596" s="705">
        <v>1</v>
      </c>
      <c r="AB596" s="705"/>
      <c r="AC596" s="705"/>
      <c r="AD596" s="705"/>
      <c r="AE596" s="705"/>
      <c r="AF596" s="705"/>
      <c r="AG596" s="705"/>
      <c r="AH596" s="705"/>
      <c r="AI596" s="705"/>
      <c r="AJ596" s="705"/>
      <c r="AK596" s="705"/>
      <c r="AL596" s="705"/>
      <c r="AM596" s="705"/>
      <c r="AN596" s="705"/>
      <c r="AO596" s="709"/>
      <c r="AP596" s="705">
        <v>8</v>
      </c>
      <c r="AQ596" s="705">
        <v>4</v>
      </c>
      <c r="AR596" s="710"/>
      <c r="AS596" s="705"/>
      <c r="AT596" s="705">
        <v>8</v>
      </c>
      <c r="AU596" s="705"/>
      <c r="AV596" s="705"/>
      <c r="AW596" s="705"/>
      <c r="AX596" s="711" t="s">
        <v>144</v>
      </c>
      <c r="AY596" s="709" t="s">
        <v>144</v>
      </c>
      <c r="AZ596" s="705"/>
      <c r="BA596" s="705"/>
      <c r="BB596" s="705"/>
      <c r="BC596" s="711"/>
      <c r="BD596" s="705"/>
      <c r="BE596" s="705"/>
      <c r="BF596" s="705"/>
      <c r="BG596" s="705">
        <v>2</v>
      </c>
      <c r="BH596" s="705"/>
      <c r="BI596" s="705"/>
      <c r="BJ596" s="705">
        <v>1</v>
      </c>
      <c r="BK596" s="705"/>
      <c r="BL596" s="705"/>
      <c r="BM596" s="711"/>
      <c r="BN596" s="712"/>
      <c r="BO596" s="710"/>
      <c r="BP596" s="711"/>
      <c r="BQ596" s="713" t="str">
        <f>IFERROR(WWWW[[#This Row],['#_Water sources treated]]/WWWW[[#This Row],['#_Water sources tested for contamination]],"no test")</f>
        <v>no test</v>
      </c>
      <c r="BR596" s="710" t="str">
        <f>IFERROR(WWWW[[#This Row],['#_Household received remediation action due to contamination]]/WWWW[[#This Row],['#_Household water samples tested for contamination]],"no test")</f>
        <v>no test</v>
      </c>
      <c r="BS596" s="712" t="str">
        <f>IF(AND(WWWW[[#This Row],[% of water sources treated]]="no test",WWWW[[#This Row],[% Household received corrective actions]]="no test"),"No Test","Tested")</f>
        <v>No Test</v>
      </c>
      <c r="BT596" s="712">
        <f>WWWW[[#This Row],['#_Constructed/existing protected hand dug well]]-WWWW[[#This Row],['#_Non-functional protected hand dug well]]</f>
        <v>0</v>
      </c>
      <c r="BU596" s="712">
        <f>(WWWW[[#This Row],['#_Constructed/Existing tube wells/boreholes/handpumps_WASH_agency]]+WWWW[[#This Row],['#_Non-Cluster partner water tube-wells/boreholes/handpumps]])-WWWW[[#This Row],['#_Non-functional tube wells/boreholes/handpumps]]</f>
        <v>0</v>
      </c>
      <c r="BV596" s="712">
        <f>WWWW[[#This Row],['#_Constructed/Existingwater storage tank with gravity fed reticulation system]]-WWWW[[#This Row],['#_Non-functional storage tank gravity fed reticulation system]]</f>
        <v>1</v>
      </c>
      <c r="BW596" s="712">
        <f>WWWW[[#This Row],['#_Water boating or water trucking]]</f>
        <v>0</v>
      </c>
      <c r="BX596" s="712">
        <f>WWWW[[#This Row],['#_Constructed/Existing water distribution system from river or natural spring]]</f>
        <v>0</v>
      </c>
      <c r="BY59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0.30581039755351686</v>
      </c>
      <c r="BZ59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0.30581039755351686</v>
      </c>
      <c r="CA596" s="710">
        <f>IF(WWWW[[#This Row],[Location Type 1]]="Village",WWWW[[#This Row],[Access to safe drinking water for Village]],WWWW[[#This Row],[Access to safe drinking water for Camp]])</f>
        <v>0.30581039755351686</v>
      </c>
      <c r="CB596" s="708">
        <f>WWWW[[#This Row],[%Equitable and continuous access to sufficient quantity of safe drinking water]]*WWWW[[#This Row],[Total PoP ]]</f>
        <v>66.666666666666671</v>
      </c>
      <c r="CC596" s="710">
        <f>IF((WWWW[[#This Row],['#_Constructed/Existing protected/fenced ponds]]*250)/WWWW[[#This Row],[Total PoP ]]&gt;1,1,(WWWW[[#This Row],['#_Constructed/Existing protected/fenced ponds]]*250)/WWWW[[#This Row],[Total PoP ]])</f>
        <v>0</v>
      </c>
      <c r="CD596" s="708">
        <f>WWWW[[#This Row],[% Access to unimproved water points]]*WWWW[[#This Row],[Total PoP ]]</f>
        <v>0</v>
      </c>
      <c r="CE59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0.30581039755351686</v>
      </c>
      <c r="CF59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596" s="708">
        <f>WWWW[[#This Row],[HRP1]]/500</f>
        <v>0.13333333333333333</v>
      </c>
      <c r="CH596" s="714">
        <f>1-WWWW[[#This Row],[% Equitable and continuous access to sufficient quantity of domestic water]]</f>
        <v>0.69418960244648309</v>
      </c>
      <c r="CI596" s="708">
        <f>WWWW[[#This Row],[%equitable and continuous access to sufficient quantity of safe drinking and domestic water''s GAP]]*WWWW[[#This Row],[Total PoP ]]</f>
        <v>151.33333333333331</v>
      </c>
      <c r="CJ596" s="712">
        <f>IF(WWWW[[#This Row],[Total required water points]]-WWWW[[#This Row],['#Water points coverage]]&lt;0,0,WWWW[[#This Row],[Total required water points]]-WWWW[[#This Row],['#Water points coverage]])</f>
        <v>0.8666666666666667</v>
      </c>
      <c r="CK596" s="712">
        <f>ROUND(IF(WWWW[[#This Row],[Total PoP ]]&lt;500,1,WWWW[[#This Row],[Total PoP ]]/500),0)</f>
        <v>1</v>
      </c>
      <c r="CL596" s="712">
        <f>(WWWW[[#This Row],['#_Constructed latrines_by_WASHAgencies]]+WWWW[[#This Row],['#_Non Cluster partner latrines]])-WWWW[[#This Row],['#_Non-functional latrines]]</f>
        <v>12</v>
      </c>
      <c r="CM59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59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218</v>
      </c>
      <c r="CO59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6" s="712">
        <f>IF(WWWW[[#This Row],[Location Type 1]]="Village","NA",IF(WWWW[[#This Row],['#_Constructed/Existing latrines in TLS]]*50&gt;WWWW[[#This Row],['#_students at TLS_CFS]],WWWW[[#This Row],['#_students at TLS_CFS]],(WWWW[[#This Row],['#_Constructed/Existing latrines in TLS]]*50)))</f>
        <v>0</v>
      </c>
      <c r="CQ596" s="712">
        <f>ROUND(IF(WWWW[[#This Row],[Location Type 1]]="camp",WWWW[[#This Row],[Total PoP ]]/20,IF(WWWW[[#This Row],[Location Type 1]]="Temporary Location",WWWW[[#This Row],[Total PoP ]]/50,(WWWW[[#This Row],[Total PoP ]]/6))),0)</f>
        <v>11</v>
      </c>
      <c r="CR596" s="712">
        <f>IF(WWWW[[#This Row],[Total required Latrines]]-(WWWW[[#This Row],['#_Constructed latrines_by_WASHAgencies]]+WWWW[[#This Row],['#_Non Cluster partner latrines]])&lt;0,0,WWWW[[#This Row],[Total required Latrines]]-(WWWW[[#This Row],['#_Constructed latrines_by_WASHAgencies]]+WWWW[[#This Row],['#_Non Cluster partner latrines]]))</f>
        <v>0</v>
      </c>
      <c r="CS596" s="714">
        <f>1-WWWW[[#This Row],[% people access to functioning Latrine]]</f>
        <v>0</v>
      </c>
      <c r="CT596" s="713">
        <f>IF(OR(WWWW[[#This Row],['#_Non-functional latrines]]="",WWWW[[#This Row],['#_Non-functional latrines]]=0),0,WWWW[[#This Row],['#_Non-functional latrines]]/(WWWW[[#This Row],['#_Constructed latrines_by_WASHAgencies]]+WWWW[[#This Row],['#_Non Cluster partner latrines]]))</f>
        <v>0</v>
      </c>
      <c r="CU596" s="708">
        <f>IF(500*(WWWW[[#This Row],['#_male hygiene promoters]]+WWWW[[#This Row],['#_female hygiene promoters]])&gt;WWWW[[#This Row],[Total PoP ]],WWWW[[#This Row],[Total PoP ]],500*(WWWW[[#This Row],['#_male hygiene promoters]]+WWWW[[#This Row],['#_female hygiene promoters]]))</f>
        <v>218</v>
      </c>
      <c r="CV59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6" s="712">
        <f>IF(WWWW[[#This Row],['# People with access to soap]]&gt;WWWW[[#This Row],['# People with access to Sanity Pads]],WWWW[[#This Row],['# People with access to soap]],WWWW[[#This Row],['# People with access to Sanity Pads]])</f>
        <v>0</v>
      </c>
      <c r="CY596" s="712">
        <f>IF(WWWW[[#This Row],['# people reached by regular dedicated hygiene promotion_5]]&gt;WWWW[[#This Row],['# People received regular supply of hygiene items_6]],WWWW[[#This Row],['# people reached by regular dedicated hygiene promotion_5]],WWWW[[#This Row],['# People received regular supply of hygiene items_6]])</f>
        <v>218</v>
      </c>
      <c r="CZ596" s="714">
        <f>IF(WWWW[[#This Row],[HRP3]]/WWWW[[#This Row],[Total PoP ]]&gt;100%,100%,WWWW[[#This Row],[HRP3]]/WWWW[[#This Row],[Total PoP ]])</f>
        <v>1</v>
      </c>
      <c r="DA596" s="713">
        <f>1-WWWW[[#This Row],[Hygiene Coverage%]]</f>
        <v>0</v>
      </c>
      <c r="DB596" s="710">
        <f>WWWW[[#This Row],['# people reached by regular dedicated hygiene promotion_5]]/WWWW[[#This Row],[Total PoP ]]</f>
        <v>1</v>
      </c>
      <c r="DC596" s="710">
        <f>IF(WWWW[[#This Row],['#_households that received standard amount of soap for this quarter]]/WWWW[[#This Row],[Total HH]]&gt;1,1,WWWW[[#This Row],['#_households that received standard amount of soap for this quarter]]/WWWW[[#This Row],[Total HH]])</f>
        <v>0</v>
      </c>
      <c r="DD596" s="710">
        <f>IF(WWWW[[#This Row],['#_households that received standard amount of sanitary pads for this quarter]]/WWWW[[#This Row],[Total HH]]&gt;1,1,WWWW[[#This Row],['#_households that received standard amount of sanitary pads for this quarter]]/WWWW[[#This Row],[Total HH]])</f>
        <v>0</v>
      </c>
      <c r="DE596" s="712">
        <f>WWWW[[#This Row],['#_Constructed/Existing hand washing stations]]-WWWW[[#This Row],['#_Non-Functional_hand_washing_stations]]</f>
        <v>0</v>
      </c>
      <c r="DF596" s="757">
        <f>IF(WWWW[[#This Row],['# Functional hand washing stations during reporting period]]*20&gt;WWWW[[#This Row],[Total HH]],WWWW[[#This Row],[Total HH]],WWWW[[#This Row],['# Functional hand washing stations during reporting period]]*20)</f>
        <v>0</v>
      </c>
      <c r="DG596" s="708">
        <f>IF(WWWW[[#This Row],[Is sufficient soap available for TLS? (Yes/No)]]="yes",WWWW[[#This Row],['#_Constructed/Existing hand washing stations at TLS]],0)</f>
        <v>0</v>
      </c>
      <c r="DH596" s="759">
        <f>IF(WWWW[[#This Row],['# Functional hand washing stations during reporting period]]*100&gt;WWWW[[#This Row],[Total PoP ]],WWWW[[#This Row],[Total PoP ]],WWWW[[#This Row],['# Functional hand washing stations during reporting period]]*100)</f>
        <v>0</v>
      </c>
      <c r="DI596" s="759" t="str">
        <f>IF(OR(WWWW[[#This Row],['#_students at TLS_CFS]]="",WWWW[[#This Row],['#_students at TLS_CFS]]=0),"No","Yes")</f>
        <v>No</v>
      </c>
      <c r="DJ596" s="711">
        <f>VLOOKUP(WWWW[[#This Row],[Site Name]],SiteDB6[[Site Name]:[CCCM Management]],6,FALSE)</f>
        <v>0</v>
      </c>
      <c r="DK596" s="711" t="str">
        <f>VLOOKUP(WWWW[[#This Row],[Site Name]],SiteDB6[[Site Name]:[CCCM Focal Agency]],7,FALSE)</f>
        <v>KMSS-MYT</v>
      </c>
      <c r="DL596" s="711" t="str">
        <f>VLOOKUP(WWWW[[#This Row],[Site Name]],SiteDB6[[Site Name]:[Location Type 1]],9,FALSE)</f>
        <v>Camp</v>
      </c>
      <c r="DM596" s="711" t="str">
        <f>VLOOKUP(WWWW[[#This Row],[Site Name]],SiteDB6[[Site Name]:[Type of Accommodation]],10,FALSE)</f>
        <v>Camp</v>
      </c>
      <c r="DN596" s="711" t="str">
        <f>VLOOKUP(WWWW[[#This Row],[Site Name]],SiteDB6[[Site Name]:[Ethnic or GCA/NGCA]],11,FALSE)</f>
        <v>GCA</v>
      </c>
      <c r="DO596" s="711">
        <f>VLOOKUP(WWWW[[#This Row],[Site Name]],SiteDB6[[Site Name]:[Lat]],12,FALSE)</f>
        <v>0</v>
      </c>
      <c r="DP596" s="711">
        <f>VLOOKUP(WWWW[[#This Row],[Site Name]],SiteDB6[[Site Name]:[Long]],13,FALSE)</f>
        <v>0</v>
      </c>
      <c r="DQ596" s="711" t="str">
        <f>VLOOKUP(WWWW[[#This Row],[Site Name]],SiteDB6[[Site Name]:[Pcode]],3,FALSE)</f>
        <v>MMR001CMP268</v>
      </c>
      <c r="DR596" s="709" t="str">
        <f t="shared" si="22"/>
        <v>Covered</v>
      </c>
      <c r="DS596" s="709"/>
    </row>
    <row r="597" spans="1:123">
      <c r="A597" s="701" t="s">
        <v>2519</v>
      </c>
      <c r="B597" s="701" t="s">
        <v>149</v>
      </c>
      <c r="C597" s="702" t="s">
        <v>149</v>
      </c>
      <c r="D597" s="702" t="s">
        <v>3268</v>
      </c>
      <c r="E597" s="702" t="s">
        <v>39</v>
      </c>
      <c r="F597" s="702" t="s">
        <v>167</v>
      </c>
      <c r="G597" s="711" t="str">
        <f>VLOOKUP(WWWW[[#This Row],[Site Name]],SiteDB6[[Site Name]:[Location Type]],8,FALSE)</f>
        <v>Camp</v>
      </c>
      <c r="H597" s="702" t="s">
        <v>2184</v>
      </c>
      <c r="I597" s="705">
        <v>118</v>
      </c>
      <c r="J597" s="705">
        <v>489</v>
      </c>
      <c r="K597" s="593" t="s">
        <v>3276</v>
      </c>
      <c r="L597" s="58" t="s">
        <v>3277</v>
      </c>
      <c r="M597" s="705"/>
      <c r="N597" s="705"/>
      <c r="O597" s="705"/>
      <c r="P597" s="705"/>
      <c r="Q597" s="708" t="s">
        <v>43</v>
      </c>
      <c r="R597" s="705"/>
      <c r="S597" s="705"/>
      <c r="T597" s="807">
        <v>1</v>
      </c>
      <c r="U597" s="705"/>
      <c r="V597" s="705"/>
      <c r="W597" s="705">
        <v>7</v>
      </c>
      <c r="X597" s="705"/>
      <c r="Y597" s="705">
        <v>4</v>
      </c>
      <c r="Z597" s="705">
        <v>3</v>
      </c>
      <c r="AA597" s="705"/>
      <c r="AB597" s="705"/>
      <c r="AC597" s="705"/>
      <c r="AD597" s="705"/>
      <c r="AE597" s="705"/>
      <c r="AF597" s="705"/>
      <c r="AG597" s="705"/>
      <c r="AH597" s="705">
        <v>6</v>
      </c>
      <c r="AI597" s="705"/>
      <c r="AJ597" s="705"/>
      <c r="AK597" s="705"/>
      <c r="AL597" s="705"/>
      <c r="AM597" s="705"/>
      <c r="AN597" s="705"/>
      <c r="AO597" s="709"/>
      <c r="AP597" s="705">
        <v>16</v>
      </c>
      <c r="AQ597" s="705"/>
      <c r="AR597" s="710"/>
      <c r="AS597" s="705"/>
      <c r="AT597" s="705"/>
      <c r="AU597" s="705"/>
      <c r="AV597" s="705"/>
      <c r="AW597" s="705">
        <v>16</v>
      </c>
      <c r="AX597" s="711" t="s">
        <v>43</v>
      </c>
      <c r="AY597" s="709" t="s">
        <v>145</v>
      </c>
      <c r="AZ597" s="705"/>
      <c r="BA597" s="705"/>
      <c r="BB597" s="705"/>
      <c r="BC597" s="711"/>
      <c r="BD597" s="705"/>
      <c r="BE597" s="705"/>
      <c r="BF597" s="705"/>
      <c r="BG597" s="705">
        <v>0</v>
      </c>
      <c r="BH597" s="705"/>
      <c r="BI597" s="705"/>
      <c r="BJ597" s="705">
        <v>2</v>
      </c>
      <c r="BK597" s="705"/>
      <c r="BL597" s="705"/>
      <c r="BM597" s="711"/>
      <c r="BN597" s="712"/>
      <c r="BO597" s="710"/>
      <c r="BP597" s="711"/>
      <c r="BQ597" s="713" t="str">
        <f>IFERROR(WWWW[[#This Row],['#_Water sources treated]]/WWWW[[#This Row],['#_Water sources tested for contamination]],"no test")</f>
        <v>no test</v>
      </c>
      <c r="BR597" s="710" t="str">
        <f>IFERROR(WWWW[[#This Row],['#_Household received remediation action due to contamination]]/WWWW[[#This Row],['#_Household water samples tested for contamination]],"no test")</f>
        <v>no test</v>
      </c>
      <c r="BS597" s="712" t="str">
        <f>IF(AND(WWWW[[#This Row],[% of water sources treated]]="no test",WWWW[[#This Row],[% Household received corrective actions]]="no test"),"No Test","Tested")</f>
        <v>No Test</v>
      </c>
      <c r="BT597" s="712">
        <f>WWWW[[#This Row],['#_Constructed/existing protected hand dug well]]-WWWW[[#This Row],['#_Non-functional protected hand dug well]]</f>
        <v>1</v>
      </c>
      <c r="BU597" s="712">
        <f>(WWWW[[#This Row],['#_Constructed/Existing tube wells/boreholes/handpumps_WASH_agency]]+WWWW[[#This Row],['#_Non-Cluster partner water tube-wells/boreholes/handpumps]])-WWWW[[#This Row],['#_Non-functional tube wells/boreholes/handpumps]]</f>
        <v>3</v>
      </c>
      <c r="BV597" s="712">
        <f>WWWW[[#This Row],['#_Constructed/Existingwater storage tank with gravity fed reticulation system]]-WWWW[[#This Row],['#_Non-functional storage tank gravity fed reticulation system]]</f>
        <v>0</v>
      </c>
      <c r="BW597" s="712">
        <f>WWWW[[#This Row],['#_Water boating or water trucking]]</f>
        <v>0</v>
      </c>
      <c r="BX597" s="712">
        <f>WWWW[[#This Row],['#_Constructed/Existing water distribution system from river or natural spring]]</f>
        <v>0</v>
      </c>
      <c r="BY59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9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97" s="710">
        <f>IF(WWWW[[#This Row],[Location Type 1]]="Village",WWWW[[#This Row],[Access to safe drinking water for Village]],WWWW[[#This Row],[Access to safe drinking water for Camp]])</f>
        <v>1</v>
      </c>
      <c r="CB597" s="708">
        <f>WWWW[[#This Row],[%Equitable and continuous access to sufficient quantity of safe drinking water]]*WWWW[[#This Row],[Total PoP ]]</f>
        <v>489</v>
      </c>
      <c r="CC597" s="710">
        <f>IF((WWWW[[#This Row],['#_Constructed/Existing protected/fenced ponds]]*250)/WWWW[[#This Row],[Total PoP ]]&gt;1,1,(WWWW[[#This Row],['#_Constructed/Existing protected/fenced ponds]]*250)/WWWW[[#This Row],[Total PoP ]])</f>
        <v>0</v>
      </c>
      <c r="CD597" s="708">
        <f>WWWW[[#This Row],[% Access to unimproved water points]]*WWWW[[#This Row],[Total PoP ]]</f>
        <v>0</v>
      </c>
      <c r="CE59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9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489</v>
      </c>
      <c r="CG597" s="708">
        <f>WWWW[[#This Row],[HRP1]]/500</f>
        <v>0.97799999999999998</v>
      </c>
      <c r="CH597" s="714">
        <f>1-WWWW[[#This Row],[% Equitable and continuous access to sufficient quantity of domestic water]]</f>
        <v>0</v>
      </c>
      <c r="CI597" s="708">
        <f>WWWW[[#This Row],[%equitable and continuous access to sufficient quantity of safe drinking and domestic water''s GAP]]*WWWW[[#This Row],[Total PoP ]]</f>
        <v>0</v>
      </c>
      <c r="CJ597" s="712">
        <f>IF(WWWW[[#This Row],[Total required water points]]-WWWW[[#This Row],['#Water points coverage]]&lt;0,0,WWWW[[#This Row],[Total required water points]]-WWWW[[#This Row],['#Water points coverage]])</f>
        <v>2.200000000000002E-2</v>
      </c>
      <c r="CK597" s="712">
        <f>ROUND(IF(WWWW[[#This Row],[Total PoP ]]&lt;500,1,WWWW[[#This Row],[Total PoP ]]/500),0)</f>
        <v>1</v>
      </c>
      <c r="CL597" s="712">
        <f>(WWWW[[#This Row],['#_Constructed latrines_by_WASHAgencies]]+WWWW[[#This Row],['#_Non Cluster partner latrines]])-WWWW[[#This Row],['#_Non-functional latrines]]</f>
        <v>16</v>
      </c>
      <c r="CM59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0.65439672801635995</v>
      </c>
      <c r="CN59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59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7" s="712">
        <f>IF(WWWW[[#This Row],[Location Type 1]]="Village","NA",IF(WWWW[[#This Row],['#_Constructed/Existing latrines in TLS]]*50&gt;WWWW[[#This Row],['#_students at TLS_CFS]],WWWW[[#This Row],['#_students at TLS_CFS]],(WWWW[[#This Row],['#_Constructed/Existing latrines in TLS]]*50)))</f>
        <v>0</v>
      </c>
      <c r="CQ597" s="712">
        <f>ROUND(IF(WWWW[[#This Row],[Location Type 1]]="camp",WWWW[[#This Row],[Total PoP ]]/20,IF(WWWW[[#This Row],[Location Type 1]]="Temporary Location",WWWW[[#This Row],[Total PoP ]]/50,(WWWW[[#This Row],[Total PoP ]]/6))),0)</f>
        <v>24</v>
      </c>
      <c r="CR597" s="712">
        <f>IF(WWWW[[#This Row],[Total required Latrines]]-(WWWW[[#This Row],['#_Constructed latrines_by_WASHAgencies]]+WWWW[[#This Row],['#_Non Cluster partner latrines]])&lt;0,0,WWWW[[#This Row],[Total required Latrines]]-(WWWW[[#This Row],['#_Constructed latrines_by_WASHAgencies]]+WWWW[[#This Row],['#_Non Cluster partner latrines]]))</f>
        <v>8</v>
      </c>
      <c r="CS597" s="714">
        <f>1-WWWW[[#This Row],[% people access to functioning Latrine]]</f>
        <v>0.34560327198364005</v>
      </c>
      <c r="CT597" s="713">
        <f>IF(OR(WWWW[[#This Row],['#_Non-functional latrines]]="",WWWW[[#This Row],['#_Non-functional latrines]]=0),0,WWWW[[#This Row],['#_Non-functional latrines]]/(WWWW[[#This Row],['#_Constructed latrines_by_WASHAgencies]]+WWWW[[#This Row],['#_Non Cluster partner latrines]]))</f>
        <v>0</v>
      </c>
      <c r="CU597" s="708">
        <f>IF(500*(WWWW[[#This Row],['#_male hygiene promoters]]+WWWW[[#This Row],['#_female hygiene promoters]])&gt;WWWW[[#This Row],[Total PoP ]],WWWW[[#This Row],[Total PoP ]],500*(WWWW[[#This Row],['#_male hygiene promoters]]+WWWW[[#This Row],['#_female hygiene promoters]]))</f>
        <v>489</v>
      </c>
      <c r="CV59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7" s="712">
        <f>IF(WWWW[[#This Row],['# People with access to soap]]&gt;WWWW[[#This Row],['# People with access to Sanity Pads]],WWWW[[#This Row],['# People with access to soap]],WWWW[[#This Row],['# People with access to Sanity Pads]])</f>
        <v>0</v>
      </c>
      <c r="CY597" s="712">
        <f>IF(WWWW[[#This Row],['# people reached by regular dedicated hygiene promotion_5]]&gt;WWWW[[#This Row],['# People received regular supply of hygiene items_6]],WWWW[[#This Row],['# people reached by regular dedicated hygiene promotion_5]],WWWW[[#This Row],['# People received regular supply of hygiene items_6]])</f>
        <v>489</v>
      </c>
      <c r="CZ597" s="714">
        <f>IF(WWWW[[#This Row],[HRP3]]/WWWW[[#This Row],[Total PoP ]]&gt;100%,100%,WWWW[[#This Row],[HRP3]]/WWWW[[#This Row],[Total PoP ]])</f>
        <v>1</v>
      </c>
      <c r="DA597" s="713">
        <f>1-WWWW[[#This Row],[Hygiene Coverage%]]</f>
        <v>0</v>
      </c>
      <c r="DB597" s="710">
        <f>WWWW[[#This Row],['# people reached by regular dedicated hygiene promotion_5]]/WWWW[[#This Row],[Total PoP ]]</f>
        <v>1</v>
      </c>
      <c r="DC597" s="710">
        <f>IF(WWWW[[#This Row],['#_households that received standard amount of soap for this quarter]]/WWWW[[#This Row],[Total HH]]&gt;1,1,WWWW[[#This Row],['#_households that received standard amount of soap for this quarter]]/WWWW[[#This Row],[Total HH]])</f>
        <v>0</v>
      </c>
      <c r="DD597" s="710">
        <f>IF(WWWW[[#This Row],['#_households that received standard amount of sanitary pads for this quarter]]/WWWW[[#This Row],[Total HH]]&gt;1,1,WWWW[[#This Row],['#_households that received standard amount of sanitary pads for this quarter]]/WWWW[[#This Row],[Total HH]])</f>
        <v>0</v>
      </c>
      <c r="DE597" s="712">
        <f>WWWW[[#This Row],['#_Constructed/Existing hand washing stations]]-WWWW[[#This Row],['#_Non-Functional_hand_washing_stations]]</f>
        <v>0</v>
      </c>
      <c r="DF597" s="757">
        <f>IF(WWWW[[#This Row],['# Functional hand washing stations during reporting period]]*20&gt;WWWW[[#This Row],[Total HH]],WWWW[[#This Row],[Total HH]],WWWW[[#This Row],['# Functional hand washing stations during reporting period]]*20)</f>
        <v>0</v>
      </c>
      <c r="DG597" s="708">
        <f>IF(WWWW[[#This Row],[Is sufficient soap available for TLS? (Yes/No)]]="yes",WWWW[[#This Row],['#_Constructed/Existing hand washing stations at TLS]],0)</f>
        <v>0</v>
      </c>
      <c r="DH597" s="759">
        <f>IF(WWWW[[#This Row],['# Functional hand washing stations during reporting period]]*100&gt;WWWW[[#This Row],[Total PoP ]],WWWW[[#This Row],[Total PoP ]],WWWW[[#This Row],['# Functional hand washing stations during reporting period]]*100)</f>
        <v>0</v>
      </c>
      <c r="DI597" s="759" t="str">
        <f>IF(OR(WWWW[[#This Row],['#_students at TLS_CFS]]="",WWWW[[#This Row],['#_students at TLS_CFS]]=0),"No","Yes")</f>
        <v>No</v>
      </c>
      <c r="DJ597" s="711">
        <f>VLOOKUP(WWWW[[#This Row],[Site Name]],SiteDB6[[Site Name]:[CCCM Management]],6,FALSE)</f>
        <v>0</v>
      </c>
      <c r="DK597" s="711" t="str">
        <f>VLOOKUP(WWWW[[#This Row],[Site Name]],SiteDB6[[Site Name]:[CCCM Focal Agency]],7,FALSE)</f>
        <v>KBC</v>
      </c>
      <c r="DL597" s="711" t="str">
        <f>VLOOKUP(WWWW[[#This Row],[Site Name]],SiteDB6[[Site Name]:[Location Type 1]],9,FALSE)</f>
        <v>Camp</v>
      </c>
      <c r="DM597" s="711" t="str">
        <f>VLOOKUP(WWWW[[#This Row],[Site Name]],SiteDB6[[Site Name]:[Type of Accommodation]],10,FALSE)</f>
        <v>Camp</v>
      </c>
      <c r="DN597" s="711" t="str">
        <f>VLOOKUP(WWWW[[#This Row],[Site Name]],SiteDB6[[Site Name]:[Ethnic or GCA/NGCA]],11,FALSE)</f>
        <v>GCA</v>
      </c>
      <c r="DO597" s="711">
        <f>VLOOKUP(WWWW[[#This Row],[Site Name]],SiteDB6[[Site Name]:[Lat]],12,FALSE)</f>
        <v>0</v>
      </c>
      <c r="DP597" s="711">
        <f>VLOOKUP(WWWW[[#This Row],[Site Name]],SiteDB6[[Site Name]:[Long]],13,FALSE)</f>
        <v>0</v>
      </c>
      <c r="DQ597" s="711" t="str">
        <f>VLOOKUP(WWWW[[#This Row],[Site Name]],SiteDB6[[Site Name]:[Pcode]],3,FALSE)</f>
        <v>MMR001CMP265</v>
      </c>
      <c r="DR597" s="709" t="str">
        <f t="shared" si="22"/>
        <v>Covered</v>
      </c>
      <c r="DS597" s="709"/>
    </row>
    <row r="598" spans="1:123">
      <c r="A598" s="701" t="s">
        <v>2519</v>
      </c>
      <c r="B598" s="701" t="s">
        <v>38</v>
      </c>
      <c r="C598" s="702" t="s">
        <v>38</v>
      </c>
      <c r="D598" s="702" t="s">
        <v>722</v>
      </c>
      <c r="E598" s="702" t="s">
        <v>39</v>
      </c>
      <c r="F598" s="702" t="s">
        <v>156</v>
      </c>
      <c r="G598" s="711" t="str">
        <f>VLOOKUP(WWWW[[#This Row],[Site Name]],SiteDB6[[Site Name]:[Location Type]],8,FALSE)</f>
        <v>Camp_not registered</v>
      </c>
      <c r="H598" s="702" t="s">
        <v>2086</v>
      </c>
      <c r="I598" s="705">
        <v>72</v>
      </c>
      <c r="J598" s="705">
        <v>329</v>
      </c>
      <c r="K598" s="706">
        <v>43525</v>
      </c>
      <c r="L598" s="707" t="s">
        <v>3317</v>
      </c>
      <c r="M598" s="705"/>
      <c r="N598" s="705"/>
      <c r="O598" s="705"/>
      <c r="P598" s="705"/>
      <c r="Q598" s="708" t="s">
        <v>43</v>
      </c>
      <c r="R598" s="705"/>
      <c r="S598" s="705"/>
      <c r="T598" s="807">
        <v>2</v>
      </c>
      <c r="U598" s="705"/>
      <c r="V598" s="705"/>
      <c r="W598" s="705"/>
      <c r="X598" s="705"/>
      <c r="Y598" s="705"/>
      <c r="Z598" s="705"/>
      <c r="AA598" s="705">
        <v>1</v>
      </c>
      <c r="AB598" s="705"/>
      <c r="AC598" s="705"/>
      <c r="AD598" s="705"/>
      <c r="AE598" s="705"/>
      <c r="AF598" s="705"/>
      <c r="AG598" s="705"/>
      <c r="AH598" s="705"/>
      <c r="AI598" s="705"/>
      <c r="AJ598" s="705"/>
      <c r="AK598" s="705"/>
      <c r="AL598" s="705"/>
      <c r="AM598" s="705"/>
      <c r="AN598" s="705"/>
      <c r="AO598" s="709"/>
      <c r="AP598" s="705">
        <v>12</v>
      </c>
      <c r="AQ598" s="705"/>
      <c r="AR598" s="710"/>
      <c r="AS598" s="705"/>
      <c r="AT598" s="705"/>
      <c r="AU598" s="705"/>
      <c r="AV598" s="705"/>
      <c r="AW598" s="705"/>
      <c r="AX598" s="711" t="s">
        <v>43</v>
      </c>
      <c r="AY598" s="709" t="s">
        <v>145</v>
      </c>
      <c r="AZ598" s="705"/>
      <c r="BA598" s="705"/>
      <c r="BB598" s="705"/>
      <c r="BC598" s="711"/>
      <c r="BD598" s="705"/>
      <c r="BE598" s="705"/>
      <c r="BF598" s="705"/>
      <c r="BG598" s="705">
        <v>2</v>
      </c>
      <c r="BH598" s="705"/>
      <c r="BI598" s="705">
        <v>1</v>
      </c>
      <c r="BJ598" s="705">
        <v>1</v>
      </c>
      <c r="BK598" s="705"/>
      <c r="BL598" s="705"/>
      <c r="BM598" s="711"/>
      <c r="BN598" s="712"/>
      <c r="BO598" s="710"/>
      <c r="BP598" s="711"/>
      <c r="BQ598" s="713" t="str">
        <f>IFERROR(WWWW[[#This Row],['#_Water sources treated]]/WWWW[[#This Row],['#_Water sources tested for contamination]],"no test")</f>
        <v>no test</v>
      </c>
      <c r="BR598" s="710" t="str">
        <f>IFERROR(WWWW[[#This Row],['#_Household received remediation action due to contamination]]/WWWW[[#This Row],['#_Household water samples tested for contamination]],"no test")</f>
        <v>no test</v>
      </c>
      <c r="BS598" s="712" t="str">
        <f>IF(AND(WWWW[[#This Row],[% of water sources treated]]="no test",WWWW[[#This Row],[% Household received corrective actions]]="no test"),"No Test","Tested")</f>
        <v>No Test</v>
      </c>
      <c r="BT598" s="712">
        <f>WWWW[[#This Row],['#_Constructed/existing protected hand dug well]]-WWWW[[#This Row],['#_Non-functional protected hand dug well]]</f>
        <v>2</v>
      </c>
      <c r="BU598" s="712">
        <f>(WWWW[[#This Row],['#_Constructed/Existing tube wells/boreholes/handpumps_WASH_agency]]+WWWW[[#This Row],['#_Non-Cluster partner water tube-wells/boreholes/handpumps]])-WWWW[[#This Row],['#_Non-functional tube wells/boreholes/handpumps]]</f>
        <v>0</v>
      </c>
      <c r="BV598" s="712">
        <f>WWWW[[#This Row],['#_Constructed/Existingwater storage tank with gravity fed reticulation system]]-WWWW[[#This Row],['#_Non-functional storage tank gravity fed reticulation system]]</f>
        <v>1</v>
      </c>
      <c r="BW598" s="712">
        <f>WWWW[[#This Row],['#_Water boating or water trucking]]</f>
        <v>0</v>
      </c>
      <c r="BX598" s="712">
        <f>WWWW[[#This Row],['#_Constructed/Existing water distribution system from river or natural spring]]</f>
        <v>0</v>
      </c>
      <c r="BY59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9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98" s="710">
        <f>IF(WWWW[[#This Row],[Location Type 1]]="Village",WWWW[[#This Row],[Access to safe drinking water for Village]],WWWW[[#This Row],[Access to safe drinking water for Camp]])</f>
        <v>1</v>
      </c>
      <c r="CB598" s="708">
        <f>WWWW[[#This Row],[%Equitable and continuous access to sufficient quantity of safe drinking water]]*WWWW[[#This Row],[Total PoP ]]</f>
        <v>329</v>
      </c>
      <c r="CC598" s="710">
        <f>IF((WWWW[[#This Row],['#_Constructed/Existing protected/fenced ponds]]*250)/WWWW[[#This Row],[Total PoP ]]&gt;1,1,(WWWW[[#This Row],['#_Constructed/Existing protected/fenced ponds]]*250)/WWWW[[#This Row],[Total PoP ]])</f>
        <v>0</v>
      </c>
      <c r="CD598" s="708">
        <f>WWWW[[#This Row],[% Access to unimproved water points]]*WWWW[[#This Row],[Total PoP ]]</f>
        <v>0</v>
      </c>
      <c r="CE59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9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329</v>
      </c>
      <c r="CG598" s="708">
        <f>WWWW[[#This Row],[HRP1]]/500</f>
        <v>0.65800000000000003</v>
      </c>
      <c r="CH598" s="714">
        <f>1-WWWW[[#This Row],[% Equitable and continuous access to sufficient quantity of domestic water]]</f>
        <v>0</v>
      </c>
      <c r="CI598" s="708">
        <f>WWWW[[#This Row],[%equitable and continuous access to sufficient quantity of safe drinking and domestic water''s GAP]]*WWWW[[#This Row],[Total PoP ]]</f>
        <v>0</v>
      </c>
      <c r="CJ598" s="712">
        <f>IF(WWWW[[#This Row],[Total required water points]]-WWWW[[#This Row],['#Water points coverage]]&lt;0,0,WWWW[[#This Row],[Total required water points]]-WWWW[[#This Row],['#Water points coverage]])</f>
        <v>0.34199999999999997</v>
      </c>
      <c r="CK598" s="712">
        <f>ROUND(IF(WWWW[[#This Row],[Total PoP ]]&lt;500,1,WWWW[[#This Row],[Total PoP ]]/500),0)</f>
        <v>1</v>
      </c>
      <c r="CL598" s="712">
        <f>(WWWW[[#This Row],['#_Constructed latrines_by_WASHAgencies]]+WWWW[[#This Row],['#_Non Cluster partner latrines]])-WWWW[[#This Row],['#_Non-functional latrines]]</f>
        <v>12</v>
      </c>
      <c r="CM59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0.72948328267477203</v>
      </c>
      <c r="CN59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59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8" s="712">
        <f>IF(WWWW[[#This Row],[Location Type 1]]="Village","NA",IF(WWWW[[#This Row],['#_Constructed/Existing latrines in TLS]]*50&gt;WWWW[[#This Row],['#_students at TLS_CFS]],WWWW[[#This Row],['#_students at TLS_CFS]],(WWWW[[#This Row],['#_Constructed/Existing latrines in TLS]]*50)))</f>
        <v>0</v>
      </c>
      <c r="CQ598" s="712">
        <f>ROUND(IF(WWWW[[#This Row],[Location Type 1]]="camp",WWWW[[#This Row],[Total PoP ]]/20,IF(WWWW[[#This Row],[Location Type 1]]="Temporary Location",WWWW[[#This Row],[Total PoP ]]/50,(WWWW[[#This Row],[Total PoP ]]/6))),0)</f>
        <v>16</v>
      </c>
      <c r="CR598" s="712">
        <f>IF(WWWW[[#This Row],[Total required Latrines]]-(WWWW[[#This Row],['#_Constructed latrines_by_WASHAgencies]]+WWWW[[#This Row],['#_Non Cluster partner latrines]])&lt;0,0,WWWW[[#This Row],[Total required Latrines]]-(WWWW[[#This Row],['#_Constructed latrines_by_WASHAgencies]]+WWWW[[#This Row],['#_Non Cluster partner latrines]]))</f>
        <v>4</v>
      </c>
      <c r="CS598" s="714">
        <f>1-WWWW[[#This Row],[% people access to functioning Latrine]]</f>
        <v>0.27051671732522797</v>
      </c>
      <c r="CT598" s="713">
        <f>IF(OR(WWWW[[#This Row],['#_Non-functional latrines]]="",WWWW[[#This Row],['#_Non-functional latrines]]=0),0,WWWW[[#This Row],['#_Non-functional latrines]]/(WWWW[[#This Row],['#_Constructed latrines_by_WASHAgencies]]+WWWW[[#This Row],['#_Non Cluster partner latrines]]))</f>
        <v>0</v>
      </c>
      <c r="CU598" s="708">
        <f>IF(500*(WWWW[[#This Row],['#_male hygiene promoters]]+WWWW[[#This Row],['#_female hygiene promoters]])&gt;WWWW[[#This Row],[Total PoP ]],WWWW[[#This Row],[Total PoP ]],500*(WWWW[[#This Row],['#_male hygiene promoters]]+WWWW[[#This Row],['#_female hygiene promoters]]))</f>
        <v>329</v>
      </c>
      <c r="CV59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8" s="712">
        <f>IF(WWWW[[#This Row],['# People with access to soap]]&gt;WWWW[[#This Row],['# People with access to Sanity Pads]],WWWW[[#This Row],['# People with access to soap]],WWWW[[#This Row],['# People with access to Sanity Pads]])</f>
        <v>0</v>
      </c>
      <c r="CY598" s="712">
        <f>IF(WWWW[[#This Row],['# people reached by regular dedicated hygiene promotion_5]]&gt;WWWW[[#This Row],['# People received regular supply of hygiene items_6]],WWWW[[#This Row],['# people reached by regular dedicated hygiene promotion_5]],WWWW[[#This Row],['# People received regular supply of hygiene items_6]])</f>
        <v>329</v>
      </c>
      <c r="CZ598" s="714">
        <f>IF(WWWW[[#This Row],[HRP3]]/WWWW[[#This Row],[Total PoP ]]&gt;100%,100%,WWWW[[#This Row],[HRP3]]/WWWW[[#This Row],[Total PoP ]])</f>
        <v>1</v>
      </c>
      <c r="DA598" s="713">
        <f>1-WWWW[[#This Row],[Hygiene Coverage%]]</f>
        <v>0</v>
      </c>
      <c r="DB598" s="710">
        <f>WWWW[[#This Row],['# people reached by regular dedicated hygiene promotion_5]]/WWWW[[#This Row],[Total PoP ]]</f>
        <v>1</v>
      </c>
      <c r="DC598" s="710">
        <f>IF(WWWW[[#This Row],['#_households that received standard amount of soap for this quarter]]/WWWW[[#This Row],[Total HH]]&gt;1,1,WWWW[[#This Row],['#_households that received standard amount of soap for this quarter]]/WWWW[[#This Row],[Total HH]])</f>
        <v>0</v>
      </c>
      <c r="DD598" s="710">
        <f>IF(WWWW[[#This Row],['#_households that received standard amount of sanitary pads for this quarter]]/WWWW[[#This Row],[Total HH]]&gt;1,1,WWWW[[#This Row],['#_households that received standard amount of sanitary pads for this quarter]]/WWWW[[#This Row],[Total HH]])</f>
        <v>0</v>
      </c>
      <c r="DE598" s="712">
        <f>WWWW[[#This Row],['#_Constructed/Existing hand washing stations]]-WWWW[[#This Row],['#_Non-Functional_hand_washing_stations]]</f>
        <v>0</v>
      </c>
      <c r="DF598" s="757">
        <f>IF(WWWW[[#This Row],['# Functional hand washing stations during reporting period]]*20&gt;WWWW[[#This Row],[Total HH]],WWWW[[#This Row],[Total HH]],WWWW[[#This Row],['# Functional hand washing stations during reporting period]]*20)</f>
        <v>0</v>
      </c>
      <c r="DG598" s="708">
        <f>IF(WWWW[[#This Row],[Is sufficient soap available for TLS? (Yes/No)]]="yes",WWWW[[#This Row],['#_Constructed/Existing hand washing stations at TLS]],0)</f>
        <v>0</v>
      </c>
      <c r="DH598" s="759">
        <f>IF(WWWW[[#This Row],['# Functional hand washing stations during reporting period]]*100&gt;WWWW[[#This Row],[Total PoP ]],WWWW[[#This Row],[Total PoP ]],WWWW[[#This Row],['# Functional hand washing stations during reporting period]]*100)</f>
        <v>0</v>
      </c>
      <c r="DI598" s="759" t="str">
        <f>IF(OR(WWWW[[#This Row],['#_students at TLS_CFS]]="",WWWW[[#This Row],['#_students at TLS_CFS]]=0),"No","Yes")</f>
        <v>No</v>
      </c>
      <c r="DJ598" s="711">
        <f>VLOOKUP(WWWW[[#This Row],[Site Name]],SiteDB6[[Site Name]:[CCCM Management]],6,FALSE)</f>
        <v>0</v>
      </c>
      <c r="DK598" s="711">
        <f>VLOOKUP(WWWW[[#This Row],[Site Name]],SiteDB6[[Site Name]:[CCCM Focal Agency]],7,FALSE)</f>
        <v>0</v>
      </c>
      <c r="DL598" s="711" t="str">
        <f>VLOOKUP(WWWW[[#This Row],[Site Name]],SiteDB6[[Site Name]:[Location Type 1]],9,FALSE)</f>
        <v>Camp</v>
      </c>
      <c r="DM598" s="711" t="str">
        <f>VLOOKUP(WWWW[[#This Row],[Site Name]],SiteDB6[[Site Name]:[Type of Accommodation]],10,FALSE)</f>
        <v>Camp like setting</v>
      </c>
      <c r="DN598" s="711" t="str">
        <f>VLOOKUP(WWWW[[#This Row],[Site Name]],SiteDB6[[Site Name]:[Ethnic or GCA/NGCA]],11,FALSE)</f>
        <v>GCA</v>
      </c>
      <c r="DO598" s="711">
        <f>VLOOKUP(WWWW[[#This Row],[Site Name]],SiteDB6[[Site Name]:[Lat]],12,FALSE)</f>
        <v>0</v>
      </c>
      <c r="DP598" s="711">
        <f>VLOOKUP(WWWW[[#This Row],[Site Name]],SiteDB6[[Site Name]:[Long]],13,FALSE)</f>
        <v>0</v>
      </c>
      <c r="DQ598" s="711">
        <f>VLOOKUP(WWWW[[#This Row],[Site Name]],SiteDB6[[Site Name]:[Pcode]],3,FALSE)</f>
        <v>0</v>
      </c>
      <c r="DR598" s="709" t="str">
        <f t="shared" si="22"/>
        <v>Covered</v>
      </c>
      <c r="DS598" s="709"/>
    </row>
    <row r="599" spans="1:123">
      <c r="A599" s="701" t="s">
        <v>2519</v>
      </c>
      <c r="B599" s="701" t="s">
        <v>149</v>
      </c>
      <c r="C599" s="702" t="s">
        <v>149</v>
      </c>
      <c r="D599" s="702" t="s">
        <v>3268</v>
      </c>
      <c r="E599" s="702" t="s">
        <v>39</v>
      </c>
      <c r="F599" s="702" t="s">
        <v>167</v>
      </c>
      <c r="G599" s="711" t="str">
        <f>VLOOKUP(WWWW[[#This Row],[Site Name]],SiteDB6[[Site Name]:[Location Type]],8,FALSE)</f>
        <v>Camp</v>
      </c>
      <c r="H599" s="702" t="s">
        <v>170</v>
      </c>
      <c r="I599" s="705">
        <v>43</v>
      </c>
      <c r="J599" s="705">
        <v>194</v>
      </c>
      <c r="K599" s="593" t="s">
        <v>3276</v>
      </c>
      <c r="L599" s="58" t="s">
        <v>3277</v>
      </c>
      <c r="M599" s="705"/>
      <c r="N599" s="705"/>
      <c r="O599" s="705"/>
      <c r="P599" s="705"/>
      <c r="Q599" s="708" t="s">
        <v>43</v>
      </c>
      <c r="R599" s="705"/>
      <c r="S599" s="705"/>
      <c r="T599" s="807">
        <v>0</v>
      </c>
      <c r="U599" s="705"/>
      <c r="V599" s="705"/>
      <c r="W599" s="705">
        <v>1</v>
      </c>
      <c r="X599" s="705"/>
      <c r="Y599" s="705"/>
      <c r="Z599" s="705"/>
      <c r="AA599" s="705"/>
      <c r="AB599" s="705"/>
      <c r="AC599" s="705"/>
      <c r="AD599" s="705"/>
      <c r="AE599" s="705"/>
      <c r="AF599" s="705"/>
      <c r="AG599" s="705"/>
      <c r="AH599" s="705">
        <v>2</v>
      </c>
      <c r="AI599" s="705"/>
      <c r="AJ599" s="705"/>
      <c r="AK599" s="705"/>
      <c r="AL599" s="705"/>
      <c r="AM599" s="705"/>
      <c r="AN599" s="705"/>
      <c r="AO599" s="709"/>
      <c r="AP599" s="705">
        <v>4</v>
      </c>
      <c r="AQ599" s="705"/>
      <c r="AR599" s="710"/>
      <c r="AS599" s="705"/>
      <c r="AT599" s="705"/>
      <c r="AU599" s="705"/>
      <c r="AV599" s="705"/>
      <c r="AW599" s="705">
        <v>8</v>
      </c>
      <c r="AX599" s="711" t="s">
        <v>43</v>
      </c>
      <c r="AY599" s="709" t="s">
        <v>145</v>
      </c>
      <c r="AZ599" s="705"/>
      <c r="BA599" s="705"/>
      <c r="BB599" s="705"/>
      <c r="BC599" s="711"/>
      <c r="BD599" s="705"/>
      <c r="BE599" s="705"/>
      <c r="BF599" s="705"/>
      <c r="BG599" s="705">
        <v>1</v>
      </c>
      <c r="BH599" s="705"/>
      <c r="BI599" s="705"/>
      <c r="BJ599" s="705">
        <v>1</v>
      </c>
      <c r="BK599" s="705"/>
      <c r="BL599" s="705"/>
      <c r="BM599" s="711"/>
      <c r="BN599" s="712"/>
      <c r="BO599" s="710"/>
      <c r="BP599" s="711"/>
      <c r="BQ599" s="713" t="str">
        <f>IFERROR(WWWW[[#This Row],['#_Water sources treated]]/WWWW[[#This Row],['#_Water sources tested for contamination]],"no test")</f>
        <v>no test</v>
      </c>
      <c r="BR599" s="710" t="str">
        <f>IFERROR(WWWW[[#This Row],['#_Household received remediation action due to contamination]]/WWWW[[#This Row],['#_Household water samples tested for contamination]],"no test")</f>
        <v>no test</v>
      </c>
      <c r="BS599" s="712" t="str">
        <f>IF(AND(WWWW[[#This Row],[% of water sources treated]]="no test",WWWW[[#This Row],[% Household received corrective actions]]="no test"),"No Test","Tested")</f>
        <v>No Test</v>
      </c>
      <c r="BT599" s="712">
        <f>WWWW[[#This Row],['#_Constructed/existing protected hand dug well]]-WWWW[[#This Row],['#_Non-functional protected hand dug well]]</f>
        <v>0</v>
      </c>
      <c r="BU599" s="712">
        <f>(WWWW[[#This Row],['#_Constructed/Existing tube wells/boreholes/handpumps_WASH_agency]]+WWWW[[#This Row],['#_Non-Cluster partner water tube-wells/boreholes/handpumps]])-WWWW[[#This Row],['#_Non-functional tube wells/boreholes/handpumps]]</f>
        <v>1</v>
      </c>
      <c r="BV599" s="712">
        <f>WWWW[[#This Row],['#_Constructed/Existingwater storage tank with gravity fed reticulation system]]-WWWW[[#This Row],['#_Non-functional storage tank gravity fed reticulation system]]</f>
        <v>0</v>
      </c>
      <c r="BW599" s="712">
        <f>WWWW[[#This Row],['#_Water boating or water trucking]]</f>
        <v>0</v>
      </c>
      <c r="BX599" s="712">
        <f>WWWW[[#This Row],['#_Constructed/Existing water distribution system from river or natural spring]]</f>
        <v>0</v>
      </c>
      <c r="BY59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59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599" s="710">
        <f>IF(WWWW[[#This Row],[Location Type 1]]="Village",WWWW[[#This Row],[Access to safe drinking water for Village]],WWWW[[#This Row],[Access to safe drinking water for Camp]])</f>
        <v>1</v>
      </c>
      <c r="CB599" s="708">
        <f>WWWW[[#This Row],[%Equitable and continuous access to sufficient quantity of safe drinking water]]*WWWW[[#This Row],[Total PoP ]]</f>
        <v>194</v>
      </c>
      <c r="CC599" s="710">
        <f>IF((WWWW[[#This Row],['#_Constructed/Existing protected/fenced ponds]]*250)/WWWW[[#This Row],[Total PoP ]]&gt;1,1,(WWWW[[#This Row],['#_Constructed/Existing protected/fenced ponds]]*250)/WWWW[[#This Row],[Total PoP ]])</f>
        <v>0</v>
      </c>
      <c r="CD599" s="708">
        <f>WWWW[[#This Row],[% Access to unimproved water points]]*WWWW[[#This Row],[Total PoP ]]</f>
        <v>0</v>
      </c>
      <c r="CE59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59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194</v>
      </c>
      <c r="CG599" s="708">
        <f>WWWW[[#This Row],[HRP1]]/500</f>
        <v>0.38800000000000001</v>
      </c>
      <c r="CH599" s="714">
        <f>1-WWWW[[#This Row],[% Equitable and continuous access to sufficient quantity of domestic water]]</f>
        <v>0</v>
      </c>
      <c r="CI599" s="708">
        <f>WWWW[[#This Row],[%equitable and continuous access to sufficient quantity of safe drinking and domestic water''s GAP]]*WWWW[[#This Row],[Total PoP ]]</f>
        <v>0</v>
      </c>
      <c r="CJ599" s="712">
        <f>IF(WWWW[[#This Row],[Total required water points]]-WWWW[[#This Row],['#Water points coverage]]&lt;0,0,WWWW[[#This Row],[Total required water points]]-WWWW[[#This Row],['#Water points coverage]])</f>
        <v>0.61199999999999999</v>
      </c>
      <c r="CK599" s="712">
        <f>ROUND(IF(WWWW[[#This Row],[Total PoP ]]&lt;500,1,WWWW[[#This Row],[Total PoP ]]/500),0)</f>
        <v>1</v>
      </c>
      <c r="CL599" s="712">
        <f>(WWWW[[#This Row],['#_Constructed latrines_by_WASHAgencies]]+WWWW[[#This Row],['#_Non Cluster partner latrines]])-WWWW[[#This Row],['#_Non-functional latrines]]</f>
        <v>4</v>
      </c>
      <c r="CM59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0.41237113402061853</v>
      </c>
      <c r="CN59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59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599" s="712">
        <f>IF(WWWW[[#This Row],[Location Type 1]]="Village","NA",IF(WWWW[[#This Row],['#_Constructed/Existing latrines in TLS]]*50&gt;WWWW[[#This Row],['#_students at TLS_CFS]],WWWW[[#This Row],['#_students at TLS_CFS]],(WWWW[[#This Row],['#_Constructed/Existing latrines in TLS]]*50)))</f>
        <v>0</v>
      </c>
      <c r="CQ599" s="712">
        <f>ROUND(IF(WWWW[[#This Row],[Location Type 1]]="camp",WWWW[[#This Row],[Total PoP ]]/20,IF(WWWW[[#This Row],[Location Type 1]]="Temporary Location",WWWW[[#This Row],[Total PoP ]]/50,(WWWW[[#This Row],[Total PoP ]]/6))),0)</f>
        <v>10</v>
      </c>
      <c r="CR599" s="712">
        <f>IF(WWWW[[#This Row],[Total required Latrines]]-(WWWW[[#This Row],['#_Constructed latrines_by_WASHAgencies]]+WWWW[[#This Row],['#_Non Cluster partner latrines]])&lt;0,0,WWWW[[#This Row],[Total required Latrines]]-(WWWW[[#This Row],['#_Constructed latrines_by_WASHAgencies]]+WWWW[[#This Row],['#_Non Cluster partner latrines]]))</f>
        <v>6</v>
      </c>
      <c r="CS599" s="714">
        <f>1-WWWW[[#This Row],[% people access to functioning Latrine]]</f>
        <v>0.58762886597938147</v>
      </c>
      <c r="CT599" s="713">
        <f>IF(OR(WWWW[[#This Row],['#_Non-functional latrines]]="",WWWW[[#This Row],['#_Non-functional latrines]]=0),0,WWWW[[#This Row],['#_Non-functional latrines]]/(WWWW[[#This Row],['#_Constructed latrines_by_WASHAgencies]]+WWWW[[#This Row],['#_Non Cluster partner latrines]]))</f>
        <v>0</v>
      </c>
      <c r="CU599" s="708">
        <f>IF(500*(WWWW[[#This Row],['#_male hygiene promoters]]+WWWW[[#This Row],['#_female hygiene promoters]])&gt;WWWW[[#This Row],[Total PoP ]],WWWW[[#This Row],[Total PoP ]],500*(WWWW[[#This Row],['#_male hygiene promoters]]+WWWW[[#This Row],['#_female hygiene promoters]]))</f>
        <v>194</v>
      </c>
      <c r="CV59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59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599" s="712">
        <f>IF(WWWW[[#This Row],['# People with access to soap]]&gt;WWWW[[#This Row],['# People with access to Sanity Pads]],WWWW[[#This Row],['# People with access to soap]],WWWW[[#This Row],['# People with access to Sanity Pads]])</f>
        <v>0</v>
      </c>
      <c r="CY599" s="712">
        <f>IF(WWWW[[#This Row],['# people reached by regular dedicated hygiene promotion_5]]&gt;WWWW[[#This Row],['# People received regular supply of hygiene items_6]],WWWW[[#This Row],['# people reached by regular dedicated hygiene promotion_5]],WWWW[[#This Row],['# People received regular supply of hygiene items_6]])</f>
        <v>194</v>
      </c>
      <c r="CZ599" s="714">
        <f>IF(WWWW[[#This Row],[HRP3]]/WWWW[[#This Row],[Total PoP ]]&gt;100%,100%,WWWW[[#This Row],[HRP3]]/WWWW[[#This Row],[Total PoP ]])</f>
        <v>1</v>
      </c>
      <c r="DA599" s="713">
        <f>1-WWWW[[#This Row],[Hygiene Coverage%]]</f>
        <v>0</v>
      </c>
      <c r="DB599" s="710">
        <f>WWWW[[#This Row],['# people reached by regular dedicated hygiene promotion_5]]/WWWW[[#This Row],[Total PoP ]]</f>
        <v>1</v>
      </c>
      <c r="DC599" s="710">
        <f>IF(WWWW[[#This Row],['#_households that received standard amount of soap for this quarter]]/WWWW[[#This Row],[Total HH]]&gt;1,1,WWWW[[#This Row],['#_households that received standard amount of soap for this quarter]]/WWWW[[#This Row],[Total HH]])</f>
        <v>0</v>
      </c>
      <c r="DD599" s="710">
        <f>IF(WWWW[[#This Row],['#_households that received standard amount of sanitary pads for this quarter]]/WWWW[[#This Row],[Total HH]]&gt;1,1,WWWW[[#This Row],['#_households that received standard amount of sanitary pads for this quarter]]/WWWW[[#This Row],[Total HH]])</f>
        <v>0</v>
      </c>
      <c r="DE599" s="712">
        <f>WWWW[[#This Row],['#_Constructed/Existing hand washing stations]]-WWWW[[#This Row],['#_Non-Functional_hand_washing_stations]]</f>
        <v>0</v>
      </c>
      <c r="DF599" s="757">
        <f>IF(WWWW[[#This Row],['# Functional hand washing stations during reporting period]]*20&gt;WWWW[[#This Row],[Total HH]],WWWW[[#This Row],[Total HH]],WWWW[[#This Row],['# Functional hand washing stations during reporting period]]*20)</f>
        <v>0</v>
      </c>
      <c r="DG599" s="708">
        <f>IF(WWWW[[#This Row],[Is sufficient soap available for TLS? (Yes/No)]]="yes",WWWW[[#This Row],['#_Constructed/Existing hand washing stations at TLS]],0)</f>
        <v>0</v>
      </c>
      <c r="DH599" s="759">
        <f>IF(WWWW[[#This Row],['# Functional hand washing stations during reporting period]]*100&gt;WWWW[[#This Row],[Total PoP ]],WWWW[[#This Row],[Total PoP ]],WWWW[[#This Row],['# Functional hand washing stations during reporting period]]*100)</f>
        <v>0</v>
      </c>
      <c r="DI599" s="759" t="str">
        <f>IF(OR(WWWW[[#This Row],['#_students at TLS_CFS]]="",WWWW[[#This Row],['#_students at TLS_CFS]]=0),"No","Yes")</f>
        <v>No</v>
      </c>
      <c r="DJ599" s="711" t="str">
        <f>VLOOKUP(WWWW[[#This Row],[Site Name]],SiteDB6[[Site Name]:[CCCM Management]],6,FALSE)</f>
        <v>Yes</v>
      </c>
      <c r="DK599" s="711" t="str">
        <f>VLOOKUP(WWWW[[#This Row],[Site Name]],SiteDB6[[Site Name]:[CCCM Focal Agency]],7,FALSE)</f>
        <v>KBC</v>
      </c>
      <c r="DL599" s="711" t="str">
        <f>VLOOKUP(WWWW[[#This Row],[Site Name]],SiteDB6[[Site Name]:[Location Type 1]],9,FALSE)</f>
        <v>Camp</v>
      </c>
      <c r="DM599" s="711" t="str">
        <f>VLOOKUP(WWWW[[#This Row],[Site Name]],SiteDB6[[Site Name]:[Type of Accommodation]],10,FALSE)</f>
        <v>Closed Camp</v>
      </c>
      <c r="DN599" s="711" t="str">
        <f>VLOOKUP(WWWW[[#This Row],[Site Name]],SiteDB6[[Site Name]:[Ethnic or GCA/NGCA]],11,FALSE)</f>
        <v>GCA</v>
      </c>
      <c r="DO599" s="711">
        <f>VLOOKUP(WWWW[[#This Row],[Site Name]],SiteDB6[[Site Name]:[Lat]],12,FALSE)</f>
        <v>25.36600361</v>
      </c>
      <c r="DP599" s="711">
        <f>VLOOKUP(WWWW[[#This Row],[Site Name]],SiteDB6[[Site Name]:[Long]],13,FALSE)</f>
        <v>97.405202779999996</v>
      </c>
      <c r="DQ599" s="711" t="str">
        <f>VLOOKUP(WWWW[[#This Row],[Site Name]],SiteDB6[[Site Name]:[Pcode]],3,FALSE)</f>
        <v>MMR001CMP013</v>
      </c>
      <c r="DR599" s="709" t="str">
        <f t="shared" si="22"/>
        <v>Covered</v>
      </c>
      <c r="DS599" s="709"/>
    </row>
    <row r="600" spans="1:123">
      <c r="A600" s="701" t="s">
        <v>2519</v>
      </c>
      <c r="B600" s="701" t="s">
        <v>38</v>
      </c>
      <c r="C600" s="702" t="s">
        <v>38</v>
      </c>
      <c r="D600" s="584" t="s">
        <v>3336</v>
      </c>
      <c r="E600" s="702" t="s">
        <v>39</v>
      </c>
      <c r="F600" s="702" t="s">
        <v>150</v>
      </c>
      <c r="G600" s="711" t="str">
        <f>VLOOKUP(WWWW[[#This Row],[Site Name]],SiteDB6[[Site Name]:[Location Type]],8,FALSE)</f>
        <v>Camp</v>
      </c>
      <c r="H600" s="702" t="s">
        <v>245</v>
      </c>
      <c r="I600" s="705">
        <v>283</v>
      </c>
      <c r="J600" s="705">
        <v>1481</v>
      </c>
      <c r="K600" s="706" t="s">
        <v>3318</v>
      </c>
      <c r="L600" s="707" t="s">
        <v>3316</v>
      </c>
      <c r="M600" s="705">
        <v>85</v>
      </c>
      <c r="N600" s="705"/>
      <c r="O600" s="705"/>
      <c r="P600" s="705"/>
      <c r="Q600" s="708" t="s">
        <v>43</v>
      </c>
      <c r="R600" s="705"/>
      <c r="S600" s="705"/>
      <c r="T600" s="807">
        <v>10</v>
      </c>
      <c r="U600" s="705"/>
      <c r="V600" s="705"/>
      <c r="W600" s="705"/>
      <c r="X600" s="705"/>
      <c r="Y600" s="705"/>
      <c r="Z600" s="705"/>
      <c r="AA600" s="705"/>
      <c r="AB600" s="705"/>
      <c r="AC600" s="705"/>
      <c r="AD600" s="705"/>
      <c r="AE600" s="705"/>
      <c r="AF600" s="705"/>
      <c r="AG600" s="705"/>
      <c r="AH600" s="705"/>
      <c r="AI600" s="705"/>
      <c r="AJ600" s="705"/>
      <c r="AK600" s="705"/>
      <c r="AL600" s="705"/>
      <c r="AM600" s="705">
        <v>2</v>
      </c>
      <c r="AN600" s="705"/>
      <c r="AO600" s="709"/>
      <c r="AP600" s="705">
        <v>97</v>
      </c>
      <c r="AQ600" s="705"/>
      <c r="AR600" s="710"/>
      <c r="AS600" s="705"/>
      <c r="AT600" s="705"/>
      <c r="AU600" s="705"/>
      <c r="AV600" s="705"/>
      <c r="AW600" s="705"/>
      <c r="AX600" s="711" t="s">
        <v>43</v>
      </c>
      <c r="AY600" s="709" t="s">
        <v>145</v>
      </c>
      <c r="AZ600" s="705">
        <v>4</v>
      </c>
      <c r="BA600" s="705"/>
      <c r="BB600" s="705"/>
      <c r="BC600" s="711"/>
      <c r="BD600" s="705"/>
      <c r="BE600" s="705"/>
      <c r="BF600" s="705"/>
      <c r="BG600" s="705">
        <v>6</v>
      </c>
      <c r="BH600" s="705"/>
      <c r="BI600" s="705"/>
      <c r="BJ600" s="705">
        <v>4</v>
      </c>
      <c r="BK600" s="705"/>
      <c r="BL600" s="705"/>
      <c r="BM600" s="711" t="s">
        <v>144</v>
      </c>
      <c r="BN600" s="712"/>
      <c r="BO600" s="710"/>
      <c r="BP600" s="711"/>
      <c r="BQ600" s="713" t="str">
        <f>IFERROR(WWWW[[#This Row],['#_Water sources treated]]/WWWW[[#This Row],['#_Water sources tested for contamination]],"no test")</f>
        <v>no test</v>
      </c>
      <c r="BR600" s="710" t="str">
        <f>IFERROR(WWWW[[#This Row],['#_Household received remediation action due to contamination]]/WWWW[[#This Row],['#_Household water samples tested for contamination]],"no test")</f>
        <v>no test</v>
      </c>
      <c r="BS600" s="712" t="str">
        <f>IF(AND(WWWW[[#This Row],[% of water sources treated]]="no test",WWWW[[#This Row],[% Household received corrective actions]]="no test"),"No Test","Tested")</f>
        <v>No Test</v>
      </c>
      <c r="BT600" s="712">
        <f>WWWW[[#This Row],['#_Constructed/existing protected hand dug well]]-WWWW[[#This Row],['#_Non-functional protected hand dug well]]</f>
        <v>10</v>
      </c>
      <c r="BU600" s="712">
        <f>(WWWW[[#This Row],['#_Constructed/Existing tube wells/boreholes/handpumps_WASH_agency]]+WWWW[[#This Row],['#_Non-Cluster partner water tube-wells/boreholes/handpumps]])-WWWW[[#This Row],['#_Non-functional tube wells/boreholes/handpumps]]</f>
        <v>0</v>
      </c>
      <c r="BV600" s="712">
        <f>WWWW[[#This Row],['#_Constructed/Existingwater storage tank with gravity fed reticulation system]]-WWWW[[#This Row],['#_Non-functional storage tank gravity fed reticulation system]]</f>
        <v>0</v>
      </c>
      <c r="BW600" s="712">
        <f>WWWW[[#This Row],['#_Water boating or water trucking]]</f>
        <v>0</v>
      </c>
      <c r="BX600" s="712">
        <f>WWWW[[#This Row],['#_Constructed/Existing water distribution system from river or natural spring]]</f>
        <v>0</v>
      </c>
      <c r="BY60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0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00" s="710">
        <f>IF(WWWW[[#This Row],[Location Type 1]]="Village",WWWW[[#This Row],[Access to safe drinking water for Village]],WWWW[[#This Row],[Access to safe drinking water for Camp]])</f>
        <v>1</v>
      </c>
      <c r="CB600" s="708">
        <f>WWWW[[#This Row],[%Equitable and continuous access to sufficient quantity of safe drinking water]]*WWWW[[#This Row],[Total PoP ]]</f>
        <v>1481</v>
      </c>
      <c r="CC600" s="710">
        <f>IF((WWWW[[#This Row],['#_Constructed/Existing protected/fenced ponds]]*250)/WWWW[[#This Row],[Total PoP ]]&gt;1,1,(WWWW[[#This Row],['#_Constructed/Existing protected/fenced ponds]]*250)/WWWW[[#This Row],[Total PoP ]])</f>
        <v>0</v>
      </c>
      <c r="CD600" s="708">
        <f>WWWW[[#This Row],[% Access to unimproved water points]]*WWWW[[#This Row],[Total PoP ]]</f>
        <v>0</v>
      </c>
      <c r="CE60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0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1481</v>
      </c>
      <c r="CG600" s="708">
        <f>WWWW[[#This Row],[HRP1]]/500</f>
        <v>2.9620000000000002</v>
      </c>
      <c r="CH600" s="714">
        <f>1-WWWW[[#This Row],[% Equitable and continuous access to sufficient quantity of domestic water]]</f>
        <v>0</v>
      </c>
      <c r="CI600" s="708">
        <f>WWWW[[#This Row],[%equitable and continuous access to sufficient quantity of safe drinking and domestic water''s GAP]]*WWWW[[#This Row],[Total PoP ]]</f>
        <v>0</v>
      </c>
      <c r="CJ600" s="712">
        <f>IF(WWWW[[#This Row],[Total required water points]]-WWWW[[#This Row],['#Water points coverage]]&lt;0,0,WWWW[[#This Row],[Total required water points]]-WWWW[[#This Row],['#Water points coverage]])</f>
        <v>3.7999999999999812E-2</v>
      </c>
      <c r="CK600" s="712">
        <f>ROUND(IF(WWWW[[#This Row],[Total PoP ]]&lt;500,1,WWWW[[#This Row],[Total PoP ]]/500),0)</f>
        <v>3</v>
      </c>
      <c r="CL600" s="712">
        <f>(WWWW[[#This Row],['#_Constructed latrines_by_WASHAgencies]]+WWWW[[#This Row],['#_Non Cluster partner latrines]])-WWWW[[#This Row],['#_Non-functional latrines]]</f>
        <v>97</v>
      </c>
      <c r="CM60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0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1481</v>
      </c>
      <c r="CO60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0" s="712">
        <f>IF(WWWW[[#This Row],[Location Type 1]]="Village","NA",IF(WWWW[[#This Row],['#_Constructed/Existing latrines in TLS]]*50&gt;WWWW[[#This Row],['#_students at TLS_CFS]],WWWW[[#This Row],['#_students at TLS_CFS]],(WWWW[[#This Row],['#_Constructed/Existing latrines in TLS]]*50)))</f>
        <v>0</v>
      </c>
      <c r="CQ600" s="712">
        <f>ROUND(IF(WWWW[[#This Row],[Location Type 1]]="camp",WWWW[[#This Row],[Total PoP ]]/20,IF(WWWW[[#This Row],[Location Type 1]]="Temporary Location",WWWW[[#This Row],[Total PoP ]]/50,(WWWW[[#This Row],[Total PoP ]]/6))),0)</f>
        <v>74</v>
      </c>
      <c r="CR600" s="712">
        <f>IF(WWWW[[#This Row],[Total required Latrines]]-(WWWW[[#This Row],['#_Constructed latrines_by_WASHAgencies]]+WWWW[[#This Row],['#_Non Cluster partner latrines]])&lt;0,0,WWWW[[#This Row],[Total required Latrines]]-(WWWW[[#This Row],['#_Constructed latrines_by_WASHAgencies]]+WWWW[[#This Row],['#_Non Cluster partner latrines]]))</f>
        <v>0</v>
      </c>
      <c r="CS600" s="714">
        <f>1-WWWW[[#This Row],[% people access to functioning Latrine]]</f>
        <v>0</v>
      </c>
      <c r="CT600" s="713">
        <f>IF(OR(WWWW[[#This Row],['#_Non-functional latrines]]="",WWWW[[#This Row],['#_Non-functional latrines]]=0),0,WWWW[[#This Row],['#_Non-functional latrines]]/(WWWW[[#This Row],['#_Constructed latrines_by_WASHAgencies]]+WWWW[[#This Row],['#_Non Cluster partner latrines]]))</f>
        <v>0</v>
      </c>
      <c r="CU600" s="708">
        <f>IF(500*(WWWW[[#This Row],['#_male hygiene promoters]]+WWWW[[#This Row],['#_female hygiene promoters]])&gt;WWWW[[#This Row],[Total PoP ]],WWWW[[#This Row],[Total PoP ]],500*(WWWW[[#This Row],['#_male hygiene promoters]]+WWWW[[#This Row],['#_female hygiene promoters]]))</f>
        <v>1481</v>
      </c>
      <c r="CV60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0" s="712">
        <f>IF(WWWW[[#This Row],['# People with access to soap]]&gt;WWWW[[#This Row],['# People with access to Sanity Pads]],WWWW[[#This Row],['# People with access to soap]],WWWW[[#This Row],['# People with access to Sanity Pads]])</f>
        <v>0</v>
      </c>
      <c r="CY600" s="712">
        <f>IF(WWWW[[#This Row],['# people reached by regular dedicated hygiene promotion_5]]&gt;WWWW[[#This Row],['# People received regular supply of hygiene items_6]],WWWW[[#This Row],['# people reached by regular dedicated hygiene promotion_5]],WWWW[[#This Row],['# People received regular supply of hygiene items_6]])</f>
        <v>1481</v>
      </c>
      <c r="CZ600" s="714">
        <f>IF(WWWW[[#This Row],[HRP3]]/WWWW[[#This Row],[Total PoP ]]&gt;100%,100%,WWWW[[#This Row],[HRP3]]/WWWW[[#This Row],[Total PoP ]])</f>
        <v>1</v>
      </c>
      <c r="DA600" s="713">
        <f>1-WWWW[[#This Row],[Hygiene Coverage%]]</f>
        <v>0</v>
      </c>
      <c r="DB600" s="710">
        <f>WWWW[[#This Row],['# people reached by regular dedicated hygiene promotion_5]]/WWWW[[#This Row],[Total PoP ]]</f>
        <v>1</v>
      </c>
      <c r="DC600" s="710">
        <f>IF(WWWW[[#This Row],['#_households that received standard amount of soap for this quarter]]/WWWW[[#This Row],[Total HH]]&gt;1,1,WWWW[[#This Row],['#_households that received standard amount of soap for this quarter]]/WWWW[[#This Row],[Total HH]])</f>
        <v>0</v>
      </c>
      <c r="DD600" s="710">
        <f>IF(WWWW[[#This Row],['#_households that received standard amount of sanitary pads for this quarter]]/WWWW[[#This Row],[Total HH]]&gt;1,1,WWWW[[#This Row],['#_households that received standard amount of sanitary pads for this quarter]]/WWWW[[#This Row],[Total HH]])</f>
        <v>0</v>
      </c>
      <c r="DE600" s="712">
        <f>WWWW[[#This Row],['#_Constructed/Existing hand washing stations]]-WWWW[[#This Row],['#_Non-Functional_hand_washing_stations]]</f>
        <v>0</v>
      </c>
      <c r="DF600" s="757">
        <f>IF(WWWW[[#This Row],['# Functional hand washing stations during reporting period]]*20&gt;WWWW[[#This Row],[Total HH]],WWWW[[#This Row],[Total HH]],WWWW[[#This Row],['# Functional hand washing stations during reporting period]]*20)</f>
        <v>0</v>
      </c>
      <c r="DG600" s="708">
        <f>IF(WWWW[[#This Row],[Is sufficient soap available for TLS? (Yes/No)]]="yes",WWWW[[#This Row],['#_Constructed/Existing hand washing stations at TLS]],0)</f>
        <v>0</v>
      </c>
      <c r="DH600" s="759">
        <f>IF(WWWW[[#This Row],['# Functional hand washing stations during reporting period]]*100&gt;WWWW[[#This Row],[Total PoP ]],WWWW[[#This Row],[Total PoP ]],WWWW[[#This Row],['# Functional hand washing stations during reporting period]]*100)</f>
        <v>0</v>
      </c>
      <c r="DI600" s="759" t="str">
        <f>IF(OR(WWWW[[#This Row],['#_students at TLS_CFS]]="",WWWW[[#This Row],['#_students at TLS_CFS]]=0),"No","Yes")</f>
        <v>Yes</v>
      </c>
      <c r="DJ600" s="711" t="str">
        <f>VLOOKUP(WWWW[[#This Row],[Site Name]],SiteDB6[[Site Name]:[CCCM Management]],6,FALSE)</f>
        <v>Yes</v>
      </c>
      <c r="DK600" s="711" t="str">
        <f>VLOOKUP(WWWW[[#This Row],[Site Name]],SiteDB6[[Site Name]:[CCCM Focal Agency]],7,FALSE)</f>
        <v>KMSS-MYT</v>
      </c>
      <c r="DL600" s="711" t="str">
        <f>VLOOKUP(WWWW[[#This Row],[Site Name]],SiteDB6[[Site Name]:[Location Type 1]],9,FALSE)</f>
        <v>Camp</v>
      </c>
      <c r="DM600" s="711" t="str">
        <f>VLOOKUP(WWWW[[#This Row],[Site Name]],SiteDB6[[Site Name]:[Type of Accommodation]],10,FALSE)</f>
        <v>Camp</v>
      </c>
      <c r="DN600" s="711" t="str">
        <f>VLOOKUP(WWWW[[#This Row],[Site Name]],SiteDB6[[Site Name]:[Ethnic or GCA/NGCA]],11,FALSE)</f>
        <v>GCA</v>
      </c>
      <c r="DO600" s="711">
        <f>VLOOKUP(WWWW[[#This Row],[Site Name]],SiteDB6[[Site Name]:[Lat]],12,FALSE)</f>
        <v>25.415667500000001</v>
      </c>
      <c r="DP600" s="711">
        <f>VLOOKUP(WWWW[[#This Row],[Site Name]],SiteDB6[[Site Name]:[Long]],13,FALSE)</f>
        <v>97.437782499999997</v>
      </c>
      <c r="DQ600" s="711" t="str">
        <f>VLOOKUP(WWWW[[#This Row],[Site Name]],SiteDB6[[Site Name]:[Pcode]],3,FALSE)</f>
        <v>MMR001CMP029</v>
      </c>
      <c r="DR600" s="709" t="str">
        <f t="shared" si="22"/>
        <v>Covered</v>
      </c>
      <c r="DS600" s="709"/>
    </row>
    <row r="601" spans="1:123">
      <c r="A601" s="701" t="s">
        <v>2519</v>
      </c>
      <c r="B601" s="701" t="s">
        <v>38</v>
      </c>
      <c r="C601" s="702" t="s">
        <v>38</v>
      </c>
      <c r="D601" s="702" t="s">
        <v>722</v>
      </c>
      <c r="E601" s="702" t="s">
        <v>39</v>
      </c>
      <c r="F601" s="702" t="s">
        <v>40</v>
      </c>
      <c r="G601" s="711" t="str">
        <f>VLOOKUP(WWWW[[#This Row],[Site Name]],SiteDB6[[Site Name]:[Location Type]],8,FALSE)</f>
        <v>Camp</v>
      </c>
      <c r="H601" s="702" t="s">
        <v>41</v>
      </c>
      <c r="I601" s="705">
        <v>154</v>
      </c>
      <c r="J601" s="705">
        <v>694</v>
      </c>
      <c r="K601" s="706">
        <v>43525</v>
      </c>
      <c r="L601" s="707" t="s">
        <v>3317</v>
      </c>
      <c r="M601" s="705"/>
      <c r="N601" s="705"/>
      <c r="O601" s="705"/>
      <c r="P601" s="705"/>
      <c r="Q601" s="708"/>
      <c r="R601" s="705"/>
      <c r="S601" s="705"/>
      <c r="T601" s="807">
        <v>1</v>
      </c>
      <c r="U601" s="705"/>
      <c r="V601" s="705"/>
      <c r="W601" s="705">
        <v>3</v>
      </c>
      <c r="X601" s="705">
        <v>2</v>
      </c>
      <c r="Y601" s="705"/>
      <c r="Z601" s="705"/>
      <c r="AA601" s="705"/>
      <c r="AB601" s="705"/>
      <c r="AC601" s="705"/>
      <c r="AD601" s="705"/>
      <c r="AE601" s="705"/>
      <c r="AF601" s="705"/>
      <c r="AG601" s="705"/>
      <c r="AH601" s="705"/>
      <c r="AI601" s="705"/>
      <c r="AJ601" s="705"/>
      <c r="AK601" s="705"/>
      <c r="AL601" s="705"/>
      <c r="AM601" s="705"/>
      <c r="AN601" s="705"/>
      <c r="AO601" s="709"/>
      <c r="AP601" s="705">
        <v>61</v>
      </c>
      <c r="AQ601" s="705"/>
      <c r="AR601" s="710"/>
      <c r="AS601" s="705"/>
      <c r="AT601" s="705"/>
      <c r="AU601" s="705"/>
      <c r="AV601" s="705"/>
      <c r="AW601" s="705"/>
      <c r="AX601" s="711" t="s">
        <v>43</v>
      </c>
      <c r="AY601" s="709" t="s">
        <v>145</v>
      </c>
      <c r="AZ601" s="705"/>
      <c r="BA601" s="705"/>
      <c r="BB601" s="705"/>
      <c r="BC601" s="711"/>
      <c r="BD601" s="705">
        <v>10</v>
      </c>
      <c r="BE601" s="705"/>
      <c r="BF601" s="705"/>
      <c r="BG601" s="705">
        <v>7</v>
      </c>
      <c r="BH601" s="705"/>
      <c r="BI601" s="705"/>
      <c r="BJ601" s="705">
        <v>2</v>
      </c>
      <c r="BK601" s="705"/>
      <c r="BL601" s="705"/>
      <c r="BM601" s="711"/>
      <c r="BN601" s="712"/>
      <c r="BO601" s="710"/>
      <c r="BP601" s="711" t="s">
        <v>2962</v>
      </c>
      <c r="BQ601" s="713" t="str">
        <f>IFERROR(WWWW[[#This Row],['#_Water sources treated]]/WWWW[[#This Row],['#_Water sources tested for contamination]],"no test")</f>
        <v>no test</v>
      </c>
      <c r="BR601" s="710" t="str">
        <f>IFERROR(WWWW[[#This Row],['#_Household received remediation action due to contamination]]/WWWW[[#This Row],['#_Household water samples tested for contamination]],"no test")</f>
        <v>no test</v>
      </c>
      <c r="BS601" s="712" t="str">
        <f>IF(AND(WWWW[[#This Row],[% of water sources treated]]="no test",WWWW[[#This Row],[% Household received corrective actions]]="no test"),"No Test","Tested")</f>
        <v>No Test</v>
      </c>
      <c r="BT601" s="712">
        <f>WWWW[[#This Row],['#_Constructed/existing protected hand dug well]]-WWWW[[#This Row],['#_Non-functional protected hand dug well]]</f>
        <v>1</v>
      </c>
      <c r="BU601" s="712">
        <f>(WWWW[[#This Row],['#_Constructed/Existing tube wells/boreholes/handpumps_WASH_agency]]+WWWW[[#This Row],['#_Non-Cluster partner water tube-wells/boreholes/handpumps]])-WWWW[[#This Row],['#_Non-functional tube wells/boreholes/handpumps]]</f>
        <v>5</v>
      </c>
      <c r="BV601" s="712">
        <f>WWWW[[#This Row],['#_Constructed/Existingwater storage tank with gravity fed reticulation system]]-WWWW[[#This Row],['#_Non-functional storage tank gravity fed reticulation system]]</f>
        <v>0</v>
      </c>
      <c r="BW601" s="712">
        <f>WWWW[[#This Row],['#_Water boating or water trucking]]</f>
        <v>0</v>
      </c>
      <c r="BX601" s="712">
        <f>WWWW[[#This Row],['#_Constructed/Existing water distribution system from river or natural spring]]</f>
        <v>0</v>
      </c>
      <c r="BY60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0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01" s="710">
        <f>IF(WWWW[[#This Row],[Location Type 1]]="Village",WWWW[[#This Row],[Access to safe drinking water for Village]],WWWW[[#This Row],[Access to safe drinking water for Camp]])</f>
        <v>1</v>
      </c>
      <c r="CB601" s="708">
        <f>WWWW[[#This Row],[%Equitable and continuous access to sufficient quantity of safe drinking water]]*WWWW[[#This Row],[Total PoP ]]</f>
        <v>694</v>
      </c>
      <c r="CC601" s="710">
        <f>IF((WWWW[[#This Row],['#_Constructed/Existing protected/fenced ponds]]*250)/WWWW[[#This Row],[Total PoP ]]&gt;1,1,(WWWW[[#This Row],['#_Constructed/Existing protected/fenced ponds]]*250)/WWWW[[#This Row],[Total PoP ]])</f>
        <v>0</v>
      </c>
      <c r="CD601" s="708">
        <f>WWWW[[#This Row],[% Access to unimproved water points]]*WWWW[[#This Row],[Total PoP ]]</f>
        <v>0</v>
      </c>
      <c r="CE60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0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G601" s="708">
        <f>WWWW[[#This Row],[HRP1]]/500</f>
        <v>1.3879999999999999</v>
      </c>
      <c r="CH601" s="714">
        <f>1-WWWW[[#This Row],[% Equitable and continuous access to sufficient quantity of domestic water]]</f>
        <v>0</v>
      </c>
      <c r="CI601" s="708">
        <f>WWWW[[#This Row],[%equitable and continuous access to sufficient quantity of safe drinking and domestic water''s GAP]]*WWWW[[#This Row],[Total PoP ]]</f>
        <v>0</v>
      </c>
      <c r="CJ601" s="712">
        <f>IF(WWWW[[#This Row],[Total required water points]]-WWWW[[#This Row],['#Water points coverage]]&lt;0,0,WWWW[[#This Row],[Total required water points]]-WWWW[[#This Row],['#Water points coverage]])</f>
        <v>0</v>
      </c>
      <c r="CK601" s="712">
        <f>ROUND(IF(WWWW[[#This Row],[Total PoP ]]&lt;500,1,WWWW[[#This Row],[Total PoP ]]/500),0)</f>
        <v>1</v>
      </c>
      <c r="CL601" s="712">
        <f>(WWWW[[#This Row],['#_Constructed latrines_by_WASHAgencies]]+WWWW[[#This Row],['#_Non Cluster partner latrines]])-WWWW[[#This Row],['#_Non-functional latrines]]</f>
        <v>61</v>
      </c>
      <c r="CM60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0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694</v>
      </c>
      <c r="CO60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1" s="712">
        <f>IF(WWWW[[#This Row],[Location Type 1]]="Village","NA",IF(WWWW[[#This Row],['#_Constructed/Existing latrines in TLS]]*50&gt;WWWW[[#This Row],['#_students at TLS_CFS]],WWWW[[#This Row],['#_students at TLS_CFS]],(WWWW[[#This Row],['#_Constructed/Existing latrines in TLS]]*50)))</f>
        <v>0</v>
      </c>
      <c r="CQ601" s="712">
        <f>ROUND(IF(WWWW[[#This Row],[Location Type 1]]="camp",WWWW[[#This Row],[Total PoP ]]/20,IF(WWWW[[#This Row],[Location Type 1]]="Temporary Location",WWWW[[#This Row],[Total PoP ]]/50,(WWWW[[#This Row],[Total PoP ]]/6))),0)</f>
        <v>35</v>
      </c>
      <c r="CR601" s="712">
        <f>IF(WWWW[[#This Row],[Total required Latrines]]-(WWWW[[#This Row],['#_Constructed latrines_by_WASHAgencies]]+WWWW[[#This Row],['#_Non Cluster partner latrines]])&lt;0,0,WWWW[[#This Row],[Total required Latrines]]-(WWWW[[#This Row],['#_Constructed latrines_by_WASHAgencies]]+WWWW[[#This Row],['#_Non Cluster partner latrines]]))</f>
        <v>0</v>
      </c>
      <c r="CS601" s="714">
        <f>1-WWWW[[#This Row],[% people access to functioning Latrine]]</f>
        <v>0</v>
      </c>
      <c r="CT601" s="713">
        <f>IF(OR(WWWW[[#This Row],['#_Non-functional latrines]]="",WWWW[[#This Row],['#_Non-functional latrines]]=0),0,WWWW[[#This Row],['#_Non-functional latrines]]/(WWWW[[#This Row],['#_Constructed latrines_by_WASHAgencies]]+WWWW[[#This Row],['#_Non Cluster partner latrines]]))</f>
        <v>0</v>
      </c>
      <c r="CU601" s="708">
        <f>IF(500*(WWWW[[#This Row],['#_male hygiene promoters]]+WWWW[[#This Row],['#_female hygiene promoters]])&gt;WWWW[[#This Row],[Total PoP ]],WWWW[[#This Row],[Total PoP ]],500*(WWWW[[#This Row],['#_male hygiene promoters]]+WWWW[[#This Row],['#_female hygiene promoters]]))</f>
        <v>694</v>
      </c>
      <c r="CV60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1" s="712">
        <f>IF(WWWW[[#This Row],['# People with access to soap]]&gt;WWWW[[#This Row],['# People with access to Sanity Pads]],WWWW[[#This Row],['# People with access to soap]],WWWW[[#This Row],['# People with access to Sanity Pads]])</f>
        <v>0</v>
      </c>
      <c r="CY601" s="712">
        <f>IF(WWWW[[#This Row],['# people reached by regular dedicated hygiene promotion_5]]&gt;WWWW[[#This Row],['# People received regular supply of hygiene items_6]],WWWW[[#This Row],['# people reached by regular dedicated hygiene promotion_5]],WWWW[[#This Row],['# People received regular supply of hygiene items_6]])</f>
        <v>694</v>
      </c>
      <c r="CZ601" s="714">
        <f>IF(WWWW[[#This Row],[HRP3]]/WWWW[[#This Row],[Total PoP ]]&gt;100%,100%,WWWW[[#This Row],[HRP3]]/WWWW[[#This Row],[Total PoP ]])</f>
        <v>1</v>
      </c>
      <c r="DA601" s="713">
        <f>1-WWWW[[#This Row],[Hygiene Coverage%]]</f>
        <v>0</v>
      </c>
      <c r="DB601" s="710">
        <f>WWWW[[#This Row],['# people reached by regular dedicated hygiene promotion_5]]/WWWW[[#This Row],[Total PoP ]]</f>
        <v>1</v>
      </c>
      <c r="DC601" s="710">
        <f>IF(WWWW[[#This Row],['#_households that received standard amount of soap for this quarter]]/WWWW[[#This Row],[Total HH]]&gt;1,1,WWWW[[#This Row],['#_households that received standard amount of soap for this quarter]]/WWWW[[#This Row],[Total HH]])</f>
        <v>0</v>
      </c>
      <c r="DD601" s="710">
        <f>IF(WWWW[[#This Row],['#_households that received standard amount of sanitary pads for this quarter]]/WWWW[[#This Row],[Total HH]]&gt;1,1,WWWW[[#This Row],['#_households that received standard amount of sanitary pads for this quarter]]/WWWW[[#This Row],[Total HH]])</f>
        <v>0</v>
      </c>
      <c r="DE601" s="712">
        <f>WWWW[[#This Row],['#_Constructed/Existing hand washing stations]]-WWWW[[#This Row],['#_Non-Functional_hand_washing_stations]]</f>
        <v>10</v>
      </c>
      <c r="DF601" s="757">
        <f>IF(WWWW[[#This Row],['# Functional hand washing stations during reporting period]]*20&gt;WWWW[[#This Row],[Total HH]],WWWW[[#This Row],[Total HH]],WWWW[[#This Row],['# Functional hand washing stations during reporting period]]*20)</f>
        <v>154</v>
      </c>
      <c r="DG601" s="708">
        <f>IF(WWWW[[#This Row],[Is sufficient soap available for TLS? (Yes/No)]]="yes",WWWW[[#This Row],['#_Constructed/Existing hand washing stations at TLS]],0)</f>
        <v>0</v>
      </c>
      <c r="DH601" s="759">
        <f>IF(WWWW[[#This Row],['# Functional hand washing stations during reporting period]]*100&gt;WWWW[[#This Row],[Total PoP ]],WWWW[[#This Row],[Total PoP ]],WWWW[[#This Row],['# Functional hand washing stations during reporting period]]*100)</f>
        <v>694</v>
      </c>
      <c r="DI601" s="759" t="str">
        <f>IF(OR(WWWW[[#This Row],['#_students at TLS_CFS]]="",WWWW[[#This Row],['#_students at TLS_CFS]]=0),"No","Yes")</f>
        <v>No</v>
      </c>
      <c r="DJ601" s="711" t="str">
        <f>VLOOKUP(WWWW[[#This Row],[Site Name]],SiteDB6[[Site Name]:[CCCM Management]],6,FALSE)</f>
        <v>Yes</v>
      </c>
      <c r="DK601" s="711" t="str">
        <f>VLOOKUP(WWWW[[#This Row],[Site Name]],SiteDB6[[Site Name]:[CCCM Focal Agency]],7,FALSE)</f>
        <v>KMSS-BMO</v>
      </c>
      <c r="DL601" s="711" t="str">
        <f>VLOOKUP(WWWW[[#This Row],[Site Name]],SiteDB6[[Site Name]:[Location Type 1]],9,FALSE)</f>
        <v>Camp</v>
      </c>
      <c r="DM601" s="711" t="str">
        <f>VLOOKUP(WWWW[[#This Row],[Site Name]],SiteDB6[[Site Name]:[Type of Accommodation]],10,FALSE)</f>
        <v>Camp</v>
      </c>
      <c r="DN601" s="711" t="str">
        <f>VLOOKUP(WWWW[[#This Row],[Site Name]],SiteDB6[[Site Name]:[Ethnic or GCA/NGCA]],11,FALSE)</f>
        <v>GCA</v>
      </c>
      <c r="DO601" s="711">
        <f>VLOOKUP(WWWW[[#This Row],[Site Name]],SiteDB6[[Site Name]:[Lat]],12,FALSE)</f>
        <v>23.976571</v>
      </c>
      <c r="DP601" s="711">
        <f>VLOOKUP(WWWW[[#This Row],[Site Name]],SiteDB6[[Site Name]:[Long]],13,FALSE)</f>
        <v>97.227057000000002</v>
      </c>
      <c r="DQ601" s="711" t="str">
        <f>VLOOKUP(WWWW[[#This Row],[Site Name]],SiteDB6[[Site Name]:[Pcode]],3,FALSE)</f>
        <v>MMR001CMP223</v>
      </c>
      <c r="DR601" s="709" t="str">
        <f t="shared" si="22"/>
        <v>Covered</v>
      </c>
      <c r="DS601" s="709"/>
    </row>
    <row r="602" spans="1:123">
      <c r="A602" s="701" t="s">
        <v>2519</v>
      </c>
      <c r="B602" s="701" t="s">
        <v>149</v>
      </c>
      <c r="C602" s="702" t="s">
        <v>149</v>
      </c>
      <c r="D602" s="702" t="s">
        <v>3268</v>
      </c>
      <c r="E602" s="702" t="s">
        <v>39</v>
      </c>
      <c r="F602" s="702" t="s">
        <v>160</v>
      </c>
      <c r="G602" s="711" t="str">
        <f>VLOOKUP(WWWW[[#This Row],[Site Name]],SiteDB6[[Site Name]:[Location Type]],8,FALSE)</f>
        <v>Camp</v>
      </c>
      <c r="H602" s="702" t="s">
        <v>161</v>
      </c>
      <c r="I602" s="705">
        <v>13</v>
      </c>
      <c r="J602" s="705">
        <v>66</v>
      </c>
      <c r="K602" s="593" t="s">
        <v>3265</v>
      </c>
      <c r="L602" s="58" t="s">
        <v>3267</v>
      </c>
      <c r="M602" s="705"/>
      <c r="N602" s="705"/>
      <c r="O602" s="705"/>
      <c r="P602" s="705"/>
      <c r="Q602" s="708" t="s">
        <v>43</v>
      </c>
      <c r="R602" s="705"/>
      <c r="S602" s="705"/>
      <c r="T602" s="807">
        <v>0</v>
      </c>
      <c r="U602" s="705"/>
      <c r="V602" s="705"/>
      <c r="W602" s="705">
        <v>1</v>
      </c>
      <c r="X602" s="705"/>
      <c r="Y602" s="705"/>
      <c r="Z602" s="705"/>
      <c r="AA602" s="705"/>
      <c r="AB602" s="705"/>
      <c r="AC602" s="705"/>
      <c r="AD602" s="705"/>
      <c r="AE602" s="705"/>
      <c r="AF602" s="705"/>
      <c r="AG602" s="705"/>
      <c r="AH602" s="705">
        <v>2</v>
      </c>
      <c r="AI602" s="705"/>
      <c r="AJ602" s="705"/>
      <c r="AK602" s="705"/>
      <c r="AL602" s="705"/>
      <c r="AM602" s="705"/>
      <c r="AN602" s="705"/>
      <c r="AO602" s="709"/>
      <c r="AP602" s="705">
        <v>6</v>
      </c>
      <c r="AQ602" s="705"/>
      <c r="AR602" s="710"/>
      <c r="AS602" s="705"/>
      <c r="AT602" s="705"/>
      <c r="AU602" s="705"/>
      <c r="AV602" s="705"/>
      <c r="AW602" s="705">
        <v>6</v>
      </c>
      <c r="AX602" s="711" t="s">
        <v>43</v>
      </c>
      <c r="AY602" s="709" t="s">
        <v>1200</v>
      </c>
      <c r="AZ602" s="705"/>
      <c r="BA602" s="705"/>
      <c r="BB602" s="705"/>
      <c r="BC602" s="711"/>
      <c r="BD602" s="705"/>
      <c r="BE602" s="705"/>
      <c r="BF602" s="705"/>
      <c r="BG602" s="705">
        <v>2</v>
      </c>
      <c r="BH602" s="705"/>
      <c r="BI602" s="705"/>
      <c r="BJ602" s="705">
        <v>1</v>
      </c>
      <c r="BK602" s="705"/>
      <c r="BL602" s="705"/>
      <c r="BM602" s="711"/>
      <c r="BN602" s="712"/>
      <c r="BO602" s="710"/>
      <c r="BP602" s="711"/>
      <c r="BQ602" s="713" t="str">
        <f>IFERROR(WWWW[[#This Row],['#_Water sources treated]]/WWWW[[#This Row],['#_Water sources tested for contamination]],"no test")</f>
        <v>no test</v>
      </c>
      <c r="BR602" s="710" t="str">
        <f>IFERROR(WWWW[[#This Row],['#_Household received remediation action due to contamination]]/WWWW[[#This Row],['#_Household water samples tested for contamination]],"no test")</f>
        <v>no test</v>
      </c>
      <c r="BS602" s="712" t="str">
        <f>IF(AND(WWWW[[#This Row],[% of water sources treated]]="no test",WWWW[[#This Row],[% Household received corrective actions]]="no test"),"No Test","Tested")</f>
        <v>No Test</v>
      </c>
      <c r="BT602" s="712">
        <f>WWWW[[#This Row],['#_Constructed/existing protected hand dug well]]-WWWW[[#This Row],['#_Non-functional protected hand dug well]]</f>
        <v>0</v>
      </c>
      <c r="BU602" s="712">
        <f>(WWWW[[#This Row],['#_Constructed/Existing tube wells/boreholes/handpumps_WASH_agency]]+WWWW[[#This Row],['#_Non-Cluster partner water tube-wells/boreholes/handpumps]])-WWWW[[#This Row],['#_Non-functional tube wells/boreholes/handpumps]]</f>
        <v>1</v>
      </c>
      <c r="BV602" s="712">
        <f>WWWW[[#This Row],['#_Constructed/Existingwater storage tank with gravity fed reticulation system]]-WWWW[[#This Row],['#_Non-functional storage tank gravity fed reticulation system]]</f>
        <v>0</v>
      </c>
      <c r="BW602" s="712">
        <f>WWWW[[#This Row],['#_Water boating or water trucking]]</f>
        <v>0</v>
      </c>
      <c r="BX602" s="712">
        <f>WWWW[[#This Row],['#_Constructed/Existing water distribution system from river or natural spring]]</f>
        <v>0</v>
      </c>
      <c r="BY60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0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02" s="710">
        <f>IF(WWWW[[#This Row],[Location Type 1]]="Village",WWWW[[#This Row],[Access to safe drinking water for Village]],WWWW[[#This Row],[Access to safe drinking water for Camp]])</f>
        <v>1</v>
      </c>
      <c r="CB602" s="708">
        <f>WWWW[[#This Row],[%Equitable and continuous access to sufficient quantity of safe drinking water]]*WWWW[[#This Row],[Total PoP ]]</f>
        <v>66</v>
      </c>
      <c r="CC602" s="710">
        <f>IF((WWWW[[#This Row],['#_Constructed/Existing protected/fenced ponds]]*250)/WWWW[[#This Row],[Total PoP ]]&gt;1,1,(WWWW[[#This Row],['#_Constructed/Existing protected/fenced ponds]]*250)/WWWW[[#This Row],[Total PoP ]])</f>
        <v>0</v>
      </c>
      <c r="CD602" s="708">
        <f>WWWW[[#This Row],[% Access to unimproved water points]]*WWWW[[#This Row],[Total PoP ]]</f>
        <v>0</v>
      </c>
      <c r="CE60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0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G602" s="708">
        <f>WWWW[[#This Row],[HRP1]]/500</f>
        <v>0.13200000000000001</v>
      </c>
      <c r="CH602" s="714">
        <f>1-WWWW[[#This Row],[% Equitable and continuous access to sufficient quantity of domestic water]]</f>
        <v>0</v>
      </c>
      <c r="CI602" s="708">
        <f>WWWW[[#This Row],[%equitable and continuous access to sufficient quantity of safe drinking and domestic water''s GAP]]*WWWW[[#This Row],[Total PoP ]]</f>
        <v>0</v>
      </c>
      <c r="CJ602" s="712">
        <f>IF(WWWW[[#This Row],[Total required water points]]-WWWW[[#This Row],['#Water points coverage]]&lt;0,0,WWWW[[#This Row],[Total required water points]]-WWWW[[#This Row],['#Water points coverage]])</f>
        <v>0.86799999999999999</v>
      </c>
      <c r="CK602" s="712">
        <f>ROUND(IF(WWWW[[#This Row],[Total PoP ]]&lt;500,1,WWWW[[#This Row],[Total PoP ]]/500),0)</f>
        <v>1</v>
      </c>
      <c r="CL602" s="712">
        <f>(WWWW[[#This Row],['#_Constructed latrines_by_WASHAgencies]]+WWWW[[#This Row],['#_Non Cluster partner latrines]])-WWWW[[#This Row],['#_Non-functional latrines]]</f>
        <v>6</v>
      </c>
      <c r="CM60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0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66</v>
      </c>
      <c r="CO60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2" s="712">
        <f>IF(WWWW[[#This Row],[Location Type 1]]="Village","NA",IF(WWWW[[#This Row],['#_Constructed/Existing latrines in TLS]]*50&gt;WWWW[[#This Row],['#_students at TLS_CFS]],WWWW[[#This Row],['#_students at TLS_CFS]],(WWWW[[#This Row],['#_Constructed/Existing latrines in TLS]]*50)))</f>
        <v>0</v>
      </c>
      <c r="CQ602" s="712">
        <f>ROUND(IF(WWWW[[#This Row],[Location Type 1]]="camp",WWWW[[#This Row],[Total PoP ]]/20,IF(WWWW[[#This Row],[Location Type 1]]="Temporary Location",WWWW[[#This Row],[Total PoP ]]/50,(WWWW[[#This Row],[Total PoP ]]/6))),0)</f>
        <v>3</v>
      </c>
      <c r="CR602" s="712">
        <f>IF(WWWW[[#This Row],[Total required Latrines]]-(WWWW[[#This Row],['#_Constructed latrines_by_WASHAgencies]]+WWWW[[#This Row],['#_Non Cluster partner latrines]])&lt;0,0,WWWW[[#This Row],[Total required Latrines]]-(WWWW[[#This Row],['#_Constructed latrines_by_WASHAgencies]]+WWWW[[#This Row],['#_Non Cluster partner latrines]]))</f>
        <v>0</v>
      </c>
      <c r="CS602" s="714">
        <f>1-WWWW[[#This Row],[% people access to functioning Latrine]]</f>
        <v>0</v>
      </c>
      <c r="CT602" s="713">
        <f>IF(OR(WWWW[[#This Row],['#_Non-functional latrines]]="",WWWW[[#This Row],['#_Non-functional latrines]]=0),0,WWWW[[#This Row],['#_Non-functional latrines]]/(WWWW[[#This Row],['#_Constructed latrines_by_WASHAgencies]]+WWWW[[#This Row],['#_Non Cluster partner latrines]]))</f>
        <v>0</v>
      </c>
      <c r="CU602" s="708">
        <f>IF(500*(WWWW[[#This Row],['#_male hygiene promoters]]+WWWW[[#This Row],['#_female hygiene promoters]])&gt;WWWW[[#This Row],[Total PoP ]],WWWW[[#This Row],[Total PoP ]],500*(WWWW[[#This Row],['#_male hygiene promoters]]+WWWW[[#This Row],['#_female hygiene promoters]]))</f>
        <v>66</v>
      </c>
      <c r="CV60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2" s="712">
        <f>IF(WWWW[[#This Row],['# People with access to soap]]&gt;WWWW[[#This Row],['# People with access to Sanity Pads]],WWWW[[#This Row],['# People with access to soap]],WWWW[[#This Row],['# People with access to Sanity Pads]])</f>
        <v>0</v>
      </c>
      <c r="CY602" s="712">
        <f>IF(WWWW[[#This Row],['# people reached by regular dedicated hygiene promotion_5]]&gt;WWWW[[#This Row],['# People received regular supply of hygiene items_6]],WWWW[[#This Row],['# people reached by regular dedicated hygiene promotion_5]],WWWW[[#This Row],['# People received regular supply of hygiene items_6]])</f>
        <v>66</v>
      </c>
      <c r="CZ602" s="714">
        <f>IF(WWWW[[#This Row],[HRP3]]/WWWW[[#This Row],[Total PoP ]]&gt;100%,100%,WWWW[[#This Row],[HRP3]]/WWWW[[#This Row],[Total PoP ]])</f>
        <v>1</v>
      </c>
      <c r="DA602" s="713">
        <f>1-WWWW[[#This Row],[Hygiene Coverage%]]</f>
        <v>0</v>
      </c>
      <c r="DB602" s="710">
        <f>WWWW[[#This Row],['# people reached by regular dedicated hygiene promotion_5]]/WWWW[[#This Row],[Total PoP ]]</f>
        <v>1</v>
      </c>
      <c r="DC602" s="710">
        <f>IF(WWWW[[#This Row],['#_households that received standard amount of soap for this quarter]]/WWWW[[#This Row],[Total HH]]&gt;1,1,WWWW[[#This Row],['#_households that received standard amount of soap for this quarter]]/WWWW[[#This Row],[Total HH]])</f>
        <v>0</v>
      </c>
      <c r="DD602" s="710">
        <f>IF(WWWW[[#This Row],['#_households that received standard amount of sanitary pads for this quarter]]/WWWW[[#This Row],[Total HH]]&gt;1,1,WWWW[[#This Row],['#_households that received standard amount of sanitary pads for this quarter]]/WWWW[[#This Row],[Total HH]])</f>
        <v>0</v>
      </c>
      <c r="DE602" s="712">
        <f>WWWW[[#This Row],['#_Constructed/Existing hand washing stations]]-WWWW[[#This Row],['#_Non-Functional_hand_washing_stations]]</f>
        <v>0</v>
      </c>
      <c r="DF602" s="757">
        <f>IF(WWWW[[#This Row],['# Functional hand washing stations during reporting period]]*20&gt;WWWW[[#This Row],[Total HH]],WWWW[[#This Row],[Total HH]],WWWW[[#This Row],['# Functional hand washing stations during reporting period]]*20)</f>
        <v>0</v>
      </c>
      <c r="DG602" s="708">
        <f>IF(WWWW[[#This Row],[Is sufficient soap available for TLS? (Yes/No)]]="yes",WWWW[[#This Row],['#_Constructed/Existing hand washing stations at TLS]],0)</f>
        <v>0</v>
      </c>
      <c r="DH602" s="759">
        <f>IF(WWWW[[#This Row],['# Functional hand washing stations during reporting period]]*100&gt;WWWW[[#This Row],[Total PoP ]],WWWW[[#This Row],[Total PoP ]],WWWW[[#This Row],['# Functional hand washing stations during reporting period]]*100)</f>
        <v>0</v>
      </c>
      <c r="DI602" s="759" t="str">
        <f>IF(OR(WWWW[[#This Row],['#_students at TLS_CFS]]="",WWWW[[#This Row],['#_students at TLS_CFS]]=0),"No","Yes")</f>
        <v>No</v>
      </c>
      <c r="DJ602" s="711" t="str">
        <f>VLOOKUP(WWWW[[#This Row],[Site Name]],SiteDB6[[Site Name]:[CCCM Management]],6,FALSE)</f>
        <v>Yes</v>
      </c>
      <c r="DK602" s="711" t="str">
        <f>VLOOKUP(WWWW[[#This Row],[Site Name]],SiteDB6[[Site Name]:[CCCM Focal Agency]],7,FALSE)</f>
        <v>KBC</v>
      </c>
      <c r="DL602" s="711" t="str">
        <f>VLOOKUP(WWWW[[#This Row],[Site Name]],SiteDB6[[Site Name]:[Location Type 1]],9,FALSE)</f>
        <v>Camp</v>
      </c>
      <c r="DM602" s="711" t="str">
        <f>VLOOKUP(WWWW[[#This Row],[Site Name]],SiteDB6[[Site Name]:[Type of Accommodation]],10,FALSE)</f>
        <v>Camp</v>
      </c>
      <c r="DN602" s="711" t="str">
        <f>VLOOKUP(WWWW[[#This Row],[Site Name]],SiteDB6[[Site Name]:[Ethnic or GCA/NGCA]],11,FALSE)</f>
        <v>GCA</v>
      </c>
      <c r="DO602" s="711">
        <f>VLOOKUP(WWWW[[#This Row],[Site Name]],SiteDB6[[Site Name]:[Lat]],12,FALSE)</f>
        <v>25.305669999999999</v>
      </c>
      <c r="DP602" s="711">
        <f>VLOOKUP(WWWW[[#This Row],[Site Name]],SiteDB6[[Site Name]:[Long]],13,FALSE)</f>
        <v>96.922619999999995</v>
      </c>
      <c r="DQ602" s="711" t="str">
        <f>VLOOKUP(WWWW[[#This Row],[Site Name]],SiteDB6[[Site Name]:[Pcode]],3,FALSE)</f>
        <v>MMR001CMP078</v>
      </c>
      <c r="DR602" s="709" t="str">
        <f t="shared" si="22"/>
        <v>Covered</v>
      </c>
      <c r="DS602" s="709"/>
    </row>
    <row r="603" spans="1:123">
      <c r="A603" s="701" t="s">
        <v>2519</v>
      </c>
      <c r="B603" s="701" t="s">
        <v>149</v>
      </c>
      <c r="C603" s="702" t="s">
        <v>149</v>
      </c>
      <c r="D603" s="584" t="s">
        <v>3326</v>
      </c>
      <c r="E603" s="702" t="s">
        <v>39</v>
      </c>
      <c r="F603" s="702" t="s">
        <v>213</v>
      </c>
      <c r="G603" s="711" t="str">
        <f>VLOOKUP(WWWW[[#This Row],[Site Name]],SiteDB6[[Site Name]:[Location Type]],8,FALSE)</f>
        <v>Camp_not registered</v>
      </c>
      <c r="H603" s="702" t="s">
        <v>297</v>
      </c>
      <c r="I603" s="705">
        <v>1531</v>
      </c>
      <c r="J603" s="705">
        <v>8743</v>
      </c>
      <c r="K603" s="593" t="s">
        <v>3327</v>
      </c>
      <c r="L603" s="707" t="s">
        <v>3325</v>
      </c>
      <c r="M603" s="806">
        <v>1340</v>
      </c>
      <c r="N603" s="705"/>
      <c r="O603" s="705"/>
      <c r="P603" s="705"/>
      <c r="Q603" s="708" t="s">
        <v>43</v>
      </c>
      <c r="R603" s="705">
        <v>11</v>
      </c>
      <c r="S603" s="705">
        <v>12</v>
      </c>
      <c r="T603" s="807">
        <v>3</v>
      </c>
      <c r="U603" s="705">
        <v>0</v>
      </c>
      <c r="V603" s="705">
        <v>0</v>
      </c>
      <c r="W603" s="705">
        <v>0</v>
      </c>
      <c r="X603" s="705">
        <v>0</v>
      </c>
      <c r="Y603" s="705">
        <v>0</v>
      </c>
      <c r="Z603" s="705">
        <v>0</v>
      </c>
      <c r="AA603" s="705">
        <v>2</v>
      </c>
      <c r="AB603" s="705">
        <v>0</v>
      </c>
      <c r="AC603" s="705">
        <v>0</v>
      </c>
      <c r="AD603" s="705">
        <v>0</v>
      </c>
      <c r="AE603" s="705">
        <v>0</v>
      </c>
      <c r="AF603" s="705">
        <v>30</v>
      </c>
      <c r="AG603" s="705">
        <v>0</v>
      </c>
      <c r="AH603" s="705">
        <v>0</v>
      </c>
      <c r="AI603" s="705">
        <v>3</v>
      </c>
      <c r="AJ603" s="705">
        <v>0</v>
      </c>
      <c r="AK603" s="705">
        <v>81</v>
      </c>
      <c r="AL603" s="705">
        <v>9</v>
      </c>
      <c r="AM603" s="705">
        <v>20</v>
      </c>
      <c r="AN603" s="705">
        <v>13</v>
      </c>
      <c r="AO603" s="709" t="s">
        <v>3328</v>
      </c>
      <c r="AP603" s="705">
        <v>502</v>
      </c>
      <c r="AQ603" s="705">
        <v>0</v>
      </c>
      <c r="AR603" s="710"/>
      <c r="AS603" s="705">
        <v>16</v>
      </c>
      <c r="AT603" s="705">
        <v>16</v>
      </c>
      <c r="AU603" s="705">
        <v>14</v>
      </c>
      <c r="AV603" s="705">
        <v>177</v>
      </c>
      <c r="AW603" s="705">
        <v>0</v>
      </c>
      <c r="AX603" s="711" t="s">
        <v>43</v>
      </c>
      <c r="AY603" s="709" t="s">
        <v>148</v>
      </c>
      <c r="AZ603" s="705"/>
      <c r="BA603" s="705"/>
      <c r="BB603" s="705"/>
      <c r="BC603" s="711"/>
      <c r="BD603" s="705">
        <v>155</v>
      </c>
      <c r="BE603" s="705">
        <v>0</v>
      </c>
      <c r="BF603" s="705">
        <v>54</v>
      </c>
      <c r="BG603" s="705">
        <v>0</v>
      </c>
      <c r="BH603" s="705"/>
      <c r="BI603" s="705"/>
      <c r="BJ603" s="705">
        <v>12</v>
      </c>
      <c r="BK603" s="705">
        <v>1531</v>
      </c>
      <c r="BL603" s="705">
        <v>1406</v>
      </c>
      <c r="BM603" s="711" t="s">
        <v>43</v>
      </c>
      <c r="BN603" s="712"/>
      <c r="BO603" s="710"/>
      <c r="BP603" s="711"/>
      <c r="BQ603" s="713">
        <f>IFERROR(WWWW[[#This Row],['#_Water sources treated]]/WWWW[[#This Row],['#_Water sources tested for contamination]],"no test")</f>
        <v>0</v>
      </c>
      <c r="BR603" s="710">
        <f>IFERROR(WWWW[[#This Row],['#_Household received remediation action due to contamination]]/WWWW[[#This Row],['#_Household water samples tested for contamination]],"no test")</f>
        <v>0.1111111111111111</v>
      </c>
      <c r="BS603" s="712" t="str">
        <f>IF(AND(WWWW[[#This Row],[% of water sources treated]]="no test",WWWW[[#This Row],[% Household received corrective actions]]="no test"),"No Test","Tested")</f>
        <v>Tested</v>
      </c>
      <c r="BT603" s="712">
        <f>WWWW[[#This Row],['#_Constructed/existing protected hand dug well]]-WWWW[[#This Row],['#_Non-functional protected hand dug well]]</f>
        <v>3</v>
      </c>
      <c r="BU603" s="712">
        <f>(WWWW[[#This Row],['#_Constructed/Existing tube wells/boreholes/handpumps_WASH_agency]]+WWWW[[#This Row],['#_Non-Cluster partner water tube-wells/boreholes/handpumps]])-WWWW[[#This Row],['#_Non-functional tube wells/boreholes/handpumps]]</f>
        <v>0</v>
      </c>
      <c r="BV603" s="712">
        <f>WWWW[[#This Row],['#_Constructed/Existingwater storage tank with gravity fed reticulation system]]-WWWW[[#This Row],['#_Non-functional storage tank gravity fed reticulation system]]</f>
        <v>2</v>
      </c>
      <c r="BW603" s="712">
        <f>WWWW[[#This Row],['#_Water boating or water trucking]]</f>
        <v>0</v>
      </c>
      <c r="BX603" s="712">
        <f>WWWW[[#This Row],['#_Constructed/Existing water distribution system from river or natural spring]]</f>
        <v>30</v>
      </c>
      <c r="BY60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0.15273170917686529</v>
      </c>
      <c r="BZ60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0.10126196195051279</v>
      </c>
      <c r="CA603" s="710">
        <f>IF(WWWW[[#This Row],[Location Type 1]]="Village",WWWW[[#This Row],[Access to safe drinking water for Village]],WWWW[[#This Row],[Access to safe drinking water for Camp]])</f>
        <v>0.15273170917686529</v>
      </c>
      <c r="CB603" s="708">
        <f>WWWW[[#This Row],[%Equitable and continuous access to sufficient quantity of safe drinking water]]*WWWW[[#This Row],[Total PoP ]]</f>
        <v>1335.3333333333333</v>
      </c>
      <c r="CC603" s="710">
        <f>IF((WWWW[[#This Row],['#_Constructed/Existing protected/fenced ponds]]*250)/WWWW[[#This Row],[Total PoP ]]&gt;1,1,(WWWW[[#This Row],['#_Constructed/Existing protected/fenced ponds]]*250)/WWWW[[#This Row],[Total PoP ]])</f>
        <v>0</v>
      </c>
      <c r="CD603" s="708">
        <f>WWWW[[#This Row],[% Access to unimproved water points]]*WWWW[[#This Row],[Total PoP ]]</f>
        <v>0</v>
      </c>
      <c r="CE60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0.15273170917686529</v>
      </c>
      <c r="CF60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1335.3333333333333</v>
      </c>
      <c r="CG603" s="708">
        <f>WWWW[[#This Row],[HRP1]]/500</f>
        <v>2.6706666666666665</v>
      </c>
      <c r="CH603" s="714">
        <f>1-WWWW[[#This Row],[% Equitable and continuous access to sufficient quantity of domestic water]]</f>
        <v>0.84726829082313471</v>
      </c>
      <c r="CI603" s="708">
        <f>WWWW[[#This Row],[%equitable and continuous access to sufficient quantity of safe drinking and domestic water''s GAP]]*WWWW[[#This Row],[Total PoP ]]</f>
        <v>7407.666666666667</v>
      </c>
      <c r="CJ603" s="712">
        <f>IF(WWWW[[#This Row],[Total required water points]]-WWWW[[#This Row],['#Water points coverage]]&lt;0,0,WWWW[[#This Row],[Total required water points]]-WWWW[[#This Row],['#Water points coverage]])</f>
        <v>14.329333333333334</v>
      </c>
      <c r="CK603" s="712">
        <f>ROUND(IF(WWWW[[#This Row],[Total PoP ]]&lt;500,1,WWWW[[#This Row],[Total PoP ]]/500),0)</f>
        <v>17</v>
      </c>
      <c r="CL603" s="712">
        <f>(WWWW[[#This Row],['#_Constructed latrines_by_WASHAgencies]]+WWWW[[#This Row],['#_Non Cluster partner latrines]])-WWWW[[#This Row],['#_Non-functional latrines]]</f>
        <v>486</v>
      </c>
      <c r="CM60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0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8743</v>
      </c>
      <c r="CO60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603" s="712">
        <f>IF(WWWW[[#This Row],[Location Type 1]]="Village","NA",IF(WWWW[[#This Row],['#_Constructed/Existing latrines in TLS]]*50&gt;WWWW[[#This Row],['#_students at TLS_CFS]],WWWW[[#This Row],['#_students at TLS_CFS]],(WWWW[[#This Row],['#_Constructed/Existing latrines in TLS]]*50)))</f>
        <v>0</v>
      </c>
      <c r="CQ603" s="712">
        <f>ROUND(IF(WWWW[[#This Row],[Location Type 1]]="camp",WWWW[[#This Row],[Total PoP ]]/20,IF(WWWW[[#This Row],[Location Type 1]]="Temporary Location",WWWW[[#This Row],[Total PoP ]]/50,(WWWW[[#This Row],[Total PoP ]]/6))),0)</f>
        <v>437</v>
      </c>
      <c r="CR603" s="712">
        <f>IF(WWWW[[#This Row],[Total required Latrines]]-(WWWW[[#This Row],['#_Constructed latrines_by_WASHAgencies]]+WWWW[[#This Row],['#_Non Cluster partner latrines]])&lt;0,0,WWWW[[#This Row],[Total required Latrines]]-(WWWW[[#This Row],['#_Constructed latrines_by_WASHAgencies]]+WWWW[[#This Row],['#_Non Cluster partner latrines]]))</f>
        <v>0</v>
      </c>
      <c r="CS603" s="714">
        <f>1-WWWW[[#This Row],[% people access to functioning Latrine]]</f>
        <v>0</v>
      </c>
      <c r="CT603" s="713">
        <f>IF(OR(WWWW[[#This Row],['#_Non-functional latrines]]="",WWWW[[#This Row],['#_Non-functional latrines]]=0),0,WWWW[[#This Row],['#_Non-functional latrines]]/(WWWW[[#This Row],['#_Constructed latrines_by_WASHAgencies]]+WWWW[[#This Row],['#_Non Cluster partner latrines]]))</f>
        <v>3.1872509960159362E-2</v>
      </c>
      <c r="CU603" s="708">
        <f>IF(500*(WWWW[[#This Row],['#_male hygiene promoters]]+WWWW[[#This Row],['#_female hygiene promoters]])&gt;WWWW[[#This Row],[Total PoP ]],WWWW[[#This Row],[Total PoP ]],500*(WWWW[[#This Row],['#_male hygiene promoters]]+WWWW[[#This Row],['#_female hygiene promoters]]))</f>
        <v>6000</v>
      </c>
      <c r="CV60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8743</v>
      </c>
      <c r="CW60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7030</v>
      </c>
      <c r="CX603" s="712">
        <f>IF(WWWW[[#This Row],['# People with access to soap]]&gt;WWWW[[#This Row],['# People with access to Sanity Pads]],WWWW[[#This Row],['# People with access to soap]],WWWW[[#This Row],['# People with access to Sanity Pads]])</f>
        <v>8743</v>
      </c>
      <c r="CY603" s="712">
        <f>IF(WWWW[[#This Row],['# people reached by regular dedicated hygiene promotion_5]]&gt;WWWW[[#This Row],['# People received regular supply of hygiene items_6]],WWWW[[#This Row],['# people reached by regular dedicated hygiene promotion_5]],WWWW[[#This Row],['# People received regular supply of hygiene items_6]])</f>
        <v>8743</v>
      </c>
      <c r="CZ603" s="714">
        <f>IF(WWWW[[#This Row],[HRP3]]/WWWW[[#This Row],[Total PoP ]]&gt;100%,100%,WWWW[[#This Row],[HRP3]]/WWWW[[#This Row],[Total PoP ]])</f>
        <v>1</v>
      </c>
      <c r="DA603" s="713">
        <f>1-WWWW[[#This Row],[Hygiene Coverage%]]</f>
        <v>0</v>
      </c>
      <c r="DB603" s="710">
        <f>WWWW[[#This Row],['# people reached by regular dedicated hygiene promotion_5]]/WWWW[[#This Row],[Total PoP ]]</f>
        <v>0.68626329635136685</v>
      </c>
      <c r="DC603" s="710">
        <f>IF(WWWW[[#This Row],['#_households that received standard amount of soap for this quarter]]/WWWW[[#This Row],[Total HH]]&gt;1,1,WWWW[[#This Row],['#_households that received standard amount of soap for this quarter]]/WWWW[[#This Row],[Total HH]])</f>
        <v>1</v>
      </c>
      <c r="DD603" s="710">
        <f>IF(WWWW[[#This Row],['#_households that received standard amount of sanitary pads for this quarter]]/WWWW[[#This Row],[Total HH]]&gt;1,1,WWWW[[#This Row],['#_households that received standard amount of sanitary pads for this quarter]]/WWWW[[#This Row],[Total HH]])</f>
        <v>0.91835401698236452</v>
      </c>
      <c r="DE603" s="712">
        <f>WWWW[[#This Row],['#_Constructed/Existing hand washing stations]]-WWWW[[#This Row],['#_Non-Functional_hand_washing_stations]]</f>
        <v>155</v>
      </c>
      <c r="DF603" s="757">
        <f>IF(WWWW[[#This Row],['# Functional hand washing stations during reporting period]]*20&gt;WWWW[[#This Row],[Total HH]],WWWW[[#This Row],[Total HH]],WWWW[[#This Row],['# Functional hand washing stations during reporting period]]*20)</f>
        <v>1531</v>
      </c>
      <c r="DG603" s="708">
        <f>IF(WWWW[[#This Row],[Is sufficient soap available for TLS? (Yes/No)]]="yes",WWWW[[#This Row],['#_Constructed/Existing hand washing stations at TLS]],0)</f>
        <v>20</v>
      </c>
      <c r="DH603" s="759">
        <f>IF(WWWW[[#This Row],['# Functional hand washing stations during reporting period]]*100&gt;WWWW[[#This Row],[Total PoP ]],WWWW[[#This Row],[Total PoP ]],WWWW[[#This Row],['# Functional hand washing stations during reporting period]]*100)</f>
        <v>8743</v>
      </c>
      <c r="DI603" s="759" t="str">
        <f>IF(OR(WWWW[[#This Row],['#_students at TLS_CFS]]="",WWWW[[#This Row],['#_students at TLS_CFS]]=0),"No","Yes")</f>
        <v>Yes</v>
      </c>
      <c r="DJ603" s="711">
        <f>VLOOKUP(WWWW[[#This Row],[Site Name]],SiteDB6[[Site Name]:[CCCM Management]],6,FALSE)</f>
        <v>0</v>
      </c>
      <c r="DK603" s="711">
        <f>VLOOKUP(WWWW[[#This Row],[Site Name]],SiteDB6[[Site Name]:[CCCM Focal Agency]],7,FALSE)</f>
        <v>0</v>
      </c>
      <c r="DL603" s="711" t="str">
        <f>VLOOKUP(WWWW[[#This Row],[Site Name]],SiteDB6[[Site Name]:[Location Type 1]],9,FALSE)</f>
        <v>Camp</v>
      </c>
      <c r="DM603" s="711" t="str">
        <f>VLOOKUP(WWWW[[#This Row],[Site Name]],SiteDB6[[Site Name]:[Type of Accommodation]],10,FALSE)</f>
        <v>School</v>
      </c>
      <c r="DN603" s="711" t="str">
        <f>VLOOKUP(WWWW[[#This Row],[Site Name]],SiteDB6[[Site Name]:[Ethnic or GCA/NGCA]],11,FALSE)</f>
        <v>NGCA</v>
      </c>
      <c r="DO603" s="711">
        <f>VLOOKUP(WWWW[[#This Row],[Site Name]],SiteDB6[[Site Name]:[Lat]],12,FALSE)</f>
        <v>0</v>
      </c>
      <c r="DP603" s="711">
        <f>VLOOKUP(WWWW[[#This Row],[Site Name]],SiteDB6[[Site Name]:[Long]],13,FALSE)</f>
        <v>0</v>
      </c>
      <c r="DQ603" s="711">
        <f>VLOOKUP(WWWW[[#This Row],[Site Name]],SiteDB6[[Site Name]:[Pcode]],3,FALSE)</f>
        <v>0</v>
      </c>
      <c r="DR603" s="709" t="str">
        <f t="shared" si="22"/>
        <v>Covered</v>
      </c>
      <c r="DS603" s="709"/>
    </row>
    <row r="604" spans="1:123">
      <c r="A604" s="701" t="s">
        <v>2519</v>
      </c>
      <c r="B604" s="701" t="s">
        <v>149</v>
      </c>
      <c r="C604" s="702" t="s">
        <v>149</v>
      </c>
      <c r="D604" s="702"/>
      <c r="E604" s="702" t="s">
        <v>39</v>
      </c>
      <c r="F604" s="702" t="s">
        <v>167</v>
      </c>
      <c r="G604" s="711" t="str">
        <f>VLOOKUP(WWWW[[#This Row],[Site Name]],SiteDB6[[Site Name]:[Location Type]],8,FALSE)</f>
        <v>Camp_not registered</v>
      </c>
      <c r="H604" s="702" t="s">
        <v>2095</v>
      </c>
      <c r="I604" s="705">
        <v>51</v>
      </c>
      <c r="J604" s="705">
        <v>252</v>
      </c>
      <c r="K604" s="706"/>
      <c r="L604" s="707"/>
      <c r="M604" s="705"/>
      <c r="N604" s="705"/>
      <c r="O604" s="705"/>
      <c r="P604" s="705"/>
      <c r="Q604" s="708"/>
      <c r="R604" s="705"/>
      <c r="S604" s="705"/>
      <c r="T604" s="807">
        <v>0</v>
      </c>
      <c r="U604" s="705"/>
      <c r="V604" s="705"/>
      <c r="W604" s="705">
        <v>0</v>
      </c>
      <c r="X604" s="705"/>
      <c r="Y604" s="705"/>
      <c r="Z604" s="705"/>
      <c r="AA604" s="705"/>
      <c r="AB604" s="705"/>
      <c r="AC604" s="705"/>
      <c r="AD604" s="705"/>
      <c r="AE604" s="705"/>
      <c r="AF604" s="705"/>
      <c r="AG604" s="705"/>
      <c r="AH604" s="705">
        <v>0</v>
      </c>
      <c r="AI604" s="705"/>
      <c r="AJ604" s="705"/>
      <c r="AK604" s="705"/>
      <c r="AL604" s="705"/>
      <c r="AM604" s="705"/>
      <c r="AN604" s="705"/>
      <c r="AO604" s="709"/>
      <c r="AP604" s="705">
        <v>0</v>
      </c>
      <c r="AQ604" s="705"/>
      <c r="AR604" s="710"/>
      <c r="AS604" s="705"/>
      <c r="AT604" s="705"/>
      <c r="AU604" s="705"/>
      <c r="AV604" s="705"/>
      <c r="AW604" s="705">
        <v>0</v>
      </c>
      <c r="AX604" s="711" t="s">
        <v>144</v>
      </c>
      <c r="AY604" s="709" t="s">
        <v>148</v>
      </c>
      <c r="AZ604" s="705"/>
      <c r="BA604" s="705"/>
      <c r="BB604" s="705"/>
      <c r="BC604" s="711"/>
      <c r="BD604" s="705"/>
      <c r="BE604" s="705"/>
      <c r="BF604" s="705"/>
      <c r="BG604" s="705">
        <v>0</v>
      </c>
      <c r="BH604" s="705"/>
      <c r="BI604" s="705"/>
      <c r="BJ604" s="705"/>
      <c r="BK604" s="705"/>
      <c r="BL604" s="705"/>
      <c r="BM604" s="711"/>
      <c r="BN604" s="712"/>
      <c r="BO604" s="710"/>
      <c r="BP604" s="711"/>
      <c r="BQ604" s="713" t="str">
        <f>IFERROR(WWWW[[#This Row],['#_Water sources treated]]/WWWW[[#This Row],['#_Water sources tested for contamination]],"no test")</f>
        <v>no test</v>
      </c>
      <c r="BR604" s="710" t="str">
        <f>IFERROR(WWWW[[#This Row],['#_Household received remediation action due to contamination]]/WWWW[[#This Row],['#_Household water samples tested for contamination]],"no test")</f>
        <v>no test</v>
      </c>
      <c r="BS604" s="712" t="str">
        <f>IF(AND(WWWW[[#This Row],[% of water sources treated]]="no test",WWWW[[#This Row],[% Household received corrective actions]]="no test"),"No Test","Tested")</f>
        <v>No Test</v>
      </c>
      <c r="BT604" s="712">
        <f>WWWW[[#This Row],['#_Constructed/existing protected hand dug well]]-WWWW[[#This Row],['#_Non-functional protected hand dug well]]</f>
        <v>0</v>
      </c>
      <c r="BU604" s="712">
        <f>(WWWW[[#This Row],['#_Constructed/Existing tube wells/boreholes/handpumps_WASH_agency]]+WWWW[[#This Row],['#_Non-Cluster partner water tube-wells/boreholes/handpumps]])-WWWW[[#This Row],['#_Non-functional tube wells/boreholes/handpumps]]</f>
        <v>0</v>
      </c>
      <c r="BV604" s="712">
        <f>WWWW[[#This Row],['#_Constructed/Existingwater storage tank with gravity fed reticulation system]]-WWWW[[#This Row],['#_Non-functional storage tank gravity fed reticulation system]]</f>
        <v>0</v>
      </c>
      <c r="BW604" s="712">
        <f>WWWW[[#This Row],['#_Water boating or water trucking]]</f>
        <v>0</v>
      </c>
      <c r="BX604" s="712">
        <f>WWWW[[#This Row],['#_Constructed/Existing water distribution system from river or natural spring]]</f>
        <v>0</v>
      </c>
      <c r="BY60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0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04" s="710">
        <f>IF(WWWW[[#This Row],[Location Type 1]]="Village",WWWW[[#This Row],[Access to safe drinking water for Village]],WWWW[[#This Row],[Access to safe drinking water for Camp]])</f>
        <v>0</v>
      </c>
      <c r="CB604" s="708">
        <f>WWWW[[#This Row],[%Equitable and continuous access to sufficient quantity of safe drinking water]]*WWWW[[#This Row],[Total PoP ]]</f>
        <v>0</v>
      </c>
      <c r="CC604" s="710">
        <f>IF((WWWW[[#This Row],['#_Constructed/Existing protected/fenced ponds]]*250)/WWWW[[#This Row],[Total PoP ]]&gt;1,1,(WWWW[[#This Row],['#_Constructed/Existing protected/fenced ponds]]*250)/WWWW[[#This Row],[Total PoP ]])</f>
        <v>0</v>
      </c>
      <c r="CD604" s="708">
        <f>WWWW[[#This Row],[% Access to unimproved water points]]*WWWW[[#This Row],[Total PoP ]]</f>
        <v>0</v>
      </c>
      <c r="CE60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0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04" s="708">
        <f>WWWW[[#This Row],[HRP1]]/500</f>
        <v>0</v>
      </c>
      <c r="CH604" s="714">
        <f>1-WWWW[[#This Row],[% Equitable and continuous access to sufficient quantity of domestic water]]</f>
        <v>1</v>
      </c>
      <c r="CI604" s="708">
        <f>WWWW[[#This Row],[%equitable and continuous access to sufficient quantity of safe drinking and domestic water''s GAP]]*WWWW[[#This Row],[Total PoP ]]</f>
        <v>252</v>
      </c>
      <c r="CJ604" s="712">
        <f>IF(WWWW[[#This Row],[Total required water points]]-WWWW[[#This Row],['#Water points coverage]]&lt;0,0,WWWW[[#This Row],[Total required water points]]-WWWW[[#This Row],['#Water points coverage]])</f>
        <v>1</v>
      </c>
      <c r="CK604" s="712">
        <f>ROUND(IF(WWWW[[#This Row],[Total PoP ]]&lt;500,1,WWWW[[#This Row],[Total PoP ]]/500),0)</f>
        <v>1</v>
      </c>
      <c r="CL604" s="712">
        <f>(WWWW[[#This Row],['#_Constructed latrines_by_WASHAgencies]]+WWWW[[#This Row],['#_Non Cluster partner latrines]])-WWWW[[#This Row],['#_Non-functional latrines]]</f>
        <v>0</v>
      </c>
      <c r="CM60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0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0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4" s="712">
        <f>IF(WWWW[[#This Row],[Location Type 1]]="Village","NA",IF(WWWW[[#This Row],['#_Constructed/Existing latrines in TLS]]*50&gt;WWWW[[#This Row],['#_students at TLS_CFS]],WWWW[[#This Row],['#_students at TLS_CFS]],(WWWW[[#This Row],['#_Constructed/Existing latrines in TLS]]*50)))</f>
        <v>0</v>
      </c>
      <c r="CQ604" s="712">
        <f>ROUND(IF(WWWW[[#This Row],[Location Type 1]]="camp",WWWW[[#This Row],[Total PoP ]]/20,IF(WWWW[[#This Row],[Location Type 1]]="Temporary Location",WWWW[[#This Row],[Total PoP ]]/50,(WWWW[[#This Row],[Total PoP ]]/6))),0)</f>
        <v>13</v>
      </c>
      <c r="CR604" s="712">
        <f>IF(WWWW[[#This Row],[Total required Latrines]]-(WWWW[[#This Row],['#_Constructed latrines_by_WASHAgencies]]+WWWW[[#This Row],['#_Non Cluster partner latrines]])&lt;0,0,WWWW[[#This Row],[Total required Latrines]]-(WWWW[[#This Row],['#_Constructed latrines_by_WASHAgencies]]+WWWW[[#This Row],['#_Non Cluster partner latrines]]))</f>
        <v>13</v>
      </c>
      <c r="CS604" s="714">
        <f>1-WWWW[[#This Row],[% people access to functioning Latrine]]</f>
        <v>1</v>
      </c>
      <c r="CT604" s="713">
        <f>IF(OR(WWWW[[#This Row],['#_Non-functional latrines]]="",WWWW[[#This Row],['#_Non-functional latrines]]=0),0,WWWW[[#This Row],['#_Non-functional latrines]]/(WWWW[[#This Row],['#_Constructed latrines_by_WASHAgencies]]+WWWW[[#This Row],['#_Non Cluster partner latrines]]))</f>
        <v>0</v>
      </c>
      <c r="CU604" s="708">
        <f>IF(500*(WWWW[[#This Row],['#_male hygiene promoters]]+WWWW[[#This Row],['#_female hygiene promoters]])&gt;WWWW[[#This Row],[Total PoP ]],WWWW[[#This Row],[Total PoP ]],500*(WWWW[[#This Row],['#_male hygiene promoters]]+WWWW[[#This Row],['#_female hygiene promoters]]))</f>
        <v>0</v>
      </c>
      <c r="CV60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4" s="712">
        <f>IF(WWWW[[#This Row],['# People with access to soap]]&gt;WWWW[[#This Row],['# People with access to Sanity Pads]],WWWW[[#This Row],['# People with access to soap]],WWWW[[#This Row],['# People with access to Sanity Pads]])</f>
        <v>0</v>
      </c>
      <c r="CY60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04" s="714">
        <f>IF(WWWW[[#This Row],[HRP3]]/WWWW[[#This Row],[Total PoP ]]&gt;100%,100%,WWWW[[#This Row],[HRP3]]/WWWW[[#This Row],[Total PoP ]])</f>
        <v>0</v>
      </c>
      <c r="DA604" s="713">
        <f>1-WWWW[[#This Row],[Hygiene Coverage%]]</f>
        <v>1</v>
      </c>
      <c r="DB604" s="710">
        <f>WWWW[[#This Row],['# people reached by regular dedicated hygiene promotion_5]]/WWWW[[#This Row],[Total PoP ]]</f>
        <v>0</v>
      </c>
      <c r="DC604" s="710">
        <f>IF(WWWW[[#This Row],['#_households that received standard amount of soap for this quarter]]/WWWW[[#This Row],[Total HH]]&gt;1,1,WWWW[[#This Row],['#_households that received standard amount of soap for this quarter]]/WWWW[[#This Row],[Total HH]])</f>
        <v>0</v>
      </c>
      <c r="DD604" s="710">
        <f>IF(WWWW[[#This Row],['#_households that received standard amount of sanitary pads for this quarter]]/WWWW[[#This Row],[Total HH]]&gt;1,1,WWWW[[#This Row],['#_households that received standard amount of sanitary pads for this quarter]]/WWWW[[#This Row],[Total HH]])</f>
        <v>0</v>
      </c>
      <c r="DE604" s="712">
        <f>WWWW[[#This Row],['#_Constructed/Existing hand washing stations]]-WWWW[[#This Row],['#_Non-Functional_hand_washing_stations]]</f>
        <v>0</v>
      </c>
      <c r="DF604" s="757">
        <f>IF(WWWW[[#This Row],['# Functional hand washing stations during reporting period]]*20&gt;WWWW[[#This Row],[Total HH]],WWWW[[#This Row],[Total HH]],WWWW[[#This Row],['# Functional hand washing stations during reporting period]]*20)</f>
        <v>0</v>
      </c>
      <c r="DG604" s="708">
        <f>IF(WWWW[[#This Row],[Is sufficient soap available for TLS? (Yes/No)]]="yes",WWWW[[#This Row],['#_Constructed/Existing hand washing stations at TLS]],0)</f>
        <v>0</v>
      </c>
      <c r="DH604" s="759">
        <f>IF(WWWW[[#This Row],['# Functional hand washing stations during reporting period]]*100&gt;WWWW[[#This Row],[Total PoP ]],WWWW[[#This Row],[Total PoP ]],WWWW[[#This Row],['# Functional hand washing stations during reporting period]]*100)</f>
        <v>0</v>
      </c>
      <c r="DI604" s="759" t="str">
        <f>IF(OR(WWWW[[#This Row],['#_students at TLS_CFS]]="",WWWW[[#This Row],['#_students at TLS_CFS]]=0),"No","Yes")</f>
        <v>No</v>
      </c>
      <c r="DJ604" s="711">
        <f>VLOOKUP(WWWW[[#This Row],[Site Name]],SiteDB6[[Site Name]:[CCCM Management]],6,FALSE)</f>
        <v>0</v>
      </c>
      <c r="DK604" s="711">
        <f>VLOOKUP(WWWW[[#This Row],[Site Name]],SiteDB6[[Site Name]:[CCCM Focal Agency]],7,FALSE)</f>
        <v>0</v>
      </c>
      <c r="DL604" s="711" t="str">
        <f>VLOOKUP(WWWW[[#This Row],[Site Name]],SiteDB6[[Site Name]:[Location Type 1]],9,FALSE)</f>
        <v>Camp</v>
      </c>
      <c r="DM604" s="711" t="str">
        <f>VLOOKUP(WWWW[[#This Row],[Site Name]],SiteDB6[[Site Name]:[Type of Accommodation]],10,FALSE)</f>
        <v>Camp like setting</v>
      </c>
      <c r="DN604" s="711" t="str">
        <f>VLOOKUP(WWWW[[#This Row],[Site Name]],SiteDB6[[Site Name]:[Ethnic or GCA/NGCA]],11,FALSE)</f>
        <v>NGCA</v>
      </c>
      <c r="DO604" s="711">
        <f>VLOOKUP(WWWW[[#This Row],[Site Name]],SiteDB6[[Site Name]:[Lat]],12,FALSE)</f>
        <v>0</v>
      </c>
      <c r="DP604" s="711">
        <f>VLOOKUP(WWWW[[#This Row],[Site Name]],SiteDB6[[Site Name]:[Long]],13,FALSE)</f>
        <v>0</v>
      </c>
      <c r="DQ604" s="711">
        <f>VLOOKUP(WWWW[[#This Row],[Site Name]],SiteDB6[[Site Name]:[Pcode]],3,FALSE)</f>
        <v>0</v>
      </c>
      <c r="DR604" s="709" t="str">
        <f t="shared" si="22"/>
        <v>Covered</v>
      </c>
      <c r="DS604" s="709"/>
    </row>
    <row r="605" spans="1:123">
      <c r="A605" s="701" t="s">
        <v>2519</v>
      </c>
      <c r="B605" s="701" t="s">
        <v>149</v>
      </c>
      <c r="C605" s="702" t="s">
        <v>149</v>
      </c>
      <c r="D605" s="702" t="s">
        <v>3268</v>
      </c>
      <c r="E605" s="702" t="s">
        <v>39</v>
      </c>
      <c r="F605" s="702" t="s">
        <v>167</v>
      </c>
      <c r="G605" s="711" t="str">
        <f>VLOOKUP(WWWW[[#This Row],[Site Name]],SiteDB6[[Site Name]:[Location Type]],8,FALSE)</f>
        <v>Camp</v>
      </c>
      <c r="H605" s="702" t="s">
        <v>171</v>
      </c>
      <c r="I605" s="705">
        <v>99</v>
      </c>
      <c r="J605" s="705">
        <v>547</v>
      </c>
      <c r="K605" s="593" t="s">
        <v>3276</v>
      </c>
      <c r="L605" s="58" t="s">
        <v>3277</v>
      </c>
      <c r="M605" s="705"/>
      <c r="N605" s="705"/>
      <c r="O605" s="705"/>
      <c r="P605" s="705"/>
      <c r="Q605" s="708" t="s">
        <v>43</v>
      </c>
      <c r="R605" s="705"/>
      <c r="S605" s="705"/>
      <c r="T605" s="807">
        <v>1</v>
      </c>
      <c r="U605" s="705"/>
      <c r="V605" s="705"/>
      <c r="W605" s="705">
        <v>0</v>
      </c>
      <c r="X605" s="705"/>
      <c r="Y605" s="705"/>
      <c r="Z605" s="705"/>
      <c r="AA605" s="705"/>
      <c r="AB605" s="705"/>
      <c r="AC605" s="705"/>
      <c r="AD605" s="705"/>
      <c r="AE605" s="705"/>
      <c r="AF605" s="705"/>
      <c r="AG605" s="705"/>
      <c r="AH605" s="705">
        <v>2</v>
      </c>
      <c r="AI605" s="705"/>
      <c r="AJ605" s="705"/>
      <c r="AK605" s="705"/>
      <c r="AL605" s="705"/>
      <c r="AM605" s="705"/>
      <c r="AN605" s="705"/>
      <c r="AO605" s="709"/>
      <c r="AP605" s="705">
        <v>8</v>
      </c>
      <c r="AQ605" s="705"/>
      <c r="AR605" s="710"/>
      <c r="AS605" s="705"/>
      <c r="AT605" s="705"/>
      <c r="AU605" s="705"/>
      <c r="AV605" s="705"/>
      <c r="AW605" s="705">
        <v>8</v>
      </c>
      <c r="AX605" s="711" t="s">
        <v>43</v>
      </c>
      <c r="AY605" s="709" t="s">
        <v>1200</v>
      </c>
      <c r="AZ605" s="705"/>
      <c r="BA605" s="705"/>
      <c r="BB605" s="705"/>
      <c r="BC605" s="711"/>
      <c r="BD605" s="705"/>
      <c r="BE605" s="705"/>
      <c r="BF605" s="705"/>
      <c r="BG605" s="705">
        <v>2</v>
      </c>
      <c r="BH605" s="705"/>
      <c r="BI605" s="705"/>
      <c r="BJ605" s="705">
        <v>1</v>
      </c>
      <c r="BK605" s="705"/>
      <c r="BL605" s="705"/>
      <c r="BM605" s="711"/>
      <c r="BN605" s="712"/>
      <c r="BO605" s="710"/>
      <c r="BP605" s="711"/>
      <c r="BQ605" s="713" t="str">
        <f>IFERROR(WWWW[[#This Row],['#_Water sources treated]]/WWWW[[#This Row],['#_Water sources tested for contamination]],"no test")</f>
        <v>no test</v>
      </c>
      <c r="BR605" s="710" t="str">
        <f>IFERROR(WWWW[[#This Row],['#_Household received remediation action due to contamination]]/WWWW[[#This Row],['#_Household water samples tested for contamination]],"no test")</f>
        <v>no test</v>
      </c>
      <c r="BS605" s="712" t="str">
        <f>IF(AND(WWWW[[#This Row],[% of water sources treated]]="no test",WWWW[[#This Row],[% Household received corrective actions]]="no test"),"No Test","Tested")</f>
        <v>No Test</v>
      </c>
      <c r="BT605" s="712">
        <f>WWWW[[#This Row],['#_Constructed/existing protected hand dug well]]-WWWW[[#This Row],['#_Non-functional protected hand dug well]]</f>
        <v>1</v>
      </c>
      <c r="BU605" s="712">
        <f>(WWWW[[#This Row],['#_Constructed/Existing tube wells/boreholes/handpumps_WASH_agency]]+WWWW[[#This Row],['#_Non-Cluster partner water tube-wells/boreholes/handpumps]])-WWWW[[#This Row],['#_Non-functional tube wells/boreholes/handpumps]]</f>
        <v>0</v>
      </c>
      <c r="BV605" s="712">
        <f>WWWW[[#This Row],['#_Constructed/Existingwater storage tank with gravity fed reticulation system]]-WWWW[[#This Row],['#_Non-functional storage tank gravity fed reticulation system]]</f>
        <v>0</v>
      </c>
      <c r="BW605" s="712">
        <f>WWWW[[#This Row],['#_Water boating or water trucking]]</f>
        <v>0</v>
      </c>
      <c r="BX605" s="712">
        <f>WWWW[[#This Row],['#_Constructed/Existing water distribution system from river or natural spring]]</f>
        <v>0</v>
      </c>
      <c r="BY60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0.73126142595978061</v>
      </c>
      <c r="BZ60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0.45703839122486289</v>
      </c>
      <c r="CA605" s="710">
        <f>IF(WWWW[[#This Row],[Location Type 1]]="Village",WWWW[[#This Row],[Access to safe drinking water for Village]],WWWW[[#This Row],[Access to safe drinking water for Camp]])</f>
        <v>0.73126142595978061</v>
      </c>
      <c r="CB605" s="708">
        <f>WWWW[[#This Row],[%Equitable and continuous access to sufficient quantity of safe drinking water]]*WWWW[[#This Row],[Total PoP ]]</f>
        <v>400</v>
      </c>
      <c r="CC605" s="710">
        <f>IF((WWWW[[#This Row],['#_Constructed/Existing protected/fenced ponds]]*250)/WWWW[[#This Row],[Total PoP ]]&gt;1,1,(WWWW[[#This Row],['#_Constructed/Existing protected/fenced ponds]]*250)/WWWW[[#This Row],[Total PoP ]])</f>
        <v>0</v>
      </c>
      <c r="CD605" s="708">
        <f>WWWW[[#This Row],[% Access to unimproved water points]]*WWWW[[#This Row],[Total PoP ]]</f>
        <v>0</v>
      </c>
      <c r="CE60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0.73126142595978061</v>
      </c>
      <c r="CF60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605" s="708">
        <f>WWWW[[#This Row],[HRP1]]/500</f>
        <v>0.8</v>
      </c>
      <c r="CH605" s="714">
        <f>1-WWWW[[#This Row],[% Equitable and continuous access to sufficient quantity of domestic water]]</f>
        <v>0.26873857404021939</v>
      </c>
      <c r="CI605" s="708">
        <f>WWWW[[#This Row],[%equitable and continuous access to sufficient quantity of safe drinking and domestic water''s GAP]]*WWWW[[#This Row],[Total PoP ]]</f>
        <v>147</v>
      </c>
      <c r="CJ605" s="712">
        <f>IF(WWWW[[#This Row],[Total required water points]]-WWWW[[#This Row],['#Water points coverage]]&lt;0,0,WWWW[[#This Row],[Total required water points]]-WWWW[[#This Row],['#Water points coverage]])</f>
        <v>0.19999999999999996</v>
      </c>
      <c r="CK605" s="712">
        <f>ROUND(IF(WWWW[[#This Row],[Total PoP ]]&lt;500,1,WWWW[[#This Row],[Total PoP ]]/500),0)</f>
        <v>1</v>
      </c>
      <c r="CL605" s="712">
        <f>(WWWW[[#This Row],['#_Constructed latrines_by_WASHAgencies]]+WWWW[[#This Row],['#_Non Cluster partner latrines]])-WWWW[[#This Row],['#_Non-functional latrines]]</f>
        <v>8</v>
      </c>
      <c r="CM60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0.29250457038391225</v>
      </c>
      <c r="CN60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60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5" s="712">
        <f>IF(WWWW[[#This Row],[Location Type 1]]="Village","NA",IF(WWWW[[#This Row],['#_Constructed/Existing latrines in TLS]]*50&gt;WWWW[[#This Row],['#_students at TLS_CFS]],WWWW[[#This Row],['#_students at TLS_CFS]],(WWWW[[#This Row],['#_Constructed/Existing latrines in TLS]]*50)))</f>
        <v>0</v>
      </c>
      <c r="CQ605" s="712">
        <f>ROUND(IF(WWWW[[#This Row],[Location Type 1]]="camp",WWWW[[#This Row],[Total PoP ]]/20,IF(WWWW[[#This Row],[Location Type 1]]="Temporary Location",WWWW[[#This Row],[Total PoP ]]/50,(WWWW[[#This Row],[Total PoP ]]/6))),0)</f>
        <v>27</v>
      </c>
      <c r="CR605" s="712">
        <f>IF(WWWW[[#This Row],[Total required Latrines]]-(WWWW[[#This Row],['#_Constructed latrines_by_WASHAgencies]]+WWWW[[#This Row],['#_Non Cluster partner latrines]])&lt;0,0,WWWW[[#This Row],[Total required Latrines]]-(WWWW[[#This Row],['#_Constructed latrines_by_WASHAgencies]]+WWWW[[#This Row],['#_Non Cluster partner latrines]]))</f>
        <v>19</v>
      </c>
      <c r="CS605" s="714">
        <f>1-WWWW[[#This Row],[% people access to functioning Latrine]]</f>
        <v>0.7074954296160878</v>
      </c>
      <c r="CT605" s="713">
        <f>IF(OR(WWWW[[#This Row],['#_Non-functional latrines]]="",WWWW[[#This Row],['#_Non-functional latrines]]=0),0,WWWW[[#This Row],['#_Non-functional latrines]]/(WWWW[[#This Row],['#_Constructed latrines_by_WASHAgencies]]+WWWW[[#This Row],['#_Non Cluster partner latrines]]))</f>
        <v>0</v>
      </c>
      <c r="CU605" s="708">
        <f>IF(500*(WWWW[[#This Row],['#_male hygiene promoters]]+WWWW[[#This Row],['#_female hygiene promoters]])&gt;WWWW[[#This Row],[Total PoP ]],WWWW[[#This Row],[Total PoP ]],500*(WWWW[[#This Row],['#_male hygiene promoters]]+WWWW[[#This Row],['#_female hygiene promoters]]))</f>
        <v>500</v>
      </c>
      <c r="CV60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5" s="712">
        <f>IF(WWWW[[#This Row],['# People with access to soap]]&gt;WWWW[[#This Row],['# People with access to Sanity Pads]],WWWW[[#This Row],['# People with access to soap]],WWWW[[#This Row],['# People with access to Sanity Pads]])</f>
        <v>0</v>
      </c>
      <c r="CY605" s="712">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605" s="714">
        <f>IF(WWWW[[#This Row],[HRP3]]/WWWW[[#This Row],[Total PoP ]]&gt;100%,100%,WWWW[[#This Row],[HRP3]]/WWWW[[#This Row],[Total PoP ]])</f>
        <v>0.91407678244972579</v>
      </c>
      <c r="DA605" s="713">
        <f>1-WWWW[[#This Row],[Hygiene Coverage%]]</f>
        <v>8.5923217550274211E-2</v>
      </c>
      <c r="DB605" s="710">
        <f>WWWW[[#This Row],['# people reached by regular dedicated hygiene promotion_5]]/WWWW[[#This Row],[Total PoP ]]</f>
        <v>0.91407678244972579</v>
      </c>
      <c r="DC605" s="710">
        <f>IF(WWWW[[#This Row],['#_households that received standard amount of soap for this quarter]]/WWWW[[#This Row],[Total HH]]&gt;1,1,WWWW[[#This Row],['#_households that received standard amount of soap for this quarter]]/WWWW[[#This Row],[Total HH]])</f>
        <v>0</v>
      </c>
      <c r="DD605" s="710">
        <f>IF(WWWW[[#This Row],['#_households that received standard amount of sanitary pads for this quarter]]/WWWW[[#This Row],[Total HH]]&gt;1,1,WWWW[[#This Row],['#_households that received standard amount of sanitary pads for this quarter]]/WWWW[[#This Row],[Total HH]])</f>
        <v>0</v>
      </c>
      <c r="DE605" s="712">
        <f>WWWW[[#This Row],['#_Constructed/Existing hand washing stations]]-WWWW[[#This Row],['#_Non-Functional_hand_washing_stations]]</f>
        <v>0</v>
      </c>
      <c r="DF605" s="757">
        <f>IF(WWWW[[#This Row],['# Functional hand washing stations during reporting period]]*20&gt;WWWW[[#This Row],[Total HH]],WWWW[[#This Row],[Total HH]],WWWW[[#This Row],['# Functional hand washing stations during reporting period]]*20)</f>
        <v>0</v>
      </c>
      <c r="DG605" s="708">
        <f>IF(WWWW[[#This Row],[Is sufficient soap available for TLS? (Yes/No)]]="yes",WWWW[[#This Row],['#_Constructed/Existing hand washing stations at TLS]],0)</f>
        <v>0</v>
      </c>
      <c r="DH605" s="759">
        <f>IF(WWWW[[#This Row],['# Functional hand washing stations during reporting period]]*100&gt;WWWW[[#This Row],[Total PoP ]],WWWW[[#This Row],[Total PoP ]],WWWW[[#This Row],['# Functional hand washing stations during reporting period]]*100)</f>
        <v>0</v>
      </c>
      <c r="DI605" s="759" t="str">
        <f>IF(OR(WWWW[[#This Row],['#_students at TLS_CFS]]="",WWWW[[#This Row],['#_students at TLS_CFS]]=0),"No","Yes")</f>
        <v>No</v>
      </c>
      <c r="DJ605" s="711" t="str">
        <f>VLOOKUP(WWWW[[#This Row],[Site Name]],SiteDB6[[Site Name]:[CCCM Management]],6,FALSE)</f>
        <v>Yes</v>
      </c>
      <c r="DK605" s="711" t="str">
        <f>VLOOKUP(WWWW[[#This Row],[Site Name]],SiteDB6[[Site Name]:[CCCM Focal Agency]],7,FALSE)</f>
        <v>KBC-MYT</v>
      </c>
      <c r="DL605" s="711" t="str">
        <f>VLOOKUP(WWWW[[#This Row],[Site Name]],SiteDB6[[Site Name]:[Location Type 1]],9,FALSE)</f>
        <v>Camp</v>
      </c>
      <c r="DM605" s="711" t="str">
        <f>VLOOKUP(WWWW[[#This Row],[Site Name]],SiteDB6[[Site Name]:[Type of Accommodation]],10,FALSE)</f>
        <v>Camp</v>
      </c>
      <c r="DN605" s="711" t="str">
        <f>VLOOKUP(WWWW[[#This Row],[Site Name]],SiteDB6[[Site Name]:[Ethnic or GCA/NGCA]],11,FALSE)</f>
        <v>GCA</v>
      </c>
      <c r="DO605" s="711">
        <f>VLOOKUP(WWWW[[#This Row],[Site Name]],SiteDB6[[Site Name]:[Lat]],12,FALSE)</f>
        <v>25.362420757575801</v>
      </c>
      <c r="DP605" s="711">
        <f>VLOOKUP(WWWW[[#This Row],[Site Name]],SiteDB6[[Site Name]:[Long]],13,FALSE)</f>
        <v>97.409035000000003</v>
      </c>
      <c r="DQ605" s="711" t="str">
        <f>VLOOKUP(WWWW[[#This Row],[Site Name]],SiteDB6[[Site Name]:[Pcode]],3,FALSE)</f>
        <v>MMR001CMP015</v>
      </c>
      <c r="DR605" s="709" t="str">
        <f t="shared" si="22"/>
        <v>Covered</v>
      </c>
      <c r="DS605" s="709"/>
    </row>
    <row r="606" spans="1:123">
      <c r="A606" s="701" t="s">
        <v>2519</v>
      </c>
      <c r="B606" s="701" t="s">
        <v>317</v>
      </c>
      <c r="C606" s="702" t="s">
        <v>317</v>
      </c>
      <c r="D606" s="702"/>
      <c r="E606" s="702" t="s">
        <v>39</v>
      </c>
      <c r="F606" s="702" t="s">
        <v>165</v>
      </c>
      <c r="G606" s="711" t="str">
        <f>VLOOKUP(WWWW[[#This Row],[Site Name]],SiteDB6[[Site Name]:[Location Type]],8,FALSE)</f>
        <v>Camp</v>
      </c>
      <c r="H606" s="702" t="s">
        <v>1048</v>
      </c>
      <c r="I606" s="705">
        <v>27</v>
      </c>
      <c r="J606" s="705">
        <v>121</v>
      </c>
      <c r="K606" s="706"/>
      <c r="L606" s="707"/>
      <c r="M606" s="705"/>
      <c r="N606" s="705"/>
      <c r="O606" s="705"/>
      <c r="P606" s="705"/>
      <c r="Q606" s="708"/>
      <c r="R606" s="705"/>
      <c r="S606" s="705"/>
      <c r="T606" s="807"/>
      <c r="U606" s="705"/>
      <c r="V606" s="705"/>
      <c r="W606" s="705"/>
      <c r="X606" s="705"/>
      <c r="Y606" s="705"/>
      <c r="Z606" s="705"/>
      <c r="AA606" s="705"/>
      <c r="AB606" s="705"/>
      <c r="AC606" s="705"/>
      <c r="AD606" s="705"/>
      <c r="AE606" s="705"/>
      <c r="AF606" s="705"/>
      <c r="AG606" s="705"/>
      <c r="AH606" s="705"/>
      <c r="AI606" s="705"/>
      <c r="AJ606" s="705"/>
      <c r="AK606" s="705"/>
      <c r="AL606" s="705"/>
      <c r="AM606" s="705"/>
      <c r="AN606" s="705"/>
      <c r="AO606" s="709"/>
      <c r="AP606" s="705"/>
      <c r="AQ606" s="705"/>
      <c r="AR606" s="710"/>
      <c r="AS606" s="705"/>
      <c r="AT606" s="705"/>
      <c r="AU606" s="705"/>
      <c r="AV606" s="705"/>
      <c r="AW606" s="705"/>
      <c r="AX606" s="711"/>
      <c r="AY606" s="709"/>
      <c r="AZ606" s="705"/>
      <c r="BA606" s="705"/>
      <c r="BB606" s="705"/>
      <c r="BC606" s="711"/>
      <c r="BD606" s="705"/>
      <c r="BE606" s="705"/>
      <c r="BF606" s="705"/>
      <c r="BG606" s="705"/>
      <c r="BH606" s="705"/>
      <c r="BI606" s="705"/>
      <c r="BJ606" s="705"/>
      <c r="BK606" s="705"/>
      <c r="BL606" s="705"/>
      <c r="BM606" s="711"/>
      <c r="BN606" s="712"/>
      <c r="BO606" s="710"/>
      <c r="BP606" s="711"/>
      <c r="BQ606" s="713" t="str">
        <f>IFERROR(WWWW[[#This Row],['#_Water sources treated]]/WWWW[[#This Row],['#_Water sources tested for contamination]],"no test")</f>
        <v>no test</v>
      </c>
      <c r="BR606" s="710" t="str">
        <f>IFERROR(WWWW[[#This Row],['#_Household received remediation action due to contamination]]/WWWW[[#This Row],['#_Household water samples tested for contamination]],"no test")</f>
        <v>no test</v>
      </c>
      <c r="BS606" s="712" t="str">
        <f>IF(AND(WWWW[[#This Row],[% of water sources treated]]="no test",WWWW[[#This Row],[% Household received corrective actions]]="no test"),"No Test","Tested")</f>
        <v>No Test</v>
      </c>
      <c r="BT606" s="712">
        <f>WWWW[[#This Row],['#_Constructed/existing protected hand dug well]]-WWWW[[#This Row],['#_Non-functional protected hand dug well]]</f>
        <v>0</v>
      </c>
      <c r="BU606" s="712">
        <f>(WWWW[[#This Row],['#_Constructed/Existing tube wells/boreholes/handpumps_WASH_agency]]+WWWW[[#This Row],['#_Non-Cluster partner water tube-wells/boreholes/handpumps]])-WWWW[[#This Row],['#_Non-functional tube wells/boreholes/handpumps]]</f>
        <v>0</v>
      </c>
      <c r="BV606" s="712">
        <f>WWWW[[#This Row],['#_Constructed/Existingwater storage tank with gravity fed reticulation system]]-WWWW[[#This Row],['#_Non-functional storage tank gravity fed reticulation system]]</f>
        <v>0</v>
      </c>
      <c r="BW606" s="712">
        <f>WWWW[[#This Row],['#_Water boating or water trucking]]</f>
        <v>0</v>
      </c>
      <c r="BX606" s="712">
        <f>WWWW[[#This Row],['#_Constructed/Existing water distribution system from river or natural spring]]</f>
        <v>0</v>
      </c>
      <c r="BY60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0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06" s="710">
        <f>IF(WWWW[[#This Row],[Location Type 1]]="Village",WWWW[[#This Row],[Access to safe drinking water for Village]],WWWW[[#This Row],[Access to safe drinking water for Camp]])</f>
        <v>0</v>
      </c>
      <c r="CB606" s="708">
        <f>WWWW[[#This Row],[%Equitable and continuous access to sufficient quantity of safe drinking water]]*WWWW[[#This Row],[Total PoP ]]</f>
        <v>0</v>
      </c>
      <c r="CC606" s="710">
        <f>IF((WWWW[[#This Row],['#_Constructed/Existing protected/fenced ponds]]*250)/WWWW[[#This Row],[Total PoP ]]&gt;1,1,(WWWW[[#This Row],['#_Constructed/Existing protected/fenced ponds]]*250)/WWWW[[#This Row],[Total PoP ]])</f>
        <v>0</v>
      </c>
      <c r="CD606" s="708">
        <f>WWWW[[#This Row],[% Access to unimproved water points]]*WWWW[[#This Row],[Total PoP ]]</f>
        <v>0</v>
      </c>
      <c r="CE60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0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06" s="708">
        <f>WWWW[[#This Row],[HRP1]]/500</f>
        <v>0</v>
      </c>
      <c r="CH606" s="714">
        <f>1-WWWW[[#This Row],[% Equitable and continuous access to sufficient quantity of domestic water]]</f>
        <v>1</v>
      </c>
      <c r="CI606" s="708">
        <f>WWWW[[#This Row],[%equitable and continuous access to sufficient quantity of safe drinking and domestic water''s GAP]]*WWWW[[#This Row],[Total PoP ]]</f>
        <v>121</v>
      </c>
      <c r="CJ606" s="712">
        <f>IF(WWWW[[#This Row],[Total required water points]]-WWWW[[#This Row],['#Water points coverage]]&lt;0,0,WWWW[[#This Row],[Total required water points]]-WWWW[[#This Row],['#Water points coverage]])</f>
        <v>1</v>
      </c>
      <c r="CK606" s="712">
        <f>ROUND(IF(WWWW[[#This Row],[Total PoP ]]&lt;500,1,WWWW[[#This Row],[Total PoP ]]/500),0)</f>
        <v>1</v>
      </c>
      <c r="CL606" s="712">
        <f>(WWWW[[#This Row],['#_Constructed latrines_by_WASHAgencies]]+WWWW[[#This Row],['#_Non Cluster partner latrines]])-WWWW[[#This Row],['#_Non-functional latrines]]</f>
        <v>0</v>
      </c>
      <c r="CM60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0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0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6" s="712">
        <f>IF(WWWW[[#This Row],[Location Type 1]]="Village","NA",IF(WWWW[[#This Row],['#_Constructed/Existing latrines in TLS]]*50&gt;WWWW[[#This Row],['#_students at TLS_CFS]],WWWW[[#This Row],['#_students at TLS_CFS]],(WWWW[[#This Row],['#_Constructed/Existing latrines in TLS]]*50)))</f>
        <v>0</v>
      </c>
      <c r="CQ606" s="712">
        <f>ROUND(IF(WWWW[[#This Row],[Location Type 1]]="camp",WWWW[[#This Row],[Total PoP ]]/20,IF(WWWW[[#This Row],[Location Type 1]]="Temporary Location",WWWW[[#This Row],[Total PoP ]]/50,(WWWW[[#This Row],[Total PoP ]]/6))),0)</f>
        <v>6</v>
      </c>
      <c r="CR606" s="712">
        <f>IF(WWWW[[#This Row],[Total required Latrines]]-(WWWW[[#This Row],['#_Constructed latrines_by_WASHAgencies]]+WWWW[[#This Row],['#_Non Cluster partner latrines]])&lt;0,0,WWWW[[#This Row],[Total required Latrines]]-(WWWW[[#This Row],['#_Constructed latrines_by_WASHAgencies]]+WWWW[[#This Row],['#_Non Cluster partner latrines]]))</f>
        <v>6</v>
      </c>
      <c r="CS606" s="714">
        <f>1-WWWW[[#This Row],[% people access to functioning Latrine]]</f>
        <v>1</v>
      </c>
      <c r="CT606" s="713">
        <f>IF(OR(WWWW[[#This Row],['#_Non-functional latrines]]="",WWWW[[#This Row],['#_Non-functional latrines]]=0),0,WWWW[[#This Row],['#_Non-functional latrines]]/(WWWW[[#This Row],['#_Constructed latrines_by_WASHAgencies]]+WWWW[[#This Row],['#_Non Cluster partner latrines]]))</f>
        <v>0</v>
      </c>
      <c r="CU606" s="708">
        <f>IF(500*(WWWW[[#This Row],['#_male hygiene promoters]]+WWWW[[#This Row],['#_female hygiene promoters]])&gt;WWWW[[#This Row],[Total PoP ]],WWWW[[#This Row],[Total PoP ]],500*(WWWW[[#This Row],['#_male hygiene promoters]]+WWWW[[#This Row],['#_female hygiene promoters]]))</f>
        <v>0</v>
      </c>
      <c r="CV60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6" s="712">
        <f>IF(WWWW[[#This Row],['# People with access to soap]]&gt;WWWW[[#This Row],['# People with access to Sanity Pads]],WWWW[[#This Row],['# People with access to soap]],WWWW[[#This Row],['# People with access to Sanity Pads]])</f>
        <v>0</v>
      </c>
      <c r="CY60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06" s="714">
        <f>IF(WWWW[[#This Row],[HRP3]]/WWWW[[#This Row],[Total PoP ]]&gt;100%,100%,WWWW[[#This Row],[HRP3]]/WWWW[[#This Row],[Total PoP ]])</f>
        <v>0</v>
      </c>
      <c r="DA606" s="713">
        <f>1-WWWW[[#This Row],[Hygiene Coverage%]]</f>
        <v>1</v>
      </c>
      <c r="DB606" s="710">
        <f>WWWW[[#This Row],['# people reached by regular dedicated hygiene promotion_5]]/WWWW[[#This Row],[Total PoP ]]</f>
        <v>0</v>
      </c>
      <c r="DC606" s="710">
        <f>IF(WWWW[[#This Row],['#_households that received standard amount of soap for this quarter]]/WWWW[[#This Row],[Total HH]]&gt;1,1,WWWW[[#This Row],['#_households that received standard amount of soap for this quarter]]/WWWW[[#This Row],[Total HH]])</f>
        <v>0</v>
      </c>
      <c r="DD606" s="710">
        <f>IF(WWWW[[#This Row],['#_households that received standard amount of sanitary pads for this quarter]]/WWWW[[#This Row],[Total HH]]&gt;1,1,WWWW[[#This Row],['#_households that received standard amount of sanitary pads for this quarter]]/WWWW[[#This Row],[Total HH]])</f>
        <v>0</v>
      </c>
      <c r="DE606" s="712">
        <f>WWWW[[#This Row],['#_Constructed/Existing hand washing stations]]-WWWW[[#This Row],['#_Non-Functional_hand_washing_stations]]</f>
        <v>0</v>
      </c>
      <c r="DF606" s="757">
        <f>IF(WWWW[[#This Row],['# Functional hand washing stations during reporting period]]*20&gt;WWWW[[#This Row],[Total HH]],WWWW[[#This Row],[Total HH]],WWWW[[#This Row],['# Functional hand washing stations during reporting period]]*20)</f>
        <v>0</v>
      </c>
      <c r="DG606" s="708">
        <f>IF(WWWW[[#This Row],[Is sufficient soap available for TLS? (Yes/No)]]="yes",WWWW[[#This Row],['#_Constructed/Existing hand washing stations at TLS]],0)</f>
        <v>0</v>
      </c>
      <c r="DH606" s="759">
        <f>IF(WWWW[[#This Row],['# Functional hand washing stations during reporting period]]*100&gt;WWWW[[#This Row],[Total PoP ]],WWWW[[#This Row],[Total PoP ]],WWWW[[#This Row],['# Functional hand washing stations during reporting period]]*100)</f>
        <v>0</v>
      </c>
      <c r="DI606" s="759" t="str">
        <f>IF(OR(WWWW[[#This Row],['#_students at TLS_CFS]]="",WWWW[[#This Row],['#_students at TLS_CFS]]=0),"No","Yes")</f>
        <v>No</v>
      </c>
      <c r="DJ606" s="711">
        <f>VLOOKUP(WWWW[[#This Row],[Site Name]],SiteDB6[[Site Name]:[CCCM Management]],6,FALSE)</f>
        <v>0</v>
      </c>
      <c r="DK606" s="711" t="str">
        <f>VLOOKUP(WWWW[[#This Row],[Site Name]],SiteDB6[[Site Name]:[CCCM Focal Agency]],7,FALSE)</f>
        <v>uncovered</v>
      </c>
      <c r="DL606" s="711" t="str">
        <f>VLOOKUP(WWWW[[#This Row],[Site Name]],SiteDB6[[Site Name]:[Location Type 1]],9,FALSE)</f>
        <v>Camp</v>
      </c>
      <c r="DM606" s="711" t="str">
        <f>VLOOKUP(WWWW[[#This Row],[Site Name]],SiteDB6[[Site Name]:[Type of Accommodation]],10,FALSE)</f>
        <v>Host Families</v>
      </c>
      <c r="DN606" s="711" t="str">
        <f>VLOOKUP(WWWW[[#This Row],[Site Name]],SiteDB6[[Site Name]:[Ethnic or GCA/NGCA]],11,FALSE)</f>
        <v>GCA</v>
      </c>
      <c r="DO606" s="711">
        <f>VLOOKUP(WWWW[[#This Row],[Site Name]],SiteDB6[[Site Name]:[Lat]],12,FALSE)</f>
        <v>24.996279999999999</v>
      </c>
      <c r="DP606" s="711">
        <f>VLOOKUP(WWWW[[#This Row],[Site Name]],SiteDB6[[Site Name]:[Long]],13,FALSE)</f>
        <v>96.52534</v>
      </c>
      <c r="DQ606" s="711" t="str">
        <f>VLOOKUP(WWWW[[#This Row],[Site Name]],SiteDB6[[Site Name]:[Pcode]],3,FALSE)</f>
        <v>MMR001CMP232</v>
      </c>
      <c r="DR606" s="709" t="str">
        <f t="shared" si="22"/>
        <v>Notcovered</v>
      </c>
      <c r="DS606" s="709"/>
    </row>
    <row r="607" spans="1:123">
      <c r="A607" s="701" t="s">
        <v>2519</v>
      </c>
      <c r="B607" s="701" t="s">
        <v>149</v>
      </c>
      <c r="C607" s="702" t="s">
        <v>149</v>
      </c>
      <c r="D607" s="702" t="s">
        <v>3268</v>
      </c>
      <c r="E607" s="702" t="s">
        <v>39</v>
      </c>
      <c r="F607" s="702" t="s">
        <v>167</v>
      </c>
      <c r="G607" s="711" t="str">
        <f>VLOOKUP(WWWW[[#This Row],[Site Name]],SiteDB6[[Site Name]:[Location Type]],8,FALSE)</f>
        <v>Camp</v>
      </c>
      <c r="H607" s="702" t="s">
        <v>172</v>
      </c>
      <c r="I607" s="705">
        <v>132</v>
      </c>
      <c r="J607" s="705">
        <v>676</v>
      </c>
      <c r="K607" s="593" t="s">
        <v>3276</v>
      </c>
      <c r="L607" s="58" t="s">
        <v>3277</v>
      </c>
      <c r="M607" s="705"/>
      <c r="N607" s="705"/>
      <c r="O607" s="705"/>
      <c r="P607" s="705"/>
      <c r="Q607" s="708" t="s">
        <v>43</v>
      </c>
      <c r="R607" s="705"/>
      <c r="S607" s="705"/>
      <c r="T607" s="807">
        <v>0</v>
      </c>
      <c r="U607" s="705"/>
      <c r="V607" s="705"/>
      <c r="W607" s="705">
        <v>3</v>
      </c>
      <c r="X607" s="705"/>
      <c r="Y607" s="705"/>
      <c r="Z607" s="705"/>
      <c r="AA607" s="705"/>
      <c r="AB607" s="705"/>
      <c r="AC607" s="705"/>
      <c r="AD607" s="705"/>
      <c r="AE607" s="705"/>
      <c r="AF607" s="705"/>
      <c r="AG607" s="705"/>
      <c r="AH607" s="705">
        <v>2</v>
      </c>
      <c r="AI607" s="705"/>
      <c r="AJ607" s="705"/>
      <c r="AK607" s="705"/>
      <c r="AL607" s="705"/>
      <c r="AM607" s="705"/>
      <c r="AN607" s="705"/>
      <c r="AO607" s="709"/>
      <c r="AP607" s="705">
        <v>32</v>
      </c>
      <c r="AQ607" s="705"/>
      <c r="AR607" s="710"/>
      <c r="AS607" s="705"/>
      <c r="AT607" s="705"/>
      <c r="AU607" s="705">
        <v>18</v>
      </c>
      <c r="AV607" s="705"/>
      <c r="AW607" s="705">
        <v>32</v>
      </c>
      <c r="AX607" s="711" t="s">
        <v>43</v>
      </c>
      <c r="AY607" s="709" t="s">
        <v>145</v>
      </c>
      <c r="AZ607" s="705"/>
      <c r="BA607" s="705"/>
      <c r="BB607" s="705"/>
      <c r="BC607" s="711"/>
      <c r="BD607" s="705"/>
      <c r="BE607" s="705"/>
      <c r="BF607" s="705"/>
      <c r="BG607" s="705">
        <v>2</v>
      </c>
      <c r="BH607" s="705"/>
      <c r="BI607" s="705"/>
      <c r="BJ607" s="705">
        <v>1</v>
      </c>
      <c r="BK607" s="705"/>
      <c r="BL607" s="705"/>
      <c r="BM607" s="711"/>
      <c r="BN607" s="712"/>
      <c r="BO607" s="710"/>
      <c r="BP607" s="711"/>
      <c r="BQ607" s="713" t="str">
        <f>IFERROR(WWWW[[#This Row],['#_Water sources treated]]/WWWW[[#This Row],['#_Water sources tested for contamination]],"no test")</f>
        <v>no test</v>
      </c>
      <c r="BR607" s="710" t="str">
        <f>IFERROR(WWWW[[#This Row],['#_Household received remediation action due to contamination]]/WWWW[[#This Row],['#_Household water samples tested for contamination]],"no test")</f>
        <v>no test</v>
      </c>
      <c r="BS607" s="712" t="str">
        <f>IF(AND(WWWW[[#This Row],[% of water sources treated]]="no test",WWWW[[#This Row],[% Household received corrective actions]]="no test"),"No Test","Tested")</f>
        <v>No Test</v>
      </c>
      <c r="BT607" s="712">
        <f>WWWW[[#This Row],['#_Constructed/existing protected hand dug well]]-WWWW[[#This Row],['#_Non-functional protected hand dug well]]</f>
        <v>0</v>
      </c>
      <c r="BU607" s="712">
        <f>(WWWW[[#This Row],['#_Constructed/Existing tube wells/boreholes/handpumps_WASH_agency]]+WWWW[[#This Row],['#_Non-Cluster partner water tube-wells/boreholes/handpumps]])-WWWW[[#This Row],['#_Non-functional tube wells/boreholes/handpumps]]</f>
        <v>3</v>
      </c>
      <c r="BV607" s="712">
        <f>WWWW[[#This Row],['#_Constructed/Existingwater storage tank with gravity fed reticulation system]]-WWWW[[#This Row],['#_Non-functional storage tank gravity fed reticulation system]]</f>
        <v>0</v>
      </c>
      <c r="BW607" s="712">
        <f>WWWW[[#This Row],['#_Water boating or water trucking]]</f>
        <v>0</v>
      </c>
      <c r="BX607" s="712">
        <f>WWWW[[#This Row],['#_Constructed/Existing water distribution system from river or natural spring]]</f>
        <v>0</v>
      </c>
      <c r="BY60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0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07" s="710">
        <f>IF(WWWW[[#This Row],[Location Type 1]]="Village",WWWW[[#This Row],[Access to safe drinking water for Village]],WWWW[[#This Row],[Access to safe drinking water for Camp]])</f>
        <v>1</v>
      </c>
      <c r="CB607" s="708">
        <f>WWWW[[#This Row],[%Equitable and continuous access to sufficient quantity of safe drinking water]]*WWWW[[#This Row],[Total PoP ]]</f>
        <v>676</v>
      </c>
      <c r="CC607" s="710">
        <f>IF((WWWW[[#This Row],['#_Constructed/Existing protected/fenced ponds]]*250)/WWWW[[#This Row],[Total PoP ]]&gt;1,1,(WWWW[[#This Row],['#_Constructed/Existing protected/fenced ponds]]*250)/WWWW[[#This Row],[Total PoP ]])</f>
        <v>0</v>
      </c>
      <c r="CD607" s="708">
        <f>WWWW[[#This Row],[% Access to unimproved water points]]*WWWW[[#This Row],[Total PoP ]]</f>
        <v>0</v>
      </c>
      <c r="CE60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0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G607" s="708">
        <f>WWWW[[#This Row],[HRP1]]/500</f>
        <v>1.3520000000000001</v>
      </c>
      <c r="CH607" s="714">
        <f>1-WWWW[[#This Row],[% Equitable and continuous access to sufficient quantity of domestic water]]</f>
        <v>0</v>
      </c>
      <c r="CI607" s="708">
        <f>WWWW[[#This Row],[%equitable and continuous access to sufficient quantity of safe drinking and domestic water''s GAP]]*WWWW[[#This Row],[Total PoP ]]</f>
        <v>0</v>
      </c>
      <c r="CJ607" s="712">
        <f>IF(WWWW[[#This Row],[Total required water points]]-WWWW[[#This Row],['#Water points coverage]]&lt;0,0,WWWW[[#This Row],[Total required water points]]-WWWW[[#This Row],['#Water points coverage]])</f>
        <v>0</v>
      </c>
      <c r="CK607" s="712">
        <f>ROUND(IF(WWWW[[#This Row],[Total PoP ]]&lt;500,1,WWWW[[#This Row],[Total PoP ]]/500),0)</f>
        <v>1</v>
      </c>
      <c r="CL607" s="712">
        <f>(WWWW[[#This Row],['#_Constructed latrines_by_WASHAgencies]]+WWWW[[#This Row],['#_Non Cluster partner latrines]])-WWWW[[#This Row],['#_Non-functional latrines]]</f>
        <v>32</v>
      </c>
      <c r="CM60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0.94674556213017746</v>
      </c>
      <c r="CN60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640</v>
      </c>
      <c r="CO60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CP607" s="712">
        <f>IF(WWWW[[#This Row],[Location Type 1]]="Village","NA",IF(WWWW[[#This Row],['#_Constructed/Existing latrines in TLS]]*50&gt;WWWW[[#This Row],['#_students at TLS_CFS]],WWWW[[#This Row],['#_students at TLS_CFS]],(WWWW[[#This Row],['#_Constructed/Existing latrines in TLS]]*50)))</f>
        <v>0</v>
      </c>
      <c r="CQ607" s="712">
        <f>ROUND(IF(WWWW[[#This Row],[Location Type 1]]="camp",WWWW[[#This Row],[Total PoP ]]/20,IF(WWWW[[#This Row],[Location Type 1]]="Temporary Location",WWWW[[#This Row],[Total PoP ]]/50,(WWWW[[#This Row],[Total PoP ]]/6))),0)</f>
        <v>34</v>
      </c>
      <c r="CR607" s="712">
        <f>IF(WWWW[[#This Row],[Total required Latrines]]-(WWWW[[#This Row],['#_Constructed latrines_by_WASHAgencies]]+WWWW[[#This Row],['#_Non Cluster partner latrines]])&lt;0,0,WWWW[[#This Row],[Total required Latrines]]-(WWWW[[#This Row],['#_Constructed latrines_by_WASHAgencies]]+WWWW[[#This Row],['#_Non Cluster partner latrines]]))</f>
        <v>2</v>
      </c>
      <c r="CS607" s="714">
        <f>1-WWWW[[#This Row],[% people access to functioning Latrine]]</f>
        <v>5.3254437869822535E-2</v>
      </c>
      <c r="CT607" s="713">
        <f>IF(OR(WWWW[[#This Row],['#_Non-functional latrines]]="",WWWW[[#This Row],['#_Non-functional latrines]]=0),0,WWWW[[#This Row],['#_Non-functional latrines]]/(WWWW[[#This Row],['#_Constructed latrines_by_WASHAgencies]]+WWWW[[#This Row],['#_Non Cluster partner latrines]]))</f>
        <v>0</v>
      </c>
      <c r="CU607" s="708">
        <f>IF(500*(WWWW[[#This Row],['#_male hygiene promoters]]+WWWW[[#This Row],['#_female hygiene promoters]])&gt;WWWW[[#This Row],[Total PoP ]],WWWW[[#This Row],[Total PoP ]],500*(WWWW[[#This Row],['#_male hygiene promoters]]+WWWW[[#This Row],['#_female hygiene promoters]]))</f>
        <v>500</v>
      </c>
      <c r="CV60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7" s="712">
        <f>IF(WWWW[[#This Row],['# People with access to soap]]&gt;WWWW[[#This Row],['# People with access to Sanity Pads]],WWWW[[#This Row],['# People with access to soap]],WWWW[[#This Row],['# People with access to Sanity Pads]])</f>
        <v>0</v>
      </c>
      <c r="CY607" s="712">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607" s="714">
        <f>IF(WWWW[[#This Row],[HRP3]]/WWWW[[#This Row],[Total PoP ]]&gt;100%,100%,WWWW[[#This Row],[HRP3]]/WWWW[[#This Row],[Total PoP ]])</f>
        <v>0.73964497041420119</v>
      </c>
      <c r="DA607" s="713">
        <f>1-WWWW[[#This Row],[Hygiene Coverage%]]</f>
        <v>0.26035502958579881</v>
      </c>
      <c r="DB607" s="710">
        <f>WWWW[[#This Row],['# people reached by regular dedicated hygiene promotion_5]]/WWWW[[#This Row],[Total PoP ]]</f>
        <v>0.73964497041420119</v>
      </c>
      <c r="DC607" s="710">
        <f>IF(WWWW[[#This Row],['#_households that received standard amount of soap for this quarter]]/WWWW[[#This Row],[Total HH]]&gt;1,1,WWWW[[#This Row],['#_households that received standard amount of soap for this quarter]]/WWWW[[#This Row],[Total HH]])</f>
        <v>0</v>
      </c>
      <c r="DD607" s="710">
        <f>IF(WWWW[[#This Row],['#_households that received standard amount of sanitary pads for this quarter]]/WWWW[[#This Row],[Total HH]]&gt;1,1,WWWW[[#This Row],['#_households that received standard amount of sanitary pads for this quarter]]/WWWW[[#This Row],[Total HH]])</f>
        <v>0</v>
      </c>
      <c r="DE607" s="712">
        <f>WWWW[[#This Row],['#_Constructed/Existing hand washing stations]]-WWWW[[#This Row],['#_Non-Functional_hand_washing_stations]]</f>
        <v>0</v>
      </c>
      <c r="DF607" s="757">
        <f>IF(WWWW[[#This Row],['# Functional hand washing stations during reporting period]]*20&gt;WWWW[[#This Row],[Total HH]],WWWW[[#This Row],[Total HH]],WWWW[[#This Row],['# Functional hand washing stations during reporting period]]*20)</f>
        <v>0</v>
      </c>
      <c r="DG607" s="708">
        <f>IF(WWWW[[#This Row],[Is sufficient soap available for TLS? (Yes/No)]]="yes",WWWW[[#This Row],['#_Constructed/Existing hand washing stations at TLS]],0)</f>
        <v>0</v>
      </c>
      <c r="DH607" s="759">
        <f>IF(WWWW[[#This Row],['# Functional hand washing stations during reporting period]]*100&gt;WWWW[[#This Row],[Total PoP ]],WWWW[[#This Row],[Total PoP ]],WWWW[[#This Row],['# Functional hand washing stations during reporting period]]*100)</f>
        <v>0</v>
      </c>
      <c r="DI607" s="759" t="str">
        <f>IF(OR(WWWW[[#This Row],['#_students at TLS_CFS]]="",WWWW[[#This Row],['#_students at TLS_CFS]]=0),"No","Yes")</f>
        <v>No</v>
      </c>
      <c r="DJ607" s="711" t="str">
        <f>VLOOKUP(WWWW[[#This Row],[Site Name]],SiteDB6[[Site Name]:[CCCM Management]],6,FALSE)</f>
        <v>Yes</v>
      </c>
      <c r="DK607" s="711" t="str">
        <f>VLOOKUP(WWWW[[#This Row],[Site Name]],SiteDB6[[Site Name]:[CCCM Focal Agency]],7,FALSE)</f>
        <v>KBC-MYT</v>
      </c>
      <c r="DL607" s="711" t="str">
        <f>VLOOKUP(WWWW[[#This Row],[Site Name]],SiteDB6[[Site Name]:[Location Type 1]],9,FALSE)</f>
        <v>Camp</v>
      </c>
      <c r="DM607" s="711" t="str">
        <f>VLOOKUP(WWWW[[#This Row],[Site Name]],SiteDB6[[Site Name]:[Type of Accommodation]],10,FALSE)</f>
        <v>Camp</v>
      </c>
      <c r="DN607" s="711" t="str">
        <f>VLOOKUP(WWWW[[#This Row],[Site Name]],SiteDB6[[Site Name]:[Ethnic or GCA/NGCA]],11,FALSE)</f>
        <v>GCA</v>
      </c>
      <c r="DO607" s="711">
        <f>VLOOKUP(WWWW[[#This Row],[Site Name]],SiteDB6[[Site Name]:[Lat]],12,FALSE)</f>
        <v>25.3510167948718</v>
      </c>
      <c r="DP607" s="711">
        <f>VLOOKUP(WWWW[[#This Row],[Site Name]],SiteDB6[[Site Name]:[Long]],13,FALSE)</f>
        <v>97.403402307692303</v>
      </c>
      <c r="DQ607" s="711" t="str">
        <f>VLOOKUP(WWWW[[#This Row],[Site Name]],SiteDB6[[Site Name]:[Pcode]],3,FALSE)</f>
        <v>MMR001CMP014</v>
      </c>
      <c r="DR607" s="709" t="str">
        <f t="shared" si="22"/>
        <v>Covered</v>
      </c>
      <c r="DS607" s="709"/>
    </row>
    <row r="608" spans="1:123">
      <c r="A608" s="701" t="s">
        <v>2519</v>
      </c>
      <c r="B608" s="701" t="s">
        <v>317</v>
      </c>
      <c r="C608" s="702" t="s">
        <v>317</v>
      </c>
      <c r="D608" s="702"/>
      <c r="E608" s="702" t="s">
        <v>39</v>
      </c>
      <c r="F608" s="702" t="s">
        <v>165</v>
      </c>
      <c r="G608" s="711" t="str">
        <f>VLOOKUP(WWWW[[#This Row],[Site Name]],SiteDB6[[Site Name]:[Location Type]],8,FALSE)</f>
        <v>Camp</v>
      </c>
      <c r="H608" s="702" t="s">
        <v>1044</v>
      </c>
      <c r="I608" s="705">
        <v>14</v>
      </c>
      <c r="J608" s="705">
        <v>63</v>
      </c>
      <c r="K608" s="706"/>
      <c r="L608" s="707"/>
      <c r="M608" s="705"/>
      <c r="N608" s="705"/>
      <c r="O608" s="705"/>
      <c r="P608" s="705"/>
      <c r="Q608" s="708"/>
      <c r="R608" s="705"/>
      <c r="S608" s="705"/>
      <c r="T608" s="807"/>
      <c r="U608" s="705"/>
      <c r="V608" s="705"/>
      <c r="W608" s="705"/>
      <c r="X608" s="705"/>
      <c r="Y608" s="705"/>
      <c r="Z608" s="705"/>
      <c r="AA608" s="705"/>
      <c r="AB608" s="705"/>
      <c r="AC608" s="705"/>
      <c r="AD608" s="705"/>
      <c r="AE608" s="705"/>
      <c r="AF608" s="705"/>
      <c r="AG608" s="705"/>
      <c r="AH608" s="705"/>
      <c r="AI608" s="705"/>
      <c r="AJ608" s="705"/>
      <c r="AK608" s="705"/>
      <c r="AL608" s="705"/>
      <c r="AM608" s="705"/>
      <c r="AN608" s="705"/>
      <c r="AO608" s="709"/>
      <c r="AP608" s="705"/>
      <c r="AQ608" s="705"/>
      <c r="AR608" s="710"/>
      <c r="AS608" s="705"/>
      <c r="AT608" s="705"/>
      <c r="AU608" s="705"/>
      <c r="AV608" s="705"/>
      <c r="AW608" s="705"/>
      <c r="AX608" s="711"/>
      <c r="AY608" s="709"/>
      <c r="AZ608" s="705"/>
      <c r="BA608" s="705"/>
      <c r="BB608" s="705"/>
      <c r="BC608" s="711"/>
      <c r="BD608" s="705"/>
      <c r="BE608" s="705"/>
      <c r="BF608" s="705"/>
      <c r="BG608" s="705"/>
      <c r="BH608" s="705"/>
      <c r="BI608" s="705"/>
      <c r="BJ608" s="705"/>
      <c r="BK608" s="705"/>
      <c r="BL608" s="705"/>
      <c r="BM608" s="711"/>
      <c r="BN608" s="712"/>
      <c r="BO608" s="710"/>
      <c r="BP608" s="711"/>
      <c r="BQ608" s="713" t="str">
        <f>IFERROR(WWWW[[#This Row],['#_Water sources treated]]/WWWW[[#This Row],['#_Water sources tested for contamination]],"no test")</f>
        <v>no test</v>
      </c>
      <c r="BR608" s="710" t="str">
        <f>IFERROR(WWWW[[#This Row],['#_Household received remediation action due to contamination]]/WWWW[[#This Row],['#_Household water samples tested for contamination]],"no test")</f>
        <v>no test</v>
      </c>
      <c r="BS608" s="712" t="str">
        <f>IF(AND(WWWW[[#This Row],[% of water sources treated]]="no test",WWWW[[#This Row],[% Household received corrective actions]]="no test"),"No Test","Tested")</f>
        <v>No Test</v>
      </c>
      <c r="BT608" s="712">
        <f>WWWW[[#This Row],['#_Constructed/existing protected hand dug well]]-WWWW[[#This Row],['#_Non-functional protected hand dug well]]</f>
        <v>0</v>
      </c>
      <c r="BU608" s="712">
        <f>(WWWW[[#This Row],['#_Constructed/Existing tube wells/boreholes/handpumps_WASH_agency]]+WWWW[[#This Row],['#_Non-Cluster partner water tube-wells/boreholes/handpumps]])-WWWW[[#This Row],['#_Non-functional tube wells/boreholes/handpumps]]</f>
        <v>0</v>
      </c>
      <c r="BV608" s="712">
        <f>WWWW[[#This Row],['#_Constructed/Existingwater storage tank with gravity fed reticulation system]]-WWWW[[#This Row],['#_Non-functional storage tank gravity fed reticulation system]]</f>
        <v>0</v>
      </c>
      <c r="BW608" s="712">
        <f>WWWW[[#This Row],['#_Water boating or water trucking]]</f>
        <v>0</v>
      </c>
      <c r="BX608" s="712">
        <f>WWWW[[#This Row],['#_Constructed/Existing water distribution system from river or natural spring]]</f>
        <v>0</v>
      </c>
      <c r="BY60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0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08" s="710">
        <f>IF(WWWW[[#This Row],[Location Type 1]]="Village",WWWW[[#This Row],[Access to safe drinking water for Village]],WWWW[[#This Row],[Access to safe drinking water for Camp]])</f>
        <v>0</v>
      </c>
      <c r="CB608" s="708">
        <f>WWWW[[#This Row],[%Equitable and continuous access to sufficient quantity of safe drinking water]]*WWWW[[#This Row],[Total PoP ]]</f>
        <v>0</v>
      </c>
      <c r="CC608" s="710">
        <f>IF((WWWW[[#This Row],['#_Constructed/Existing protected/fenced ponds]]*250)/WWWW[[#This Row],[Total PoP ]]&gt;1,1,(WWWW[[#This Row],['#_Constructed/Existing protected/fenced ponds]]*250)/WWWW[[#This Row],[Total PoP ]])</f>
        <v>0</v>
      </c>
      <c r="CD608" s="708">
        <f>WWWW[[#This Row],[% Access to unimproved water points]]*WWWW[[#This Row],[Total PoP ]]</f>
        <v>0</v>
      </c>
      <c r="CE60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0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08" s="708">
        <f>WWWW[[#This Row],[HRP1]]/500</f>
        <v>0</v>
      </c>
      <c r="CH608" s="714">
        <f>1-WWWW[[#This Row],[% Equitable and continuous access to sufficient quantity of domestic water]]</f>
        <v>1</v>
      </c>
      <c r="CI608" s="708">
        <f>WWWW[[#This Row],[%equitable and continuous access to sufficient quantity of safe drinking and domestic water''s GAP]]*WWWW[[#This Row],[Total PoP ]]</f>
        <v>63</v>
      </c>
      <c r="CJ608" s="712">
        <f>IF(WWWW[[#This Row],[Total required water points]]-WWWW[[#This Row],['#Water points coverage]]&lt;0,0,WWWW[[#This Row],[Total required water points]]-WWWW[[#This Row],['#Water points coverage]])</f>
        <v>1</v>
      </c>
      <c r="CK608" s="712">
        <f>ROUND(IF(WWWW[[#This Row],[Total PoP ]]&lt;500,1,WWWW[[#This Row],[Total PoP ]]/500),0)</f>
        <v>1</v>
      </c>
      <c r="CL608" s="712">
        <f>(WWWW[[#This Row],['#_Constructed latrines_by_WASHAgencies]]+WWWW[[#This Row],['#_Non Cluster partner latrines]])-WWWW[[#This Row],['#_Non-functional latrines]]</f>
        <v>0</v>
      </c>
      <c r="CM60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0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0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8" s="712">
        <f>IF(WWWW[[#This Row],[Location Type 1]]="Village","NA",IF(WWWW[[#This Row],['#_Constructed/Existing latrines in TLS]]*50&gt;WWWW[[#This Row],['#_students at TLS_CFS]],WWWW[[#This Row],['#_students at TLS_CFS]],(WWWW[[#This Row],['#_Constructed/Existing latrines in TLS]]*50)))</f>
        <v>0</v>
      </c>
      <c r="CQ608" s="712">
        <f>ROUND(IF(WWWW[[#This Row],[Location Type 1]]="camp",WWWW[[#This Row],[Total PoP ]]/20,IF(WWWW[[#This Row],[Location Type 1]]="Temporary Location",WWWW[[#This Row],[Total PoP ]]/50,(WWWW[[#This Row],[Total PoP ]]/6))),0)</f>
        <v>3</v>
      </c>
      <c r="CR608" s="712">
        <f>IF(WWWW[[#This Row],[Total required Latrines]]-(WWWW[[#This Row],['#_Constructed latrines_by_WASHAgencies]]+WWWW[[#This Row],['#_Non Cluster partner latrines]])&lt;0,0,WWWW[[#This Row],[Total required Latrines]]-(WWWW[[#This Row],['#_Constructed latrines_by_WASHAgencies]]+WWWW[[#This Row],['#_Non Cluster partner latrines]]))</f>
        <v>3</v>
      </c>
      <c r="CS608" s="714">
        <f>1-WWWW[[#This Row],[% people access to functioning Latrine]]</f>
        <v>1</v>
      </c>
      <c r="CT608" s="713">
        <f>IF(OR(WWWW[[#This Row],['#_Non-functional latrines]]="",WWWW[[#This Row],['#_Non-functional latrines]]=0),0,WWWW[[#This Row],['#_Non-functional latrines]]/(WWWW[[#This Row],['#_Constructed latrines_by_WASHAgencies]]+WWWW[[#This Row],['#_Non Cluster partner latrines]]))</f>
        <v>0</v>
      </c>
      <c r="CU608" s="708">
        <f>IF(500*(WWWW[[#This Row],['#_male hygiene promoters]]+WWWW[[#This Row],['#_female hygiene promoters]])&gt;WWWW[[#This Row],[Total PoP ]],WWWW[[#This Row],[Total PoP ]],500*(WWWW[[#This Row],['#_male hygiene promoters]]+WWWW[[#This Row],['#_female hygiene promoters]]))</f>
        <v>0</v>
      </c>
      <c r="CV60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0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08" s="712">
        <f>IF(WWWW[[#This Row],['# People with access to soap]]&gt;WWWW[[#This Row],['# People with access to Sanity Pads]],WWWW[[#This Row],['# People with access to soap]],WWWW[[#This Row],['# People with access to Sanity Pads]])</f>
        <v>0</v>
      </c>
      <c r="CY60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08" s="714">
        <f>IF(WWWW[[#This Row],[HRP3]]/WWWW[[#This Row],[Total PoP ]]&gt;100%,100%,WWWW[[#This Row],[HRP3]]/WWWW[[#This Row],[Total PoP ]])</f>
        <v>0</v>
      </c>
      <c r="DA608" s="713">
        <f>1-WWWW[[#This Row],[Hygiene Coverage%]]</f>
        <v>1</v>
      </c>
      <c r="DB608" s="710">
        <f>WWWW[[#This Row],['# people reached by regular dedicated hygiene promotion_5]]/WWWW[[#This Row],[Total PoP ]]</f>
        <v>0</v>
      </c>
      <c r="DC608" s="710">
        <f>IF(WWWW[[#This Row],['#_households that received standard amount of soap for this quarter]]/WWWW[[#This Row],[Total HH]]&gt;1,1,WWWW[[#This Row],['#_households that received standard amount of soap for this quarter]]/WWWW[[#This Row],[Total HH]])</f>
        <v>0</v>
      </c>
      <c r="DD608" s="710">
        <f>IF(WWWW[[#This Row],['#_households that received standard amount of sanitary pads for this quarter]]/WWWW[[#This Row],[Total HH]]&gt;1,1,WWWW[[#This Row],['#_households that received standard amount of sanitary pads for this quarter]]/WWWW[[#This Row],[Total HH]])</f>
        <v>0</v>
      </c>
      <c r="DE608" s="712">
        <f>WWWW[[#This Row],['#_Constructed/Existing hand washing stations]]-WWWW[[#This Row],['#_Non-Functional_hand_washing_stations]]</f>
        <v>0</v>
      </c>
      <c r="DF608" s="757">
        <f>IF(WWWW[[#This Row],['# Functional hand washing stations during reporting period]]*20&gt;WWWW[[#This Row],[Total HH]],WWWW[[#This Row],[Total HH]],WWWW[[#This Row],['# Functional hand washing stations during reporting period]]*20)</f>
        <v>0</v>
      </c>
      <c r="DG608" s="708">
        <f>IF(WWWW[[#This Row],[Is sufficient soap available for TLS? (Yes/No)]]="yes",WWWW[[#This Row],['#_Constructed/Existing hand washing stations at TLS]],0)</f>
        <v>0</v>
      </c>
      <c r="DH608" s="759">
        <f>IF(WWWW[[#This Row],['# Functional hand washing stations during reporting period]]*100&gt;WWWW[[#This Row],[Total PoP ]],WWWW[[#This Row],[Total PoP ]],WWWW[[#This Row],['# Functional hand washing stations during reporting period]]*100)</f>
        <v>0</v>
      </c>
      <c r="DI608" s="759" t="str">
        <f>IF(OR(WWWW[[#This Row],['#_students at TLS_CFS]]="",WWWW[[#This Row],['#_students at TLS_CFS]]=0),"No","Yes")</f>
        <v>No</v>
      </c>
      <c r="DJ608" s="711">
        <f>VLOOKUP(WWWW[[#This Row],[Site Name]],SiteDB6[[Site Name]:[CCCM Management]],6,FALSE)</f>
        <v>0</v>
      </c>
      <c r="DK608" s="711" t="str">
        <f>VLOOKUP(WWWW[[#This Row],[Site Name]],SiteDB6[[Site Name]:[CCCM Focal Agency]],7,FALSE)</f>
        <v>uncovered</v>
      </c>
      <c r="DL608" s="711" t="str">
        <f>VLOOKUP(WWWW[[#This Row],[Site Name]],SiteDB6[[Site Name]:[Location Type 1]],9,FALSE)</f>
        <v>Camp</v>
      </c>
      <c r="DM608" s="711" t="str">
        <f>VLOOKUP(WWWW[[#This Row],[Site Name]],SiteDB6[[Site Name]:[Type of Accommodation]],10,FALSE)</f>
        <v>Host Families</v>
      </c>
      <c r="DN608" s="711" t="str">
        <f>VLOOKUP(WWWW[[#This Row],[Site Name]],SiteDB6[[Site Name]:[Ethnic or GCA/NGCA]],11,FALSE)</f>
        <v>GCA</v>
      </c>
      <c r="DO608" s="711">
        <f>VLOOKUP(WWWW[[#This Row],[Site Name]],SiteDB6[[Site Name]:[Lat]],12,FALSE)</f>
        <v>24.764959999999999</v>
      </c>
      <c r="DP608" s="711">
        <f>VLOOKUP(WWWW[[#This Row],[Site Name]],SiteDB6[[Site Name]:[Long]],13,FALSE)</f>
        <v>96.366919999999993</v>
      </c>
      <c r="DQ608" s="711" t="str">
        <f>VLOOKUP(WWWW[[#This Row],[Site Name]],SiteDB6[[Site Name]:[Pcode]],3,FALSE)</f>
        <v>MMR001CMP233</v>
      </c>
      <c r="DR608" s="709" t="str">
        <f t="shared" si="22"/>
        <v>Notcovered</v>
      </c>
      <c r="DS608" s="709"/>
    </row>
    <row r="609" spans="1:138">
      <c r="A609" s="701" t="s">
        <v>2519</v>
      </c>
      <c r="B609" s="701" t="s">
        <v>149</v>
      </c>
      <c r="C609" s="702" t="s">
        <v>149</v>
      </c>
      <c r="D609" s="702" t="s">
        <v>3264</v>
      </c>
      <c r="E609" s="702" t="s">
        <v>39</v>
      </c>
      <c r="F609" s="702" t="s">
        <v>181</v>
      </c>
      <c r="G609" s="711" t="str">
        <f>VLOOKUP(WWWW[[#This Row],[Site Name]],SiteDB6[[Site Name]:[Location Type]],8,FALSE)</f>
        <v>Camp</v>
      </c>
      <c r="H609" s="702" t="s">
        <v>182</v>
      </c>
      <c r="I609" s="705">
        <v>60</v>
      </c>
      <c r="J609" s="705">
        <v>289</v>
      </c>
      <c r="K609" s="593" t="s">
        <v>3265</v>
      </c>
      <c r="L609" s="58" t="s">
        <v>3267</v>
      </c>
      <c r="M609" s="705"/>
      <c r="N609" s="705"/>
      <c r="O609" s="705"/>
      <c r="P609" s="705"/>
      <c r="Q609" s="708" t="s">
        <v>43</v>
      </c>
      <c r="R609" s="705"/>
      <c r="S609" s="705"/>
      <c r="T609" s="807">
        <v>1</v>
      </c>
      <c r="U609" s="705"/>
      <c r="V609" s="705"/>
      <c r="W609" s="705">
        <v>1</v>
      </c>
      <c r="X609" s="705"/>
      <c r="Y609" s="705"/>
      <c r="Z609" s="705"/>
      <c r="AA609" s="705"/>
      <c r="AB609" s="705"/>
      <c r="AC609" s="705"/>
      <c r="AD609" s="705"/>
      <c r="AE609" s="705">
        <v>1</v>
      </c>
      <c r="AF609" s="705"/>
      <c r="AG609" s="705"/>
      <c r="AH609" s="705">
        <v>1</v>
      </c>
      <c r="AI609" s="705"/>
      <c r="AJ609" s="705"/>
      <c r="AK609" s="705"/>
      <c r="AL609" s="705"/>
      <c r="AM609" s="705"/>
      <c r="AN609" s="705"/>
      <c r="AO609" s="709"/>
      <c r="AP609" s="705">
        <v>12</v>
      </c>
      <c r="AQ609" s="705"/>
      <c r="AR609" s="710"/>
      <c r="AS609" s="705">
        <v>10</v>
      </c>
      <c r="AT609" s="705">
        <v>30</v>
      </c>
      <c r="AU609" s="705"/>
      <c r="AV609" s="705"/>
      <c r="AW609" s="705">
        <v>12</v>
      </c>
      <c r="AX609" s="711" t="s">
        <v>43</v>
      </c>
      <c r="AY609" s="709" t="s">
        <v>145</v>
      </c>
      <c r="AZ609" s="705"/>
      <c r="BA609" s="705"/>
      <c r="BB609" s="705"/>
      <c r="BC609" s="711"/>
      <c r="BD609" s="705"/>
      <c r="BE609" s="705"/>
      <c r="BF609" s="705"/>
      <c r="BG609" s="705">
        <v>2</v>
      </c>
      <c r="BH609" s="705"/>
      <c r="BI609" s="705"/>
      <c r="BJ609" s="705">
        <v>2</v>
      </c>
      <c r="BK609" s="705">
        <v>366</v>
      </c>
      <c r="BL609" s="705">
        <v>122</v>
      </c>
      <c r="BM609" s="711"/>
      <c r="BN609" s="712"/>
      <c r="BO609" s="710"/>
      <c r="BP609" s="711"/>
      <c r="BQ609" s="713" t="str">
        <f>IFERROR(WWWW[[#This Row],['#_Water sources treated]]/WWWW[[#This Row],['#_Water sources tested for contamination]],"no test")</f>
        <v>no test</v>
      </c>
      <c r="BR609" s="710" t="str">
        <f>IFERROR(WWWW[[#This Row],['#_Household received remediation action due to contamination]]/WWWW[[#This Row],['#_Household water samples tested for contamination]],"no test")</f>
        <v>no test</v>
      </c>
      <c r="BS609" s="712" t="str">
        <f>IF(AND(WWWW[[#This Row],[% of water sources treated]]="no test",WWWW[[#This Row],[% Household received corrective actions]]="no test"),"No Test","Tested")</f>
        <v>No Test</v>
      </c>
      <c r="BT609" s="712">
        <f>WWWW[[#This Row],['#_Constructed/existing protected hand dug well]]-WWWW[[#This Row],['#_Non-functional protected hand dug well]]</f>
        <v>1</v>
      </c>
      <c r="BU609" s="712">
        <f>(WWWW[[#This Row],['#_Constructed/Existing tube wells/boreholes/handpumps_WASH_agency]]+WWWW[[#This Row],['#_Non-Cluster partner water tube-wells/boreholes/handpumps]])-WWWW[[#This Row],['#_Non-functional tube wells/boreholes/handpumps]]</f>
        <v>1</v>
      </c>
      <c r="BV609" s="712">
        <f>WWWW[[#This Row],['#_Constructed/Existingwater storage tank with gravity fed reticulation system]]-WWWW[[#This Row],['#_Non-functional storage tank gravity fed reticulation system]]</f>
        <v>0</v>
      </c>
      <c r="BW609" s="712">
        <f>WWWW[[#This Row],['#_Water boating or water trucking]]</f>
        <v>0</v>
      </c>
      <c r="BX609" s="712">
        <f>WWWW[[#This Row],['#_Constructed/Existing water distribution system from river or natural spring]]</f>
        <v>0</v>
      </c>
      <c r="BY60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0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09" s="710">
        <f>IF(WWWW[[#This Row],[Location Type 1]]="Village",WWWW[[#This Row],[Access to safe drinking water for Village]],WWWW[[#This Row],[Access to safe drinking water for Camp]])</f>
        <v>1</v>
      </c>
      <c r="CB609" s="708">
        <f>WWWW[[#This Row],[%Equitable and continuous access to sufficient quantity of safe drinking water]]*WWWW[[#This Row],[Total PoP ]]</f>
        <v>289</v>
      </c>
      <c r="CC609" s="710">
        <f>IF((WWWW[[#This Row],['#_Constructed/Existing protected/fenced ponds]]*250)/WWWW[[#This Row],[Total PoP ]]&gt;1,1,(WWWW[[#This Row],['#_Constructed/Existing protected/fenced ponds]]*250)/WWWW[[#This Row],[Total PoP ]])</f>
        <v>0.86505190311418689</v>
      </c>
      <c r="CD609" s="708">
        <f>WWWW[[#This Row],[% Access to unimproved water points]]*WWWW[[#This Row],[Total PoP ]]</f>
        <v>250</v>
      </c>
      <c r="CE60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0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G609" s="708">
        <f>WWWW[[#This Row],[HRP1]]/500</f>
        <v>0.57799999999999996</v>
      </c>
      <c r="CH609" s="714">
        <f>1-WWWW[[#This Row],[% Equitable and continuous access to sufficient quantity of domestic water]]</f>
        <v>0</v>
      </c>
      <c r="CI609" s="708">
        <f>WWWW[[#This Row],[%equitable and continuous access to sufficient quantity of safe drinking and domestic water''s GAP]]*WWWW[[#This Row],[Total PoP ]]</f>
        <v>0</v>
      </c>
      <c r="CJ609" s="712">
        <f>IF(WWWW[[#This Row],[Total required water points]]-WWWW[[#This Row],['#Water points coverage]]&lt;0,0,WWWW[[#This Row],[Total required water points]]-WWWW[[#This Row],['#Water points coverage]])</f>
        <v>0.42200000000000004</v>
      </c>
      <c r="CK609" s="712">
        <f>ROUND(IF(WWWW[[#This Row],[Total PoP ]]&lt;500,1,WWWW[[#This Row],[Total PoP ]]/500),0)</f>
        <v>1</v>
      </c>
      <c r="CL609" s="712">
        <f>(WWWW[[#This Row],['#_Constructed latrines_by_WASHAgencies]]+WWWW[[#This Row],['#_Non Cluster partner latrines]])-WWWW[[#This Row],['#_Non-functional latrines]]</f>
        <v>2</v>
      </c>
      <c r="CM60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0.13840830449826991</v>
      </c>
      <c r="CN60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60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09" s="712">
        <f>IF(WWWW[[#This Row],[Location Type 1]]="Village","NA",IF(WWWW[[#This Row],['#_Constructed/Existing latrines in TLS]]*50&gt;WWWW[[#This Row],['#_students at TLS_CFS]],WWWW[[#This Row],['#_students at TLS_CFS]],(WWWW[[#This Row],['#_Constructed/Existing latrines in TLS]]*50)))</f>
        <v>0</v>
      </c>
      <c r="CQ609" s="712">
        <f>ROUND(IF(WWWW[[#This Row],[Location Type 1]]="camp",WWWW[[#This Row],[Total PoP ]]/20,IF(WWWW[[#This Row],[Location Type 1]]="Temporary Location",WWWW[[#This Row],[Total PoP ]]/50,(WWWW[[#This Row],[Total PoP ]]/6))),0)</f>
        <v>14</v>
      </c>
      <c r="CR609" s="712">
        <f>IF(WWWW[[#This Row],[Total required Latrines]]-(WWWW[[#This Row],['#_Constructed latrines_by_WASHAgencies]]+WWWW[[#This Row],['#_Non Cluster partner latrines]])&lt;0,0,WWWW[[#This Row],[Total required Latrines]]-(WWWW[[#This Row],['#_Constructed latrines_by_WASHAgencies]]+WWWW[[#This Row],['#_Non Cluster partner latrines]]))</f>
        <v>2</v>
      </c>
      <c r="CS609" s="714">
        <f>1-WWWW[[#This Row],[% people access to functioning Latrine]]</f>
        <v>0.86159169550173009</v>
      </c>
      <c r="CT609" s="713">
        <f>IF(OR(WWWW[[#This Row],['#_Non-functional latrines]]="",WWWW[[#This Row],['#_Non-functional latrines]]=0),0,WWWW[[#This Row],['#_Non-functional latrines]]/(WWWW[[#This Row],['#_Constructed latrines_by_WASHAgencies]]+WWWW[[#This Row],['#_Non Cluster partner latrines]]))</f>
        <v>0.83333333333333337</v>
      </c>
      <c r="CU609" s="708">
        <f>IF(500*(WWWW[[#This Row],['#_male hygiene promoters]]+WWWW[[#This Row],['#_female hygiene promoters]])&gt;WWWW[[#This Row],[Total PoP ]],WWWW[[#This Row],[Total PoP ]],500*(WWWW[[#This Row],['#_male hygiene promoters]]+WWWW[[#This Row],['#_female hygiene promoters]]))</f>
        <v>289</v>
      </c>
      <c r="CV60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289</v>
      </c>
      <c r="CW60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289</v>
      </c>
      <c r="CX609" s="712">
        <f>IF(WWWW[[#This Row],['# People with access to soap]]&gt;WWWW[[#This Row],['# People with access to Sanity Pads]],WWWW[[#This Row],['# People with access to soap]],WWWW[[#This Row],['# People with access to Sanity Pads]])</f>
        <v>289</v>
      </c>
      <c r="CY609" s="712">
        <f>IF(WWWW[[#This Row],['# people reached by regular dedicated hygiene promotion_5]]&gt;WWWW[[#This Row],['# People received regular supply of hygiene items_6]],WWWW[[#This Row],['# people reached by regular dedicated hygiene promotion_5]],WWWW[[#This Row],['# People received regular supply of hygiene items_6]])</f>
        <v>289</v>
      </c>
      <c r="CZ609" s="714">
        <f>IF(WWWW[[#This Row],[HRP3]]/WWWW[[#This Row],[Total PoP ]]&gt;100%,100%,WWWW[[#This Row],[HRP3]]/WWWW[[#This Row],[Total PoP ]])</f>
        <v>1</v>
      </c>
      <c r="DA609" s="713">
        <f>1-WWWW[[#This Row],[Hygiene Coverage%]]</f>
        <v>0</v>
      </c>
      <c r="DB609" s="710">
        <f>WWWW[[#This Row],['# people reached by regular dedicated hygiene promotion_5]]/WWWW[[#This Row],[Total PoP ]]</f>
        <v>1</v>
      </c>
      <c r="DC609" s="710">
        <f>IF(WWWW[[#This Row],['#_households that received standard amount of soap for this quarter]]/WWWW[[#This Row],[Total HH]]&gt;1,1,WWWW[[#This Row],['#_households that received standard amount of soap for this quarter]]/WWWW[[#This Row],[Total HH]])</f>
        <v>1</v>
      </c>
      <c r="DD609" s="710">
        <f>IF(WWWW[[#This Row],['#_households that received standard amount of sanitary pads for this quarter]]/WWWW[[#This Row],[Total HH]]&gt;1,1,WWWW[[#This Row],['#_households that received standard amount of sanitary pads for this quarter]]/WWWW[[#This Row],[Total HH]])</f>
        <v>1</v>
      </c>
      <c r="DE609" s="712">
        <f>WWWW[[#This Row],['#_Constructed/Existing hand washing stations]]-WWWW[[#This Row],['#_Non-Functional_hand_washing_stations]]</f>
        <v>0</v>
      </c>
      <c r="DF609" s="757">
        <f>IF(WWWW[[#This Row],['# Functional hand washing stations during reporting period]]*20&gt;WWWW[[#This Row],[Total HH]],WWWW[[#This Row],[Total HH]],WWWW[[#This Row],['# Functional hand washing stations during reporting period]]*20)</f>
        <v>0</v>
      </c>
      <c r="DG609" s="708">
        <f>IF(WWWW[[#This Row],[Is sufficient soap available for TLS? (Yes/No)]]="yes",WWWW[[#This Row],['#_Constructed/Existing hand washing stations at TLS]],0)</f>
        <v>0</v>
      </c>
      <c r="DH609" s="759">
        <f>IF(WWWW[[#This Row],['# Functional hand washing stations during reporting period]]*100&gt;WWWW[[#This Row],[Total PoP ]],WWWW[[#This Row],[Total PoP ]],WWWW[[#This Row],['# Functional hand washing stations during reporting period]]*100)</f>
        <v>0</v>
      </c>
      <c r="DI609" s="759" t="str">
        <f>IF(OR(WWWW[[#This Row],['#_students at TLS_CFS]]="",WWWW[[#This Row],['#_students at TLS_CFS]]=0),"No","Yes")</f>
        <v>No</v>
      </c>
      <c r="DJ609" s="711" t="str">
        <f>VLOOKUP(WWWW[[#This Row],[Site Name]],SiteDB6[[Site Name]:[CCCM Management]],6,FALSE)</f>
        <v>Yes</v>
      </c>
      <c r="DK609" s="711" t="str">
        <f>VLOOKUP(WWWW[[#This Row],[Site Name]],SiteDB6[[Site Name]:[CCCM Focal Agency]],7,FALSE)</f>
        <v>KBC-MYT</v>
      </c>
      <c r="DL609" s="711" t="str">
        <f>VLOOKUP(WWWW[[#This Row],[Site Name]],SiteDB6[[Site Name]:[Location Type 1]],9,FALSE)</f>
        <v>Camp</v>
      </c>
      <c r="DM609" s="711" t="str">
        <f>VLOOKUP(WWWW[[#This Row],[Site Name]],SiteDB6[[Site Name]:[Type of Accommodation]],10,FALSE)</f>
        <v>Camp</v>
      </c>
      <c r="DN609" s="711" t="str">
        <f>VLOOKUP(WWWW[[#This Row],[Site Name]],SiteDB6[[Site Name]:[Ethnic or GCA/NGCA]],11,FALSE)</f>
        <v>GCA</v>
      </c>
      <c r="DO609" s="711">
        <f>VLOOKUP(WWWW[[#This Row],[Site Name]],SiteDB6[[Site Name]:[Lat]],12,FALSE)</f>
        <v>27.337499999999999</v>
      </c>
      <c r="DP609" s="711">
        <f>VLOOKUP(WWWW[[#This Row],[Site Name]],SiteDB6[[Site Name]:[Long]],13,FALSE)</f>
        <v>97.416121000000004</v>
      </c>
      <c r="DQ609" s="711" t="str">
        <f>VLOOKUP(WWWW[[#This Row],[Site Name]],SiteDB6[[Site Name]:[Pcode]],3,FALSE)</f>
        <v>MMR001CMP234</v>
      </c>
      <c r="DR609" s="709" t="str">
        <f t="shared" si="22"/>
        <v>Covered</v>
      </c>
      <c r="DS609" s="709"/>
    </row>
    <row r="610" spans="1:138">
      <c r="A610" s="701" t="s">
        <v>2519</v>
      </c>
      <c r="B610" s="701" t="s">
        <v>38</v>
      </c>
      <c r="C610" s="702" t="s">
        <v>38</v>
      </c>
      <c r="D610" s="702" t="s">
        <v>328</v>
      </c>
      <c r="E610" s="702" t="s">
        <v>39</v>
      </c>
      <c r="F610" s="702" t="s">
        <v>160</v>
      </c>
      <c r="G610" s="711" t="str">
        <f>VLOOKUP(WWWW[[#This Row],[Site Name]],SiteDB6[[Site Name]:[Location Type]],8,FALSE)</f>
        <v>Camp</v>
      </c>
      <c r="H610" s="702" t="s">
        <v>2013</v>
      </c>
      <c r="I610" s="705">
        <v>45</v>
      </c>
      <c r="J610" s="705">
        <v>235</v>
      </c>
      <c r="K610" s="706">
        <v>43374</v>
      </c>
      <c r="L610" s="707">
        <v>43830</v>
      </c>
      <c r="M610" s="705"/>
      <c r="N610" s="705"/>
      <c r="O610" s="705"/>
      <c r="P610" s="705"/>
      <c r="Q610" s="708"/>
      <c r="R610" s="705"/>
      <c r="S610" s="705"/>
      <c r="T610" s="807"/>
      <c r="U610" s="705"/>
      <c r="V610" s="705"/>
      <c r="W610" s="705"/>
      <c r="X610" s="705">
        <v>2</v>
      </c>
      <c r="Y610" s="705"/>
      <c r="Z610" s="705"/>
      <c r="AA610" s="705"/>
      <c r="AB610" s="705"/>
      <c r="AC610" s="705"/>
      <c r="AD610" s="705"/>
      <c r="AE610" s="705"/>
      <c r="AF610" s="705"/>
      <c r="AG610" s="705"/>
      <c r="AH610" s="705"/>
      <c r="AI610" s="705"/>
      <c r="AJ610" s="705"/>
      <c r="AK610" s="705"/>
      <c r="AL610" s="705"/>
      <c r="AM610" s="705"/>
      <c r="AN610" s="705"/>
      <c r="AO610" s="709"/>
      <c r="AP610" s="705">
        <v>8</v>
      </c>
      <c r="AQ610" s="705"/>
      <c r="AR610" s="710"/>
      <c r="AS610" s="705"/>
      <c r="AT610" s="705"/>
      <c r="AU610" s="705"/>
      <c r="AV610" s="705"/>
      <c r="AW610" s="705"/>
      <c r="AX610" s="711" t="s">
        <v>43</v>
      </c>
      <c r="AY610" s="709" t="s">
        <v>1200</v>
      </c>
      <c r="AZ610" s="705"/>
      <c r="BA610" s="705"/>
      <c r="BB610" s="705"/>
      <c r="BC610" s="711"/>
      <c r="BD610" s="705"/>
      <c r="BE610" s="705"/>
      <c r="BF610" s="705"/>
      <c r="BG610" s="705">
        <v>2</v>
      </c>
      <c r="BH610" s="705"/>
      <c r="BI610" s="705"/>
      <c r="BJ610" s="705">
        <v>1</v>
      </c>
      <c r="BK610" s="705"/>
      <c r="BL610" s="705"/>
      <c r="BM610" s="711"/>
      <c r="BN610" s="712"/>
      <c r="BO610" s="710"/>
      <c r="BP610" s="711"/>
      <c r="BQ610" s="713" t="str">
        <f>IFERROR(WWWW[[#This Row],['#_Water sources treated]]/WWWW[[#This Row],['#_Water sources tested for contamination]],"no test")</f>
        <v>no test</v>
      </c>
      <c r="BR610" s="710" t="str">
        <f>IFERROR(WWWW[[#This Row],['#_Household received remediation action due to contamination]]/WWWW[[#This Row],['#_Household water samples tested for contamination]],"no test")</f>
        <v>no test</v>
      </c>
      <c r="BS610" s="712" t="str">
        <f>IF(AND(WWWW[[#This Row],[% of water sources treated]]="no test",WWWW[[#This Row],[% Household received corrective actions]]="no test"),"No Test","Tested")</f>
        <v>No Test</v>
      </c>
      <c r="BT610" s="712">
        <f>WWWW[[#This Row],['#_Constructed/existing protected hand dug well]]-WWWW[[#This Row],['#_Non-functional protected hand dug well]]</f>
        <v>0</v>
      </c>
      <c r="BU610" s="712">
        <f>(WWWW[[#This Row],['#_Constructed/Existing tube wells/boreholes/handpumps_WASH_agency]]+WWWW[[#This Row],['#_Non-Cluster partner water tube-wells/boreholes/handpumps]])-WWWW[[#This Row],['#_Non-functional tube wells/boreholes/handpumps]]</f>
        <v>2</v>
      </c>
      <c r="BV610" s="712">
        <f>WWWW[[#This Row],['#_Constructed/Existingwater storage tank with gravity fed reticulation system]]-WWWW[[#This Row],['#_Non-functional storage tank gravity fed reticulation system]]</f>
        <v>0</v>
      </c>
      <c r="BW610" s="712">
        <f>WWWW[[#This Row],['#_Water boating or water trucking]]</f>
        <v>0</v>
      </c>
      <c r="BX610" s="712">
        <f>WWWW[[#This Row],['#_Constructed/Existing water distribution system from river or natural spring]]</f>
        <v>0</v>
      </c>
      <c r="BY61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1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10" s="710">
        <f>IF(WWWW[[#This Row],[Location Type 1]]="Village",WWWW[[#This Row],[Access to safe drinking water for Village]],WWWW[[#This Row],[Access to safe drinking water for Camp]])</f>
        <v>1</v>
      </c>
      <c r="CB610" s="708">
        <f>WWWW[[#This Row],[%Equitable and continuous access to sufficient quantity of safe drinking water]]*WWWW[[#This Row],[Total PoP ]]</f>
        <v>235</v>
      </c>
      <c r="CC610" s="710">
        <f>IF((WWWW[[#This Row],['#_Constructed/Existing protected/fenced ponds]]*250)/WWWW[[#This Row],[Total PoP ]]&gt;1,1,(WWWW[[#This Row],['#_Constructed/Existing protected/fenced ponds]]*250)/WWWW[[#This Row],[Total PoP ]])</f>
        <v>0</v>
      </c>
      <c r="CD610" s="708">
        <f>WWWW[[#This Row],[% Access to unimproved water points]]*WWWW[[#This Row],[Total PoP ]]</f>
        <v>0</v>
      </c>
      <c r="CE61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1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G610" s="708">
        <f>WWWW[[#This Row],[HRP1]]/500</f>
        <v>0.47</v>
      </c>
      <c r="CH610" s="714">
        <f>1-WWWW[[#This Row],[% Equitable and continuous access to sufficient quantity of domestic water]]</f>
        <v>0</v>
      </c>
      <c r="CI610" s="708">
        <f>WWWW[[#This Row],[%equitable and continuous access to sufficient quantity of safe drinking and domestic water''s GAP]]*WWWW[[#This Row],[Total PoP ]]</f>
        <v>0</v>
      </c>
      <c r="CJ610" s="712">
        <f>IF(WWWW[[#This Row],[Total required water points]]-WWWW[[#This Row],['#Water points coverage]]&lt;0,0,WWWW[[#This Row],[Total required water points]]-WWWW[[#This Row],['#Water points coverage]])</f>
        <v>0.53</v>
      </c>
      <c r="CK610" s="712">
        <f>ROUND(IF(WWWW[[#This Row],[Total PoP ]]&lt;500,1,WWWW[[#This Row],[Total PoP ]]/500),0)</f>
        <v>1</v>
      </c>
      <c r="CL610" s="712">
        <f>(WWWW[[#This Row],['#_Constructed latrines_by_WASHAgencies]]+WWWW[[#This Row],['#_Non Cluster partner latrines]])-WWWW[[#This Row],['#_Non-functional latrines]]</f>
        <v>8</v>
      </c>
      <c r="CM61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0.68085106382978722</v>
      </c>
      <c r="CN61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61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0" s="712">
        <f>IF(WWWW[[#This Row],[Location Type 1]]="Village","NA",IF(WWWW[[#This Row],['#_Constructed/Existing latrines in TLS]]*50&gt;WWWW[[#This Row],['#_students at TLS_CFS]],WWWW[[#This Row],['#_students at TLS_CFS]],(WWWW[[#This Row],['#_Constructed/Existing latrines in TLS]]*50)))</f>
        <v>0</v>
      </c>
      <c r="CQ610" s="712">
        <f>ROUND(IF(WWWW[[#This Row],[Location Type 1]]="camp",WWWW[[#This Row],[Total PoP ]]/20,IF(WWWW[[#This Row],[Location Type 1]]="Temporary Location",WWWW[[#This Row],[Total PoP ]]/50,(WWWW[[#This Row],[Total PoP ]]/6))),0)</f>
        <v>12</v>
      </c>
      <c r="CR610" s="712">
        <f>IF(WWWW[[#This Row],[Total required Latrines]]-(WWWW[[#This Row],['#_Constructed latrines_by_WASHAgencies]]+WWWW[[#This Row],['#_Non Cluster partner latrines]])&lt;0,0,WWWW[[#This Row],[Total required Latrines]]-(WWWW[[#This Row],['#_Constructed latrines_by_WASHAgencies]]+WWWW[[#This Row],['#_Non Cluster partner latrines]]))</f>
        <v>4</v>
      </c>
      <c r="CS610" s="714">
        <f>1-WWWW[[#This Row],[% people access to functioning Latrine]]</f>
        <v>0.31914893617021278</v>
      </c>
      <c r="CT610" s="713">
        <f>IF(OR(WWWW[[#This Row],['#_Non-functional latrines]]="",WWWW[[#This Row],['#_Non-functional latrines]]=0),0,WWWW[[#This Row],['#_Non-functional latrines]]/(WWWW[[#This Row],['#_Constructed latrines_by_WASHAgencies]]+WWWW[[#This Row],['#_Non Cluster partner latrines]]))</f>
        <v>0</v>
      </c>
      <c r="CU610" s="708">
        <f>IF(500*(WWWW[[#This Row],['#_male hygiene promoters]]+WWWW[[#This Row],['#_female hygiene promoters]])&gt;WWWW[[#This Row],[Total PoP ]],WWWW[[#This Row],[Total PoP ]],500*(WWWW[[#This Row],['#_male hygiene promoters]]+WWWW[[#This Row],['#_female hygiene promoters]]))</f>
        <v>235</v>
      </c>
      <c r="CV61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0" s="712">
        <f>IF(WWWW[[#This Row],['# People with access to soap]]&gt;WWWW[[#This Row],['# People with access to Sanity Pads]],WWWW[[#This Row],['# People with access to soap]],WWWW[[#This Row],['# People with access to Sanity Pads]])</f>
        <v>0</v>
      </c>
      <c r="CY610" s="712">
        <f>IF(WWWW[[#This Row],['# people reached by regular dedicated hygiene promotion_5]]&gt;WWWW[[#This Row],['# People received regular supply of hygiene items_6]],WWWW[[#This Row],['# people reached by regular dedicated hygiene promotion_5]],WWWW[[#This Row],['# People received regular supply of hygiene items_6]])</f>
        <v>235</v>
      </c>
      <c r="CZ610" s="714">
        <f>IF(WWWW[[#This Row],[HRP3]]/WWWW[[#This Row],[Total PoP ]]&gt;100%,100%,WWWW[[#This Row],[HRP3]]/WWWW[[#This Row],[Total PoP ]])</f>
        <v>1</v>
      </c>
      <c r="DA610" s="713">
        <f>1-WWWW[[#This Row],[Hygiene Coverage%]]</f>
        <v>0</v>
      </c>
      <c r="DB610" s="710">
        <f>WWWW[[#This Row],['# people reached by regular dedicated hygiene promotion_5]]/WWWW[[#This Row],[Total PoP ]]</f>
        <v>1</v>
      </c>
      <c r="DC610" s="710">
        <f>IF(WWWW[[#This Row],['#_households that received standard amount of soap for this quarter]]/WWWW[[#This Row],[Total HH]]&gt;1,1,WWWW[[#This Row],['#_households that received standard amount of soap for this quarter]]/WWWW[[#This Row],[Total HH]])</f>
        <v>0</v>
      </c>
      <c r="DD610" s="710">
        <f>IF(WWWW[[#This Row],['#_households that received standard amount of sanitary pads for this quarter]]/WWWW[[#This Row],[Total HH]]&gt;1,1,WWWW[[#This Row],['#_households that received standard amount of sanitary pads for this quarter]]/WWWW[[#This Row],[Total HH]])</f>
        <v>0</v>
      </c>
      <c r="DE610" s="712">
        <f>WWWW[[#This Row],['#_Constructed/Existing hand washing stations]]-WWWW[[#This Row],['#_Non-Functional_hand_washing_stations]]</f>
        <v>0</v>
      </c>
      <c r="DF610" s="757">
        <f>IF(WWWW[[#This Row],['# Functional hand washing stations during reporting period]]*20&gt;WWWW[[#This Row],[Total HH]],WWWW[[#This Row],[Total HH]],WWWW[[#This Row],['# Functional hand washing stations during reporting period]]*20)</f>
        <v>0</v>
      </c>
      <c r="DG610" s="708">
        <f>IF(WWWW[[#This Row],[Is sufficient soap available for TLS? (Yes/No)]]="yes",WWWW[[#This Row],['#_Constructed/Existing hand washing stations at TLS]],0)</f>
        <v>0</v>
      </c>
      <c r="DH610" s="759">
        <f>IF(WWWW[[#This Row],['# Functional hand washing stations during reporting period]]*100&gt;WWWW[[#This Row],[Total PoP ]],WWWW[[#This Row],[Total PoP ]],WWWW[[#This Row],['# Functional hand washing stations during reporting period]]*100)</f>
        <v>0</v>
      </c>
      <c r="DI610" s="759" t="str">
        <f>IF(OR(WWWW[[#This Row],['#_students at TLS_CFS]]="",WWWW[[#This Row],['#_students at TLS_CFS]]=0),"No","Yes")</f>
        <v>No</v>
      </c>
      <c r="DJ610" s="711">
        <f>VLOOKUP(WWWW[[#This Row],[Site Name]],SiteDB6[[Site Name]:[CCCM Management]],6,FALSE)</f>
        <v>0</v>
      </c>
      <c r="DK610" s="711" t="str">
        <f>VLOOKUP(WWWW[[#This Row],[Site Name]],SiteDB6[[Site Name]:[CCCM Focal Agency]],7,FALSE)</f>
        <v>KMSS-MYT</v>
      </c>
      <c r="DL610" s="711" t="str">
        <f>VLOOKUP(WWWW[[#This Row],[Site Name]],SiteDB6[[Site Name]:[Location Type 1]],9,FALSE)</f>
        <v>Camp</v>
      </c>
      <c r="DM610" s="711" t="str">
        <f>VLOOKUP(WWWW[[#This Row],[Site Name]],SiteDB6[[Site Name]:[Type of Accommodation]],10,FALSE)</f>
        <v>Camp</v>
      </c>
      <c r="DN610" s="711" t="str">
        <f>VLOOKUP(WWWW[[#This Row],[Site Name]],SiteDB6[[Site Name]:[Ethnic or GCA/NGCA]],11,FALSE)</f>
        <v>GCA</v>
      </c>
      <c r="DO610" s="711">
        <f>VLOOKUP(WWWW[[#This Row],[Site Name]],SiteDB6[[Site Name]:[Lat]],12,FALSE)</f>
        <v>97.010629910000006</v>
      </c>
      <c r="DP610" s="711">
        <f>VLOOKUP(WWWW[[#This Row],[Site Name]],SiteDB6[[Site Name]:[Long]],13,FALSE)</f>
        <v>25.37033053</v>
      </c>
      <c r="DQ610" s="711" t="str">
        <f>VLOOKUP(WWWW[[#This Row],[Site Name]],SiteDB6[[Site Name]:[Pcode]],3,FALSE)</f>
        <v>MMR001CMP259</v>
      </c>
      <c r="DR610" s="709" t="str">
        <f t="shared" si="22"/>
        <v>Covered</v>
      </c>
      <c r="DS610" s="709"/>
    </row>
    <row r="611" spans="1:138">
      <c r="A611" s="701" t="s">
        <v>2519</v>
      </c>
      <c r="B611" s="701" t="s">
        <v>200</v>
      </c>
      <c r="C611" s="702" t="s">
        <v>200</v>
      </c>
      <c r="D611" s="702" t="s">
        <v>249</v>
      </c>
      <c r="E611" s="702" t="s">
        <v>39</v>
      </c>
      <c r="F611" s="702" t="s">
        <v>40</v>
      </c>
      <c r="G611" s="711" t="str">
        <f>VLOOKUP(WWWW[[#This Row],[Site Name]],SiteDB6[[Site Name]:[Location Type]],8,FALSE)</f>
        <v>Camp</v>
      </c>
      <c r="H611" s="702" t="s">
        <v>310</v>
      </c>
      <c r="I611" s="705">
        <v>119</v>
      </c>
      <c r="J611" s="705">
        <v>637</v>
      </c>
      <c r="K611" s="706">
        <v>43497</v>
      </c>
      <c r="L611" s="707">
        <v>43861</v>
      </c>
      <c r="M611" s="705"/>
      <c r="N611" s="705"/>
      <c r="O611" s="705"/>
      <c r="P611" s="705"/>
      <c r="Q611" s="708"/>
      <c r="R611" s="705"/>
      <c r="S611" s="705"/>
      <c r="T611" s="807"/>
      <c r="U611" s="705"/>
      <c r="V611" s="705"/>
      <c r="W611" s="705"/>
      <c r="X611" s="705"/>
      <c r="Y611" s="705"/>
      <c r="Z611" s="705"/>
      <c r="AA611" s="705"/>
      <c r="AB611" s="705"/>
      <c r="AC611" s="705"/>
      <c r="AD611" s="705"/>
      <c r="AE611" s="705"/>
      <c r="AF611" s="705"/>
      <c r="AG611" s="705"/>
      <c r="AH611" s="705"/>
      <c r="AI611" s="705"/>
      <c r="AJ611" s="705"/>
      <c r="AK611" s="705"/>
      <c r="AL611" s="705"/>
      <c r="AM611" s="705"/>
      <c r="AN611" s="705"/>
      <c r="AO611" s="709"/>
      <c r="AP611" s="705"/>
      <c r="AQ611" s="705"/>
      <c r="AR611" s="710"/>
      <c r="AS611" s="705"/>
      <c r="AT611" s="705"/>
      <c r="AU611" s="705"/>
      <c r="AV611" s="705"/>
      <c r="AW611" s="705"/>
      <c r="AX611" s="752" t="s">
        <v>148</v>
      </c>
      <c r="AY611" s="782" t="s">
        <v>148</v>
      </c>
      <c r="AZ611" s="705"/>
      <c r="BA611" s="705"/>
      <c r="BB611" s="705"/>
      <c r="BC611" s="711"/>
      <c r="BD611" s="705"/>
      <c r="BE611" s="705"/>
      <c r="BF611" s="705"/>
      <c r="BG611" s="705"/>
      <c r="BH611" s="705"/>
      <c r="BI611" s="705"/>
      <c r="BJ611" s="705"/>
      <c r="BK611" s="705"/>
      <c r="BL611" s="705"/>
      <c r="BM611" s="711"/>
      <c r="BN611" s="712"/>
      <c r="BO611" s="710"/>
      <c r="BP611" s="711"/>
      <c r="BQ611" s="713" t="str">
        <f>IFERROR(WWWW[[#This Row],['#_Water sources treated]]/WWWW[[#This Row],['#_Water sources tested for contamination]],"no test")</f>
        <v>no test</v>
      </c>
      <c r="BR611" s="710" t="str">
        <f>IFERROR(WWWW[[#This Row],['#_Household received remediation action due to contamination]]/WWWW[[#This Row],['#_Household water samples tested for contamination]],"no test")</f>
        <v>no test</v>
      </c>
      <c r="BS611" s="712" t="str">
        <f>IF(AND(WWWW[[#This Row],[% of water sources treated]]="no test",WWWW[[#This Row],[% Household received corrective actions]]="no test"),"No Test","Tested")</f>
        <v>No Test</v>
      </c>
      <c r="BT611" s="712">
        <f>WWWW[[#This Row],['#_Constructed/existing protected hand dug well]]-WWWW[[#This Row],['#_Non-functional protected hand dug well]]</f>
        <v>0</v>
      </c>
      <c r="BU611" s="712">
        <f>(WWWW[[#This Row],['#_Constructed/Existing tube wells/boreholes/handpumps_WASH_agency]]+WWWW[[#This Row],['#_Non-Cluster partner water tube-wells/boreholes/handpumps]])-WWWW[[#This Row],['#_Non-functional tube wells/boreholes/handpumps]]</f>
        <v>0</v>
      </c>
      <c r="BV611" s="712">
        <f>WWWW[[#This Row],['#_Constructed/Existingwater storage tank with gravity fed reticulation system]]-WWWW[[#This Row],['#_Non-functional storage tank gravity fed reticulation system]]</f>
        <v>0</v>
      </c>
      <c r="BW611" s="712">
        <f>WWWW[[#This Row],['#_Water boating or water trucking]]</f>
        <v>0</v>
      </c>
      <c r="BX611" s="712">
        <f>WWWW[[#This Row],['#_Constructed/Existing water distribution system from river or natural spring]]</f>
        <v>0</v>
      </c>
      <c r="BY61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1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11" s="710">
        <f>IF(WWWW[[#This Row],[Location Type 1]]="Village",WWWW[[#This Row],[Access to safe drinking water for Village]],WWWW[[#This Row],[Access to safe drinking water for Camp]])</f>
        <v>0</v>
      </c>
      <c r="CB611" s="708">
        <f>WWWW[[#This Row],[%Equitable and continuous access to sufficient quantity of safe drinking water]]*WWWW[[#This Row],[Total PoP ]]</f>
        <v>0</v>
      </c>
      <c r="CC611" s="710">
        <f>IF((WWWW[[#This Row],['#_Constructed/Existing protected/fenced ponds]]*250)/WWWW[[#This Row],[Total PoP ]]&gt;1,1,(WWWW[[#This Row],['#_Constructed/Existing protected/fenced ponds]]*250)/WWWW[[#This Row],[Total PoP ]])</f>
        <v>0</v>
      </c>
      <c r="CD611" s="708">
        <f>WWWW[[#This Row],[% Access to unimproved water points]]*WWWW[[#This Row],[Total PoP ]]</f>
        <v>0</v>
      </c>
      <c r="CE61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1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11" s="708">
        <f>WWWW[[#This Row],[HRP1]]/500</f>
        <v>0</v>
      </c>
      <c r="CH611" s="714">
        <f>1-WWWW[[#This Row],[% Equitable and continuous access to sufficient quantity of domestic water]]</f>
        <v>1</v>
      </c>
      <c r="CI611" s="708">
        <f>WWWW[[#This Row],[%equitable and continuous access to sufficient quantity of safe drinking and domestic water''s GAP]]*WWWW[[#This Row],[Total PoP ]]</f>
        <v>637</v>
      </c>
      <c r="CJ611" s="712">
        <f>IF(WWWW[[#This Row],[Total required water points]]-WWWW[[#This Row],['#Water points coverage]]&lt;0,0,WWWW[[#This Row],[Total required water points]]-WWWW[[#This Row],['#Water points coverage]])</f>
        <v>1</v>
      </c>
      <c r="CK611" s="712">
        <f>ROUND(IF(WWWW[[#This Row],[Total PoP ]]&lt;500,1,WWWW[[#This Row],[Total PoP ]]/500),0)</f>
        <v>1</v>
      </c>
      <c r="CL611" s="712">
        <f>(WWWW[[#This Row],['#_Constructed latrines_by_WASHAgencies]]+WWWW[[#This Row],['#_Non Cluster partner latrines]])-WWWW[[#This Row],['#_Non-functional latrines]]</f>
        <v>0</v>
      </c>
      <c r="CM61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1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1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1" s="712">
        <f>IF(WWWW[[#This Row],[Location Type 1]]="Village","NA",IF(WWWW[[#This Row],['#_Constructed/Existing latrines in TLS]]*50&gt;WWWW[[#This Row],['#_students at TLS_CFS]],WWWW[[#This Row],['#_students at TLS_CFS]],(WWWW[[#This Row],['#_Constructed/Existing latrines in TLS]]*50)))</f>
        <v>0</v>
      </c>
      <c r="CQ611" s="712">
        <f>ROUND(IF(WWWW[[#This Row],[Location Type 1]]="camp",WWWW[[#This Row],[Total PoP ]]/20,IF(WWWW[[#This Row],[Location Type 1]]="Temporary Location",WWWW[[#This Row],[Total PoP ]]/50,(WWWW[[#This Row],[Total PoP ]]/6))),0)</f>
        <v>32</v>
      </c>
      <c r="CR611" s="712">
        <f>IF(WWWW[[#This Row],[Total required Latrines]]-(WWWW[[#This Row],['#_Constructed latrines_by_WASHAgencies]]+WWWW[[#This Row],['#_Non Cluster partner latrines]])&lt;0,0,WWWW[[#This Row],[Total required Latrines]]-(WWWW[[#This Row],['#_Constructed latrines_by_WASHAgencies]]+WWWW[[#This Row],['#_Non Cluster partner latrines]]))</f>
        <v>32</v>
      </c>
      <c r="CS611" s="714">
        <f>1-WWWW[[#This Row],[% people access to functioning Latrine]]</f>
        <v>1</v>
      </c>
      <c r="CT611" s="713">
        <f>IF(OR(WWWW[[#This Row],['#_Non-functional latrines]]="",WWWW[[#This Row],['#_Non-functional latrines]]=0),0,WWWW[[#This Row],['#_Non-functional latrines]]/(WWWW[[#This Row],['#_Constructed latrines_by_WASHAgencies]]+WWWW[[#This Row],['#_Non Cluster partner latrines]]))</f>
        <v>0</v>
      </c>
      <c r="CU611" s="708">
        <f>IF(500*(WWWW[[#This Row],['#_male hygiene promoters]]+WWWW[[#This Row],['#_female hygiene promoters]])&gt;WWWW[[#This Row],[Total PoP ]],WWWW[[#This Row],[Total PoP ]],500*(WWWW[[#This Row],['#_male hygiene promoters]]+WWWW[[#This Row],['#_female hygiene promoters]]))</f>
        <v>0</v>
      </c>
      <c r="CV61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1" s="712">
        <f>IF(WWWW[[#This Row],['# People with access to soap]]&gt;WWWW[[#This Row],['# People with access to Sanity Pads]],WWWW[[#This Row],['# People with access to soap]],WWWW[[#This Row],['# People with access to Sanity Pads]])</f>
        <v>0</v>
      </c>
      <c r="CY61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11" s="714">
        <f>IF(WWWW[[#This Row],[HRP3]]/WWWW[[#This Row],[Total PoP ]]&gt;100%,100%,WWWW[[#This Row],[HRP3]]/WWWW[[#This Row],[Total PoP ]])</f>
        <v>0</v>
      </c>
      <c r="DA611" s="713">
        <f>1-WWWW[[#This Row],[Hygiene Coverage%]]</f>
        <v>1</v>
      </c>
      <c r="DB611" s="710">
        <f>WWWW[[#This Row],['# people reached by regular dedicated hygiene promotion_5]]/WWWW[[#This Row],[Total PoP ]]</f>
        <v>0</v>
      </c>
      <c r="DC611" s="710">
        <f>IF(WWWW[[#This Row],['#_households that received standard amount of soap for this quarter]]/WWWW[[#This Row],[Total HH]]&gt;1,1,WWWW[[#This Row],['#_households that received standard amount of soap for this quarter]]/WWWW[[#This Row],[Total HH]])</f>
        <v>0</v>
      </c>
      <c r="DD611" s="710">
        <f>IF(WWWW[[#This Row],['#_households that received standard amount of sanitary pads for this quarter]]/WWWW[[#This Row],[Total HH]]&gt;1,1,WWWW[[#This Row],['#_households that received standard amount of sanitary pads for this quarter]]/WWWW[[#This Row],[Total HH]])</f>
        <v>0</v>
      </c>
      <c r="DE611" s="712">
        <f>WWWW[[#This Row],['#_Constructed/Existing hand washing stations]]-WWWW[[#This Row],['#_Non-Functional_hand_washing_stations]]</f>
        <v>0</v>
      </c>
      <c r="DF611" s="757">
        <f>IF(WWWW[[#This Row],['# Functional hand washing stations during reporting period]]*20&gt;WWWW[[#This Row],[Total HH]],WWWW[[#This Row],[Total HH]],WWWW[[#This Row],['# Functional hand washing stations during reporting period]]*20)</f>
        <v>0</v>
      </c>
      <c r="DG611" s="708">
        <f>IF(WWWW[[#This Row],[Is sufficient soap available for TLS? (Yes/No)]]="yes",WWWW[[#This Row],['#_Constructed/Existing hand washing stations at TLS]],0)</f>
        <v>0</v>
      </c>
      <c r="DH611" s="759">
        <f>IF(WWWW[[#This Row],['# Functional hand washing stations during reporting period]]*100&gt;WWWW[[#This Row],[Total PoP ]],WWWW[[#This Row],[Total PoP ]],WWWW[[#This Row],['# Functional hand washing stations during reporting period]]*100)</f>
        <v>0</v>
      </c>
      <c r="DI611" s="759" t="str">
        <f>IF(OR(WWWW[[#This Row],['#_students at TLS_CFS]]="",WWWW[[#This Row],['#_students at TLS_CFS]]=0),"No","Yes")</f>
        <v>No</v>
      </c>
      <c r="DJ611" s="711" t="str">
        <f>VLOOKUP(WWWW[[#This Row],[Site Name]],SiteDB6[[Site Name]:[CCCM Management]],6,FALSE)</f>
        <v>Yes</v>
      </c>
      <c r="DK611" s="711" t="str">
        <f>VLOOKUP(WWWW[[#This Row],[Site Name]],SiteDB6[[Site Name]:[CCCM Focal Agency]],7,FALSE)</f>
        <v>KMSS-BMO</v>
      </c>
      <c r="DL611" s="711" t="str">
        <f>VLOOKUP(WWWW[[#This Row],[Site Name]],SiteDB6[[Site Name]:[Location Type 1]],9,FALSE)</f>
        <v>Camp</v>
      </c>
      <c r="DM611" s="711" t="str">
        <f>VLOOKUP(WWWW[[#This Row],[Site Name]],SiteDB6[[Site Name]:[Type of Accommodation]],10,FALSE)</f>
        <v>Camp</v>
      </c>
      <c r="DN611" s="711" t="str">
        <f>VLOOKUP(WWWW[[#This Row],[Site Name]],SiteDB6[[Site Name]:[Ethnic or GCA/NGCA]],11,FALSE)</f>
        <v>GCA</v>
      </c>
      <c r="DO611" s="711">
        <f>VLOOKUP(WWWW[[#This Row],[Site Name]],SiteDB6[[Site Name]:[Lat]],12,FALSE)</f>
        <v>23.833477999999999</v>
      </c>
      <c r="DP611" s="711">
        <f>VLOOKUP(WWWW[[#This Row],[Site Name]],SiteDB6[[Site Name]:[Long]],13,FALSE)</f>
        <v>97.578367</v>
      </c>
      <c r="DQ611" s="711" t="str">
        <f>VLOOKUP(WWWW[[#This Row],[Site Name]],SiteDB6[[Site Name]:[Pcode]],3,FALSE)</f>
        <v>MMR001CMP228</v>
      </c>
      <c r="DR611" s="709" t="str">
        <f t="shared" ref="DR611:DR642" si="23">IF(C611="none","Notcovered","Covered")</f>
        <v>Covered</v>
      </c>
      <c r="DS611" s="709"/>
    </row>
    <row r="612" spans="1:138">
      <c r="A612" s="701" t="s">
        <v>2519</v>
      </c>
      <c r="B612" s="701" t="s">
        <v>38</v>
      </c>
      <c r="C612" s="702" t="s">
        <v>38</v>
      </c>
      <c r="D612" s="702" t="s">
        <v>722</v>
      </c>
      <c r="E612" s="702" t="s">
        <v>39</v>
      </c>
      <c r="F612" s="702" t="s">
        <v>167</v>
      </c>
      <c r="G612" s="711" t="str">
        <f>VLOOKUP(WWWW[[#This Row],[Site Name]],SiteDB6[[Site Name]:[Location Type]],8,FALSE)</f>
        <v>Camp</v>
      </c>
      <c r="H612" s="702" t="s">
        <v>242</v>
      </c>
      <c r="I612" s="705">
        <v>63</v>
      </c>
      <c r="J612" s="705">
        <v>309</v>
      </c>
      <c r="K612" s="706">
        <v>43525</v>
      </c>
      <c r="L612" s="707">
        <v>44196</v>
      </c>
      <c r="M612" s="705"/>
      <c r="N612" s="705"/>
      <c r="O612" s="705"/>
      <c r="P612" s="705"/>
      <c r="Q612" s="708" t="s">
        <v>43</v>
      </c>
      <c r="R612" s="705"/>
      <c r="S612" s="705"/>
      <c r="T612" s="807"/>
      <c r="U612" s="705"/>
      <c r="V612" s="705"/>
      <c r="W612" s="705">
        <v>4</v>
      </c>
      <c r="X612" s="705"/>
      <c r="Y612" s="705"/>
      <c r="Z612" s="705"/>
      <c r="AA612" s="705"/>
      <c r="AB612" s="705"/>
      <c r="AC612" s="705"/>
      <c r="AD612" s="705"/>
      <c r="AE612" s="705"/>
      <c r="AF612" s="705"/>
      <c r="AG612" s="705"/>
      <c r="AH612" s="705"/>
      <c r="AI612" s="705"/>
      <c r="AJ612" s="705"/>
      <c r="AK612" s="705"/>
      <c r="AL612" s="705"/>
      <c r="AM612" s="705"/>
      <c r="AN612" s="705"/>
      <c r="AO612" s="709"/>
      <c r="AP612" s="705">
        <v>20</v>
      </c>
      <c r="AQ612" s="705"/>
      <c r="AR612" s="710"/>
      <c r="AS612" s="705"/>
      <c r="AT612" s="705"/>
      <c r="AU612" s="705"/>
      <c r="AV612" s="705"/>
      <c r="AW612" s="705"/>
      <c r="AX612" s="711" t="s">
        <v>43</v>
      </c>
      <c r="AY612" s="709" t="s">
        <v>145</v>
      </c>
      <c r="AZ612" s="705"/>
      <c r="BA612" s="705"/>
      <c r="BB612" s="705"/>
      <c r="BC612" s="711"/>
      <c r="BD612" s="705"/>
      <c r="BE612" s="705"/>
      <c r="BF612" s="705"/>
      <c r="BG612" s="705">
        <v>2</v>
      </c>
      <c r="BH612" s="705"/>
      <c r="BI612" s="705">
        <v>1</v>
      </c>
      <c r="BJ612" s="705">
        <v>1</v>
      </c>
      <c r="BK612" s="705"/>
      <c r="BL612" s="705"/>
      <c r="BM612" s="711"/>
      <c r="BN612" s="712"/>
      <c r="BO612" s="710"/>
      <c r="BP612" s="711"/>
      <c r="BQ612" s="713" t="str">
        <f>IFERROR(WWWW[[#This Row],['#_Water sources treated]]/WWWW[[#This Row],['#_Water sources tested for contamination]],"no test")</f>
        <v>no test</v>
      </c>
      <c r="BR612" s="710" t="str">
        <f>IFERROR(WWWW[[#This Row],['#_Household received remediation action due to contamination]]/WWWW[[#This Row],['#_Household water samples tested for contamination]],"no test")</f>
        <v>no test</v>
      </c>
      <c r="BS612" s="712" t="str">
        <f>IF(AND(WWWW[[#This Row],[% of water sources treated]]="no test",WWWW[[#This Row],[% Household received corrective actions]]="no test"),"No Test","Tested")</f>
        <v>No Test</v>
      </c>
      <c r="BT612" s="712">
        <f>WWWW[[#This Row],['#_Constructed/existing protected hand dug well]]-WWWW[[#This Row],['#_Non-functional protected hand dug well]]</f>
        <v>0</v>
      </c>
      <c r="BU612" s="712">
        <f>(WWWW[[#This Row],['#_Constructed/Existing tube wells/boreholes/handpumps_WASH_agency]]+WWWW[[#This Row],['#_Non-Cluster partner water tube-wells/boreholes/handpumps]])-WWWW[[#This Row],['#_Non-functional tube wells/boreholes/handpumps]]</f>
        <v>4</v>
      </c>
      <c r="BV612" s="712">
        <f>WWWW[[#This Row],['#_Constructed/Existingwater storage tank with gravity fed reticulation system]]-WWWW[[#This Row],['#_Non-functional storage tank gravity fed reticulation system]]</f>
        <v>0</v>
      </c>
      <c r="BW612" s="712">
        <f>WWWW[[#This Row],['#_Water boating or water trucking]]</f>
        <v>0</v>
      </c>
      <c r="BX612" s="712">
        <f>WWWW[[#This Row],['#_Constructed/Existing water distribution system from river or natural spring]]</f>
        <v>0</v>
      </c>
      <c r="BY61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1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12" s="710">
        <f>IF(WWWW[[#This Row],[Location Type 1]]="Village",WWWW[[#This Row],[Access to safe drinking water for Village]],WWWW[[#This Row],[Access to safe drinking water for Camp]])</f>
        <v>1</v>
      </c>
      <c r="CB612" s="708">
        <f>WWWW[[#This Row],[%Equitable and continuous access to sufficient quantity of safe drinking water]]*WWWW[[#This Row],[Total PoP ]]</f>
        <v>309</v>
      </c>
      <c r="CC612" s="710">
        <f>IF((WWWW[[#This Row],['#_Constructed/Existing protected/fenced ponds]]*250)/WWWW[[#This Row],[Total PoP ]]&gt;1,1,(WWWW[[#This Row],['#_Constructed/Existing protected/fenced ponds]]*250)/WWWW[[#This Row],[Total PoP ]])</f>
        <v>0</v>
      </c>
      <c r="CD612" s="708">
        <f>WWWW[[#This Row],[% Access to unimproved water points]]*WWWW[[#This Row],[Total PoP ]]</f>
        <v>0</v>
      </c>
      <c r="CE61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1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G612" s="708">
        <f>WWWW[[#This Row],[HRP1]]/500</f>
        <v>0.61799999999999999</v>
      </c>
      <c r="CH612" s="714">
        <f>1-WWWW[[#This Row],[% Equitable and continuous access to sufficient quantity of domestic water]]</f>
        <v>0</v>
      </c>
      <c r="CI612" s="708">
        <f>WWWW[[#This Row],[%equitable and continuous access to sufficient quantity of safe drinking and domestic water''s GAP]]*WWWW[[#This Row],[Total PoP ]]</f>
        <v>0</v>
      </c>
      <c r="CJ612" s="712">
        <f>IF(WWWW[[#This Row],[Total required water points]]-WWWW[[#This Row],['#Water points coverage]]&lt;0,0,WWWW[[#This Row],[Total required water points]]-WWWW[[#This Row],['#Water points coverage]])</f>
        <v>0.38200000000000001</v>
      </c>
      <c r="CK612" s="712">
        <f>ROUND(IF(WWWW[[#This Row],[Total PoP ]]&lt;500,1,WWWW[[#This Row],[Total PoP ]]/500),0)</f>
        <v>1</v>
      </c>
      <c r="CL612" s="712">
        <f>(WWWW[[#This Row],['#_Constructed latrines_by_WASHAgencies]]+WWWW[[#This Row],['#_Non Cluster partner latrines]])-WWWW[[#This Row],['#_Non-functional latrines]]</f>
        <v>20</v>
      </c>
      <c r="CM61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1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309</v>
      </c>
      <c r="CO61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2" s="712">
        <f>IF(WWWW[[#This Row],[Location Type 1]]="Village","NA",IF(WWWW[[#This Row],['#_Constructed/Existing latrines in TLS]]*50&gt;WWWW[[#This Row],['#_students at TLS_CFS]],WWWW[[#This Row],['#_students at TLS_CFS]],(WWWW[[#This Row],['#_Constructed/Existing latrines in TLS]]*50)))</f>
        <v>0</v>
      </c>
      <c r="CQ612" s="712">
        <f>ROUND(IF(WWWW[[#This Row],[Location Type 1]]="camp",WWWW[[#This Row],[Total PoP ]]/20,IF(WWWW[[#This Row],[Location Type 1]]="Temporary Location",WWWW[[#This Row],[Total PoP ]]/50,(WWWW[[#This Row],[Total PoP ]]/6))),0)</f>
        <v>15</v>
      </c>
      <c r="CR612" s="712">
        <f>IF(WWWW[[#This Row],[Total required Latrines]]-(WWWW[[#This Row],['#_Constructed latrines_by_WASHAgencies]]+WWWW[[#This Row],['#_Non Cluster partner latrines]])&lt;0,0,WWWW[[#This Row],[Total required Latrines]]-(WWWW[[#This Row],['#_Constructed latrines_by_WASHAgencies]]+WWWW[[#This Row],['#_Non Cluster partner latrines]]))</f>
        <v>0</v>
      </c>
      <c r="CS612" s="714">
        <f>1-WWWW[[#This Row],[% people access to functioning Latrine]]</f>
        <v>0</v>
      </c>
      <c r="CT612" s="713">
        <f>IF(OR(WWWW[[#This Row],['#_Non-functional latrines]]="",WWWW[[#This Row],['#_Non-functional latrines]]=0),0,WWWW[[#This Row],['#_Non-functional latrines]]/(WWWW[[#This Row],['#_Constructed latrines_by_WASHAgencies]]+WWWW[[#This Row],['#_Non Cluster partner latrines]]))</f>
        <v>0</v>
      </c>
      <c r="CU612" s="708">
        <f>IF(500*(WWWW[[#This Row],['#_male hygiene promoters]]+WWWW[[#This Row],['#_female hygiene promoters]])&gt;WWWW[[#This Row],[Total PoP ]],WWWW[[#This Row],[Total PoP ]],500*(WWWW[[#This Row],['#_male hygiene promoters]]+WWWW[[#This Row],['#_female hygiene promoters]]))</f>
        <v>309</v>
      </c>
      <c r="CV61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2" s="712">
        <f>IF(WWWW[[#This Row],['# People with access to soap]]&gt;WWWW[[#This Row],['# People with access to Sanity Pads]],WWWW[[#This Row],['# People with access to soap]],WWWW[[#This Row],['# People with access to Sanity Pads]])</f>
        <v>0</v>
      </c>
      <c r="CY612" s="712">
        <f>IF(WWWW[[#This Row],['# people reached by regular dedicated hygiene promotion_5]]&gt;WWWW[[#This Row],['# People received regular supply of hygiene items_6]],WWWW[[#This Row],['# people reached by regular dedicated hygiene promotion_5]],WWWW[[#This Row],['# People received regular supply of hygiene items_6]])</f>
        <v>309</v>
      </c>
      <c r="CZ612" s="714">
        <f>IF(WWWW[[#This Row],[HRP3]]/WWWW[[#This Row],[Total PoP ]]&gt;100%,100%,WWWW[[#This Row],[HRP3]]/WWWW[[#This Row],[Total PoP ]])</f>
        <v>1</v>
      </c>
      <c r="DA612" s="713">
        <f>1-WWWW[[#This Row],[Hygiene Coverage%]]</f>
        <v>0</v>
      </c>
      <c r="DB612" s="710">
        <f>WWWW[[#This Row],['# people reached by regular dedicated hygiene promotion_5]]/WWWW[[#This Row],[Total PoP ]]</f>
        <v>1</v>
      </c>
      <c r="DC612" s="710">
        <f>IF(WWWW[[#This Row],['#_households that received standard amount of soap for this quarter]]/WWWW[[#This Row],[Total HH]]&gt;1,1,WWWW[[#This Row],['#_households that received standard amount of soap for this quarter]]/WWWW[[#This Row],[Total HH]])</f>
        <v>0</v>
      </c>
      <c r="DD612" s="710">
        <f>IF(WWWW[[#This Row],['#_households that received standard amount of sanitary pads for this quarter]]/WWWW[[#This Row],[Total HH]]&gt;1,1,WWWW[[#This Row],['#_households that received standard amount of sanitary pads for this quarter]]/WWWW[[#This Row],[Total HH]])</f>
        <v>0</v>
      </c>
      <c r="DE612" s="712">
        <f>WWWW[[#This Row],['#_Constructed/Existing hand washing stations]]-WWWW[[#This Row],['#_Non-Functional_hand_washing_stations]]</f>
        <v>0</v>
      </c>
      <c r="DF612" s="757">
        <f>IF(WWWW[[#This Row],['# Functional hand washing stations during reporting period]]*20&gt;WWWW[[#This Row],[Total HH]],WWWW[[#This Row],[Total HH]],WWWW[[#This Row],['# Functional hand washing stations during reporting period]]*20)</f>
        <v>0</v>
      </c>
      <c r="DG612" s="708">
        <f>IF(WWWW[[#This Row],[Is sufficient soap available for TLS? (Yes/No)]]="yes",WWWW[[#This Row],['#_Constructed/Existing hand washing stations at TLS]],0)</f>
        <v>0</v>
      </c>
      <c r="DH612" s="759">
        <f>IF(WWWW[[#This Row],['# Functional hand washing stations during reporting period]]*100&gt;WWWW[[#This Row],[Total PoP ]],WWWW[[#This Row],[Total PoP ]],WWWW[[#This Row],['# Functional hand washing stations during reporting period]]*100)</f>
        <v>0</v>
      </c>
      <c r="DI612" s="759" t="str">
        <f>IF(OR(WWWW[[#This Row],['#_students at TLS_CFS]]="",WWWW[[#This Row],['#_students at TLS_CFS]]=0),"No","Yes")</f>
        <v>No</v>
      </c>
      <c r="DJ612" s="711" t="str">
        <f>VLOOKUP(WWWW[[#This Row],[Site Name]],SiteDB6[[Site Name]:[CCCM Management]],6,FALSE)</f>
        <v>Yes</v>
      </c>
      <c r="DK612" s="711" t="str">
        <f>VLOOKUP(WWWW[[#This Row],[Site Name]],SiteDB6[[Site Name]:[CCCM Focal Agency]],7,FALSE)</f>
        <v>KMSS-MYT</v>
      </c>
      <c r="DL612" s="711" t="str">
        <f>VLOOKUP(WWWW[[#This Row],[Site Name]],SiteDB6[[Site Name]:[Location Type 1]],9,FALSE)</f>
        <v>Camp</v>
      </c>
      <c r="DM612" s="711" t="str">
        <f>VLOOKUP(WWWW[[#This Row],[Site Name]],SiteDB6[[Site Name]:[Type of Accommodation]],10,FALSE)</f>
        <v>Camp</v>
      </c>
      <c r="DN612" s="711" t="str">
        <f>VLOOKUP(WWWW[[#This Row],[Site Name]],SiteDB6[[Site Name]:[Ethnic or GCA/NGCA]],11,FALSE)</f>
        <v>GCA</v>
      </c>
      <c r="DO612" s="711">
        <f>VLOOKUP(WWWW[[#This Row],[Site Name]],SiteDB6[[Site Name]:[Lat]],12,FALSE)</f>
        <v>25.410569299999999</v>
      </c>
      <c r="DP612" s="711">
        <f>VLOOKUP(WWWW[[#This Row],[Site Name]],SiteDB6[[Site Name]:[Long]],13,FALSE)</f>
        <v>97.359320179999997</v>
      </c>
      <c r="DQ612" s="711" t="str">
        <f>VLOOKUP(WWWW[[#This Row],[Site Name]],SiteDB6[[Site Name]:[Pcode]],3,FALSE)</f>
        <v>MMR001CMP024</v>
      </c>
      <c r="DR612" s="709" t="str">
        <f t="shared" si="23"/>
        <v>Covered</v>
      </c>
      <c r="DS612" s="709"/>
    </row>
    <row r="613" spans="1:138">
      <c r="A613" s="701" t="s">
        <v>2519</v>
      </c>
      <c r="B613" s="701" t="s">
        <v>200</v>
      </c>
      <c r="C613" s="702" t="s">
        <v>200</v>
      </c>
      <c r="D613" s="702"/>
      <c r="E613" s="702" t="s">
        <v>39</v>
      </c>
      <c r="F613" s="702" t="s">
        <v>40</v>
      </c>
      <c r="G613" s="711" t="str">
        <f>VLOOKUP(WWWW[[#This Row],[Site Name]],SiteDB6[[Site Name]:[Location Type]],8,FALSE)</f>
        <v>Camp</v>
      </c>
      <c r="H613" s="702" t="s">
        <v>991</v>
      </c>
      <c r="I613" s="705">
        <v>202</v>
      </c>
      <c r="J613" s="705">
        <v>1108</v>
      </c>
      <c r="K613" s="706"/>
      <c r="L613" s="707"/>
      <c r="M613" s="705"/>
      <c r="N613" s="705"/>
      <c r="O613" s="705"/>
      <c r="P613" s="705"/>
      <c r="Q613" s="708"/>
      <c r="R613" s="705"/>
      <c r="S613" s="705"/>
      <c r="T613" s="807"/>
      <c r="U613" s="705"/>
      <c r="V613" s="705"/>
      <c r="W613" s="705"/>
      <c r="X613" s="705"/>
      <c r="Y613" s="705"/>
      <c r="Z613" s="705"/>
      <c r="AA613" s="705"/>
      <c r="AB613" s="705"/>
      <c r="AC613" s="705"/>
      <c r="AD613" s="705"/>
      <c r="AE613" s="705"/>
      <c r="AF613" s="705"/>
      <c r="AG613" s="705"/>
      <c r="AH613" s="705"/>
      <c r="AI613" s="705"/>
      <c r="AJ613" s="705"/>
      <c r="AK613" s="705"/>
      <c r="AL613" s="705"/>
      <c r="AM613" s="705"/>
      <c r="AN613" s="705"/>
      <c r="AO613" s="709"/>
      <c r="AP613" s="705"/>
      <c r="AQ613" s="705"/>
      <c r="AR613" s="710"/>
      <c r="AS613" s="705"/>
      <c r="AT613" s="705"/>
      <c r="AU613" s="705"/>
      <c r="AV613" s="705"/>
      <c r="AW613" s="705"/>
      <c r="AX613" s="752" t="s">
        <v>148</v>
      </c>
      <c r="AY613" s="782" t="s">
        <v>148</v>
      </c>
      <c r="AZ613" s="705"/>
      <c r="BA613" s="705"/>
      <c r="BB613" s="705"/>
      <c r="BC613" s="711"/>
      <c r="BD613" s="705"/>
      <c r="BE613" s="705"/>
      <c r="BF613" s="705"/>
      <c r="BG613" s="705"/>
      <c r="BH613" s="705"/>
      <c r="BI613" s="705"/>
      <c r="BJ613" s="705"/>
      <c r="BK613" s="705"/>
      <c r="BL613" s="705"/>
      <c r="BM613" s="711"/>
      <c r="BN613" s="712"/>
      <c r="BO613" s="710"/>
      <c r="BP613" s="711"/>
      <c r="BQ613" s="713" t="str">
        <f>IFERROR(WWWW[[#This Row],['#_Water sources treated]]/WWWW[[#This Row],['#_Water sources tested for contamination]],"no test")</f>
        <v>no test</v>
      </c>
      <c r="BR613" s="710" t="str">
        <f>IFERROR(WWWW[[#This Row],['#_Household received remediation action due to contamination]]/WWWW[[#This Row],['#_Household water samples tested for contamination]],"no test")</f>
        <v>no test</v>
      </c>
      <c r="BS613" s="712" t="str">
        <f>IF(AND(WWWW[[#This Row],[% of water sources treated]]="no test",WWWW[[#This Row],[% Household received corrective actions]]="no test"),"No Test","Tested")</f>
        <v>No Test</v>
      </c>
      <c r="BT613" s="712">
        <f>WWWW[[#This Row],['#_Constructed/existing protected hand dug well]]-WWWW[[#This Row],['#_Non-functional protected hand dug well]]</f>
        <v>0</v>
      </c>
      <c r="BU613" s="712">
        <f>(WWWW[[#This Row],['#_Constructed/Existing tube wells/boreholes/handpumps_WASH_agency]]+WWWW[[#This Row],['#_Non-Cluster partner water tube-wells/boreholes/handpumps]])-WWWW[[#This Row],['#_Non-functional tube wells/boreholes/handpumps]]</f>
        <v>0</v>
      </c>
      <c r="BV613" s="712">
        <f>WWWW[[#This Row],['#_Constructed/Existingwater storage tank with gravity fed reticulation system]]-WWWW[[#This Row],['#_Non-functional storage tank gravity fed reticulation system]]</f>
        <v>0</v>
      </c>
      <c r="BW613" s="712">
        <f>WWWW[[#This Row],['#_Water boating or water trucking]]</f>
        <v>0</v>
      </c>
      <c r="BX613" s="712">
        <f>WWWW[[#This Row],['#_Constructed/Existing water distribution system from river or natural spring]]</f>
        <v>0</v>
      </c>
      <c r="BY61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1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13" s="710">
        <f>IF(WWWW[[#This Row],[Location Type 1]]="Village",WWWW[[#This Row],[Access to safe drinking water for Village]],WWWW[[#This Row],[Access to safe drinking water for Camp]])</f>
        <v>0</v>
      </c>
      <c r="CB613" s="708">
        <f>WWWW[[#This Row],[%Equitable and continuous access to sufficient quantity of safe drinking water]]*WWWW[[#This Row],[Total PoP ]]</f>
        <v>0</v>
      </c>
      <c r="CC613" s="710">
        <f>IF((WWWW[[#This Row],['#_Constructed/Existing protected/fenced ponds]]*250)/WWWW[[#This Row],[Total PoP ]]&gt;1,1,(WWWW[[#This Row],['#_Constructed/Existing protected/fenced ponds]]*250)/WWWW[[#This Row],[Total PoP ]])</f>
        <v>0</v>
      </c>
      <c r="CD613" s="708">
        <f>WWWW[[#This Row],[% Access to unimproved water points]]*WWWW[[#This Row],[Total PoP ]]</f>
        <v>0</v>
      </c>
      <c r="CE61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1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13" s="708">
        <f>WWWW[[#This Row],[HRP1]]/500</f>
        <v>0</v>
      </c>
      <c r="CH613" s="714">
        <f>1-WWWW[[#This Row],[% Equitable and continuous access to sufficient quantity of domestic water]]</f>
        <v>1</v>
      </c>
      <c r="CI613" s="708">
        <f>WWWW[[#This Row],[%equitable and continuous access to sufficient quantity of safe drinking and domestic water''s GAP]]*WWWW[[#This Row],[Total PoP ]]</f>
        <v>1108</v>
      </c>
      <c r="CJ613" s="712">
        <f>IF(WWWW[[#This Row],[Total required water points]]-WWWW[[#This Row],['#Water points coverage]]&lt;0,0,WWWW[[#This Row],[Total required water points]]-WWWW[[#This Row],['#Water points coverage]])</f>
        <v>2</v>
      </c>
      <c r="CK613" s="712">
        <f>ROUND(IF(WWWW[[#This Row],[Total PoP ]]&lt;500,1,WWWW[[#This Row],[Total PoP ]]/500),0)</f>
        <v>2</v>
      </c>
      <c r="CL613" s="712">
        <f>(WWWW[[#This Row],['#_Constructed latrines_by_WASHAgencies]]+WWWW[[#This Row],['#_Non Cluster partner latrines]])-WWWW[[#This Row],['#_Non-functional latrines]]</f>
        <v>0</v>
      </c>
      <c r="CM61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1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1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3" s="712">
        <f>IF(WWWW[[#This Row],[Location Type 1]]="Village","NA",IF(WWWW[[#This Row],['#_Constructed/Existing latrines in TLS]]*50&gt;WWWW[[#This Row],['#_students at TLS_CFS]],WWWW[[#This Row],['#_students at TLS_CFS]],(WWWW[[#This Row],['#_Constructed/Existing latrines in TLS]]*50)))</f>
        <v>0</v>
      </c>
      <c r="CQ613" s="712">
        <f>ROUND(IF(WWWW[[#This Row],[Location Type 1]]="camp",WWWW[[#This Row],[Total PoP ]]/20,IF(WWWW[[#This Row],[Location Type 1]]="Temporary Location",WWWW[[#This Row],[Total PoP ]]/50,(WWWW[[#This Row],[Total PoP ]]/6))),0)</f>
        <v>55</v>
      </c>
      <c r="CR613" s="712">
        <f>IF(WWWW[[#This Row],[Total required Latrines]]-(WWWW[[#This Row],['#_Constructed latrines_by_WASHAgencies]]+WWWW[[#This Row],['#_Non Cluster partner latrines]])&lt;0,0,WWWW[[#This Row],[Total required Latrines]]-(WWWW[[#This Row],['#_Constructed latrines_by_WASHAgencies]]+WWWW[[#This Row],['#_Non Cluster partner latrines]]))</f>
        <v>55</v>
      </c>
      <c r="CS613" s="714">
        <f>1-WWWW[[#This Row],[% people access to functioning Latrine]]</f>
        <v>1</v>
      </c>
      <c r="CT613" s="713">
        <f>IF(OR(WWWW[[#This Row],['#_Non-functional latrines]]="",WWWW[[#This Row],['#_Non-functional latrines]]=0),0,WWWW[[#This Row],['#_Non-functional latrines]]/(WWWW[[#This Row],['#_Constructed latrines_by_WASHAgencies]]+WWWW[[#This Row],['#_Non Cluster partner latrines]]))</f>
        <v>0</v>
      </c>
      <c r="CU613" s="708">
        <f>IF(500*(WWWW[[#This Row],['#_male hygiene promoters]]+WWWW[[#This Row],['#_female hygiene promoters]])&gt;WWWW[[#This Row],[Total PoP ]],WWWW[[#This Row],[Total PoP ]],500*(WWWW[[#This Row],['#_male hygiene promoters]]+WWWW[[#This Row],['#_female hygiene promoters]]))</f>
        <v>0</v>
      </c>
      <c r="CV61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3" s="712">
        <f>IF(WWWW[[#This Row],['# People with access to soap]]&gt;WWWW[[#This Row],['# People with access to Sanity Pads]],WWWW[[#This Row],['# People with access to soap]],WWWW[[#This Row],['# People with access to Sanity Pads]])</f>
        <v>0</v>
      </c>
      <c r="CY61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13" s="714">
        <f>IF(WWWW[[#This Row],[HRP3]]/WWWW[[#This Row],[Total PoP ]]&gt;100%,100%,WWWW[[#This Row],[HRP3]]/WWWW[[#This Row],[Total PoP ]])</f>
        <v>0</v>
      </c>
      <c r="DA613" s="713">
        <f>1-WWWW[[#This Row],[Hygiene Coverage%]]</f>
        <v>1</v>
      </c>
      <c r="DB613" s="710">
        <f>WWWW[[#This Row],['# people reached by regular dedicated hygiene promotion_5]]/WWWW[[#This Row],[Total PoP ]]</f>
        <v>0</v>
      </c>
      <c r="DC613" s="710">
        <f>IF(WWWW[[#This Row],['#_households that received standard amount of soap for this quarter]]/WWWW[[#This Row],[Total HH]]&gt;1,1,WWWW[[#This Row],['#_households that received standard amount of soap for this quarter]]/WWWW[[#This Row],[Total HH]])</f>
        <v>0</v>
      </c>
      <c r="DD613" s="710">
        <f>IF(WWWW[[#This Row],['#_households that received standard amount of sanitary pads for this quarter]]/WWWW[[#This Row],[Total HH]]&gt;1,1,WWWW[[#This Row],['#_households that received standard amount of sanitary pads for this quarter]]/WWWW[[#This Row],[Total HH]])</f>
        <v>0</v>
      </c>
      <c r="DE613" s="712">
        <f>WWWW[[#This Row],['#_Constructed/Existing hand washing stations]]-WWWW[[#This Row],['#_Non-Functional_hand_washing_stations]]</f>
        <v>0</v>
      </c>
      <c r="DF613" s="757">
        <f>IF(WWWW[[#This Row],['# Functional hand washing stations during reporting period]]*20&gt;WWWW[[#This Row],[Total HH]],WWWW[[#This Row],[Total HH]],WWWW[[#This Row],['# Functional hand washing stations during reporting period]]*20)</f>
        <v>0</v>
      </c>
      <c r="DG613" s="708">
        <f>IF(WWWW[[#This Row],[Is sufficient soap available for TLS? (Yes/No)]]="yes",WWWW[[#This Row],['#_Constructed/Existing hand washing stations at TLS]],0)</f>
        <v>0</v>
      </c>
      <c r="DH613" s="759">
        <f>IF(WWWW[[#This Row],['# Functional hand washing stations during reporting period]]*100&gt;WWWW[[#This Row],[Total PoP ]],WWWW[[#This Row],[Total PoP ]],WWWW[[#This Row],['# Functional hand washing stations during reporting period]]*100)</f>
        <v>0</v>
      </c>
      <c r="DI613" s="759" t="str">
        <f>IF(OR(WWWW[[#This Row],['#_students at TLS_CFS]]="",WWWW[[#This Row],['#_students at TLS_CFS]]=0),"No","Yes")</f>
        <v>No</v>
      </c>
      <c r="DJ613" s="711">
        <f>VLOOKUP(WWWW[[#This Row],[Site Name]],SiteDB6[[Site Name]:[CCCM Management]],6,FALSE)</f>
        <v>0</v>
      </c>
      <c r="DK613" s="711" t="str">
        <f>VLOOKUP(WWWW[[#This Row],[Site Name]],SiteDB6[[Site Name]:[CCCM Focal Agency]],7,FALSE)</f>
        <v>uncovered</v>
      </c>
      <c r="DL613" s="711" t="str">
        <f>VLOOKUP(WWWW[[#This Row],[Site Name]],SiteDB6[[Site Name]:[Location Type 1]],9,FALSE)</f>
        <v>Camp</v>
      </c>
      <c r="DM613" s="711" t="str">
        <f>VLOOKUP(WWWW[[#This Row],[Site Name]],SiteDB6[[Site Name]:[Type of Accommodation]],10,FALSE)</f>
        <v>Host Families</v>
      </c>
      <c r="DN613" s="711" t="str">
        <f>VLOOKUP(WWWW[[#This Row],[Site Name]],SiteDB6[[Site Name]:[Ethnic or GCA/NGCA]],11,FALSE)</f>
        <v>GCA</v>
      </c>
      <c r="DO613" s="711">
        <f>VLOOKUP(WWWW[[#This Row],[Site Name]],SiteDB6[[Site Name]:[Lat]],12,FALSE)</f>
        <v>23.827870999999998</v>
      </c>
      <c r="DP613" s="711">
        <f>VLOOKUP(WWWW[[#This Row],[Site Name]],SiteDB6[[Site Name]:[Long]],13,FALSE)</f>
        <v>97.588291999999996</v>
      </c>
      <c r="DQ613" s="711" t="str">
        <f>VLOOKUP(WWWW[[#This Row],[Site Name]],SiteDB6[[Site Name]:[Pcode]],3,FALSE)</f>
        <v>MMR001CMP134</v>
      </c>
      <c r="DR613" s="709" t="str">
        <f t="shared" si="23"/>
        <v>Covered</v>
      </c>
      <c r="DS613" s="709"/>
    </row>
    <row r="614" spans="1:138" s="743" customFormat="1">
      <c r="A614" s="808" t="s">
        <v>2519</v>
      </c>
      <c r="B614" s="808" t="s">
        <v>284</v>
      </c>
      <c r="C614" s="584" t="s">
        <v>284</v>
      </c>
      <c r="D614" s="584" t="s">
        <v>2955</v>
      </c>
      <c r="E614" s="584" t="s">
        <v>39</v>
      </c>
      <c r="F614" s="584" t="s">
        <v>213</v>
      </c>
      <c r="G614" s="711" t="str">
        <f>VLOOKUP(WWWW[[#This Row],[Site Name]],SiteDB6[[Site Name]:[Location Type]],8,FALSE)</f>
        <v>Camp_not registered</v>
      </c>
      <c r="H614" s="584" t="s">
        <v>3269</v>
      </c>
      <c r="I614" s="807">
        <v>24</v>
      </c>
      <c r="J614" s="807">
        <v>114</v>
      </c>
      <c r="K614" s="593" t="s">
        <v>3270</v>
      </c>
      <c r="L614" s="58" t="s">
        <v>3271</v>
      </c>
      <c r="M614" s="807"/>
      <c r="N614" s="807"/>
      <c r="O614" s="807"/>
      <c r="P614" s="807"/>
      <c r="Q614" s="759"/>
      <c r="R614" s="807"/>
      <c r="S614" s="807"/>
      <c r="T614" s="807"/>
      <c r="U614" s="807"/>
      <c r="V614" s="807"/>
      <c r="W614" s="807"/>
      <c r="X614" s="807"/>
      <c r="Y614" s="807"/>
      <c r="Z614" s="807"/>
      <c r="AA614" s="807"/>
      <c r="AB614" s="807"/>
      <c r="AC614" s="807"/>
      <c r="AD614" s="807"/>
      <c r="AE614" s="807"/>
      <c r="AF614" s="705"/>
      <c r="AG614" s="807"/>
      <c r="AH614" s="807"/>
      <c r="AI614" s="807"/>
      <c r="AJ614" s="807"/>
      <c r="AK614" s="807"/>
      <c r="AL614" s="807"/>
      <c r="AM614" s="807"/>
      <c r="AN614" s="807"/>
      <c r="AO614" s="782"/>
      <c r="AP614" s="807"/>
      <c r="AQ614" s="807"/>
      <c r="AR614" s="749"/>
      <c r="AS614" s="807"/>
      <c r="AT614" s="807"/>
      <c r="AU614" s="807"/>
      <c r="AV614" s="807"/>
      <c r="AW614" s="807"/>
      <c r="AX614" s="752" t="s">
        <v>148</v>
      </c>
      <c r="AY614" s="782" t="s">
        <v>148</v>
      </c>
      <c r="AZ614" s="807"/>
      <c r="BA614" s="807"/>
      <c r="BB614" s="807"/>
      <c r="BC614" s="752"/>
      <c r="BD614" s="807"/>
      <c r="BE614" s="807"/>
      <c r="BF614" s="807"/>
      <c r="BG614" s="807"/>
      <c r="BH614" s="807"/>
      <c r="BI614" s="807"/>
      <c r="BJ614" s="807"/>
      <c r="BK614" s="807"/>
      <c r="BL614" s="807"/>
      <c r="BM614" s="752"/>
      <c r="BN614" s="750"/>
      <c r="BO614" s="749"/>
      <c r="BP614" s="752"/>
      <c r="BQ614" s="751" t="str">
        <f>IFERROR(WWWW[[#This Row],['#_Water sources treated]]/WWWW[[#This Row],['#_Water sources tested for contamination]],"no test")</f>
        <v>no test</v>
      </c>
      <c r="BR614" s="749" t="str">
        <f>IFERROR(WWWW[[#This Row],['#_Household received remediation action due to contamination]]/WWWW[[#This Row],['#_Household water samples tested for contamination]],"no test")</f>
        <v>no test</v>
      </c>
      <c r="BS614" s="750" t="str">
        <f>IF(AND(WWWW[[#This Row],[% of water sources treated]]="no test",WWWW[[#This Row],[% Household received corrective actions]]="no test"),"No Test","Tested")</f>
        <v>No Test</v>
      </c>
      <c r="BT614" s="750">
        <f>WWWW[[#This Row],['#_Constructed/existing protected hand dug well]]-WWWW[[#This Row],['#_Non-functional protected hand dug well]]</f>
        <v>0</v>
      </c>
      <c r="BU614" s="750">
        <f>(WWWW[[#This Row],['#_Constructed/Existing tube wells/boreholes/handpumps_WASH_agency]]+WWWW[[#This Row],['#_Non-Cluster partner water tube-wells/boreholes/handpumps]])-WWWW[[#This Row],['#_Non-functional tube wells/boreholes/handpumps]]</f>
        <v>0</v>
      </c>
      <c r="BV614" s="750">
        <f>WWWW[[#This Row],['#_Constructed/Existingwater storage tank with gravity fed reticulation system]]-WWWW[[#This Row],['#_Non-functional storage tank gravity fed reticulation system]]</f>
        <v>0</v>
      </c>
      <c r="BW614" s="750">
        <f>WWWW[[#This Row],['#_Water boating or water trucking]]</f>
        <v>0</v>
      </c>
      <c r="BX614" s="750">
        <f>WWWW[[#This Row],['#_Constructed/Existing water distribution system from river or natural spring]]</f>
        <v>0</v>
      </c>
      <c r="BY614" s="751">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14" s="751">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14" s="749">
        <f>IF(WWWW[[#This Row],[Location Type 1]]="Village",WWWW[[#This Row],[Access to safe drinking water for Village]],WWWW[[#This Row],[Access to safe drinking water for Camp]])</f>
        <v>0</v>
      </c>
      <c r="CB614" s="759">
        <f>WWWW[[#This Row],[%Equitable and continuous access to sufficient quantity of safe drinking water]]*WWWW[[#This Row],[Total PoP ]]</f>
        <v>0</v>
      </c>
      <c r="CC614" s="749">
        <f>IF((WWWW[[#This Row],['#_Constructed/Existing protected/fenced ponds]]*250)/WWWW[[#This Row],[Total PoP ]]&gt;1,1,(WWWW[[#This Row],['#_Constructed/Existing protected/fenced ponds]]*250)/WWWW[[#This Row],[Total PoP ]])</f>
        <v>0</v>
      </c>
      <c r="CD614" s="759">
        <f>WWWW[[#This Row],[% Access to unimproved water points]]*WWWW[[#This Row],[Total PoP ]]</f>
        <v>0</v>
      </c>
      <c r="CE614" s="74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14" s="75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14" s="759">
        <f>WWWW[[#This Row],[HRP1]]/500</f>
        <v>0</v>
      </c>
      <c r="CH614" s="748">
        <f>1-WWWW[[#This Row],[% Equitable and continuous access to sufficient quantity of domestic water]]</f>
        <v>1</v>
      </c>
      <c r="CI614" s="759">
        <f>WWWW[[#This Row],[%equitable and continuous access to sufficient quantity of safe drinking and domestic water''s GAP]]*WWWW[[#This Row],[Total PoP ]]</f>
        <v>114</v>
      </c>
      <c r="CJ614" s="750">
        <f>IF(WWWW[[#This Row],[Total required water points]]-WWWW[[#This Row],['#Water points coverage]]&lt;0,0,WWWW[[#This Row],[Total required water points]]-WWWW[[#This Row],['#Water points coverage]])</f>
        <v>1</v>
      </c>
      <c r="CK614" s="750">
        <f>ROUND(IF(WWWW[[#This Row],[Total PoP ]]&lt;500,1,WWWW[[#This Row],[Total PoP ]]/500),0)</f>
        <v>1</v>
      </c>
      <c r="CL614" s="750">
        <f>(WWWW[[#This Row],['#_Constructed latrines_by_WASHAgencies]]+WWWW[[#This Row],['#_Non Cluster partner latrines]])-WWWW[[#This Row],['#_Non-functional latrines]]</f>
        <v>0</v>
      </c>
      <c r="CM61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14" s="759">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14" s="7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4" s="750">
        <f>IF(WWWW[[#This Row],[Location Type 1]]="Village","NA",IF(WWWW[[#This Row],['#_Constructed/Existing latrines in TLS]]*50&gt;WWWW[[#This Row],['#_students at TLS_CFS]],WWWW[[#This Row],['#_students at TLS_CFS]],(WWWW[[#This Row],['#_Constructed/Existing latrines in TLS]]*50)))</f>
        <v>0</v>
      </c>
      <c r="CQ614" s="750">
        <f>ROUND(IF(WWWW[[#This Row],[Location Type 1]]="camp",WWWW[[#This Row],[Total PoP ]]/20,IF(WWWW[[#This Row],[Location Type 1]]="Temporary Location",WWWW[[#This Row],[Total PoP ]]/50,(WWWW[[#This Row],[Total PoP ]]/6))),0)</f>
        <v>6</v>
      </c>
      <c r="CR614" s="750">
        <f>IF(WWWW[[#This Row],[Total required Latrines]]-(WWWW[[#This Row],['#_Constructed latrines_by_WASHAgencies]]+WWWW[[#This Row],['#_Non Cluster partner latrines]])&lt;0,0,WWWW[[#This Row],[Total required Latrines]]-(WWWW[[#This Row],['#_Constructed latrines_by_WASHAgencies]]+WWWW[[#This Row],['#_Non Cluster partner latrines]]))</f>
        <v>6</v>
      </c>
      <c r="CS614" s="748">
        <f>1-WWWW[[#This Row],[% people access to functioning Latrine]]</f>
        <v>1</v>
      </c>
      <c r="CT614" s="751">
        <f>IF(OR(WWWW[[#This Row],['#_Non-functional latrines]]="",WWWW[[#This Row],['#_Non-functional latrines]]=0),0,WWWW[[#This Row],['#_Non-functional latrines]]/(WWWW[[#This Row],['#_Constructed latrines_by_WASHAgencies]]+WWWW[[#This Row],['#_Non Cluster partner latrines]]))</f>
        <v>0</v>
      </c>
      <c r="CU614" s="759">
        <f>IF(500*(WWWW[[#This Row],['#_male hygiene promoters]]+WWWW[[#This Row],['#_female hygiene promoters]])&gt;WWWW[[#This Row],[Total PoP ]],WWWW[[#This Row],[Total PoP ]],500*(WWWW[[#This Row],['#_male hygiene promoters]]+WWWW[[#This Row],['#_female hygiene promoters]]))</f>
        <v>0</v>
      </c>
      <c r="CV614" s="750">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4" s="750">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4" s="750">
        <f>IF(WWWW[[#This Row],['# People with access to soap]]&gt;WWWW[[#This Row],['# People with access to Sanity Pads]],WWWW[[#This Row],['# People with access to soap]],WWWW[[#This Row],['# People with access to Sanity Pads]])</f>
        <v>0</v>
      </c>
      <c r="CY614" s="750">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14" s="748">
        <f>IF(WWWW[[#This Row],[HRP3]]/WWWW[[#This Row],[Total PoP ]]&gt;100%,100%,WWWW[[#This Row],[HRP3]]/WWWW[[#This Row],[Total PoP ]])</f>
        <v>0</v>
      </c>
      <c r="DA614" s="751">
        <f>1-WWWW[[#This Row],[Hygiene Coverage%]]</f>
        <v>1</v>
      </c>
      <c r="DB614" s="749">
        <f>WWWW[[#This Row],['# people reached by regular dedicated hygiene promotion_5]]/WWWW[[#This Row],[Total PoP ]]</f>
        <v>0</v>
      </c>
      <c r="DC614" s="749">
        <f>IF(WWWW[[#This Row],['#_households that received standard amount of soap for this quarter]]/WWWW[[#This Row],[Total HH]]&gt;1,1,WWWW[[#This Row],['#_households that received standard amount of soap for this quarter]]/WWWW[[#This Row],[Total HH]])</f>
        <v>0</v>
      </c>
      <c r="DD614" s="749">
        <f>IF(WWWW[[#This Row],['#_households that received standard amount of sanitary pads for this quarter]]/WWWW[[#This Row],[Total HH]]&gt;1,1,WWWW[[#This Row],['#_households that received standard amount of sanitary pads for this quarter]]/WWWW[[#This Row],[Total HH]])</f>
        <v>0</v>
      </c>
      <c r="DE614" s="750">
        <f>WWWW[[#This Row],['#_Constructed/Existing hand washing stations]]-WWWW[[#This Row],['#_Non-Functional_hand_washing_stations]]</f>
        <v>0</v>
      </c>
      <c r="DF614" s="757">
        <f>IF(WWWW[[#This Row],['# Functional hand washing stations during reporting period]]*20&gt;WWWW[[#This Row],[Total HH]],WWWW[[#This Row],[Total HH]],WWWW[[#This Row],['# Functional hand washing stations during reporting period]]*20)</f>
        <v>0</v>
      </c>
      <c r="DG614" s="759">
        <f>IF(WWWW[[#This Row],[Is sufficient soap available for TLS? (Yes/No)]]="yes",WWWW[[#This Row],['#_Constructed/Existing hand washing stations at TLS]],0)</f>
        <v>0</v>
      </c>
      <c r="DH614" s="759">
        <f>IF(WWWW[[#This Row],['# Functional hand washing stations during reporting period]]*100&gt;WWWW[[#This Row],[Total PoP ]],WWWW[[#This Row],[Total PoP ]],WWWW[[#This Row],['# Functional hand washing stations during reporting period]]*100)</f>
        <v>0</v>
      </c>
      <c r="DI614" s="759" t="str">
        <f>IF(OR(WWWW[[#This Row],['#_students at TLS_CFS]]="",WWWW[[#This Row],['#_students at TLS_CFS]]=0),"No","Yes")</f>
        <v>No</v>
      </c>
      <c r="DJ614" s="752">
        <f>VLOOKUP(WWWW[[#This Row],[Site Name]],SiteDB6[[Site Name]:[CCCM Management]],6,FALSE)</f>
        <v>0</v>
      </c>
      <c r="DK614" s="752">
        <f>VLOOKUP(WWWW[[#This Row],[Site Name]],SiteDB6[[Site Name]:[CCCM Focal Agency]],7,FALSE)</f>
        <v>0</v>
      </c>
      <c r="DL614" s="752" t="str">
        <f>VLOOKUP(WWWW[[#This Row],[Site Name]],SiteDB6[[Site Name]:[Location Type 1]],9,FALSE)</f>
        <v>Camp</v>
      </c>
      <c r="DM614" s="752">
        <f>VLOOKUP(WWWW[[#This Row],[Site Name]],SiteDB6[[Site Name]:[Type of Accommodation]],10,FALSE)</f>
        <v>0</v>
      </c>
      <c r="DN614" s="752" t="str">
        <f>VLOOKUP(WWWW[[#This Row],[Site Name]],SiteDB6[[Site Name]:[Ethnic or GCA/NGCA]],11,FALSE)</f>
        <v>GCA</v>
      </c>
      <c r="DO614" s="752">
        <f>VLOOKUP(WWWW[[#This Row],[Site Name]],SiteDB6[[Site Name]:[Lat]],12,FALSE)</f>
        <v>0</v>
      </c>
      <c r="DP614" s="752">
        <f>VLOOKUP(WWWW[[#This Row],[Site Name]],SiteDB6[[Site Name]:[Long]],13,FALSE)</f>
        <v>0</v>
      </c>
      <c r="DQ614" s="752">
        <f>VLOOKUP(WWWW[[#This Row],[Site Name]],SiteDB6[[Site Name]:[Pcode]],3,FALSE)</f>
        <v>0</v>
      </c>
      <c r="DR614" s="782" t="str">
        <f t="shared" si="23"/>
        <v>Covered</v>
      </c>
      <c r="DS614" s="782"/>
      <c r="DT614" s="745"/>
      <c r="DU614" s="745"/>
      <c r="DV614" s="741"/>
      <c r="DW614" s="745"/>
      <c r="DX614" s="746"/>
      <c r="DY614" s="746"/>
      <c r="DZ614" s="747"/>
      <c r="EA614" s="747"/>
      <c r="EB614" s="747"/>
      <c r="EC614" s="747"/>
      <c r="ED614" s="747"/>
      <c r="EE614" s="747"/>
      <c r="EF614" s="747"/>
      <c r="EG614" s="747"/>
      <c r="EH614" s="747"/>
    </row>
    <row r="615" spans="1:138">
      <c r="A615" s="701" t="s">
        <v>2519</v>
      </c>
      <c r="B615" s="701" t="s">
        <v>284</v>
      </c>
      <c r="C615" s="702" t="s">
        <v>284</v>
      </c>
      <c r="D615" s="702" t="s">
        <v>2955</v>
      </c>
      <c r="E615" s="702" t="s">
        <v>39</v>
      </c>
      <c r="F615" s="702" t="s">
        <v>213</v>
      </c>
      <c r="G615" s="711" t="str">
        <f>VLOOKUP(WWWW[[#This Row],[Site Name]],SiteDB6[[Site Name]:[Location Type]],8,FALSE)</f>
        <v>Camp</v>
      </c>
      <c r="H615" s="702" t="s">
        <v>290</v>
      </c>
      <c r="I615" s="705">
        <v>70</v>
      </c>
      <c r="J615" s="705">
        <v>405</v>
      </c>
      <c r="K615" s="706" t="s">
        <v>2956</v>
      </c>
      <c r="L615" s="707" t="s">
        <v>2957</v>
      </c>
      <c r="M615" s="705"/>
      <c r="N615" s="705"/>
      <c r="O615" s="705"/>
      <c r="P615" s="705">
        <v>0</v>
      </c>
      <c r="Q615" s="708" t="s">
        <v>43</v>
      </c>
      <c r="R615" s="705">
        <v>10</v>
      </c>
      <c r="S615" s="705">
        <v>12</v>
      </c>
      <c r="T615" s="807">
        <v>0</v>
      </c>
      <c r="U615" s="705"/>
      <c r="V615" s="705"/>
      <c r="W615" s="705">
        <v>1</v>
      </c>
      <c r="X615" s="705">
        <v>0</v>
      </c>
      <c r="Y615" s="705"/>
      <c r="Z615" s="705">
        <v>1</v>
      </c>
      <c r="AA615" s="705"/>
      <c r="AB615" s="705"/>
      <c r="AC615" s="705"/>
      <c r="AD615" s="705"/>
      <c r="AE615" s="705"/>
      <c r="AF615" s="705"/>
      <c r="AG615" s="705"/>
      <c r="AH615" s="705"/>
      <c r="AI615" s="705">
        <v>2</v>
      </c>
      <c r="AJ615" s="705">
        <v>2</v>
      </c>
      <c r="AK615" s="705">
        <v>8</v>
      </c>
      <c r="AL615" s="705">
        <v>0</v>
      </c>
      <c r="AM615" s="705"/>
      <c r="AN615" s="705"/>
      <c r="AO615" s="709"/>
      <c r="AP615" s="705">
        <v>18</v>
      </c>
      <c r="AQ615" s="705"/>
      <c r="AR615" s="710"/>
      <c r="AS615" s="705"/>
      <c r="AT615" s="705"/>
      <c r="AU615" s="705">
        <v>4</v>
      </c>
      <c r="AV615" s="705"/>
      <c r="AW615" s="705"/>
      <c r="AX615" s="711" t="s">
        <v>43</v>
      </c>
      <c r="AY615" s="709" t="s">
        <v>145</v>
      </c>
      <c r="AZ615" s="705">
        <v>0</v>
      </c>
      <c r="BA615" s="705">
        <v>0</v>
      </c>
      <c r="BB615" s="705"/>
      <c r="BC615" s="711"/>
      <c r="BD615" s="705">
        <v>5</v>
      </c>
      <c r="BE615" s="705"/>
      <c r="BF615" s="705"/>
      <c r="BG615" s="705">
        <v>3</v>
      </c>
      <c r="BH615" s="705"/>
      <c r="BI615" s="705">
        <v>0</v>
      </c>
      <c r="BJ615" s="705">
        <v>2</v>
      </c>
      <c r="BK615" s="705">
        <v>15</v>
      </c>
      <c r="BL615" s="705">
        <v>64</v>
      </c>
      <c r="BM615" s="711"/>
      <c r="BN615" s="712"/>
      <c r="BO615" s="710"/>
      <c r="BP615" s="711"/>
      <c r="BQ615" s="713">
        <f>IFERROR(WWWW[[#This Row],['#_Water sources treated]]/WWWW[[#This Row],['#_Water sources tested for contamination]],"no test")</f>
        <v>1</v>
      </c>
      <c r="BR615" s="710">
        <f>IFERROR(WWWW[[#This Row],['#_Household received remediation action due to contamination]]/WWWW[[#This Row],['#_Household water samples tested for contamination]],"no test")</f>
        <v>0</v>
      </c>
      <c r="BS615" s="712" t="str">
        <f>IF(AND(WWWW[[#This Row],[% of water sources treated]]="no test",WWWW[[#This Row],[% Household received corrective actions]]="no test"),"No Test","Tested")</f>
        <v>Tested</v>
      </c>
      <c r="BT615" s="712">
        <f>WWWW[[#This Row],['#_Constructed/existing protected hand dug well]]-WWWW[[#This Row],['#_Non-functional protected hand dug well]]</f>
        <v>0</v>
      </c>
      <c r="BU615" s="712">
        <f>(WWWW[[#This Row],['#_Constructed/Existing tube wells/boreholes/handpumps_WASH_agency]]+WWWW[[#This Row],['#_Non-Cluster partner water tube-wells/boreholes/handpumps]])-WWWW[[#This Row],['#_Non-functional tube wells/boreholes/handpumps]]</f>
        <v>1</v>
      </c>
      <c r="BV615" s="712">
        <f>WWWW[[#This Row],['#_Constructed/Existingwater storage tank with gravity fed reticulation system]]-WWWW[[#This Row],['#_Non-functional storage tank gravity fed reticulation system]]</f>
        <v>0</v>
      </c>
      <c r="BW615" s="712">
        <f>WWWW[[#This Row],['#_Water boating or water trucking]]</f>
        <v>0</v>
      </c>
      <c r="BX615" s="712">
        <f>WWWW[[#This Row],['#_Constructed/Existing water distribution system from river or natural spring]]</f>
        <v>0</v>
      </c>
      <c r="BY61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1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0.61728395061728392</v>
      </c>
      <c r="CA615" s="710">
        <f>IF(WWWW[[#This Row],[Location Type 1]]="Village",WWWW[[#This Row],[Access to safe drinking water for Village]],WWWW[[#This Row],[Access to safe drinking water for Camp]])</f>
        <v>1</v>
      </c>
      <c r="CB615" s="708">
        <f>WWWW[[#This Row],[%Equitable and continuous access to sufficient quantity of safe drinking water]]*WWWW[[#This Row],[Total PoP ]]</f>
        <v>405</v>
      </c>
      <c r="CC615" s="710">
        <f>IF((WWWW[[#This Row],['#_Constructed/Existing protected/fenced ponds]]*250)/WWWW[[#This Row],[Total PoP ]]&gt;1,1,(WWWW[[#This Row],['#_Constructed/Existing protected/fenced ponds]]*250)/WWWW[[#This Row],[Total PoP ]])</f>
        <v>0</v>
      </c>
      <c r="CD615" s="708">
        <f>WWWW[[#This Row],[% Access to unimproved water points]]*WWWW[[#This Row],[Total PoP ]]</f>
        <v>0</v>
      </c>
      <c r="CE61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1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405</v>
      </c>
      <c r="CG615" s="708">
        <f>WWWW[[#This Row],[HRP1]]/500</f>
        <v>0.81</v>
      </c>
      <c r="CH615" s="714">
        <f>1-WWWW[[#This Row],[% Equitable and continuous access to sufficient quantity of domestic water]]</f>
        <v>0</v>
      </c>
      <c r="CI615" s="708">
        <f>WWWW[[#This Row],[%equitable and continuous access to sufficient quantity of safe drinking and domestic water''s GAP]]*WWWW[[#This Row],[Total PoP ]]</f>
        <v>0</v>
      </c>
      <c r="CJ615" s="712">
        <f>IF(WWWW[[#This Row],[Total required water points]]-WWWW[[#This Row],['#Water points coverage]]&lt;0,0,WWWW[[#This Row],[Total required water points]]-WWWW[[#This Row],['#Water points coverage]])</f>
        <v>0.18999999999999995</v>
      </c>
      <c r="CK615" s="712">
        <f>ROUND(IF(WWWW[[#This Row],[Total PoP ]]&lt;500,1,WWWW[[#This Row],[Total PoP ]]/500),0)</f>
        <v>1</v>
      </c>
      <c r="CL615" s="712">
        <f>(WWWW[[#This Row],['#_Constructed latrines_by_WASHAgencies]]+WWWW[[#This Row],['#_Non Cluster partner latrines]])-WWWW[[#This Row],['#_Non-functional latrines]]</f>
        <v>18</v>
      </c>
      <c r="CM61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0.88888888888888884</v>
      </c>
      <c r="CN61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360</v>
      </c>
      <c r="CO61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CP615" s="712">
        <f>IF(WWWW[[#This Row],[Location Type 1]]="Village","NA",IF(WWWW[[#This Row],['#_Constructed/Existing latrines in TLS]]*50&gt;WWWW[[#This Row],['#_students at TLS_CFS]],WWWW[[#This Row],['#_students at TLS_CFS]],(WWWW[[#This Row],['#_Constructed/Existing latrines in TLS]]*50)))</f>
        <v>0</v>
      </c>
      <c r="CQ615" s="712">
        <f>ROUND(IF(WWWW[[#This Row],[Location Type 1]]="camp",WWWW[[#This Row],[Total PoP ]]/20,IF(WWWW[[#This Row],[Location Type 1]]="Temporary Location",WWWW[[#This Row],[Total PoP ]]/50,(WWWW[[#This Row],[Total PoP ]]/6))),0)</f>
        <v>20</v>
      </c>
      <c r="CR615" s="712">
        <f>IF(WWWW[[#This Row],[Total required Latrines]]-(WWWW[[#This Row],['#_Constructed latrines_by_WASHAgencies]]+WWWW[[#This Row],['#_Non Cluster partner latrines]])&lt;0,0,WWWW[[#This Row],[Total required Latrines]]-(WWWW[[#This Row],['#_Constructed latrines_by_WASHAgencies]]+WWWW[[#This Row],['#_Non Cluster partner latrines]]))</f>
        <v>2</v>
      </c>
      <c r="CS615" s="714">
        <f>1-WWWW[[#This Row],[% people access to functioning Latrine]]</f>
        <v>0.11111111111111116</v>
      </c>
      <c r="CT615" s="713">
        <f>IF(OR(WWWW[[#This Row],['#_Non-functional latrines]]="",WWWW[[#This Row],['#_Non-functional latrines]]=0),0,WWWW[[#This Row],['#_Non-functional latrines]]/(WWWW[[#This Row],['#_Constructed latrines_by_WASHAgencies]]+WWWW[[#This Row],['#_Non Cluster partner latrines]]))</f>
        <v>0</v>
      </c>
      <c r="CU615" s="708">
        <f>IF(500*(WWWW[[#This Row],['#_male hygiene promoters]]+WWWW[[#This Row],['#_female hygiene promoters]])&gt;WWWW[[#This Row],[Total PoP ]],WWWW[[#This Row],[Total PoP ]],500*(WWWW[[#This Row],['#_male hygiene promoters]]+WWWW[[#This Row],['#_female hygiene promoters]]))</f>
        <v>405</v>
      </c>
      <c r="CV61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75</v>
      </c>
      <c r="CW61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320</v>
      </c>
      <c r="CX615" s="712">
        <f>IF(WWWW[[#This Row],['# People with access to soap]]&gt;WWWW[[#This Row],['# People with access to Sanity Pads]],WWWW[[#This Row],['# People with access to soap]],WWWW[[#This Row],['# People with access to Sanity Pads]])</f>
        <v>320</v>
      </c>
      <c r="CY615" s="712">
        <f>IF(WWWW[[#This Row],['# people reached by regular dedicated hygiene promotion_5]]&gt;WWWW[[#This Row],['# People received regular supply of hygiene items_6]],WWWW[[#This Row],['# people reached by regular dedicated hygiene promotion_5]],WWWW[[#This Row],['# People received regular supply of hygiene items_6]])</f>
        <v>405</v>
      </c>
      <c r="CZ615" s="714">
        <f>IF(WWWW[[#This Row],[HRP3]]/WWWW[[#This Row],[Total PoP ]]&gt;100%,100%,WWWW[[#This Row],[HRP3]]/WWWW[[#This Row],[Total PoP ]])</f>
        <v>1</v>
      </c>
      <c r="DA615" s="713">
        <f>1-WWWW[[#This Row],[Hygiene Coverage%]]</f>
        <v>0</v>
      </c>
      <c r="DB615" s="710">
        <f>WWWW[[#This Row],['# people reached by regular dedicated hygiene promotion_5]]/WWWW[[#This Row],[Total PoP ]]</f>
        <v>1</v>
      </c>
      <c r="DC615" s="710">
        <f>IF(WWWW[[#This Row],['#_households that received standard amount of soap for this quarter]]/WWWW[[#This Row],[Total HH]]&gt;1,1,WWWW[[#This Row],['#_households that received standard amount of soap for this quarter]]/WWWW[[#This Row],[Total HH]])</f>
        <v>0.21428571428571427</v>
      </c>
      <c r="DD615" s="710">
        <f>IF(WWWW[[#This Row],['#_households that received standard amount of sanitary pads for this quarter]]/WWWW[[#This Row],[Total HH]]&gt;1,1,WWWW[[#This Row],['#_households that received standard amount of sanitary pads for this quarter]]/WWWW[[#This Row],[Total HH]])</f>
        <v>0.91428571428571426</v>
      </c>
      <c r="DE615" s="712">
        <f>WWWW[[#This Row],['#_Constructed/Existing hand washing stations]]-WWWW[[#This Row],['#_Non-Functional_hand_washing_stations]]</f>
        <v>5</v>
      </c>
      <c r="DF615" s="757">
        <f>IF(WWWW[[#This Row],['# Functional hand washing stations during reporting period]]*20&gt;WWWW[[#This Row],[Total HH]],WWWW[[#This Row],[Total HH]],WWWW[[#This Row],['# Functional hand washing stations during reporting period]]*20)</f>
        <v>70</v>
      </c>
      <c r="DG615" s="708">
        <f>IF(WWWW[[#This Row],[Is sufficient soap available for TLS? (Yes/No)]]="yes",WWWW[[#This Row],['#_Constructed/Existing hand washing stations at TLS]],0)</f>
        <v>0</v>
      </c>
      <c r="DH615" s="759">
        <f>IF(WWWW[[#This Row],['# Functional hand washing stations during reporting period]]*100&gt;WWWW[[#This Row],[Total PoP ]],WWWW[[#This Row],[Total PoP ]],WWWW[[#This Row],['# Functional hand washing stations during reporting period]]*100)</f>
        <v>405</v>
      </c>
      <c r="DI615" s="759" t="str">
        <f>IF(OR(WWWW[[#This Row],['#_students at TLS_CFS]]="",WWWW[[#This Row],['#_students at TLS_CFS]]=0),"No","Yes")</f>
        <v>No</v>
      </c>
      <c r="DJ615" s="711" t="str">
        <f>VLOOKUP(WWWW[[#This Row],[Site Name]],SiteDB6[[Site Name]:[CCCM Management]],6,FALSE)</f>
        <v>Yes</v>
      </c>
      <c r="DK615" s="711" t="str">
        <f>VLOOKUP(WWWW[[#This Row],[Site Name]],SiteDB6[[Site Name]:[CCCM Focal Agency]],7,FALSE)</f>
        <v>KMSS-BMO</v>
      </c>
      <c r="DL615" s="711" t="str">
        <f>VLOOKUP(WWWW[[#This Row],[Site Name]],SiteDB6[[Site Name]:[Location Type 1]],9,FALSE)</f>
        <v>Camp</v>
      </c>
      <c r="DM615" s="711" t="str">
        <f>VLOOKUP(WWWW[[#This Row],[Site Name]],SiteDB6[[Site Name]:[Type of Accommodation]],10,FALSE)</f>
        <v>Camp</v>
      </c>
      <c r="DN615" s="711" t="str">
        <f>VLOOKUP(WWWW[[#This Row],[Site Name]],SiteDB6[[Site Name]:[Ethnic or GCA/NGCA]],11,FALSE)</f>
        <v>GCA</v>
      </c>
      <c r="DO615" s="711">
        <f>VLOOKUP(WWWW[[#This Row],[Site Name]],SiteDB6[[Site Name]:[Lat]],12,FALSE)</f>
        <v>24.205417000000001</v>
      </c>
      <c r="DP615" s="711">
        <f>VLOOKUP(WWWW[[#This Row],[Site Name]],SiteDB6[[Site Name]:[Long]],13,FALSE)</f>
        <v>97.724566999999993</v>
      </c>
      <c r="DQ615" s="711" t="str">
        <f>VLOOKUP(WWWW[[#This Row],[Site Name]],SiteDB6[[Site Name]:[Pcode]],3,FALSE)</f>
        <v>MMR001CMP069</v>
      </c>
      <c r="DR615" s="709" t="str">
        <f t="shared" si="23"/>
        <v>Covered</v>
      </c>
      <c r="DS615" s="709"/>
    </row>
    <row r="616" spans="1:138">
      <c r="A616" s="701" t="s">
        <v>2519</v>
      </c>
      <c r="B616" s="701" t="s">
        <v>200</v>
      </c>
      <c r="C616" s="702" t="s">
        <v>200</v>
      </c>
      <c r="D616" s="702" t="s">
        <v>2960</v>
      </c>
      <c r="E616" s="702" t="s">
        <v>39</v>
      </c>
      <c r="F616" s="702" t="s">
        <v>213</v>
      </c>
      <c r="G616" s="711" t="str">
        <f>VLOOKUP(WWWW[[#This Row],[Site Name]],SiteDB6[[Site Name]:[Location Type]],8,FALSE)</f>
        <v>Camp</v>
      </c>
      <c r="H616" s="702" t="s">
        <v>219</v>
      </c>
      <c r="I616" s="705">
        <v>3</v>
      </c>
      <c r="J616" s="705">
        <v>13</v>
      </c>
      <c r="K616" s="706">
        <v>43466</v>
      </c>
      <c r="L616" s="707">
        <v>43830</v>
      </c>
      <c r="M616" s="705"/>
      <c r="N616" s="705"/>
      <c r="O616" s="705"/>
      <c r="P616" s="705"/>
      <c r="Q616" s="708" t="s">
        <v>144</v>
      </c>
      <c r="R616" s="705"/>
      <c r="S616" s="705"/>
      <c r="T616" s="807"/>
      <c r="U616" s="705"/>
      <c r="V616" s="705"/>
      <c r="W616" s="705"/>
      <c r="X616" s="705">
        <v>1</v>
      </c>
      <c r="Y616" s="705"/>
      <c r="Z616" s="705"/>
      <c r="AA616" s="705"/>
      <c r="AB616" s="705"/>
      <c r="AC616" s="705"/>
      <c r="AD616" s="705"/>
      <c r="AE616" s="705"/>
      <c r="AF616" s="705"/>
      <c r="AG616" s="705"/>
      <c r="AH616" s="705"/>
      <c r="AI616" s="705"/>
      <c r="AJ616" s="705"/>
      <c r="AK616" s="705"/>
      <c r="AL616" s="705"/>
      <c r="AM616" s="705"/>
      <c r="AN616" s="705"/>
      <c r="AO616" s="709"/>
      <c r="AP616" s="705">
        <v>1</v>
      </c>
      <c r="AQ616" s="705"/>
      <c r="AR616" s="710"/>
      <c r="AS616" s="705"/>
      <c r="AT616" s="705"/>
      <c r="AU616" s="705"/>
      <c r="AV616" s="705"/>
      <c r="AW616" s="705"/>
      <c r="AX616" s="711" t="s">
        <v>43</v>
      </c>
      <c r="AY616" s="709" t="s">
        <v>145</v>
      </c>
      <c r="AZ616" s="705"/>
      <c r="BA616" s="705"/>
      <c r="BB616" s="705"/>
      <c r="BC616" s="711"/>
      <c r="BD616" s="705">
        <v>0</v>
      </c>
      <c r="BE616" s="705"/>
      <c r="BF616" s="705"/>
      <c r="BG616" s="705">
        <v>1</v>
      </c>
      <c r="BH616" s="705"/>
      <c r="BI616" s="705"/>
      <c r="BJ616" s="705"/>
      <c r="BK616" s="705">
        <v>4</v>
      </c>
      <c r="BL616" s="705"/>
      <c r="BM616" s="711"/>
      <c r="BN616" s="712"/>
      <c r="BO616" s="710"/>
      <c r="BP616" s="711"/>
      <c r="BQ616" s="713" t="str">
        <f>IFERROR(WWWW[[#This Row],['#_Water sources treated]]/WWWW[[#This Row],['#_Water sources tested for contamination]],"no test")</f>
        <v>no test</v>
      </c>
      <c r="BR616" s="710" t="str">
        <f>IFERROR(WWWW[[#This Row],['#_Household received remediation action due to contamination]]/WWWW[[#This Row],['#_Household water samples tested for contamination]],"no test")</f>
        <v>no test</v>
      </c>
      <c r="BS616" s="712" t="str">
        <f>IF(AND(WWWW[[#This Row],[% of water sources treated]]="no test",WWWW[[#This Row],[% Household received corrective actions]]="no test"),"No Test","Tested")</f>
        <v>No Test</v>
      </c>
      <c r="BT616" s="712">
        <f>WWWW[[#This Row],['#_Constructed/existing protected hand dug well]]-WWWW[[#This Row],['#_Non-functional protected hand dug well]]</f>
        <v>0</v>
      </c>
      <c r="BU616" s="712">
        <f>(WWWW[[#This Row],['#_Constructed/Existing tube wells/boreholes/handpumps_WASH_agency]]+WWWW[[#This Row],['#_Non-Cluster partner water tube-wells/boreholes/handpumps]])-WWWW[[#This Row],['#_Non-functional tube wells/boreholes/handpumps]]</f>
        <v>1</v>
      </c>
      <c r="BV616" s="712">
        <f>WWWW[[#This Row],['#_Constructed/Existingwater storage tank with gravity fed reticulation system]]-WWWW[[#This Row],['#_Non-functional storage tank gravity fed reticulation system]]</f>
        <v>0</v>
      </c>
      <c r="BW616" s="712">
        <f>WWWW[[#This Row],['#_Water boating or water trucking]]</f>
        <v>0</v>
      </c>
      <c r="BX616" s="712">
        <f>WWWW[[#This Row],['#_Constructed/Existing water distribution system from river or natural spring]]</f>
        <v>0</v>
      </c>
      <c r="BY61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1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16" s="710">
        <f>IF(WWWW[[#This Row],[Location Type 1]]="Village",WWWW[[#This Row],[Access to safe drinking water for Village]],WWWW[[#This Row],[Access to safe drinking water for Camp]])</f>
        <v>1</v>
      </c>
      <c r="CB616" s="708">
        <f>WWWW[[#This Row],[%Equitable and continuous access to sufficient quantity of safe drinking water]]*WWWW[[#This Row],[Total PoP ]]</f>
        <v>13</v>
      </c>
      <c r="CC616" s="710">
        <f>IF((WWWW[[#This Row],['#_Constructed/Existing protected/fenced ponds]]*250)/WWWW[[#This Row],[Total PoP ]]&gt;1,1,(WWWW[[#This Row],['#_Constructed/Existing protected/fenced ponds]]*250)/WWWW[[#This Row],[Total PoP ]])</f>
        <v>0</v>
      </c>
      <c r="CD616" s="708">
        <f>WWWW[[#This Row],[% Access to unimproved water points]]*WWWW[[#This Row],[Total PoP ]]</f>
        <v>0</v>
      </c>
      <c r="CE61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1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v>
      </c>
      <c r="CG616" s="708">
        <f>WWWW[[#This Row],[HRP1]]/500</f>
        <v>2.5999999999999999E-2</v>
      </c>
      <c r="CH616" s="714">
        <f>1-WWWW[[#This Row],[% Equitable and continuous access to sufficient quantity of domestic water]]</f>
        <v>0</v>
      </c>
      <c r="CI616" s="708">
        <f>WWWW[[#This Row],[%equitable and continuous access to sufficient quantity of safe drinking and domestic water''s GAP]]*WWWW[[#This Row],[Total PoP ]]</f>
        <v>0</v>
      </c>
      <c r="CJ616" s="712">
        <f>IF(WWWW[[#This Row],[Total required water points]]-WWWW[[#This Row],['#Water points coverage]]&lt;0,0,WWWW[[#This Row],[Total required water points]]-WWWW[[#This Row],['#Water points coverage]])</f>
        <v>0.97399999999999998</v>
      </c>
      <c r="CK616" s="712">
        <f>ROUND(IF(WWWW[[#This Row],[Total PoP ]]&lt;500,1,WWWW[[#This Row],[Total PoP ]]/500),0)</f>
        <v>1</v>
      </c>
      <c r="CL616" s="712">
        <f>(WWWW[[#This Row],['#_Constructed latrines_by_WASHAgencies]]+WWWW[[#This Row],['#_Non Cluster partner latrines]])-WWWW[[#This Row],['#_Non-functional latrines]]</f>
        <v>1</v>
      </c>
      <c r="CM61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1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v>
      </c>
      <c r="CO61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6" s="712">
        <f>IF(WWWW[[#This Row],[Location Type 1]]="Village","NA",IF(WWWW[[#This Row],['#_Constructed/Existing latrines in TLS]]*50&gt;WWWW[[#This Row],['#_students at TLS_CFS]],WWWW[[#This Row],['#_students at TLS_CFS]],(WWWW[[#This Row],['#_Constructed/Existing latrines in TLS]]*50)))</f>
        <v>0</v>
      </c>
      <c r="CQ616" s="712">
        <f>ROUND(IF(WWWW[[#This Row],[Location Type 1]]="camp",WWWW[[#This Row],[Total PoP ]]/20,IF(WWWW[[#This Row],[Location Type 1]]="Temporary Location",WWWW[[#This Row],[Total PoP ]]/50,(WWWW[[#This Row],[Total PoP ]]/6))),0)</f>
        <v>1</v>
      </c>
      <c r="CR616" s="712">
        <f>IF(WWWW[[#This Row],[Total required Latrines]]-(WWWW[[#This Row],['#_Constructed latrines_by_WASHAgencies]]+WWWW[[#This Row],['#_Non Cluster partner latrines]])&lt;0,0,WWWW[[#This Row],[Total required Latrines]]-(WWWW[[#This Row],['#_Constructed latrines_by_WASHAgencies]]+WWWW[[#This Row],['#_Non Cluster partner latrines]]))</f>
        <v>0</v>
      </c>
      <c r="CS616" s="714">
        <f>1-WWWW[[#This Row],[% people access to functioning Latrine]]</f>
        <v>0</v>
      </c>
      <c r="CT616" s="713">
        <f>IF(OR(WWWW[[#This Row],['#_Non-functional latrines]]="",WWWW[[#This Row],['#_Non-functional latrines]]=0),0,WWWW[[#This Row],['#_Non-functional latrines]]/(WWWW[[#This Row],['#_Constructed latrines_by_WASHAgencies]]+WWWW[[#This Row],['#_Non Cluster partner latrines]]))</f>
        <v>0</v>
      </c>
      <c r="CU616" s="708">
        <f>IF(500*(WWWW[[#This Row],['#_male hygiene promoters]]+WWWW[[#This Row],['#_female hygiene promoters]])&gt;WWWW[[#This Row],[Total PoP ]],WWWW[[#This Row],[Total PoP ]],500*(WWWW[[#This Row],['#_male hygiene promoters]]+WWWW[[#This Row],['#_female hygiene promoters]]))</f>
        <v>0</v>
      </c>
      <c r="CV61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v>
      </c>
      <c r="CW61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6" s="712">
        <f>IF(WWWW[[#This Row],['# People with access to soap]]&gt;WWWW[[#This Row],['# People with access to Sanity Pads]],WWWW[[#This Row],['# People with access to soap]],WWWW[[#This Row],['# People with access to Sanity Pads]])</f>
        <v>13</v>
      </c>
      <c r="CY616" s="712">
        <f>IF(WWWW[[#This Row],['# people reached by regular dedicated hygiene promotion_5]]&gt;WWWW[[#This Row],['# People received regular supply of hygiene items_6]],WWWW[[#This Row],['# people reached by regular dedicated hygiene promotion_5]],WWWW[[#This Row],['# People received regular supply of hygiene items_6]])</f>
        <v>13</v>
      </c>
      <c r="CZ616" s="714">
        <f>IF(WWWW[[#This Row],[HRP3]]/WWWW[[#This Row],[Total PoP ]]&gt;100%,100%,WWWW[[#This Row],[HRP3]]/WWWW[[#This Row],[Total PoP ]])</f>
        <v>1</v>
      </c>
      <c r="DA616" s="713">
        <f>1-WWWW[[#This Row],[Hygiene Coverage%]]</f>
        <v>0</v>
      </c>
      <c r="DB616" s="710">
        <f>WWWW[[#This Row],['# people reached by regular dedicated hygiene promotion_5]]/WWWW[[#This Row],[Total PoP ]]</f>
        <v>0</v>
      </c>
      <c r="DC616" s="710">
        <f>IF(WWWW[[#This Row],['#_households that received standard amount of soap for this quarter]]/WWWW[[#This Row],[Total HH]]&gt;1,1,WWWW[[#This Row],['#_households that received standard amount of soap for this quarter]]/WWWW[[#This Row],[Total HH]])</f>
        <v>1</v>
      </c>
      <c r="DD616" s="710">
        <f>IF(WWWW[[#This Row],['#_households that received standard amount of sanitary pads for this quarter]]/WWWW[[#This Row],[Total HH]]&gt;1,1,WWWW[[#This Row],['#_households that received standard amount of sanitary pads for this quarter]]/WWWW[[#This Row],[Total HH]])</f>
        <v>0</v>
      </c>
      <c r="DE616" s="712">
        <f>WWWW[[#This Row],['#_Constructed/Existing hand washing stations]]-WWWW[[#This Row],['#_Non-Functional_hand_washing_stations]]</f>
        <v>0</v>
      </c>
      <c r="DF616" s="757">
        <f>IF(WWWW[[#This Row],['# Functional hand washing stations during reporting period]]*20&gt;WWWW[[#This Row],[Total HH]],WWWW[[#This Row],[Total HH]],WWWW[[#This Row],['# Functional hand washing stations during reporting period]]*20)</f>
        <v>0</v>
      </c>
      <c r="DG616" s="708">
        <f>IF(WWWW[[#This Row],[Is sufficient soap available for TLS? (Yes/No)]]="yes",WWWW[[#This Row],['#_Constructed/Existing hand washing stations at TLS]],0)</f>
        <v>0</v>
      </c>
      <c r="DH616" s="759">
        <f>IF(WWWW[[#This Row],['# Functional hand washing stations during reporting period]]*100&gt;WWWW[[#This Row],[Total PoP ]],WWWW[[#This Row],[Total PoP ]],WWWW[[#This Row],['# Functional hand washing stations during reporting period]]*100)</f>
        <v>0</v>
      </c>
      <c r="DI616" s="759" t="str">
        <f>IF(OR(WWWW[[#This Row],['#_students at TLS_CFS]]="",WWWW[[#This Row],['#_students at TLS_CFS]]=0),"No","Yes")</f>
        <v>No</v>
      </c>
      <c r="DJ616" s="711">
        <f>VLOOKUP(WWWW[[#This Row],[Site Name]],SiteDB6[[Site Name]:[CCCM Management]],6,FALSE)</f>
        <v>0</v>
      </c>
      <c r="DK616" s="711">
        <f>VLOOKUP(WWWW[[#This Row],[Site Name]],SiteDB6[[Site Name]:[CCCM Focal Agency]],7,FALSE)</f>
        <v>0</v>
      </c>
      <c r="DL616" s="711" t="str">
        <f>VLOOKUP(WWWW[[#This Row],[Site Name]],SiteDB6[[Site Name]:[Location Type 1]],9,FALSE)</f>
        <v>Camp</v>
      </c>
      <c r="DM616" s="711" t="str">
        <f>VLOOKUP(WWWW[[#This Row],[Site Name]],SiteDB6[[Site Name]:[Type of Accommodation]],10,FALSE)</f>
        <v>Closed Camp</v>
      </c>
      <c r="DN616" s="711" t="str">
        <f>VLOOKUP(WWWW[[#This Row],[Site Name]],SiteDB6[[Site Name]:[Ethnic or GCA/NGCA]],11,FALSE)</f>
        <v>GCA</v>
      </c>
      <c r="DO616" s="711">
        <f>VLOOKUP(WWWW[[#This Row],[Site Name]],SiteDB6[[Site Name]:[Lat]],12,FALSE)</f>
        <v>24.251860000000001</v>
      </c>
      <c r="DP616" s="711">
        <f>VLOOKUP(WWWW[[#This Row],[Site Name]],SiteDB6[[Site Name]:[Long]],13,FALSE)</f>
        <v>97.346940000000004</v>
      </c>
      <c r="DQ616" s="711" t="str">
        <f>VLOOKUP(WWWW[[#This Row],[Site Name]],SiteDB6[[Site Name]:[Pcode]],3,FALSE)</f>
        <v>MMR001CMP058</v>
      </c>
      <c r="DR616" s="709" t="str">
        <f t="shared" si="23"/>
        <v>Covered</v>
      </c>
      <c r="DS616" s="709"/>
    </row>
    <row r="617" spans="1:138">
      <c r="A617" s="701" t="s">
        <v>2519</v>
      </c>
      <c r="B617" s="701" t="s">
        <v>200</v>
      </c>
      <c r="C617" s="702" t="s">
        <v>200</v>
      </c>
      <c r="D617" s="702" t="s">
        <v>2960</v>
      </c>
      <c r="E617" s="702" t="s">
        <v>39</v>
      </c>
      <c r="F617" s="702" t="s">
        <v>40</v>
      </c>
      <c r="G617" s="711" t="str">
        <f>VLOOKUP(WWWW[[#This Row],[Site Name]],SiteDB6[[Site Name]:[Location Type]],8,FALSE)</f>
        <v>Camp</v>
      </c>
      <c r="H617" s="702" t="s">
        <v>201</v>
      </c>
      <c r="I617" s="705">
        <v>175</v>
      </c>
      <c r="J617" s="705">
        <v>807</v>
      </c>
      <c r="K617" s="706">
        <v>43466</v>
      </c>
      <c r="L617" s="707">
        <v>43830</v>
      </c>
      <c r="M617" s="705"/>
      <c r="N617" s="705"/>
      <c r="O617" s="705"/>
      <c r="P617" s="705"/>
      <c r="Q617" s="708" t="s">
        <v>43</v>
      </c>
      <c r="R617" s="705">
        <v>2</v>
      </c>
      <c r="S617" s="705">
        <v>3</v>
      </c>
      <c r="T617" s="807">
        <v>2</v>
      </c>
      <c r="U617" s="705"/>
      <c r="V617" s="705"/>
      <c r="W617" s="705">
        <v>2</v>
      </c>
      <c r="X617" s="705">
        <v>3</v>
      </c>
      <c r="Y617" s="705"/>
      <c r="Z617" s="705"/>
      <c r="AA617" s="705"/>
      <c r="AB617" s="705"/>
      <c r="AC617" s="705"/>
      <c r="AD617" s="705"/>
      <c r="AE617" s="705"/>
      <c r="AF617" s="705"/>
      <c r="AG617" s="705"/>
      <c r="AH617" s="705"/>
      <c r="AI617" s="705"/>
      <c r="AJ617" s="705"/>
      <c r="AK617" s="705"/>
      <c r="AL617" s="705"/>
      <c r="AM617" s="705"/>
      <c r="AN617" s="705"/>
      <c r="AO617" s="709"/>
      <c r="AP617" s="705">
        <v>40</v>
      </c>
      <c r="AQ617" s="705"/>
      <c r="AR617" s="710"/>
      <c r="AS617" s="705"/>
      <c r="AT617" s="705"/>
      <c r="AU617" s="705"/>
      <c r="AV617" s="705"/>
      <c r="AW617" s="705"/>
      <c r="AX617" s="711" t="s">
        <v>43</v>
      </c>
      <c r="AY617" s="709" t="s">
        <v>145</v>
      </c>
      <c r="AZ617" s="705"/>
      <c r="BA617" s="705">
        <v>1</v>
      </c>
      <c r="BB617" s="705"/>
      <c r="BC617" s="711"/>
      <c r="BD617" s="705">
        <v>16</v>
      </c>
      <c r="BE617" s="705"/>
      <c r="BF617" s="705"/>
      <c r="BG617" s="705">
        <v>7</v>
      </c>
      <c r="BH617" s="705"/>
      <c r="BI617" s="705"/>
      <c r="BJ617" s="705"/>
      <c r="BK617" s="705">
        <v>175</v>
      </c>
      <c r="BL617" s="705">
        <v>50</v>
      </c>
      <c r="BM617" s="711"/>
      <c r="BN617" s="712"/>
      <c r="BO617" s="710"/>
      <c r="BP617" s="711"/>
      <c r="BQ617" s="713" t="str">
        <f>IFERROR(WWWW[[#This Row],['#_Water sources treated]]/WWWW[[#This Row],['#_Water sources tested for contamination]],"no test")</f>
        <v>no test</v>
      </c>
      <c r="BR617" s="710" t="str">
        <f>IFERROR(WWWW[[#This Row],['#_Household received remediation action due to contamination]]/WWWW[[#This Row],['#_Household water samples tested for contamination]],"no test")</f>
        <v>no test</v>
      </c>
      <c r="BS617" s="712" t="str">
        <f>IF(AND(WWWW[[#This Row],[% of water sources treated]]="no test",WWWW[[#This Row],[% Household received corrective actions]]="no test"),"No Test","Tested")</f>
        <v>No Test</v>
      </c>
      <c r="BT617" s="712">
        <f>WWWW[[#This Row],['#_Constructed/existing protected hand dug well]]-WWWW[[#This Row],['#_Non-functional protected hand dug well]]</f>
        <v>2</v>
      </c>
      <c r="BU617" s="712">
        <f>(WWWW[[#This Row],['#_Constructed/Existing tube wells/boreholes/handpumps_WASH_agency]]+WWWW[[#This Row],['#_Non-Cluster partner water tube-wells/boreholes/handpumps]])-WWWW[[#This Row],['#_Non-functional tube wells/boreholes/handpumps]]</f>
        <v>5</v>
      </c>
      <c r="BV617" s="712">
        <f>WWWW[[#This Row],['#_Constructed/Existingwater storage tank with gravity fed reticulation system]]-WWWW[[#This Row],['#_Non-functional storage tank gravity fed reticulation system]]</f>
        <v>0</v>
      </c>
      <c r="BW617" s="712">
        <f>WWWW[[#This Row],['#_Water boating or water trucking]]</f>
        <v>0</v>
      </c>
      <c r="BX617" s="712">
        <f>WWWW[[#This Row],['#_Constructed/Existing water distribution system from river or natural spring]]</f>
        <v>0</v>
      </c>
      <c r="BY61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1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17" s="710">
        <f>IF(WWWW[[#This Row],[Location Type 1]]="Village",WWWW[[#This Row],[Access to safe drinking water for Village]],WWWW[[#This Row],[Access to safe drinking water for Camp]])</f>
        <v>1</v>
      </c>
      <c r="CB617" s="708">
        <f>WWWW[[#This Row],[%Equitable and continuous access to sufficient quantity of safe drinking water]]*WWWW[[#This Row],[Total PoP ]]</f>
        <v>807</v>
      </c>
      <c r="CC617" s="710">
        <f>IF((WWWW[[#This Row],['#_Constructed/Existing protected/fenced ponds]]*250)/WWWW[[#This Row],[Total PoP ]]&gt;1,1,(WWWW[[#This Row],['#_Constructed/Existing protected/fenced ponds]]*250)/WWWW[[#This Row],[Total PoP ]])</f>
        <v>0</v>
      </c>
      <c r="CD617" s="708">
        <f>WWWW[[#This Row],[% Access to unimproved water points]]*WWWW[[#This Row],[Total PoP ]]</f>
        <v>0</v>
      </c>
      <c r="CE61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1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807</v>
      </c>
      <c r="CG617" s="708">
        <f>WWWW[[#This Row],[HRP1]]/500</f>
        <v>1.6140000000000001</v>
      </c>
      <c r="CH617" s="714">
        <f>1-WWWW[[#This Row],[% Equitable and continuous access to sufficient quantity of domestic water]]</f>
        <v>0</v>
      </c>
      <c r="CI617" s="708">
        <f>WWWW[[#This Row],[%equitable and continuous access to sufficient quantity of safe drinking and domestic water''s GAP]]*WWWW[[#This Row],[Total PoP ]]</f>
        <v>0</v>
      </c>
      <c r="CJ617" s="712">
        <f>IF(WWWW[[#This Row],[Total required water points]]-WWWW[[#This Row],['#Water points coverage]]&lt;0,0,WWWW[[#This Row],[Total required water points]]-WWWW[[#This Row],['#Water points coverage]])</f>
        <v>0.3859999999999999</v>
      </c>
      <c r="CK617" s="712">
        <f>ROUND(IF(WWWW[[#This Row],[Total PoP ]]&lt;500,1,WWWW[[#This Row],[Total PoP ]]/500),0)</f>
        <v>2</v>
      </c>
      <c r="CL617" s="712">
        <f>(WWWW[[#This Row],['#_Constructed latrines_by_WASHAgencies]]+WWWW[[#This Row],['#_Non Cluster partner latrines]])-WWWW[[#This Row],['#_Non-functional latrines]]</f>
        <v>40</v>
      </c>
      <c r="CM61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0.99132589838909546</v>
      </c>
      <c r="CN61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800</v>
      </c>
      <c r="CO61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7" s="712">
        <f>IF(WWWW[[#This Row],[Location Type 1]]="Village","NA",IF(WWWW[[#This Row],['#_Constructed/Existing latrines in TLS]]*50&gt;WWWW[[#This Row],['#_students at TLS_CFS]],WWWW[[#This Row],['#_students at TLS_CFS]],(WWWW[[#This Row],['#_Constructed/Existing latrines in TLS]]*50)))</f>
        <v>0</v>
      </c>
      <c r="CQ617" s="712">
        <f>ROUND(IF(WWWW[[#This Row],[Location Type 1]]="camp",WWWW[[#This Row],[Total PoP ]]/20,IF(WWWW[[#This Row],[Location Type 1]]="Temporary Location",WWWW[[#This Row],[Total PoP ]]/50,(WWWW[[#This Row],[Total PoP ]]/6))),0)</f>
        <v>40</v>
      </c>
      <c r="CR617" s="712">
        <f>IF(WWWW[[#This Row],[Total required Latrines]]-(WWWW[[#This Row],['#_Constructed latrines_by_WASHAgencies]]+WWWW[[#This Row],['#_Non Cluster partner latrines]])&lt;0,0,WWWW[[#This Row],[Total required Latrines]]-(WWWW[[#This Row],['#_Constructed latrines_by_WASHAgencies]]+WWWW[[#This Row],['#_Non Cluster partner latrines]]))</f>
        <v>0</v>
      </c>
      <c r="CS617" s="714">
        <f>1-WWWW[[#This Row],[% people access to functioning Latrine]]</f>
        <v>8.6741016109045388E-3</v>
      </c>
      <c r="CT617" s="713">
        <f>IF(OR(WWWW[[#This Row],['#_Non-functional latrines]]="",WWWW[[#This Row],['#_Non-functional latrines]]=0),0,WWWW[[#This Row],['#_Non-functional latrines]]/(WWWW[[#This Row],['#_Constructed latrines_by_WASHAgencies]]+WWWW[[#This Row],['#_Non Cluster partner latrines]]))</f>
        <v>0</v>
      </c>
      <c r="CU617" s="708">
        <f>IF(500*(WWWW[[#This Row],['#_male hygiene promoters]]+WWWW[[#This Row],['#_female hygiene promoters]])&gt;WWWW[[#This Row],[Total PoP ]],WWWW[[#This Row],[Total PoP ]],500*(WWWW[[#This Row],['#_male hygiene promoters]]+WWWW[[#This Row],['#_female hygiene promoters]]))</f>
        <v>0</v>
      </c>
      <c r="CV61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807</v>
      </c>
      <c r="CW61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250</v>
      </c>
      <c r="CX617" s="712">
        <f>IF(WWWW[[#This Row],['# People with access to soap]]&gt;WWWW[[#This Row],['# People with access to Sanity Pads]],WWWW[[#This Row],['# People with access to soap]],WWWW[[#This Row],['# People with access to Sanity Pads]])</f>
        <v>807</v>
      </c>
      <c r="CY617" s="712">
        <f>IF(WWWW[[#This Row],['# people reached by regular dedicated hygiene promotion_5]]&gt;WWWW[[#This Row],['# People received regular supply of hygiene items_6]],WWWW[[#This Row],['# people reached by regular dedicated hygiene promotion_5]],WWWW[[#This Row],['# People received regular supply of hygiene items_6]])</f>
        <v>807</v>
      </c>
      <c r="CZ617" s="714">
        <f>IF(WWWW[[#This Row],[HRP3]]/WWWW[[#This Row],[Total PoP ]]&gt;100%,100%,WWWW[[#This Row],[HRP3]]/WWWW[[#This Row],[Total PoP ]])</f>
        <v>1</v>
      </c>
      <c r="DA617" s="713">
        <f>1-WWWW[[#This Row],[Hygiene Coverage%]]</f>
        <v>0</v>
      </c>
      <c r="DB617" s="710">
        <f>WWWW[[#This Row],['# people reached by regular dedicated hygiene promotion_5]]/WWWW[[#This Row],[Total PoP ]]</f>
        <v>0</v>
      </c>
      <c r="DC617" s="710">
        <f>IF(WWWW[[#This Row],['#_households that received standard amount of soap for this quarter]]/WWWW[[#This Row],[Total HH]]&gt;1,1,WWWW[[#This Row],['#_households that received standard amount of soap for this quarter]]/WWWW[[#This Row],[Total HH]])</f>
        <v>1</v>
      </c>
      <c r="DD617" s="710">
        <f>IF(WWWW[[#This Row],['#_households that received standard amount of sanitary pads for this quarter]]/WWWW[[#This Row],[Total HH]]&gt;1,1,WWWW[[#This Row],['#_households that received standard amount of sanitary pads for this quarter]]/WWWW[[#This Row],[Total HH]])</f>
        <v>0.2857142857142857</v>
      </c>
      <c r="DE617" s="712">
        <f>WWWW[[#This Row],['#_Constructed/Existing hand washing stations]]-WWWW[[#This Row],['#_Non-Functional_hand_washing_stations]]</f>
        <v>16</v>
      </c>
      <c r="DF617" s="757">
        <f>IF(WWWW[[#This Row],['# Functional hand washing stations during reporting period]]*20&gt;WWWW[[#This Row],[Total HH]],WWWW[[#This Row],[Total HH]],WWWW[[#This Row],['# Functional hand washing stations during reporting period]]*20)</f>
        <v>175</v>
      </c>
      <c r="DG617" s="708">
        <f>IF(WWWW[[#This Row],[Is sufficient soap available for TLS? (Yes/No)]]="yes",WWWW[[#This Row],['#_Constructed/Existing hand washing stations at TLS]],0)</f>
        <v>0</v>
      </c>
      <c r="DH617" s="759">
        <f>IF(WWWW[[#This Row],['# Functional hand washing stations during reporting period]]*100&gt;WWWW[[#This Row],[Total PoP ]],WWWW[[#This Row],[Total PoP ]],WWWW[[#This Row],['# Functional hand washing stations during reporting period]]*100)</f>
        <v>807</v>
      </c>
      <c r="DI617" s="759" t="str">
        <f>IF(OR(WWWW[[#This Row],['#_students at TLS_CFS]]="",WWWW[[#This Row],['#_students at TLS_CFS]]=0),"No","Yes")</f>
        <v>No</v>
      </c>
      <c r="DJ617" s="711" t="str">
        <f>VLOOKUP(WWWW[[#This Row],[Site Name]],SiteDB6[[Site Name]:[CCCM Management]],6,FALSE)</f>
        <v>Yes</v>
      </c>
      <c r="DK617" s="711" t="str">
        <f>VLOOKUP(WWWW[[#This Row],[Site Name]],SiteDB6[[Site Name]:[CCCM Focal Agency]],7,FALSE)</f>
        <v>KBC</v>
      </c>
      <c r="DL617" s="711" t="str">
        <f>VLOOKUP(WWWW[[#This Row],[Site Name]],SiteDB6[[Site Name]:[Location Type 1]],9,FALSE)</f>
        <v>Camp</v>
      </c>
      <c r="DM617" s="711" t="str">
        <f>VLOOKUP(WWWW[[#This Row],[Site Name]],SiteDB6[[Site Name]:[Type of Accommodation]],10,FALSE)</f>
        <v>Camp</v>
      </c>
      <c r="DN617" s="711" t="str">
        <f>VLOOKUP(WWWW[[#This Row],[Site Name]],SiteDB6[[Site Name]:[Ethnic or GCA/NGCA]],11,FALSE)</f>
        <v>GCA</v>
      </c>
      <c r="DO617" s="711">
        <f>VLOOKUP(WWWW[[#This Row],[Site Name]],SiteDB6[[Site Name]:[Lat]],12,FALSE)</f>
        <v>24.129059999999999</v>
      </c>
      <c r="DP617" s="711">
        <f>VLOOKUP(WWWW[[#This Row],[Site Name]],SiteDB6[[Site Name]:[Long]],13,FALSE)</f>
        <v>97.291820000000001</v>
      </c>
      <c r="DQ617" s="711" t="str">
        <f>VLOOKUP(WWWW[[#This Row],[Site Name]],SiteDB6[[Site Name]:[Pcode]],3,FALSE)</f>
        <v>MMR001CMP066</v>
      </c>
      <c r="DR617" s="709" t="str">
        <f t="shared" si="23"/>
        <v>Covered</v>
      </c>
      <c r="DS617" s="709"/>
    </row>
    <row r="618" spans="1:138">
      <c r="A618" s="701" t="s">
        <v>2519</v>
      </c>
      <c r="B618" s="701" t="s">
        <v>317</v>
      </c>
      <c r="C618" s="702" t="s">
        <v>317</v>
      </c>
      <c r="D618" s="702"/>
      <c r="E618" s="702" t="s">
        <v>39</v>
      </c>
      <c r="F618" s="702" t="s">
        <v>213</v>
      </c>
      <c r="G618" s="711" t="str">
        <f>VLOOKUP(WWWW[[#This Row],[Site Name]],SiteDB6[[Site Name]:[Location Type]],8,FALSE)</f>
        <v>Camp</v>
      </c>
      <c r="H618" s="702" t="s">
        <v>1026</v>
      </c>
      <c r="I618" s="705">
        <v>3</v>
      </c>
      <c r="J618" s="705">
        <v>18</v>
      </c>
      <c r="K618" s="706"/>
      <c r="L618" s="707"/>
      <c r="M618" s="705"/>
      <c r="N618" s="705"/>
      <c r="O618" s="705"/>
      <c r="P618" s="705"/>
      <c r="Q618" s="708"/>
      <c r="R618" s="705"/>
      <c r="S618" s="705"/>
      <c r="T618" s="807"/>
      <c r="U618" s="705"/>
      <c r="V618" s="705"/>
      <c r="W618" s="705"/>
      <c r="X618" s="705"/>
      <c r="Y618" s="705"/>
      <c r="Z618" s="705"/>
      <c r="AA618" s="705"/>
      <c r="AB618" s="705"/>
      <c r="AC618" s="705"/>
      <c r="AD618" s="705"/>
      <c r="AE618" s="705"/>
      <c r="AF618" s="705"/>
      <c r="AG618" s="705"/>
      <c r="AH618" s="705"/>
      <c r="AI618" s="705"/>
      <c r="AJ618" s="705"/>
      <c r="AK618" s="705"/>
      <c r="AL618" s="705"/>
      <c r="AM618" s="705"/>
      <c r="AN618" s="705"/>
      <c r="AO618" s="709"/>
      <c r="AP618" s="705"/>
      <c r="AQ618" s="705"/>
      <c r="AR618" s="710"/>
      <c r="AS618" s="705"/>
      <c r="AT618" s="705"/>
      <c r="AU618" s="705"/>
      <c r="AV618" s="705"/>
      <c r="AW618" s="705"/>
      <c r="AX618" s="711"/>
      <c r="AY618" s="709"/>
      <c r="AZ618" s="705"/>
      <c r="BA618" s="705"/>
      <c r="BB618" s="705"/>
      <c r="BC618" s="711"/>
      <c r="BD618" s="705"/>
      <c r="BE618" s="705"/>
      <c r="BF618" s="705"/>
      <c r="BG618" s="705"/>
      <c r="BH618" s="705"/>
      <c r="BI618" s="705"/>
      <c r="BJ618" s="705"/>
      <c r="BK618" s="705"/>
      <c r="BL618" s="705"/>
      <c r="BM618" s="711"/>
      <c r="BN618" s="712"/>
      <c r="BO618" s="710"/>
      <c r="BP618" s="711"/>
      <c r="BQ618" s="713" t="str">
        <f>IFERROR(WWWW[[#This Row],['#_Water sources treated]]/WWWW[[#This Row],['#_Water sources tested for contamination]],"no test")</f>
        <v>no test</v>
      </c>
      <c r="BR618" s="710" t="str">
        <f>IFERROR(WWWW[[#This Row],['#_Household received remediation action due to contamination]]/WWWW[[#This Row],['#_Household water samples tested for contamination]],"no test")</f>
        <v>no test</v>
      </c>
      <c r="BS618" s="712" t="str">
        <f>IF(AND(WWWW[[#This Row],[% of water sources treated]]="no test",WWWW[[#This Row],[% Household received corrective actions]]="no test"),"No Test","Tested")</f>
        <v>No Test</v>
      </c>
      <c r="BT618" s="712">
        <f>WWWW[[#This Row],['#_Constructed/existing protected hand dug well]]-WWWW[[#This Row],['#_Non-functional protected hand dug well]]</f>
        <v>0</v>
      </c>
      <c r="BU618" s="712">
        <f>(WWWW[[#This Row],['#_Constructed/Existing tube wells/boreholes/handpumps_WASH_agency]]+WWWW[[#This Row],['#_Non-Cluster partner water tube-wells/boreholes/handpumps]])-WWWW[[#This Row],['#_Non-functional tube wells/boreholes/handpumps]]</f>
        <v>0</v>
      </c>
      <c r="BV618" s="712">
        <f>WWWW[[#This Row],['#_Constructed/Existingwater storage tank with gravity fed reticulation system]]-WWWW[[#This Row],['#_Non-functional storage tank gravity fed reticulation system]]</f>
        <v>0</v>
      </c>
      <c r="BW618" s="712">
        <f>WWWW[[#This Row],['#_Water boating or water trucking]]</f>
        <v>0</v>
      </c>
      <c r="BX618" s="712">
        <f>WWWW[[#This Row],['#_Constructed/Existing water distribution system from river or natural spring]]</f>
        <v>0</v>
      </c>
      <c r="BY61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1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18" s="710">
        <f>IF(WWWW[[#This Row],[Location Type 1]]="Village",WWWW[[#This Row],[Access to safe drinking water for Village]],WWWW[[#This Row],[Access to safe drinking water for Camp]])</f>
        <v>0</v>
      </c>
      <c r="CB618" s="708">
        <f>WWWW[[#This Row],[%Equitable and continuous access to sufficient quantity of safe drinking water]]*WWWW[[#This Row],[Total PoP ]]</f>
        <v>0</v>
      </c>
      <c r="CC618" s="710">
        <f>IF((WWWW[[#This Row],['#_Constructed/Existing protected/fenced ponds]]*250)/WWWW[[#This Row],[Total PoP ]]&gt;1,1,(WWWW[[#This Row],['#_Constructed/Existing protected/fenced ponds]]*250)/WWWW[[#This Row],[Total PoP ]])</f>
        <v>0</v>
      </c>
      <c r="CD618" s="708">
        <f>WWWW[[#This Row],[% Access to unimproved water points]]*WWWW[[#This Row],[Total PoP ]]</f>
        <v>0</v>
      </c>
      <c r="CE61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1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18" s="708">
        <f>WWWW[[#This Row],[HRP1]]/500</f>
        <v>0</v>
      </c>
      <c r="CH618" s="714">
        <f>1-WWWW[[#This Row],[% Equitable and continuous access to sufficient quantity of domestic water]]</f>
        <v>1</v>
      </c>
      <c r="CI618" s="708">
        <f>WWWW[[#This Row],[%equitable and continuous access to sufficient quantity of safe drinking and domestic water''s GAP]]*WWWW[[#This Row],[Total PoP ]]</f>
        <v>18</v>
      </c>
      <c r="CJ618" s="712">
        <f>IF(WWWW[[#This Row],[Total required water points]]-WWWW[[#This Row],['#Water points coverage]]&lt;0,0,WWWW[[#This Row],[Total required water points]]-WWWW[[#This Row],['#Water points coverage]])</f>
        <v>1</v>
      </c>
      <c r="CK618" s="712">
        <f>ROUND(IF(WWWW[[#This Row],[Total PoP ]]&lt;500,1,WWWW[[#This Row],[Total PoP ]]/500),0)</f>
        <v>1</v>
      </c>
      <c r="CL618" s="712">
        <f>(WWWW[[#This Row],['#_Constructed latrines_by_WASHAgencies]]+WWWW[[#This Row],['#_Non Cluster partner latrines]])-WWWW[[#This Row],['#_Non-functional latrines]]</f>
        <v>0</v>
      </c>
      <c r="CM61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1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1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18" s="712">
        <f>IF(WWWW[[#This Row],[Location Type 1]]="Village","NA",IF(WWWW[[#This Row],['#_Constructed/Existing latrines in TLS]]*50&gt;WWWW[[#This Row],['#_students at TLS_CFS]],WWWW[[#This Row],['#_students at TLS_CFS]],(WWWW[[#This Row],['#_Constructed/Existing latrines in TLS]]*50)))</f>
        <v>0</v>
      </c>
      <c r="CQ618" s="712">
        <f>ROUND(IF(WWWW[[#This Row],[Location Type 1]]="camp",WWWW[[#This Row],[Total PoP ]]/20,IF(WWWW[[#This Row],[Location Type 1]]="Temporary Location",WWWW[[#This Row],[Total PoP ]]/50,(WWWW[[#This Row],[Total PoP ]]/6))),0)</f>
        <v>1</v>
      </c>
      <c r="CR618" s="712">
        <f>IF(WWWW[[#This Row],[Total required Latrines]]-(WWWW[[#This Row],['#_Constructed latrines_by_WASHAgencies]]+WWWW[[#This Row],['#_Non Cluster partner latrines]])&lt;0,0,WWWW[[#This Row],[Total required Latrines]]-(WWWW[[#This Row],['#_Constructed latrines_by_WASHAgencies]]+WWWW[[#This Row],['#_Non Cluster partner latrines]]))</f>
        <v>1</v>
      </c>
      <c r="CS618" s="714">
        <f>1-WWWW[[#This Row],[% people access to functioning Latrine]]</f>
        <v>1</v>
      </c>
      <c r="CT618" s="713">
        <f>IF(OR(WWWW[[#This Row],['#_Non-functional latrines]]="",WWWW[[#This Row],['#_Non-functional latrines]]=0),0,WWWW[[#This Row],['#_Non-functional latrines]]/(WWWW[[#This Row],['#_Constructed latrines_by_WASHAgencies]]+WWWW[[#This Row],['#_Non Cluster partner latrines]]))</f>
        <v>0</v>
      </c>
      <c r="CU618" s="708">
        <f>IF(500*(WWWW[[#This Row],['#_male hygiene promoters]]+WWWW[[#This Row],['#_female hygiene promoters]])&gt;WWWW[[#This Row],[Total PoP ]],WWWW[[#This Row],[Total PoP ]],500*(WWWW[[#This Row],['#_male hygiene promoters]]+WWWW[[#This Row],['#_female hygiene promoters]]))</f>
        <v>0</v>
      </c>
      <c r="CV61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1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18" s="712">
        <f>IF(WWWW[[#This Row],['# People with access to soap]]&gt;WWWW[[#This Row],['# People with access to Sanity Pads]],WWWW[[#This Row],['# People with access to soap]],WWWW[[#This Row],['# People with access to Sanity Pads]])</f>
        <v>0</v>
      </c>
      <c r="CY61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18" s="714">
        <f>IF(WWWW[[#This Row],[HRP3]]/WWWW[[#This Row],[Total PoP ]]&gt;100%,100%,WWWW[[#This Row],[HRP3]]/WWWW[[#This Row],[Total PoP ]])</f>
        <v>0</v>
      </c>
      <c r="DA618" s="713">
        <f>1-WWWW[[#This Row],[Hygiene Coverage%]]</f>
        <v>1</v>
      </c>
      <c r="DB618" s="710">
        <f>WWWW[[#This Row],['# people reached by regular dedicated hygiene promotion_5]]/WWWW[[#This Row],[Total PoP ]]</f>
        <v>0</v>
      </c>
      <c r="DC618" s="710">
        <f>IF(WWWW[[#This Row],['#_households that received standard amount of soap for this quarter]]/WWWW[[#This Row],[Total HH]]&gt;1,1,WWWW[[#This Row],['#_households that received standard amount of soap for this quarter]]/WWWW[[#This Row],[Total HH]])</f>
        <v>0</v>
      </c>
      <c r="DD618" s="710">
        <f>IF(WWWW[[#This Row],['#_households that received standard amount of sanitary pads for this quarter]]/WWWW[[#This Row],[Total HH]]&gt;1,1,WWWW[[#This Row],['#_households that received standard amount of sanitary pads for this quarter]]/WWWW[[#This Row],[Total HH]])</f>
        <v>0</v>
      </c>
      <c r="DE618" s="712">
        <f>WWWW[[#This Row],['#_Constructed/Existing hand washing stations]]-WWWW[[#This Row],['#_Non-Functional_hand_washing_stations]]</f>
        <v>0</v>
      </c>
      <c r="DF618" s="757">
        <f>IF(WWWW[[#This Row],['# Functional hand washing stations during reporting period]]*20&gt;WWWW[[#This Row],[Total HH]],WWWW[[#This Row],[Total HH]],WWWW[[#This Row],['# Functional hand washing stations during reporting period]]*20)</f>
        <v>0</v>
      </c>
      <c r="DG618" s="708">
        <f>IF(WWWW[[#This Row],[Is sufficient soap available for TLS? (Yes/No)]]="yes",WWWW[[#This Row],['#_Constructed/Existing hand washing stations at TLS]],0)</f>
        <v>0</v>
      </c>
      <c r="DH618" s="759">
        <f>IF(WWWW[[#This Row],['# Functional hand washing stations during reporting period]]*100&gt;WWWW[[#This Row],[Total PoP ]],WWWW[[#This Row],[Total PoP ]],WWWW[[#This Row],['# Functional hand washing stations during reporting period]]*100)</f>
        <v>0</v>
      </c>
      <c r="DI618" s="759" t="str">
        <f>IF(OR(WWWW[[#This Row],['#_students at TLS_CFS]]="",WWWW[[#This Row],['#_students at TLS_CFS]]=0),"No","Yes")</f>
        <v>No</v>
      </c>
      <c r="DJ618" s="711">
        <f>VLOOKUP(WWWW[[#This Row],[Site Name]],SiteDB6[[Site Name]:[CCCM Management]],6,FALSE)</f>
        <v>0</v>
      </c>
      <c r="DK618" s="711" t="str">
        <f>VLOOKUP(WWWW[[#This Row],[Site Name]],SiteDB6[[Site Name]:[CCCM Focal Agency]],7,FALSE)</f>
        <v>uncovered</v>
      </c>
      <c r="DL618" s="711" t="str">
        <f>VLOOKUP(WWWW[[#This Row],[Site Name]],SiteDB6[[Site Name]:[Location Type 1]],9,FALSE)</f>
        <v>Camp</v>
      </c>
      <c r="DM618" s="711" t="str">
        <f>VLOOKUP(WWWW[[#This Row],[Site Name]],SiteDB6[[Site Name]:[Type of Accommodation]],10,FALSE)</f>
        <v>Host Families</v>
      </c>
      <c r="DN618" s="711" t="str">
        <f>VLOOKUP(WWWW[[#This Row],[Site Name]],SiteDB6[[Site Name]:[Ethnic or GCA/NGCA]],11,FALSE)</f>
        <v>GCA</v>
      </c>
      <c r="DO618" s="711">
        <f>VLOOKUP(WWWW[[#This Row],[Site Name]],SiteDB6[[Site Name]:[Lat]],12,FALSE)</f>
        <v>24.377054000000001</v>
      </c>
      <c r="DP618" s="711">
        <f>VLOOKUP(WWWW[[#This Row],[Site Name]],SiteDB6[[Site Name]:[Long]],13,FALSE)</f>
        <v>97.343406999999999</v>
      </c>
      <c r="DQ618" s="711" t="str">
        <f>VLOOKUP(WWWW[[#This Row],[Site Name]],SiteDB6[[Site Name]:[Pcode]],3,FALSE)</f>
        <v>MMR001CMP200</v>
      </c>
      <c r="DR618" s="709" t="str">
        <f t="shared" si="23"/>
        <v>Notcovered</v>
      </c>
      <c r="DS618" s="709"/>
    </row>
    <row r="619" spans="1:138">
      <c r="A619" s="701" t="s">
        <v>2519</v>
      </c>
      <c r="B619" s="701" t="s">
        <v>284</v>
      </c>
      <c r="C619" s="702" t="s">
        <v>284</v>
      </c>
      <c r="D619" s="702" t="s">
        <v>2955</v>
      </c>
      <c r="E619" s="702" t="s">
        <v>39</v>
      </c>
      <c r="F619" s="702" t="s">
        <v>213</v>
      </c>
      <c r="G619" s="711" t="str">
        <f>VLOOKUP(WWWW[[#This Row],[Site Name]],SiteDB6[[Site Name]:[Location Type]],8,FALSE)</f>
        <v>Camp</v>
      </c>
      <c r="H619" s="702" t="s">
        <v>291</v>
      </c>
      <c r="I619" s="705">
        <v>203</v>
      </c>
      <c r="J619" s="705">
        <v>1138</v>
      </c>
      <c r="K619" s="706" t="s">
        <v>2956</v>
      </c>
      <c r="L619" s="707" t="s">
        <v>2957</v>
      </c>
      <c r="M619" s="705"/>
      <c r="N619" s="705">
        <v>0</v>
      </c>
      <c r="O619" s="705">
        <v>0</v>
      </c>
      <c r="P619" s="705">
        <v>0</v>
      </c>
      <c r="Q619" s="708" t="s">
        <v>43</v>
      </c>
      <c r="R619" s="705">
        <v>6</v>
      </c>
      <c r="S619" s="705">
        <v>9</v>
      </c>
      <c r="T619" s="807">
        <v>5</v>
      </c>
      <c r="U619" s="705"/>
      <c r="V619" s="705"/>
      <c r="W619" s="705">
        <v>1</v>
      </c>
      <c r="X619" s="705">
        <v>0</v>
      </c>
      <c r="Y619" s="705"/>
      <c r="Z619" s="705"/>
      <c r="AA619" s="705"/>
      <c r="AB619" s="705"/>
      <c r="AC619" s="705"/>
      <c r="AD619" s="705"/>
      <c r="AE619" s="705"/>
      <c r="AF619" s="705"/>
      <c r="AG619" s="705"/>
      <c r="AH619" s="705"/>
      <c r="AI619" s="705">
        <v>4</v>
      </c>
      <c r="AJ619" s="705">
        <v>4</v>
      </c>
      <c r="AK619" s="705">
        <v>22</v>
      </c>
      <c r="AL619" s="705">
        <v>0</v>
      </c>
      <c r="AM619" s="705"/>
      <c r="AN619" s="705"/>
      <c r="AO619" s="709"/>
      <c r="AP619" s="705">
        <v>38</v>
      </c>
      <c r="AQ619" s="705">
        <v>0</v>
      </c>
      <c r="AR619" s="710">
        <v>0</v>
      </c>
      <c r="AS619" s="705"/>
      <c r="AT619" s="705"/>
      <c r="AU619" s="705">
        <v>32</v>
      </c>
      <c r="AV619" s="705"/>
      <c r="AW619" s="705"/>
      <c r="AX619" s="711" t="s">
        <v>43</v>
      </c>
      <c r="AY619" s="709" t="s">
        <v>145</v>
      </c>
      <c r="AZ619" s="705"/>
      <c r="BA619" s="705"/>
      <c r="BB619" s="705"/>
      <c r="BC619" s="711" t="s">
        <v>2959</v>
      </c>
      <c r="BD619" s="705">
        <v>12</v>
      </c>
      <c r="BE619" s="705">
        <v>1</v>
      </c>
      <c r="BF619" s="705"/>
      <c r="BG619" s="705">
        <v>5</v>
      </c>
      <c r="BH619" s="705"/>
      <c r="BI619" s="705"/>
      <c r="BJ619" s="705">
        <v>4</v>
      </c>
      <c r="BK619" s="705">
        <v>71</v>
      </c>
      <c r="BL619" s="705">
        <v>218</v>
      </c>
      <c r="BM619" s="711"/>
      <c r="BN619" s="712"/>
      <c r="BO619" s="710"/>
      <c r="BP619" s="711" t="s">
        <v>2958</v>
      </c>
      <c r="BQ619" s="713">
        <f>IFERROR(WWWW[[#This Row],['#_Water sources treated]]/WWWW[[#This Row],['#_Water sources tested for contamination]],"no test")</f>
        <v>1</v>
      </c>
      <c r="BR619" s="710">
        <f>IFERROR(WWWW[[#This Row],['#_Household received remediation action due to contamination]]/WWWW[[#This Row],['#_Household water samples tested for contamination]],"no test")</f>
        <v>0</v>
      </c>
      <c r="BS619" s="712" t="str">
        <f>IF(AND(WWWW[[#This Row],[% of water sources treated]]="no test",WWWW[[#This Row],[% Household received corrective actions]]="no test"),"No Test","Tested")</f>
        <v>Tested</v>
      </c>
      <c r="BT619" s="712">
        <f>WWWW[[#This Row],['#_Constructed/existing protected hand dug well]]-WWWW[[#This Row],['#_Non-functional protected hand dug well]]</f>
        <v>5</v>
      </c>
      <c r="BU619" s="712">
        <f>(WWWW[[#This Row],['#_Constructed/Existing tube wells/boreholes/handpumps_WASH_agency]]+WWWW[[#This Row],['#_Non-Cluster partner water tube-wells/boreholes/handpumps]])-WWWW[[#This Row],['#_Non-functional tube wells/boreholes/handpumps]]</f>
        <v>1</v>
      </c>
      <c r="BV619" s="712">
        <f>WWWW[[#This Row],['#_Constructed/Existingwater storage tank with gravity fed reticulation system]]-WWWW[[#This Row],['#_Non-functional storage tank gravity fed reticulation system]]</f>
        <v>0</v>
      </c>
      <c r="BW619" s="712">
        <f>WWWW[[#This Row],['#_Water boating or water trucking]]</f>
        <v>0</v>
      </c>
      <c r="BX619" s="712">
        <f>WWWW[[#This Row],['#_Constructed/Existing water distribution system from river or natural spring]]</f>
        <v>0</v>
      </c>
      <c r="BY61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1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19" s="710">
        <f>IF(WWWW[[#This Row],[Location Type 1]]="Village",WWWW[[#This Row],[Access to safe drinking water for Village]],WWWW[[#This Row],[Access to safe drinking water for Camp]])</f>
        <v>1</v>
      </c>
      <c r="CB619" s="708">
        <f>WWWW[[#This Row],[%Equitable and continuous access to sufficient quantity of safe drinking water]]*WWWW[[#This Row],[Total PoP ]]</f>
        <v>1138</v>
      </c>
      <c r="CC619" s="710">
        <f>IF((WWWW[[#This Row],['#_Constructed/Existing protected/fenced ponds]]*250)/WWWW[[#This Row],[Total PoP ]]&gt;1,1,(WWWW[[#This Row],['#_Constructed/Existing protected/fenced ponds]]*250)/WWWW[[#This Row],[Total PoP ]])</f>
        <v>0</v>
      </c>
      <c r="CD619" s="708">
        <f>WWWW[[#This Row],[% Access to unimproved water points]]*WWWW[[#This Row],[Total PoP ]]</f>
        <v>0</v>
      </c>
      <c r="CE61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1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1138</v>
      </c>
      <c r="CG619" s="708">
        <f>WWWW[[#This Row],[HRP1]]/500</f>
        <v>2.2759999999999998</v>
      </c>
      <c r="CH619" s="714">
        <f>1-WWWW[[#This Row],[% Equitable and continuous access to sufficient quantity of domestic water]]</f>
        <v>0</v>
      </c>
      <c r="CI619" s="708">
        <f>WWWW[[#This Row],[%equitable and continuous access to sufficient quantity of safe drinking and domestic water''s GAP]]*WWWW[[#This Row],[Total PoP ]]</f>
        <v>0</v>
      </c>
      <c r="CJ619" s="712">
        <f>IF(WWWW[[#This Row],[Total required water points]]-WWWW[[#This Row],['#Water points coverage]]&lt;0,0,WWWW[[#This Row],[Total required water points]]-WWWW[[#This Row],['#Water points coverage]])</f>
        <v>0</v>
      </c>
      <c r="CK619" s="712">
        <f>ROUND(IF(WWWW[[#This Row],[Total PoP ]]&lt;500,1,WWWW[[#This Row],[Total PoP ]]/500),0)</f>
        <v>2</v>
      </c>
      <c r="CL619" s="712">
        <f>(WWWW[[#This Row],['#_Constructed latrines_by_WASHAgencies]]+WWWW[[#This Row],['#_Non Cluster partner latrines]])-WWWW[[#This Row],['#_Non-functional latrines]]</f>
        <v>38</v>
      </c>
      <c r="CM61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0.66783831282952544</v>
      </c>
      <c r="CN61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760</v>
      </c>
      <c r="CO61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640</v>
      </c>
      <c r="CP619" s="712">
        <f>IF(WWWW[[#This Row],[Location Type 1]]="Village","NA",IF(WWWW[[#This Row],['#_Constructed/Existing latrines in TLS]]*50&gt;WWWW[[#This Row],['#_students at TLS_CFS]],WWWW[[#This Row],['#_students at TLS_CFS]],(WWWW[[#This Row],['#_Constructed/Existing latrines in TLS]]*50)))</f>
        <v>0</v>
      </c>
      <c r="CQ619" s="712">
        <f>ROUND(IF(WWWW[[#This Row],[Location Type 1]]="camp",WWWW[[#This Row],[Total PoP ]]/20,IF(WWWW[[#This Row],[Location Type 1]]="Temporary Location",WWWW[[#This Row],[Total PoP ]]/50,(WWWW[[#This Row],[Total PoP ]]/6))),0)</f>
        <v>57</v>
      </c>
      <c r="CR619" s="712">
        <f>IF(WWWW[[#This Row],[Total required Latrines]]-(WWWW[[#This Row],['#_Constructed latrines_by_WASHAgencies]]+WWWW[[#This Row],['#_Non Cluster partner latrines]])&lt;0,0,WWWW[[#This Row],[Total required Latrines]]-(WWWW[[#This Row],['#_Constructed latrines_by_WASHAgencies]]+WWWW[[#This Row],['#_Non Cluster partner latrines]]))</f>
        <v>19</v>
      </c>
      <c r="CS619" s="714">
        <f>1-WWWW[[#This Row],[% people access to functioning Latrine]]</f>
        <v>0.33216168717047456</v>
      </c>
      <c r="CT619" s="713">
        <f>IF(OR(WWWW[[#This Row],['#_Non-functional latrines]]="",WWWW[[#This Row],['#_Non-functional latrines]]=0),0,WWWW[[#This Row],['#_Non-functional latrines]]/(WWWW[[#This Row],['#_Constructed latrines_by_WASHAgencies]]+WWWW[[#This Row],['#_Non Cluster partner latrines]]))</f>
        <v>0</v>
      </c>
      <c r="CU619" s="708">
        <f>IF(500*(WWWW[[#This Row],['#_male hygiene promoters]]+WWWW[[#This Row],['#_female hygiene promoters]])&gt;WWWW[[#This Row],[Total PoP ]],WWWW[[#This Row],[Total PoP ]],500*(WWWW[[#This Row],['#_male hygiene promoters]]+WWWW[[#This Row],['#_female hygiene promoters]]))</f>
        <v>1138</v>
      </c>
      <c r="CV61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355</v>
      </c>
      <c r="CW61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1090</v>
      </c>
      <c r="CX619" s="712">
        <f>IF(WWWW[[#This Row],['# People with access to soap]]&gt;WWWW[[#This Row],['# People with access to Sanity Pads]],WWWW[[#This Row],['# People with access to soap]],WWWW[[#This Row],['# People with access to Sanity Pads]])</f>
        <v>1090</v>
      </c>
      <c r="CY619" s="712">
        <f>IF(WWWW[[#This Row],['# people reached by regular dedicated hygiene promotion_5]]&gt;WWWW[[#This Row],['# People received regular supply of hygiene items_6]],WWWW[[#This Row],['# people reached by regular dedicated hygiene promotion_5]],WWWW[[#This Row],['# People received regular supply of hygiene items_6]])</f>
        <v>1138</v>
      </c>
      <c r="CZ619" s="714">
        <f>IF(WWWW[[#This Row],[HRP3]]/WWWW[[#This Row],[Total PoP ]]&gt;100%,100%,WWWW[[#This Row],[HRP3]]/WWWW[[#This Row],[Total PoP ]])</f>
        <v>1</v>
      </c>
      <c r="DA619" s="713">
        <f>1-WWWW[[#This Row],[Hygiene Coverage%]]</f>
        <v>0</v>
      </c>
      <c r="DB619" s="710">
        <f>WWWW[[#This Row],['# people reached by regular dedicated hygiene promotion_5]]/WWWW[[#This Row],[Total PoP ]]</f>
        <v>1</v>
      </c>
      <c r="DC619" s="710">
        <f>IF(WWWW[[#This Row],['#_households that received standard amount of soap for this quarter]]/WWWW[[#This Row],[Total HH]]&gt;1,1,WWWW[[#This Row],['#_households that received standard amount of soap for this quarter]]/WWWW[[#This Row],[Total HH]])</f>
        <v>0.34975369458128081</v>
      </c>
      <c r="DD619" s="710">
        <f>IF(WWWW[[#This Row],['#_households that received standard amount of sanitary pads for this quarter]]/WWWW[[#This Row],[Total HH]]&gt;1,1,WWWW[[#This Row],['#_households that received standard amount of sanitary pads for this quarter]]/WWWW[[#This Row],[Total HH]])</f>
        <v>1</v>
      </c>
      <c r="DE619" s="712">
        <f>WWWW[[#This Row],['#_Constructed/Existing hand washing stations]]-WWWW[[#This Row],['#_Non-Functional_hand_washing_stations]]</f>
        <v>11</v>
      </c>
      <c r="DF619" s="757">
        <f>IF(WWWW[[#This Row],['# Functional hand washing stations during reporting period]]*20&gt;WWWW[[#This Row],[Total HH]],WWWW[[#This Row],[Total HH]],WWWW[[#This Row],['# Functional hand washing stations during reporting period]]*20)</f>
        <v>203</v>
      </c>
      <c r="DG619" s="708">
        <f>IF(WWWW[[#This Row],[Is sufficient soap available for TLS? (Yes/No)]]="yes",WWWW[[#This Row],['#_Constructed/Existing hand washing stations at TLS]],0)</f>
        <v>0</v>
      </c>
      <c r="DH619" s="759">
        <f>IF(WWWW[[#This Row],['# Functional hand washing stations during reporting period]]*100&gt;WWWW[[#This Row],[Total PoP ]],WWWW[[#This Row],[Total PoP ]],WWWW[[#This Row],['# Functional hand washing stations during reporting period]]*100)</f>
        <v>1100</v>
      </c>
      <c r="DI619" s="759" t="str">
        <f>IF(OR(WWWW[[#This Row],['#_students at TLS_CFS]]="",WWWW[[#This Row],['#_students at TLS_CFS]]=0),"No","Yes")</f>
        <v>No</v>
      </c>
      <c r="DJ619" s="711" t="str">
        <f>VLOOKUP(WWWW[[#This Row],[Site Name]],SiteDB6[[Site Name]:[CCCM Management]],6,FALSE)</f>
        <v>Yes</v>
      </c>
      <c r="DK619" s="711" t="str">
        <f>VLOOKUP(WWWW[[#This Row],[Site Name]],SiteDB6[[Site Name]:[CCCM Focal Agency]],7,FALSE)</f>
        <v>KBC</v>
      </c>
      <c r="DL619" s="711" t="str">
        <f>VLOOKUP(WWWW[[#This Row],[Site Name]],SiteDB6[[Site Name]:[Location Type 1]],9,FALSE)</f>
        <v>Camp</v>
      </c>
      <c r="DM619" s="711" t="str">
        <f>VLOOKUP(WWWW[[#This Row],[Site Name]],SiteDB6[[Site Name]:[Type of Accommodation]],10,FALSE)</f>
        <v>Camp</v>
      </c>
      <c r="DN619" s="711" t="str">
        <f>VLOOKUP(WWWW[[#This Row],[Site Name]],SiteDB6[[Site Name]:[Ethnic or GCA/NGCA]],11,FALSE)</f>
        <v>GCA</v>
      </c>
      <c r="DO619" s="711">
        <f>VLOOKUP(WWWW[[#This Row],[Site Name]],SiteDB6[[Site Name]:[Lat]],12,FALSE)</f>
        <v>24.200433</v>
      </c>
      <c r="DP619" s="711">
        <f>VLOOKUP(WWWW[[#This Row],[Site Name]],SiteDB6[[Site Name]:[Long]],13,FALSE)</f>
        <v>97.717133000000004</v>
      </c>
      <c r="DQ619" s="711" t="str">
        <f>VLOOKUP(WWWW[[#This Row],[Site Name]],SiteDB6[[Site Name]:[Pcode]],3,FALSE)</f>
        <v>MMR001CMP070</v>
      </c>
      <c r="DR619" s="709" t="str">
        <f t="shared" si="23"/>
        <v>Covered</v>
      </c>
      <c r="DS619" s="709"/>
    </row>
    <row r="620" spans="1:138">
      <c r="A620" s="701" t="s">
        <v>2519</v>
      </c>
      <c r="B620" s="701" t="s">
        <v>284</v>
      </c>
      <c r="C620" s="702" t="s">
        <v>284</v>
      </c>
      <c r="D620" s="702" t="s">
        <v>252</v>
      </c>
      <c r="E620" s="702" t="s">
        <v>39</v>
      </c>
      <c r="F620" s="702" t="s">
        <v>213</v>
      </c>
      <c r="G620" s="711" t="str">
        <f>VLOOKUP(WWWW[[#This Row],[Site Name]],SiteDB6[[Site Name]:[Location Type]],8,FALSE)</f>
        <v>Camp_not registered</v>
      </c>
      <c r="H620" s="702" t="s">
        <v>296</v>
      </c>
      <c r="I620" s="705">
        <v>470</v>
      </c>
      <c r="J620" s="705">
        <v>2350</v>
      </c>
      <c r="K620" s="706" t="s">
        <v>3270</v>
      </c>
      <c r="L620" s="707" t="s">
        <v>3271</v>
      </c>
      <c r="M620" s="705">
        <v>2350</v>
      </c>
      <c r="N620" s="705">
        <v>0</v>
      </c>
      <c r="O620" s="705">
        <v>0</v>
      </c>
      <c r="P620" s="705">
        <v>0</v>
      </c>
      <c r="Q620" s="708"/>
      <c r="R620" s="705"/>
      <c r="S620" s="705"/>
      <c r="T620" s="807">
        <v>0</v>
      </c>
      <c r="U620" s="705"/>
      <c r="V620" s="705"/>
      <c r="W620" s="705"/>
      <c r="X620" s="705">
        <v>0</v>
      </c>
      <c r="Y620" s="705"/>
      <c r="Z620" s="705"/>
      <c r="AA620" s="705"/>
      <c r="AB620" s="705"/>
      <c r="AC620" s="705"/>
      <c r="AD620" s="705"/>
      <c r="AE620" s="705"/>
      <c r="AF620" s="705"/>
      <c r="AG620" s="705"/>
      <c r="AH620" s="705"/>
      <c r="AI620" s="705"/>
      <c r="AJ620" s="705"/>
      <c r="AK620" s="705"/>
      <c r="AL620" s="705"/>
      <c r="AM620" s="705"/>
      <c r="AN620" s="705">
        <v>1</v>
      </c>
      <c r="AO620" s="709"/>
      <c r="AP620" s="705"/>
      <c r="AQ620" s="705"/>
      <c r="AR620" s="710"/>
      <c r="AS620" s="705"/>
      <c r="AT620" s="705"/>
      <c r="AU620" s="705"/>
      <c r="AV620" s="705"/>
      <c r="AW620" s="705"/>
      <c r="AX620" s="711" t="s">
        <v>43</v>
      </c>
      <c r="AY620" s="709" t="s">
        <v>145</v>
      </c>
      <c r="AZ620" s="705">
        <v>0</v>
      </c>
      <c r="BA620" s="705">
        <v>0</v>
      </c>
      <c r="BB620" s="705">
        <v>52</v>
      </c>
      <c r="BC620" s="711"/>
      <c r="BD620" s="705"/>
      <c r="BE620" s="705"/>
      <c r="BF620" s="705"/>
      <c r="BG620" s="705">
        <v>0</v>
      </c>
      <c r="BH620" s="705"/>
      <c r="BI620" s="705">
        <v>0</v>
      </c>
      <c r="BJ620" s="705">
        <v>0</v>
      </c>
      <c r="BK620" s="705"/>
      <c r="BL620" s="705"/>
      <c r="BM620" s="711" t="s">
        <v>43</v>
      </c>
      <c r="BN620" s="712"/>
      <c r="BO620" s="710">
        <v>0</v>
      </c>
      <c r="BP620" s="711"/>
      <c r="BQ620" s="713" t="str">
        <f>IFERROR(WWWW[[#This Row],['#_Water sources treated]]/WWWW[[#This Row],['#_Water sources tested for contamination]],"no test")</f>
        <v>no test</v>
      </c>
      <c r="BR620" s="710" t="str">
        <f>IFERROR(WWWW[[#This Row],['#_Household received remediation action due to contamination]]/WWWW[[#This Row],['#_Household water samples tested for contamination]],"no test")</f>
        <v>no test</v>
      </c>
      <c r="BS620" s="712" t="str">
        <f>IF(AND(WWWW[[#This Row],[% of water sources treated]]="no test",WWWW[[#This Row],[% Household received corrective actions]]="no test"),"No Test","Tested")</f>
        <v>No Test</v>
      </c>
      <c r="BT620" s="712">
        <f>WWWW[[#This Row],['#_Constructed/existing protected hand dug well]]-WWWW[[#This Row],['#_Non-functional protected hand dug well]]</f>
        <v>0</v>
      </c>
      <c r="BU620" s="712">
        <f>(WWWW[[#This Row],['#_Constructed/Existing tube wells/boreholes/handpumps_WASH_agency]]+WWWW[[#This Row],['#_Non-Cluster partner water tube-wells/boreholes/handpumps]])-WWWW[[#This Row],['#_Non-functional tube wells/boreholes/handpumps]]</f>
        <v>0</v>
      </c>
      <c r="BV620" s="712">
        <f>WWWW[[#This Row],['#_Constructed/Existingwater storage tank with gravity fed reticulation system]]-WWWW[[#This Row],['#_Non-functional storage tank gravity fed reticulation system]]</f>
        <v>0</v>
      </c>
      <c r="BW620" s="712">
        <f>WWWW[[#This Row],['#_Water boating or water trucking]]</f>
        <v>0</v>
      </c>
      <c r="BX620" s="712">
        <f>WWWW[[#This Row],['#_Constructed/Existing water distribution system from river or natural spring]]</f>
        <v>0</v>
      </c>
      <c r="BY62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2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20" s="710">
        <f>IF(WWWW[[#This Row],[Location Type 1]]="Village",WWWW[[#This Row],[Access to safe drinking water for Village]],WWWW[[#This Row],[Access to safe drinking water for Camp]])</f>
        <v>0</v>
      </c>
      <c r="CB620" s="708">
        <f>WWWW[[#This Row],[%Equitable and continuous access to sufficient quantity of safe drinking water]]*WWWW[[#This Row],[Total PoP ]]</f>
        <v>0</v>
      </c>
      <c r="CC620" s="710">
        <f>IF((WWWW[[#This Row],['#_Constructed/Existing protected/fenced ponds]]*250)/WWWW[[#This Row],[Total PoP ]]&gt;1,1,(WWWW[[#This Row],['#_Constructed/Existing protected/fenced ponds]]*250)/WWWW[[#This Row],[Total PoP ]])</f>
        <v>0</v>
      </c>
      <c r="CD620" s="708">
        <f>WWWW[[#This Row],[% Access to unimproved water points]]*WWWW[[#This Row],[Total PoP ]]</f>
        <v>0</v>
      </c>
      <c r="CE62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2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20" s="708">
        <f>WWWW[[#This Row],[HRP1]]/500</f>
        <v>0</v>
      </c>
      <c r="CH620" s="714">
        <f>1-WWWW[[#This Row],[% Equitable and continuous access to sufficient quantity of domestic water]]</f>
        <v>1</v>
      </c>
      <c r="CI620" s="708">
        <f>WWWW[[#This Row],[%equitable and continuous access to sufficient quantity of safe drinking and domestic water''s GAP]]*WWWW[[#This Row],[Total PoP ]]</f>
        <v>2350</v>
      </c>
      <c r="CJ620" s="712">
        <f>IF(WWWW[[#This Row],[Total required water points]]-WWWW[[#This Row],['#Water points coverage]]&lt;0,0,WWWW[[#This Row],[Total required water points]]-WWWW[[#This Row],['#Water points coverage]])</f>
        <v>5</v>
      </c>
      <c r="CK620" s="712">
        <f>ROUND(IF(WWWW[[#This Row],[Total PoP ]]&lt;500,1,WWWW[[#This Row],[Total PoP ]]/500),0)</f>
        <v>5</v>
      </c>
      <c r="CL620" s="712">
        <f>(WWWW[[#This Row],['#_Constructed latrines_by_WASHAgencies]]+WWWW[[#This Row],['#_Non Cluster partner latrines]])-WWWW[[#This Row],['#_Non-functional latrines]]</f>
        <v>0</v>
      </c>
      <c r="CM62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2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2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0" s="712">
        <f>IF(WWWW[[#This Row],[Location Type 1]]="Village","NA",IF(WWWW[[#This Row],['#_Constructed/Existing latrines in TLS]]*50&gt;WWWW[[#This Row],['#_students at TLS_CFS]],WWWW[[#This Row],['#_students at TLS_CFS]],(WWWW[[#This Row],['#_Constructed/Existing latrines in TLS]]*50)))</f>
        <v>2350</v>
      </c>
      <c r="CQ620" s="712">
        <f>ROUND(IF(WWWW[[#This Row],[Location Type 1]]="camp",WWWW[[#This Row],[Total PoP ]]/20,IF(WWWW[[#This Row],[Location Type 1]]="Temporary Location",WWWW[[#This Row],[Total PoP ]]/50,(WWWW[[#This Row],[Total PoP ]]/6))),0)</f>
        <v>118</v>
      </c>
      <c r="CR620" s="712">
        <f>IF(WWWW[[#This Row],[Total required Latrines]]-(WWWW[[#This Row],['#_Constructed latrines_by_WASHAgencies]]+WWWW[[#This Row],['#_Non Cluster partner latrines]])&lt;0,0,WWWW[[#This Row],[Total required Latrines]]-(WWWW[[#This Row],['#_Constructed latrines_by_WASHAgencies]]+WWWW[[#This Row],['#_Non Cluster partner latrines]]))</f>
        <v>118</v>
      </c>
      <c r="CS620" s="714">
        <f>1-WWWW[[#This Row],[% people access to functioning Latrine]]</f>
        <v>1</v>
      </c>
      <c r="CT620" s="713">
        <f>IF(OR(WWWW[[#This Row],['#_Non-functional latrines]]="",WWWW[[#This Row],['#_Non-functional latrines]]=0),0,WWWW[[#This Row],['#_Non-functional latrines]]/(WWWW[[#This Row],['#_Constructed latrines_by_WASHAgencies]]+WWWW[[#This Row],['#_Non Cluster partner latrines]]))</f>
        <v>0</v>
      </c>
      <c r="CU620" s="708">
        <f>IF(500*(WWWW[[#This Row],['#_male hygiene promoters]]+WWWW[[#This Row],['#_female hygiene promoters]])&gt;WWWW[[#This Row],[Total PoP ]],WWWW[[#This Row],[Total PoP ]],500*(WWWW[[#This Row],['#_male hygiene promoters]]+WWWW[[#This Row],['#_female hygiene promoters]]))</f>
        <v>0</v>
      </c>
      <c r="CV62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2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20" s="712">
        <f>IF(WWWW[[#This Row],['# People with access to soap]]&gt;WWWW[[#This Row],['# People with access to Sanity Pads]],WWWW[[#This Row],['# People with access to soap]],WWWW[[#This Row],['# People with access to Sanity Pads]])</f>
        <v>0</v>
      </c>
      <c r="CY62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20" s="714">
        <f>IF(WWWW[[#This Row],[HRP3]]/WWWW[[#This Row],[Total PoP ]]&gt;100%,100%,WWWW[[#This Row],[HRP3]]/WWWW[[#This Row],[Total PoP ]])</f>
        <v>0</v>
      </c>
      <c r="DA620" s="713">
        <f>1-WWWW[[#This Row],[Hygiene Coverage%]]</f>
        <v>1</v>
      </c>
      <c r="DB620" s="710">
        <f>WWWW[[#This Row],['# people reached by regular dedicated hygiene promotion_5]]/WWWW[[#This Row],[Total PoP ]]</f>
        <v>0</v>
      </c>
      <c r="DC620" s="710">
        <f>IF(WWWW[[#This Row],['#_households that received standard amount of soap for this quarter]]/WWWW[[#This Row],[Total HH]]&gt;1,1,WWWW[[#This Row],['#_households that received standard amount of soap for this quarter]]/WWWW[[#This Row],[Total HH]])</f>
        <v>0</v>
      </c>
      <c r="DD620" s="710">
        <f>IF(WWWW[[#This Row],['#_households that received standard amount of sanitary pads for this quarter]]/WWWW[[#This Row],[Total HH]]&gt;1,1,WWWW[[#This Row],['#_households that received standard amount of sanitary pads for this quarter]]/WWWW[[#This Row],[Total HH]])</f>
        <v>0</v>
      </c>
      <c r="DE620" s="712">
        <f>WWWW[[#This Row],['#_Constructed/Existing hand washing stations]]-WWWW[[#This Row],['#_Non-Functional_hand_washing_stations]]</f>
        <v>0</v>
      </c>
      <c r="DF620" s="757">
        <f>IF(WWWW[[#This Row],['# Functional hand washing stations during reporting period]]*20&gt;WWWW[[#This Row],[Total HH]],WWWW[[#This Row],[Total HH]],WWWW[[#This Row],['# Functional hand washing stations during reporting period]]*20)</f>
        <v>0</v>
      </c>
      <c r="DG620" s="708">
        <f>IF(WWWW[[#This Row],[Is sufficient soap available for TLS? (Yes/No)]]="yes",WWWW[[#This Row],['#_Constructed/Existing hand washing stations at TLS]],0)</f>
        <v>0</v>
      </c>
      <c r="DH620" s="759">
        <f>IF(WWWW[[#This Row],['# Functional hand washing stations during reporting period]]*100&gt;WWWW[[#This Row],[Total PoP ]],WWWW[[#This Row],[Total PoP ]],WWWW[[#This Row],['# Functional hand washing stations during reporting period]]*100)</f>
        <v>0</v>
      </c>
      <c r="DI620" s="759" t="str">
        <f>IF(OR(WWWW[[#This Row],['#_students at TLS_CFS]]="",WWWW[[#This Row],['#_students at TLS_CFS]]=0),"No","Yes")</f>
        <v>Yes</v>
      </c>
      <c r="DJ620" s="711">
        <f>VLOOKUP(WWWW[[#This Row],[Site Name]],SiteDB6[[Site Name]:[CCCM Management]],6,FALSE)</f>
        <v>0</v>
      </c>
      <c r="DK620" s="711">
        <f>VLOOKUP(WWWW[[#This Row],[Site Name]],SiteDB6[[Site Name]:[CCCM Focal Agency]],7,FALSE)</f>
        <v>0</v>
      </c>
      <c r="DL620" s="711" t="str">
        <f>VLOOKUP(WWWW[[#This Row],[Site Name]],SiteDB6[[Site Name]:[Location Type 1]],9,FALSE)</f>
        <v>Camp</v>
      </c>
      <c r="DM620" s="711" t="str">
        <f>VLOOKUP(WWWW[[#This Row],[Site Name]],SiteDB6[[Site Name]:[Type of Accommodation]],10,FALSE)</f>
        <v>School</v>
      </c>
      <c r="DN620" s="711" t="str">
        <f>VLOOKUP(WWWW[[#This Row],[Site Name]],SiteDB6[[Site Name]:[Ethnic or GCA/NGCA]],11,FALSE)</f>
        <v>GCA</v>
      </c>
      <c r="DO620" s="711">
        <f>VLOOKUP(WWWW[[#This Row],[Site Name]],SiteDB6[[Site Name]:[Lat]],12,FALSE)</f>
        <v>0</v>
      </c>
      <c r="DP620" s="711">
        <f>VLOOKUP(WWWW[[#This Row],[Site Name]],SiteDB6[[Site Name]:[Long]],13,FALSE)</f>
        <v>0</v>
      </c>
      <c r="DQ620" s="711">
        <f>VLOOKUP(WWWW[[#This Row],[Site Name]],SiteDB6[[Site Name]:[Pcode]],3,FALSE)</f>
        <v>0</v>
      </c>
      <c r="DR620" s="709" t="str">
        <f t="shared" si="23"/>
        <v>Covered</v>
      </c>
      <c r="DS620" s="709"/>
    </row>
    <row r="621" spans="1:138">
      <c r="A621" s="701" t="s">
        <v>2519</v>
      </c>
      <c r="B621" s="701" t="s">
        <v>284</v>
      </c>
      <c r="C621" s="702" t="s">
        <v>284</v>
      </c>
      <c r="D621" s="702" t="s">
        <v>2955</v>
      </c>
      <c r="E621" s="702" t="s">
        <v>39</v>
      </c>
      <c r="F621" s="702" t="s">
        <v>213</v>
      </c>
      <c r="G621" s="711" t="str">
        <f>VLOOKUP(WWWW[[#This Row],[Site Name]],SiteDB6[[Site Name]:[Location Type]],8,FALSE)</f>
        <v>Camp_not registered</v>
      </c>
      <c r="H621" s="702" t="s">
        <v>295</v>
      </c>
      <c r="I621" s="705">
        <v>117</v>
      </c>
      <c r="J621" s="705">
        <v>650</v>
      </c>
      <c r="K621" s="706" t="s">
        <v>2956</v>
      </c>
      <c r="L621" s="707" t="s">
        <v>2957</v>
      </c>
      <c r="M621" s="705"/>
      <c r="N621" s="705">
        <v>0</v>
      </c>
      <c r="O621" s="705">
        <v>0</v>
      </c>
      <c r="P621" s="705">
        <v>0</v>
      </c>
      <c r="Q621" s="708" t="s">
        <v>43</v>
      </c>
      <c r="R621" s="705">
        <v>14</v>
      </c>
      <c r="S621" s="705">
        <v>10</v>
      </c>
      <c r="T621" s="807">
        <v>1</v>
      </c>
      <c r="U621" s="705"/>
      <c r="V621" s="705"/>
      <c r="W621" s="705">
        <v>1</v>
      </c>
      <c r="X621" s="705">
        <v>0</v>
      </c>
      <c r="Y621" s="705"/>
      <c r="Z621" s="705"/>
      <c r="AA621" s="705"/>
      <c r="AB621" s="705"/>
      <c r="AC621" s="705"/>
      <c r="AD621" s="705"/>
      <c r="AE621" s="705"/>
      <c r="AF621" s="705"/>
      <c r="AG621" s="705"/>
      <c r="AH621" s="705"/>
      <c r="AI621" s="705">
        <v>1</v>
      </c>
      <c r="AJ621" s="705">
        <v>1</v>
      </c>
      <c r="AK621" s="705">
        <v>8</v>
      </c>
      <c r="AL621" s="705">
        <v>0</v>
      </c>
      <c r="AM621" s="705"/>
      <c r="AN621" s="705"/>
      <c r="AO621" s="709"/>
      <c r="AP621" s="705">
        <v>28</v>
      </c>
      <c r="AQ621" s="705"/>
      <c r="AR621" s="710"/>
      <c r="AS621" s="705"/>
      <c r="AT621" s="705"/>
      <c r="AU621" s="705">
        <v>31</v>
      </c>
      <c r="AV621" s="705"/>
      <c r="AW621" s="705"/>
      <c r="AX621" s="711" t="s">
        <v>43</v>
      </c>
      <c r="AY621" s="709" t="s">
        <v>145</v>
      </c>
      <c r="AZ621" s="705">
        <v>0</v>
      </c>
      <c r="BA621" s="705">
        <v>0</v>
      </c>
      <c r="BB621" s="705"/>
      <c r="BC621" s="711"/>
      <c r="BD621" s="705">
        <v>9</v>
      </c>
      <c r="BE621" s="705"/>
      <c r="BF621" s="705"/>
      <c r="BG621" s="705">
        <v>4</v>
      </c>
      <c r="BH621" s="705"/>
      <c r="BI621" s="705">
        <v>0</v>
      </c>
      <c r="BJ621" s="705">
        <v>2</v>
      </c>
      <c r="BK621" s="705">
        <v>45</v>
      </c>
      <c r="BL621" s="705">
        <v>135</v>
      </c>
      <c r="BM621" s="711"/>
      <c r="BN621" s="712"/>
      <c r="BO621" s="710"/>
      <c r="BP621" s="711"/>
      <c r="BQ621" s="713">
        <f>IFERROR(WWWW[[#This Row],['#_Water sources treated]]/WWWW[[#This Row],['#_Water sources tested for contamination]],"no test")</f>
        <v>1</v>
      </c>
      <c r="BR621" s="710">
        <f>IFERROR(WWWW[[#This Row],['#_Household received remediation action due to contamination]]/WWWW[[#This Row],['#_Household water samples tested for contamination]],"no test")</f>
        <v>0</v>
      </c>
      <c r="BS621" s="712" t="str">
        <f>IF(AND(WWWW[[#This Row],[% of water sources treated]]="no test",WWWW[[#This Row],[% Household received corrective actions]]="no test"),"No Test","Tested")</f>
        <v>Tested</v>
      </c>
      <c r="BT621" s="712">
        <f>WWWW[[#This Row],['#_Constructed/existing protected hand dug well]]-WWWW[[#This Row],['#_Non-functional protected hand dug well]]</f>
        <v>1</v>
      </c>
      <c r="BU621" s="712">
        <f>(WWWW[[#This Row],['#_Constructed/Existing tube wells/boreholes/handpumps_WASH_agency]]+WWWW[[#This Row],['#_Non-Cluster partner water tube-wells/boreholes/handpumps]])-WWWW[[#This Row],['#_Non-functional tube wells/boreholes/handpumps]]</f>
        <v>1</v>
      </c>
      <c r="BV621" s="712">
        <f>WWWW[[#This Row],['#_Constructed/Existingwater storage tank with gravity fed reticulation system]]-WWWW[[#This Row],['#_Non-functional storage tank gravity fed reticulation system]]</f>
        <v>0</v>
      </c>
      <c r="BW621" s="712">
        <f>WWWW[[#This Row],['#_Water boating or water trucking]]</f>
        <v>0</v>
      </c>
      <c r="BX621" s="712">
        <f>WWWW[[#This Row],['#_Constructed/Existing water distribution system from river or natural spring]]</f>
        <v>0</v>
      </c>
      <c r="BY62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0.76923076923076927</v>
      </c>
      <c r="CA621" s="710">
        <f>IF(WWWW[[#This Row],[Location Type 1]]="Village",WWWW[[#This Row],[Access to safe drinking water for Village]],WWWW[[#This Row],[Access to safe drinking water for Camp]])</f>
        <v>1</v>
      </c>
      <c r="CB621" s="708">
        <f>WWWW[[#This Row],[%Equitable and continuous access to sufficient quantity of safe drinking water]]*WWWW[[#This Row],[Total PoP ]]</f>
        <v>650</v>
      </c>
      <c r="CC621" s="710">
        <f>IF((WWWW[[#This Row],['#_Constructed/Existing protected/fenced ponds]]*250)/WWWW[[#This Row],[Total PoP ]]&gt;1,1,(WWWW[[#This Row],['#_Constructed/Existing protected/fenced ponds]]*250)/WWWW[[#This Row],[Total PoP ]])</f>
        <v>0</v>
      </c>
      <c r="CD621" s="708">
        <f>WWWW[[#This Row],[% Access to unimproved water points]]*WWWW[[#This Row],[Total PoP ]]</f>
        <v>0</v>
      </c>
      <c r="CE62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650</v>
      </c>
      <c r="CG621" s="708">
        <f>WWWW[[#This Row],[HRP1]]/500</f>
        <v>1.3</v>
      </c>
      <c r="CH621" s="714">
        <f>1-WWWW[[#This Row],[% Equitable and continuous access to sufficient quantity of domestic water]]</f>
        <v>0</v>
      </c>
      <c r="CI621" s="708">
        <f>WWWW[[#This Row],[%equitable and continuous access to sufficient quantity of safe drinking and domestic water''s GAP]]*WWWW[[#This Row],[Total PoP ]]</f>
        <v>0</v>
      </c>
      <c r="CJ621" s="712">
        <f>IF(WWWW[[#This Row],[Total required water points]]-WWWW[[#This Row],['#Water points coverage]]&lt;0,0,WWWW[[#This Row],[Total required water points]]-WWWW[[#This Row],['#Water points coverage]])</f>
        <v>0</v>
      </c>
      <c r="CK621" s="712">
        <f>ROUND(IF(WWWW[[#This Row],[Total PoP ]]&lt;500,1,WWWW[[#This Row],[Total PoP ]]/500),0)</f>
        <v>1</v>
      </c>
      <c r="CL621" s="712">
        <f>(WWWW[[#This Row],['#_Constructed latrines_by_WASHAgencies]]+WWWW[[#This Row],['#_Non Cluster partner latrines]])-WWWW[[#This Row],['#_Non-functional latrines]]</f>
        <v>28</v>
      </c>
      <c r="CM62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0.86153846153846159</v>
      </c>
      <c r="CN62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62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620</v>
      </c>
      <c r="CP621" s="712">
        <f>IF(WWWW[[#This Row],[Location Type 1]]="Village","NA",IF(WWWW[[#This Row],['#_Constructed/Existing latrines in TLS]]*50&gt;WWWW[[#This Row],['#_students at TLS_CFS]],WWWW[[#This Row],['#_students at TLS_CFS]],(WWWW[[#This Row],['#_Constructed/Existing latrines in TLS]]*50)))</f>
        <v>0</v>
      </c>
      <c r="CQ621" s="712">
        <f>ROUND(IF(WWWW[[#This Row],[Location Type 1]]="camp",WWWW[[#This Row],[Total PoP ]]/20,IF(WWWW[[#This Row],[Location Type 1]]="Temporary Location",WWWW[[#This Row],[Total PoP ]]/50,(WWWW[[#This Row],[Total PoP ]]/6))),0)</f>
        <v>33</v>
      </c>
      <c r="CR621" s="712">
        <f>IF(WWWW[[#This Row],[Total required Latrines]]-(WWWW[[#This Row],['#_Constructed latrines_by_WASHAgencies]]+WWWW[[#This Row],['#_Non Cluster partner latrines]])&lt;0,0,WWWW[[#This Row],[Total required Latrines]]-(WWWW[[#This Row],['#_Constructed latrines_by_WASHAgencies]]+WWWW[[#This Row],['#_Non Cluster partner latrines]]))</f>
        <v>5</v>
      </c>
      <c r="CS621" s="714">
        <f>1-WWWW[[#This Row],[% people access to functioning Latrine]]</f>
        <v>0.13846153846153841</v>
      </c>
      <c r="CT621" s="713">
        <f>IF(OR(WWWW[[#This Row],['#_Non-functional latrines]]="",WWWW[[#This Row],['#_Non-functional latrines]]=0),0,WWWW[[#This Row],['#_Non-functional latrines]]/(WWWW[[#This Row],['#_Constructed latrines_by_WASHAgencies]]+WWWW[[#This Row],['#_Non Cluster partner latrines]]))</f>
        <v>0</v>
      </c>
      <c r="CU621" s="708">
        <f>IF(500*(WWWW[[#This Row],['#_male hygiene promoters]]+WWWW[[#This Row],['#_female hygiene promoters]])&gt;WWWW[[#This Row],[Total PoP ]],WWWW[[#This Row],[Total PoP ]],500*(WWWW[[#This Row],['#_male hygiene promoters]]+WWWW[[#This Row],['#_female hygiene promoters]]))</f>
        <v>650</v>
      </c>
      <c r="CV62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225</v>
      </c>
      <c r="CW62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650</v>
      </c>
      <c r="CX621" s="712">
        <f>IF(WWWW[[#This Row],['# People with access to soap]]&gt;WWWW[[#This Row],['# People with access to Sanity Pads]],WWWW[[#This Row],['# People with access to soap]],WWWW[[#This Row],['# People with access to Sanity Pads]])</f>
        <v>650</v>
      </c>
      <c r="CY621" s="712">
        <f>IF(WWWW[[#This Row],['# people reached by regular dedicated hygiene promotion_5]]&gt;WWWW[[#This Row],['# People received regular supply of hygiene items_6]],WWWW[[#This Row],['# people reached by regular dedicated hygiene promotion_5]],WWWW[[#This Row],['# People received regular supply of hygiene items_6]])</f>
        <v>650</v>
      </c>
      <c r="CZ621" s="714">
        <f>IF(WWWW[[#This Row],[HRP3]]/WWWW[[#This Row],[Total PoP ]]&gt;100%,100%,WWWW[[#This Row],[HRP3]]/WWWW[[#This Row],[Total PoP ]])</f>
        <v>1</v>
      </c>
      <c r="DA621" s="713">
        <f>1-WWWW[[#This Row],[Hygiene Coverage%]]</f>
        <v>0</v>
      </c>
      <c r="DB621" s="710">
        <f>WWWW[[#This Row],['# people reached by regular dedicated hygiene promotion_5]]/WWWW[[#This Row],[Total PoP ]]</f>
        <v>1</v>
      </c>
      <c r="DC621" s="710">
        <f>IF(WWWW[[#This Row],['#_households that received standard amount of soap for this quarter]]/WWWW[[#This Row],[Total HH]]&gt;1,1,WWWW[[#This Row],['#_households that received standard amount of soap for this quarter]]/WWWW[[#This Row],[Total HH]])</f>
        <v>0.38461538461538464</v>
      </c>
      <c r="DD621" s="710">
        <f>IF(WWWW[[#This Row],['#_households that received standard amount of sanitary pads for this quarter]]/WWWW[[#This Row],[Total HH]]&gt;1,1,WWWW[[#This Row],['#_households that received standard amount of sanitary pads for this quarter]]/WWWW[[#This Row],[Total HH]])</f>
        <v>1</v>
      </c>
      <c r="DE621" s="712">
        <f>WWWW[[#This Row],['#_Constructed/Existing hand washing stations]]-WWWW[[#This Row],['#_Non-Functional_hand_washing_stations]]</f>
        <v>9</v>
      </c>
      <c r="DF621" s="757">
        <f>IF(WWWW[[#This Row],['# Functional hand washing stations during reporting period]]*20&gt;WWWW[[#This Row],[Total HH]],WWWW[[#This Row],[Total HH]],WWWW[[#This Row],['# Functional hand washing stations during reporting period]]*20)</f>
        <v>117</v>
      </c>
      <c r="DG621" s="708">
        <f>IF(WWWW[[#This Row],[Is sufficient soap available for TLS? (Yes/No)]]="yes",WWWW[[#This Row],['#_Constructed/Existing hand washing stations at TLS]],0)</f>
        <v>0</v>
      </c>
      <c r="DH621" s="759">
        <f>IF(WWWW[[#This Row],['# Functional hand washing stations during reporting period]]*100&gt;WWWW[[#This Row],[Total PoP ]],WWWW[[#This Row],[Total PoP ]],WWWW[[#This Row],['# Functional hand washing stations during reporting period]]*100)</f>
        <v>650</v>
      </c>
      <c r="DI621" s="759" t="str">
        <f>IF(OR(WWWW[[#This Row],['#_students at TLS_CFS]]="",WWWW[[#This Row],['#_students at TLS_CFS]]=0),"No","Yes")</f>
        <v>No</v>
      </c>
      <c r="DJ621" s="711">
        <f>VLOOKUP(WWWW[[#This Row],[Site Name]],SiteDB6[[Site Name]:[CCCM Management]],6,FALSE)</f>
        <v>0</v>
      </c>
      <c r="DK621" s="711">
        <f>VLOOKUP(WWWW[[#This Row],[Site Name]],SiteDB6[[Site Name]:[CCCM Focal Agency]],7,FALSE)</f>
        <v>0</v>
      </c>
      <c r="DL621" s="711" t="str">
        <f>VLOOKUP(WWWW[[#This Row],[Site Name]],SiteDB6[[Site Name]:[Location Type 1]],9,FALSE)</f>
        <v>Camp</v>
      </c>
      <c r="DM621" s="711" t="str">
        <f>VLOOKUP(WWWW[[#This Row],[Site Name]],SiteDB6[[Site Name]:[Type of Accommodation]],10,FALSE)</f>
        <v>Camp</v>
      </c>
      <c r="DN621" s="711" t="str">
        <f>VLOOKUP(WWWW[[#This Row],[Site Name]],SiteDB6[[Site Name]:[Ethnic or GCA/NGCA]],11,FALSE)</f>
        <v>GCA</v>
      </c>
      <c r="DO621" s="711">
        <f>VLOOKUP(WWWW[[#This Row],[Site Name]],SiteDB6[[Site Name]:[Lat]],12,FALSE)</f>
        <v>0</v>
      </c>
      <c r="DP621" s="711">
        <f>VLOOKUP(WWWW[[#This Row],[Site Name]],SiteDB6[[Site Name]:[Long]],13,FALSE)</f>
        <v>0</v>
      </c>
      <c r="DQ621" s="711">
        <f>VLOOKUP(WWWW[[#This Row],[Site Name]],SiteDB6[[Site Name]:[Pcode]],3,FALSE)</f>
        <v>0</v>
      </c>
      <c r="DR621" s="709" t="str">
        <f t="shared" si="23"/>
        <v>Covered</v>
      </c>
      <c r="DS621" s="709"/>
    </row>
    <row r="622" spans="1:138">
      <c r="A622" s="701" t="s">
        <v>2519</v>
      </c>
      <c r="B622" s="701" t="s">
        <v>284</v>
      </c>
      <c r="C622" s="702" t="s">
        <v>284</v>
      </c>
      <c r="D622" s="702" t="s">
        <v>2955</v>
      </c>
      <c r="E622" s="702" t="s">
        <v>39</v>
      </c>
      <c r="F622" s="702" t="s">
        <v>213</v>
      </c>
      <c r="G622" s="711" t="str">
        <f>VLOOKUP(WWWW[[#This Row],[Site Name]],SiteDB6[[Site Name]:[Location Type]],8,FALSE)</f>
        <v>Camp</v>
      </c>
      <c r="H622" s="702" t="s">
        <v>292</v>
      </c>
      <c r="I622" s="705">
        <v>49</v>
      </c>
      <c r="J622" s="705">
        <v>300</v>
      </c>
      <c r="K622" s="706" t="s">
        <v>2956</v>
      </c>
      <c r="L622" s="707" t="s">
        <v>2957</v>
      </c>
      <c r="M622" s="705"/>
      <c r="N622" s="705">
        <v>0</v>
      </c>
      <c r="O622" s="705">
        <v>0</v>
      </c>
      <c r="P622" s="705">
        <v>0</v>
      </c>
      <c r="Q622" s="708" t="s">
        <v>43</v>
      </c>
      <c r="R622" s="705">
        <v>4</v>
      </c>
      <c r="S622" s="705">
        <v>7</v>
      </c>
      <c r="T622" s="807">
        <v>3</v>
      </c>
      <c r="U622" s="705"/>
      <c r="V622" s="705"/>
      <c r="W622" s="705">
        <v>0</v>
      </c>
      <c r="X622" s="705">
        <v>0</v>
      </c>
      <c r="Y622" s="705"/>
      <c r="Z622" s="705"/>
      <c r="AA622" s="705"/>
      <c r="AB622" s="705"/>
      <c r="AC622" s="705"/>
      <c r="AD622" s="705"/>
      <c r="AE622" s="705"/>
      <c r="AF622" s="705"/>
      <c r="AG622" s="705"/>
      <c r="AH622" s="705"/>
      <c r="AI622" s="705">
        <v>1</v>
      </c>
      <c r="AJ622" s="705">
        <v>1</v>
      </c>
      <c r="AK622" s="705">
        <v>8</v>
      </c>
      <c r="AL622" s="705">
        <v>0</v>
      </c>
      <c r="AM622" s="705"/>
      <c r="AN622" s="705"/>
      <c r="AO622" s="709"/>
      <c r="AP622" s="705">
        <v>18</v>
      </c>
      <c r="AQ622" s="705"/>
      <c r="AR622" s="710"/>
      <c r="AS622" s="705"/>
      <c r="AT622" s="705"/>
      <c r="AU622" s="705">
        <v>16</v>
      </c>
      <c r="AV622" s="705"/>
      <c r="AW622" s="705"/>
      <c r="AX622" s="711" t="s">
        <v>43</v>
      </c>
      <c r="AY622" s="709" t="s">
        <v>145</v>
      </c>
      <c r="AZ622" s="705">
        <v>0</v>
      </c>
      <c r="BA622" s="705">
        <v>0</v>
      </c>
      <c r="BB622" s="705"/>
      <c r="BC622" s="711"/>
      <c r="BD622" s="705">
        <v>5</v>
      </c>
      <c r="BE622" s="705">
        <v>1</v>
      </c>
      <c r="BF622" s="705"/>
      <c r="BG622" s="705">
        <v>3</v>
      </c>
      <c r="BH622" s="705"/>
      <c r="BI622" s="705">
        <v>0</v>
      </c>
      <c r="BJ622" s="705">
        <v>1</v>
      </c>
      <c r="BK622" s="705">
        <v>14</v>
      </c>
      <c r="BL622" s="705">
        <v>41</v>
      </c>
      <c r="BM622" s="711"/>
      <c r="BN622" s="712"/>
      <c r="BO622" s="710"/>
      <c r="BP622" s="711"/>
      <c r="BQ622" s="713">
        <f>IFERROR(WWWW[[#This Row],['#_Water sources treated]]/WWWW[[#This Row],['#_Water sources tested for contamination]],"no test")</f>
        <v>1</v>
      </c>
      <c r="BR622" s="710">
        <f>IFERROR(WWWW[[#This Row],['#_Household received remediation action due to contamination]]/WWWW[[#This Row],['#_Household water samples tested for contamination]],"no test")</f>
        <v>0</v>
      </c>
      <c r="BS622" s="712" t="str">
        <f>IF(AND(WWWW[[#This Row],[% of water sources treated]]="no test",WWWW[[#This Row],[% Household received corrective actions]]="no test"),"No Test","Tested")</f>
        <v>Tested</v>
      </c>
      <c r="BT622" s="712">
        <f>WWWW[[#This Row],['#_Constructed/existing protected hand dug well]]-WWWW[[#This Row],['#_Non-functional protected hand dug well]]</f>
        <v>3</v>
      </c>
      <c r="BU622" s="712">
        <f>(WWWW[[#This Row],['#_Constructed/Existing tube wells/boreholes/handpumps_WASH_agency]]+WWWW[[#This Row],['#_Non-Cluster partner water tube-wells/boreholes/handpumps]])-WWWW[[#This Row],['#_Non-functional tube wells/boreholes/handpumps]]</f>
        <v>0</v>
      </c>
      <c r="BV622" s="712">
        <f>WWWW[[#This Row],['#_Constructed/Existingwater storage tank with gravity fed reticulation system]]-WWWW[[#This Row],['#_Non-functional storage tank gravity fed reticulation system]]</f>
        <v>0</v>
      </c>
      <c r="BW622" s="712">
        <f>WWWW[[#This Row],['#_Water boating or water trucking]]</f>
        <v>0</v>
      </c>
      <c r="BX622" s="712">
        <f>WWWW[[#This Row],['#_Constructed/Existing water distribution system from river or natural spring]]</f>
        <v>0</v>
      </c>
      <c r="BY62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2" s="710">
        <f>IF(WWWW[[#This Row],[Location Type 1]]="Village",WWWW[[#This Row],[Access to safe drinking water for Village]],WWWW[[#This Row],[Access to safe drinking water for Camp]])</f>
        <v>1</v>
      </c>
      <c r="CB622" s="708">
        <f>WWWW[[#This Row],[%Equitable and continuous access to sufficient quantity of safe drinking water]]*WWWW[[#This Row],[Total PoP ]]</f>
        <v>300</v>
      </c>
      <c r="CC622" s="710">
        <f>IF((WWWW[[#This Row],['#_Constructed/Existing protected/fenced ponds]]*250)/WWWW[[#This Row],[Total PoP ]]&gt;1,1,(WWWW[[#This Row],['#_Constructed/Existing protected/fenced ponds]]*250)/WWWW[[#This Row],[Total PoP ]])</f>
        <v>0</v>
      </c>
      <c r="CD622" s="708">
        <f>WWWW[[#This Row],[% Access to unimproved water points]]*WWWW[[#This Row],[Total PoP ]]</f>
        <v>0</v>
      </c>
      <c r="CE62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G622" s="708">
        <f>WWWW[[#This Row],[HRP1]]/500</f>
        <v>0.6</v>
      </c>
      <c r="CH622" s="714">
        <f>1-WWWW[[#This Row],[% Equitable and continuous access to sufficient quantity of domestic water]]</f>
        <v>0</v>
      </c>
      <c r="CI622" s="708">
        <f>WWWW[[#This Row],[%equitable and continuous access to sufficient quantity of safe drinking and domestic water''s GAP]]*WWWW[[#This Row],[Total PoP ]]</f>
        <v>0</v>
      </c>
      <c r="CJ622" s="712">
        <f>IF(WWWW[[#This Row],[Total required water points]]-WWWW[[#This Row],['#Water points coverage]]&lt;0,0,WWWW[[#This Row],[Total required water points]]-WWWW[[#This Row],['#Water points coverage]])</f>
        <v>0.4</v>
      </c>
      <c r="CK622" s="712">
        <f>ROUND(IF(WWWW[[#This Row],[Total PoP ]]&lt;500,1,WWWW[[#This Row],[Total PoP ]]/500),0)</f>
        <v>1</v>
      </c>
      <c r="CL622" s="712">
        <f>(WWWW[[#This Row],['#_Constructed latrines_by_WASHAgencies]]+WWWW[[#This Row],['#_Non Cluster partner latrines]])-WWWW[[#This Row],['#_Non-functional latrines]]</f>
        <v>18</v>
      </c>
      <c r="CM62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2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62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v>
      </c>
      <c r="CP622" s="712">
        <f>IF(WWWW[[#This Row],[Location Type 1]]="Village","NA",IF(WWWW[[#This Row],['#_Constructed/Existing latrines in TLS]]*50&gt;WWWW[[#This Row],['#_students at TLS_CFS]],WWWW[[#This Row],['#_students at TLS_CFS]],(WWWW[[#This Row],['#_Constructed/Existing latrines in TLS]]*50)))</f>
        <v>0</v>
      </c>
      <c r="CQ622" s="712">
        <f>ROUND(IF(WWWW[[#This Row],[Location Type 1]]="camp",WWWW[[#This Row],[Total PoP ]]/20,IF(WWWW[[#This Row],[Location Type 1]]="Temporary Location",WWWW[[#This Row],[Total PoP ]]/50,(WWWW[[#This Row],[Total PoP ]]/6))),0)</f>
        <v>15</v>
      </c>
      <c r="CR622" s="712">
        <f>IF(WWWW[[#This Row],[Total required Latrines]]-(WWWW[[#This Row],['#_Constructed latrines_by_WASHAgencies]]+WWWW[[#This Row],['#_Non Cluster partner latrines]])&lt;0,0,WWWW[[#This Row],[Total required Latrines]]-(WWWW[[#This Row],['#_Constructed latrines_by_WASHAgencies]]+WWWW[[#This Row],['#_Non Cluster partner latrines]]))</f>
        <v>0</v>
      </c>
      <c r="CS622" s="714">
        <f>1-WWWW[[#This Row],[% people access to functioning Latrine]]</f>
        <v>0</v>
      </c>
      <c r="CT622" s="713">
        <f>IF(OR(WWWW[[#This Row],['#_Non-functional latrines]]="",WWWW[[#This Row],['#_Non-functional latrines]]=0),0,WWWW[[#This Row],['#_Non-functional latrines]]/(WWWW[[#This Row],['#_Constructed latrines_by_WASHAgencies]]+WWWW[[#This Row],['#_Non Cluster partner latrines]]))</f>
        <v>0</v>
      </c>
      <c r="CU622" s="708">
        <f>IF(500*(WWWW[[#This Row],['#_male hygiene promoters]]+WWWW[[#This Row],['#_female hygiene promoters]])&gt;WWWW[[#This Row],[Total PoP ]],WWWW[[#This Row],[Total PoP ]],500*(WWWW[[#This Row],['#_male hygiene promoters]]+WWWW[[#This Row],['#_female hygiene promoters]]))</f>
        <v>300</v>
      </c>
      <c r="CV62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CW62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205</v>
      </c>
      <c r="CX622" s="712">
        <f>IF(WWWW[[#This Row],['# People with access to soap]]&gt;WWWW[[#This Row],['# People with access to Sanity Pads]],WWWW[[#This Row],['# People with access to soap]],WWWW[[#This Row],['# People with access to Sanity Pads]])</f>
        <v>205</v>
      </c>
      <c r="CY622" s="712">
        <f>IF(WWWW[[#This Row],['# people reached by regular dedicated hygiene promotion_5]]&gt;WWWW[[#This Row],['# People received regular supply of hygiene items_6]],WWWW[[#This Row],['# people reached by regular dedicated hygiene promotion_5]],WWWW[[#This Row],['# People received regular supply of hygiene items_6]])</f>
        <v>300</v>
      </c>
      <c r="CZ622" s="714">
        <f>IF(WWWW[[#This Row],[HRP3]]/WWWW[[#This Row],[Total PoP ]]&gt;100%,100%,WWWW[[#This Row],[HRP3]]/WWWW[[#This Row],[Total PoP ]])</f>
        <v>1</v>
      </c>
      <c r="DA622" s="713">
        <f>1-WWWW[[#This Row],[Hygiene Coverage%]]</f>
        <v>0</v>
      </c>
      <c r="DB622" s="710">
        <f>WWWW[[#This Row],['# people reached by regular dedicated hygiene promotion_5]]/WWWW[[#This Row],[Total PoP ]]</f>
        <v>1</v>
      </c>
      <c r="DC622" s="710">
        <f>IF(WWWW[[#This Row],['#_households that received standard amount of soap for this quarter]]/WWWW[[#This Row],[Total HH]]&gt;1,1,WWWW[[#This Row],['#_households that received standard amount of soap for this quarter]]/WWWW[[#This Row],[Total HH]])</f>
        <v>0.2857142857142857</v>
      </c>
      <c r="DD622" s="710">
        <f>IF(WWWW[[#This Row],['#_households that received standard amount of sanitary pads for this quarter]]/WWWW[[#This Row],[Total HH]]&gt;1,1,WWWW[[#This Row],['#_households that received standard amount of sanitary pads for this quarter]]/WWWW[[#This Row],[Total HH]])</f>
        <v>0.83673469387755106</v>
      </c>
      <c r="DE622" s="712">
        <f>WWWW[[#This Row],['#_Constructed/Existing hand washing stations]]-WWWW[[#This Row],['#_Non-Functional_hand_washing_stations]]</f>
        <v>4</v>
      </c>
      <c r="DF622" s="757">
        <f>IF(WWWW[[#This Row],['# Functional hand washing stations during reporting period]]*20&gt;WWWW[[#This Row],[Total HH]],WWWW[[#This Row],[Total HH]],WWWW[[#This Row],['# Functional hand washing stations during reporting period]]*20)</f>
        <v>49</v>
      </c>
      <c r="DG622" s="708">
        <f>IF(WWWW[[#This Row],[Is sufficient soap available for TLS? (Yes/No)]]="yes",WWWW[[#This Row],['#_Constructed/Existing hand washing stations at TLS]],0)</f>
        <v>0</v>
      </c>
      <c r="DH622" s="759">
        <f>IF(WWWW[[#This Row],['# Functional hand washing stations during reporting period]]*100&gt;WWWW[[#This Row],[Total PoP ]],WWWW[[#This Row],[Total PoP ]],WWWW[[#This Row],['# Functional hand washing stations during reporting period]]*100)</f>
        <v>300</v>
      </c>
      <c r="DI622" s="759" t="str">
        <f>IF(OR(WWWW[[#This Row],['#_students at TLS_CFS]]="",WWWW[[#This Row],['#_students at TLS_CFS]]=0),"No","Yes")</f>
        <v>No</v>
      </c>
      <c r="DJ622" s="711" t="str">
        <f>VLOOKUP(WWWW[[#This Row],[Site Name]],SiteDB6[[Site Name]:[CCCM Management]],6,FALSE)</f>
        <v>Yes</v>
      </c>
      <c r="DK622" s="711" t="str">
        <f>VLOOKUP(WWWW[[#This Row],[Site Name]],SiteDB6[[Site Name]:[CCCM Focal Agency]],7,FALSE)</f>
        <v>KBC</v>
      </c>
      <c r="DL622" s="711" t="str">
        <f>VLOOKUP(WWWW[[#This Row],[Site Name]],SiteDB6[[Site Name]:[Location Type 1]],9,FALSE)</f>
        <v>Camp</v>
      </c>
      <c r="DM622" s="711" t="str">
        <f>VLOOKUP(WWWW[[#This Row],[Site Name]],SiteDB6[[Site Name]:[Type of Accommodation]],10,FALSE)</f>
        <v>Camp</v>
      </c>
      <c r="DN622" s="711" t="str">
        <f>VLOOKUP(WWWW[[#This Row],[Site Name]],SiteDB6[[Site Name]:[Ethnic or GCA/NGCA]],11,FALSE)</f>
        <v>GCA</v>
      </c>
      <c r="DO622" s="711">
        <f>VLOOKUP(WWWW[[#This Row],[Site Name]],SiteDB6[[Site Name]:[Lat]],12,FALSE)</f>
        <v>24.205417000000001</v>
      </c>
      <c r="DP622" s="711">
        <f>VLOOKUP(WWWW[[#This Row],[Site Name]],SiteDB6[[Site Name]:[Long]],13,FALSE)</f>
        <v>97.724483000000006</v>
      </c>
      <c r="DQ622" s="711" t="str">
        <f>VLOOKUP(WWWW[[#This Row],[Site Name]],SiteDB6[[Site Name]:[Pcode]],3,FALSE)</f>
        <v>MMR001CMP072</v>
      </c>
      <c r="DR622" s="709" t="str">
        <f t="shared" si="23"/>
        <v>Covered</v>
      </c>
      <c r="DS622" s="709"/>
    </row>
    <row r="623" spans="1:138">
      <c r="A623" s="701" t="s">
        <v>2519</v>
      </c>
      <c r="B623" s="701" t="s">
        <v>284</v>
      </c>
      <c r="C623" s="702" t="s">
        <v>284</v>
      </c>
      <c r="D623" s="702" t="s">
        <v>2955</v>
      </c>
      <c r="E623" s="702" t="s">
        <v>39</v>
      </c>
      <c r="F623" s="702" t="s">
        <v>203</v>
      </c>
      <c r="G623" s="711" t="str">
        <f>VLOOKUP(WWWW[[#This Row],[Site Name]],SiteDB6[[Site Name]:[Location Type]],8,FALSE)</f>
        <v>Camp</v>
      </c>
      <c r="H623" s="702" t="s">
        <v>287</v>
      </c>
      <c r="I623" s="705">
        <v>148</v>
      </c>
      <c r="J623" s="705">
        <v>778</v>
      </c>
      <c r="K623" s="706" t="s">
        <v>3270</v>
      </c>
      <c r="L623" s="707" t="s">
        <v>3271</v>
      </c>
      <c r="M623" s="705"/>
      <c r="N623" s="705">
        <v>0</v>
      </c>
      <c r="O623" s="705">
        <v>0</v>
      </c>
      <c r="P623" s="705">
        <v>0</v>
      </c>
      <c r="Q623" s="708" t="s">
        <v>43</v>
      </c>
      <c r="R623" s="705">
        <v>7</v>
      </c>
      <c r="S623" s="705">
        <v>14</v>
      </c>
      <c r="T623" s="807">
        <v>1</v>
      </c>
      <c r="U623" s="705"/>
      <c r="V623" s="705"/>
      <c r="W623" s="705">
        <v>3</v>
      </c>
      <c r="X623" s="705">
        <v>0</v>
      </c>
      <c r="Y623" s="705"/>
      <c r="Z623" s="705"/>
      <c r="AA623" s="705"/>
      <c r="AB623" s="705"/>
      <c r="AC623" s="705"/>
      <c r="AD623" s="705"/>
      <c r="AE623" s="705"/>
      <c r="AF623" s="705"/>
      <c r="AG623" s="705"/>
      <c r="AH623" s="705"/>
      <c r="AI623" s="705">
        <v>3</v>
      </c>
      <c r="AJ623" s="705">
        <v>3</v>
      </c>
      <c r="AK623" s="705">
        <v>10</v>
      </c>
      <c r="AL623" s="705">
        <v>0</v>
      </c>
      <c r="AM623" s="705"/>
      <c r="AN623" s="705"/>
      <c r="AO623" s="709"/>
      <c r="AP623" s="705">
        <v>48</v>
      </c>
      <c r="AQ623" s="705"/>
      <c r="AR623" s="710"/>
      <c r="AS623" s="705"/>
      <c r="AT623" s="705"/>
      <c r="AU623" s="705">
        <v>34</v>
      </c>
      <c r="AV623" s="705"/>
      <c r="AW623" s="705"/>
      <c r="AX623" s="711" t="s">
        <v>43</v>
      </c>
      <c r="AY623" s="709" t="s">
        <v>145</v>
      </c>
      <c r="AZ623" s="705">
        <v>0</v>
      </c>
      <c r="BA623" s="705">
        <v>0</v>
      </c>
      <c r="BB623" s="705"/>
      <c r="BC623" s="711"/>
      <c r="BD623" s="705">
        <v>18</v>
      </c>
      <c r="BE623" s="705">
        <v>5</v>
      </c>
      <c r="BF623" s="705"/>
      <c r="BG623" s="705">
        <v>10</v>
      </c>
      <c r="BH623" s="705"/>
      <c r="BI623" s="705">
        <v>0</v>
      </c>
      <c r="BJ623" s="705">
        <v>3</v>
      </c>
      <c r="BK623" s="705">
        <v>63</v>
      </c>
      <c r="BL623" s="705">
        <v>200</v>
      </c>
      <c r="BM623" s="711"/>
      <c r="BN623" s="712"/>
      <c r="BO623" s="710"/>
      <c r="BP623" s="711"/>
      <c r="BQ623" s="713">
        <f>IFERROR(WWWW[[#This Row],['#_Water sources treated]]/WWWW[[#This Row],['#_Water sources tested for contamination]],"no test")</f>
        <v>1</v>
      </c>
      <c r="BR623" s="710">
        <f>IFERROR(WWWW[[#This Row],['#_Household received remediation action due to contamination]]/WWWW[[#This Row],['#_Household water samples tested for contamination]],"no test")</f>
        <v>0</v>
      </c>
      <c r="BS623" s="712" t="str">
        <f>IF(AND(WWWW[[#This Row],[% of water sources treated]]="no test",WWWW[[#This Row],[% Household received corrective actions]]="no test"),"No Test","Tested")</f>
        <v>Tested</v>
      </c>
      <c r="BT623" s="712">
        <f>WWWW[[#This Row],['#_Constructed/existing protected hand dug well]]-WWWW[[#This Row],['#_Non-functional protected hand dug well]]</f>
        <v>1</v>
      </c>
      <c r="BU623" s="712">
        <f>(WWWW[[#This Row],['#_Constructed/Existing tube wells/boreholes/handpumps_WASH_agency]]+WWWW[[#This Row],['#_Non-Cluster partner water tube-wells/boreholes/handpumps]])-WWWW[[#This Row],['#_Non-functional tube wells/boreholes/handpumps]]</f>
        <v>3</v>
      </c>
      <c r="BV623" s="712">
        <f>WWWW[[#This Row],['#_Constructed/Existingwater storage tank with gravity fed reticulation system]]-WWWW[[#This Row],['#_Non-functional storage tank gravity fed reticulation system]]</f>
        <v>0</v>
      </c>
      <c r="BW623" s="712">
        <f>WWWW[[#This Row],['#_Water boating or water trucking]]</f>
        <v>0</v>
      </c>
      <c r="BX623" s="712">
        <f>WWWW[[#This Row],['#_Constructed/Existing water distribution system from river or natural spring]]</f>
        <v>0</v>
      </c>
      <c r="BY62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3" s="710">
        <f>IF(WWWW[[#This Row],[Location Type 1]]="Village",WWWW[[#This Row],[Access to safe drinking water for Village]],WWWW[[#This Row],[Access to safe drinking water for Camp]])</f>
        <v>1</v>
      </c>
      <c r="CB623" s="708">
        <f>WWWW[[#This Row],[%Equitable and continuous access to sufficient quantity of safe drinking water]]*WWWW[[#This Row],[Total PoP ]]</f>
        <v>778</v>
      </c>
      <c r="CC623" s="710">
        <f>IF((WWWW[[#This Row],['#_Constructed/Existing protected/fenced ponds]]*250)/WWWW[[#This Row],[Total PoP ]]&gt;1,1,(WWWW[[#This Row],['#_Constructed/Existing protected/fenced ponds]]*250)/WWWW[[#This Row],[Total PoP ]])</f>
        <v>0</v>
      </c>
      <c r="CD623" s="708">
        <f>WWWW[[#This Row],[% Access to unimproved water points]]*WWWW[[#This Row],[Total PoP ]]</f>
        <v>0</v>
      </c>
      <c r="CE62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778</v>
      </c>
      <c r="CG623" s="708">
        <f>WWWW[[#This Row],[HRP1]]/500</f>
        <v>1.556</v>
      </c>
      <c r="CH623" s="714">
        <f>1-WWWW[[#This Row],[% Equitable and continuous access to sufficient quantity of domestic water]]</f>
        <v>0</v>
      </c>
      <c r="CI623" s="708">
        <f>WWWW[[#This Row],[%equitable and continuous access to sufficient quantity of safe drinking and domestic water''s GAP]]*WWWW[[#This Row],[Total PoP ]]</f>
        <v>0</v>
      </c>
      <c r="CJ623" s="712">
        <f>IF(WWWW[[#This Row],[Total required water points]]-WWWW[[#This Row],['#Water points coverage]]&lt;0,0,WWWW[[#This Row],[Total required water points]]-WWWW[[#This Row],['#Water points coverage]])</f>
        <v>0.44399999999999995</v>
      </c>
      <c r="CK623" s="712">
        <f>ROUND(IF(WWWW[[#This Row],[Total PoP ]]&lt;500,1,WWWW[[#This Row],[Total PoP ]]/500),0)</f>
        <v>2</v>
      </c>
      <c r="CL623" s="712">
        <f>(WWWW[[#This Row],['#_Constructed latrines_by_WASHAgencies]]+WWWW[[#This Row],['#_Non Cluster partner latrines]])-WWWW[[#This Row],['#_Non-functional latrines]]</f>
        <v>48</v>
      </c>
      <c r="CM62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2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778</v>
      </c>
      <c r="CO62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680</v>
      </c>
      <c r="CP623" s="712">
        <f>IF(WWWW[[#This Row],[Location Type 1]]="Village","NA",IF(WWWW[[#This Row],['#_Constructed/Existing latrines in TLS]]*50&gt;WWWW[[#This Row],['#_students at TLS_CFS]],WWWW[[#This Row],['#_students at TLS_CFS]],(WWWW[[#This Row],['#_Constructed/Existing latrines in TLS]]*50)))</f>
        <v>0</v>
      </c>
      <c r="CQ623" s="712">
        <f>ROUND(IF(WWWW[[#This Row],[Location Type 1]]="camp",WWWW[[#This Row],[Total PoP ]]/20,IF(WWWW[[#This Row],[Location Type 1]]="Temporary Location",WWWW[[#This Row],[Total PoP ]]/50,(WWWW[[#This Row],[Total PoP ]]/6))),0)</f>
        <v>39</v>
      </c>
      <c r="CR623" s="712">
        <f>IF(WWWW[[#This Row],[Total required Latrines]]-(WWWW[[#This Row],['#_Constructed latrines_by_WASHAgencies]]+WWWW[[#This Row],['#_Non Cluster partner latrines]])&lt;0,0,WWWW[[#This Row],[Total required Latrines]]-(WWWW[[#This Row],['#_Constructed latrines_by_WASHAgencies]]+WWWW[[#This Row],['#_Non Cluster partner latrines]]))</f>
        <v>0</v>
      </c>
      <c r="CS623" s="714">
        <f>1-WWWW[[#This Row],[% people access to functioning Latrine]]</f>
        <v>0</v>
      </c>
      <c r="CT623" s="713">
        <f>IF(OR(WWWW[[#This Row],['#_Non-functional latrines]]="",WWWW[[#This Row],['#_Non-functional latrines]]=0),0,WWWW[[#This Row],['#_Non-functional latrines]]/(WWWW[[#This Row],['#_Constructed latrines_by_WASHAgencies]]+WWWW[[#This Row],['#_Non Cluster partner latrines]]))</f>
        <v>0</v>
      </c>
      <c r="CU623" s="708">
        <f>IF(500*(WWWW[[#This Row],['#_male hygiene promoters]]+WWWW[[#This Row],['#_female hygiene promoters]])&gt;WWWW[[#This Row],[Total PoP ]],WWWW[[#This Row],[Total PoP ]],500*(WWWW[[#This Row],['#_male hygiene promoters]]+WWWW[[#This Row],['#_female hygiene promoters]]))</f>
        <v>778</v>
      </c>
      <c r="CV62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315</v>
      </c>
      <c r="CW62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778</v>
      </c>
      <c r="CX623" s="712">
        <f>IF(WWWW[[#This Row],['# People with access to soap]]&gt;WWWW[[#This Row],['# People with access to Sanity Pads]],WWWW[[#This Row],['# People with access to soap]],WWWW[[#This Row],['# People with access to Sanity Pads]])</f>
        <v>778</v>
      </c>
      <c r="CY623" s="712">
        <f>IF(WWWW[[#This Row],['# people reached by regular dedicated hygiene promotion_5]]&gt;WWWW[[#This Row],['# People received regular supply of hygiene items_6]],WWWW[[#This Row],['# people reached by regular dedicated hygiene promotion_5]],WWWW[[#This Row],['# People received regular supply of hygiene items_6]])</f>
        <v>778</v>
      </c>
      <c r="CZ623" s="714">
        <f>IF(WWWW[[#This Row],[HRP3]]/WWWW[[#This Row],[Total PoP ]]&gt;100%,100%,WWWW[[#This Row],[HRP3]]/WWWW[[#This Row],[Total PoP ]])</f>
        <v>1</v>
      </c>
      <c r="DA623" s="713">
        <f>1-WWWW[[#This Row],[Hygiene Coverage%]]</f>
        <v>0</v>
      </c>
      <c r="DB623" s="710">
        <f>WWWW[[#This Row],['# people reached by regular dedicated hygiene promotion_5]]/WWWW[[#This Row],[Total PoP ]]</f>
        <v>1</v>
      </c>
      <c r="DC623" s="710">
        <f>IF(WWWW[[#This Row],['#_households that received standard amount of soap for this quarter]]/WWWW[[#This Row],[Total HH]]&gt;1,1,WWWW[[#This Row],['#_households that received standard amount of soap for this quarter]]/WWWW[[#This Row],[Total HH]])</f>
        <v>0.42567567567567566</v>
      </c>
      <c r="DD623" s="710">
        <f>IF(WWWW[[#This Row],['#_households that received standard amount of sanitary pads for this quarter]]/WWWW[[#This Row],[Total HH]]&gt;1,1,WWWW[[#This Row],['#_households that received standard amount of sanitary pads for this quarter]]/WWWW[[#This Row],[Total HH]])</f>
        <v>1</v>
      </c>
      <c r="DE623" s="712">
        <f>WWWW[[#This Row],['#_Constructed/Existing hand washing stations]]-WWWW[[#This Row],['#_Non-Functional_hand_washing_stations]]</f>
        <v>13</v>
      </c>
      <c r="DF623" s="757">
        <f>IF(WWWW[[#This Row],['# Functional hand washing stations during reporting period]]*20&gt;WWWW[[#This Row],[Total HH]],WWWW[[#This Row],[Total HH]],WWWW[[#This Row],['# Functional hand washing stations during reporting period]]*20)</f>
        <v>148</v>
      </c>
      <c r="DG623" s="708">
        <f>IF(WWWW[[#This Row],[Is sufficient soap available for TLS? (Yes/No)]]="yes",WWWW[[#This Row],['#_Constructed/Existing hand washing stations at TLS]],0)</f>
        <v>0</v>
      </c>
      <c r="DH623" s="759">
        <f>IF(WWWW[[#This Row],['# Functional hand washing stations during reporting period]]*100&gt;WWWW[[#This Row],[Total PoP ]],WWWW[[#This Row],[Total PoP ]],WWWW[[#This Row],['# Functional hand washing stations during reporting period]]*100)</f>
        <v>778</v>
      </c>
      <c r="DI623" s="759" t="str">
        <f>IF(OR(WWWW[[#This Row],['#_students at TLS_CFS]]="",WWWW[[#This Row],['#_students at TLS_CFS]]=0),"No","Yes")</f>
        <v>No</v>
      </c>
      <c r="DJ623" s="711" t="str">
        <f>VLOOKUP(WWWW[[#This Row],[Site Name]],SiteDB6[[Site Name]:[CCCM Management]],6,FALSE)</f>
        <v>Yes</v>
      </c>
      <c r="DK623" s="711" t="str">
        <f>VLOOKUP(WWWW[[#This Row],[Site Name]],SiteDB6[[Site Name]:[CCCM Focal Agency]],7,FALSE)</f>
        <v>KBC</v>
      </c>
      <c r="DL623" s="711" t="str">
        <f>VLOOKUP(WWWW[[#This Row],[Site Name]],SiteDB6[[Site Name]:[Location Type 1]],9,FALSE)</f>
        <v>Camp</v>
      </c>
      <c r="DM623" s="711" t="str">
        <f>VLOOKUP(WWWW[[#This Row],[Site Name]],SiteDB6[[Site Name]:[Type of Accommodation]],10,FALSE)</f>
        <v>Camp</v>
      </c>
      <c r="DN623" s="711" t="str">
        <f>VLOOKUP(WWWW[[#This Row],[Site Name]],SiteDB6[[Site Name]:[Ethnic or GCA/NGCA]],11,FALSE)</f>
        <v>GCA</v>
      </c>
      <c r="DO623" s="711">
        <f>VLOOKUP(WWWW[[#This Row],[Site Name]],SiteDB6[[Site Name]:[Lat]],12,FALSE)</f>
        <v>24.222349999999999</v>
      </c>
      <c r="DP623" s="711">
        <f>VLOOKUP(WWWW[[#This Row],[Site Name]],SiteDB6[[Site Name]:[Long]],13,FALSE)</f>
        <v>97.252650000000003</v>
      </c>
      <c r="DQ623" s="711" t="str">
        <f>VLOOKUP(WWWW[[#This Row],[Site Name]],SiteDB6[[Site Name]:[Pcode]],3,FALSE)</f>
        <v>MMR001CMP193</v>
      </c>
      <c r="DR623" s="709" t="str">
        <f t="shared" si="23"/>
        <v>Covered</v>
      </c>
      <c r="DS623" s="709"/>
    </row>
    <row r="624" spans="1:138">
      <c r="A624" s="701" t="s">
        <v>2519</v>
      </c>
      <c r="B624" s="701" t="s">
        <v>200</v>
      </c>
      <c r="C624" s="702" t="s">
        <v>200</v>
      </c>
      <c r="D624" s="702" t="s">
        <v>2960</v>
      </c>
      <c r="E624" s="702" t="s">
        <v>39</v>
      </c>
      <c r="F624" s="702" t="s">
        <v>213</v>
      </c>
      <c r="G624" s="711" t="str">
        <f>VLOOKUP(WWWW[[#This Row],[Site Name]],SiteDB6[[Site Name]:[Location Type]],8,FALSE)</f>
        <v>Camp</v>
      </c>
      <c r="H624" s="702" t="s">
        <v>221</v>
      </c>
      <c r="I624" s="705">
        <v>109</v>
      </c>
      <c r="J624" s="705">
        <v>453</v>
      </c>
      <c r="K624" s="706">
        <v>43466</v>
      </c>
      <c r="L624" s="707">
        <v>43830</v>
      </c>
      <c r="M624" s="705"/>
      <c r="N624" s="705"/>
      <c r="O624" s="705"/>
      <c r="P624" s="705"/>
      <c r="Q624" s="708" t="s">
        <v>43</v>
      </c>
      <c r="R624" s="705">
        <v>1</v>
      </c>
      <c r="S624" s="705">
        <v>1</v>
      </c>
      <c r="T624" s="807">
        <v>2</v>
      </c>
      <c r="U624" s="705"/>
      <c r="V624" s="705"/>
      <c r="W624" s="705">
        <v>1</v>
      </c>
      <c r="X624" s="705">
        <v>1</v>
      </c>
      <c r="Y624" s="705"/>
      <c r="Z624" s="705"/>
      <c r="AA624" s="705"/>
      <c r="AB624" s="705"/>
      <c r="AC624" s="705"/>
      <c r="AD624" s="705"/>
      <c r="AE624" s="705"/>
      <c r="AF624" s="705"/>
      <c r="AG624" s="705"/>
      <c r="AH624" s="705"/>
      <c r="AI624" s="705"/>
      <c r="AJ624" s="705"/>
      <c r="AK624" s="705"/>
      <c r="AL624" s="705"/>
      <c r="AM624" s="705"/>
      <c r="AN624" s="705"/>
      <c r="AO624" s="709"/>
      <c r="AP624" s="705">
        <v>14</v>
      </c>
      <c r="AQ624" s="705"/>
      <c r="AR624" s="710"/>
      <c r="AS624" s="705">
        <v>6</v>
      </c>
      <c r="AT624" s="705"/>
      <c r="AU624" s="705"/>
      <c r="AV624" s="705"/>
      <c r="AW624" s="705"/>
      <c r="AX624" s="711" t="s">
        <v>43</v>
      </c>
      <c r="AY624" s="709" t="s">
        <v>145</v>
      </c>
      <c r="AZ624" s="705"/>
      <c r="BA624" s="705"/>
      <c r="BB624" s="705"/>
      <c r="BC624" s="711"/>
      <c r="BD624" s="705">
        <v>6</v>
      </c>
      <c r="BE624" s="705"/>
      <c r="BF624" s="705"/>
      <c r="BG624" s="705">
        <v>4</v>
      </c>
      <c r="BH624" s="705"/>
      <c r="BI624" s="705"/>
      <c r="BJ624" s="705"/>
      <c r="BK624" s="705">
        <v>94</v>
      </c>
      <c r="BL624" s="705">
        <v>17</v>
      </c>
      <c r="BM624" s="711"/>
      <c r="BN624" s="712"/>
      <c r="BO624" s="710"/>
      <c r="BP624" s="711"/>
      <c r="BQ624" s="713" t="str">
        <f>IFERROR(WWWW[[#This Row],['#_Water sources treated]]/WWWW[[#This Row],['#_Water sources tested for contamination]],"no test")</f>
        <v>no test</v>
      </c>
      <c r="BR624" s="710" t="str">
        <f>IFERROR(WWWW[[#This Row],['#_Household received remediation action due to contamination]]/WWWW[[#This Row],['#_Household water samples tested for contamination]],"no test")</f>
        <v>no test</v>
      </c>
      <c r="BS624" s="712" t="str">
        <f>IF(AND(WWWW[[#This Row],[% of water sources treated]]="no test",WWWW[[#This Row],[% Household received corrective actions]]="no test"),"No Test","Tested")</f>
        <v>No Test</v>
      </c>
      <c r="BT624" s="712">
        <f>WWWW[[#This Row],['#_Constructed/existing protected hand dug well]]-WWWW[[#This Row],['#_Non-functional protected hand dug well]]</f>
        <v>2</v>
      </c>
      <c r="BU624" s="712">
        <f>(WWWW[[#This Row],['#_Constructed/Existing tube wells/boreholes/handpumps_WASH_agency]]+WWWW[[#This Row],['#_Non-Cluster partner water tube-wells/boreholes/handpumps]])-WWWW[[#This Row],['#_Non-functional tube wells/boreholes/handpumps]]</f>
        <v>2</v>
      </c>
      <c r="BV624" s="712">
        <f>WWWW[[#This Row],['#_Constructed/Existingwater storage tank with gravity fed reticulation system]]-WWWW[[#This Row],['#_Non-functional storage tank gravity fed reticulation system]]</f>
        <v>0</v>
      </c>
      <c r="BW624" s="712">
        <f>WWWW[[#This Row],['#_Water boating or water trucking]]</f>
        <v>0</v>
      </c>
      <c r="BX624" s="712">
        <f>WWWW[[#This Row],['#_Constructed/Existing water distribution system from river or natural spring]]</f>
        <v>0</v>
      </c>
      <c r="BY62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4" s="710">
        <f>IF(WWWW[[#This Row],[Location Type 1]]="Village",WWWW[[#This Row],[Access to safe drinking water for Village]],WWWW[[#This Row],[Access to safe drinking water for Camp]])</f>
        <v>1</v>
      </c>
      <c r="CB624" s="708">
        <f>WWWW[[#This Row],[%Equitable and continuous access to sufficient quantity of safe drinking water]]*WWWW[[#This Row],[Total PoP ]]</f>
        <v>453</v>
      </c>
      <c r="CC624" s="710">
        <f>IF((WWWW[[#This Row],['#_Constructed/Existing protected/fenced ponds]]*250)/WWWW[[#This Row],[Total PoP ]]&gt;1,1,(WWWW[[#This Row],['#_Constructed/Existing protected/fenced ponds]]*250)/WWWW[[#This Row],[Total PoP ]])</f>
        <v>0</v>
      </c>
      <c r="CD624" s="708">
        <f>WWWW[[#This Row],[% Access to unimproved water points]]*WWWW[[#This Row],[Total PoP ]]</f>
        <v>0</v>
      </c>
      <c r="CE62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453</v>
      </c>
      <c r="CG624" s="708">
        <f>WWWW[[#This Row],[HRP1]]/500</f>
        <v>0.90600000000000003</v>
      </c>
      <c r="CH624" s="714">
        <f>1-WWWW[[#This Row],[% Equitable and continuous access to sufficient quantity of domestic water]]</f>
        <v>0</v>
      </c>
      <c r="CI624" s="708">
        <f>WWWW[[#This Row],[%equitable and continuous access to sufficient quantity of safe drinking and domestic water''s GAP]]*WWWW[[#This Row],[Total PoP ]]</f>
        <v>0</v>
      </c>
      <c r="CJ624" s="712">
        <f>IF(WWWW[[#This Row],[Total required water points]]-WWWW[[#This Row],['#Water points coverage]]&lt;0,0,WWWW[[#This Row],[Total required water points]]-WWWW[[#This Row],['#Water points coverage]])</f>
        <v>9.3999999999999972E-2</v>
      </c>
      <c r="CK624" s="712">
        <f>ROUND(IF(WWWW[[#This Row],[Total PoP ]]&lt;500,1,WWWW[[#This Row],[Total PoP ]]/500),0)</f>
        <v>1</v>
      </c>
      <c r="CL624" s="712">
        <f>(WWWW[[#This Row],['#_Constructed latrines_by_WASHAgencies]]+WWWW[[#This Row],['#_Non Cluster partner latrines]])-WWWW[[#This Row],['#_Non-functional latrines]]</f>
        <v>8</v>
      </c>
      <c r="CM62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0.35320088300220753</v>
      </c>
      <c r="CN62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62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4" s="712">
        <f>IF(WWWW[[#This Row],[Location Type 1]]="Village","NA",IF(WWWW[[#This Row],['#_Constructed/Existing latrines in TLS]]*50&gt;WWWW[[#This Row],['#_students at TLS_CFS]],WWWW[[#This Row],['#_students at TLS_CFS]],(WWWW[[#This Row],['#_Constructed/Existing latrines in TLS]]*50)))</f>
        <v>0</v>
      </c>
      <c r="CQ624" s="712">
        <f>ROUND(IF(WWWW[[#This Row],[Location Type 1]]="camp",WWWW[[#This Row],[Total PoP ]]/20,IF(WWWW[[#This Row],[Location Type 1]]="Temporary Location",WWWW[[#This Row],[Total PoP ]]/50,(WWWW[[#This Row],[Total PoP ]]/6))),0)</f>
        <v>23</v>
      </c>
      <c r="CR624" s="712">
        <f>IF(WWWW[[#This Row],[Total required Latrines]]-(WWWW[[#This Row],['#_Constructed latrines_by_WASHAgencies]]+WWWW[[#This Row],['#_Non Cluster partner latrines]])&lt;0,0,WWWW[[#This Row],[Total required Latrines]]-(WWWW[[#This Row],['#_Constructed latrines_by_WASHAgencies]]+WWWW[[#This Row],['#_Non Cluster partner latrines]]))</f>
        <v>9</v>
      </c>
      <c r="CS624" s="714">
        <f>1-WWWW[[#This Row],[% people access to functioning Latrine]]</f>
        <v>0.64679911699779247</v>
      </c>
      <c r="CT624" s="713">
        <f>IF(OR(WWWW[[#This Row],['#_Non-functional latrines]]="",WWWW[[#This Row],['#_Non-functional latrines]]=0),0,WWWW[[#This Row],['#_Non-functional latrines]]/(WWWW[[#This Row],['#_Constructed latrines_by_WASHAgencies]]+WWWW[[#This Row],['#_Non Cluster partner latrines]]))</f>
        <v>0.42857142857142855</v>
      </c>
      <c r="CU624" s="708">
        <f>IF(500*(WWWW[[#This Row],['#_male hygiene promoters]]+WWWW[[#This Row],['#_female hygiene promoters]])&gt;WWWW[[#This Row],[Total PoP ]],WWWW[[#This Row],[Total PoP ]],500*(WWWW[[#This Row],['#_male hygiene promoters]]+WWWW[[#This Row],['#_female hygiene promoters]]))</f>
        <v>0</v>
      </c>
      <c r="CV62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453</v>
      </c>
      <c r="CW62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85</v>
      </c>
      <c r="CX624" s="712">
        <f>IF(WWWW[[#This Row],['# People with access to soap]]&gt;WWWW[[#This Row],['# People with access to Sanity Pads]],WWWW[[#This Row],['# People with access to soap]],WWWW[[#This Row],['# People with access to Sanity Pads]])</f>
        <v>453</v>
      </c>
      <c r="CY624" s="712">
        <f>IF(WWWW[[#This Row],['# people reached by regular dedicated hygiene promotion_5]]&gt;WWWW[[#This Row],['# People received regular supply of hygiene items_6]],WWWW[[#This Row],['# people reached by regular dedicated hygiene promotion_5]],WWWW[[#This Row],['# People received regular supply of hygiene items_6]])</f>
        <v>453</v>
      </c>
      <c r="CZ624" s="714">
        <f>IF(WWWW[[#This Row],[HRP3]]/WWWW[[#This Row],[Total PoP ]]&gt;100%,100%,WWWW[[#This Row],[HRP3]]/WWWW[[#This Row],[Total PoP ]])</f>
        <v>1</v>
      </c>
      <c r="DA624" s="713">
        <f>1-WWWW[[#This Row],[Hygiene Coverage%]]</f>
        <v>0</v>
      </c>
      <c r="DB624" s="710">
        <f>WWWW[[#This Row],['# people reached by regular dedicated hygiene promotion_5]]/WWWW[[#This Row],[Total PoP ]]</f>
        <v>0</v>
      </c>
      <c r="DC624" s="710">
        <f>IF(WWWW[[#This Row],['#_households that received standard amount of soap for this quarter]]/WWWW[[#This Row],[Total HH]]&gt;1,1,WWWW[[#This Row],['#_households that received standard amount of soap for this quarter]]/WWWW[[#This Row],[Total HH]])</f>
        <v>0.86238532110091748</v>
      </c>
      <c r="DD624" s="710">
        <f>IF(WWWW[[#This Row],['#_households that received standard amount of sanitary pads for this quarter]]/WWWW[[#This Row],[Total HH]]&gt;1,1,WWWW[[#This Row],['#_households that received standard amount of sanitary pads for this quarter]]/WWWW[[#This Row],[Total HH]])</f>
        <v>0.15596330275229359</v>
      </c>
      <c r="DE624" s="712">
        <f>WWWW[[#This Row],['#_Constructed/Existing hand washing stations]]-WWWW[[#This Row],['#_Non-Functional_hand_washing_stations]]</f>
        <v>6</v>
      </c>
      <c r="DF624" s="757">
        <f>IF(WWWW[[#This Row],['# Functional hand washing stations during reporting period]]*20&gt;WWWW[[#This Row],[Total HH]],WWWW[[#This Row],[Total HH]],WWWW[[#This Row],['# Functional hand washing stations during reporting period]]*20)</f>
        <v>109</v>
      </c>
      <c r="DG624" s="708">
        <f>IF(WWWW[[#This Row],[Is sufficient soap available for TLS? (Yes/No)]]="yes",WWWW[[#This Row],['#_Constructed/Existing hand washing stations at TLS]],0)</f>
        <v>0</v>
      </c>
      <c r="DH624" s="759">
        <f>IF(WWWW[[#This Row],['# Functional hand washing stations during reporting period]]*100&gt;WWWW[[#This Row],[Total PoP ]],WWWW[[#This Row],[Total PoP ]],WWWW[[#This Row],['# Functional hand washing stations during reporting period]]*100)</f>
        <v>453</v>
      </c>
      <c r="DI624" s="759" t="str">
        <f>IF(OR(WWWW[[#This Row],['#_students at TLS_CFS]]="",WWWW[[#This Row],['#_students at TLS_CFS]]=0),"No","Yes")</f>
        <v>No</v>
      </c>
      <c r="DJ624" s="711" t="str">
        <f>VLOOKUP(WWWW[[#This Row],[Site Name]],SiteDB6[[Site Name]:[CCCM Management]],6,FALSE)</f>
        <v>Yes</v>
      </c>
      <c r="DK624" s="711" t="str">
        <f>VLOOKUP(WWWW[[#This Row],[Site Name]],SiteDB6[[Site Name]:[CCCM Focal Agency]],7,FALSE)</f>
        <v>KBC</v>
      </c>
      <c r="DL624" s="711" t="str">
        <f>VLOOKUP(WWWW[[#This Row],[Site Name]],SiteDB6[[Site Name]:[Location Type 1]],9,FALSE)</f>
        <v>Camp</v>
      </c>
      <c r="DM624" s="711" t="str">
        <f>VLOOKUP(WWWW[[#This Row],[Site Name]],SiteDB6[[Site Name]:[Type of Accommodation]],10,FALSE)</f>
        <v>Camp</v>
      </c>
      <c r="DN624" s="711" t="str">
        <f>VLOOKUP(WWWW[[#This Row],[Site Name]],SiteDB6[[Site Name]:[Ethnic or GCA/NGCA]],11,FALSE)</f>
        <v>GCA</v>
      </c>
      <c r="DO624" s="711">
        <f>VLOOKUP(WWWW[[#This Row],[Site Name]],SiteDB6[[Site Name]:[Lat]],12,FALSE)</f>
        <v>24.250689999999999</v>
      </c>
      <c r="DP624" s="711">
        <f>VLOOKUP(WWWW[[#This Row],[Site Name]],SiteDB6[[Site Name]:[Long]],13,FALSE)</f>
        <v>97.344359999999995</v>
      </c>
      <c r="DQ624" s="711" t="str">
        <f>VLOOKUP(WWWW[[#This Row],[Site Name]],SiteDB6[[Site Name]:[Pcode]],3,FALSE)</f>
        <v>MMR001CMP056</v>
      </c>
      <c r="DR624" s="709" t="str">
        <f t="shared" si="23"/>
        <v>Covered</v>
      </c>
      <c r="DS624" s="709"/>
    </row>
    <row r="625" spans="1:123">
      <c r="A625" s="701" t="s">
        <v>2519</v>
      </c>
      <c r="B625" s="701" t="s">
        <v>284</v>
      </c>
      <c r="C625" s="702" t="s">
        <v>284</v>
      </c>
      <c r="D625" s="702" t="s">
        <v>2955</v>
      </c>
      <c r="E625" s="702" t="s">
        <v>39</v>
      </c>
      <c r="F625" s="702" t="s">
        <v>203</v>
      </c>
      <c r="G625" s="711" t="str">
        <f>VLOOKUP(WWWW[[#This Row],[Site Name]],SiteDB6[[Site Name]:[Location Type]],8,FALSE)</f>
        <v>Camp</v>
      </c>
      <c r="H625" s="702" t="s">
        <v>288</v>
      </c>
      <c r="I625" s="705">
        <v>638</v>
      </c>
      <c r="J625" s="705">
        <v>4010</v>
      </c>
      <c r="K625" s="706" t="s">
        <v>3270</v>
      </c>
      <c r="L625" s="707" t="s">
        <v>3271</v>
      </c>
      <c r="M625" s="705"/>
      <c r="N625" s="705">
        <v>0</v>
      </c>
      <c r="O625" s="705">
        <v>0</v>
      </c>
      <c r="P625" s="705">
        <v>0</v>
      </c>
      <c r="Q625" s="708" t="s">
        <v>43</v>
      </c>
      <c r="R625" s="705">
        <v>20</v>
      </c>
      <c r="S625" s="705">
        <v>15</v>
      </c>
      <c r="T625" s="807">
        <v>2</v>
      </c>
      <c r="U625" s="705"/>
      <c r="V625" s="705"/>
      <c r="W625" s="705">
        <v>20</v>
      </c>
      <c r="X625" s="705">
        <v>0</v>
      </c>
      <c r="Y625" s="705"/>
      <c r="Z625" s="705"/>
      <c r="AA625" s="705"/>
      <c r="AB625" s="705"/>
      <c r="AC625" s="705"/>
      <c r="AD625" s="705"/>
      <c r="AE625" s="705"/>
      <c r="AF625" s="705"/>
      <c r="AG625" s="705"/>
      <c r="AH625" s="705"/>
      <c r="AI625" s="705">
        <v>13</v>
      </c>
      <c r="AJ625" s="705">
        <v>13</v>
      </c>
      <c r="AK625" s="705">
        <v>14</v>
      </c>
      <c r="AL625" s="705">
        <v>1</v>
      </c>
      <c r="AM625" s="705"/>
      <c r="AN625" s="705"/>
      <c r="AO625" s="709"/>
      <c r="AP625" s="705">
        <v>150</v>
      </c>
      <c r="AQ625" s="705"/>
      <c r="AR625" s="710"/>
      <c r="AS625" s="705"/>
      <c r="AT625" s="705"/>
      <c r="AU625" s="705">
        <v>110</v>
      </c>
      <c r="AV625" s="705"/>
      <c r="AW625" s="705"/>
      <c r="AX625" s="711" t="s">
        <v>43</v>
      </c>
      <c r="AY625" s="709" t="s">
        <v>145</v>
      </c>
      <c r="AZ625" s="705">
        <v>0</v>
      </c>
      <c r="BA625" s="705">
        <v>0</v>
      </c>
      <c r="BB625" s="705"/>
      <c r="BC625" s="711"/>
      <c r="BD625" s="705">
        <v>20</v>
      </c>
      <c r="BE625" s="705">
        <v>10</v>
      </c>
      <c r="BF625" s="705"/>
      <c r="BG625" s="705">
        <v>13</v>
      </c>
      <c r="BH625" s="705"/>
      <c r="BI625" s="705">
        <v>0</v>
      </c>
      <c r="BJ625" s="705">
        <v>5</v>
      </c>
      <c r="BK625" s="705">
        <v>226</v>
      </c>
      <c r="BL625" s="705">
        <v>695</v>
      </c>
      <c r="BM625" s="711"/>
      <c r="BN625" s="712"/>
      <c r="BO625" s="710"/>
      <c r="BP625" s="711"/>
      <c r="BQ625" s="713">
        <f>IFERROR(WWWW[[#This Row],['#_Water sources treated]]/WWWW[[#This Row],['#_Water sources tested for contamination]],"no test")</f>
        <v>1</v>
      </c>
      <c r="BR625" s="710">
        <f>IFERROR(WWWW[[#This Row],['#_Household received remediation action due to contamination]]/WWWW[[#This Row],['#_Household water samples tested for contamination]],"no test")</f>
        <v>7.1428571428571425E-2</v>
      </c>
      <c r="BS625" s="712" t="str">
        <f>IF(AND(WWWW[[#This Row],[% of water sources treated]]="no test",WWWW[[#This Row],[% Household received corrective actions]]="no test"),"No Test","Tested")</f>
        <v>Tested</v>
      </c>
      <c r="BT625" s="712">
        <f>WWWW[[#This Row],['#_Constructed/existing protected hand dug well]]-WWWW[[#This Row],['#_Non-functional protected hand dug well]]</f>
        <v>2</v>
      </c>
      <c r="BU625" s="712">
        <f>(WWWW[[#This Row],['#_Constructed/Existing tube wells/boreholes/handpumps_WASH_agency]]+WWWW[[#This Row],['#_Non-Cluster partner water tube-wells/boreholes/handpumps]])-WWWW[[#This Row],['#_Non-functional tube wells/boreholes/handpumps]]</f>
        <v>20</v>
      </c>
      <c r="BV625" s="712">
        <f>WWWW[[#This Row],['#_Constructed/Existingwater storage tank with gravity fed reticulation system]]-WWWW[[#This Row],['#_Non-functional storage tank gravity fed reticulation system]]</f>
        <v>0</v>
      </c>
      <c r="BW625" s="712">
        <f>WWWW[[#This Row],['#_Water boating or water trucking]]</f>
        <v>0</v>
      </c>
      <c r="BX625" s="712">
        <f>WWWW[[#This Row],['#_Constructed/Existing water distribution system from river or natural spring]]</f>
        <v>0</v>
      </c>
      <c r="BY62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5" s="710">
        <f>IF(WWWW[[#This Row],[Location Type 1]]="Village",WWWW[[#This Row],[Access to safe drinking water for Village]],WWWW[[#This Row],[Access to safe drinking water for Camp]])</f>
        <v>1</v>
      </c>
      <c r="CB625" s="708">
        <f>WWWW[[#This Row],[%Equitable and continuous access to sufficient quantity of safe drinking water]]*WWWW[[#This Row],[Total PoP ]]</f>
        <v>4010</v>
      </c>
      <c r="CC625" s="710">
        <f>IF((WWWW[[#This Row],['#_Constructed/Existing protected/fenced ponds]]*250)/WWWW[[#This Row],[Total PoP ]]&gt;1,1,(WWWW[[#This Row],['#_Constructed/Existing protected/fenced ponds]]*250)/WWWW[[#This Row],[Total PoP ]])</f>
        <v>0</v>
      </c>
      <c r="CD625" s="708">
        <f>WWWW[[#This Row],[% Access to unimproved water points]]*WWWW[[#This Row],[Total PoP ]]</f>
        <v>0</v>
      </c>
      <c r="CE62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4010</v>
      </c>
      <c r="CG625" s="708">
        <f>WWWW[[#This Row],[HRP1]]/500</f>
        <v>8.02</v>
      </c>
      <c r="CH625" s="714">
        <f>1-WWWW[[#This Row],[% Equitable and continuous access to sufficient quantity of domestic water]]</f>
        <v>0</v>
      </c>
      <c r="CI625" s="708">
        <f>WWWW[[#This Row],[%equitable and continuous access to sufficient quantity of safe drinking and domestic water''s GAP]]*WWWW[[#This Row],[Total PoP ]]</f>
        <v>0</v>
      </c>
      <c r="CJ625" s="712">
        <f>IF(WWWW[[#This Row],[Total required water points]]-WWWW[[#This Row],['#Water points coverage]]&lt;0,0,WWWW[[#This Row],[Total required water points]]-WWWW[[#This Row],['#Water points coverage]])</f>
        <v>0</v>
      </c>
      <c r="CK625" s="712">
        <f>ROUND(IF(WWWW[[#This Row],[Total PoP ]]&lt;500,1,WWWW[[#This Row],[Total PoP ]]/500),0)</f>
        <v>8</v>
      </c>
      <c r="CL625" s="712">
        <f>(WWWW[[#This Row],['#_Constructed latrines_by_WASHAgencies]]+WWWW[[#This Row],['#_Non Cluster partner latrines]])-WWWW[[#This Row],['#_Non-functional latrines]]</f>
        <v>150</v>
      </c>
      <c r="CM62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0.74812967581047385</v>
      </c>
      <c r="CN62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3000</v>
      </c>
      <c r="CO62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2200</v>
      </c>
      <c r="CP625" s="712">
        <f>IF(WWWW[[#This Row],[Location Type 1]]="Village","NA",IF(WWWW[[#This Row],['#_Constructed/Existing latrines in TLS]]*50&gt;WWWW[[#This Row],['#_students at TLS_CFS]],WWWW[[#This Row],['#_students at TLS_CFS]],(WWWW[[#This Row],['#_Constructed/Existing latrines in TLS]]*50)))</f>
        <v>0</v>
      </c>
      <c r="CQ625" s="712">
        <f>ROUND(IF(WWWW[[#This Row],[Location Type 1]]="camp",WWWW[[#This Row],[Total PoP ]]/20,IF(WWWW[[#This Row],[Location Type 1]]="Temporary Location",WWWW[[#This Row],[Total PoP ]]/50,(WWWW[[#This Row],[Total PoP ]]/6))),0)</f>
        <v>201</v>
      </c>
      <c r="CR625" s="712">
        <f>IF(WWWW[[#This Row],[Total required Latrines]]-(WWWW[[#This Row],['#_Constructed latrines_by_WASHAgencies]]+WWWW[[#This Row],['#_Non Cluster partner latrines]])&lt;0,0,WWWW[[#This Row],[Total required Latrines]]-(WWWW[[#This Row],['#_Constructed latrines_by_WASHAgencies]]+WWWW[[#This Row],['#_Non Cluster partner latrines]]))</f>
        <v>51</v>
      </c>
      <c r="CS625" s="714">
        <f>1-WWWW[[#This Row],[% people access to functioning Latrine]]</f>
        <v>0.25187032418952615</v>
      </c>
      <c r="CT625" s="713">
        <f>IF(OR(WWWW[[#This Row],['#_Non-functional latrines]]="",WWWW[[#This Row],['#_Non-functional latrines]]=0),0,WWWW[[#This Row],['#_Non-functional latrines]]/(WWWW[[#This Row],['#_Constructed latrines_by_WASHAgencies]]+WWWW[[#This Row],['#_Non Cluster partner latrines]]))</f>
        <v>0</v>
      </c>
      <c r="CU625" s="708">
        <f>IF(500*(WWWW[[#This Row],['#_male hygiene promoters]]+WWWW[[#This Row],['#_female hygiene promoters]])&gt;WWWW[[#This Row],[Total PoP ]],WWWW[[#This Row],[Total PoP ]],500*(WWWW[[#This Row],['#_male hygiene promoters]]+WWWW[[#This Row],['#_female hygiene promoters]]))</f>
        <v>2500</v>
      </c>
      <c r="CV62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1130</v>
      </c>
      <c r="CW62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3475</v>
      </c>
      <c r="CX625" s="712">
        <f>IF(WWWW[[#This Row],['# People with access to soap]]&gt;WWWW[[#This Row],['# People with access to Sanity Pads]],WWWW[[#This Row],['# People with access to soap]],WWWW[[#This Row],['# People with access to Sanity Pads]])</f>
        <v>3475</v>
      </c>
      <c r="CY625" s="712">
        <f>IF(WWWW[[#This Row],['# people reached by regular dedicated hygiene promotion_5]]&gt;WWWW[[#This Row],['# People received regular supply of hygiene items_6]],WWWW[[#This Row],['# people reached by regular dedicated hygiene promotion_5]],WWWW[[#This Row],['# People received regular supply of hygiene items_6]])</f>
        <v>3475</v>
      </c>
      <c r="CZ625" s="714">
        <f>IF(WWWW[[#This Row],[HRP3]]/WWWW[[#This Row],[Total PoP ]]&gt;100%,100%,WWWW[[#This Row],[HRP3]]/WWWW[[#This Row],[Total PoP ]])</f>
        <v>0.86658354114713221</v>
      </c>
      <c r="DA625" s="713">
        <f>1-WWWW[[#This Row],[Hygiene Coverage%]]</f>
        <v>0.13341645885286779</v>
      </c>
      <c r="DB625" s="710">
        <f>WWWW[[#This Row],['# people reached by regular dedicated hygiene promotion_5]]/WWWW[[#This Row],[Total PoP ]]</f>
        <v>0.62344139650872821</v>
      </c>
      <c r="DC625" s="710">
        <f>IF(WWWW[[#This Row],['#_households that received standard amount of soap for this quarter]]/WWWW[[#This Row],[Total HH]]&gt;1,1,WWWW[[#This Row],['#_households that received standard amount of soap for this quarter]]/WWWW[[#This Row],[Total HH]])</f>
        <v>0.35423197492163011</v>
      </c>
      <c r="DD625" s="710">
        <f>IF(WWWW[[#This Row],['#_households that received standard amount of sanitary pads for this quarter]]/WWWW[[#This Row],[Total HH]]&gt;1,1,WWWW[[#This Row],['#_households that received standard amount of sanitary pads for this quarter]]/WWWW[[#This Row],[Total HH]])</f>
        <v>1</v>
      </c>
      <c r="DE625" s="712">
        <f>WWWW[[#This Row],['#_Constructed/Existing hand washing stations]]-WWWW[[#This Row],['#_Non-Functional_hand_washing_stations]]</f>
        <v>10</v>
      </c>
      <c r="DF625" s="757">
        <f>IF(WWWW[[#This Row],['# Functional hand washing stations during reporting period]]*20&gt;WWWW[[#This Row],[Total HH]],WWWW[[#This Row],[Total HH]],WWWW[[#This Row],['# Functional hand washing stations during reporting period]]*20)</f>
        <v>200</v>
      </c>
      <c r="DG625" s="708">
        <f>IF(WWWW[[#This Row],[Is sufficient soap available for TLS? (Yes/No)]]="yes",WWWW[[#This Row],['#_Constructed/Existing hand washing stations at TLS]],0)</f>
        <v>0</v>
      </c>
      <c r="DH625" s="759">
        <f>IF(WWWW[[#This Row],['# Functional hand washing stations during reporting period]]*100&gt;WWWW[[#This Row],[Total PoP ]],WWWW[[#This Row],[Total PoP ]],WWWW[[#This Row],['# Functional hand washing stations during reporting period]]*100)</f>
        <v>1000</v>
      </c>
      <c r="DI625" s="759" t="str">
        <f>IF(OR(WWWW[[#This Row],['#_students at TLS_CFS]]="",WWWW[[#This Row],['#_students at TLS_CFS]]=0),"No","Yes")</f>
        <v>No</v>
      </c>
      <c r="DJ625" s="711" t="str">
        <f>VLOOKUP(WWWW[[#This Row],[Site Name]],SiteDB6[[Site Name]:[CCCM Management]],6,FALSE)</f>
        <v>Yes</v>
      </c>
      <c r="DK625" s="711" t="str">
        <f>VLOOKUP(WWWW[[#This Row],[Site Name]],SiteDB6[[Site Name]:[CCCM Focal Agency]],7,FALSE)</f>
        <v>KBC</v>
      </c>
      <c r="DL625" s="711" t="str">
        <f>VLOOKUP(WWWW[[#This Row],[Site Name]],SiteDB6[[Site Name]:[Location Type 1]],9,FALSE)</f>
        <v>Camp</v>
      </c>
      <c r="DM625" s="711" t="str">
        <f>VLOOKUP(WWWW[[#This Row],[Site Name]],SiteDB6[[Site Name]:[Type of Accommodation]],10,FALSE)</f>
        <v>Camp</v>
      </c>
      <c r="DN625" s="711" t="str">
        <f>VLOOKUP(WWWW[[#This Row],[Site Name]],SiteDB6[[Site Name]:[Ethnic or GCA/NGCA]],11,FALSE)</f>
        <v>GCA</v>
      </c>
      <c r="DO625" s="711">
        <f>VLOOKUP(WWWW[[#This Row],[Site Name]],SiteDB6[[Site Name]:[Lat]],12,FALSE)</f>
        <v>24.26829283</v>
      </c>
      <c r="DP625" s="711">
        <f>VLOOKUP(WWWW[[#This Row],[Site Name]],SiteDB6[[Site Name]:[Long]],13,FALSE)</f>
        <v>97.229116809999994</v>
      </c>
      <c r="DQ625" s="711" t="str">
        <f>VLOOKUP(WWWW[[#This Row],[Site Name]],SiteDB6[[Site Name]:[Pcode]],3,FALSE)</f>
        <v>MMR001CMP047</v>
      </c>
      <c r="DR625" s="709" t="str">
        <f t="shared" si="23"/>
        <v>Covered</v>
      </c>
      <c r="DS625" s="709"/>
    </row>
    <row r="626" spans="1:123">
      <c r="A626" s="701" t="s">
        <v>2519</v>
      </c>
      <c r="B626" s="701" t="s">
        <v>200</v>
      </c>
      <c r="C626" s="702" t="s">
        <v>200</v>
      </c>
      <c r="D626" s="702" t="s">
        <v>2960</v>
      </c>
      <c r="E626" s="702" t="s">
        <v>39</v>
      </c>
      <c r="F626" s="702" t="s">
        <v>203</v>
      </c>
      <c r="G626" s="711" t="str">
        <f>VLOOKUP(WWWW[[#This Row],[Site Name]],SiteDB6[[Site Name]:[Location Type]],8,FALSE)</f>
        <v>Camp</v>
      </c>
      <c r="H626" s="702" t="s">
        <v>209</v>
      </c>
      <c r="I626" s="705">
        <v>11</v>
      </c>
      <c r="J626" s="705">
        <v>49</v>
      </c>
      <c r="K626" s="706">
        <v>43466</v>
      </c>
      <c r="L626" s="707">
        <v>43830</v>
      </c>
      <c r="M626" s="705"/>
      <c r="N626" s="705"/>
      <c r="O626" s="705"/>
      <c r="P626" s="705"/>
      <c r="Q626" s="708" t="s">
        <v>144</v>
      </c>
      <c r="R626" s="705"/>
      <c r="S626" s="705"/>
      <c r="T626" s="807"/>
      <c r="U626" s="705"/>
      <c r="V626" s="705"/>
      <c r="W626" s="705">
        <v>1</v>
      </c>
      <c r="X626" s="705">
        <v>1</v>
      </c>
      <c r="Y626" s="705"/>
      <c r="Z626" s="705"/>
      <c r="AA626" s="705"/>
      <c r="AB626" s="705"/>
      <c r="AC626" s="705"/>
      <c r="AD626" s="705"/>
      <c r="AE626" s="705"/>
      <c r="AF626" s="705"/>
      <c r="AG626" s="705"/>
      <c r="AH626" s="705"/>
      <c r="AI626" s="705"/>
      <c r="AJ626" s="705"/>
      <c r="AK626" s="705"/>
      <c r="AL626" s="705"/>
      <c r="AM626" s="705"/>
      <c r="AN626" s="705"/>
      <c r="AO626" s="709"/>
      <c r="AP626" s="705">
        <v>4</v>
      </c>
      <c r="AQ626" s="705"/>
      <c r="AR626" s="710"/>
      <c r="AS626" s="705">
        <v>2</v>
      </c>
      <c r="AT626" s="705"/>
      <c r="AU626" s="705"/>
      <c r="AV626" s="705"/>
      <c r="AW626" s="705"/>
      <c r="AX626" s="711" t="s">
        <v>43</v>
      </c>
      <c r="AY626" s="709" t="s">
        <v>145</v>
      </c>
      <c r="AZ626" s="705"/>
      <c r="BA626" s="705"/>
      <c r="BB626" s="705"/>
      <c r="BC626" s="711"/>
      <c r="BD626" s="705">
        <v>2</v>
      </c>
      <c r="BE626" s="705"/>
      <c r="BF626" s="705"/>
      <c r="BG626" s="705">
        <v>2</v>
      </c>
      <c r="BH626" s="705"/>
      <c r="BI626" s="705"/>
      <c r="BJ626" s="705"/>
      <c r="BK626" s="705">
        <v>11</v>
      </c>
      <c r="BL626" s="705">
        <v>2</v>
      </c>
      <c r="BM626" s="711"/>
      <c r="BN626" s="712"/>
      <c r="BO626" s="710"/>
      <c r="BP626" s="711"/>
      <c r="BQ626" s="713" t="str">
        <f>IFERROR(WWWW[[#This Row],['#_Water sources treated]]/WWWW[[#This Row],['#_Water sources tested for contamination]],"no test")</f>
        <v>no test</v>
      </c>
      <c r="BR626" s="710" t="str">
        <f>IFERROR(WWWW[[#This Row],['#_Household received remediation action due to contamination]]/WWWW[[#This Row],['#_Household water samples tested for contamination]],"no test")</f>
        <v>no test</v>
      </c>
      <c r="BS626" s="712" t="str">
        <f>IF(AND(WWWW[[#This Row],[% of water sources treated]]="no test",WWWW[[#This Row],[% Household received corrective actions]]="no test"),"No Test","Tested")</f>
        <v>No Test</v>
      </c>
      <c r="BT626" s="712">
        <f>WWWW[[#This Row],['#_Constructed/existing protected hand dug well]]-WWWW[[#This Row],['#_Non-functional protected hand dug well]]</f>
        <v>0</v>
      </c>
      <c r="BU626" s="712">
        <f>(WWWW[[#This Row],['#_Constructed/Existing tube wells/boreholes/handpumps_WASH_agency]]+WWWW[[#This Row],['#_Non-Cluster partner water tube-wells/boreholes/handpumps]])-WWWW[[#This Row],['#_Non-functional tube wells/boreholes/handpumps]]</f>
        <v>2</v>
      </c>
      <c r="BV626" s="712">
        <f>WWWW[[#This Row],['#_Constructed/Existingwater storage tank with gravity fed reticulation system]]-WWWW[[#This Row],['#_Non-functional storage tank gravity fed reticulation system]]</f>
        <v>0</v>
      </c>
      <c r="BW626" s="712">
        <f>WWWW[[#This Row],['#_Water boating or water trucking]]</f>
        <v>0</v>
      </c>
      <c r="BX626" s="712">
        <f>WWWW[[#This Row],['#_Constructed/Existing water distribution system from river or natural spring]]</f>
        <v>0</v>
      </c>
      <c r="BY62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6" s="710">
        <f>IF(WWWW[[#This Row],[Location Type 1]]="Village",WWWW[[#This Row],[Access to safe drinking water for Village]],WWWW[[#This Row],[Access to safe drinking water for Camp]])</f>
        <v>1</v>
      </c>
      <c r="CB626" s="708">
        <f>WWWW[[#This Row],[%Equitable and continuous access to sufficient quantity of safe drinking water]]*WWWW[[#This Row],[Total PoP ]]</f>
        <v>49</v>
      </c>
      <c r="CC626" s="710">
        <f>IF((WWWW[[#This Row],['#_Constructed/Existing protected/fenced ponds]]*250)/WWWW[[#This Row],[Total PoP ]]&gt;1,1,(WWWW[[#This Row],['#_Constructed/Existing protected/fenced ponds]]*250)/WWWW[[#This Row],[Total PoP ]])</f>
        <v>0</v>
      </c>
      <c r="CD626" s="708">
        <f>WWWW[[#This Row],[% Access to unimproved water points]]*WWWW[[#This Row],[Total PoP ]]</f>
        <v>0</v>
      </c>
      <c r="CE62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v>
      </c>
      <c r="CG626" s="708">
        <f>WWWW[[#This Row],[HRP1]]/500</f>
        <v>9.8000000000000004E-2</v>
      </c>
      <c r="CH626" s="714">
        <f>1-WWWW[[#This Row],[% Equitable and continuous access to sufficient quantity of domestic water]]</f>
        <v>0</v>
      </c>
      <c r="CI626" s="708">
        <f>WWWW[[#This Row],[%equitable and continuous access to sufficient quantity of safe drinking and domestic water''s GAP]]*WWWW[[#This Row],[Total PoP ]]</f>
        <v>0</v>
      </c>
      <c r="CJ626" s="712">
        <f>IF(WWWW[[#This Row],[Total required water points]]-WWWW[[#This Row],['#Water points coverage]]&lt;0,0,WWWW[[#This Row],[Total required water points]]-WWWW[[#This Row],['#Water points coverage]])</f>
        <v>0.90200000000000002</v>
      </c>
      <c r="CK626" s="712">
        <f>ROUND(IF(WWWW[[#This Row],[Total PoP ]]&lt;500,1,WWWW[[#This Row],[Total PoP ]]/500),0)</f>
        <v>1</v>
      </c>
      <c r="CL626" s="712">
        <f>(WWWW[[#This Row],['#_Constructed latrines_by_WASHAgencies]]+WWWW[[#This Row],['#_Non Cluster partner latrines]])-WWWW[[#This Row],['#_Non-functional latrines]]</f>
        <v>2</v>
      </c>
      <c r="CM62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0.81632653061224492</v>
      </c>
      <c r="CN62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62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6" s="712">
        <f>IF(WWWW[[#This Row],[Location Type 1]]="Village","NA",IF(WWWW[[#This Row],['#_Constructed/Existing latrines in TLS]]*50&gt;WWWW[[#This Row],['#_students at TLS_CFS]],WWWW[[#This Row],['#_students at TLS_CFS]],(WWWW[[#This Row],['#_Constructed/Existing latrines in TLS]]*50)))</f>
        <v>0</v>
      </c>
      <c r="CQ626" s="712">
        <f>ROUND(IF(WWWW[[#This Row],[Location Type 1]]="camp",WWWW[[#This Row],[Total PoP ]]/20,IF(WWWW[[#This Row],[Location Type 1]]="Temporary Location",WWWW[[#This Row],[Total PoP ]]/50,(WWWW[[#This Row],[Total PoP ]]/6))),0)</f>
        <v>2</v>
      </c>
      <c r="CR626" s="712">
        <f>IF(WWWW[[#This Row],[Total required Latrines]]-(WWWW[[#This Row],['#_Constructed latrines_by_WASHAgencies]]+WWWW[[#This Row],['#_Non Cluster partner latrines]])&lt;0,0,WWWW[[#This Row],[Total required Latrines]]-(WWWW[[#This Row],['#_Constructed latrines_by_WASHAgencies]]+WWWW[[#This Row],['#_Non Cluster partner latrines]]))</f>
        <v>0</v>
      </c>
      <c r="CS626" s="714">
        <f>1-WWWW[[#This Row],[% people access to functioning Latrine]]</f>
        <v>0.18367346938775508</v>
      </c>
      <c r="CT626" s="713">
        <f>IF(OR(WWWW[[#This Row],['#_Non-functional latrines]]="",WWWW[[#This Row],['#_Non-functional latrines]]=0),0,WWWW[[#This Row],['#_Non-functional latrines]]/(WWWW[[#This Row],['#_Constructed latrines_by_WASHAgencies]]+WWWW[[#This Row],['#_Non Cluster partner latrines]]))</f>
        <v>0.5</v>
      </c>
      <c r="CU626" s="708">
        <f>IF(500*(WWWW[[#This Row],['#_male hygiene promoters]]+WWWW[[#This Row],['#_female hygiene promoters]])&gt;WWWW[[#This Row],[Total PoP ]],WWWW[[#This Row],[Total PoP ]],500*(WWWW[[#This Row],['#_male hygiene promoters]]+WWWW[[#This Row],['#_female hygiene promoters]]))</f>
        <v>0</v>
      </c>
      <c r="CV62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49</v>
      </c>
      <c r="CW62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626" s="712">
        <f>IF(WWWW[[#This Row],['# People with access to soap]]&gt;WWWW[[#This Row],['# People with access to Sanity Pads]],WWWW[[#This Row],['# People with access to soap]],WWWW[[#This Row],['# People with access to Sanity Pads]])</f>
        <v>49</v>
      </c>
      <c r="CY626" s="712">
        <f>IF(WWWW[[#This Row],['# people reached by regular dedicated hygiene promotion_5]]&gt;WWWW[[#This Row],['# People received regular supply of hygiene items_6]],WWWW[[#This Row],['# people reached by regular dedicated hygiene promotion_5]],WWWW[[#This Row],['# People received regular supply of hygiene items_6]])</f>
        <v>49</v>
      </c>
      <c r="CZ626" s="714">
        <f>IF(WWWW[[#This Row],[HRP3]]/WWWW[[#This Row],[Total PoP ]]&gt;100%,100%,WWWW[[#This Row],[HRP3]]/WWWW[[#This Row],[Total PoP ]])</f>
        <v>1</v>
      </c>
      <c r="DA626" s="713">
        <f>1-WWWW[[#This Row],[Hygiene Coverage%]]</f>
        <v>0</v>
      </c>
      <c r="DB626" s="710">
        <f>WWWW[[#This Row],['# people reached by regular dedicated hygiene promotion_5]]/WWWW[[#This Row],[Total PoP ]]</f>
        <v>0</v>
      </c>
      <c r="DC626" s="710">
        <f>IF(WWWW[[#This Row],['#_households that received standard amount of soap for this quarter]]/WWWW[[#This Row],[Total HH]]&gt;1,1,WWWW[[#This Row],['#_households that received standard amount of soap for this quarter]]/WWWW[[#This Row],[Total HH]])</f>
        <v>1</v>
      </c>
      <c r="DD626" s="710">
        <f>IF(WWWW[[#This Row],['#_households that received standard amount of sanitary pads for this quarter]]/WWWW[[#This Row],[Total HH]]&gt;1,1,WWWW[[#This Row],['#_households that received standard amount of sanitary pads for this quarter]]/WWWW[[#This Row],[Total HH]])</f>
        <v>0.18181818181818182</v>
      </c>
      <c r="DE626" s="712">
        <f>WWWW[[#This Row],['#_Constructed/Existing hand washing stations]]-WWWW[[#This Row],['#_Non-Functional_hand_washing_stations]]</f>
        <v>2</v>
      </c>
      <c r="DF626" s="757">
        <f>IF(WWWW[[#This Row],['# Functional hand washing stations during reporting period]]*20&gt;WWWW[[#This Row],[Total HH]],WWWW[[#This Row],[Total HH]],WWWW[[#This Row],['# Functional hand washing stations during reporting period]]*20)</f>
        <v>11</v>
      </c>
      <c r="DG626" s="708">
        <f>IF(WWWW[[#This Row],[Is sufficient soap available for TLS? (Yes/No)]]="yes",WWWW[[#This Row],['#_Constructed/Existing hand washing stations at TLS]],0)</f>
        <v>0</v>
      </c>
      <c r="DH626" s="759">
        <f>IF(WWWW[[#This Row],['# Functional hand washing stations during reporting period]]*100&gt;WWWW[[#This Row],[Total PoP ]],WWWW[[#This Row],[Total PoP ]],WWWW[[#This Row],['# Functional hand washing stations during reporting period]]*100)</f>
        <v>49</v>
      </c>
      <c r="DI626" s="759" t="str">
        <f>IF(OR(WWWW[[#This Row],['#_students at TLS_CFS]]="",WWWW[[#This Row],['#_students at TLS_CFS]]=0),"No","Yes")</f>
        <v>No</v>
      </c>
      <c r="DJ626" s="711" t="str">
        <f>VLOOKUP(WWWW[[#This Row],[Site Name]],SiteDB6[[Site Name]:[CCCM Management]],6,FALSE)</f>
        <v>Yes</v>
      </c>
      <c r="DK626" s="711" t="str">
        <f>VLOOKUP(WWWW[[#This Row],[Site Name]],SiteDB6[[Site Name]:[CCCM Focal Agency]],7,FALSE)</f>
        <v>Shalom</v>
      </c>
      <c r="DL626" s="711" t="str">
        <f>VLOOKUP(WWWW[[#This Row],[Site Name]],SiteDB6[[Site Name]:[Location Type 1]],9,FALSE)</f>
        <v>Camp</v>
      </c>
      <c r="DM626" s="711" t="str">
        <f>VLOOKUP(WWWW[[#This Row],[Site Name]],SiteDB6[[Site Name]:[Type of Accommodation]],10,FALSE)</f>
        <v>Camp</v>
      </c>
      <c r="DN626" s="711" t="str">
        <f>VLOOKUP(WWWW[[#This Row],[Site Name]],SiteDB6[[Site Name]:[Ethnic or GCA/NGCA]],11,FALSE)</f>
        <v>GCA</v>
      </c>
      <c r="DO626" s="711">
        <f>VLOOKUP(WWWW[[#This Row],[Site Name]],SiteDB6[[Site Name]:[Lat]],12,FALSE)</f>
        <v>24.253067000000001</v>
      </c>
      <c r="DP626" s="711">
        <f>VLOOKUP(WWWW[[#This Row],[Site Name]],SiteDB6[[Site Name]:[Long]],13,FALSE)</f>
        <v>97.234200000000001</v>
      </c>
      <c r="DQ626" s="711" t="str">
        <f>VLOOKUP(WWWW[[#This Row],[Site Name]],SiteDB6[[Site Name]:[Pcode]],3,FALSE)</f>
        <v>MMR001CMP051</v>
      </c>
      <c r="DR626" s="709" t="str">
        <f t="shared" si="23"/>
        <v>Covered</v>
      </c>
      <c r="DS626" s="709"/>
    </row>
    <row r="627" spans="1:123">
      <c r="A627" s="701" t="s">
        <v>2519</v>
      </c>
      <c r="B627" s="701" t="s">
        <v>200</v>
      </c>
      <c r="C627" s="702" t="s">
        <v>200</v>
      </c>
      <c r="D627" s="702" t="s">
        <v>2960</v>
      </c>
      <c r="E627" s="702" t="s">
        <v>39</v>
      </c>
      <c r="F627" s="702" t="s">
        <v>203</v>
      </c>
      <c r="G627" s="711" t="str">
        <f>VLOOKUP(WWWW[[#This Row],[Site Name]],SiteDB6[[Site Name]:[Location Type]],8,FALSE)</f>
        <v>Camp</v>
      </c>
      <c r="H627" s="702" t="s">
        <v>211</v>
      </c>
      <c r="I627" s="705">
        <v>17</v>
      </c>
      <c r="J627" s="705">
        <v>76</v>
      </c>
      <c r="K627" s="706">
        <v>43466</v>
      </c>
      <c r="L627" s="707">
        <v>43830</v>
      </c>
      <c r="M627" s="705"/>
      <c r="N627" s="705"/>
      <c r="O627" s="705"/>
      <c r="P627" s="705"/>
      <c r="Q627" s="708" t="s">
        <v>144</v>
      </c>
      <c r="R627" s="705"/>
      <c r="S627" s="705"/>
      <c r="T627" s="807"/>
      <c r="U627" s="705"/>
      <c r="V627" s="705"/>
      <c r="W627" s="705"/>
      <c r="X627" s="705">
        <v>1</v>
      </c>
      <c r="Y627" s="705"/>
      <c r="Z627" s="705"/>
      <c r="AA627" s="705"/>
      <c r="AB627" s="705"/>
      <c r="AC627" s="705"/>
      <c r="AD627" s="705"/>
      <c r="AE627" s="705"/>
      <c r="AF627" s="705"/>
      <c r="AG627" s="705"/>
      <c r="AH627" s="705"/>
      <c r="AI627" s="705"/>
      <c r="AJ627" s="705"/>
      <c r="AK627" s="705"/>
      <c r="AL627" s="705"/>
      <c r="AM627" s="705"/>
      <c r="AN627" s="705"/>
      <c r="AO627" s="709"/>
      <c r="AP627" s="705">
        <v>4</v>
      </c>
      <c r="AQ627" s="705"/>
      <c r="AR627" s="710"/>
      <c r="AS627" s="705"/>
      <c r="AT627" s="705"/>
      <c r="AU627" s="705"/>
      <c r="AV627" s="705"/>
      <c r="AW627" s="705"/>
      <c r="AX627" s="711" t="s">
        <v>43</v>
      </c>
      <c r="AY627" s="709" t="s">
        <v>145</v>
      </c>
      <c r="AZ627" s="705"/>
      <c r="BA627" s="705"/>
      <c r="BB627" s="705"/>
      <c r="BC627" s="711"/>
      <c r="BD627" s="705">
        <v>2</v>
      </c>
      <c r="BE627" s="705"/>
      <c r="BF627" s="705"/>
      <c r="BG627" s="705">
        <v>2</v>
      </c>
      <c r="BH627" s="705"/>
      <c r="BI627" s="705"/>
      <c r="BJ627" s="705"/>
      <c r="BK627" s="705">
        <v>17</v>
      </c>
      <c r="BL627" s="705">
        <v>2</v>
      </c>
      <c r="BM627" s="711"/>
      <c r="BN627" s="712"/>
      <c r="BO627" s="710"/>
      <c r="BP627" s="711"/>
      <c r="BQ627" s="713" t="str">
        <f>IFERROR(WWWW[[#This Row],['#_Water sources treated]]/WWWW[[#This Row],['#_Water sources tested for contamination]],"no test")</f>
        <v>no test</v>
      </c>
      <c r="BR627" s="710" t="str">
        <f>IFERROR(WWWW[[#This Row],['#_Household received remediation action due to contamination]]/WWWW[[#This Row],['#_Household water samples tested for contamination]],"no test")</f>
        <v>no test</v>
      </c>
      <c r="BS627" s="712" t="str">
        <f>IF(AND(WWWW[[#This Row],[% of water sources treated]]="no test",WWWW[[#This Row],[% Household received corrective actions]]="no test"),"No Test","Tested")</f>
        <v>No Test</v>
      </c>
      <c r="BT627" s="712">
        <f>WWWW[[#This Row],['#_Constructed/existing protected hand dug well]]-WWWW[[#This Row],['#_Non-functional protected hand dug well]]</f>
        <v>0</v>
      </c>
      <c r="BU627" s="712">
        <f>(WWWW[[#This Row],['#_Constructed/Existing tube wells/boreholes/handpumps_WASH_agency]]+WWWW[[#This Row],['#_Non-Cluster partner water tube-wells/boreholes/handpumps]])-WWWW[[#This Row],['#_Non-functional tube wells/boreholes/handpumps]]</f>
        <v>1</v>
      </c>
      <c r="BV627" s="712">
        <f>WWWW[[#This Row],['#_Constructed/Existingwater storage tank with gravity fed reticulation system]]-WWWW[[#This Row],['#_Non-functional storage tank gravity fed reticulation system]]</f>
        <v>0</v>
      </c>
      <c r="BW627" s="712">
        <f>WWWW[[#This Row],['#_Water boating or water trucking]]</f>
        <v>0</v>
      </c>
      <c r="BX627" s="712">
        <f>WWWW[[#This Row],['#_Constructed/Existing water distribution system from river or natural spring]]</f>
        <v>0</v>
      </c>
      <c r="BY62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2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27" s="710">
        <f>IF(WWWW[[#This Row],[Location Type 1]]="Village",WWWW[[#This Row],[Access to safe drinking water for Village]],WWWW[[#This Row],[Access to safe drinking water for Camp]])</f>
        <v>1</v>
      </c>
      <c r="CB627" s="708">
        <f>WWWW[[#This Row],[%Equitable and continuous access to sufficient quantity of safe drinking water]]*WWWW[[#This Row],[Total PoP ]]</f>
        <v>76</v>
      </c>
      <c r="CC627" s="710">
        <f>IF((WWWW[[#This Row],['#_Constructed/Existing protected/fenced ponds]]*250)/WWWW[[#This Row],[Total PoP ]]&gt;1,1,(WWWW[[#This Row],['#_Constructed/Existing protected/fenced ponds]]*250)/WWWW[[#This Row],[Total PoP ]])</f>
        <v>0</v>
      </c>
      <c r="CD627" s="708">
        <f>WWWW[[#This Row],[% Access to unimproved water points]]*WWWW[[#This Row],[Total PoP ]]</f>
        <v>0</v>
      </c>
      <c r="CE62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2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G627" s="708">
        <f>WWWW[[#This Row],[HRP1]]/500</f>
        <v>0.152</v>
      </c>
      <c r="CH627" s="714">
        <f>1-WWWW[[#This Row],[% Equitable and continuous access to sufficient quantity of domestic water]]</f>
        <v>0</v>
      </c>
      <c r="CI627" s="708">
        <f>WWWW[[#This Row],[%equitable and continuous access to sufficient quantity of safe drinking and domestic water''s GAP]]*WWWW[[#This Row],[Total PoP ]]</f>
        <v>0</v>
      </c>
      <c r="CJ627" s="712">
        <f>IF(WWWW[[#This Row],[Total required water points]]-WWWW[[#This Row],['#Water points coverage]]&lt;0,0,WWWW[[#This Row],[Total required water points]]-WWWW[[#This Row],['#Water points coverage]])</f>
        <v>0.84799999999999998</v>
      </c>
      <c r="CK627" s="712">
        <f>ROUND(IF(WWWW[[#This Row],[Total PoP ]]&lt;500,1,WWWW[[#This Row],[Total PoP ]]/500),0)</f>
        <v>1</v>
      </c>
      <c r="CL627" s="712">
        <f>(WWWW[[#This Row],['#_Constructed latrines_by_WASHAgencies]]+WWWW[[#This Row],['#_Non Cluster partner latrines]])-WWWW[[#This Row],['#_Non-functional latrines]]</f>
        <v>4</v>
      </c>
      <c r="CM62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2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76</v>
      </c>
      <c r="CO62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7" s="712">
        <f>IF(WWWW[[#This Row],[Location Type 1]]="Village","NA",IF(WWWW[[#This Row],['#_Constructed/Existing latrines in TLS]]*50&gt;WWWW[[#This Row],['#_students at TLS_CFS]],WWWW[[#This Row],['#_students at TLS_CFS]],(WWWW[[#This Row],['#_Constructed/Existing latrines in TLS]]*50)))</f>
        <v>0</v>
      </c>
      <c r="CQ627" s="712">
        <f>ROUND(IF(WWWW[[#This Row],[Location Type 1]]="camp",WWWW[[#This Row],[Total PoP ]]/20,IF(WWWW[[#This Row],[Location Type 1]]="Temporary Location",WWWW[[#This Row],[Total PoP ]]/50,(WWWW[[#This Row],[Total PoP ]]/6))),0)</f>
        <v>4</v>
      </c>
      <c r="CR627" s="712">
        <f>IF(WWWW[[#This Row],[Total required Latrines]]-(WWWW[[#This Row],['#_Constructed latrines_by_WASHAgencies]]+WWWW[[#This Row],['#_Non Cluster partner latrines]])&lt;0,0,WWWW[[#This Row],[Total required Latrines]]-(WWWW[[#This Row],['#_Constructed latrines_by_WASHAgencies]]+WWWW[[#This Row],['#_Non Cluster partner latrines]]))</f>
        <v>0</v>
      </c>
      <c r="CS627" s="714">
        <f>1-WWWW[[#This Row],[% people access to functioning Latrine]]</f>
        <v>0</v>
      </c>
      <c r="CT627" s="713">
        <f>IF(OR(WWWW[[#This Row],['#_Non-functional latrines]]="",WWWW[[#This Row],['#_Non-functional latrines]]=0),0,WWWW[[#This Row],['#_Non-functional latrines]]/(WWWW[[#This Row],['#_Constructed latrines_by_WASHAgencies]]+WWWW[[#This Row],['#_Non Cluster partner latrines]]))</f>
        <v>0</v>
      </c>
      <c r="CU627" s="708">
        <f>IF(500*(WWWW[[#This Row],['#_male hygiene promoters]]+WWWW[[#This Row],['#_female hygiene promoters]])&gt;WWWW[[#This Row],[Total PoP ]],WWWW[[#This Row],[Total PoP ]],500*(WWWW[[#This Row],['#_male hygiene promoters]]+WWWW[[#This Row],['#_female hygiene promoters]]))</f>
        <v>0</v>
      </c>
      <c r="CV62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76</v>
      </c>
      <c r="CW62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10</v>
      </c>
      <c r="CX627" s="712">
        <f>IF(WWWW[[#This Row],['# People with access to soap]]&gt;WWWW[[#This Row],['# People with access to Sanity Pads]],WWWW[[#This Row],['# People with access to soap]],WWWW[[#This Row],['# People with access to Sanity Pads]])</f>
        <v>76</v>
      </c>
      <c r="CY627" s="712">
        <f>IF(WWWW[[#This Row],['# people reached by regular dedicated hygiene promotion_5]]&gt;WWWW[[#This Row],['# People received regular supply of hygiene items_6]],WWWW[[#This Row],['# people reached by regular dedicated hygiene promotion_5]],WWWW[[#This Row],['# People received regular supply of hygiene items_6]])</f>
        <v>76</v>
      </c>
      <c r="CZ627" s="714">
        <f>IF(WWWW[[#This Row],[HRP3]]/WWWW[[#This Row],[Total PoP ]]&gt;100%,100%,WWWW[[#This Row],[HRP3]]/WWWW[[#This Row],[Total PoP ]])</f>
        <v>1</v>
      </c>
      <c r="DA627" s="713">
        <f>1-WWWW[[#This Row],[Hygiene Coverage%]]</f>
        <v>0</v>
      </c>
      <c r="DB627" s="710">
        <f>WWWW[[#This Row],['# people reached by regular dedicated hygiene promotion_5]]/WWWW[[#This Row],[Total PoP ]]</f>
        <v>0</v>
      </c>
      <c r="DC627" s="710">
        <f>IF(WWWW[[#This Row],['#_households that received standard amount of soap for this quarter]]/WWWW[[#This Row],[Total HH]]&gt;1,1,WWWW[[#This Row],['#_households that received standard amount of soap for this quarter]]/WWWW[[#This Row],[Total HH]])</f>
        <v>1</v>
      </c>
      <c r="DD627" s="710">
        <f>IF(WWWW[[#This Row],['#_households that received standard amount of sanitary pads for this quarter]]/WWWW[[#This Row],[Total HH]]&gt;1,1,WWWW[[#This Row],['#_households that received standard amount of sanitary pads for this quarter]]/WWWW[[#This Row],[Total HH]])</f>
        <v>0.11764705882352941</v>
      </c>
      <c r="DE627" s="712">
        <f>WWWW[[#This Row],['#_Constructed/Existing hand washing stations]]-WWWW[[#This Row],['#_Non-Functional_hand_washing_stations]]</f>
        <v>2</v>
      </c>
      <c r="DF627" s="757">
        <f>IF(WWWW[[#This Row],['# Functional hand washing stations during reporting period]]*20&gt;WWWW[[#This Row],[Total HH]],WWWW[[#This Row],[Total HH]],WWWW[[#This Row],['# Functional hand washing stations during reporting period]]*20)</f>
        <v>17</v>
      </c>
      <c r="DG627" s="708">
        <f>IF(WWWW[[#This Row],[Is sufficient soap available for TLS? (Yes/No)]]="yes",WWWW[[#This Row],['#_Constructed/Existing hand washing stations at TLS]],0)</f>
        <v>0</v>
      </c>
      <c r="DH627" s="759">
        <f>IF(WWWW[[#This Row],['# Functional hand washing stations during reporting period]]*100&gt;WWWW[[#This Row],[Total PoP ]],WWWW[[#This Row],[Total PoP ]],WWWW[[#This Row],['# Functional hand washing stations during reporting period]]*100)</f>
        <v>76</v>
      </c>
      <c r="DI627" s="759" t="str">
        <f>IF(OR(WWWW[[#This Row],['#_students at TLS_CFS]]="",WWWW[[#This Row],['#_students at TLS_CFS]]=0),"No","Yes")</f>
        <v>No</v>
      </c>
      <c r="DJ627" s="711" t="str">
        <f>VLOOKUP(WWWW[[#This Row],[Site Name]],SiteDB6[[Site Name]:[CCCM Management]],6,FALSE)</f>
        <v>Yes</v>
      </c>
      <c r="DK627" s="711" t="str">
        <f>VLOOKUP(WWWW[[#This Row],[Site Name]],SiteDB6[[Site Name]:[CCCM Focal Agency]],7,FALSE)</f>
        <v>KMSS-BMO</v>
      </c>
      <c r="DL627" s="711" t="str">
        <f>VLOOKUP(WWWW[[#This Row],[Site Name]],SiteDB6[[Site Name]:[Location Type 1]],9,FALSE)</f>
        <v>Camp</v>
      </c>
      <c r="DM627" s="711" t="str">
        <f>VLOOKUP(WWWW[[#This Row],[Site Name]],SiteDB6[[Site Name]:[Type of Accommodation]],10,FALSE)</f>
        <v>Closed Camp</v>
      </c>
      <c r="DN627" s="711" t="str">
        <f>VLOOKUP(WWWW[[#This Row],[Site Name]],SiteDB6[[Site Name]:[Ethnic or GCA/NGCA]],11,FALSE)</f>
        <v>GCA</v>
      </c>
      <c r="DO627" s="711">
        <f>VLOOKUP(WWWW[[#This Row],[Site Name]],SiteDB6[[Site Name]:[Lat]],12,FALSE)</f>
        <v>24.32638</v>
      </c>
      <c r="DP627" s="711">
        <f>VLOOKUP(WWWW[[#This Row],[Site Name]],SiteDB6[[Site Name]:[Long]],13,FALSE)</f>
        <v>97.315860000000001</v>
      </c>
      <c r="DQ627" s="711" t="str">
        <f>VLOOKUP(WWWW[[#This Row],[Site Name]],SiteDB6[[Site Name]:[Pcode]],3,FALSE)</f>
        <v>MMR001CMP054</v>
      </c>
      <c r="DR627" s="709" t="str">
        <f t="shared" si="23"/>
        <v>Covered</v>
      </c>
      <c r="DS627" s="709"/>
    </row>
    <row r="628" spans="1:123">
      <c r="A628" s="701" t="s">
        <v>2519</v>
      </c>
      <c r="B628" s="701" t="s">
        <v>317</v>
      </c>
      <c r="C628" s="702" t="s">
        <v>317</v>
      </c>
      <c r="D628" s="702"/>
      <c r="E628" s="702" t="s">
        <v>39</v>
      </c>
      <c r="F628" s="702" t="s">
        <v>213</v>
      </c>
      <c r="G628" s="711" t="str">
        <f>VLOOKUP(WWWW[[#This Row],[Site Name]],SiteDB6[[Site Name]:[Location Type]],8,FALSE)</f>
        <v>Camp</v>
      </c>
      <c r="H628" s="702" t="s">
        <v>1018</v>
      </c>
      <c r="I628" s="705">
        <v>223</v>
      </c>
      <c r="J628" s="705">
        <v>1067</v>
      </c>
      <c r="K628" s="706"/>
      <c r="L628" s="707"/>
      <c r="M628" s="705"/>
      <c r="N628" s="705"/>
      <c r="O628" s="705"/>
      <c r="P628" s="705"/>
      <c r="Q628" s="708"/>
      <c r="R628" s="705"/>
      <c r="S628" s="705"/>
      <c r="T628" s="807"/>
      <c r="U628" s="705"/>
      <c r="V628" s="705"/>
      <c r="W628" s="705"/>
      <c r="X628" s="705"/>
      <c r="Y628" s="705"/>
      <c r="Z628" s="705"/>
      <c r="AA628" s="705"/>
      <c r="AB628" s="705"/>
      <c r="AC628" s="705"/>
      <c r="AD628" s="705"/>
      <c r="AE628" s="705"/>
      <c r="AF628" s="705"/>
      <c r="AG628" s="705"/>
      <c r="AH628" s="705"/>
      <c r="AI628" s="705"/>
      <c r="AJ628" s="705"/>
      <c r="AK628" s="705"/>
      <c r="AL628" s="705"/>
      <c r="AM628" s="705"/>
      <c r="AN628" s="705"/>
      <c r="AO628" s="709"/>
      <c r="AP628" s="705"/>
      <c r="AQ628" s="705"/>
      <c r="AR628" s="710"/>
      <c r="AS628" s="705"/>
      <c r="AT628" s="705"/>
      <c r="AU628" s="705"/>
      <c r="AV628" s="705"/>
      <c r="AW628" s="705"/>
      <c r="AX628" s="711"/>
      <c r="AY628" s="709"/>
      <c r="AZ628" s="705"/>
      <c r="BA628" s="705"/>
      <c r="BB628" s="705"/>
      <c r="BC628" s="711"/>
      <c r="BD628" s="705"/>
      <c r="BE628" s="705"/>
      <c r="BF628" s="705"/>
      <c r="BG628" s="705"/>
      <c r="BH628" s="705"/>
      <c r="BI628" s="705"/>
      <c r="BJ628" s="705"/>
      <c r="BK628" s="705"/>
      <c r="BL628" s="705"/>
      <c r="BM628" s="711"/>
      <c r="BN628" s="712"/>
      <c r="BO628" s="710"/>
      <c r="BP628" s="711"/>
      <c r="BQ628" s="713" t="str">
        <f>IFERROR(WWWW[[#This Row],['#_Water sources treated]]/WWWW[[#This Row],['#_Water sources tested for contamination]],"no test")</f>
        <v>no test</v>
      </c>
      <c r="BR628" s="710" t="str">
        <f>IFERROR(WWWW[[#This Row],['#_Household received remediation action due to contamination]]/WWWW[[#This Row],['#_Household water samples tested for contamination]],"no test")</f>
        <v>no test</v>
      </c>
      <c r="BS628" s="712" t="str">
        <f>IF(AND(WWWW[[#This Row],[% of water sources treated]]="no test",WWWW[[#This Row],[% Household received corrective actions]]="no test"),"No Test","Tested")</f>
        <v>No Test</v>
      </c>
      <c r="BT628" s="712">
        <f>WWWW[[#This Row],['#_Constructed/existing protected hand dug well]]-WWWW[[#This Row],['#_Non-functional protected hand dug well]]</f>
        <v>0</v>
      </c>
      <c r="BU628" s="712">
        <f>(WWWW[[#This Row],['#_Constructed/Existing tube wells/boreholes/handpumps_WASH_agency]]+WWWW[[#This Row],['#_Non-Cluster partner water tube-wells/boreholes/handpumps]])-WWWW[[#This Row],['#_Non-functional tube wells/boreholes/handpumps]]</f>
        <v>0</v>
      </c>
      <c r="BV628" s="712">
        <f>WWWW[[#This Row],['#_Constructed/Existingwater storage tank with gravity fed reticulation system]]-WWWW[[#This Row],['#_Non-functional storage tank gravity fed reticulation system]]</f>
        <v>0</v>
      </c>
      <c r="BW628" s="712">
        <f>WWWW[[#This Row],['#_Water boating or water trucking]]</f>
        <v>0</v>
      </c>
      <c r="BX628" s="712">
        <f>WWWW[[#This Row],['#_Constructed/Existing water distribution system from river or natural spring]]</f>
        <v>0</v>
      </c>
      <c r="BY62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2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28" s="710">
        <f>IF(WWWW[[#This Row],[Location Type 1]]="Village",WWWW[[#This Row],[Access to safe drinking water for Village]],WWWW[[#This Row],[Access to safe drinking water for Camp]])</f>
        <v>0</v>
      </c>
      <c r="CB628" s="708">
        <f>WWWW[[#This Row],[%Equitable and continuous access to sufficient quantity of safe drinking water]]*WWWW[[#This Row],[Total PoP ]]</f>
        <v>0</v>
      </c>
      <c r="CC628" s="710">
        <f>IF((WWWW[[#This Row],['#_Constructed/Existing protected/fenced ponds]]*250)/WWWW[[#This Row],[Total PoP ]]&gt;1,1,(WWWW[[#This Row],['#_Constructed/Existing protected/fenced ponds]]*250)/WWWW[[#This Row],[Total PoP ]])</f>
        <v>0</v>
      </c>
      <c r="CD628" s="708">
        <f>WWWW[[#This Row],[% Access to unimproved water points]]*WWWW[[#This Row],[Total PoP ]]</f>
        <v>0</v>
      </c>
      <c r="CE62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2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28" s="708">
        <f>WWWW[[#This Row],[HRP1]]/500</f>
        <v>0</v>
      </c>
      <c r="CH628" s="714">
        <f>1-WWWW[[#This Row],[% Equitable and continuous access to sufficient quantity of domestic water]]</f>
        <v>1</v>
      </c>
      <c r="CI628" s="708">
        <f>WWWW[[#This Row],[%equitable and continuous access to sufficient quantity of safe drinking and domestic water''s GAP]]*WWWW[[#This Row],[Total PoP ]]</f>
        <v>1067</v>
      </c>
      <c r="CJ628" s="712">
        <f>IF(WWWW[[#This Row],[Total required water points]]-WWWW[[#This Row],['#Water points coverage]]&lt;0,0,WWWW[[#This Row],[Total required water points]]-WWWW[[#This Row],['#Water points coverage]])</f>
        <v>2</v>
      </c>
      <c r="CK628" s="712">
        <f>ROUND(IF(WWWW[[#This Row],[Total PoP ]]&lt;500,1,WWWW[[#This Row],[Total PoP ]]/500),0)</f>
        <v>2</v>
      </c>
      <c r="CL628" s="712">
        <f>(WWWW[[#This Row],['#_Constructed latrines_by_WASHAgencies]]+WWWW[[#This Row],['#_Non Cluster partner latrines]])-WWWW[[#This Row],['#_Non-functional latrines]]</f>
        <v>0</v>
      </c>
      <c r="CM62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2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2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8" s="712">
        <f>IF(WWWW[[#This Row],[Location Type 1]]="Village","NA",IF(WWWW[[#This Row],['#_Constructed/Existing latrines in TLS]]*50&gt;WWWW[[#This Row],['#_students at TLS_CFS]],WWWW[[#This Row],['#_students at TLS_CFS]],(WWWW[[#This Row],['#_Constructed/Existing latrines in TLS]]*50)))</f>
        <v>0</v>
      </c>
      <c r="CQ628" s="712">
        <f>ROUND(IF(WWWW[[#This Row],[Location Type 1]]="camp",WWWW[[#This Row],[Total PoP ]]/20,IF(WWWW[[#This Row],[Location Type 1]]="Temporary Location",WWWW[[#This Row],[Total PoP ]]/50,(WWWW[[#This Row],[Total PoP ]]/6))),0)</f>
        <v>53</v>
      </c>
      <c r="CR628" s="712">
        <f>IF(WWWW[[#This Row],[Total required Latrines]]-(WWWW[[#This Row],['#_Constructed latrines_by_WASHAgencies]]+WWWW[[#This Row],['#_Non Cluster partner latrines]])&lt;0,0,WWWW[[#This Row],[Total required Latrines]]-(WWWW[[#This Row],['#_Constructed latrines_by_WASHAgencies]]+WWWW[[#This Row],['#_Non Cluster partner latrines]]))</f>
        <v>53</v>
      </c>
      <c r="CS628" s="714">
        <f>1-WWWW[[#This Row],[% people access to functioning Latrine]]</f>
        <v>1</v>
      </c>
      <c r="CT628" s="713">
        <f>IF(OR(WWWW[[#This Row],['#_Non-functional latrines]]="",WWWW[[#This Row],['#_Non-functional latrines]]=0),0,WWWW[[#This Row],['#_Non-functional latrines]]/(WWWW[[#This Row],['#_Constructed latrines_by_WASHAgencies]]+WWWW[[#This Row],['#_Non Cluster partner latrines]]))</f>
        <v>0</v>
      </c>
      <c r="CU628" s="708">
        <f>IF(500*(WWWW[[#This Row],['#_male hygiene promoters]]+WWWW[[#This Row],['#_female hygiene promoters]])&gt;WWWW[[#This Row],[Total PoP ]],WWWW[[#This Row],[Total PoP ]],500*(WWWW[[#This Row],['#_male hygiene promoters]]+WWWW[[#This Row],['#_female hygiene promoters]]))</f>
        <v>0</v>
      </c>
      <c r="CV62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2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28" s="712">
        <f>IF(WWWW[[#This Row],['# People with access to soap]]&gt;WWWW[[#This Row],['# People with access to Sanity Pads]],WWWW[[#This Row],['# People with access to soap]],WWWW[[#This Row],['# People with access to Sanity Pads]])</f>
        <v>0</v>
      </c>
      <c r="CY62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28" s="714">
        <f>IF(WWWW[[#This Row],[HRP3]]/WWWW[[#This Row],[Total PoP ]]&gt;100%,100%,WWWW[[#This Row],[HRP3]]/WWWW[[#This Row],[Total PoP ]])</f>
        <v>0</v>
      </c>
      <c r="DA628" s="713">
        <f>1-WWWW[[#This Row],[Hygiene Coverage%]]</f>
        <v>1</v>
      </c>
      <c r="DB628" s="710">
        <f>WWWW[[#This Row],['# people reached by regular dedicated hygiene promotion_5]]/WWWW[[#This Row],[Total PoP ]]</f>
        <v>0</v>
      </c>
      <c r="DC628" s="710">
        <f>IF(WWWW[[#This Row],['#_households that received standard amount of soap for this quarter]]/WWWW[[#This Row],[Total HH]]&gt;1,1,WWWW[[#This Row],['#_households that received standard amount of soap for this quarter]]/WWWW[[#This Row],[Total HH]])</f>
        <v>0</v>
      </c>
      <c r="DD628" s="710">
        <f>IF(WWWW[[#This Row],['#_households that received standard amount of sanitary pads for this quarter]]/WWWW[[#This Row],[Total HH]]&gt;1,1,WWWW[[#This Row],['#_households that received standard amount of sanitary pads for this quarter]]/WWWW[[#This Row],[Total HH]])</f>
        <v>0</v>
      </c>
      <c r="DE628" s="712">
        <f>WWWW[[#This Row],['#_Constructed/Existing hand washing stations]]-WWWW[[#This Row],['#_Non-Functional_hand_washing_stations]]</f>
        <v>0</v>
      </c>
      <c r="DF628" s="757">
        <f>IF(WWWW[[#This Row],['# Functional hand washing stations during reporting period]]*20&gt;WWWW[[#This Row],[Total HH]],WWWW[[#This Row],[Total HH]],WWWW[[#This Row],['# Functional hand washing stations during reporting period]]*20)</f>
        <v>0</v>
      </c>
      <c r="DG628" s="708">
        <f>IF(WWWW[[#This Row],[Is sufficient soap available for TLS? (Yes/No)]]="yes",WWWW[[#This Row],['#_Constructed/Existing hand washing stations at TLS]],0)</f>
        <v>0</v>
      </c>
      <c r="DH628" s="759">
        <f>IF(WWWW[[#This Row],['# Functional hand washing stations during reporting period]]*100&gt;WWWW[[#This Row],[Total PoP ]],WWWW[[#This Row],[Total PoP ]],WWWW[[#This Row],['# Functional hand washing stations during reporting period]]*100)</f>
        <v>0</v>
      </c>
      <c r="DI628" s="759" t="str">
        <f>IF(OR(WWWW[[#This Row],['#_students at TLS_CFS]]="",WWWW[[#This Row],['#_students at TLS_CFS]]=0),"No","Yes")</f>
        <v>No</v>
      </c>
      <c r="DJ628" s="711">
        <f>VLOOKUP(WWWW[[#This Row],[Site Name]],SiteDB6[[Site Name]:[CCCM Management]],6,FALSE)</f>
        <v>0</v>
      </c>
      <c r="DK628" s="711" t="str">
        <f>VLOOKUP(WWWW[[#This Row],[Site Name]],SiteDB6[[Site Name]:[CCCM Focal Agency]],7,FALSE)</f>
        <v>uncovered</v>
      </c>
      <c r="DL628" s="711" t="str">
        <f>VLOOKUP(WWWW[[#This Row],[Site Name]],SiteDB6[[Site Name]:[Location Type 1]],9,FALSE)</f>
        <v>Camp</v>
      </c>
      <c r="DM628" s="711" t="str">
        <f>VLOOKUP(WWWW[[#This Row],[Site Name]],SiteDB6[[Site Name]:[Type of Accommodation]],10,FALSE)</f>
        <v>Host Families</v>
      </c>
      <c r="DN628" s="711" t="str">
        <f>VLOOKUP(WWWW[[#This Row],[Site Name]],SiteDB6[[Site Name]:[Ethnic or GCA/NGCA]],11,FALSE)</f>
        <v>GCA</v>
      </c>
      <c r="DO628" s="711">
        <f>VLOOKUP(WWWW[[#This Row],[Site Name]],SiteDB6[[Site Name]:[Lat]],12,FALSE)</f>
        <v>24.251232000000002</v>
      </c>
      <c r="DP628" s="711">
        <f>VLOOKUP(WWWW[[#This Row],[Site Name]],SiteDB6[[Site Name]:[Long]],13,FALSE)</f>
        <v>97.348405</v>
      </c>
      <c r="DQ628" s="711" t="str">
        <f>VLOOKUP(WWWW[[#This Row],[Site Name]],SiteDB6[[Site Name]:[Pcode]],3,FALSE)</f>
        <v>MMR001CMP197</v>
      </c>
      <c r="DR628" s="709" t="str">
        <f t="shared" si="23"/>
        <v>Notcovered</v>
      </c>
      <c r="DS628" s="709"/>
    </row>
    <row r="629" spans="1:123">
      <c r="A629" s="701" t="s">
        <v>2519</v>
      </c>
      <c r="B629" s="701" t="s">
        <v>317</v>
      </c>
      <c r="C629" s="702" t="s">
        <v>317</v>
      </c>
      <c r="D629" s="702"/>
      <c r="E629" s="702" t="s">
        <v>39</v>
      </c>
      <c r="F629" s="702" t="s">
        <v>213</v>
      </c>
      <c r="G629" s="711" t="str">
        <f>VLOOKUP(WWWW[[#This Row],[Site Name]],SiteDB6[[Site Name]:[Location Type]],8,FALSE)</f>
        <v>Camp</v>
      </c>
      <c r="H629" s="702" t="s">
        <v>1028</v>
      </c>
      <c r="I629" s="705">
        <v>47</v>
      </c>
      <c r="J629" s="705">
        <v>153</v>
      </c>
      <c r="K629" s="706"/>
      <c r="L629" s="707"/>
      <c r="M629" s="705"/>
      <c r="N629" s="705"/>
      <c r="O629" s="705"/>
      <c r="P629" s="705"/>
      <c r="Q629" s="708"/>
      <c r="R629" s="705"/>
      <c r="S629" s="705"/>
      <c r="T629" s="807"/>
      <c r="U629" s="705"/>
      <c r="V629" s="705"/>
      <c r="W629" s="705"/>
      <c r="X629" s="705"/>
      <c r="Y629" s="705"/>
      <c r="Z629" s="705"/>
      <c r="AA629" s="705"/>
      <c r="AB629" s="705"/>
      <c r="AC629" s="705"/>
      <c r="AD629" s="705"/>
      <c r="AE629" s="705"/>
      <c r="AF629" s="705"/>
      <c r="AG629" s="705"/>
      <c r="AH629" s="705"/>
      <c r="AI629" s="705"/>
      <c r="AJ629" s="705"/>
      <c r="AK629" s="705"/>
      <c r="AL629" s="705"/>
      <c r="AM629" s="705"/>
      <c r="AN629" s="705"/>
      <c r="AO629" s="709"/>
      <c r="AP629" s="705"/>
      <c r="AQ629" s="705"/>
      <c r="AR629" s="710"/>
      <c r="AS629" s="705"/>
      <c r="AT629" s="705"/>
      <c r="AU629" s="705"/>
      <c r="AV629" s="705"/>
      <c r="AW629" s="705"/>
      <c r="AX629" s="711"/>
      <c r="AY629" s="709"/>
      <c r="AZ629" s="705"/>
      <c r="BA629" s="705"/>
      <c r="BB629" s="705"/>
      <c r="BC629" s="711"/>
      <c r="BD629" s="705"/>
      <c r="BE629" s="705"/>
      <c r="BF629" s="705"/>
      <c r="BG629" s="705"/>
      <c r="BH629" s="705"/>
      <c r="BI629" s="705"/>
      <c r="BJ629" s="705"/>
      <c r="BK629" s="705"/>
      <c r="BL629" s="705"/>
      <c r="BM629" s="711"/>
      <c r="BN629" s="712"/>
      <c r="BO629" s="710"/>
      <c r="BP629" s="711"/>
      <c r="BQ629" s="713" t="str">
        <f>IFERROR(WWWW[[#This Row],['#_Water sources treated]]/WWWW[[#This Row],['#_Water sources tested for contamination]],"no test")</f>
        <v>no test</v>
      </c>
      <c r="BR629" s="710" t="str">
        <f>IFERROR(WWWW[[#This Row],['#_Household received remediation action due to contamination]]/WWWW[[#This Row],['#_Household water samples tested for contamination]],"no test")</f>
        <v>no test</v>
      </c>
      <c r="BS629" s="712" t="str">
        <f>IF(AND(WWWW[[#This Row],[% of water sources treated]]="no test",WWWW[[#This Row],[% Household received corrective actions]]="no test"),"No Test","Tested")</f>
        <v>No Test</v>
      </c>
      <c r="BT629" s="712">
        <f>WWWW[[#This Row],['#_Constructed/existing protected hand dug well]]-WWWW[[#This Row],['#_Non-functional protected hand dug well]]</f>
        <v>0</v>
      </c>
      <c r="BU629" s="712">
        <f>(WWWW[[#This Row],['#_Constructed/Existing tube wells/boreholes/handpumps_WASH_agency]]+WWWW[[#This Row],['#_Non-Cluster partner water tube-wells/boreholes/handpumps]])-WWWW[[#This Row],['#_Non-functional tube wells/boreholes/handpumps]]</f>
        <v>0</v>
      </c>
      <c r="BV629" s="712">
        <f>WWWW[[#This Row],['#_Constructed/Existingwater storage tank with gravity fed reticulation system]]-WWWW[[#This Row],['#_Non-functional storage tank gravity fed reticulation system]]</f>
        <v>0</v>
      </c>
      <c r="BW629" s="712">
        <f>WWWW[[#This Row],['#_Water boating or water trucking]]</f>
        <v>0</v>
      </c>
      <c r="BX629" s="712">
        <f>WWWW[[#This Row],['#_Constructed/Existing water distribution system from river or natural spring]]</f>
        <v>0</v>
      </c>
      <c r="BY62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2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29" s="710">
        <f>IF(WWWW[[#This Row],[Location Type 1]]="Village",WWWW[[#This Row],[Access to safe drinking water for Village]],WWWW[[#This Row],[Access to safe drinking water for Camp]])</f>
        <v>0</v>
      </c>
      <c r="CB629" s="708">
        <f>WWWW[[#This Row],[%Equitable and continuous access to sufficient quantity of safe drinking water]]*WWWW[[#This Row],[Total PoP ]]</f>
        <v>0</v>
      </c>
      <c r="CC629" s="710">
        <f>IF((WWWW[[#This Row],['#_Constructed/Existing protected/fenced ponds]]*250)/WWWW[[#This Row],[Total PoP ]]&gt;1,1,(WWWW[[#This Row],['#_Constructed/Existing protected/fenced ponds]]*250)/WWWW[[#This Row],[Total PoP ]])</f>
        <v>0</v>
      </c>
      <c r="CD629" s="708">
        <f>WWWW[[#This Row],[% Access to unimproved water points]]*WWWW[[#This Row],[Total PoP ]]</f>
        <v>0</v>
      </c>
      <c r="CE62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2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29" s="708">
        <f>WWWW[[#This Row],[HRP1]]/500</f>
        <v>0</v>
      </c>
      <c r="CH629" s="714">
        <f>1-WWWW[[#This Row],[% Equitable and continuous access to sufficient quantity of domestic water]]</f>
        <v>1</v>
      </c>
      <c r="CI629" s="708">
        <f>WWWW[[#This Row],[%equitable and continuous access to sufficient quantity of safe drinking and domestic water''s GAP]]*WWWW[[#This Row],[Total PoP ]]</f>
        <v>153</v>
      </c>
      <c r="CJ629" s="712">
        <f>IF(WWWW[[#This Row],[Total required water points]]-WWWW[[#This Row],['#Water points coverage]]&lt;0,0,WWWW[[#This Row],[Total required water points]]-WWWW[[#This Row],['#Water points coverage]])</f>
        <v>1</v>
      </c>
      <c r="CK629" s="712">
        <f>ROUND(IF(WWWW[[#This Row],[Total PoP ]]&lt;500,1,WWWW[[#This Row],[Total PoP ]]/500),0)</f>
        <v>1</v>
      </c>
      <c r="CL629" s="712">
        <f>(WWWW[[#This Row],['#_Constructed latrines_by_WASHAgencies]]+WWWW[[#This Row],['#_Non Cluster partner latrines]])-WWWW[[#This Row],['#_Non-functional latrines]]</f>
        <v>0</v>
      </c>
      <c r="CM62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2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2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29" s="712">
        <f>IF(WWWW[[#This Row],[Location Type 1]]="Village","NA",IF(WWWW[[#This Row],['#_Constructed/Existing latrines in TLS]]*50&gt;WWWW[[#This Row],['#_students at TLS_CFS]],WWWW[[#This Row],['#_students at TLS_CFS]],(WWWW[[#This Row],['#_Constructed/Existing latrines in TLS]]*50)))</f>
        <v>0</v>
      </c>
      <c r="CQ629" s="712">
        <f>ROUND(IF(WWWW[[#This Row],[Location Type 1]]="camp",WWWW[[#This Row],[Total PoP ]]/20,IF(WWWW[[#This Row],[Location Type 1]]="Temporary Location",WWWW[[#This Row],[Total PoP ]]/50,(WWWW[[#This Row],[Total PoP ]]/6))),0)</f>
        <v>8</v>
      </c>
      <c r="CR629" s="712">
        <f>IF(WWWW[[#This Row],[Total required Latrines]]-(WWWW[[#This Row],['#_Constructed latrines_by_WASHAgencies]]+WWWW[[#This Row],['#_Non Cluster partner latrines]])&lt;0,0,WWWW[[#This Row],[Total required Latrines]]-(WWWW[[#This Row],['#_Constructed latrines_by_WASHAgencies]]+WWWW[[#This Row],['#_Non Cluster partner latrines]]))</f>
        <v>8</v>
      </c>
      <c r="CS629" s="714">
        <f>1-WWWW[[#This Row],[% people access to functioning Latrine]]</f>
        <v>1</v>
      </c>
      <c r="CT629" s="713">
        <f>IF(OR(WWWW[[#This Row],['#_Non-functional latrines]]="",WWWW[[#This Row],['#_Non-functional latrines]]=0),0,WWWW[[#This Row],['#_Non-functional latrines]]/(WWWW[[#This Row],['#_Constructed latrines_by_WASHAgencies]]+WWWW[[#This Row],['#_Non Cluster partner latrines]]))</f>
        <v>0</v>
      </c>
      <c r="CU629" s="708">
        <f>IF(500*(WWWW[[#This Row],['#_male hygiene promoters]]+WWWW[[#This Row],['#_female hygiene promoters]])&gt;WWWW[[#This Row],[Total PoP ]],WWWW[[#This Row],[Total PoP ]],500*(WWWW[[#This Row],['#_male hygiene promoters]]+WWWW[[#This Row],['#_female hygiene promoters]]))</f>
        <v>0</v>
      </c>
      <c r="CV62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2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29" s="712">
        <f>IF(WWWW[[#This Row],['# People with access to soap]]&gt;WWWW[[#This Row],['# People with access to Sanity Pads]],WWWW[[#This Row],['# People with access to soap]],WWWW[[#This Row],['# People with access to Sanity Pads]])</f>
        <v>0</v>
      </c>
      <c r="CY62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29" s="714">
        <f>IF(WWWW[[#This Row],[HRP3]]/WWWW[[#This Row],[Total PoP ]]&gt;100%,100%,WWWW[[#This Row],[HRP3]]/WWWW[[#This Row],[Total PoP ]])</f>
        <v>0</v>
      </c>
      <c r="DA629" s="713">
        <f>1-WWWW[[#This Row],[Hygiene Coverage%]]</f>
        <v>1</v>
      </c>
      <c r="DB629" s="710">
        <f>WWWW[[#This Row],['# people reached by regular dedicated hygiene promotion_5]]/WWWW[[#This Row],[Total PoP ]]</f>
        <v>0</v>
      </c>
      <c r="DC629" s="710">
        <f>IF(WWWW[[#This Row],['#_households that received standard amount of soap for this quarter]]/WWWW[[#This Row],[Total HH]]&gt;1,1,WWWW[[#This Row],['#_households that received standard amount of soap for this quarter]]/WWWW[[#This Row],[Total HH]])</f>
        <v>0</v>
      </c>
      <c r="DD629" s="710">
        <f>IF(WWWW[[#This Row],['#_households that received standard amount of sanitary pads for this quarter]]/WWWW[[#This Row],[Total HH]]&gt;1,1,WWWW[[#This Row],['#_households that received standard amount of sanitary pads for this quarter]]/WWWW[[#This Row],[Total HH]])</f>
        <v>0</v>
      </c>
      <c r="DE629" s="712">
        <f>WWWW[[#This Row],['#_Constructed/Existing hand washing stations]]-WWWW[[#This Row],['#_Non-Functional_hand_washing_stations]]</f>
        <v>0</v>
      </c>
      <c r="DF629" s="757">
        <f>IF(WWWW[[#This Row],['# Functional hand washing stations during reporting period]]*20&gt;WWWW[[#This Row],[Total HH]],WWWW[[#This Row],[Total HH]],WWWW[[#This Row],['# Functional hand washing stations during reporting period]]*20)</f>
        <v>0</v>
      </c>
      <c r="DG629" s="708">
        <f>IF(WWWW[[#This Row],[Is sufficient soap available for TLS? (Yes/No)]]="yes",WWWW[[#This Row],['#_Constructed/Existing hand washing stations at TLS]],0)</f>
        <v>0</v>
      </c>
      <c r="DH629" s="759">
        <f>IF(WWWW[[#This Row],['# Functional hand washing stations during reporting period]]*100&gt;WWWW[[#This Row],[Total PoP ]],WWWW[[#This Row],[Total PoP ]],WWWW[[#This Row],['# Functional hand washing stations during reporting period]]*100)</f>
        <v>0</v>
      </c>
      <c r="DI629" s="759" t="str">
        <f>IF(OR(WWWW[[#This Row],['#_students at TLS_CFS]]="",WWWW[[#This Row],['#_students at TLS_CFS]]=0),"No","Yes")</f>
        <v>No</v>
      </c>
      <c r="DJ629" s="711">
        <f>VLOOKUP(WWWW[[#This Row],[Site Name]],SiteDB6[[Site Name]:[CCCM Management]],6,FALSE)</f>
        <v>0</v>
      </c>
      <c r="DK629" s="711" t="str">
        <f>VLOOKUP(WWWW[[#This Row],[Site Name]],SiteDB6[[Site Name]:[CCCM Focal Agency]],7,FALSE)</f>
        <v>uncovered</v>
      </c>
      <c r="DL629" s="711" t="str">
        <f>VLOOKUP(WWWW[[#This Row],[Site Name]],SiteDB6[[Site Name]:[Location Type 1]],9,FALSE)</f>
        <v>Camp</v>
      </c>
      <c r="DM629" s="711" t="str">
        <f>VLOOKUP(WWWW[[#This Row],[Site Name]],SiteDB6[[Site Name]:[Type of Accommodation]],10,FALSE)</f>
        <v>Host Families</v>
      </c>
      <c r="DN629" s="711" t="str">
        <f>VLOOKUP(WWWW[[#This Row],[Site Name]],SiteDB6[[Site Name]:[Ethnic or GCA/NGCA]],11,FALSE)</f>
        <v>GCA</v>
      </c>
      <c r="DO629" s="711">
        <f>VLOOKUP(WWWW[[#This Row],[Site Name]],SiteDB6[[Site Name]:[Lat]],12,FALSE)</f>
        <v>24.404876999999999</v>
      </c>
      <c r="DP629" s="711">
        <f>VLOOKUP(WWWW[[#This Row],[Site Name]],SiteDB6[[Site Name]:[Long]],13,FALSE)</f>
        <v>97.407787999999996</v>
      </c>
      <c r="DQ629" s="711" t="str">
        <f>VLOOKUP(WWWW[[#This Row],[Site Name]],SiteDB6[[Site Name]:[Pcode]],3,FALSE)</f>
        <v>MMR001CMP061</v>
      </c>
      <c r="DR629" s="709" t="str">
        <f t="shared" si="23"/>
        <v>Notcovered</v>
      </c>
      <c r="DS629" s="709"/>
    </row>
    <row r="630" spans="1:123">
      <c r="A630" s="701" t="s">
        <v>2519</v>
      </c>
      <c r="B630" s="701" t="s">
        <v>299</v>
      </c>
      <c r="C630" s="702" t="s">
        <v>299</v>
      </c>
      <c r="D630" s="702" t="s">
        <v>1922</v>
      </c>
      <c r="E630" s="702" t="s">
        <v>39</v>
      </c>
      <c r="F630" s="702" t="s">
        <v>213</v>
      </c>
      <c r="G630" s="711" t="str">
        <f>VLOOKUP(WWWW[[#This Row],[Site Name]],SiteDB6[[Site Name]:[Location Type]],8,FALSE)</f>
        <v>Camp</v>
      </c>
      <c r="H630" s="702" t="s">
        <v>303</v>
      </c>
      <c r="I630" s="705">
        <v>336</v>
      </c>
      <c r="J630" s="705">
        <v>1722</v>
      </c>
      <c r="K630" s="706"/>
      <c r="L630" s="707">
        <v>43799</v>
      </c>
      <c r="M630" s="705"/>
      <c r="N630" s="705">
        <v>9</v>
      </c>
      <c r="O630" s="705">
        <v>10</v>
      </c>
      <c r="P630" s="705"/>
      <c r="Q630" s="708" t="s">
        <v>43</v>
      </c>
      <c r="R630" s="705"/>
      <c r="S630" s="705"/>
      <c r="T630" s="807">
        <v>2</v>
      </c>
      <c r="U630" s="705"/>
      <c r="V630" s="705"/>
      <c r="W630" s="705"/>
      <c r="X630" s="705"/>
      <c r="Y630" s="705"/>
      <c r="Z630" s="705"/>
      <c r="AA630" s="705"/>
      <c r="AB630" s="705"/>
      <c r="AC630" s="705"/>
      <c r="AD630" s="705"/>
      <c r="AE630" s="705">
        <v>6</v>
      </c>
      <c r="AF630" s="705"/>
      <c r="AG630" s="705"/>
      <c r="AH630" s="705">
        <v>6</v>
      </c>
      <c r="AI630" s="705"/>
      <c r="AJ630" s="705"/>
      <c r="AK630" s="705">
        <v>60</v>
      </c>
      <c r="AL630" s="705">
        <v>8</v>
      </c>
      <c r="AM630" s="705">
        <v>4</v>
      </c>
      <c r="AN630" s="705">
        <v>2</v>
      </c>
      <c r="AO630" s="709"/>
      <c r="AP630" s="705">
        <v>123</v>
      </c>
      <c r="AQ630" s="705"/>
      <c r="AR630" s="710"/>
      <c r="AS630" s="705">
        <v>25</v>
      </c>
      <c r="AT630" s="705"/>
      <c r="AU630" s="705">
        <v>2</v>
      </c>
      <c r="AV630" s="705"/>
      <c r="AW630" s="705"/>
      <c r="AX630" s="711" t="s">
        <v>144</v>
      </c>
      <c r="AY630" s="709" t="s">
        <v>1200</v>
      </c>
      <c r="AZ630" s="705"/>
      <c r="BA630" s="705"/>
      <c r="BB630" s="705"/>
      <c r="BC630" s="711"/>
      <c r="BD630" s="705"/>
      <c r="BE630" s="705"/>
      <c r="BF630" s="705"/>
      <c r="BG630" s="705">
        <v>16</v>
      </c>
      <c r="BH630" s="705"/>
      <c r="BI630" s="705"/>
      <c r="BJ630" s="705"/>
      <c r="BK630" s="705">
        <v>276</v>
      </c>
      <c r="BL630" s="705"/>
      <c r="BM630" s="711"/>
      <c r="BN630" s="712">
        <v>9</v>
      </c>
      <c r="BO630" s="710"/>
      <c r="BP630" s="711"/>
      <c r="BQ630" s="713" t="str">
        <f>IFERROR(WWWW[[#This Row],['#_Water sources treated]]/WWWW[[#This Row],['#_Water sources tested for contamination]],"no test")</f>
        <v>no test</v>
      </c>
      <c r="BR630" s="710">
        <f>IFERROR(WWWW[[#This Row],['#_Household received remediation action due to contamination]]/WWWW[[#This Row],['#_Household water samples tested for contamination]],"no test")</f>
        <v>0.13333333333333333</v>
      </c>
      <c r="BS630" s="712" t="str">
        <f>IF(AND(WWWW[[#This Row],[% of water sources treated]]="no test",WWWW[[#This Row],[% Household received corrective actions]]="no test"),"No Test","Tested")</f>
        <v>Tested</v>
      </c>
      <c r="BT630" s="712">
        <f>WWWW[[#This Row],['#_Constructed/existing protected hand dug well]]-WWWW[[#This Row],['#_Non-functional protected hand dug well]]</f>
        <v>2</v>
      </c>
      <c r="BU630" s="712">
        <f>(WWWW[[#This Row],['#_Constructed/Existing tube wells/boreholes/handpumps_WASH_agency]]+WWWW[[#This Row],['#_Non-Cluster partner water tube-wells/boreholes/handpumps]])-WWWW[[#This Row],['#_Non-functional tube wells/boreholes/handpumps]]</f>
        <v>0</v>
      </c>
      <c r="BV630" s="712">
        <f>WWWW[[#This Row],['#_Constructed/Existingwater storage tank with gravity fed reticulation system]]-WWWW[[#This Row],['#_Non-functional storage tank gravity fed reticulation system]]</f>
        <v>0</v>
      </c>
      <c r="BW630" s="712">
        <f>WWWW[[#This Row],['#_Water boating or water trucking]]</f>
        <v>0</v>
      </c>
      <c r="BX630" s="712">
        <f>WWWW[[#This Row],['#_Constructed/Existing water distribution system from river or natural spring]]</f>
        <v>0</v>
      </c>
      <c r="BY63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0.46457607433217191</v>
      </c>
      <c r="BZ63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0.29036004645760743</v>
      </c>
      <c r="CA630" s="710">
        <f>IF(WWWW[[#This Row],[Location Type 1]]="Village",WWWW[[#This Row],[Access to safe drinking water for Village]],WWWW[[#This Row],[Access to safe drinking water for Camp]])</f>
        <v>0.46457607433217191</v>
      </c>
      <c r="CB630" s="708">
        <f>WWWW[[#This Row],[%Equitable and continuous access to sufficient quantity of safe drinking water]]*WWWW[[#This Row],[Total PoP ]]</f>
        <v>800</v>
      </c>
      <c r="CC630" s="710">
        <f>IF((WWWW[[#This Row],['#_Constructed/Existing protected/fenced ponds]]*250)/WWWW[[#This Row],[Total PoP ]]&gt;1,1,(WWWW[[#This Row],['#_Constructed/Existing protected/fenced ponds]]*250)/WWWW[[#This Row],[Total PoP ]])</f>
        <v>0.87108013937282225</v>
      </c>
      <c r="CD630" s="708">
        <f>WWWW[[#This Row],[% Access to unimproved water points]]*WWWW[[#This Row],[Total PoP ]]</f>
        <v>1500</v>
      </c>
      <c r="CE63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1722</v>
      </c>
      <c r="CG630" s="708">
        <f>WWWW[[#This Row],[HRP1]]/500</f>
        <v>3.444</v>
      </c>
      <c r="CH630" s="714">
        <f>1-WWWW[[#This Row],[% Equitable and continuous access to sufficient quantity of domestic water]]</f>
        <v>0</v>
      </c>
      <c r="CI630" s="708">
        <f>WWWW[[#This Row],[%equitable and continuous access to sufficient quantity of safe drinking and domestic water''s GAP]]*WWWW[[#This Row],[Total PoP ]]</f>
        <v>0</v>
      </c>
      <c r="CJ630" s="712">
        <f>IF(WWWW[[#This Row],[Total required water points]]-WWWW[[#This Row],['#Water points coverage]]&lt;0,0,WWWW[[#This Row],[Total required water points]]-WWWW[[#This Row],['#Water points coverage]])</f>
        <v>0</v>
      </c>
      <c r="CK630" s="712">
        <f>ROUND(IF(WWWW[[#This Row],[Total PoP ]]&lt;500,1,WWWW[[#This Row],[Total PoP ]]/500),0)</f>
        <v>3</v>
      </c>
      <c r="CL630" s="712">
        <f>(WWWW[[#This Row],['#_Constructed latrines_by_WASHAgencies]]+WWWW[[#This Row],['#_Non Cluster partner latrines]])-WWWW[[#This Row],['#_Non-functional latrines]]</f>
        <v>98</v>
      </c>
      <c r="CM63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3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1722</v>
      </c>
      <c r="CO63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630" s="712">
        <f>IF(WWWW[[#This Row],[Location Type 1]]="Village","NA",IF(WWWW[[#This Row],['#_Constructed/Existing latrines in TLS]]*50&gt;WWWW[[#This Row],['#_students at TLS_CFS]],WWWW[[#This Row],['#_students at TLS_CFS]],(WWWW[[#This Row],['#_Constructed/Existing latrines in TLS]]*50)))</f>
        <v>0</v>
      </c>
      <c r="CQ630" s="712">
        <f>ROUND(IF(WWWW[[#This Row],[Location Type 1]]="camp",WWWW[[#This Row],[Total PoP ]]/20,IF(WWWW[[#This Row],[Location Type 1]]="Temporary Location",WWWW[[#This Row],[Total PoP ]]/50,(WWWW[[#This Row],[Total PoP ]]/6))),0)</f>
        <v>86</v>
      </c>
      <c r="CR630" s="712">
        <f>IF(WWWW[[#This Row],[Total required Latrines]]-(WWWW[[#This Row],['#_Constructed latrines_by_WASHAgencies]]+WWWW[[#This Row],['#_Non Cluster partner latrines]])&lt;0,0,WWWW[[#This Row],[Total required Latrines]]-(WWWW[[#This Row],['#_Constructed latrines_by_WASHAgencies]]+WWWW[[#This Row],['#_Non Cluster partner latrines]]))</f>
        <v>0</v>
      </c>
      <c r="CS630" s="714">
        <f>1-WWWW[[#This Row],[% people access to functioning Latrine]]</f>
        <v>0</v>
      </c>
      <c r="CT630" s="713">
        <f>IF(OR(WWWW[[#This Row],['#_Non-functional latrines]]="",WWWW[[#This Row],['#_Non-functional latrines]]=0),0,WWWW[[#This Row],['#_Non-functional latrines]]/(WWWW[[#This Row],['#_Constructed latrines_by_WASHAgencies]]+WWWW[[#This Row],['#_Non Cluster partner latrines]]))</f>
        <v>0.2032520325203252</v>
      </c>
      <c r="CU630" s="708">
        <f>IF(500*(WWWW[[#This Row],['#_male hygiene promoters]]+WWWW[[#This Row],['#_female hygiene promoters]])&gt;WWWW[[#This Row],[Total PoP ]],WWWW[[#This Row],[Total PoP ]],500*(WWWW[[#This Row],['#_male hygiene promoters]]+WWWW[[#This Row],['#_female hygiene promoters]]))</f>
        <v>0</v>
      </c>
      <c r="CV63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1380</v>
      </c>
      <c r="CW63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0" s="712">
        <f>IF(WWWW[[#This Row],['# People with access to soap]]&gt;WWWW[[#This Row],['# People with access to Sanity Pads]],WWWW[[#This Row],['# People with access to soap]],WWWW[[#This Row],['# People with access to Sanity Pads]])</f>
        <v>1380</v>
      </c>
      <c r="CY630" s="712">
        <f>IF(WWWW[[#This Row],['# people reached by regular dedicated hygiene promotion_5]]&gt;WWWW[[#This Row],['# People received regular supply of hygiene items_6]],WWWW[[#This Row],['# people reached by regular dedicated hygiene promotion_5]],WWWW[[#This Row],['# People received regular supply of hygiene items_6]])</f>
        <v>1380</v>
      </c>
      <c r="CZ630" s="714">
        <f>IF(WWWW[[#This Row],[HRP3]]/WWWW[[#This Row],[Total PoP ]]&gt;100%,100%,WWWW[[#This Row],[HRP3]]/WWWW[[#This Row],[Total PoP ]])</f>
        <v>0.80139372822299648</v>
      </c>
      <c r="DA630" s="713">
        <f>1-WWWW[[#This Row],[Hygiene Coverage%]]</f>
        <v>0.19860627177700352</v>
      </c>
      <c r="DB630" s="710">
        <f>WWWW[[#This Row],['# people reached by regular dedicated hygiene promotion_5]]/WWWW[[#This Row],[Total PoP ]]</f>
        <v>0</v>
      </c>
      <c r="DC630" s="710">
        <f>IF(WWWW[[#This Row],['#_households that received standard amount of soap for this quarter]]/WWWW[[#This Row],[Total HH]]&gt;1,1,WWWW[[#This Row],['#_households that received standard amount of soap for this quarter]]/WWWW[[#This Row],[Total HH]])</f>
        <v>0.8214285714285714</v>
      </c>
      <c r="DD630" s="710">
        <f>IF(WWWW[[#This Row],['#_households that received standard amount of sanitary pads for this quarter]]/WWWW[[#This Row],[Total HH]]&gt;1,1,WWWW[[#This Row],['#_households that received standard amount of sanitary pads for this quarter]]/WWWW[[#This Row],[Total HH]])</f>
        <v>0</v>
      </c>
      <c r="DE630" s="712">
        <f>WWWW[[#This Row],['#_Constructed/Existing hand washing stations]]-WWWW[[#This Row],['#_Non-Functional_hand_washing_stations]]</f>
        <v>0</v>
      </c>
      <c r="DF630" s="757">
        <f>IF(WWWW[[#This Row],['# Functional hand washing stations during reporting period]]*20&gt;WWWW[[#This Row],[Total HH]],WWWW[[#This Row],[Total HH]],WWWW[[#This Row],['# Functional hand washing stations during reporting period]]*20)</f>
        <v>0</v>
      </c>
      <c r="DG630" s="708">
        <f>IF(WWWW[[#This Row],[Is sufficient soap available for TLS? (Yes/No)]]="yes",WWWW[[#This Row],['#_Constructed/Existing hand washing stations at TLS]],0)</f>
        <v>0</v>
      </c>
      <c r="DH630" s="759">
        <f>IF(WWWW[[#This Row],['# Functional hand washing stations during reporting period]]*100&gt;WWWW[[#This Row],[Total PoP ]],WWWW[[#This Row],[Total PoP ]],WWWW[[#This Row],['# Functional hand washing stations during reporting period]]*100)</f>
        <v>0</v>
      </c>
      <c r="DI630" s="759" t="str">
        <f>IF(OR(WWWW[[#This Row],['#_students at TLS_CFS]]="",WWWW[[#This Row],['#_students at TLS_CFS]]=0),"No","Yes")</f>
        <v>No</v>
      </c>
      <c r="DJ630" s="711" t="str">
        <f>VLOOKUP(WWWW[[#This Row],[Site Name]],SiteDB6[[Site Name]:[CCCM Management]],6,FALSE)</f>
        <v>Yes</v>
      </c>
      <c r="DK630" s="711" t="str">
        <f>VLOOKUP(WWWW[[#This Row],[Site Name]],SiteDB6[[Site Name]:[CCCM Focal Agency]],7,FALSE)</f>
        <v>KMSS-BMO</v>
      </c>
      <c r="DL630" s="711" t="str">
        <f>VLOOKUP(WWWW[[#This Row],[Site Name]],SiteDB6[[Site Name]:[Location Type 1]],9,FALSE)</f>
        <v>Camp</v>
      </c>
      <c r="DM630" s="711" t="str">
        <f>VLOOKUP(WWWW[[#This Row],[Site Name]],SiteDB6[[Site Name]:[Type of Accommodation]],10,FALSE)</f>
        <v>Camp</v>
      </c>
      <c r="DN630" s="711" t="str">
        <f>VLOOKUP(WWWW[[#This Row],[Site Name]],SiteDB6[[Site Name]:[Ethnic or GCA/NGCA]],11,FALSE)</f>
        <v>NGCA</v>
      </c>
      <c r="DO630" s="711">
        <f>VLOOKUP(WWWW[[#This Row],[Site Name]],SiteDB6[[Site Name]:[Lat]],12,FALSE)</f>
        <v>24.378167000000001</v>
      </c>
      <c r="DP630" s="711">
        <f>VLOOKUP(WWWW[[#This Row],[Site Name]],SiteDB6[[Site Name]:[Long]],13,FALSE)</f>
        <v>97.669366999999994</v>
      </c>
      <c r="DQ630" s="711" t="str">
        <f>VLOOKUP(WWWW[[#This Row],[Site Name]],SiteDB6[[Site Name]:[Pcode]],3,FALSE)</f>
        <v>MMR001CMP131</v>
      </c>
      <c r="DR630" s="709" t="str">
        <f t="shared" si="23"/>
        <v>Covered</v>
      </c>
      <c r="DS630" s="709"/>
    </row>
    <row r="631" spans="1:123">
      <c r="A631" s="701" t="s">
        <v>2519</v>
      </c>
      <c r="B631" s="701" t="s">
        <v>284</v>
      </c>
      <c r="C631" s="702" t="s">
        <v>284</v>
      </c>
      <c r="D631" s="702" t="s">
        <v>252</v>
      </c>
      <c r="E631" s="702" t="s">
        <v>39</v>
      </c>
      <c r="F631" s="702" t="s">
        <v>203</v>
      </c>
      <c r="G631" s="711" t="str">
        <f>VLOOKUP(WWWW[[#This Row],[Site Name]],SiteDB6[[Site Name]:[Location Type]],8,FALSE)</f>
        <v>Camp_not registered</v>
      </c>
      <c r="H631" s="702" t="s">
        <v>1685</v>
      </c>
      <c r="I631" s="705">
        <v>281</v>
      </c>
      <c r="J631" s="705">
        <v>1409</v>
      </c>
      <c r="K631" s="706" t="s">
        <v>3270</v>
      </c>
      <c r="L631" s="707" t="s">
        <v>3271</v>
      </c>
      <c r="M631" s="705">
        <v>1409</v>
      </c>
      <c r="N631" s="705">
        <v>0</v>
      </c>
      <c r="O631" s="705">
        <v>0</v>
      </c>
      <c r="P631" s="705">
        <v>0</v>
      </c>
      <c r="Q631" s="708"/>
      <c r="R631" s="705"/>
      <c r="S631" s="705"/>
      <c r="T631" s="807">
        <v>0</v>
      </c>
      <c r="U631" s="705"/>
      <c r="V631" s="705"/>
      <c r="W631" s="705"/>
      <c r="X631" s="705">
        <v>0</v>
      </c>
      <c r="Y631" s="705"/>
      <c r="Z631" s="705"/>
      <c r="AA631" s="705"/>
      <c r="AB631" s="705"/>
      <c r="AC631" s="705"/>
      <c r="AD631" s="705"/>
      <c r="AE631" s="705"/>
      <c r="AF631" s="705"/>
      <c r="AG631" s="705"/>
      <c r="AH631" s="705"/>
      <c r="AI631" s="705"/>
      <c r="AJ631" s="705"/>
      <c r="AK631" s="705"/>
      <c r="AL631" s="705"/>
      <c r="AM631" s="705"/>
      <c r="AN631" s="705">
        <v>2</v>
      </c>
      <c r="AO631" s="709"/>
      <c r="AP631" s="705"/>
      <c r="AQ631" s="705"/>
      <c r="AR631" s="710"/>
      <c r="AS631" s="705"/>
      <c r="AT631" s="705"/>
      <c r="AU631" s="705"/>
      <c r="AV631" s="705"/>
      <c r="AW631" s="705"/>
      <c r="AX631" s="711" t="s">
        <v>43</v>
      </c>
      <c r="AY631" s="709" t="s">
        <v>145</v>
      </c>
      <c r="AZ631" s="705">
        <v>0</v>
      </c>
      <c r="BA631" s="705">
        <v>0</v>
      </c>
      <c r="BB631" s="705">
        <v>22</v>
      </c>
      <c r="BC631" s="711"/>
      <c r="BD631" s="705"/>
      <c r="BE631" s="705"/>
      <c r="BF631" s="705"/>
      <c r="BG631" s="705">
        <v>0</v>
      </c>
      <c r="BH631" s="705"/>
      <c r="BI631" s="705">
        <v>0</v>
      </c>
      <c r="BJ631" s="705">
        <v>0</v>
      </c>
      <c r="BK631" s="705"/>
      <c r="BL631" s="705"/>
      <c r="BM631" s="711" t="s">
        <v>43</v>
      </c>
      <c r="BN631" s="712"/>
      <c r="BO631" s="710">
        <v>0</v>
      </c>
      <c r="BP631" s="711"/>
      <c r="BQ631" s="713" t="str">
        <f>IFERROR(WWWW[[#This Row],['#_Water sources treated]]/WWWW[[#This Row],['#_Water sources tested for contamination]],"no test")</f>
        <v>no test</v>
      </c>
      <c r="BR631" s="710" t="str">
        <f>IFERROR(WWWW[[#This Row],['#_Household received remediation action due to contamination]]/WWWW[[#This Row],['#_Household water samples tested for contamination]],"no test")</f>
        <v>no test</v>
      </c>
      <c r="BS631" s="712" t="str">
        <f>IF(AND(WWWW[[#This Row],[% of water sources treated]]="no test",WWWW[[#This Row],[% Household received corrective actions]]="no test"),"No Test","Tested")</f>
        <v>No Test</v>
      </c>
      <c r="BT631" s="712">
        <f>WWWW[[#This Row],['#_Constructed/existing protected hand dug well]]-WWWW[[#This Row],['#_Non-functional protected hand dug well]]</f>
        <v>0</v>
      </c>
      <c r="BU631" s="712">
        <f>(WWWW[[#This Row],['#_Constructed/Existing tube wells/boreholes/handpumps_WASH_agency]]+WWWW[[#This Row],['#_Non-Cluster partner water tube-wells/boreholes/handpumps]])-WWWW[[#This Row],['#_Non-functional tube wells/boreholes/handpumps]]</f>
        <v>0</v>
      </c>
      <c r="BV631" s="712">
        <f>WWWW[[#This Row],['#_Constructed/Existingwater storage tank with gravity fed reticulation system]]-WWWW[[#This Row],['#_Non-functional storage tank gravity fed reticulation system]]</f>
        <v>0</v>
      </c>
      <c r="BW631" s="712">
        <f>WWWW[[#This Row],['#_Water boating or water trucking]]</f>
        <v>0</v>
      </c>
      <c r="BX631" s="712">
        <f>WWWW[[#This Row],['#_Constructed/Existing water distribution system from river or natural spring]]</f>
        <v>0</v>
      </c>
      <c r="BY63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3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31" s="710">
        <f>IF(WWWW[[#This Row],[Location Type 1]]="Village",WWWW[[#This Row],[Access to safe drinking water for Village]],WWWW[[#This Row],[Access to safe drinking water for Camp]])</f>
        <v>0</v>
      </c>
      <c r="CB631" s="708">
        <f>WWWW[[#This Row],[%Equitable and continuous access to sufficient quantity of safe drinking water]]*WWWW[[#This Row],[Total PoP ]]</f>
        <v>0</v>
      </c>
      <c r="CC631" s="710">
        <f>IF((WWWW[[#This Row],['#_Constructed/Existing protected/fenced ponds]]*250)/WWWW[[#This Row],[Total PoP ]]&gt;1,1,(WWWW[[#This Row],['#_Constructed/Existing protected/fenced ponds]]*250)/WWWW[[#This Row],[Total PoP ]])</f>
        <v>0</v>
      </c>
      <c r="CD631" s="708">
        <f>WWWW[[#This Row],[% Access to unimproved water points]]*WWWW[[#This Row],[Total PoP ]]</f>
        <v>0</v>
      </c>
      <c r="CE63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3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31" s="708">
        <f>WWWW[[#This Row],[HRP1]]/500</f>
        <v>0</v>
      </c>
      <c r="CH631" s="714">
        <f>1-WWWW[[#This Row],[% Equitable and continuous access to sufficient quantity of domestic water]]</f>
        <v>1</v>
      </c>
      <c r="CI631" s="708">
        <f>WWWW[[#This Row],[%equitable and continuous access to sufficient quantity of safe drinking and domestic water''s GAP]]*WWWW[[#This Row],[Total PoP ]]</f>
        <v>1409</v>
      </c>
      <c r="CJ631" s="712">
        <f>IF(WWWW[[#This Row],[Total required water points]]-WWWW[[#This Row],['#Water points coverage]]&lt;0,0,WWWW[[#This Row],[Total required water points]]-WWWW[[#This Row],['#Water points coverage]])</f>
        <v>3</v>
      </c>
      <c r="CK631" s="712">
        <f>ROUND(IF(WWWW[[#This Row],[Total PoP ]]&lt;500,1,WWWW[[#This Row],[Total PoP ]]/500),0)</f>
        <v>3</v>
      </c>
      <c r="CL631" s="712">
        <f>(WWWW[[#This Row],['#_Constructed latrines_by_WASHAgencies]]+WWWW[[#This Row],['#_Non Cluster partner latrines]])-WWWW[[#This Row],['#_Non-functional latrines]]</f>
        <v>0</v>
      </c>
      <c r="CM63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3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3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1" s="712">
        <f>IF(WWWW[[#This Row],[Location Type 1]]="Village","NA",IF(WWWW[[#This Row],['#_Constructed/Existing latrines in TLS]]*50&gt;WWWW[[#This Row],['#_students at TLS_CFS]],WWWW[[#This Row],['#_students at TLS_CFS]],(WWWW[[#This Row],['#_Constructed/Existing latrines in TLS]]*50)))</f>
        <v>1100</v>
      </c>
      <c r="CQ631" s="712">
        <f>ROUND(IF(WWWW[[#This Row],[Location Type 1]]="camp",WWWW[[#This Row],[Total PoP ]]/20,IF(WWWW[[#This Row],[Location Type 1]]="Temporary Location",WWWW[[#This Row],[Total PoP ]]/50,(WWWW[[#This Row],[Total PoP ]]/6))),0)</f>
        <v>70</v>
      </c>
      <c r="CR631" s="712">
        <f>IF(WWWW[[#This Row],[Total required Latrines]]-(WWWW[[#This Row],['#_Constructed latrines_by_WASHAgencies]]+WWWW[[#This Row],['#_Non Cluster partner latrines]])&lt;0,0,WWWW[[#This Row],[Total required Latrines]]-(WWWW[[#This Row],['#_Constructed latrines_by_WASHAgencies]]+WWWW[[#This Row],['#_Non Cluster partner latrines]]))</f>
        <v>70</v>
      </c>
      <c r="CS631" s="714">
        <f>1-WWWW[[#This Row],[% people access to functioning Latrine]]</f>
        <v>1</v>
      </c>
      <c r="CT631" s="713">
        <f>IF(OR(WWWW[[#This Row],['#_Non-functional latrines]]="",WWWW[[#This Row],['#_Non-functional latrines]]=0),0,WWWW[[#This Row],['#_Non-functional latrines]]/(WWWW[[#This Row],['#_Constructed latrines_by_WASHAgencies]]+WWWW[[#This Row],['#_Non Cluster partner latrines]]))</f>
        <v>0</v>
      </c>
      <c r="CU631" s="708">
        <f>IF(500*(WWWW[[#This Row],['#_male hygiene promoters]]+WWWW[[#This Row],['#_female hygiene promoters]])&gt;WWWW[[#This Row],[Total PoP ]],WWWW[[#This Row],[Total PoP ]],500*(WWWW[[#This Row],['#_male hygiene promoters]]+WWWW[[#This Row],['#_female hygiene promoters]]))</f>
        <v>0</v>
      </c>
      <c r="CV63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1" s="712">
        <f>IF(WWWW[[#This Row],['# People with access to soap]]&gt;WWWW[[#This Row],['# People with access to Sanity Pads]],WWWW[[#This Row],['# People with access to soap]],WWWW[[#This Row],['# People with access to Sanity Pads]])</f>
        <v>0</v>
      </c>
      <c r="CY63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31" s="714">
        <f>IF(WWWW[[#This Row],[HRP3]]/WWWW[[#This Row],[Total PoP ]]&gt;100%,100%,WWWW[[#This Row],[HRP3]]/WWWW[[#This Row],[Total PoP ]])</f>
        <v>0</v>
      </c>
      <c r="DA631" s="713">
        <f>1-WWWW[[#This Row],[Hygiene Coverage%]]</f>
        <v>1</v>
      </c>
      <c r="DB631" s="710">
        <f>WWWW[[#This Row],['# people reached by regular dedicated hygiene promotion_5]]/WWWW[[#This Row],[Total PoP ]]</f>
        <v>0</v>
      </c>
      <c r="DC631" s="710">
        <f>IF(WWWW[[#This Row],['#_households that received standard amount of soap for this quarter]]/WWWW[[#This Row],[Total HH]]&gt;1,1,WWWW[[#This Row],['#_households that received standard amount of soap for this quarter]]/WWWW[[#This Row],[Total HH]])</f>
        <v>0</v>
      </c>
      <c r="DD631" s="710">
        <f>IF(WWWW[[#This Row],['#_households that received standard amount of sanitary pads for this quarter]]/WWWW[[#This Row],[Total HH]]&gt;1,1,WWWW[[#This Row],['#_households that received standard amount of sanitary pads for this quarter]]/WWWW[[#This Row],[Total HH]])</f>
        <v>0</v>
      </c>
      <c r="DE631" s="712">
        <f>WWWW[[#This Row],['#_Constructed/Existing hand washing stations]]-WWWW[[#This Row],['#_Non-Functional_hand_washing_stations]]</f>
        <v>0</v>
      </c>
      <c r="DF631" s="757">
        <f>IF(WWWW[[#This Row],['# Functional hand washing stations during reporting period]]*20&gt;WWWW[[#This Row],[Total HH]],WWWW[[#This Row],[Total HH]],WWWW[[#This Row],['# Functional hand washing stations during reporting period]]*20)</f>
        <v>0</v>
      </c>
      <c r="DG631" s="708">
        <f>IF(WWWW[[#This Row],[Is sufficient soap available for TLS? (Yes/No)]]="yes",WWWW[[#This Row],['#_Constructed/Existing hand washing stations at TLS]],0)</f>
        <v>0</v>
      </c>
      <c r="DH631" s="759">
        <f>IF(WWWW[[#This Row],['# Functional hand washing stations during reporting period]]*100&gt;WWWW[[#This Row],[Total PoP ]],WWWW[[#This Row],[Total PoP ]],WWWW[[#This Row],['# Functional hand washing stations during reporting period]]*100)</f>
        <v>0</v>
      </c>
      <c r="DI631" s="759" t="str">
        <f>IF(OR(WWWW[[#This Row],['#_students at TLS_CFS]]="",WWWW[[#This Row],['#_students at TLS_CFS]]=0),"No","Yes")</f>
        <v>Yes</v>
      </c>
      <c r="DJ631" s="711" t="str">
        <f>VLOOKUP(WWWW[[#This Row],[Site Name]],SiteDB6[[Site Name]:[CCCM Management]],6,FALSE)</f>
        <v>No</v>
      </c>
      <c r="DK631" s="711">
        <f>VLOOKUP(WWWW[[#This Row],[Site Name]],SiteDB6[[Site Name]:[CCCM Focal Agency]],7,FALSE)</f>
        <v>0</v>
      </c>
      <c r="DL631" s="711" t="str">
        <f>VLOOKUP(WWWW[[#This Row],[Site Name]],SiteDB6[[Site Name]:[Location Type 1]],9,FALSE)</f>
        <v>Camp</v>
      </c>
      <c r="DM631" s="711" t="str">
        <f>VLOOKUP(WWWW[[#This Row],[Site Name]],SiteDB6[[Site Name]:[Type of Accommodation]],10,FALSE)</f>
        <v>Camp</v>
      </c>
      <c r="DN631" s="711" t="str">
        <f>VLOOKUP(WWWW[[#This Row],[Site Name]],SiteDB6[[Site Name]:[Ethnic or GCA/NGCA]],11,FALSE)</f>
        <v>GCA</v>
      </c>
      <c r="DO631" s="711">
        <f>VLOOKUP(WWWW[[#This Row],[Site Name]],SiteDB6[[Site Name]:[Lat]],12,FALSE)</f>
        <v>0</v>
      </c>
      <c r="DP631" s="711">
        <f>VLOOKUP(WWWW[[#This Row],[Site Name]],SiteDB6[[Site Name]:[Long]],13,FALSE)</f>
        <v>0</v>
      </c>
      <c r="DQ631" s="711">
        <f>VLOOKUP(WWWW[[#This Row],[Site Name]],SiteDB6[[Site Name]:[Pcode]],3,FALSE)</f>
        <v>0</v>
      </c>
      <c r="DR631" s="709" t="str">
        <f t="shared" si="23"/>
        <v>Covered</v>
      </c>
      <c r="DS631" s="709"/>
    </row>
    <row r="632" spans="1:123">
      <c r="A632" s="701" t="s">
        <v>2519</v>
      </c>
      <c r="B632" s="701" t="s">
        <v>299</v>
      </c>
      <c r="C632" s="702" t="s">
        <v>299</v>
      </c>
      <c r="D632" s="702" t="s">
        <v>1922</v>
      </c>
      <c r="E632" s="702" t="s">
        <v>39</v>
      </c>
      <c r="F632" s="702" t="s">
        <v>213</v>
      </c>
      <c r="G632" s="711" t="str">
        <f>VLOOKUP(WWWW[[#This Row],[Site Name]],SiteDB6[[Site Name]:[Location Type]],8,FALSE)</f>
        <v>Camp</v>
      </c>
      <c r="H632" s="702" t="s">
        <v>304</v>
      </c>
      <c r="I632" s="705">
        <v>669</v>
      </c>
      <c r="J632" s="705">
        <v>3316</v>
      </c>
      <c r="K632" s="706"/>
      <c r="L632" s="707">
        <v>43799</v>
      </c>
      <c r="M632" s="705"/>
      <c r="N632" s="705">
        <v>9</v>
      </c>
      <c r="O632" s="705">
        <v>10</v>
      </c>
      <c r="P632" s="705"/>
      <c r="Q632" s="708" t="s">
        <v>43</v>
      </c>
      <c r="R632" s="705"/>
      <c r="S632" s="705"/>
      <c r="T632" s="807">
        <v>0</v>
      </c>
      <c r="U632" s="705"/>
      <c r="V632" s="705"/>
      <c r="W632" s="705">
        <v>2</v>
      </c>
      <c r="X632" s="705"/>
      <c r="Y632" s="705"/>
      <c r="Z632" s="705"/>
      <c r="AA632" s="705"/>
      <c r="AB632" s="705"/>
      <c r="AC632" s="705"/>
      <c r="AD632" s="705"/>
      <c r="AE632" s="705">
        <v>1</v>
      </c>
      <c r="AF632" s="705"/>
      <c r="AG632" s="705"/>
      <c r="AH632" s="705">
        <v>1</v>
      </c>
      <c r="AI632" s="705"/>
      <c r="AJ632" s="705"/>
      <c r="AK632" s="705">
        <v>16</v>
      </c>
      <c r="AL632" s="705">
        <v>5</v>
      </c>
      <c r="AM632" s="705">
        <v>21</v>
      </c>
      <c r="AN632" s="705">
        <v>6</v>
      </c>
      <c r="AO632" s="709"/>
      <c r="AP632" s="705">
        <v>257</v>
      </c>
      <c r="AQ632" s="705"/>
      <c r="AR632" s="710"/>
      <c r="AS632" s="705">
        <v>37</v>
      </c>
      <c r="AT632" s="705"/>
      <c r="AU632" s="705">
        <v>3</v>
      </c>
      <c r="AV632" s="705"/>
      <c r="AW632" s="705"/>
      <c r="AX632" s="711" t="s">
        <v>144</v>
      </c>
      <c r="AY632" s="709" t="s">
        <v>145</v>
      </c>
      <c r="AZ632" s="705"/>
      <c r="BA632" s="705"/>
      <c r="BB632" s="705"/>
      <c r="BC632" s="711"/>
      <c r="BD632" s="705"/>
      <c r="BE632" s="705"/>
      <c r="BF632" s="705"/>
      <c r="BG632" s="705">
        <v>7</v>
      </c>
      <c r="BH632" s="705"/>
      <c r="BI632" s="705"/>
      <c r="BJ632" s="705"/>
      <c r="BK632" s="705">
        <v>449</v>
      </c>
      <c r="BL632" s="705"/>
      <c r="BM632" s="711"/>
      <c r="BN632" s="712">
        <v>9</v>
      </c>
      <c r="BO632" s="710"/>
      <c r="BP632" s="711"/>
      <c r="BQ632" s="713" t="str">
        <f>IFERROR(WWWW[[#This Row],['#_Water sources treated]]/WWWW[[#This Row],['#_Water sources tested for contamination]],"no test")</f>
        <v>no test</v>
      </c>
      <c r="BR632" s="710">
        <f>IFERROR(WWWW[[#This Row],['#_Household received remediation action due to contamination]]/WWWW[[#This Row],['#_Household water samples tested for contamination]],"no test")</f>
        <v>0.3125</v>
      </c>
      <c r="BS632" s="712" t="str">
        <f>IF(AND(WWWW[[#This Row],[% of water sources treated]]="no test",WWWW[[#This Row],[% Household received corrective actions]]="no test"),"No Test","Tested")</f>
        <v>Tested</v>
      </c>
      <c r="BT632" s="712">
        <f>WWWW[[#This Row],['#_Constructed/existing protected hand dug well]]-WWWW[[#This Row],['#_Non-functional protected hand dug well]]</f>
        <v>0</v>
      </c>
      <c r="BU632" s="712">
        <f>(WWWW[[#This Row],['#_Constructed/Existing tube wells/boreholes/handpumps_WASH_agency]]+WWWW[[#This Row],['#_Non-Cluster partner water tube-wells/boreholes/handpumps]])-WWWW[[#This Row],['#_Non-functional tube wells/boreholes/handpumps]]</f>
        <v>2</v>
      </c>
      <c r="BV632" s="712">
        <f>WWWW[[#This Row],['#_Constructed/Existingwater storage tank with gravity fed reticulation system]]-WWWW[[#This Row],['#_Non-functional storage tank gravity fed reticulation system]]</f>
        <v>0</v>
      </c>
      <c r="BW632" s="712">
        <f>WWWW[[#This Row],['#_Water boating or water trucking]]</f>
        <v>0</v>
      </c>
      <c r="BX632" s="712">
        <f>WWWW[[#This Row],['#_Constructed/Existing water distribution system from river or natural spring]]</f>
        <v>0</v>
      </c>
      <c r="BY63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0.30156815440289503</v>
      </c>
      <c r="BZ63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0.15078407720144751</v>
      </c>
      <c r="CA632" s="710">
        <f>IF(WWWW[[#This Row],[Location Type 1]]="Village",WWWW[[#This Row],[Access to safe drinking water for Village]],WWWW[[#This Row],[Access to safe drinking water for Camp]])</f>
        <v>0.30156815440289503</v>
      </c>
      <c r="CB632" s="708">
        <f>WWWW[[#This Row],[%Equitable and continuous access to sufficient quantity of safe drinking water]]*WWWW[[#This Row],[Total PoP ]]</f>
        <v>999.99999999999989</v>
      </c>
      <c r="CC632" s="710">
        <f>IF((WWWW[[#This Row],['#_Constructed/Existing protected/fenced ponds]]*250)/WWWW[[#This Row],[Total PoP ]]&gt;1,1,(WWWW[[#This Row],['#_Constructed/Existing protected/fenced ponds]]*250)/WWWW[[#This Row],[Total PoP ]])</f>
        <v>7.5392038600723757E-2</v>
      </c>
      <c r="CD632" s="708">
        <f>WWWW[[#This Row],[% Access to unimproved water points]]*WWWW[[#This Row],[Total PoP ]]</f>
        <v>249.99999999999997</v>
      </c>
      <c r="CE63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0.37696019300361877</v>
      </c>
      <c r="CF63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1249.9999999999998</v>
      </c>
      <c r="CG632" s="708">
        <f>WWWW[[#This Row],[HRP1]]/500</f>
        <v>2.4999999999999996</v>
      </c>
      <c r="CH632" s="714">
        <f>1-WWWW[[#This Row],[% Equitable and continuous access to sufficient quantity of domestic water]]</f>
        <v>0.62303980699638117</v>
      </c>
      <c r="CI632" s="708">
        <f>WWWW[[#This Row],[%equitable and continuous access to sufficient quantity of safe drinking and domestic water''s GAP]]*WWWW[[#This Row],[Total PoP ]]</f>
        <v>2066</v>
      </c>
      <c r="CJ632" s="712">
        <f>IF(WWWW[[#This Row],[Total required water points]]-WWWW[[#This Row],['#Water points coverage]]&lt;0,0,WWWW[[#This Row],[Total required water points]]-WWWW[[#This Row],['#Water points coverage]])</f>
        <v>4.5</v>
      </c>
      <c r="CK632" s="712">
        <f>ROUND(IF(WWWW[[#This Row],[Total PoP ]]&lt;500,1,WWWW[[#This Row],[Total PoP ]]/500),0)</f>
        <v>7</v>
      </c>
      <c r="CL632" s="712">
        <f>(WWWW[[#This Row],['#_Constructed latrines_by_WASHAgencies]]+WWWW[[#This Row],['#_Non Cluster partner latrines]])-WWWW[[#This Row],['#_Non-functional latrines]]</f>
        <v>220</v>
      </c>
      <c r="CM63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3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3316</v>
      </c>
      <c r="CO63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P632" s="712">
        <f>IF(WWWW[[#This Row],[Location Type 1]]="Village","NA",IF(WWWW[[#This Row],['#_Constructed/Existing latrines in TLS]]*50&gt;WWWW[[#This Row],['#_students at TLS_CFS]],WWWW[[#This Row],['#_students at TLS_CFS]],(WWWW[[#This Row],['#_Constructed/Existing latrines in TLS]]*50)))</f>
        <v>0</v>
      </c>
      <c r="CQ632" s="712">
        <f>ROUND(IF(WWWW[[#This Row],[Location Type 1]]="camp",WWWW[[#This Row],[Total PoP ]]/20,IF(WWWW[[#This Row],[Location Type 1]]="Temporary Location",WWWW[[#This Row],[Total PoP ]]/50,(WWWW[[#This Row],[Total PoP ]]/6))),0)</f>
        <v>166</v>
      </c>
      <c r="CR632" s="712">
        <f>IF(WWWW[[#This Row],[Total required Latrines]]-(WWWW[[#This Row],['#_Constructed latrines_by_WASHAgencies]]+WWWW[[#This Row],['#_Non Cluster partner latrines]])&lt;0,0,WWWW[[#This Row],[Total required Latrines]]-(WWWW[[#This Row],['#_Constructed latrines_by_WASHAgencies]]+WWWW[[#This Row],['#_Non Cluster partner latrines]]))</f>
        <v>0</v>
      </c>
      <c r="CS632" s="714">
        <f>1-WWWW[[#This Row],[% people access to functioning Latrine]]</f>
        <v>0</v>
      </c>
      <c r="CT632" s="713">
        <f>IF(OR(WWWW[[#This Row],['#_Non-functional latrines]]="",WWWW[[#This Row],['#_Non-functional latrines]]=0),0,WWWW[[#This Row],['#_Non-functional latrines]]/(WWWW[[#This Row],['#_Constructed latrines_by_WASHAgencies]]+WWWW[[#This Row],['#_Non Cluster partner latrines]]))</f>
        <v>0.14396887159533073</v>
      </c>
      <c r="CU632" s="708">
        <f>IF(500*(WWWW[[#This Row],['#_male hygiene promoters]]+WWWW[[#This Row],['#_female hygiene promoters]])&gt;WWWW[[#This Row],[Total PoP ]],WWWW[[#This Row],[Total PoP ]],500*(WWWW[[#This Row],['#_male hygiene promoters]]+WWWW[[#This Row],['#_female hygiene promoters]]))</f>
        <v>0</v>
      </c>
      <c r="CV63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2245</v>
      </c>
      <c r="CW63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2" s="712">
        <f>IF(WWWW[[#This Row],['# People with access to soap]]&gt;WWWW[[#This Row],['# People with access to Sanity Pads]],WWWW[[#This Row],['# People with access to soap]],WWWW[[#This Row],['# People with access to Sanity Pads]])</f>
        <v>2245</v>
      </c>
      <c r="CY632" s="712">
        <f>IF(WWWW[[#This Row],['# people reached by regular dedicated hygiene promotion_5]]&gt;WWWW[[#This Row],['# People received regular supply of hygiene items_6]],WWWW[[#This Row],['# people reached by regular dedicated hygiene promotion_5]],WWWW[[#This Row],['# People received regular supply of hygiene items_6]])</f>
        <v>2245</v>
      </c>
      <c r="CZ632" s="714">
        <f>IF(WWWW[[#This Row],[HRP3]]/WWWW[[#This Row],[Total PoP ]]&gt;100%,100%,WWWW[[#This Row],[HRP3]]/WWWW[[#This Row],[Total PoP ]])</f>
        <v>0.67702050663449942</v>
      </c>
      <c r="DA632" s="713">
        <f>1-WWWW[[#This Row],[Hygiene Coverage%]]</f>
        <v>0.32297949336550058</v>
      </c>
      <c r="DB632" s="710">
        <f>WWWW[[#This Row],['# people reached by regular dedicated hygiene promotion_5]]/WWWW[[#This Row],[Total PoP ]]</f>
        <v>0</v>
      </c>
      <c r="DC632" s="710">
        <f>IF(WWWW[[#This Row],['#_households that received standard amount of soap for this quarter]]/WWWW[[#This Row],[Total HH]]&gt;1,1,WWWW[[#This Row],['#_households that received standard amount of soap for this quarter]]/WWWW[[#This Row],[Total HH]])</f>
        <v>0.67115097159940207</v>
      </c>
      <c r="DD632" s="710">
        <f>IF(WWWW[[#This Row],['#_households that received standard amount of sanitary pads for this quarter]]/WWWW[[#This Row],[Total HH]]&gt;1,1,WWWW[[#This Row],['#_households that received standard amount of sanitary pads for this quarter]]/WWWW[[#This Row],[Total HH]])</f>
        <v>0</v>
      </c>
      <c r="DE632" s="712">
        <f>WWWW[[#This Row],['#_Constructed/Existing hand washing stations]]-WWWW[[#This Row],['#_Non-Functional_hand_washing_stations]]</f>
        <v>0</v>
      </c>
      <c r="DF632" s="757">
        <f>IF(WWWW[[#This Row],['# Functional hand washing stations during reporting period]]*20&gt;WWWW[[#This Row],[Total HH]],WWWW[[#This Row],[Total HH]],WWWW[[#This Row],['# Functional hand washing stations during reporting period]]*20)</f>
        <v>0</v>
      </c>
      <c r="DG632" s="708">
        <f>IF(WWWW[[#This Row],[Is sufficient soap available for TLS? (Yes/No)]]="yes",WWWW[[#This Row],['#_Constructed/Existing hand washing stations at TLS]],0)</f>
        <v>0</v>
      </c>
      <c r="DH632" s="759">
        <f>IF(WWWW[[#This Row],['# Functional hand washing stations during reporting period]]*100&gt;WWWW[[#This Row],[Total PoP ]],WWWW[[#This Row],[Total PoP ]],WWWW[[#This Row],['# Functional hand washing stations during reporting period]]*100)</f>
        <v>0</v>
      </c>
      <c r="DI632" s="759" t="str">
        <f>IF(OR(WWWW[[#This Row],['#_students at TLS_CFS]]="",WWWW[[#This Row],['#_students at TLS_CFS]]=0),"No","Yes")</f>
        <v>No</v>
      </c>
      <c r="DJ632" s="711" t="str">
        <f>VLOOKUP(WWWW[[#This Row],[Site Name]],SiteDB6[[Site Name]:[CCCM Management]],6,FALSE)</f>
        <v>Yes</v>
      </c>
      <c r="DK632" s="711" t="str">
        <f>VLOOKUP(WWWW[[#This Row],[Site Name]],SiteDB6[[Site Name]:[CCCM Focal Agency]],7,FALSE)</f>
        <v>KMSS-BMO</v>
      </c>
      <c r="DL632" s="711" t="str">
        <f>VLOOKUP(WWWW[[#This Row],[Site Name]],SiteDB6[[Site Name]:[Location Type 1]],9,FALSE)</f>
        <v>Camp</v>
      </c>
      <c r="DM632" s="711" t="str">
        <f>VLOOKUP(WWWW[[#This Row],[Site Name]],SiteDB6[[Site Name]:[Type of Accommodation]],10,FALSE)</f>
        <v>Camp</v>
      </c>
      <c r="DN632" s="711" t="str">
        <f>VLOOKUP(WWWW[[#This Row],[Site Name]],SiteDB6[[Site Name]:[Ethnic or GCA/NGCA]],11,FALSE)</f>
        <v>NGCA</v>
      </c>
      <c r="DO632" s="711">
        <f>VLOOKUP(WWWW[[#This Row],[Site Name]],SiteDB6[[Site Name]:[Lat]],12,FALSE)</f>
        <v>24.2744</v>
      </c>
      <c r="DP632" s="711">
        <f>VLOOKUP(WWWW[[#This Row],[Site Name]],SiteDB6[[Site Name]:[Long]],13,FALSE)</f>
        <v>97.752667000000002</v>
      </c>
      <c r="DQ632" s="711" t="str">
        <f>VLOOKUP(WWWW[[#This Row],[Site Name]],SiteDB6[[Site Name]:[Pcode]],3,FALSE)</f>
        <v>MMR001CMP126</v>
      </c>
      <c r="DR632" s="709" t="str">
        <f t="shared" si="23"/>
        <v>Covered</v>
      </c>
      <c r="DS632" s="709"/>
    </row>
    <row r="633" spans="1:123">
      <c r="A633" s="701" t="s">
        <v>2519</v>
      </c>
      <c r="B633" s="701" t="s">
        <v>284</v>
      </c>
      <c r="C633" s="702" t="s">
        <v>284</v>
      </c>
      <c r="D633" s="702" t="s">
        <v>2955</v>
      </c>
      <c r="E633" s="702" t="s">
        <v>39</v>
      </c>
      <c r="F633" s="702" t="s">
        <v>213</v>
      </c>
      <c r="G633" s="711" t="str">
        <f>VLOOKUP(WWWW[[#This Row],[Site Name]],SiteDB6[[Site Name]:[Location Type]],8,FALSE)</f>
        <v>Camp</v>
      </c>
      <c r="H633" s="702" t="s">
        <v>294</v>
      </c>
      <c r="I633" s="705">
        <v>41</v>
      </c>
      <c r="J633" s="705">
        <v>253</v>
      </c>
      <c r="K633" s="706" t="s">
        <v>2956</v>
      </c>
      <c r="L633" s="707" t="s">
        <v>2957</v>
      </c>
      <c r="M633" s="705"/>
      <c r="N633" s="705">
        <v>0</v>
      </c>
      <c r="O633" s="705">
        <v>0</v>
      </c>
      <c r="P633" s="705">
        <v>0</v>
      </c>
      <c r="Q633" s="708" t="s">
        <v>43</v>
      </c>
      <c r="R633" s="705">
        <v>4</v>
      </c>
      <c r="S633" s="705">
        <v>6</v>
      </c>
      <c r="T633" s="807">
        <v>2</v>
      </c>
      <c r="U633" s="705"/>
      <c r="V633" s="705"/>
      <c r="W633" s="705">
        <v>0</v>
      </c>
      <c r="X633" s="705">
        <v>0</v>
      </c>
      <c r="Y633" s="705"/>
      <c r="Z633" s="705"/>
      <c r="AA633" s="705"/>
      <c r="AB633" s="705"/>
      <c r="AC633" s="705"/>
      <c r="AD633" s="705"/>
      <c r="AE633" s="705"/>
      <c r="AF633" s="705"/>
      <c r="AG633" s="705"/>
      <c r="AH633" s="705"/>
      <c r="AI633" s="705">
        <v>1</v>
      </c>
      <c r="AJ633" s="705">
        <v>1</v>
      </c>
      <c r="AK633" s="705">
        <v>4</v>
      </c>
      <c r="AL633" s="705">
        <v>0</v>
      </c>
      <c r="AM633" s="705"/>
      <c r="AN633" s="705"/>
      <c r="AO633" s="709"/>
      <c r="AP633" s="705">
        <v>16</v>
      </c>
      <c r="AQ633" s="705"/>
      <c r="AR633" s="710"/>
      <c r="AS633" s="705"/>
      <c r="AT633" s="705"/>
      <c r="AU633" s="705">
        <v>15</v>
      </c>
      <c r="AV633" s="705"/>
      <c r="AW633" s="705"/>
      <c r="AX633" s="711" t="s">
        <v>43</v>
      </c>
      <c r="AY633" s="709" t="s">
        <v>145</v>
      </c>
      <c r="AZ633" s="705">
        <v>0</v>
      </c>
      <c r="BA633" s="705">
        <v>0</v>
      </c>
      <c r="BB633" s="705"/>
      <c r="BC633" s="711"/>
      <c r="BD633" s="705">
        <v>7</v>
      </c>
      <c r="BE633" s="705"/>
      <c r="BF633" s="705"/>
      <c r="BG633" s="705">
        <v>1</v>
      </c>
      <c r="BH633" s="705"/>
      <c r="BI633" s="705">
        <v>0</v>
      </c>
      <c r="BJ633" s="705">
        <v>1</v>
      </c>
      <c r="BK633" s="705">
        <v>13</v>
      </c>
      <c r="BL633" s="705">
        <v>52</v>
      </c>
      <c r="BM633" s="711"/>
      <c r="BN633" s="712"/>
      <c r="BO633" s="710"/>
      <c r="BP633" s="711"/>
      <c r="BQ633" s="713">
        <f>IFERROR(WWWW[[#This Row],['#_Water sources treated]]/WWWW[[#This Row],['#_Water sources tested for contamination]],"no test")</f>
        <v>1</v>
      </c>
      <c r="BR633" s="710">
        <f>IFERROR(WWWW[[#This Row],['#_Household received remediation action due to contamination]]/WWWW[[#This Row],['#_Household water samples tested for contamination]],"no test")</f>
        <v>0</v>
      </c>
      <c r="BS633" s="712" t="str">
        <f>IF(AND(WWWW[[#This Row],[% of water sources treated]]="no test",WWWW[[#This Row],[% Household received corrective actions]]="no test"),"No Test","Tested")</f>
        <v>Tested</v>
      </c>
      <c r="BT633" s="712">
        <f>WWWW[[#This Row],['#_Constructed/existing protected hand dug well]]-WWWW[[#This Row],['#_Non-functional protected hand dug well]]</f>
        <v>2</v>
      </c>
      <c r="BU633" s="712">
        <f>(WWWW[[#This Row],['#_Constructed/Existing tube wells/boreholes/handpumps_WASH_agency]]+WWWW[[#This Row],['#_Non-Cluster partner water tube-wells/boreholes/handpumps]])-WWWW[[#This Row],['#_Non-functional tube wells/boreholes/handpumps]]</f>
        <v>0</v>
      </c>
      <c r="BV633" s="712">
        <f>WWWW[[#This Row],['#_Constructed/Existingwater storage tank with gravity fed reticulation system]]-WWWW[[#This Row],['#_Non-functional storage tank gravity fed reticulation system]]</f>
        <v>0</v>
      </c>
      <c r="BW633" s="712">
        <f>WWWW[[#This Row],['#_Water boating or water trucking]]</f>
        <v>0</v>
      </c>
      <c r="BX633" s="712">
        <f>WWWW[[#This Row],['#_Constructed/Existing water distribution system from river or natural spring]]</f>
        <v>0</v>
      </c>
      <c r="BY63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3" s="710">
        <f>IF(WWWW[[#This Row],[Location Type 1]]="Village",WWWW[[#This Row],[Access to safe drinking water for Village]],WWWW[[#This Row],[Access to safe drinking water for Camp]])</f>
        <v>1</v>
      </c>
      <c r="CB633" s="708">
        <f>WWWW[[#This Row],[%Equitable and continuous access to sufficient quantity of safe drinking water]]*WWWW[[#This Row],[Total PoP ]]</f>
        <v>253</v>
      </c>
      <c r="CC633" s="710">
        <f>IF((WWWW[[#This Row],['#_Constructed/Existing protected/fenced ponds]]*250)/WWWW[[#This Row],[Total PoP ]]&gt;1,1,(WWWW[[#This Row],['#_Constructed/Existing protected/fenced ponds]]*250)/WWWW[[#This Row],[Total PoP ]])</f>
        <v>0</v>
      </c>
      <c r="CD633" s="708">
        <f>WWWW[[#This Row],[% Access to unimproved water points]]*WWWW[[#This Row],[Total PoP ]]</f>
        <v>0</v>
      </c>
      <c r="CE63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G633" s="708">
        <f>WWWW[[#This Row],[HRP1]]/500</f>
        <v>0.50600000000000001</v>
      </c>
      <c r="CH633" s="714">
        <f>1-WWWW[[#This Row],[% Equitable and continuous access to sufficient quantity of domestic water]]</f>
        <v>0</v>
      </c>
      <c r="CI633" s="708">
        <f>WWWW[[#This Row],[%equitable and continuous access to sufficient quantity of safe drinking and domestic water''s GAP]]*WWWW[[#This Row],[Total PoP ]]</f>
        <v>0</v>
      </c>
      <c r="CJ633" s="712">
        <f>IF(WWWW[[#This Row],[Total required water points]]-WWWW[[#This Row],['#Water points coverage]]&lt;0,0,WWWW[[#This Row],[Total required water points]]-WWWW[[#This Row],['#Water points coverage]])</f>
        <v>0.49399999999999999</v>
      </c>
      <c r="CK633" s="712">
        <f>ROUND(IF(WWWW[[#This Row],[Total PoP ]]&lt;500,1,WWWW[[#This Row],[Total PoP ]]/500),0)</f>
        <v>1</v>
      </c>
      <c r="CL633" s="712">
        <f>(WWWW[[#This Row],['#_Constructed latrines_by_WASHAgencies]]+WWWW[[#This Row],['#_Non Cluster partner latrines]])-WWWW[[#This Row],['#_Non-functional latrines]]</f>
        <v>16</v>
      </c>
      <c r="CM63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3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253</v>
      </c>
      <c r="CO63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253</v>
      </c>
      <c r="CP633" s="712">
        <f>IF(WWWW[[#This Row],[Location Type 1]]="Village","NA",IF(WWWW[[#This Row],['#_Constructed/Existing latrines in TLS]]*50&gt;WWWW[[#This Row],['#_students at TLS_CFS]],WWWW[[#This Row],['#_students at TLS_CFS]],(WWWW[[#This Row],['#_Constructed/Existing latrines in TLS]]*50)))</f>
        <v>0</v>
      </c>
      <c r="CQ633" s="712">
        <f>ROUND(IF(WWWW[[#This Row],[Location Type 1]]="camp",WWWW[[#This Row],[Total PoP ]]/20,IF(WWWW[[#This Row],[Location Type 1]]="Temporary Location",WWWW[[#This Row],[Total PoP ]]/50,(WWWW[[#This Row],[Total PoP ]]/6))),0)</f>
        <v>13</v>
      </c>
      <c r="CR633" s="712">
        <f>IF(WWWW[[#This Row],[Total required Latrines]]-(WWWW[[#This Row],['#_Constructed latrines_by_WASHAgencies]]+WWWW[[#This Row],['#_Non Cluster partner latrines]])&lt;0,0,WWWW[[#This Row],[Total required Latrines]]-(WWWW[[#This Row],['#_Constructed latrines_by_WASHAgencies]]+WWWW[[#This Row],['#_Non Cluster partner latrines]]))</f>
        <v>0</v>
      </c>
      <c r="CS633" s="714">
        <f>1-WWWW[[#This Row],[% people access to functioning Latrine]]</f>
        <v>0</v>
      </c>
      <c r="CT633" s="713">
        <f>IF(OR(WWWW[[#This Row],['#_Non-functional latrines]]="",WWWW[[#This Row],['#_Non-functional latrines]]=0),0,WWWW[[#This Row],['#_Non-functional latrines]]/(WWWW[[#This Row],['#_Constructed latrines_by_WASHAgencies]]+WWWW[[#This Row],['#_Non Cluster partner latrines]]))</f>
        <v>0</v>
      </c>
      <c r="CU633" s="708">
        <f>IF(500*(WWWW[[#This Row],['#_male hygiene promoters]]+WWWW[[#This Row],['#_female hygiene promoters]])&gt;WWWW[[#This Row],[Total PoP ]],WWWW[[#This Row],[Total PoP ]],500*(WWWW[[#This Row],['#_male hygiene promoters]]+WWWW[[#This Row],['#_female hygiene promoters]]))</f>
        <v>253</v>
      </c>
      <c r="CV63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v>
      </c>
      <c r="CW63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253</v>
      </c>
      <c r="CX633" s="712">
        <f>IF(WWWW[[#This Row],['# People with access to soap]]&gt;WWWW[[#This Row],['# People with access to Sanity Pads]],WWWW[[#This Row],['# People with access to soap]],WWWW[[#This Row],['# People with access to Sanity Pads]])</f>
        <v>253</v>
      </c>
      <c r="CY633" s="712">
        <f>IF(WWWW[[#This Row],['# people reached by regular dedicated hygiene promotion_5]]&gt;WWWW[[#This Row],['# People received regular supply of hygiene items_6]],WWWW[[#This Row],['# people reached by regular dedicated hygiene promotion_5]],WWWW[[#This Row],['# People received regular supply of hygiene items_6]])</f>
        <v>253</v>
      </c>
      <c r="CZ633" s="714">
        <f>IF(WWWW[[#This Row],[HRP3]]/WWWW[[#This Row],[Total PoP ]]&gt;100%,100%,WWWW[[#This Row],[HRP3]]/WWWW[[#This Row],[Total PoP ]])</f>
        <v>1</v>
      </c>
      <c r="DA633" s="713">
        <f>1-WWWW[[#This Row],[Hygiene Coverage%]]</f>
        <v>0</v>
      </c>
      <c r="DB633" s="710">
        <f>WWWW[[#This Row],['# people reached by regular dedicated hygiene promotion_5]]/WWWW[[#This Row],[Total PoP ]]</f>
        <v>1</v>
      </c>
      <c r="DC633" s="710">
        <f>IF(WWWW[[#This Row],['#_households that received standard amount of soap for this quarter]]/WWWW[[#This Row],[Total HH]]&gt;1,1,WWWW[[#This Row],['#_households that received standard amount of soap for this quarter]]/WWWW[[#This Row],[Total HH]])</f>
        <v>0.31707317073170732</v>
      </c>
      <c r="DD633" s="710">
        <f>IF(WWWW[[#This Row],['#_households that received standard amount of sanitary pads for this quarter]]/WWWW[[#This Row],[Total HH]]&gt;1,1,WWWW[[#This Row],['#_households that received standard amount of sanitary pads for this quarter]]/WWWW[[#This Row],[Total HH]])</f>
        <v>1</v>
      </c>
      <c r="DE633" s="712">
        <f>WWWW[[#This Row],['#_Constructed/Existing hand washing stations]]-WWWW[[#This Row],['#_Non-Functional_hand_washing_stations]]</f>
        <v>7</v>
      </c>
      <c r="DF633" s="757">
        <f>IF(WWWW[[#This Row],['# Functional hand washing stations during reporting period]]*20&gt;WWWW[[#This Row],[Total HH]],WWWW[[#This Row],[Total HH]],WWWW[[#This Row],['# Functional hand washing stations during reporting period]]*20)</f>
        <v>41</v>
      </c>
      <c r="DG633" s="708">
        <f>IF(WWWW[[#This Row],[Is sufficient soap available for TLS? (Yes/No)]]="yes",WWWW[[#This Row],['#_Constructed/Existing hand washing stations at TLS]],0)</f>
        <v>0</v>
      </c>
      <c r="DH633" s="759">
        <f>IF(WWWW[[#This Row],['# Functional hand washing stations during reporting period]]*100&gt;WWWW[[#This Row],[Total PoP ]],WWWW[[#This Row],[Total PoP ]],WWWW[[#This Row],['# Functional hand washing stations during reporting period]]*100)</f>
        <v>253</v>
      </c>
      <c r="DI633" s="759" t="str">
        <f>IF(OR(WWWW[[#This Row],['#_students at TLS_CFS]]="",WWWW[[#This Row],['#_students at TLS_CFS]]=0),"No","Yes")</f>
        <v>No</v>
      </c>
      <c r="DJ633" s="711" t="str">
        <f>VLOOKUP(WWWW[[#This Row],[Site Name]],SiteDB6[[Site Name]:[CCCM Management]],6,FALSE)</f>
        <v>Yes</v>
      </c>
      <c r="DK633" s="711" t="str">
        <f>VLOOKUP(WWWW[[#This Row],[Site Name]],SiteDB6[[Site Name]:[CCCM Focal Agency]],7,FALSE)</f>
        <v>KBC</v>
      </c>
      <c r="DL633" s="711" t="str">
        <f>VLOOKUP(WWWW[[#This Row],[Site Name]],SiteDB6[[Site Name]:[Location Type 1]],9,FALSE)</f>
        <v>Camp</v>
      </c>
      <c r="DM633" s="711" t="str">
        <f>VLOOKUP(WWWW[[#This Row],[Site Name]],SiteDB6[[Site Name]:[Type of Accommodation]],10,FALSE)</f>
        <v>Camp</v>
      </c>
      <c r="DN633" s="711" t="str">
        <f>VLOOKUP(WWWW[[#This Row],[Site Name]],SiteDB6[[Site Name]:[Ethnic or GCA/NGCA]],11,FALSE)</f>
        <v>GCA</v>
      </c>
      <c r="DO633" s="711">
        <f>VLOOKUP(WWWW[[#This Row],[Site Name]],SiteDB6[[Site Name]:[Lat]],12,FALSE)</f>
        <v>24.207332999999998</v>
      </c>
      <c r="DP633" s="711">
        <f>VLOOKUP(WWWW[[#This Row],[Site Name]],SiteDB6[[Site Name]:[Long]],13,FALSE)</f>
        <v>97.710864000000001</v>
      </c>
      <c r="DQ633" s="711" t="str">
        <f>VLOOKUP(WWWW[[#This Row],[Site Name]],SiteDB6[[Site Name]:[Pcode]],3,FALSE)</f>
        <v>MMR001CMP073</v>
      </c>
      <c r="DR633" s="709" t="str">
        <f t="shared" si="23"/>
        <v>Covered</v>
      </c>
      <c r="DS633" s="709"/>
    </row>
    <row r="634" spans="1:123">
      <c r="A634" s="701" t="s">
        <v>2519</v>
      </c>
      <c r="B634" s="701" t="s">
        <v>149</v>
      </c>
      <c r="C634" s="702" t="s">
        <v>149</v>
      </c>
      <c r="D634" s="702" t="s">
        <v>3264</v>
      </c>
      <c r="E634" s="702" t="s">
        <v>39</v>
      </c>
      <c r="F634" s="702" t="s">
        <v>160</v>
      </c>
      <c r="G634" s="711" t="str">
        <f>VLOOKUP(WWWW[[#This Row],[Site Name]],SiteDB6[[Site Name]:[Location Type]],8,FALSE)</f>
        <v>Camp</v>
      </c>
      <c r="H634" s="702" t="s">
        <v>2193</v>
      </c>
      <c r="I634" s="705">
        <v>16</v>
      </c>
      <c r="J634" s="705">
        <v>78</v>
      </c>
      <c r="K634" s="593" t="s">
        <v>3265</v>
      </c>
      <c r="L634" s="58" t="s">
        <v>3267</v>
      </c>
      <c r="M634" s="705"/>
      <c r="N634" s="705"/>
      <c r="O634" s="705"/>
      <c r="P634" s="705"/>
      <c r="Q634" s="708" t="s">
        <v>43</v>
      </c>
      <c r="R634" s="705"/>
      <c r="S634" s="705"/>
      <c r="T634" s="807">
        <v>0</v>
      </c>
      <c r="U634" s="705"/>
      <c r="V634" s="705"/>
      <c r="W634" s="705">
        <v>1</v>
      </c>
      <c r="X634" s="705"/>
      <c r="Y634" s="705"/>
      <c r="Z634" s="705"/>
      <c r="AA634" s="705"/>
      <c r="AB634" s="705"/>
      <c r="AC634" s="705"/>
      <c r="AD634" s="705"/>
      <c r="AE634" s="705"/>
      <c r="AF634" s="705"/>
      <c r="AG634" s="705"/>
      <c r="AH634" s="705">
        <v>2</v>
      </c>
      <c r="AI634" s="705"/>
      <c r="AJ634" s="705"/>
      <c r="AK634" s="705"/>
      <c r="AL634" s="705"/>
      <c r="AM634" s="705"/>
      <c r="AN634" s="705"/>
      <c r="AO634" s="709"/>
      <c r="AP634" s="705">
        <v>2</v>
      </c>
      <c r="AQ634" s="705"/>
      <c r="AR634" s="710"/>
      <c r="AS634" s="705"/>
      <c r="AT634" s="705"/>
      <c r="AU634" s="705"/>
      <c r="AV634" s="705"/>
      <c r="AW634" s="705">
        <v>2</v>
      </c>
      <c r="AX634" s="711" t="s">
        <v>43</v>
      </c>
      <c r="AY634" s="709" t="s">
        <v>145</v>
      </c>
      <c r="AZ634" s="705"/>
      <c r="BA634" s="705"/>
      <c r="BB634" s="705"/>
      <c r="BC634" s="711"/>
      <c r="BD634" s="705"/>
      <c r="BE634" s="705"/>
      <c r="BF634" s="705"/>
      <c r="BG634" s="705">
        <v>2</v>
      </c>
      <c r="BH634" s="705"/>
      <c r="BI634" s="705"/>
      <c r="BJ634" s="705">
        <v>1</v>
      </c>
      <c r="BK634" s="705"/>
      <c r="BL634" s="705"/>
      <c r="BM634" s="711"/>
      <c r="BN634" s="712"/>
      <c r="BO634" s="710"/>
      <c r="BP634" s="711"/>
      <c r="BQ634" s="713" t="str">
        <f>IFERROR(WWWW[[#This Row],['#_Water sources treated]]/WWWW[[#This Row],['#_Water sources tested for contamination]],"no test")</f>
        <v>no test</v>
      </c>
      <c r="BR634" s="710" t="str">
        <f>IFERROR(WWWW[[#This Row],['#_Household received remediation action due to contamination]]/WWWW[[#This Row],['#_Household water samples tested for contamination]],"no test")</f>
        <v>no test</v>
      </c>
      <c r="BS634" s="712" t="str">
        <f>IF(AND(WWWW[[#This Row],[% of water sources treated]]="no test",WWWW[[#This Row],[% Household received corrective actions]]="no test"),"No Test","Tested")</f>
        <v>No Test</v>
      </c>
      <c r="BT634" s="712">
        <f>WWWW[[#This Row],['#_Constructed/existing protected hand dug well]]-WWWW[[#This Row],['#_Non-functional protected hand dug well]]</f>
        <v>0</v>
      </c>
      <c r="BU634" s="712">
        <f>(WWWW[[#This Row],['#_Constructed/Existing tube wells/boreholes/handpumps_WASH_agency]]+WWWW[[#This Row],['#_Non-Cluster partner water tube-wells/boreholes/handpumps]])-WWWW[[#This Row],['#_Non-functional tube wells/boreholes/handpumps]]</f>
        <v>1</v>
      </c>
      <c r="BV634" s="712">
        <f>WWWW[[#This Row],['#_Constructed/Existingwater storage tank with gravity fed reticulation system]]-WWWW[[#This Row],['#_Non-functional storage tank gravity fed reticulation system]]</f>
        <v>0</v>
      </c>
      <c r="BW634" s="712">
        <f>WWWW[[#This Row],['#_Water boating or water trucking]]</f>
        <v>0</v>
      </c>
      <c r="BX634" s="712">
        <f>WWWW[[#This Row],['#_Constructed/Existing water distribution system from river or natural spring]]</f>
        <v>0</v>
      </c>
      <c r="BY63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4" s="710">
        <f>IF(WWWW[[#This Row],[Location Type 1]]="Village",WWWW[[#This Row],[Access to safe drinking water for Village]],WWWW[[#This Row],[Access to safe drinking water for Camp]])</f>
        <v>1</v>
      </c>
      <c r="CB634" s="708">
        <f>WWWW[[#This Row],[%Equitable and continuous access to sufficient quantity of safe drinking water]]*WWWW[[#This Row],[Total PoP ]]</f>
        <v>78</v>
      </c>
      <c r="CC634" s="710">
        <f>IF((WWWW[[#This Row],['#_Constructed/Existing protected/fenced ponds]]*250)/WWWW[[#This Row],[Total PoP ]]&gt;1,1,(WWWW[[#This Row],['#_Constructed/Existing protected/fenced ponds]]*250)/WWWW[[#This Row],[Total PoP ]])</f>
        <v>0</v>
      </c>
      <c r="CD634" s="708">
        <f>WWWW[[#This Row],[% Access to unimproved water points]]*WWWW[[#This Row],[Total PoP ]]</f>
        <v>0</v>
      </c>
      <c r="CE63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G634" s="708">
        <f>WWWW[[#This Row],[HRP1]]/500</f>
        <v>0.156</v>
      </c>
      <c r="CH634" s="714">
        <f>1-WWWW[[#This Row],[% Equitable and continuous access to sufficient quantity of domestic water]]</f>
        <v>0</v>
      </c>
      <c r="CI634" s="708">
        <f>WWWW[[#This Row],[%equitable and continuous access to sufficient quantity of safe drinking and domestic water''s GAP]]*WWWW[[#This Row],[Total PoP ]]</f>
        <v>0</v>
      </c>
      <c r="CJ634" s="712">
        <f>IF(WWWW[[#This Row],[Total required water points]]-WWWW[[#This Row],['#Water points coverage]]&lt;0,0,WWWW[[#This Row],[Total required water points]]-WWWW[[#This Row],['#Water points coverage]])</f>
        <v>0.84399999999999997</v>
      </c>
      <c r="CK634" s="712">
        <f>ROUND(IF(WWWW[[#This Row],[Total PoP ]]&lt;500,1,WWWW[[#This Row],[Total PoP ]]/500),0)</f>
        <v>1</v>
      </c>
      <c r="CL634" s="712">
        <f>(WWWW[[#This Row],['#_Constructed latrines_by_WASHAgencies]]+WWWW[[#This Row],['#_Non Cluster partner latrines]])-WWWW[[#This Row],['#_Non-functional latrines]]</f>
        <v>2</v>
      </c>
      <c r="CM63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0.51282051282051277</v>
      </c>
      <c r="CN63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40</v>
      </c>
      <c r="CO63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4" s="712">
        <f>IF(WWWW[[#This Row],[Location Type 1]]="Village","NA",IF(WWWW[[#This Row],['#_Constructed/Existing latrines in TLS]]*50&gt;WWWW[[#This Row],['#_students at TLS_CFS]],WWWW[[#This Row],['#_students at TLS_CFS]],(WWWW[[#This Row],['#_Constructed/Existing latrines in TLS]]*50)))</f>
        <v>0</v>
      </c>
      <c r="CQ634" s="712">
        <f>ROUND(IF(WWWW[[#This Row],[Location Type 1]]="camp",WWWW[[#This Row],[Total PoP ]]/20,IF(WWWW[[#This Row],[Location Type 1]]="Temporary Location",WWWW[[#This Row],[Total PoP ]]/50,(WWWW[[#This Row],[Total PoP ]]/6))),0)</f>
        <v>4</v>
      </c>
      <c r="CR634" s="712">
        <f>IF(WWWW[[#This Row],[Total required Latrines]]-(WWWW[[#This Row],['#_Constructed latrines_by_WASHAgencies]]+WWWW[[#This Row],['#_Non Cluster partner latrines]])&lt;0,0,WWWW[[#This Row],[Total required Latrines]]-(WWWW[[#This Row],['#_Constructed latrines_by_WASHAgencies]]+WWWW[[#This Row],['#_Non Cluster partner latrines]]))</f>
        <v>2</v>
      </c>
      <c r="CS634" s="714">
        <f>1-WWWW[[#This Row],[% people access to functioning Latrine]]</f>
        <v>0.48717948717948723</v>
      </c>
      <c r="CT634" s="713">
        <f>IF(OR(WWWW[[#This Row],['#_Non-functional latrines]]="",WWWW[[#This Row],['#_Non-functional latrines]]=0),0,WWWW[[#This Row],['#_Non-functional latrines]]/(WWWW[[#This Row],['#_Constructed latrines_by_WASHAgencies]]+WWWW[[#This Row],['#_Non Cluster partner latrines]]))</f>
        <v>0</v>
      </c>
      <c r="CU634" s="708">
        <f>IF(500*(WWWW[[#This Row],['#_male hygiene promoters]]+WWWW[[#This Row],['#_female hygiene promoters]])&gt;WWWW[[#This Row],[Total PoP ]],WWWW[[#This Row],[Total PoP ]],500*(WWWW[[#This Row],['#_male hygiene promoters]]+WWWW[[#This Row],['#_female hygiene promoters]]))</f>
        <v>78</v>
      </c>
      <c r="CV63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4" s="712">
        <f>IF(WWWW[[#This Row],['# People with access to soap]]&gt;WWWW[[#This Row],['# People with access to Sanity Pads]],WWWW[[#This Row],['# People with access to soap]],WWWW[[#This Row],['# People with access to Sanity Pads]])</f>
        <v>0</v>
      </c>
      <c r="CY634" s="712">
        <f>IF(WWWW[[#This Row],['# people reached by regular dedicated hygiene promotion_5]]&gt;WWWW[[#This Row],['# People received regular supply of hygiene items_6]],WWWW[[#This Row],['# people reached by regular dedicated hygiene promotion_5]],WWWW[[#This Row],['# People received regular supply of hygiene items_6]])</f>
        <v>78</v>
      </c>
      <c r="CZ634" s="714">
        <f>IF(WWWW[[#This Row],[HRP3]]/WWWW[[#This Row],[Total PoP ]]&gt;100%,100%,WWWW[[#This Row],[HRP3]]/WWWW[[#This Row],[Total PoP ]])</f>
        <v>1</v>
      </c>
      <c r="DA634" s="713">
        <f>1-WWWW[[#This Row],[Hygiene Coverage%]]</f>
        <v>0</v>
      </c>
      <c r="DB634" s="710">
        <f>WWWW[[#This Row],['# people reached by regular dedicated hygiene promotion_5]]/WWWW[[#This Row],[Total PoP ]]</f>
        <v>1</v>
      </c>
      <c r="DC634" s="710">
        <f>IF(WWWW[[#This Row],['#_households that received standard amount of soap for this quarter]]/WWWW[[#This Row],[Total HH]]&gt;1,1,WWWW[[#This Row],['#_households that received standard amount of soap for this quarter]]/WWWW[[#This Row],[Total HH]])</f>
        <v>0</v>
      </c>
      <c r="DD634" s="710">
        <f>IF(WWWW[[#This Row],['#_households that received standard amount of sanitary pads for this quarter]]/WWWW[[#This Row],[Total HH]]&gt;1,1,WWWW[[#This Row],['#_households that received standard amount of sanitary pads for this quarter]]/WWWW[[#This Row],[Total HH]])</f>
        <v>0</v>
      </c>
      <c r="DE634" s="712">
        <f>WWWW[[#This Row],['#_Constructed/Existing hand washing stations]]-WWWW[[#This Row],['#_Non-Functional_hand_washing_stations]]</f>
        <v>0</v>
      </c>
      <c r="DF634" s="757">
        <f>IF(WWWW[[#This Row],['# Functional hand washing stations during reporting period]]*20&gt;WWWW[[#This Row],[Total HH]],WWWW[[#This Row],[Total HH]],WWWW[[#This Row],['# Functional hand washing stations during reporting period]]*20)</f>
        <v>0</v>
      </c>
      <c r="DG634" s="708">
        <f>IF(WWWW[[#This Row],[Is sufficient soap available for TLS? (Yes/No)]]="yes",WWWW[[#This Row],['#_Constructed/Existing hand washing stations at TLS]],0)</f>
        <v>0</v>
      </c>
      <c r="DH634" s="759">
        <f>IF(WWWW[[#This Row],['# Functional hand washing stations during reporting period]]*100&gt;WWWW[[#This Row],[Total PoP ]],WWWW[[#This Row],[Total PoP ]],WWWW[[#This Row],['# Functional hand washing stations during reporting period]]*100)</f>
        <v>0</v>
      </c>
      <c r="DI634" s="759" t="str">
        <f>IF(OR(WWWW[[#This Row],['#_students at TLS_CFS]]="",WWWW[[#This Row],['#_students at TLS_CFS]]=0),"No","Yes")</f>
        <v>No</v>
      </c>
      <c r="DJ634" s="711" t="str">
        <f>VLOOKUP(WWWW[[#This Row],[Site Name]],SiteDB6[[Site Name]:[CCCM Management]],6,FALSE)</f>
        <v>Yes</v>
      </c>
      <c r="DK634" s="711" t="str">
        <f>VLOOKUP(WWWW[[#This Row],[Site Name]],SiteDB6[[Site Name]:[CCCM Focal Agency]],7,FALSE)</f>
        <v>KBC</v>
      </c>
      <c r="DL634" s="711" t="str">
        <f>VLOOKUP(WWWW[[#This Row],[Site Name]],SiteDB6[[Site Name]:[Location Type 1]],9,FALSE)</f>
        <v>Camp</v>
      </c>
      <c r="DM634" s="711" t="str">
        <f>VLOOKUP(WWWW[[#This Row],[Site Name]],SiteDB6[[Site Name]:[Type of Accommodation]],10,FALSE)</f>
        <v>Camp</v>
      </c>
      <c r="DN634" s="711" t="str">
        <f>VLOOKUP(WWWW[[#This Row],[Site Name]],SiteDB6[[Site Name]:[Ethnic or GCA/NGCA]],11,FALSE)</f>
        <v>GCA</v>
      </c>
      <c r="DO634" s="711">
        <f>VLOOKUP(WWWW[[#This Row],[Site Name]],SiteDB6[[Site Name]:[Lat]],12,FALSE)</f>
        <v>25.296579999999999</v>
      </c>
      <c r="DP634" s="711">
        <f>VLOOKUP(WWWW[[#This Row],[Site Name]],SiteDB6[[Site Name]:[Long]],13,FALSE)</f>
        <v>96.942279999999997</v>
      </c>
      <c r="DQ634" s="711" t="str">
        <f>VLOOKUP(WWWW[[#This Row],[Site Name]],SiteDB6[[Site Name]:[Pcode]],3,FALSE)</f>
        <v>MMR001CMP077</v>
      </c>
      <c r="DR634" s="709" t="str">
        <f t="shared" si="23"/>
        <v>Covered</v>
      </c>
      <c r="DS634" s="709"/>
    </row>
    <row r="635" spans="1:123">
      <c r="A635" s="701" t="s">
        <v>2519</v>
      </c>
      <c r="B635" s="701" t="s">
        <v>149</v>
      </c>
      <c r="C635" s="702" t="s">
        <v>149</v>
      </c>
      <c r="D635" s="702" t="s">
        <v>3268</v>
      </c>
      <c r="E635" s="702" t="s">
        <v>39</v>
      </c>
      <c r="F635" s="702" t="s">
        <v>150</v>
      </c>
      <c r="G635" s="711" t="str">
        <f>VLOOKUP(WWWW[[#This Row],[Site Name]],SiteDB6[[Site Name]:[Location Type]],8,FALSE)</f>
        <v>Camp</v>
      </c>
      <c r="H635" s="702" t="s">
        <v>184</v>
      </c>
      <c r="I635" s="705">
        <v>28</v>
      </c>
      <c r="J635" s="705">
        <v>159</v>
      </c>
      <c r="K635" s="593" t="s">
        <v>3276</v>
      </c>
      <c r="L635" s="58" t="s">
        <v>3277</v>
      </c>
      <c r="M635" s="705"/>
      <c r="N635" s="705"/>
      <c r="O635" s="705"/>
      <c r="P635" s="705"/>
      <c r="Q635" s="708" t="s">
        <v>43</v>
      </c>
      <c r="R635" s="705"/>
      <c r="S635" s="705"/>
      <c r="T635" s="807">
        <v>2</v>
      </c>
      <c r="U635" s="705"/>
      <c r="V635" s="705"/>
      <c r="W635" s="705">
        <v>1</v>
      </c>
      <c r="X635" s="705"/>
      <c r="Y635" s="705"/>
      <c r="Z635" s="705"/>
      <c r="AA635" s="705">
        <v>0</v>
      </c>
      <c r="AB635" s="705"/>
      <c r="AC635" s="705"/>
      <c r="AD635" s="705"/>
      <c r="AE635" s="705"/>
      <c r="AF635" s="705"/>
      <c r="AG635" s="705"/>
      <c r="AH635" s="705">
        <v>3</v>
      </c>
      <c r="AI635" s="705"/>
      <c r="AJ635" s="705"/>
      <c r="AK635" s="705"/>
      <c r="AL635" s="705"/>
      <c r="AM635" s="705"/>
      <c r="AN635" s="705"/>
      <c r="AO635" s="709"/>
      <c r="AP635" s="705">
        <v>6</v>
      </c>
      <c r="AQ635" s="705"/>
      <c r="AR635" s="710"/>
      <c r="AS635" s="705"/>
      <c r="AT635" s="705"/>
      <c r="AU635" s="705"/>
      <c r="AV635" s="705"/>
      <c r="AW635" s="705">
        <v>6</v>
      </c>
      <c r="AX635" s="711" t="s">
        <v>43</v>
      </c>
      <c r="AY635" s="709" t="s">
        <v>145</v>
      </c>
      <c r="AZ635" s="705"/>
      <c r="BA635" s="705"/>
      <c r="BB635" s="705"/>
      <c r="BC635" s="711"/>
      <c r="BD635" s="705"/>
      <c r="BE635" s="705"/>
      <c r="BF635" s="705"/>
      <c r="BG635" s="705">
        <v>3</v>
      </c>
      <c r="BH635" s="705"/>
      <c r="BI635" s="705"/>
      <c r="BJ635" s="705">
        <v>1</v>
      </c>
      <c r="BK635" s="705"/>
      <c r="BL635" s="705"/>
      <c r="BM635" s="711"/>
      <c r="BN635" s="712"/>
      <c r="BO635" s="710"/>
      <c r="BP635" s="711"/>
      <c r="BQ635" s="713" t="str">
        <f>IFERROR(WWWW[[#This Row],['#_Water sources treated]]/WWWW[[#This Row],['#_Water sources tested for contamination]],"no test")</f>
        <v>no test</v>
      </c>
      <c r="BR635" s="710" t="str">
        <f>IFERROR(WWWW[[#This Row],['#_Household received remediation action due to contamination]]/WWWW[[#This Row],['#_Household water samples tested for contamination]],"no test")</f>
        <v>no test</v>
      </c>
      <c r="BS635" s="712" t="str">
        <f>IF(AND(WWWW[[#This Row],[% of water sources treated]]="no test",WWWW[[#This Row],[% Household received corrective actions]]="no test"),"No Test","Tested")</f>
        <v>No Test</v>
      </c>
      <c r="BT635" s="712">
        <f>WWWW[[#This Row],['#_Constructed/existing protected hand dug well]]-WWWW[[#This Row],['#_Non-functional protected hand dug well]]</f>
        <v>2</v>
      </c>
      <c r="BU635" s="712">
        <f>(WWWW[[#This Row],['#_Constructed/Existing tube wells/boreholes/handpumps_WASH_agency]]+WWWW[[#This Row],['#_Non-Cluster partner water tube-wells/boreholes/handpumps]])-WWWW[[#This Row],['#_Non-functional tube wells/boreholes/handpumps]]</f>
        <v>1</v>
      </c>
      <c r="BV635" s="712">
        <f>WWWW[[#This Row],['#_Constructed/Existingwater storage tank with gravity fed reticulation system]]-WWWW[[#This Row],['#_Non-functional storage tank gravity fed reticulation system]]</f>
        <v>0</v>
      </c>
      <c r="BW635" s="712">
        <f>WWWW[[#This Row],['#_Water boating or water trucking]]</f>
        <v>0</v>
      </c>
      <c r="BX635" s="712">
        <f>WWWW[[#This Row],['#_Constructed/Existing water distribution system from river or natural spring]]</f>
        <v>0</v>
      </c>
      <c r="BY63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5" s="710">
        <f>IF(WWWW[[#This Row],[Location Type 1]]="Village",WWWW[[#This Row],[Access to safe drinking water for Village]],WWWW[[#This Row],[Access to safe drinking water for Camp]])</f>
        <v>1</v>
      </c>
      <c r="CB635" s="708">
        <f>WWWW[[#This Row],[%Equitable and continuous access to sufficient quantity of safe drinking water]]*WWWW[[#This Row],[Total PoP ]]</f>
        <v>159</v>
      </c>
      <c r="CC635" s="710">
        <f>IF((WWWW[[#This Row],['#_Constructed/Existing protected/fenced ponds]]*250)/WWWW[[#This Row],[Total PoP ]]&gt;1,1,(WWWW[[#This Row],['#_Constructed/Existing protected/fenced ponds]]*250)/WWWW[[#This Row],[Total PoP ]])</f>
        <v>0</v>
      </c>
      <c r="CD635" s="708">
        <f>WWWW[[#This Row],[% Access to unimproved water points]]*WWWW[[#This Row],[Total PoP ]]</f>
        <v>0</v>
      </c>
      <c r="CE63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G635" s="708">
        <f>WWWW[[#This Row],[HRP1]]/500</f>
        <v>0.318</v>
      </c>
      <c r="CH635" s="714">
        <f>1-WWWW[[#This Row],[% Equitable and continuous access to sufficient quantity of domestic water]]</f>
        <v>0</v>
      </c>
      <c r="CI635" s="708">
        <f>WWWW[[#This Row],[%equitable and continuous access to sufficient quantity of safe drinking and domestic water''s GAP]]*WWWW[[#This Row],[Total PoP ]]</f>
        <v>0</v>
      </c>
      <c r="CJ635" s="712">
        <f>IF(WWWW[[#This Row],[Total required water points]]-WWWW[[#This Row],['#Water points coverage]]&lt;0,0,WWWW[[#This Row],[Total required water points]]-WWWW[[#This Row],['#Water points coverage]])</f>
        <v>0.68199999999999994</v>
      </c>
      <c r="CK635" s="712">
        <f>ROUND(IF(WWWW[[#This Row],[Total PoP ]]&lt;500,1,WWWW[[#This Row],[Total PoP ]]/500),0)</f>
        <v>1</v>
      </c>
      <c r="CL635" s="712">
        <f>(WWWW[[#This Row],['#_Constructed latrines_by_WASHAgencies]]+WWWW[[#This Row],['#_Non Cluster partner latrines]])-WWWW[[#This Row],['#_Non-functional latrines]]</f>
        <v>6</v>
      </c>
      <c r="CM63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0.75471698113207553</v>
      </c>
      <c r="CN63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63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5" s="712">
        <f>IF(WWWW[[#This Row],[Location Type 1]]="Village","NA",IF(WWWW[[#This Row],['#_Constructed/Existing latrines in TLS]]*50&gt;WWWW[[#This Row],['#_students at TLS_CFS]],WWWW[[#This Row],['#_students at TLS_CFS]],(WWWW[[#This Row],['#_Constructed/Existing latrines in TLS]]*50)))</f>
        <v>0</v>
      </c>
      <c r="CQ635" s="712">
        <f>ROUND(IF(WWWW[[#This Row],[Location Type 1]]="camp",WWWW[[#This Row],[Total PoP ]]/20,IF(WWWW[[#This Row],[Location Type 1]]="Temporary Location",WWWW[[#This Row],[Total PoP ]]/50,(WWWW[[#This Row],[Total PoP ]]/6))),0)</f>
        <v>8</v>
      </c>
      <c r="CR635" s="712">
        <f>IF(WWWW[[#This Row],[Total required Latrines]]-(WWWW[[#This Row],['#_Constructed latrines_by_WASHAgencies]]+WWWW[[#This Row],['#_Non Cluster partner latrines]])&lt;0,0,WWWW[[#This Row],[Total required Latrines]]-(WWWW[[#This Row],['#_Constructed latrines_by_WASHAgencies]]+WWWW[[#This Row],['#_Non Cluster partner latrines]]))</f>
        <v>2</v>
      </c>
      <c r="CS635" s="714">
        <f>1-WWWW[[#This Row],[% people access to functioning Latrine]]</f>
        <v>0.24528301886792447</v>
      </c>
      <c r="CT635" s="713">
        <f>IF(OR(WWWW[[#This Row],['#_Non-functional latrines]]="",WWWW[[#This Row],['#_Non-functional latrines]]=0),0,WWWW[[#This Row],['#_Non-functional latrines]]/(WWWW[[#This Row],['#_Constructed latrines_by_WASHAgencies]]+WWWW[[#This Row],['#_Non Cluster partner latrines]]))</f>
        <v>0</v>
      </c>
      <c r="CU635" s="708">
        <f>IF(500*(WWWW[[#This Row],['#_male hygiene promoters]]+WWWW[[#This Row],['#_female hygiene promoters]])&gt;WWWW[[#This Row],[Total PoP ]],WWWW[[#This Row],[Total PoP ]],500*(WWWW[[#This Row],['#_male hygiene promoters]]+WWWW[[#This Row],['#_female hygiene promoters]]))</f>
        <v>159</v>
      </c>
      <c r="CV63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5" s="712">
        <f>IF(WWWW[[#This Row],['# People with access to soap]]&gt;WWWW[[#This Row],['# People with access to Sanity Pads]],WWWW[[#This Row],['# People with access to soap]],WWWW[[#This Row],['# People with access to Sanity Pads]])</f>
        <v>0</v>
      </c>
      <c r="CY635" s="712">
        <f>IF(WWWW[[#This Row],['# people reached by regular dedicated hygiene promotion_5]]&gt;WWWW[[#This Row],['# People received regular supply of hygiene items_6]],WWWW[[#This Row],['# people reached by regular dedicated hygiene promotion_5]],WWWW[[#This Row],['# People received regular supply of hygiene items_6]])</f>
        <v>159</v>
      </c>
      <c r="CZ635" s="714">
        <f>IF(WWWW[[#This Row],[HRP3]]/WWWW[[#This Row],[Total PoP ]]&gt;100%,100%,WWWW[[#This Row],[HRP3]]/WWWW[[#This Row],[Total PoP ]])</f>
        <v>1</v>
      </c>
      <c r="DA635" s="713">
        <f>1-WWWW[[#This Row],[Hygiene Coverage%]]</f>
        <v>0</v>
      </c>
      <c r="DB635" s="710">
        <f>WWWW[[#This Row],['# people reached by regular dedicated hygiene promotion_5]]/WWWW[[#This Row],[Total PoP ]]</f>
        <v>1</v>
      </c>
      <c r="DC635" s="710">
        <f>IF(WWWW[[#This Row],['#_households that received standard amount of soap for this quarter]]/WWWW[[#This Row],[Total HH]]&gt;1,1,WWWW[[#This Row],['#_households that received standard amount of soap for this quarter]]/WWWW[[#This Row],[Total HH]])</f>
        <v>0</v>
      </c>
      <c r="DD635" s="710">
        <f>IF(WWWW[[#This Row],['#_households that received standard amount of sanitary pads for this quarter]]/WWWW[[#This Row],[Total HH]]&gt;1,1,WWWW[[#This Row],['#_households that received standard amount of sanitary pads for this quarter]]/WWWW[[#This Row],[Total HH]])</f>
        <v>0</v>
      </c>
      <c r="DE635" s="712">
        <f>WWWW[[#This Row],['#_Constructed/Existing hand washing stations]]-WWWW[[#This Row],['#_Non-Functional_hand_washing_stations]]</f>
        <v>0</v>
      </c>
      <c r="DF635" s="757">
        <f>IF(WWWW[[#This Row],['# Functional hand washing stations during reporting period]]*20&gt;WWWW[[#This Row],[Total HH]],WWWW[[#This Row],[Total HH]],WWWW[[#This Row],['# Functional hand washing stations during reporting period]]*20)</f>
        <v>0</v>
      </c>
      <c r="DG635" s="708">
        <f>IF(WWWW[[#This Row],[Is sufficient soap available for TLS? (Yes/No)]]="yes",WWWW[[#This Row],['#_Constructed/Existing hand washing stations at TLS]],0)</f>
        <v>0</v>
      </c>
      <c r="DH635" s="759">
        <f>IF(WWWW[[#This Row],['# Functional hand washing stations during reporting period]]*100&gt;WWWW[[#This Row],[Total PoP ]],WWWW[[#This Row],[Total PoP ]],WWWW[[#This Row],['# Functional hand washing stations during reporting period]]*100)</f>
        <v>0</v>
      </c>
      <c r="DI635" s="759" t="str">
        <f>IF(OR(WWWW[[#This Row],['#_students at TLS_CFS]]="",WWWW[[#This Row],['#_students at TLS_CFS]]=0),"No","Yes")</f>
        <v>No</v>
      </c>
      <c r="DJ635" s="711" t="str">
        <f>VLOOKUP(WWWW[[#This Row],[Site Name]],SiteDB6[[Site Name]:[CCCM Management]],6,FALSE)</f>
        <v>Yes</v>
      </c>
      <c r="DK635" s="711" t="str">
        <f>VLOOKUP(WWWW[[#This Row],[Site Name]],SiteDB6[[Site Name]:[CCCM Focal Agency]],7,FALSE)</f>
        <v>KBC-MYT</v>
      </c>
      <c r="DL635" s="711" t="str">
        <f>VLOOKUP(WWWW[[#This Row],[Site Name]],SiteDB6[[Site Name]:[Location Type 1]],9,FALSE)</f>
        <v>Camp</v>
      </c>
      <c r="DM635" s="711" t="str">
        <f>VLOOKUP(WWWW[[#This Row],[Site Name]],SiteDB6[[Site Name]:[Type of Accommodation]],10,FALSE)</f>
        <v>Camp</v>
      </c>
      <c r="DN635" s="711" t="str">
        <f>VLOOKUP(WWWW[[#This Row],[Site Name]],SiteDB6[[Site Name]:[Ethnic or GCA/NGCA]],11,FALSE)</f>
        <v>GCA</v>
      </c>
      <c r="DO635" s="711">
        <f>VLOOKUP(WWWW[[#This Row],[Site Name]],SiteDB6[[Site Name]:[Lat]],12,FALSE)</f>
        <v>25.356632000000001</v>
      </c>
      <c r="DP635" s="711">
        <f>VLOOKUP(WWWW[[#This Row],[Site Name]],SiteDB6[[Site Name]:[Long]],13,FALSE)</f>
        <v>97.451965000000001</v>
      </c>
      <c r="DQ635" s="711" t="str">
        <f>VLOOKUP(WWWW[[#This Row],[Site Name]],SiteDB6[[Site Name]:[Pcode]],3,FALSE)</f>
        <v>MMR001CMP027</v>
      </c>
      <c r="DR635" s="709" t="str">
        <f t="shared" si="23"/>
        <v>Covered</v>
      </c>
      <c r="DS635" s="709"/>
    </row>
    <row r="636" spans="1:123">
      <c r="A636" s="701" t="s">
        <v>2519</v>
      </c>
      <c r="B636" s="808" t="s">
        <v>149</v>
      </c>
      <c r="C636" s="584" t="s">
        <v>149</v>
      </c>
      <c r="D636" s="702" t="s">
        <v>3264</v>
      </c>
      <c r="E636" s="702" t="s">
        <v>39</v>
      </c>
      <c r="F636" s="702" t="s">
        <v>150</v>
      </c>
      <c r="G636" s="711" t="str">
        <f>VLOOKUP(WWWW[[#This Row],[Site Name]],SiteDB6[[Site Name]:[Location Type]],8,FALSE)</f>
        <v>Camp</v>
      </c>
      <c r="H636" s="702" t="s">
        <v>185</v>
      </c>
      <c r="I636" s="705">
        <v>407</v>
      </c>
      <c r="J636" s="705">
        <v>1801</v>
      </c>
      <c r="K636" s="593" t="s">
        <v>3265</v>
      </c>
      <c r="L636" s="58" t="s">
        <v>3267</v>
      </c>
      <c r="M636" s="705">
        <v>218</v>
      </c>
      <c r="N636" s="705"/>
      <c r="O636" s="705"/>
      <c r="P636" s="705"/>
      <c r="Q636" s="708" t="s">
        <v>43</v>
      </c>
      <c r="R636" s="705"/>
      <c r="S636" s="705"/>
      <c r="T636" s="807"/>
      <c r="U636" s="705"/>
      <c r="V636" s="705"/>
      <c r="W636" s="705"/>
      <c r="X636" s="705"/>
      <c r="Y636" s="705"/>
      <c r="Z636" s="705"/>
      <c r="AA636" s="705">
        <v>6</v>
      </c>
      <c r="AB636" s="705">
        <v>2</v>
      </c>
      <c r="AC636" s="705"/>
      <c r="AD636" s="705"/>
      <c r="AE636" s="705"/>
      <c r="AF636" s="705"/>
      <c r="AG636" s="705"/>
      <c r="AH636" s="705"/>
      <c r="AI636" s="705"/>
      <c r="AJ636" s="705"/>
      <c r="AK636" s="705"/>
      <c r="AL636" s="705"/>
      <c r="AM636" s="705"/>
      <c r="AN636" s="705"/>
      <c r="AO636" s="709"/>
      <c r="AP636" s="705">
        <v>407</v>
      </c>
      <c r="AQ636" s="705"/>
      <c r="AR636" s="710"/>
      <c r="AS636" s="705">
        <v>195</v>
      </c>
      <c r="AT636" s="705">
        <v>30</v>
      </c>
      <c r="AU636" s="705"/>
      <c r="AV636" s="705"/>
      <c r="AW636" s="705"/>
      <c r="AX636" s="711" t="s">
        <v>43</v>
      </c>
      <c r="AY636" s="709" t="s">
        <v>145</v>
      </c>
      <c r="AZ636" s="705">
        <v>3</v>
      </c>
      <c r="BA636" s="705"/>
      <c r="BB636" s="705"/>
      <c r="BC636" s="711"/>
      <c r="BD636" s="705"/>
      <c r="BE636" s="705"/>
      <c r="BF636" s="705"/>
      <c r="BG636" s="705"/>
      <c r="BH636" s="705"/>
      <c r="BI636" s="705"/>
      <c r="BJ636" s="705"/>
      <c r="BK636" s="705"/>
      <c r="BL636" s="705"/>
      <c r="BM636" s="711" t="s">
        <v>144</v>
      </c>
      <c r="BN636" s="712"/>
      <c r="BO636" s="710"/>
      <c r="BP636" s="711"/>
      <c r="BQ636" s="713" t="str">
        <f>IFERROR(WWWW[[#This Row],['#_Water sources treated]]/WWWW[[#This Row],['#_Water sources tested for contamination]],"no test")</f>
        <v>no test</v>
      </c>
      <c r="BR636" s="710" t="str">
        <f>IFERROR(WWWW[[#This Row],['#_Household received remediation action due to contamination]]/WWWW[[#This Row],['#_Household water samples tested for contamination]],"no test")</f>
        <v>no test</v>
      </c>
      <c r="BS636" s="712" t="str">
        <f>IF(AND(WWWW[[#This Row],[% of water sources treated]]="no test",WWWW[[#This Row],[% Household received corrective actions]]="no test"),"No Test","Tested")</f>
        <v>No Test</v>
      </c>
      <c r="BT636" s="712">
        <f>WWWW[[#This Row],['#_Constructed/existing protected hand dug well]]-WWWW[[#This Row],['#_Non-functional protected hand dug well]]</f>
        <v>0</v>
      </c>
      <c r="BU636" s="712">
        <f>(WWWW[[#This Row],['#_Constructed/Existing tube wells/boreholes/handpumps_WASH_agency]]+WWWW[[#This Row],['#_Non-Cluster partner water tube-wells/boreholes/handpumps]])-WWWW[[#This Row],['#_Non-functional tube wells/boreholes/handpumps]]</f>
        <v>0</v>
      </c>
      <c r="BV636" s="712">
        <f>WWWW[[#This Row],['#_Constructed/Existingwater storage tank with gravity fed reticulation system]]-WWWW[[#This Row],['#_Non-functional storage tank gravity fed reticulation system]]</f>
        <v>4</v>
      </c>
      <c r="BW636" s="712">
        <f>WWWW[[#This Row],['#_Water boating or water trucking]]</f>
        <v>0</v>
      </c>
      <c r="BX636" s="712">
        <f>WWWW[[#This Row],['#_Constructed/Existing water distribution system from river or natural spring]]</f>
        <v>0</v>
      </c>
      <c r="BY63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0.14806588932074774</v>
      </c>
      <c r="BZ63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0.14806588932074774</v>
      </c>
      <c r="CA636" s="710">
        <f>IF(WWWW[[#This Row],[Location Type 1]]="Village",WWWW[[#This Row],[Access to safe drinking water for Village]],WWWW[[#This Row],[Access to safe drinking water for Camp]])</f>
        <v>0.14806588932074774</v>
      </c>
      <c r="CB636" s="708">
        <f>WWWW[[#This Row],[%Equitable and continuous access to sufficient quantity of safe drinking water]]*WWWW[[#This Row],[Total PoP ]]</f>
        <v>266.66666666666669</v>
      </c>
      <c r="CC636" s="710">
        <f>IF((WWWW[[#This Row],['#_Constructed/Existing protected/fenced ponds]]*250)/WWWW[[#This Row],[Total PoP ]]&gt;1,1,(WWWW[[#This Row],['#_Constructed/Existing protected/fenced ponds]]*250)/WWWW[[#This Row],[Total PoP ]])</f>
        <v>0</v>
      </c>
      <c r="CD636" s="708">
        <f>WWWW[[#This Row],[% Access to unimproved water points]]*WWWW[[#This Row],[Total PoP ]]</f>
        <v>0</v>
      </c>
      <c r="CE63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0.14806588932074774</v>
      </c>
      <c r="CF63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G636" s="708">
        <f>WWWW[[#This Row],[HRP1]]/500</f>
        <v>0.53333333333333333</v>
      </c>
      <c r="CH636" s="714">
        <f>1-WWWW[[#This Row],[% Equitable and continuous access to sufficient quantity of domestic water]]</f>
        <v>0.85193411067925229</v>
      </c>
      <c r="CI636" s="708">
        <f>WWWW[[#This Row],[%equitable and continuous access to sufficient quantity of safe drinking and domestic water''s GAP]]*WWWW[[#This Row],[Total PoP ]]</f>
        <v>1534.3333333333333</v>
      </c>
      <c r="CJ636" s="712">
        <f>IF(WWWW[[#This Row],[Total required water points]]-WWWW[[#This Row],['#Water points coverage]]&lt;0,0,WWWW[[#This Row],[Total required water points]]-WWWW[[#This Row],['#Water points coverage]])</f>
        <v>3.4666666666666668</v>
      </c>
      <c r="CK636" s="712">
        <f>ROUND(IF(WWWW[[#This Row],[Total PoP ]]&lt;500,1,WWWW[[#This Row],[Total PoP ]]/500),0)</f>
        <v>4</v>
      </c>
      <c r="CL636" s="712">
        <f>(WWWW[[#This Row],['#_Constructed latrines_by_WASHAgencies]]+WWWW[[#This Row],['#_Non Cluster partner latrines]])-WWWW[[#This Row],['#_Non-functional latrines]]</f>
        <v>212</v>
      </c>
      <c r="CM63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0.70627429205996672</v>
      </c>
      <c r="CN63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1272</v>
      </c>
      <c r="CO63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6" s="712">
        <f>IF(WWWW[[#This Row],[Location Type 1]]="Village","NA",IF(WWWW[[#This Row],['#_Constructed/Existing latrines in TLS]]*50&gt;WWWW[[#This Row],['#_students at TLS_CFS]],WWWW[[#This Row],['#_students at TLS_CFS]],(WWWW[[#This Row],['#_Constructed/Existing latrines in TLS]]*50)))</f>
        <v>0</v>
      </c>
      <c r="CQ636" s="712">
        <f>ROUND(IF(WWWW[[#This Row],[Location Type 1]]="camp",WWWW[[#This Row],[Total PoP ]]/20,IF(WWWW[[#This Row],[Location Type 1]]="Temporary Location",WWWW[[#This Row],[Total PoP ]]/50,(WWWW[[#This Row],[Total PoP ]]/6))),0)</f>
        <v>300</v>
      </c>
      <c r="CR636" s="712">
        <f>IF(WWWW[[#This Row],[Total required Latrines]]-(WWWW[[#This Row],['#_Constructed latrines_by_WASHAgencies]]+WWWW[[#This Row],['#_Non Cluster partner latrines]])&lt;0,0,WWWW[[#This Row],[Total required Latrines]]-(WWWW[[#This Row],['#_Constructed latrines_by_WASHAgencies]]+WWWW[[#This Row],['#_Non Cluster partner latrines]]))</f>
        <v>0</v>
      </c>
      <c r="CS636" s="714">
        <f>1-WWWW[[#This Row],[% people access to functioning Latrine]]</f>
        <v>0.29372570794003328</v>
      </c>
      <c r="CT636" s="713">
        <f>IF(OR(WWWW[[#This Row],['#_Non-functional latrines]]="",WWWW[[#This Row],['#_Non-functional latrines]]=0),0,WWWW[[#This Row],['#_Non-functional latrines]]/(WWWW[[#This Row],['#_Constructed latrines_by_WASHAgencies]]+WWWW[[#This Row],['#_Non Cluster partner latrines]]))</f>
        <v>0.47911547911547914</v>
      </c>
      <c r="CU636" s="708">
        <f>IF(500*(WWWW[[#This Row],['#_male hygiene promoters]]+WWWW[[#This Row],['#_female hygiene promoters]])&gt;WWWW[[#This Row],[Total PoP ]],WWWW[[#This Row],[Total PoP ]],500*(WWWW[[#This Row],['#_male hygiene promoters]]+WWWW[[#This Row],['#_female hygiene promoters]]))</f>
        <v>0</v>
      </c>
      <c r="CV63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6" s="712">
        <f>IF(WWWW[[#This Row],['# People with access to soap]]&gt;WWWW[[#This Row],['# People with access to Sanity Pads]],WWWW[[#This Row],['# People with access to soap]],WWWW[[#This Row],['# People with access to Sanity Pads]])</f>
        <v>0</v>
      </c>
      <c r="CY636"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36" s="714">
        <f>IF(WWWW[[#This Row],[HRP3]]/WWWW[[#This Row],[Total PoP ]]&gt;100%,100%,WWWW[[#This Row],[HRP3]]/WWWW[[#This Row],[Total PoP ]])</f>
        <v>0</v>
      </c>
      <c r="DA636" s="713">
        <f>1-WWWW[[#This Row],[Hygiene Coverage%]]</f>
        <v>1</v>
      </c>
      <c r="DB636" s="710">
        <f>WWWW[[#This Row],['# people reached by regular dedicated hygiene promotion_5]]/WWWW[[#This Row],[Total PoP ]]</f>
        <v>0</v>
      </c>
      <c r="DC636" s="710">
        <f>IF(WWWW[[#This Row],['#_households that received standard amount of soap for this quarter]]/WWWW[[#This Row],[Total HH]]&gt;1,1,WWWW[[#This Row],['#_households that received standard amount of soap for this quarter]]/WWWW[[#This Row],[Total HH]])</f>
        <v>0</v>
      </c>
      <c r="DD636" s="710">
        <f>IF(WWWW[[#This Row],['#_households that received standard amount of sanitary pads for this quarter]]/WWWW[[#This Row],[Total HH]]&gt;1,1,WWWW[[#This Row],['#_households that received standard amount of sanitary pads for this quarter]]/WWWW[[#This Row],[Total HH]])</f>
        <v>0</v>
      </c>
      <c r="DE636" s="712">
        <f>WWWW[[#This Row],['#_Constructed/Existing hand washing stations]]-WWWW[[#This Row],['#_Non-Functional_hand_washing_stations]]</f>
        <v>0</v>
      </c>
      <c r="DF636" s="757">
        <f>IF(WWWW[[#This Row],['# Functional hand washing stations during reporting period]]*20&gt;WWWW[[#This Row],[Total HH]],WWWW[[#This Row],[Total HH]],WWWW[[#This Row],['# Functional hand washing stations during reporting period]]*20)</f>
        <v>0</v>
      </c>
      <c r="DG636" s="708">
        <f>IF(WWWW[[#This Row],[Is sufficient soap available for TLS? (Yes/No)]]="yes",WWWW[[#This Row],['#_Constructed/Existing hand washing stations at TLS]],0)</f>
        <v>0</v>
      </c>
      <c r="DH636" s="759">
        <f>IF(WWWW[[#This Row],['# Functional hand washing stations during reporting period]]*100&gt;WWWW[[#This Row],[Total PoP ]],WWWW[[#This Row],[Total PoP ]],WWWW[[#This Row],['# Functional hand washing stations during reporting period]]*100)</f>
        <v>0</v>
      </c>
      <c r="DI636" s="759" t="str">
        <f>IF(OR(WWWW[[#This Row],['#_students at TLS_CFS]]="",WWWW[[#This Row],['#_students at TLS_CFS]]=0),"No","Yes")</f>
        <v>Yes</v>
      </c>
      <c r="DJ636" s="711" t="str">
        <f>VLOOKUP(WWWW[[#This Row],[Site Name]],SiteDB6[[Site Name]:[CCCM Management]],6,FALSE)</f>
        <v>Yes</v>
      </c>
      <c r="DK636" s="711" t="str">
        <f>VLOOKUP(WWWW[[#This Row],[Site Name]],SiteDB6[[Site Name]:[CCCM Focal Agency]],7,FALSE)</f>
        <v>KMSS-MYT</v>
      </c>
      <c r="DL636" s="711" t="str">
        <f>VLOOKUP(WWWW[[#This Row],[Site Name]],SiteDB6[[Site Name]:[Location Type 1]],9,FALSE)</f>
        <v>Village Type Camp</v>
      </c>
      <c r="DM636" s="711" t="str">
        <f>VLOOKUP(WWWW[[#This Row],[Site Name]],SiteDB6[[Site Name]:[Type of Accommodation]],10,FALSE)</f>
        <v>Camp</v>
      </c>
      <c r="DN636" s="711" t="str">
        <f>VLOOKUP(WWWW[[#This Row],[Site Name]],SiteDB6[[Site Name]:[Ethnic or GCA/NGCA]],11,FALSE)</f>
        <v>NGCA</v>
      </c>
      <c r="DO636" s="711">
        <f>VLOOKUP(WWWW[[#This Row],[Site Name]],SiteDB6[[Site Name]:[Lat]],12,FALSE)</f>
        <v>24.980250000000002</v>
      </c>
      <c r="DP636" s="711">
        <f>VLOOKUP(WWWW[[#This Row],[Site Name]],SiteDB6[[Site Name]:[Long]],13,FALSE)</f>
        <v>97.715230000000005</v>
      </c>
      <c r="DQ636" s="711" t="str">
        <f>VLOOKUP(WWWW[[#This Row],[Site Name]],SiteDB6[[Site Name]:[Pcode]],3,FALSE)</f>
        <v>MMR001CMP119</v>
      </c>
      <c r="DR636" s="709" t="str">
        <f t="shared" si="23"/>
        <v>Covered</v>
      </c>
      <c r="DS636" s="709"/>
    </row>
    <row r="637" spans="1:123">
      <c r="A637" s="701" t="s">
        <v>2519</v>
      </c>
      <c r="B637" s="701" t="s">
        <v>38</v>
      </c>
      <c r="C637" s="702" t="s">
        <v>38</v>
      </c>
      <c r="D637" s="702" t="s">
        <v>722</v>
      </c>
      <c r="E637" s="702" t="s">
        <v>39</v>
      </c>
      <c r="F637" s="702" t="s">
        <v>156</v>
      </c>
      <c r="G637" s="711" t="str">
        <f>VLOOKUP(WWWW[[#This Row],[Site Name]],SiteDB6[[Site Name]:[Location Type]],8,FALSE)</f>
        <v>Camp</v>
      </c>
      <c r="H637" s="702" t="s">
        <v>239</v>
      </c>
      <c r="I637" s="705">
        <v>50</v>
      </c>
      <c r="J637" s="705">
        <v>218</v>
      </c>
      <c r="K637" s="706">
        <v>43525</v>
      </c>
      <c r="L637" s="707" t="s">
        <v>3317</v>
      </c>
      <c r="M637" s="705"/>
      <c r="N637" s="705"/>
      <c r="O637" s="705"/>
      <c r="P637" s="705"/>
      <c r="Q637" s="708" t="s">
        <v>43</v>
      </c>
      <c r="R637" s="705"/>
      <c r="S637" s="705"/>
      <c r="T637" s="807">
        <v>1</v>
      </c>
      <c r="U637" s="705"/>
      <c r="V637" s="705"/>
      <c r="W637" s="705"/>
      <c r="X637" s="705"/>
      <c r="Y637" s="705"/>
      <c r="Z637" s="705"/>
      <c r="AA637" s="705"/>
      <c r="AB637" s="705"/>
      <c r="AC637" s="705"/>
      <c r="AD637" s="705"/>
      <c r="AE637" s="705"/>
      <c r="AF637" s="705"/>
      <c r="AG637" s="705"/>
      <c r="AH637" s="705"/>
      <c r="AI637" s="705"/>
      <c r="AJ637" s="705"/>
      <c r="AK637" s="705"/>
      <c r="AL637" s="705"/>
      <c r="AM637" s="705"/>
      <c r="AN637" s="705"/>
      <c r="AO637" s="709"/>
      <c r="AP637" s="705">
        <v>16</v>
      </c>
      <c r="AQ637" s="705"/>
      <c r="AR637" s="710"/>
      <c r="AS637" s="705"/>
      <c r="AT637" s="705"/>
      <c r="AU637" s="705"/>
      <c r="AV637" s="705"/>
      <c r="AW637" s="705"/>
      <c r="AX637" s="711" t="s">
        <v>43</v>
      </c>
      <c r="AY637" s="709" t="s">
        <v>145</v>
      </c>
      <c r="AZ637" s="705"/>
      <c r="BA637" s="705"/>
      <c r="BB637" s="705"/>
      <c r="BC637" s="711"/>
      <c r="BD637" s="705"/>
      <c r="BE637" s="705"/>
      <c r="BF637" s="705"/>
      <c r="BG637" s="705">
        <v>2</v>
      </c>
      <c r="BH637" s="705"/>
      <c r="BI637" s="705"/>
      <c r="BJ637" s="705">
        <v>2</v>
      </c>
      <c r="BK637" s="705"/>
      <c r="BL637" s="705"/>
      <c r="BM637" s="711"/>
      <c r="BN637" s="712"/>
      <c r="BO637" s="710"/>
      <c r="BP637" s="711"/>
      <c r="BQ637" s="713" t="str">
        <f>IFERROR(WWWW[[#This Row],['#_Water sources treated]]/WWWW[[#This Row],['#_Water sources tested for contamination]],"no test")</f>
        <v>no test</v>
      </c>
      <c r="BR637" s="710" t="str">
        <f>IFERROR(WWWW[[#This Row],['#_Household received remediation action due to contamination]]/WWWW[[#This Row],['#_Household water samples tested for contamination]],"no test")</f>
        <v>no test</v>
      </c>
      <c r="BS637" s="712" t="str">
        <f>IF(AND(WWWW[[#This Row],[% of water sources treated]]="no test",WWWW[[#This Row],[% Household received corrective actions]]="no test"),"No Test","Tested")</f>
        <v>No Test</v>
      </c>
      <c r="BT637" s="712">
        <f>WWWW[[#This Row],['#_Constructed/existing protected hand dug well]]-WWWW[[#This Row],['#_Non-functional protected hand dug well]]</f>
        <v>1</v>
      </c>
      <c r="BU637" s="712">
        <f>(WWWW[[#This Row],['#_Constructed/Existing tube wells/boreholes/handpumps_WASH_agency]]+WWWW[[#This Row],['#_Non-Cluster partner water tube-wells/boreholes/handpumps]])-WWWW[[#This Row],['#_Non-functional tube wells/boreholes/handpumps]]</f>
        <v>0</v>
      </c>
      <c r="BV637" s="712">
        <f>WWWW[[#This Row],['#_Constructed/Existingwater storage tank with gravity fed reticulation system]]-WWWW[[#This Row],['#_Non-functional storage tank gravity fed reticulation system]]</f>
        <v>0</v>
      </c>
      <c r="BW637" s="712">
        <f>WWWW[[#This Row],['#_Water boating or water trucking]]</f>
        <v>0</v>
      </c>
      <c r="BX637" s="712">
        <f>WWWW[[#This Row],['#_Constructed/Existing water distribution system from river or natural spring]]</f>
        <v>0</v>
      </c>
      <c r="BY63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7" s="710">
        <f>IF(WWWW[[#This Row],[Location Type 1]]="Village",WWWW[[#This Row],[Access to safe drinking water for Village]],WWWW[[#This Row],[Access to safe drinking water for Camp]])</f>
        <v>1</v>
      </c>
      <c r="CB637" s="708">
        <f>WWWW[[#This Row],[%Equitable and continuous access to sufficient quantity of safe drinking water]]*WWWW[[#This Row],[Total PoP ]]</f>
        <v>218</v>
      </c>
      <c r="CC637" s="710">
        <f>IF((WWWW[[#This Row],['#_Constructed/Existing protected/fenced ponds]]*250)/WWWW[[#This Row],[Total PoP ]]&gt;1,1,(WWWW[[#This Row],['#_Constructed/Existing protected/fenced ponds]]*250)/WWWW[[#This Row],[Total PoP ]])</f>
        <v>0</v>
      </c>
      <c r="CD637" s="708">
        <f>WWWW[[#This Row],[% Access to unimproved water points]]*WWWW[[#This Row],[Total PoP ]]</f>
        <v>0</v>
      </c>
      <c r="CE63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G637" s="708">
        <f>WWWW[[#This Row],[HRP1]]/500</f>
        <v>0.436</v>
      </c>
      <c r="CH637" s="714">
        <f>1-WWWW[[#This Row],[% Equitable and continuous access to sufficient quantity of domestic water]]</f>
        <v>0</v>
      </c>
      <c r="CI637" s="708">
        <f>WWWW[[#This Row],[%equitable and continuous access to sufficient quantity of safe drinking and domestic water''s GAP]]*WWWW[[#This Row],[Total PoP ]]</f>
        <v>0</v>
      </c>
      <c r="CJ637" s="712">
        <f>IF(WWWW[[#This Row],[Total required water points]]-WWWW[[#This Row],['#Water points coverage]]&lt;0,0,WWWW[[#This Row],[Total required water points]]-WWWW[[#This Row],['#Water points coverage]])</f>
        <v>0.56400000000000006</v>
      </c>
      <c r="CK637" s="712">
        <f>ROUND(IF(WWWW[[#This Row],[Total PoP ]]&lt;500,1,WWWW[[#This Row],[Total PoP ]]/500),0)</f>
        <v>1</v>
      </c>
      <c r="CL637" s="712">
        <f>(WWWW[[#This Row],['#_Constructed latrines_by_WASHAgencies]]+WWWW[[#This Row],['#_Non Cluster partner latrines]])-WWWW[[#This Row],['#_Non-functional latrines]]</f>
        <v>16</v>
      </c>
      <c r="CM63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3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218</v>
      </c>
      <c r="CO63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7" s="712">
        <f>IF(WWWW[[#This Row],[Location Type 1]]="Village","NA",IF(WWWW[[#This Row],['#_Constructed/Existing latrines in TLS]]*50&gt;WWWW[[#This Row],['#_students at TLS_CFS]],WWWW[[#This Row],['#_students at TLS_CFS]],(WWWW[[#This Row],['#_Constructed/Existing latrines in TLS]]*50)))</f>
        <v>0</v>
      </c>
      <c r="CQ637" s="712">
        <f>ROUND(IF(WWWW[[#This Row],[Location Type 1]]="camp",WWWW[[#This Row],[Total PoP ]]/20,IF(WWWW[[#This Row],[Location Type 1]]="Temporary Location",WWWW[[#This Row],[Total PoP ]]/50,(WWWW[[#This Row],[Total PoP ]]/6))),0)</f>
        <v>11</v>
      </c>
      <c r="CR637" s="712">
        <f>IF(WWWW[[#This Row],[Total required Latrines]]-(WWWW[[#This Row],['#_Constructed latrines_by_WASHAgencies]]+WWWW[[#This Row],['#_Non Cluster partner latrines]])&lt;0,0,WWWW[[#This Row],[Total required Latrines]]-(WWWW[[#This Row],['#_Constructed latrines_by_WASHAgencies]]+WWWW[[#This Row],['#_Non Cluster partner latrines]]))</f>
        <v>0</v>
      </c>
      <c r="CS637" s="714">
        <f>1-WWWW[[#This Row],[% people access to functioning Latrine]]</f>
        <v>0</v>
      </c>
      <c r="CT637" s="713">
        <f>IF(OR(WWWW[[#This Row],['#_Non-functional latrines]]="",WWWW[[#This Row],['#_Non-functional latrines]]=0),0,WWWW[[#This Row],['#_Non-functional latrines]]/(WWWW[[#This Row],['#_Constructed latrines_by_WASHAgencies]]+WWWW[[#This Row],['#_Non Cluster partner latrines]]))</f>
        <v>0</v>
      </c>
      <c r="CU637" s="708">
        <f>IF(500*(WWWW[[#This Row],['#_male hygiene promoters]]+WWWW[[#This Row],['#_female hygiene promoters]])&gt;WWWW[[#This Row],[Total PoP ]],WWWW[[#This Row],[Total PoP ]],500*(WWWW[[#This Row],['#_male hygiene promoters]]+WWWW[[#This Row],['#_female hygiene promoters]]))</f>
        <v>218</v>
      </c>
      <c r="CV63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7" s="712">
        <f>IF(WWWW[[#This Row],['# People with access to soap]]&gt;WWWW[[#This Row],['# People with access to Sanity Pads]],WWWW[[#This Row],['# People with access to soap]],WWWW[[#This Row],['# People with access to Sanity Pads]])</f>
        <v>0</v>
      </c>
      <c r="CY637" s="712">
        <f>IF(WWWW[[#This Row],['# people reached by regular dedicated hygiene promotion_5]]&gt;WWWW[[#This Row],['# People received regular supply of hygiene items_6]],WWWW[[#This Row],['# people reached by regular dedicated hygiene promotion_5]],WWWW[[#This Row],['# People received regular supply of hygiene items_6]])</f>
        <v>218</v>
      </c>
      <c r="CZ637" s="714">
        <f>IF(WWWW[[#This Row],[HRP3]]/WWWW[[#This Row],[Total PoP ]]&gt;100%,100%,WWWW[[#This Row],[HRP3]]/WWWW[[#This Row],[Total PoP ]])</f>
        <v>1</v>
      </c>
      <c r="DA637" s="713">
        <f>1-WWWW[[#This Row],[Hygiene Coverage%]]</f>
        <v>0</v>
      </c>
      <c r="DB637" s="710">
        <f>WWWW[[#This Row],['# people reached by regular dedicated hygiene promotion_5]]/WWWW[[#This Row],[Total PoP ]]</f>
        <v>1</v>
      </c>
      <c r="DC637" s="710">
        <f>IF(WWWW[[#This Row],['#_households that received standard amount of soap for this quarter]]/WWWW[[#This Row],[Total HH]]&gt;1,1,WWWW[[#This Row],['#_households that received standard amount of soap for this quarter]]/WWWW[[#This Row],[Total HH]])</f>
        <v>0</v>
      </c>
      <c r="DD637" s="710">
        <f>IF(WWWW[[#This Row],['#_households that received standard amount of sanitary pads for this quarter]]/WWWW[[#This Row],[Total HH]]&gt;1,1,WWWW[[#This Row],['#_households that received standard amount of sanitary pads for this quarter]]/WWWW[[#This Row],[Total HH]])</f>
        <v>0</v>
      </c>
      <c r="DE637" s="712">
        <f>WWWW[[#This Row],['#_Constructed/Existing hand washing stations]]-WWWW[[#This Row],['#_Non-Functional_hand_washing_stations]]</f>
        <v>0</v>
      </c>
      <c r="DF637" s="757">
        <f>IF(WWWW[[#This Row],['# Functional hand washing stations during reporting period]]*20&gt;WWWW[[#This Row],[Total HH]],WWWW[[#This Row],[Total HH]],WWWW[[#This Row],['# Functional hand washing stations during reporting period]]*20)</f>
        <v>0</v>
      </c>
      <c r="DG637" s="708">
        <f>IF(WWWW[[#This Row],[Is sufficient soap available for TLS? (Yes/No)]]="yes",WWWW[[#This Row],['#_Constructed/Existing hand washing stations at TLS]],0)</f>
        <v>0</v>
      </c>
      <c r="DH637" s="759">
        <f>IF(WWWW[[#This Row],['# Functional hand washing stations during reporting period]]*100&gt;WWWW[[#This Row],[Total PoP ]],WWWW[[#This Row],[Total PoP ]],WWWW[[#This Row],['# Functional hand washing stations during reporting period]]*100)</f>
        <v>0</v>
      </c>
      <c r="DI637" s="759" t="str">
        <f>IF(OR(WWWW[[#This Row],['#_students at TLS_CFS]]="",WWWW[[#This Row],['#_students at TLS_CFS]]=0),"No","Yes")</f>
        <v>No</v>
      </c>
      <c r="DJ637" s="711" t="str">
        <f>VLOOKUP(WWWW[[#This Row],[Site Name]],SiteDB6[[Site Name]:[CCCM Management]],6,FALSE)</f>
        <v>Yes</v>
      </c>
      <c r="DK637" s="711" t="str">
        <f>VLOOKUP(WWWW[[#This Row],[Site Name]],SiteDB6[[Site Name]:[CCCM Focal Agency]],7,FALSE)</f>
        <v>KMSS-MYT</v>
      </c>
      <c r="DL637" s="711" t="str">
        <f>VLOOKUP(WWWW[[#This Row],[Site Name]],SiteDB6[[Site Name]:[Location Type 1]],9,FALSE)</f>
        <v>Camp</v>
      </c>
      <c r="DM637" s="711" t="str">
        <f>VLOOKUP(WWWW[[#This Row],[Site Name]],SiteDB6[[Site Name]:[Type of Accommodation]],10,FALSE)</f>
        <v>Camp</v>
      </c>
      <c r="DN637" s="711" t="str">
        <f>VLOOKUP(WWWW[[#This Row],[Site Name]],SiteDB6[[Site Name]:[Ethnic or GCA/NGCA]],11,FALSE)</f>
        <v>GCA</v>
      </c>
      <c r="DO637" s="711">
        <f>VLOOKUP(WWWW[[#This Row],[Site Name]],SiteDB6[[Site Name]:[Lat]],12,FALSE)</f>
        <v>25.613894999999999</v>
      </c>
      <c r="DP637" s="711">
        <f>VLOOKUP(WWWW[[#This Row],[Site Name]],SiteDB6[[Site Name]:[Long]],13,FALSE)</f>
        <v>96.341352999999998</v>
      </c>
      <c r="DQ637" s="711" t="str">
        <f>VLOOKUP(WWWW[[#This Row],[Site Name]],SiteDB6[[Site Name]:[Pcode]],3,FALSE)</f>
        <v>MMR001CMP103</v>
      </c>
      <c r="DR637" s="709" t="str">
        <f t="shared" si="23"/>
        <v>Covered</v>
      </c>
      <c r="DS637" s="709"/>
    </row>
    <row r="638" spans="1:123">
      <c r="A638" s="701" t="s">
        <v>2519</v>
      </c>
      <c r="B638" s="701" t="s">
        <v>149</v>
      </c>
      <c r="C638" s="702" t="s">
        <v>149</v>
      </c>
      <c r="D638" s="702" t="s">
        <v>3268</v>
      </c>
      <c r="E638" s="702" t="s">
        <v>39</v>
      </c>
      <c r="F638" s="702" t="s">
        <v>150</v>
      </c>
      <c r="G638" s="711" t="str">
        <f>VLOOKUP(WWWW[[#This Row],[Site Name]],SiteDB6[[Site Name]:[Location Type]],8,FALSE)</f>
        <v>Camp</v>
      </c>
      <c r="H638" s="702" t="s">
        <v>186</v>
      </c>
      <c r="I638" s="705">
        <v>494</v>
      </c>
      <c r="J638" s="705">
        <v>2500</v>
      </c>
      <c r="K638" s="593" t="s">
        <v>3276</v>
      </c>
      <c r="L638" s="58" t="s">
        <v>3277</v>
      </c>
      <c r="M638" s="705"/>
      <c r="N638" s="705"/>
      <c r="O638" s="705"/>
      <c r="P638" s="705"/>
      <c r="Q638" s="708" t="s">
        <v>43</v>
      </c>
      <c r="R638" s="705"/>
      <c r="S638" s="705"/>
      <c r="T638" s="807">
        <v>9</v>
      </c>
      <c r="U638" s="705"/>
      <c r="V638" s="705"/>
      <c r="W638" s="705">
        <v>2</v>
      </c>
      <c r="X638" s="705"/>
      <c r="Y638" s="705"/>
      <c r="Z638" s="705"/>
      <c r="AA638" s="705"/>
      <c r="AB638" s="705"/>
      <c r="AC638" s="705"/>
      <c r="AD638" s="705"/>
      <c r="AE638" s="705"/>
      <c r="AF638" s="705"/>
      <c r="AG638" s="705"/>
      <c r="AH638" s="705">
        <v>9</v>
      </c>
      <c r="AI638" s="705"/>
      <c r="AJ638" s="705"/>
      <c r="AK638" s="705"/>
      <c r="AL638" s="705"/>
      <c r="AM638" s="705"/>
      <c r="AN638" s="705"/>
      <c r="AO638" s="709"/>
      <c r="AP638" s="705">
        <v>130</v>
      </c>
      <c r="AQ638" s="705"/>
      <c r="AR638" s="710"/>
      <c r="AS638" s="705">
        <v>104</v>
      </c>
      <c r="AT638" s="705">
        <v>30</v>
      </c>
      <c r="AU638" s="705">
        <v>32</v>
      </c>
      <c r="AV638" s="705"/>
      <c r="AW638" s="705">
        <v>130</v>
      </c>
      <c r="AX638" s="711" t="s">
        <v>43</v>
      </c>
      <c r="AY638" s="709" t="s">
        <v>145</v>
      </c>
      <c r="AZ638" s="705"/>
      <c r="BA638" s="705"/>
      <c r="BB638" s="705"/>
      <c r="BC638" s="711"/>
      <c r="BD638" s="705"/>
      <c r="BE638" s="705"/>
      <c r="BF638" s="705"/>
      <c r="BG638" s="705">
        <v>6</v>
      </c>
      <c r="BH638" s="705"/>
      <c r="BI638" s="705"/>
      <c r="BJ638" s="705">
        <v>5</v>
      </c>
      <c r="BK638" s="705"/>
      <c r="BL638" s="705"/>
      <c r="BM638" s="711"/>
      <c r="BN638" s="712"/>
      <c r="BO638" s="710"/>
      <c r="BP638" s="711"/>
      <c r="BQ638" s="713" t="str">
        <f>IFERROR(WWWW[[#This Row],['#_Water sources treated]]/WWWW[[#This Row],['#_Water sources tested for contamination]],"no test")</f>
        <v>no test</v>
      </c>
      <c r="BR638" s="710" t="str">
        <f>IFERROR(WWWW[[#This Row],['#_Household received remediation action due to contamination]]/WWWW[[#This Row],['#_Household water samples tested for contamination]],"no test")</f>
        <v>no test</v>
      </c>
      <c r="BS638" s="712" t="str">
        <f>IF(AND(WWWW[[#This Row],[% of water sources treated]]="no test",WWWW[[#This Row],[% Household received corrective actions]]="no test"),"No Test","Tested")</f>
        <v>No Test</v>
      </c>
      <c r="BT638" s="712">
        <f>WWWW[[#This Row],['#_Constructed/existing protected hand dug well]]-WWWW[[#This Row],['#_Non-functional protected hand dug well]]</f>
        <v>9</v>
      </c>
      <c r="BU638" s="712">
        <f>(WWWW[[#This Row],['#_Constructed/Existing tube wells/boreholes/handpumps_WASH_agency]]+WWWW[[#This Row],['#_Non-Cluster partner water tube-wells/boreholes/handpumps]])-WWWW[[#This Row],['#_Non-functional tube wells/boreholes/handpumps]]</f>
        <v>2</v>
      </c>
      <c r="BV638" s="712">
        <f>WWWW[[#This Row],['#_Constructed/Existingwater storage tank with gravity fed reticulation system]]-WWWW[[#This Row],['#_Non-functional storage tank gravity fed reticulation system]]</f>
        <v>0</v>
      </c>
      <c r="BW638" s="712">
        <f>WWWW[[#This Row],['#_Water boating or water trucking]]</f>
        <v>0</v>
      </c>
      <c r="BX638" s="712">
        <f>WWWW[[#This Row],['#_Constructed/Existing water distribution system from river or natural spring]]</f>
        <v>0</v>
      </c>
      <c r="BY63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8" s="710">
        <f>IF(WWWW[[#This Row],[Location Type 1]]="Village",WWWW[[#This Row],[Access to safe drinking water for Village]],WWWW[[#This Row],[Access to safe drinking water for Camp]])</f>
        <v>1</v>
      </c>
      <c r="CB638" s="708">
        <f>WWWW[[#This Row],[%Equitable and continuous access to sufficient quantity of safe drinking water]]*WWWW[[#This Row],[Total PoP ]]</f>
        <v>2500</v>
      </c>
      <c r="CC638" s="710">
        <f>IF((WWWW[[#This Row],['#_Constructed/Existing protected/fenced ponds]]*250)/WWWW[[#This Row],[Total PoP ]]&gt;1,1,(WWWW[[#This Row],['#_Constructed/Existing protected/fenced ponds]]*250)/WWWW[[#This Row],[Total PoP ]])</f>
        <v>0</v>
      </c>
      <c r="CD638" s="708">
        <f>WWWW[[#This Row],[% Access to unimproved water points]]*WWWW[[#This Row],[Total PoP ]]</f>
        <v>0</v>
      </c>
      <c r="CE63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G638" s="708">
        <f>WWWW[[#This Row],[HRP1]]/500</f>
        <v>5</v>
      </c>
      <c r="CH638" s="714">
        <f>1-WWWW[[#This Row],[% Equitable and continuous access to sufficient quantity of domestic water]]</f>
        <v>0</v>
      </c>
      <c r="CI638" s="708">
        <f>WWWW[[#This Row],[%equitable and continuous access to sufficient quantity of safe drinking and domestic water''s GAP]]*WWWW[[#This Row],[Total PoP ]]</f>
        <v>0</v>
      </c>
      <c r="CJ638" s="712">
        <f>IF(WWWW[[#This Row],[Total required water points]]-WWWW[[#This Row],['#Water points coverage]]&lt;0,0,WWWW[[#This Row],[Total required water points]]-WWWW[[#This Row],['#Water points coverage]])</f>
        <v>0</v>
      </c>
      <c r="CK638" s="712">
        <f>ROUND(IF(WWWW[[#This Row],[Total PoP ]]&lt;500,1,WWWW[[#This Row],[Total PoP ]]/500),0)</f>
        <v>5</v>
      </c>
      <c r="CL638" s="712">
        <f>(WWWW[[#This Row],['#_Constructed latrines_by_WASHAgencies]]+WWWW[[#This Row],['#_Non Cluster partner latrines]])-WWWW[[#This Row],['#_Non-functional latrines]]</f>
        <v>26</v>
      </c>
      <c r="CM63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0.20799999999999999</v>
      </c>
      <c r="CN63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520</v>
      </c>
      <c r="CO63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640</v>
      </c>
      <c r="CP638" s="712">
        <f>IF(WWWW[[#This Row],[Location Type 1]]="Village","NA",IF(WWWW[[#This Row],['#_Constructed/Existing latrines in TLS]]*50&gt;WWWW[[#This Row],['#_students at TLS_CFS]],WWWW[[#This Row],['#_students at TLS_CFS]],(WWWW[[#This Row],['#_Constructed/Existing latrines in TLS]]*50)))</f>
        <v>0</v>
      </c>
      <c r="CQ638" s="712">
        <f>ROUND(IF(WWWW[[#This Row],[Location Type 1]]="camp",WWWW[[#This Row],[Total PoP ]]/20,IF(WWWW[[#This Row],[Location Type 1]]="Temporary Location",WWWW[[#This Row],[Total PoP ]]/50,(WWWW[[#This Row],[Total PoP ]]/6))),0)</f>
        <v>125</v>
      </c>
      <c r="CR638" s="712">
        <f>IF(WWWW[[#This Row],[Total required Latrines]]-(WWWW[[#This Row],['#_Constructed latrines_by_WASHAgencies]]+WWWW[[#This Row],['#_Non Cluster partner latrines]])&lt;0,0,WWWW[[#This Row],[Total required Latrines]]-(WWWW[[#This Row],['#_Constructed latrines_by_WASHAgencies]]+WWWW[[#This Row],['#_Non Cluster partner latrines]]))</f>
        <v>0</v>
      </c>
      <c r="CS638" s="714">
        <f>1-WWWW[[#This Row],[% people access to functioning Latrine]]</f>
        <v>0.79200000000000004</v>
      </c>
      <c r="CT638" s="713">
        <f>IF(OR(WWWW[[#This Row],['#_Non-functional latrines]]="",WWWW[[#This Row],['#_Non-functional latrines]]=0),0,WWWW[[#This Row],['#_Non-functional latrines]]/(WWWW[[#This Row],['#_Constructed latrines_by_WASHAgencies]]+WWWW[[#This Row],['#_Non Cluster partner latrines]]))</f>
        <v>0.8</v>
      </c>
      <c r="CU638" s="708">
        <f>IF(500*(WWWW[[#This Row],['#_male hygiene promoters]]+WWWW[[#This Row],['#_female hygiene promoters]])&gt;WWWW[[#This Row],[Total PoP ]],WWWW[[#This Row],[Total PoP ]],500*(WWWW[[#This Row],['#_male hygiene promoters]]+WWWW[[#This Row],['#_female hygiene promoters]]))</f>
        <v>2500</v>
      </c>
      <c r="CV63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8" s="712">
        <f>IF(WWWW[[#This Row],['# People with access to soap]]&gt;WWWW[[#This Row],['# People with access to Sanity Pads]],WWWW[[#This Row],['# People with access to soap]],WWWW[[#This Row],['# People with access to Sanity Pads]])</f>
        <v>0</v>
      </c>
      <c r="CY638" s="712">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CZ638" s="714">
        <f>IF(WWWW[[#This Row],[HRP3]]/WWWW[[#This Row],[Total PoP ]]&gt;100%,100%,WWWW[[#This Row],[HRP3]]/WWWW[[#This Row],[Total PoP ]])</f>
        <v>1</v>
      </c>
      <c r="DA638" s="713">
        <f>1-WWWW[[#This Row],[Hygiene Coverage%]]</f>
        <v>0</v>
      </c>
      <c r="DB638" s="710">
        <f>WWWW[[#This Row],['# people reached by regular dedicated hygiene promotion_5]]/WWWW[[#This Row],[Total PoP ]]</f>
        <v>1</v>
      </c>
      <c r="DC638" s="710">
        <f>IF(WWWW[[#This Row],['#_households that received standard amount of soap for this quarter]]/WWWW[[#This Row],[Total HH]]&gt;1,1,WWWW[[#This Row],['#_households that received standard amount of soap for this quarter]]/WWWW[[#This Row],[Total HH]])</f>
        <v>0</v>
      </c>
      <c r="DD638" s="710">
        <f>IF(WWWW[[#This Row],['#_households that received standard amount of sanitary pads for this quarter]]/WWWW[[#This Row],[Total HH]]&gt;1,1,WWWW[[#This Row],['#_households that received standard amount of sanitary pads for this quarter]]/WWWW[[#This Row],[Total HH]])</f>
        <v>0</v>
      </c>
      <c r="DE638" s="712">
        <f>WWWW[[#This Row],['#_Constructed/Existing hand washing stations]]-WWWW[[#This Row],['#_Non-Functional_hand_washing_stations]]</f>
        <v>0</v>
      </c>
      <c r="DF638" s="757">
        <f>IF(WWWW[[#This Row],['# Functional hand washing stations during reporting period]]*20&gt;WWWW[[#This Row],[Total HH]],WWWW[[#This Row],[Total HH]],WWWW[[#This Row],['# Functional hand washing stations during reporting period]]*20)</f>
        <v>0</v>
      </c>
      <c r="DG638" s="708">
        <f>IF(WWWW[[#This Row],[Is sufficient soap available for TLS? (Yes/No)]]="yes",WWWW[[#This Row],['#_Constructed/Existing hand washing stations at TLS]],0)</f>
        <v>0</v>
      </c>
      <c r="DH638" s="759">
        <f>IF(WWWW[[#This Row],['# Functional hand washing stations during reporting period]]*100&gt;WWWW[[#This Row],[Total PoP ]],WWWW[[#This Row],[Total PoP ]],WWWW[[#This Row],['# Functional hand washing stations during reporting period]]*100)</f>
        <v>0</v>
      </c>
      <c r="DI638" s="759" t="str">
        <f>IF(OR(WWWW[[#This Row],['#_students at TLS_CFS]]="",WWWW[[#This Row],['#_students at TLS_CFS]]=0),"No","Yes")</f>
        <v>No</v>
      </c>
      <c r="DJ638" s="711" t="str">
        <f>VLOOKUP(WWWW[[#This Row],[Site Name]],SiteDB6[[Site Name]:[CCCM Management]],6,FALSE)</f>
        <v>Yes</v>
      </c>
      <c r="DK638" s="711" t="str">
        <f>VLOOKUP(WWWW[[#This Row],[Site Name]],SiteDB6[[Site Name]:[CCCM Focal Agency]],7,FALSE)</f>
        <v>KBC-MYT</v>
      </c>
      <c r="DL638" s="711" t="str">
        <f>VLOOKUP(WWWW[[#This Row],[Site Name]],SiteDB6[[Site Name]:[Location Type 1]],9,FALSE)</f>
        <v>Camp</v>
      </c>
      <c r="DM638" s="711" t="str">
        <f>VLOOKUP(WWWW[[#This Row],[Site Name]],SiteDB6[[Site Name]:[Type of Accommodation]],10,FALSE)</f>
        <v>Camp</v>
      </c>
      <c r="DN638" s="711" t="str">
        <f>VLOOKUP(WWWW[[#This Row],[Site Name]],SiteDB6[[Site Name]:[Ethnic or GCA/NGCA]],11,FALSE)</f>
        <v>GCA</v>
      </c>
      <c r="DO638" s="711">
        <f>VLOOKUP(WWWW[[#This Row],[Site Name]],SiteDB6[[Site Name]:[Lat]],12,FALSE)</f>
        <v>25.4118005797101</v>
      </c>
      <c r="DP638" s="711">
        <f>VLOOKUP(WWWW[[#This Row],[Site Name]],SiteDB6[[Site Name]:[Long]],13,FALSE)</f>
        <v>97.434855869565197</v>
      </c>
      <c r="DQ638" s="711" t="str">
        <f>VLOOKUP(WWWW[[#This Row],[Site Name]],SiteDB6[[Site Name]:[Pcode]],3,FALSE)</f>
        <v>MMR001CMP040</v>
      </c>
      <c r="DR638" s="709" t="str">
        <f t="shared" si="23"/>
        <v>Covered</v>
      </c>
      <c r="DS638" s="709"/>
    </row>
    <row r="639" spans="1:123">
      <c r="A639" s="701" t="s">
        <v>2519</v>
      </c>
      <c r="B639" s="701" t="s">
        <v>38</v>
      </c>
      <c r="C639" s="702" t="s">
        <v>38</v>
      </c>
      <c r="D639" s="702" t="s">
        <v>722</v>
      </c>
      <c r="E639" s="702" t="s">
        <v>39</v>
      </c>
      <c r="F639" s="702" t="s">
        <v>167</v>
      </c>
      <c r="G639" s="711" t="str">
        <f>VLOOKUP(WWWW[[#This Row],[Site Name]],SiteDB6[[Site Name]:[Location Type]],8,FALSE)</f>
        <v>Camp</v>
      </c>
      <c r="H639" s="702" t="s">
        <v>243</v>
      </c>
      <c r="I639" s="705">
        <v>147</v>
      </c>
      <c r="J639" s="705">
        <v>882</v>
      </c>
      <c r="K639" s="706">
        <v>43525</v>
      </c>
      <c r="L639" s="707">
        <v>44196</v>
      </c>
      <c r="M639" s="705"/>
      <c r="N639" s="705"/>
      <c r="O639" s="705"/>
      <c r="P639" s="705"/>
      <c r="Q639" s="708" t="s">
        <v>43</v>
      </c>
      <c r="R639" s="705"/>
      <c r="S639" s="705"/>
      <c r="T639" s="807">
        <v>8</v>
      </c>
      <c r="U639" s="705"/>
      <c r="V639" s="705"/>
      <c r="W639" s="705">
        <v>2</v>
      </c>
      <c r="X639" s="705"/>
      <c r="Y639" s="705"/>
      <c r="Z639" s="705"/>
      <c r="AA639" s="705"/>
      <c r="AB639" s="705"/>
      <c r="AC639" s="705"/>
      <c r="AD639" s="705"/>
      <c r="AE639" s="705"/>
      <c r="AF639" s="705"/>
      <c r="AG639" s="705"/>
      <c r="AH639" s="705"/>
      <c r="AI639" s="705"/>
      <c r="AJ639" s="705"/>
      <c r="AK639" s="705"/>
      <c r="AL639" s="705"/>
      <c r="AM639" s="705"/>
      <c r="AN639" s="705"/>
      <c r="AO639" s="709"/>
      <c r="AP639" s="705">
        <v>74</v>
      </c>
      <c r="AQ639" s="705"/>
      <c r="AR639" s="710"/>
      <c r="AS639" s="705"/>
      <c r="AT639" s="705"/>
      <c r="AU639" s="705"/>
      <c r="AV639" s="705"/>
      <c r="AW639" s="705"/>
      <c r="AX639" s="711" t="s">
        <v>43</v>
      </c>
      <c r="AY639" s="709" t="s">
        <v>145</v>
      </c>
      <c r="AZ639" s="705"/>
      <c r="BA639" s="705"/>
      <c r="BB639" s="705"/>
      <c r="BC639" s="711"/>
      <c r="BD639" s="705"/>
      <c r="BE639" s="705"/>
      <c r="BF639" s="705"/>
      <c r="BG639" s="705">
        <v>13</v>
      </c>
      <c r="BH639" s="705"/>
      <c r="BI639" s="705"/>
      <c r="BJ639" s="705">
        <v>4</v>
      </c>
      <c r="BK639" s="705"/>
      <c r="BL639" s="705"/>
      <c r="BM639" s="711"/>
      <c r="BN639" s="712"/>
      <c r="BO639" s="710"/>
      <c r="BP639" s="711"/>
      <c r="BQ639" s="713" t="str">
        <f>IFERROR(WWWW[[#This Row],['#_Water sources treated]]/WWWW[[#This Row],['#_Water sources tested for contamination]],"no test")</f>
        <v>no test</v>
      </c>
      <c r="BR639" s="710" t="str">
        <f>IFERROR(WWWW[[#This Row],['#_Household received remediation action due to contamination]]/WWWW[[#This Row],['#_Household water samples tested for contamination]],"no test")</f>
        <v>no test</v>
      </c>
      <c r="BS639" s="712" t="str">
        <f>IF(AND(WWWW[[#This Row],[% of water sources treated]]="no test",WWWW[[#This Row],[% Household received corrective actions]]="no test"),"No Test","Tested")</f>
        <v>No Test</v>
      </c>
      <c r="BT639" s="712">
        <f>WWWW[[#This Row],['#_Constructed/existing protected hand dug well]]-WWWW[[#This Row],['#_Non-functional protected hand dug well]]</f>
        <v>8</v>
      </c>
      <c r="BU639" s="712">
        <f>(WWWW[[#This Row],['#_Constructed/Existing tube wells/boreholes/handpumps_WASH_agency]]+WWWW[[#This Row],['#_Non-Cluster partner water tube-wells/boreholes/handpumps]])-WWWW[[#This Row],['#_Non-functional tube wells/boreholes/handpumps]]</f>
        <v>2</v>
      </c>
      <c r="BV639" s="712">
        <f>WWWW[[#This Row],['#_Constructed/Existingwater storage tank with gravity fed reticulation system]]-WWWW[[#This Row],['#_Non-functional storage tank gravity fed reticulation system]]</f>
        <v>0</v>
      </c>
      <c r="BW639" s="712">
        <f>WWWW[[#This Row],['#_Water boating or water trucking]]</f>
        <v>0</v>
      </c>
      <c r="BX639" s="712">
        <f>WWWW[[#This Row],['#_Constructed/Existing water distribution system from river or natural spring]]</f>
        <v>0</v>
      </c>
      <c r="BY63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3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39" s="710">
        <f>IF(WWWW[[#This Row],[Location Type 1]]="Village",WWWW[[#This Row],[Access to safe drinking water for Village]],WWWW[[#This Row],[Access to safe drinking water for Camp]])</f>
        <v>1</v>
      </c>
      <c r="CB639" s="708">
        <f>WWWW[[#This Row],[%Equitable and continuous access to sufficient quantity of safe drinking water]]*WWWW[[#This Row],[Total PoP ]]</f>
        <v>882</v>
      </c>
      <c r="CC639" s="710">
        <f>IF((WWWW[[#This Row],['#_Constructed/Existing protected/fenced ponds]]*250)/WWWW[[#This Row],[Total PoP ]]&gt;1,1,(WWWW[[#This Row],['#_Constructed/Existing protected/fenced ponds]]*250)/WWWW[[#This Row],[Total PoP ]])</f>
        <v>0</v>
      </c>
      <c r="CD639" s="708">
        <f>WWWW[[#This Row],[% Access to unimproved water points]]*WWWW[[#This Row],[Total PoP ]]</f>
        <v>0</v>
      </c>
      <c r="CE63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3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882</v>
      </c>
      <c r="CG639" s="708">
        <f>WWWW[[#This Row],[HRP1]]/500</f>
        <v>1.764</v>
      </c>
      <c r="CH639" s="714">
        <f>1-WWWW[[#This Row],[% Equitable and continuous access to sufficient quantity of domestic water]]</f>
        <v>0</v>
      </c>
      <c r="CI639" s="708">
        <f>WWWW[[#This Row],[%equitable and continuous access to sufficient quantity of safe drinking and domestic water''s GAP]]*WWWW[[#This Row],[Total PoP ]]</f>
        <v>0</v>
      </c>
      <c r="CJ639" s="712">
        <f>IF(WWWW[[#This Row],[Total required water points]]-WWWW[[#This Row],['#Water points coverage]]&lt;0,0,WWWW[[#This Row],[Total required water points]]-WWWW[[#This Row],['#Water points coverage]])</f>
        <v>0.23599999999999999</v>
      </c>
      <c r="CK639" s="712">
        <f>ROUND(IF(WWWW[[#This Row],[Total PoP ]]&lt;500,1,WWWW[[#This Row],[Total PoP ]]/500),0)</f>
        <v>2</v>
      </c>
      <c r="CL639" s="712">
        <f>(WWWW[[#This Row],['#_Constructed latrines_by_WASHAgencies]]+WWWW[[#This Row],['#_Non Cluster partner latrines]])-WWWW[[#This Row],['#_Non-functional latrines]]</f>
        <v>74</v>
      </c>
      <c r="CM63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3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882</v>
      </c>
      <c r="CO63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39" s="712">
        <f>IF(WWWW[[#This Row],[Location Type 1]]="Village","NA",IF(WWWW[[#This Row],['#_Constructed/Existing latrines in TLS]]*50&gt;WWWW[[#This Row],['#_students at TLS_CFS]],WWWW[[#This Row],['#_students at TLS_CFS]],(WWWW[[#This Row],['#_Constructed/Existing latrines in TLS]]*50)))</f>
        <v>0</v>
      </c>
      <c r="CQ639" s="712">
        <f>ROUND(IF(WWWW[[#This Row],[Location Type 1]]="camp",WWWW[[#This Row],[Total PoP ]]/20,IF(WWWW[[#This Row],[Location Type 1]]="Temporary Location",WWWW[[#This Row],[Total PoP ]]/50,(WWWW[[#This Row],[Total PoP ]]/6))),0)</f>
        <v>44</v>
      </c>
      <c r="CR639" s="712">
        <f>IF(WWWW[[#This Row],[Total required Latrines]]-(WWWW[[#This Row],['#_Constructed latrines_by_WASHAgencies]]+WWWW[[#This Row],['#_Non Cluster partner latrines]])&lt;0,0,WWWW[[#This Row],[Total required Latrines]]-(WWWW[[#This Row],['#_Constructed latrines_by_WASHAgencies]]+WWWW[[#This Row],['#_Non Cluster partner latrines]]))</f>
        <v>0</v>
      </c>
      <c r="CS639" s="714">
        <f>1-WWWW[[#This Row],[% people access to functioning Latrine]]</f>
        <v>0</v>
      </c>
      <c r="CT639" s="713">
        <f>IF(OR(WWWW[[#This Row],['#_Non-functional latrines]]="",WWWW[[#This Row],['#_Non-functional latrines]]=0),0,WWWW[[#This Row],['#_Non-functional latrines]]/(WWWW[[#This Row],['#_Constructed latrines_by_WASHAgencies]]+WWWW[[#This Row],['#_Non Cluster partner latrines]]))</f>
        <v>0</v>
      </c>
      <c r="CU639" s="708">
        <f>IF(500*(WWWW[[#This Row],['#_male hygiene promoters]]+WWWW[[#This Row],['#_female hygiene promoters]])&gt;WWWW[[#This Row],[Total PoP ]],WWWW[[#This Row],[Total PoP ]],500*(WWWW[[#This Row],['#_male hygiene promoters]]+WWWW[[#This Row],['#_female hygiene promoters]]))</f>
        <v>882</v>
      </c>
      <c r="CV63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3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39" s="712">
        <f>IF(WWWW[[#This Row],['# People with access to soap]]&gt;WWWW[[#This Row],['# People with access to Sanity Pads]],WWWW[[#This Row],['# People with access to soap]],WWWW[[#This Row],['# People with access to Sanity Pads]])</f>
        <v>0</v>
      </c>
      <c r="CY639" s="712">
        <f>IF(WWWW[[#This Row],['# people reached by regular dedicated hygiene promotion_5]]&gt;WWWW[[#This Row],['# People received regular supply of hygiene items_6]],WWWW[[#This Row],['# people reached by regular dedicated hygiene promotion_5]],WWWW[[#This Row],['# People received regular supply of hygiene items_6]])</f>
        <v>882</v>
      </c>
      <c r="CZ639" s="714">
        <f>IF(WWWW[[#This Row],[HRP3]]/WWWW[[#This Row],[Total PoP ]]&gt;100%,100%,WWWW[[#This Row],[HRP3]]/WWWW[[#This Row],[Total PoP ]])</f>
        <v>1</v>
      </c>
      <c r="DA639" s="713">
        <f>1-WWWW[[#This Row],[Hygiene Coverage%]]</f>
        <v>0</v>
      </c>
      <c r="DB639" s="710">
        <f>WWWW[[#This Row],['# people reached by regular dedicated hygiene promotion_5]]/WWWW[[#This Row],[Total PoP ]]</f>
        <v>1</v>
      </c>
      <c r="DC639" s="710">
        <f>IF(WWWW[[#This Row],['#_households that received standard amount of soap for this quarter]]/WWWW[[#This Row],[Total HH]]&gt;1,1,WWWW[[#This Row],['#_households that received standard amount of soap for this quarter]]/WWWW[[#This Row],[Total HH]])</f>
        <v>0</v>
      </c>
      <c r="DD639" s="710">
        <f>IF(WWWW[[#This Row],['#_households that received standard amount of sanitary pads for this quarter]]/WWWW[[#This Row],[Total HH]]&gt;1,1,WWWW[[#This Row],['#_households that received standard amount of sanitary pads for this quarter]]/WWWW[[#This Row],[Total HH]])</f>
        <v>0</v>
      </c>
      <c r="DE639" s="712">
        <f>WWWW[[#This Row],['#_Constructed/Existing hand washing stations]]-WWWW[[#This Row],['#_Non-Functional_hand_washing_stations]]</f>
        <v>0</v>
      </c>
      <c r="DF639" s="757">
        <f>IF(WWWW[[#This Row],['# Functional hand washing stations during reporting period]]*20&gt;WWWW[[#This Row],[Total HH]],WWWW[[#This Row],[Total HH]],WWWW[[#This Row],['# Functional hand washing stations during reporting period]]*20)</f>
        <v>0</v>
      </c>
      <c r="DG639" s="708">
        <f>IF(WWWW[[#This Row],[Is sufficient soap available for TLS? (Yes/No)]]="yes",WWWW[[#This Row],['#_Constructed/Existing hand washing stations at TLS]],0)</f>
        <v>0</v>
      </c>
      <c r="DH639" s="759">
        <f>IF(WWWW[[#This Row],['# Functional hand washing stations during reporting period]]*100&gt;WWWW[[#This Row],[Total PoP ]],WWWW[[#This Row],[Total PoP ]],WWWW[[#This Row],['# Functional hand washing stations during reporting period]]*100)</f>
        <v>0</v>
      </c>
      <c r="DI639" s="759" t="str">
        <f>IF(OR(WWWW[[#This Row],['#_students at TLS_CFS]]="",WWWW[[#This Row],['#_students at TLS_CFS]]=0),"No","Yes")</f>
        <v>No</v>
      </c>
      <c r="DJ639" s="711" t="str">
        <f>VLOOKUP(WWWW[[#This Row],[Site Name]],SiteDB6[[Site Name]:[CCCM Management]],6,FALSE)</f>
        <v>Yes</v>
      </c>
      <c r="DK639" s="711" t="str">
        <f>VLOOKUP(WWWW[[#This Row],[Site Name]],SiteDB6[[Site Name]:[CCCM Focal Agency]],7,FALSE)</f>
        <v>KMSS-MYT</v>
      </c>
      <c r="DL639" s="711" t="str">
        <f>VLOOKUP(WWWW[[#This Row],[Site Name]],SiteDB6[[Site Name]:[Location Type 1]],9,FALSE)</f>
        <v>Camp</v>
      </c>
      <c r="DM639" s="711" t="str">
        <f>VLOOKUP(WWWW[[#This Row],[Site Name]],SiteDB6[[Site Name]:[Type of Accommodation]],10,FALSE)</f>
        <v>Camp</v>
      </c>
      <c r="DN639" s="711" t="str">
        <f>VLOOKUP(WWWW[[#This Row],[Site Name]],SiteDB6[[Site Name]:[Ethnic or GCA/NGCA]],11,FALSE)</f>
        <v>GCA</v>
      </c>
      <c r="DO639" s="711">
        <f>VLOOKUP(WWWW[[#This Row],[Site Name]],SiteDB6[[Site Name]:[Lat]],12,FALSE)</f>
        <v>25.493819999999999</v>
      </c>
      <c r="DP639" s="711">
        <f>VLOOKUP(WWWW[[#This Row],[Site Name]],SiteDB6[[Site Name]:[Long]],13,FALSE)</f>
        <v>97.4345</v>
      </c>
      <c r="DQ639" s="711" t="str">
        <f>VLOOKUP(WWWW[[#This Row],[Site Name]],SiteDB6[[Site Name]:[Pcode]],3,FALSE)</f>
        <v>MMR001CMP162</v>
      </c>
      <c r="DR639" s="709" t="str">
        <f t="shared" si="23"/>
        <v>Covered</v>
      </c>
      <c r="DS639" s="709"/>
    </row>
    <row r="640" spans="1:123">
      <c r="A640" s="701" t="s">
        <v>2519</v>
      </c>
      <c r="B640" s="701" t="s">
        <v>149</v>
      </c>
      <c r="C640" s="702" t="s">
        <v>149</v>
      </c>
      <c r="D640" s="702" t="s">
        <v>3268</v>
      </c>
      <c r="E640" s="702" t="s">
        <v>39</v>
      </c>
      <c r="F640" s="702" t="s">
        <v>150</v>
      </c>
      <c r="G640" s="711" t="str">
        <f>VLOOKUP(WWWW[[#This Row],[Site Name]],SiteDB6[[Site Name]:[Location Type]],8,FALSE)</f>
        <v>Camp</v>
      </c>
      <c r="H640" s="702" t="s">
        <v>187</v>
      </c>
      <c r="I640" s="705">
        <v>43</v>
      </c>
      <c r="J640" s="705">
        <v>191</v>
      </c>
      <c r="K640" s="593" t="s">
        <v>3276</v>
      </c>
      <c r="L640" s="58" t="s">
        <v>3277</v>
      </c>
      <c r="M640" s="705"/>
      <c r="N640" s="705"/>
      <c r="O640" s="705"/>
      <c r="P640" s="705"/>
      <c r="Q640" s="708" t="s">
        <v>43</v>
      </c>
      <c r="R640" s="705"/>
      <c r="S640" s="705"/>
      <c r="T640" s="807">
        <v>1</v>
      </c>
      <c r="U640" s="705"/>
      <c r="V640" s="705"/>
      <c r="W640" s="705">
        <v>0</v>
      </c>
      <c r="X640" s="705"/>
      <c r="Y640" s="705"/>
      <c r="Z640" s="705"/>
      <c r="AA640" s="705"/>
      <c r="AB640" s="705"/>
      <c r="AC640" s="705"/>
      <c r="AD640" s="705"/>
      <c r="AE640" s="705"/>
      <c r="AF640" s="705"/>
      <c r="AG640" s="705"/>
      <c r="AH640" s="705">
        <v>2</v>
      </c>
      <c r="AI640" s="705"/>
      <c r="AJ640" s="705"/>
      <c r="AK640" s="705"/>
      <c r="AL640" s="705"/>
      <c r="AM640" s="705"/>
      <c r="AN640" s="705"/>
      <c r="AO640" s="709"/>
      <c r="AP640" s="705">
        <v>10</v>
      </c>
      <c r="AQ640" s="705"/>
      <c r="AR640" s="710"/>
      <c r="AS640" s="705"/>
      <c r="AT640" s="705"/>
      <c r="AU640" s="705">
        <v>3</v>
      </c>
      <c r="AV640" s="705"/>
      <c r="AW640" s="705">
        <v>10</v>
      </c>
      <c r="AX640" s="711" t="s">
        <v>43</v>
      </c>
      <c r="AY640" s="709" t="s">
        <v>145</v>
      </c>
      <c r="AZ640" s="705"/>
      <c r="BA640" s="705"/>
      <c r="BB640" s="705"/>
      <c r="BC640" s="711"/>
      <c r="BD640" s="705"/>
      <c r="BE640" s="705"/>
      <c r="BF640" s="705"/>
      <c r="BG640" s="705">
        <v>2</v>
      </c>
      <c r="BH640" s="705"/>
      <c r="BI640" s="705"/>
      <c r="BJ640" s="705">
        <v>1</v>
      </c>
      <c r="BK640" s="705"/>
      <c r="BL640" s="705"/>
      <c r="BM640" s="711"/>
      <c r="BN640" s="712"/>
      <c r="BO640" s="710"/>
      <c r="BP640" s="711"/>
      <c r="BQ640" s="713" t="str">
        <f>IFERROR(WWWW[[#This Row],['#_Water sources treated]]/WWWW[[#This Row],['#_Water sources tested for contamination]],"no test")</f>
        <v>no test</v>
      </c>
      <c r="BR640" s="710" t="str">
        <f>IFERROR(WWWW[[#This Row],['#_Household received remediation action due to contamination]]/WWWW[[#This Row],['#_Household water samples tested for contamination]],"no test")</f>
        <v>no test</v>
      </c>
      <c r="BS640" s="712" t="str">
        <f>IF(AND(WWWW[[#This Row],[% of water sources treated]]="no test",WWWW[[#This Row],[% Household received corrective actions]]="no test"),"No Test","Tested")</f>
        <v>No Test</v>
      </c>
      <c r="BT640" s="712">
        <f>WWWW[[#This Row],['#_Constructed/existing protected hand dug well]]-WWWW[[#This Row],['#_Non-functional protected hand dug well]]</f>
        <v>1</v>
      </c>
      <c r="BU640" s="712">
        <f>(WWWW[[#This Row],['#_Constructed/Existing tube wells/boreholes/handpumps_WASH_agency]]+WWWW[[#This Row],['#_Non-Cluster partner water tube-wells/boreholes/handpumps]])-WWWW[[#This Row],['#_Non-functional tube wells/boreholes/handpumps]]</f>
        <v>0</v>
      </c>
      <c r="BV640" s="712">
        <f>WWWW[[#This Row],['#_Constructed/Existingwater storage tank with gravity fed reticulation system]]-WWWW[[#This Row],['#_Non-functional storage tank gravity fed reticulation system]]</f>
        <v>0</v>
      </c>
      <c r="BW640" s="712">
        <f>WWWW[[#This Row],['#_Water boating or water trucking]]</f>
        <v>0</v>
      </c>
      <c r="BX640" s="712">
        <f>WWWW[[#This Row],['#_Constructed/Existing water distribution system from river or natural spring]]</f>
        <v>0</v>
      </c>
      <c r="BY64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40" s="710">
        <f>IF(WWWW[[#This Row],[Location Type 1]]="Village",WWWW[[#This Row],[Access to safe drinking water for Village]],WWWW[[#This Row],[Access to safe drinking water for Camp]])</f>
        <v>1</v>
      </c>
      <c r="CB640" s="708">
        <f>WWWW[[#This Row],[%Equitable and continuous access to sufficient quantity of safe drinking water]]*WWWW[[#This Row],[Total PoP ]]</f>
        <v>191</v>
      </c>
      <c r="CC640" s="710">
        <f>IF((WWWW[[#This Row],['#_Constructed/Existing protected/fenced ponds]]*250)/WWWW[[#This Row],[Total PoP ]]&gt;1,1,(WWWW[[#This Row],['#_Constructed/Existing protected/fenced ponds]]*250)/WWWW[[#This Row],[Total PoP ]])</f>
        <v>0</v>
      </c>
      <c r="CD640" s="708">
        <f>WWWW[[#This Row],[% Access to unimproved water points]]*WWWW[[#This Row],[Total PoP ]]</f>
        <v>0</v>
      </c>
      <c r="CE64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G640" s="708">
        <f>WWWW[[#This Row],[HRP1]]/500</f>
        <v>0.38200000000000001</v>
      </c>
      <c r="CH640" s="714">
        <f>1-WWWW[[#This Row],[% Equitable and continuous access to sufficient quantity of domestic water]]</f>
        <v>0</v>
      </c>
      <c r="CI640" s="708">
        <f>WWWW[[#This Row],[%equitable and continuous access to sufficient quantity of safe drinking and domestic water''s GAP]]*WWWW[[#This Row],[Total PoP ]]</f>
        <v>0</v>
      </c>
      <c r="CJ640" s="712">
        <f>IF(WWWW[[#This Row],[Total required water points]]-WWWW[[#This Row],['#Water points coverage]]&lt;0,0,WWWW[[#This Row],[Total required water points]]-WWWW[[#This Row],['#Water points coverage]])</f>
        <v>0.61799999999999999</v>
      </c>
      <c r="CK640" s="712">
        <f>ROUND(IF(WWWW[[#This Row],[Total PoP ]]&lt;500,1,WWWW[[#This Row],[Total PoP ]]/500),0)</f>
        <v>1</v>
      </c>
      <c r="CL640" s="712">
        <f>(WWWW[[#This Row],['#_Constructed latrines_by_WASHAgencies]]+WWWW[[#This Row],['#_Non Cluster partner latrines]])-WWWW[[#This Row],['#_Non-functional latrines]]</f>
        <v>10</v>
      </c>
      <c r="CM64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4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191</v>
      </c>
      <c r="CO64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CP640" s="712">
        <f>IF(WWWW[[#This Row],[Location Type 1]]="Village","NA",IF(WWWW[[#This Row],['#_Constructed/Existing latrines in TLS]]*50&gt;WWWW[[#This Row],['#_students at TLS_CFS]],WWWW[[#This Row],['#_students at TLS_CFS]],(WWWW[[#This Row],['#_Constructed/Existing latrines in TLS]]*50)))</f>
        <v>0</v>
      </c>
      <c r="CQ640" s="712">
        <f>ROUND(IF(WWWW[[#This Row],[Location Type 1]]="camp",WWWW[[#This Row],[Total PoP ]]/20,IF(WWWW[[#This Row],[Location Type 1]]="Temporary Location",WWWW[[#This Row],[Total PoP ]]/50,(WWWW[[#This Row],[Total PoP ]]/6))),0)</f>
        <v>10</v>
      </c>
      <c r="CR640" s="712">
        <f>IF(WWWW[[#This Row],[Total required Latrines]]-(WWWW[[#This Row],['#_Constructed latrines_by_WASHAgencies]]+WWWW[[#This Row],['#_Non Cluster partner latrines]])&lt;0,0,WWWW[[#This Row],[Total required Latrines]]-(WWWW[[#This Row],['#_Constructed latrines_by_WASHAgencies]]+WWWW[[#This Row],['#_Non Cluster partner latrines]]))</f>
        <v>0</v>
      </c>
      <c r="CS640" s="714">
        <f>1-WWWW[[#This Row],[% people access to functioning Latrine]]</f>
        <v>0</v>
      </c>
      <c r="CT640" s="713">
        <f>IF(OR(WWWW[[#This Row],['#_Non-functional latrines]]="",WWWW[[#This Row],['#_Non-functional latrines]]=0),0,WWWW[[#This Row],['#_Non-functional latrines]]/(WWWW[[#This Row],['#_Constructed latrines_by_WASHAgencies]]+WWWW[[#This Row],['#_Non Cluster partner latrines]]))</f>
        <v>0</v>
      </c>
      <c r="CU640" s="708">
        <f>IF(500*(WWWW[[#This Row],['#_male hygiene promoters]]+WWWW[[#This Row],['#_female hygiene promoters]])&gt;WWWW[[#This Row],[Total PoP ]],WWWW[[#This Row],[Total PoP ]],500*(WWWW[[#This Row],['#_male hygiene promoters]]+WWWW[[#This Row],['#_female hygiene promoters]]))</f>
        <v>191</v>
      </c>
      <c r="CV64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0" s="712">
        <f>IF(WWWW[[#This Row],['# People with access to soap]]&gt;WWWW[[#This Row],['# People with access to Sanity Pads]],WWWW[[#This Row],['# People with access to soap]],WWWW[[#This Row],['# People with access to Sanity Pads]])</f>
        <v>0</v>
      </c>
      <c r="CY640" s="712">
        <f>IF(WWWW[[#This Row],['# people reached by regular dedicated hygiene promotion_5]]&gt;WWWW[[#This Row],['# People received regular supply of hygiene items_6]],WWWW[[#This Row],['# people reached by regular dedicated hygiene promotion_5]],WWWW[[#This Row],['# People received regular supply of hygiene items_6]])</f>
        <v>191</v>
      </c>
      <c r="CZ640" s="714">
        <f>IF(WWWW[[#This Row],[HRP3]]/WWWW[[#This Row],[Total PoP ]]&gt;100%,100%,WWWW[[#This Row],[HRP3]]/WWWW[[#This Row],[Total PoP ]])</f>
        <v>1</v>
      </c>
      <c r="DA640" s="713">
        <f>1-WWWW[[#This Row],[Hygiene Coverage%]]</f>
        <v>0</v>
      </c>
      <c r="DB640" s="710">
        <f>WWWW[[#This Row],['# people reached by regular dedicated hygiene promotion_5]]/WWWW[[#This Row],[Total PoP ]]</f>
        <v>1</v>
      </c>
      <c r="DC640" s="710">
        <f>IF(WWWW[[#This Row],['#_households that received standard amount of soap for this quarter]]/WWWW[[#This Row],[Total HH]]&gt;1,1,WWWW[[#This Row],['#_households that received standard amount of soap for this quarter]]/WWWW[[#This Row],[Total HH]])</f>
        <v>0</v>
      </c>
      <c r="DD640" s="710">
        <f>IF(WWWW[[#This Row],['#_households that received standard amount of sanitary pads for this quarter]]/WWWW[[#This Row],[Total HH]]&gt;1,1,WWWW[[#This Row],['#_households that received standard amount of sanitary pads for this quarter]]/WWWW[[#This Row],[Total HH]])</f>
        <v>0</v>
      </c>
      <c r="DE640" s="712">
        <f>WWWW[[#This Row],['#_Constructed/Existing hand washing stations]]-WWWW[[#This Row],['#_Non-Functional_hand_washing_stations]]</f>
        <v>0</v>
      </c>
      <c r="DF640" s="757">
        <f>IF(WWWW[[#This Row],['# Functional hand washing stations during reporting period]]*20&gt;WWWW[[#This Row],[Total HH]],WWWW[[#This Row],[Total HH]],WWWW[[#This Row],['# Functional hand washing stations during reporting period]]*20)</f>
        <v>0</v>
      </c>
      <c r="DG640" s="708">
        <f>IF(WWWW[[#This Row],[Is sufficient soap available for TLS? (Yes/No)]]="yes",WWWW[[#This Row],['#_Constructed/Existing hand washing stations at TLS]],0)</f>
        <v>0</v>
      </c>
      <c r="DH640" s="759">
        <f>IF(WWWW[[#This Row],['# Functional hand washing stations during reporting period]]*100&gt;WWWW[[#This Row],[Total PoP ]],WWWW[[#This Row],[Total PoP ]],WWWW[[#This Row],['# Functional hand washing stations during reporting period]]*100)</f>
        <v>0</v>
      </c>
      <c r="DI640" s="759" t="str">
        <f>IF(OR(WWWW[[#This Row],['#_students at TLS_CFS]]="",WWWW[[#This Row],['#_students at TLS_CFS]]=0),"No","Yes")</f>
        <v>No</v>
      </c>
      <c r="DJ640" s="711" t="str">
        <f>VLOOKUP(WWWW[[#This Row],[Site Name]],SiteDB6[[Site Name]:[CCCM Management]],6,FALSE)</f>
        <v>Yes</v>
      </c>
      <c r="DK640" s="711" t="str">
        <f>VLOOKUP(WWWW[[#This Row],[Site Name]],SiteDB6[[Site Name]:[CCCM Focal Agency]],7,FALSE)</f>
        <v>KBC-MYT</v>
      </c>
      <c r="DL640" s="711" t="str">
        <f>VLOOKUP(WWWW[[#This Row],[Site Name]],SiteDB6[[Site Name]:[Location Type 1]],9,FALSE)</f>
        <v>Camp</v>
      </c>
      <c r="DM640" s="711" t="str">
        <f>VLOOKUP(WWWW[[#This Row],[Site Name]],SiteDB6[[Site Name]:[Type of Accommodation]],10,FALSE)</f>
        <v>Camp</v>
      </c>
      <c r="DN640" s="711" t="str">
        <f>VLOOKUP(WWWW[[#This Row],[Site Name]],SiteDB6[[Site Name]:[Ethnic or GCA/NGCA]],11,FALSE)</f>
        <v>GCA</v>
      </c>
      <c r="DO640" s="711">
        <f>VLOOKUP(WWWW[[#This Row],[Site Name]],SiteDB6[[Site Name]:[Lat]],12,FALSE)</f>
        <v>25.409612685185198</v>
      </c>
      <c r="DP640" s="711">
        <f>VLOOKUP(WWWW[[#This Row],[Site Name]],SiteDB6[[Site Name]:[Long]],13,FALSE)</f>
        <v>97.426536944444507</v>
      </c>
      <c r="DQ640" s="711" t="str">
        <f>VLOOKUP(WWWW[[#This Row],[Site Name]],SiteDB6[[Site Name]:[Pcode]],3,FALSE)</f>
        <v>MMR001CMP039</v>
      </c>
      <c r="DR640" s="709" t="str">
        <f t="shared" si="23"/>
        <v>Covered</v>
      </c>
      <c r="DS640" s="709"/>
    </row>
    <row r="641" spans="1:123">
      <c r="A641" s="701" t="s">
        <v>2519</v>
      </c>
      <c r="B641" s="701" t="s">
        <v>317</v>
      </c>
      <c r="C641" s="702" t="s">
        <v>317</v>
      </c>
      <c r="D641" s="702"/>
      <c r="E641" s="702" t="s">
        <v>39</v>
      </c>
      <c r="F641" s="702" t="s">
        <v>167</v>
      </c>
      <c r="G641" s="711" t="str">
        <f>VLOOKUP(WWWW[[#This Row],[Site Name]],SiteDB6[[Site Name]:[Location Type]],8,FALSE)</f>
        <v>Camp</v>
      </c>
      <c r="H641" s="702" t="s">
        <v>785</v>
      </c>
      <c r="I641" s="705">
        <v>375</v>
      </c>
      <c r="J641" s="705">
        <v>1691</v>
      </c>
      <c r="K641" s="706"/>
      <c r="L641" s="707"/>
      <c r="M641" s="705"/>
      <c r="N641" s="705"/>
      <c r="O641" s="705"/>
      <c r="P641" s="705"/>
      <c r="Q641" s="708"/>
      <c r="R641" s="705"/>
      <c r="S641" s="705"/>
      <c r="T641" s="807"/>
      <c r="U641" s="705"/>
      <c r="V641" s="705"/>
      <c r="W641" s="705"/>
      <c r="X641" s="705"/>
      <c r="Y641" s="705"/>
      <c r="Z641" s="705"/>
      <c r="AA641" s="705"/>
      <c r="AB641" s="705"/>
      <c r="AC641" s="705"/>
      <c r="AD641" s="705"/>
      <c r="AE641" s="705"/>
      <c r="AF641" s="705"/>
      <c r="AG641" s="705"/>
      <c r="AH641" s="705"/>
      <c r="AI641" s="705"/>
      <c r="AJ641" s="705"/>
      <c r="AK641" s="705"/>
      <c r="AL641" s="705"/>
      <c r="AM641" s="705"/>
      <c r="AN641" s="705"/>
      <c r="AO641" s="709"/>
      <c r="AP641" s="705"/>
      <c r="AQ641" s="705"/>
      <c r="AR641" s="710"/>
      <c r="AS641" s="705"/>
      <c r="AT641" s="705"/>
      <c r="AU641" s="705"/>
      <c r="AV641" s="705"/>
      <c r="AW641" s="705"/>
      <c r="AX641" s="711"/>
      <c r="AY641" s="709"/>
      <c r="AZ641" s="705"/>
      <c r="BA641" s="705"/>
      <c r="BB641" s="705"/>
      <c r="BC641" s="711"/>
      <c r="BD641" s="705"/>
      <c r="BE641" s="705"/>
      <c r="BF641" s="705"/>
      <c r="BG641" s="705"/>
      <c r="BH641" s="705"/>
      <c r="BI641" s="705"/>
      <c r="BJ641" s="705"/>
      <c r="BK641" s="705"/>
      <c r="BL641" s="705"/>
      <c r="BM641" s="711"/>
      <c r="BN641" s="712"/>
      <c r="BO641" s="710"/>
      <c r="BP641" s="711"/>
      <c r="BQ641" s="713" t="str">
        <f>IFERROR(WWWW[[#This Row],['#_Water sources treated]]/WWWW[[#This Row],['#_Water sources tested for contamination]],"no test")</f>
        <v>no test</v>
      </c>
      <c r="BR641" s="710" t="str">
        <f>IFERROR(WWWW[[#This Row],['#_Household received remediation action due to contamination]]/WWWW[[#This Row],['#_Household water samples tested for contamination]],"no test")</f>
        <v>no test</v>
      </c>
      <c r="BS641" s="712" t="str">
        <f>IF(AND(WWWW[[#This Row],[% of water sources treated]]="no test",WWWW[[#This Row],[% Household received corrective actions]]="no test"),"No Test","Tested")</f>
        <v>No Test</v>
      </c>
      <c r="BT641" s="712">
        <f>WWWW[[#This Row],['#_Constructed/existing protected hand dug well]]-WWWW[[#This Row],['#_Non-functional protected hand dug well]]</f>
        <v>0</v>
      </c>
      <c r="BU641" s="712">
        <f>(WWWW[[#This Row],['#_Constructed/Existing tube wells/boreholes/handpumps_WASH_agency]]+WWWW[[#This Row],['#_Non-Cluster partner water tube-wells/boreholes/handpumps]])-WWWW[[#This Row],['#_Non-functional tube wells/boreholes/handpumps]]</f>
        <v>0</v>
      </c>
      <c r="BV641" s="712">
        <f>WWWW[[#This Row],['#_Constructed/Existingwater storage tank with gravity fed reticulation system]]-WWWW[[#This Row],['#_Non-functional storage tank gravity fed reticulation system]]</f>
        <v>0</v>
      </c>
      <c r="BW641" s="712">
        <f>WWWW[[#This Row],['#_Water boating or water trucking]]</f>
        <v>0</v>
      </c>
      <c r="BX641" s="712">
        <f>WWWW[[#This Row],['#_Constructed/Existing water distribution system from river or natural spring]]</f>
        <v>0</v>
      </c>
      <c r="BY64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4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41" s="710">
        <f>IF(WWWW[[#This Row],[Location Type 1]]="Village",WWWW[[#This Row],[Access to safe drinking water for Village]],WWWW[[#This Row],[Access to safe drinking water for Camp]])</f>
        <v>0</v>
      </c>
      <c r="CB641" s="708">
        <f>WWWW[[#This Row],[%Equitable and continuous access to sufficient quantity of safe drinking water]]*WWWW[[#This Row],[Total PoP ]]</f>
        <v>0</v>
      </c>
      <c r="CC641" s="710">
        <f>IF((WWWW[[#This Row],['#_Constructed/Existing protected/fenced ponds]]*250)/WWWW[[#This Row],[Total PoP ]]&gt;1,1,(WWWW[[#This Row],['#_Constructed/Existing protected/fenced ponds]]*250)/WWWW[[#This Row],[Total PoP ]])</f>
        <v>0</v>
      </c>
      <c r="CD641" s="708">
        <f>WWWW[[#This Row],[% Access to unimproved water points]]*WWWW[[#This Row],[Total PoP ]]</f>
        <v>0</v>
      </c>
      <c r="CE64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4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41" s="708">
        <f>WWWW[[#This Row],[HRP1]]/500</f>
        <v>0</v>
      </c>
      <c r="CH641" s="714">
        <f>1-WWWW[[#This Row],[% Equitable and continuous access to sufficient quantity of domestic water]]</f>
        <v>1</v>
      </c>
      <c r="CI641" s="708">
        <f>WWWW[[#This Row],[%equitable and continuous access to sufficient quantity of safe drinking and domestic water''s GAP]]*WWWW[[#This Row],[Total PoP ]]</f>
        <v>1691</v>
      </c>
      <c r="CJ641" s="712">
        <f>IF(WWWW[[#This Row],[Total required water points]]-WWWW[[#This Row],['#Water points coverage]]&lt;0,0,WWWW[[#This Row],[Total required water points]]-WWWW[[#This Row],['#Water points coverage]])</f>
        <v>3</v>
      </c>
      <c r="CK641" s="712">
        <f>ROUND(IF(WWWW[[#This Row],[Total PoP ]]&lt;500,1,WWWW[[#This Row],[Total PoP ]]/500),0)</f>
        <v>3</v>
      </c>
      <c r="CL641" s="712">
        <f>(WWWW[[#This Row],['#_Constructed latrines_by_WASHAgencies]]+WWWW[[#This Row],['#_Non Cluster partner latrines]])-WWWW[[#This Row],['#_Non-functional latrines]]</f>
        <v>0</v>
      </c>
      <c r="CM64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4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4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1" s="712">
        <f>IF(WWWW[[#This Row],[Location Type 1]]="Village","NA",IF(WWWW[[#This Row],['#_Constructed/Existing latrines in TLS]]*50&gt;WWWW[[#This Row],['#_students at TLS_CFS]],WWWW[[#This Row],['#_students at TLS_CFS]],(WWWW[[#This Row],['#_Constructed/Existing latrines in TLS]]*50)))</f>
        <v>0</v>
      </c>
      <c r="CQ641" s="712">
        <f>ROUND(IF(WWWW[[#This Row],[Location Type 1]]="camp",WWWW[[#This Row],[Total PoP ]]/20,IF(WWWW[[#This Row],[Location Type 1]]="Temporary Location",WWWW[[#This Row],[Total PoP ]]/50,(WWWW[[#This Row],[Total PoP ]]/6))),0)</f>
        <v>85</v>
      </c>
      <c r="CR641" s="712">
        <f>IF(WWWW[[#This Row],[Total required Latrines]]-(WWWW[[#This Row],['#_Constructed latrines_by_WASHAgencies]]+WWWW[[#This Row],['#_Non Cluster partner latrines]])&lt;0,0,WWWW[[#This Row],[Total required Latrines]]-(WWWW[[#This Row],['#_Constructed latrines_by_WASHAgencies]]+WWWW[[#This Row],['#_Non Cluster partner latrines]]))</f>
        <v>85</v>
      </c>
      <c r="CS641" s="714">
        <f>1-WWWW[[#This Row],[% people access to functioning Latrine]]</f>
        <v>1</v>
      </c>
      <c r="CT641" s="713">
        <f>IF(OR(WWWW[[#This Row],['#_Non-functional latrines]]="",WWWW[[#This Row],['#_Non-functional latrines]]=0),0,WWWW[[#This Row],['#_Non-functional latrines]]/(WWWW[[#This Row],['#_Constructed latrines_by_WASHAgencies]]+WWWW[[#This Row],['#_Non Cluster partner latrines]]))</f>
        <v>0</v>
      </c>
      <c r="CU641" s="708">
        <f>IF(500*(WWWW[[#This Row],['#_male hygiene promoters]]+WWWW[[#This Row],['#_female hygiene promoters]])&gt;WWWW[[#This Row],[Total PoP ]],WWWW[[#This Row],[Total PoP ]],500*(WWWW[[#This Row],['#_male hygiene promoters]]+WWWW[[#This Row],['#_female hygiene promoters]]))</f>
        <v>0</v>
      </c>
      <c r="CV64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1" s="712">
        <f>IF(WWWW[[#This Row],['# People with access to soap]]&gt;WWWW[[#This Row],['# People with access to Sanity Pads]],WWWW[[#This Row],['# People with access to soap]],WWWW[[#This Row],['# People with access to Sanity Pads]])</f>
        <v>0</v>
      </c>
      <c r="CY64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41" s="714">
        <f>IF(WWWW[[#This Row],[HRP3]]/WWWW[[#This Row],[Total PoP ]]&gt;100%,100%,WWWW[[#This Row],[HRP3]]/WWWW[[#This Row],[Total PoP ]])</f>
        <v>0</v>
      </c>
      <c r="DA641" s="713">
        <f>1-WWWW[[#This Row],[Hygiene Coverage%]]</f>
        <v>1</v>
      </c>
      <c r="DB641" s="710">
        <f>WWWW[[#This Row],['# people reached by regular dedicated hygiene promotion_5]]/WWWW[[#This Row],[Total PoP ]]</f>
        <v>0</v>
      </c>
      <c r="DC641" s="710">
        <f>IF(WWWW[[#This Row],['#_households that received standard amount of soap for this quarter]]/WWWW[[#This Row],[Total HH]]&gt;1,1,WWWW[[#This Row],['#_households that received standard amount of soap for this quarter]]/WWWW[[#This Row],[Total HH]])</f>
        <v>0</v>
      </c>
      <c r="DD641" s="710">
        <f>IF(WWWW[[#This Row],['#_households that received standard amount of sanitary pads for this quarter]]/WWWW[[#This Row],[Total HH]]&gt;1,1,WWWW[[#This Row],['#_households that received standard amount of sanitary pads for this quarter]]/WWWW[[#This Row],[Total HH]])</f>
        <v>0</v>
      </c>
      <c r="DE641" s="712">
        <f>WWWW[[#This Row],['#_Constructed/Existing hand washing stations]]-WWWW[[#This Row],['#_Non-Functional_hand_washing_stations]]</f>
        <v>0</v>
      </c>
      <c r="DF641" s="757">
        <f>IF(WWWW[[#This Row],['# Functional hand washing stations during reporting period]]*20&gt;WWWW[[#This Row],[Total HH]],WWWW[[#This Row],[Total HH]],WWWW[[#This Row],['# Functional hand washing stations during reporting period]]*20)</f>
        <v>0</v>
      </c>
      <c r="DG641" s="708">
        <f>IF(WWWW[[#This Row],[Is sufficient soap available for TLS? (Yes/No)]]="yes",WWWW[[#This Row],['#_Constructed/Existing hand washing stations at TLS]],0)</f>
        <v>0</v>
      </c>
      <c r="DH641" s="759">
        <f>IF(WWWW[[#This Row],['# Functional hand washing stations during reporting period]]*100&gt;WWWW[[#This Row],[Total PoP ]],WWWW[[#This Row],[Total PoP ]],WWWW[[#This Row],['# Functional hand washing stations during reporting period]]*100)</f>
        <v>0</v>
      </c>
      <c r="DI641" s="759" t="str">
        <f>IF(OR(WWWW[[#This Row],['#_students at TLS_CFS]]="",WWWW[[#This Row],['#_students at TLS_CFS]]=0),"No","Yes")</f>
        <v>No</v>
      </c>
      <c r="DJ641" s="711">
        <f>VLOOKUP(WWWW[[#This Row],[Site Name]],SiteDB6[[Site Name]:[CCCM Management]],6,FALSE)</f>
        <v>0</v>
      </c>
      <c r="DK641" s="711" t="str">
        <f>VLOOKUP(WWWW[[#This Row],[Site Name]],SiteDB6[[Site Name]:[CCCM Focal Agency]],7,FALSE)</f>
        <v>uncovered</v>
      </c>
      <c r="DL641" s="711" t="str">
        <f>VLOOKUP(WWWW[[#This Row],[Site Name]],SiteDB6[[Site Name]:[Location Type 1]],9,FALSE)</f>
        <v>Camp</v>
      </c>
      <c r="DM641" s="711" t="str">
        <f>VLOOKUP(WWWW[[#This Row],[Site Name]],SiteDB6[[Site Name]:[Type of Accommodation]],10,FALSE)</f>
        <v>Closed Camp</v>
      </c>
      <c r="DN641" s="711" t="str">
        <f>VLOOKUP(WWWW[[#This Row],[Site Name]],SiteDB6[[Site Name]:[Ethnic or GCA/NGCA]],11,FALSE)</f>
        <v>GCA</v>
      </c>
      <c r="DO641" s="711">
        <f>VLOOKUP(WWWW[[#This Row],[Site Name]],SiteDB6[[Site Name]:[Lat]],12,FALSE)</f>
        <v>0</v>
      </c>
      <c r="DP641" s="711">
        <f>VLOOKUP(WWWW[[#This Row],[Site Name]],SiteDB6[[Site Name]:[Long]],13,FALSE)</f>
        <v>0</v>
      </c>
      <c r="DQ641" s="711" t="str">
        <f>VLOOKUP(WWWW[[#This Row],[Site Name]],SiteDB6[[Site Name]:[Pcode]],3,FALSE)</f>
        <v>MMR001CMP147</v>
      </c>
      <c r="DR641" s="709" t="str">
        <f t="shared" si="23"/>
        <v>Notcovered</v>
      </c>
      <c r="DS641" s="709"/>
    </row>
    <row r="642" spans="1:123">
      <c r="A642" s="701" t="s">
        <v>2519</v>
      </c>
      <c r="B642" s="701" t="s">
        <v>149</v>
      </c>
      <c r="C642" s="702" t="s">
        <v>149</v>
      </c>
      <c r="D642" s="702" t="s">
        <v>2372</v>
      </c>
      <c r="E642" s="702" t="s">
        <v>39</v>
      </c>
      <c r="F642" s="702" t="s">
        <v>40</v>
      </c>
      <c r="G642" s="711" t="str">
        <f>VLOOKUP(WWWW[[#This Row],[Site Name]],SiteDB6[[Site Name]:[Location Type]],8,FALSE)</f>
        <v>Camp</v>
      </c>
      <c r="H642" s="702" t="s">
        <v>191</v>
      </c>
      <c r="I642" s="705">
        <v>432</v>
      </c>
      <c r="J642" s="705">
        <v>1855</v>
      </c>
      <c r="K642" s="706"/>
      <c r="L642" s="707">
        <v>43555</v>
      </c>
      <c r="M642" s="705"/>
      <c r="N642" s="705"/>
      <c r="O642" s="705"/>
      <c r="P642" s="705"/>
      <c r="Q642" s="708" t="s">
        <v>43</v>
      </c>
      <c r="R642" s="705"/>
      <c r="S642" s="705"/>
      <c r="T642" s="807">
        <v>0</v>
      </c>
      <c r="U642" s="705"/>
      <c r="V642" s="705"/>
      <c r="W642" s="705">
        <v>4</v>
      </c>
      <c r="X642" s="705"/>
      <c r="Y642" s="705"/>
      <c r="Z642" s="705"/>
      <c r="AA642" s="705"/>
      <c r="AB642" s="705"/>
      <c r="AC642" s="705"/>
      <c r="AD642" s="705"/>
      <c r="AE642" s="705"/>
      <c r="AF642" s="705"/>
      <c r="AG642" s="705"/>
      <c r="AH642" s="705">
        <v>4</v>
      </c>
      <c r="AI642" s="705"/>
      <c r="AJ642" s="705"/>
      <c r="AK642" s="705"/>
      <c r="AL642" s="705"/>
      <c r="AM642" s="705"/>
      <c r="AN642" s="705"/>
      <c r="AO642" s="709"/>
      <c r="AP642" s="705">
        <v>110</v>
      </c>
      <c r="AQ642" s="705"/>
      <c r="AR642" s="710"/>
      <c r="AS642" s="705"/>
      <c r="AT642" s="705"/>
      <c r="AU642" s="705"/>
      <c r="AV642" s="705"/>
      <c r="AW642" s="705">
        <v>110</v>
      </c>
      <c r="AX642" s="711" t="s">
        <v>43</v>
      </c>
      <c r="AY642" s="709" t="s">
        <v>145</v>
      </c>
      <c r="AZ642" s="705"/>
      <c r="BA642" s="705"/>
      <c r="BB642" s="705"/>
      <c r="BC642" s="711"/>
      <c r="BD642" s="705"/>
      <c r="BE642" s="705"/>
      <c r="BF642" s="705"/>
      <c r="BG642" s="705">
        <v>10</v>
      </c>
      <c r="BH642" s="705"/>
      <c r="BI642" s="705"/>
      <c r="BJ642" s="705">
        <v>3</v>
      </c>
      <c r="BK642" s="705"/>
      <c r="BL642" s="705"/>
      <c r="BM642" s="711"/>
      <c r="BN642" s="712"/>
      <c r="BO642" s="710"/>
      <c r="BP642" s="711"/>
      <c r="BQ642" s="713" t="str">
        <f>IFERROR(WWWW[[#This Row],['#_Water sources treated]]/WWWW[[#This Row],['#_Water sources tested for contamination]],"no test")</f>
        <v>no test</v>
      </c>
      <c r="BR642" s="710" t="str">
        <f>IFERROR(WWWW[[#This Row],['#_Household received remediation action due to contamination]]/WWWW[[#This Row],['#_Household water samples tested for contamination]],"no test")</f>
        <v>no test</v>
      </c>
      <c r="BS642" s="712" t="str">
        <f>IF(AND(WWWW[[#This Row],[% of water sources treated]]="no test",WWWW[[#This Row],[% Household received corrective actions]]="no test"),"No Test","Tested")</f>
        <v>No Test</v>
      </c>
      <c r="BT642" s="712">
        <f>WWWW[[#This Row],['#_Constructed/existing protected hand dug well]]-WWWW[[#This Row],['#_Non-functional protected hand dug well]]</f>
        <v>0</v>
      </c>
      <c r="BU642" s="712">
        <f>(WWWW[[#This Row],['#_Constructed/Existing tube wells/boreholes/handpumps_WASH_agency]]+WWWW[[#This Row],['#_Non-Cluster partner water tube-wells/boreholes/handpumps]])-WWWW[[#This Row],['#_Non-functional tube wells/boreholes/handpumps]]</f>
        <v>4</v>
      </c>
      <c r="BV642" s="712">
        <f>WWWW[[#This Row],['#_Constructed/Existingwater storage tank with gravity fed reticulation system]]-WWWW[[#This Row],['#_Non-functional storage tank gravity fed reticulation system]]</f>
        <v>0</v>
      </c>
      <c r="BW642" s="712">
        <f>WWWW[[#This Row],['#_Water boating or water trucking]]</f>
        <v>0</v>
      </c>
      <c r="BX642" s="712">
        <f>WWWW[[#This Row],['#_Constructed/Existing water distribution system from river or natural spring]]</f>
        <v>0</v>
      </c>
      <c r="BY64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0.53908355795148244</v>
      </c>
      <c r="CA642" s="710">
        <f>IF(WWWW[[#This Row],[Location Type 1]]="Village",WWWW[[#This Row],[Access to safe drinking water for Village]],WWWW[[#This Row],[Access to safe drinking water for Camp]])</f>
        <v>1</v>
      </c>
      <c r="CB642" s="708">
        <f>WWWW[[#This Row],[%Equitable and continuous access to sufficient quantity of safe drinking water]]*WWWW[[#This Row],[Total PoP ]]</f>
        <v>1855</v>
      </c>
      <c r="CC642" s="710">
        <f>IF((WWWW[[#This Row],['#_Constructed/Existing protected/fenced ponds]]*250)/WWWW[[#This Row],[Total PoP ]]&gt;1,1,(WWWW[[#This Row],['#_Constructed/Existing protected/fenced ponds]]*250)/WWWW[[#This Row],[Total PoP ]])</f>
        <v>0</v>
      </c>
      <c r="CD642" s="708">
        <f>WWWW[[#This Row],[% Access to unimproved water points]]*WWWW[[#This Row],[Total PoP ]]</f>
        <v>0</v>
      </c>
      <c r="CE64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1855</v>
      </c>
      <c r="CG642" s="708">
        <f>WWWW[[#This Row],[HRP1]]/500</f>
        <v>3.71</v>
      </c>
      <c r="CH642" s="714">
        <f>1-WWWW[[#This Row],[% Equitable and continuous access to sufficient quantity of domestic water]]</f>
        <v>0</v>
      </c>
      <c r="CI642" s="708">
        <f>WWWW[[#This Row],[%equitable and continuous access to sufficient quantity of safe drinking and domestic water''s GAP]]*WWWW[[#This Row],[Total PoP ]]</f>
        <v>0</v>
      </c>
      <c r="CJ642" s="712">
        <f>IF(WWWW[[#This Row],[Total required water points]]-WWWW[[#This Row],['#Water points coverage]]&lt;0,0,WWWW[[#This Row],[Total required water points]]-WWWW[[#This Row],['#Water points coverage]])</f>
        <v>0.29000000000000004</v>
      </c>
      <c r="CK642" s="712">
        <f>ROUND(IF(WWWW[[#This Row],[Total PoP ]]&lt;500,1,WWWW[[#This Row],[Total PoP ]]/500),0)</f>
        <v>4</v>
      </c>
      <c r="CL642" s="712">
        <f>(WWWW[[#This Row],['#_Constructed latrines_by_WASHAgencies]]+WWWW[[#This Row],['#_Non Cluster partner latrines]])-WWWW[[#This Row],['#_Non-functional latrines]]</f>
        <v>110</v>
      </c>
      <c r="CM64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4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1855</v>
      </c>
      <c r="CO64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2" s="712">
        <f>IF(WWWW[[#This Row],[Location Type 1]]="Village","NA",IF(WWWW[[#This Row],['#_Constructed/Existing latrines in TLS]]*50&gt;WWWW[[#This Row],['#_students at TLS_CFS]],WWWW[[#This Row],['#_students at TLS_CFS]],(WWWW[[#This Row],['#_Constructed/Existing latrines in TLS]]*50)))</f>
        <v>0</v>
      </c>
      <c r="CQ642" s="712">
        <f>ROUND(IF(WWWW[[#This Row],[Location Type 1]]="camp",WWWW[[#This Row],[Total PoP ]]/20,IF(WWWW[[#This Row],[Location Type 1]]="Temporary Location",WWWW[[#This Row],[Total PoP ]]/50,(WWWW[[#This Row],[Total PoP ]]/6))),0)</f>
        <v>93</v>
      </c>
      <c r="CR642" s="712">
        <f>IF(WWWW[[#This Row],[Total required Latrines]]-(WWWW[[#This Row],['#_Constructed latrines_by_WASHAgencies]]+WWWW[[#This Row],['#_Non Cluster partner latrines]])&lt;0,0,WWWW[[#This Row],[Total required Latrines]]-(WWWW[[#This Row],['#_Constructed latrines_by_WASHAgencies]]+WWWW[[#This Row],['#_Non Cluster partner latrines]]))</f>
        <v>0</v>
      </c>
      <c r="CS642" s="714">
        <f>1-WWWW[[#This Row],[% people access to functioning Latrine]]</f>
        <v>0</v>
      </c>
      <c r="CT642" s="713">
        <f>IF(OR(WWWW[[#This Row],['#_Non-functional latrines]]="",WWWW[[#This Row],['#_Non-functional latrines]]=0),0,WWWW[[#This Row],['#_Non-functional latrines]]/(WWWW[[#This Row],['#_Constructed latrines_by_WASHAgencies]]+WWWW[[#This Row],['#_Non Cluster partner latrines]]))</f>
        <v>0</v>
      </c>
      <c r="CU642" s="708">
        <f>IF(500*(WWWW[[#This Row],['#_male hygiene promoters]]+WWWW[[#This Row],['#_female hygiene promoters]])&gt;WWWW[[#This Row],[Total PoP ]],WWWW[[#This Row],[Total PoP ]],500*(WWWW[[#This Row],['#_male hygiene promoters]]+WWWW[[#This Row],['#_female hygiene promoters]]))</f>
        <v>1500</v>
      </c>
      <c r="CV64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2" s="712">
        <f>IF(WWWW[[#This Row],['# People with access to soap]]&gt;WWWW[[#This Row],['# People with access to Sanity Pads]],WWWW[[#This Row],['# People with access to soap]],WWWW[[#This Row],['# People with access to Sanity Pads]])</f>
        <v>0</v>
      </c>
      <c r="CY642" s="712">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CZ642" s="714">
        <f>IF(WWWW[[#This Row],[HRP3]]/WWWW[[#This Row],[Total PoP ]]&gt;100%,100%,WWWW[[#This Row],[HRP3]]/WWWW[[#This Row],[Total PoP ]])</f>
        <v>0.80862533692722371</v>
      </c>
      <c r="DA642" s="713">
        <f>1-WWWW[[#This Row],[Hygiene Coverage%]]</f>
        <v>0.19137466307277629</v>
      </c>
      <c r="DB642" s="710">
        <f>WWWW[[#This Row],['# people reached by regular dedicated hygiene promotion_5]]/WWWW[[#This Row],[Total PoP ]]</f>
        <v>0.80862533692722371</v>
      </c>
      <c r="DC642" s="710">
        <f>IF(WWWW[[#This Row],['#_households that received standard amount of soap for this quarter]]/WWWW[[#This Row],[Total HH]]&gt;1,1,WWWW[[#This Row],['#_households that received standard amount of soap for this quarter]]/WWWW[[#This Row],[Total HH]])</f>
        <v>0</v>
      </c>
      <c r="DD642" s="710">
        <f>IF(WWWW[[#This Row],['#_households that received standard amount of sanitary pads for this quarter]]/WWWW[[#This Row],[Total HH]]&gt;1,1,WWWW[[#This Row],['#_households that received standard amount of sanitary pads for this quarter]]/WWWW[[#This Row],[Total HH]])</f>
        <v>0</v>
      </c>
      <c r="DE642" s="712">
        <f>WWWW[[#This Row],['#_Constructed/Existing hand washing stations]]-WWWW[[#This Row],['#_Non-Functional_hand_washing_stations]]</f>
        <v>0</v>
      </c>
      <c r="DF642" s="757">
        <f>IF(WWWW[[#This Row],['# Functional hand washing stations during reporting period]]*20&gt;WWWW[[#This Row],[Total HH]],WWWW[[#This Row],[Total HH]],WWWW[[#This Row],['# Functional hand washing stations during reporting period]]*20)</f>
        <v>0</v>
      </c>
      <c r="DG642" s="708">
        <f>IF(WWWW[[#This Row],[Is sufficient soap available for TLS? (Yes/No)]]="yes",WWWW[[#This Row],['#_Constructed/Existing hand washing stations at TLS]],0)</f>
        <v>0</v>
      </c>
      <c r="DH642" s="759">
        <f>IF(WWWW[[#This Row],['# Functional hand washing stations during reporting period]]*100&gt;WWWW[[#This Row],[Total PoP ]],WWWW[[#This Row],[Total PoP ]],WWWW[[#This Row],['# Functional hand washing stations during reporting period]]*100)</f>
        <v>0</v>
      </c>
      <c r="DI642" s="759" t="str">
        <f>IF(OR(WWWW[[#This Row],['#_students at TLS_CFS]]="",WWWW[[#This Row],['#_students at TLS_CFS]]=0),"No","Yes")</f>
        <v>No</v>
      </c>
      <c r="DJ642" s="711" t="str">
        <f>VLOOKUP(WWWW[[#This Row],[Site Name]],SiteDB6[[Site Name]:[CCCM Management]],6,FALSE)</f>
        <v>Yes</v>
      </c>
      <c r="DK642" s="711" t="str">
        <f>VLOOKUP(WWWW[[#This Row],[Site Name]],SiteDB6[[Site Name]:[CCCM Focal Agency]],7,FALSE)</f>
        <v>KBC</v>
      </c>
      <c r="DL642" s="711" t="str">
        <f>VLOOKUP(WWWW[[#This Row],[Site Name]],SiteDB6[[Site Name]:[Location Type 1]],9,FALSE)</f>
        <v>Camp</v>
      </c>
      <c r="DM642" s="711" t="str">
        <f>VLOOKUP(WWWW[[#This Row],[Site Name]],SiteDB6[[Site Name]:[Type of Accommodation]],10,FALSE)</f>
        <v>Camp</v>
      </c>
      <c r="DN642" s="711" t="str">
        <f>VLOOKUP(WWWW[[#This Row],[Site Name]],SiteDB6[[Site Name]:[Ethnic or GCA/NGCA]],11,FALSE)</f>
        <v>GCA</v>
      </c>
      <c r="DO642" s="711">
        <f>VLOOKUP(WWWW[[#This Row],[Site Name]],SiteDB6[[Site Name]:[Lat]],12,FALSE)</f>
        <v>23.972453000000002</v>
      </c>
      <c r="DP642" s="711">
        <f>VLOOKUP(WWWW[[#This Row],[Site Name]],SiteDB6[[Site Name]:[Long]],13,FALSE)</f>
        <v>97.225881000000001</v>
      </c>
      <c r="DQ642" s="711" t="str">
        <f>VLOOKUP(WWWW[[#This Row],[Site Name]],SiteDB6[[Site Name]:[Pcode]],3,FALSE)</f>
        <v>MMR001CMP218</v>
      </c>
      <c r="DR642" s="709" t="str">
        <f t="shared" si="23"/>
        <v>Covered</v>
      </c>
      <c r="DS642" s="709"/>
    </row>
    <row r="643" spans="1:123">
      <c r="A643" s="701" t="s">
        <v>2519</v>
      </c>
      <c r="B643" s="701" t="s">
        <v>149</v>
      </c>
      <c r="C643" s="702" t="s">
        <v>149</v>
      </c>
      <c r="D643" s="702" t="s">
        <v>3268</v>
      </c>
      <c r="E643" s="702" t="s">
        <v>39</v>
      </c>
      <c r="F643" s="702" t="s">
        <v>167</v>
      </c>
      <c r="G643" s="711" t="str">
        <f>VLOOKUP(WWWW[[#This Row],[Site Name]],SiteDB6[[Site Name]:[Location Type]],8,FALSE)</f>
        <v>Camp</v>
      </c>
      <c r="H643" s="702" t="s">
        <v>173</v>
      </c>
      <c r="I643" s="705">
        <v>61</v>
      </c>
      <c r="J643" s="705">
        <v>290</v>
      </c>
      <c r="K643" s="593" t="s">
        <v>3276</v>
      </c>
      <c r="L643" s="58" t="s">
        <v>3277</v>
      </c>
      <c r="M643" s="705"/>
      <c r="N643" s="705"/>
      <c r="O643" s="705"/>
      <c r="P643" s="705"/>
      <c r="Q643" s="708" t="s">
        <v>43</v>
      </c>
      <c r="R643" s="705"/>
      <c r="S643" s="705"/>
      <c r="T643" s="807">
        <v>1</v>
      </c>
      <c r="U643" s="705"/>
      <c r="V643" s="705"/>
      <c r="W643" s="705">
        <v>1</v>
      </c>
      <c r="X643" s="705"/>
      <c r="Y643" s="705"/>
      <c r="Z643" s="705"/>
      <c r="AA643" s="705"/>
      <c r="AB643" s="705"/>
      <c r="AC643" s="705"/>
      <c r="AD643" s="705"/>
      <c r="AE643" s="705"/>
      <c r="AF643" s="705"/>
      <c r="AG643" s="705"/>
      <c r="AH643" s="705">
        <v>2</v>
      </c>
      <c r="AI643" s="705"/>
      <c r="AJ643" s="705"/>
      <c r="AK643" s="705"/>
      <c r="AL643" s="705"/>
      <c r="AM643" s="705"/>
      <c r="AN643" s="705"/>
      <c r="AO643" s="709"/>
      <c r="AP643" s="705">
        <v>7</v>
      </c>
      <c r="AQ643" s="705"/>
      <c r="AR643" s="710"/>
      <c r="AS643" s="705"/>
      <c r="AT643" s="705"/>
      <c r="AU643" s="705">
        <v>0</v>
      </c>
      <c r="AV643" s="705"/>
      <c r="AW643" s="705">
        <v>7</v>
      </c>
      <c r="AX643" s="711" t="s">
        <v>43</v>
      </c>
      <c r="AY643" s="709" t="s">
        <v>1200</v>
      </c>
      <c r="AZ643" s="705"/>
      <c r="BA643" s="705"/>
      <c r="BB643" s="705"/>
      <c r="BC643" s="711"/>
      <c r="BD643" s="705"/>
      <c r="BE643" s="705"/>
      <c r="BF643" s="705"/>
      <c r="BG643" s="705">
        <v>3</v>
      </c>
      <c r="BH643" s="705"/>
      <c r="BI643" s="705"/>
      <c r="BJ643" s="705">
        <v>1</v>
      </c>
      <c r="BK643" s="705"/>
      <c r="BL643" s="705"/>
      <c r="BM643" s="711"/>
      <c r="BN643" s="712"/>
      <c r="BO643" s="710"/>
      <c r="BP643" s="711"/>
      <c r="BQ643" s="713" t="str">
        <f>IFERROR(WWWW[[#This Row],['#_Water sources treated]]/WWWW[[#This Row],['#_Water sources tested for contamination]],"no test")</f>
        <v>no test</v>
      </c>
      <c r="BR643" s="710" t="str">
        <f>IFERROR(WWWW[[#This Row],['#_Household received remediation action due to contamination]]/WWWW[[#This Row],['#_Household water samples tested for contamination]],"no test")</f>
        <v>no test</v>
      </c>
      <c r="BS643" s="712" t="str">
        <f>IF(AND(WWWW[[#This Row],[% of water sources treated]]="no test",WWWW[[#This Row],[% Household received corrective actions]]="no test"),"No Test","Tested")</f>
        <v>No Test</v>
      </c>
      <c r="BT643" s="712">
        <f>WWWW[[#This Row],['#_Constructed/existing protected hand dug well]]-WWWW[[#This Row],['#_Non-functional protected hand dug well]]</f>
        <v>1</v>
      </c>
      <c r="BU643" s="712">
        <f>(WWWW[[#This Row],['#_Constructed/Existing tube wells/boreholes/handpumps_WASH_agency]]+WWWW[[#This Row],['#_Non-Cluster partner water tube-wells/boreholes/handpumps]])-WWWW[[#This Row],['#_Non-functional tube wells/boreholes/handpumps]]</f>
        <v>1</v>
      </c>
      <c r="BV643" s="712">
        <f>WWWW[[#This Row],['#_Constructed/Existingwater storage tank with gravity fed reticulation system]]-WWWW[[#This Row],['#_Non-functional storage tank gravity fed reticulation system]]</f>
        <v>0</v>
      </c>
      <c r="BW643" s="712">
        <f>WWWW[[#This Row],['#_Water boating or water trucking]]</f>
        <v>0</v>
      </c>
      <c r="BX643" s="712">
        <f>WWWW[[#This Row],['#_Constructed/Existing water distribution system from river or natural spring]]</f>
        <v>0</v>
      </c>
      <c r="BY64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43" s="710">
        <f>IF(WWWW[[#This Row],[Location Type 1]]="Village",WWWW[[#This Row],[Access to safe drinking water for Village]],WWWW[[#This Row],[Access to safe drinking water for Camp]])</f>
        <v>1</v>
      </c>
      <c r="CB643" s="708">
        <f>WWWW[[#This Row],[%Equitable and continuous access to sufficient quantity of safe drinking water]]*WWWW[[#This Row],[Total PoP ]]</f>
        <v>290</v>
      </c>
      <c r="CC643" s="710">
        <f>IF((WWWW[[#This Row],['#_Constructed/Existing protected/fenced ponds]]*250)/WWWW[[#This Row],[Total PoP ]]&gt;1,1,(WWWW[[#This Row],['#_Constructed/Existing protected/fenced ponds]]*250)/WWWW[[#This Row],[Total PoP ]])</f>
        <v>0</v>
      </c>
      <c r="CD643" s="708">
        <f>WWWW[[#This Row],[% Access to unimproved water points]]*WWWW[[#This Row],[Total PoP ]]</f>
        <v>0</v>
      </c>
      <c r="CE64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G643" s="708">
        <f>WWWW[[#This Row],[HRP1]]/500</f>
        <v>0.57999999999999996</v>
      </c>
      <c r="CH643" s="714">
        <f>1-WWWW[[#This Row],[% Equitable and continuous access to sufficient quantity of domestic water]]</f>
        <v>0</v>
      </c>
      <c r="CI643" s="708">
        <f>WWWW[[#This Row],[%equitable and continuous access to sufficient quantity of safe drinking and domestic water''s GAP]]*WWWW[[#This Row],[Total PoP ]]</f>
        <v>0</v>
      </c>
      <c r="CJ643" s="712">
        <f>IF(WWWW[[#This Row],[Total required water points]]-WWWW[[#This Row],['#Water points coverage]]&lt;0,0,WWWW[[#This Row],[Total required water points]]-WWWW[[#This Row],['#Water points coverage]])</f>
        <v>0.42000000000000004</v>
      </c>
      <c r="CK643" s="712">
        <f>ROUND(IF(WWWW[[#This Row],[Total PoP ]]&lt;500,1,WWWW[[#This Row],[Total PoP ]]/500),0)</f>
        <v>1</v>
      </c>
      <c r="CL643" s="712">
        <f>(WWWW[[#This Row],['#_Constructed latrines_by_WASHAgencies]]+WWWW[[#This Row],['#_Non Cluster partner latrines]])-WWWW[[#This Row],['#_Non-functional latrines]]</f>
        <v>7</v>
      </c>
      <c r="CM64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0.48275862068965519</v>
      </c>
      <c r="CN64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64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3" s="712">
        <f>IF(WWWW[[#This Row],[Location Type 1]]="Village","NA",IF(WWWW[[#This Row],['#_Constructed/Existing latrines in TLS]]*50&gt;WWWW[[#This Row],['#_students at TLS_CFS]],WWWW[[#This Row],['#_students at TLS_CFS]],(WWWW[[#This Row],['#_Constructed/Existing latrines in TLS]]*50)))</f>
        <v>0</v>
      </c>
      <c r="CQ643" s="712">
        <f>ROUND(IF(WWWW[[#This Row],[Location Type 1]]="camp",WWWW[[#This Row],[Total PoP ]]/20,IF(WWWW[[#This Row],[Location Type 1]]="Temporary Location",WWWW[[#This Row],[Total PoP ]]/50,(WWWW[[#This Row],[Total PoP ]]/6))),0)</f>
        <v>15</v>
      </c>
      <c r="CR643" s="712">
        <f>IF(WWWW[[#This Row],[Total required Latrines]]-(WWWW[[#This Row],['#_Constructed latrines_by_WASHAgencies]]+WWWW[[#This Row],['#_Non Cluster partner latrines]])&lt;0,0,WWWW[[#This Row],[Total required Latrines]]-(WWWW[[#This Row],['#_Constructed latrines_by_WASHAgencies]]+WWWW[[#This Row],['#_Non Cluster partner latrines]]))</f>
        <v>8</v>
      </c>
      <c r="CS643" s="714">
        <f>1-WWWW[[#This Row],[% people access to functioning Latrine]]</f>
        <v>0.51724137931034475</v>
      </c>
      <c r="CT643" s="713">
        <f>IF(OR(WWWW[[#This Row],['#_Non-functional latrines]]="",WWWW[[#This Row],['#_Non-functional latrines]]=0),0,WWWW[[#This Row],['#_Non-functional latrines]]/(WWWW[[#This Row],['#_Constructed latrines_by_WASHAgencies]]+WWWW[[#This Row],['#_Non Cluster partner latrines]]))</f>
        <v>0</v>
      </c>
      <c r="CU643" s="708">
        <f>IF(500*(WWWW[[#This Row],['#_male hygiene promoters]]+WWWW[[#This Row],['#_female hygiene promoters]])&gt;WWWW[[#This Row],[Total PoP ]],WWWW[[#This Row],[Total PoP ]],500*(WWWW[[#This Row],['#_male hygiene promoters]]+WWWW[[#This Row],['#_female hygiene promoters]]))</f>
        <v>290</v>
      </c>
      <c r="CV64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3" s="712">
        <f>IF(WWWW[[#This Row],['# People with access to soap]]&gt;WWWW[[#This Row],['# People with access to Sanity Pads]],WWWW[[#This Row],['# People with access to soap]],WWWW[[#This Row],['# People with access to Sanity Pads]])</f>
        <v>0</v>
      </c>
      <c r="CY643" s="712">
        <f>IF(WWWW[[#This Row],['# people reached by regular dedicated hygiene promotion_5]]&gt;WWWW[[#This Row],['# People received regular supply of hygiene items_6]],WWWW[[#This Row],['# people reached by regular dedicated hygiene promotion_5]],WWWW[[#This Row],['# People received regular supply of hygiene items_6]])</f>
        <v>290</v>
      </c>
      <c r="CZ643" s="714">
        <f>IF(WWWW[[#This Row],[HRP3]]/WWWW[[#This Row],[Total PoP ]]&gt;100%,100%,WWWW[[#This Row],[HRP3]]/WWWW[[#This Row],[Total PoP ]])</f>
        <v>1</v>
      </c>
      <c r="DA643" s="713">
        <f>1-WWWW[[#This Row],[Hygiene Coverage%]]</f>
        <v>0</v>
      </c>
      <c r="DB643" s="710">
        <f>WWWW[[#This Row],['# people reached by regular dedicated hygiene promotion_5]]/WWWW[[#This Row],[Total PoP ]]</f>
        <v>1</v>
      </c>
      <c r="DC643" s="710">
        <f>IF(WWWW[[#This Row],['#_households that received standard amount of soap for this quarter]]/WWWW[[#This Row],[Total HH]]&gt;1,1,WWWW[[#This Row],['#_households that received standard amount of soap for this quarter]]/WWWW[[#This Row],[Total HH]])</f>
        <v>0</v>
      </c>
      <c r="DD643" s="710">
        <f>IF(WWWW[[#This Row],['#_households that received standard amount of sanitary pads for this quarter]]/WWWW[[#This Row],[Total HH]]&gt;1,1,WWWW[[#This Row],['#_households that received standard amount of sanitary pads for this quarter]]/WWWW[[#This Row],[Total HH]])</f>
        <v>0</v>
      </c>
      <c r="DE643" s="712">
        <f>WWWW[[#This Row],['#_Constructed/Existing hand washing stations]]-WWWW[[#This Row],['#_Non-Functional_hand_washing_stations]]</f>
        <v>0</v>
      </c>
      <c r="DF643" s="757">
        <f>IF(WWWW[[#This Row],['# Functional hand washing stations during reporting period]]*20&gt;WWWW[[#This Row],[Total HH]],WWWW[[#This Row],[Total HH]],WWWW[[#This Row],['# Functional hand washing stations during reporting period]]*20)</f>
        <v>0</v>
      </c>
      <c r="DG643" s="708">
        <f>IF(WWWW[[#This Row],[Is sufficient soap available for TLS? (Yes/No)]]="yes",WWWW[[#This Row],['#_Constructed/Existing hand washing stations at TLS]],0)</f>
        <v>0</v>
      </c>
      <c r="DH643" s="759">
        <f>IF(WWWW[[#This Row],['# Functional hand washing stations during reporting period]]*100&gt;WWWW[[#This Row],[Total PoP ]],WWWW[[#This Row],[Total PoP ]],WWWW[[#This Row],['# Functional hand washing stations during reporting period]]*100)</f>
        <v>0</v>
      </c>
      <c r="DI643" s="759" t="str">
        <f>IF(OR(WWWW[[#This Row],['#_students at TLS_CFS]]="",WWWW[[#This Row],['#_students at TLS_CFS]]=0),"No","Yes")</f>
        <v>No</v>
      </c>
      <c r="DJ643" s="711" t="str">
        <f>VLOOKUP(WWWW[[#This Row],[Site Name]],SiteDB6[[Site Name]:[CCCM Management]],6,FALSE)</f>
        <v>Yes</v>
      </c>
      <c r="DK643" s="711" t="str">
        <f>VLOOKUP(WWWW[[#This Row],[Site Name]],SiteDB6[[Site Name]:[CCCM Focal Agency]],7,FALSE)</f>
        <v>KBC-MYT</v>
      </c>
      <c r="DL643" s="711" t="str">
        <f>VLOOKUP(WWWW[[#This Row],[Site Name]],SiteDB6[[Site Name]:[Location Type 1]],9,FALSE)</f>
        <v>Camp</v>
      </c>
      <c r="DM643" s="711" t="str">
        <f>VLOOKUP(WWWW[[#This Row],[Site Name]],SiteDB6[[Site Name]:[Type of Accommodation]],10,FALSE)</f>
        <v>Camp</v>
      </c>
      <c r="DN643" s="711" t="str">
        <f>VLOOKUP(WWWW[[#This Row],[Site Name]],SiteDB6[[Site Name]:[Ethnic or GCA/NGCA]],11,FALSE)</f>
        <v>GCA</v>
      </c>
      <c r="DO643" s="711">
        <f>VLOOKUP(WWWW[[#This Row],[Site Name]],SiteDB6[[Site Name]:[Lat]],12,FALSE)</f>
        <v>25.360463124999999</v>
      </c>
      <c r="DP643" s="711">
        <f>VLOOKUP(WWWW[[#This Row],[Site Name]],SiteDB6[[Site Name]:[Long]],13,FALSE)</f>
        <v>97.4113064583333</v>
      </c>
      <c r="DQ643" s="711" t="str">
        <f>VLOOKUP(WWWW[[#This Row],[Site Name]],SiteDB6[[Site Name]:[Pcode]],3,FALSE)</f>
        <v>MMR001CMP016</v>
      </c>
      <c r="DR643" s="709" t="str">
        <f t="shared" ref="DR643:DR674" si="24">IF(C643="none","Notcovered","Covered")</f>
        <v>Covered</v>
      </c>
      <c r="DS643" s="709"/>
    </row>
    <row r="644" spans="1:123">
      <c r="A644" s="701" t="s">
        <v>2519</v>
      </c>
      <c r="B644" s="701" t="s">
        <v>149</v>
      </c>
      <c r="C644" s="702" t="s">
        <v>149</v>
      </c>
      <c r="D644" s="702" t="s">
        <v>3268</v>
      </c>
      <c r="E644" s="702" t="s">
        <v>39</v>
      </c>
      <c r="F644" s="702" t="s">
        <v>167</v>
      </c>
      <c r="G644" s="711" t="str">
        <f>VLOOKUP(WWWW[[#This Row],[Site Name]],SiteDB6[[Site Name]:[Location Type]],8,FALSE)</f>
        <v>Camp</v>
      </c>
      <c r="H644" s="702" t="s">
        <v>174</v>
      </c>
      <c r="I644" s="705">
        <v>101</v>
      </c>
      <c r="J644" s="705">
        <v>547</v>
      </c>
      <c r="K644" s="593" t="s">
        <v>3276</v>
      </c>
      <c r="L644" s="58" t="s">
        <v>3277</v>
      </c>
      <c r="M644" s="705"/>
      <c r="N644" s="705"/>
      <c r="O644" s="705"/>
      <c r="P644" s="705"/>
      <c r="Q644" s="708" t="s">
        <v>43</v>
      </c>
      <c r="R644" s="705"/>
      <c r="S644" s="705"/>
      <c r="T644" s="807">
        <v>0</v>
      </c>
      <c r="U644" s="705"/>
      <c r="V644" s="705"/>
      <c r="W644" s="705">
        <v>2</v>
      </c>
      <c r="X644" s="705"/>
      <c r="Y644" s="705"/>
      <c r="Z644" s="705"/>
      <c r="AA644" s="705"/>
      <c r="AB644" s="705"/>
      <c r="AC644" s="705"/>
      <c r="AD644" s="705"/>
      <c r="AE644" s="705"/>
      <c r="AF644" s="705"/>
      <c r="AG644" s="705"/>
      <c r="AH644" s="705">
        <v>3</v>
      </c>
      <c r="AI644" s="705"/>
      <c r="AJ644" s="705"/>
      <c r="AK644" s="705"/>
      <c r="AL644" s="705"/>
      <c r="AM644" s="705"/>
      <c r="AN644" s="705"/>
      <c r="AO644" s="709"/>
      <c r="AP644" s="705">
        <v>34</v>
      </c>
      <c r="AQ644" s="705"/>
      <c r="AR644" s="710"/>
      <c r="AS644" s="705"/>
      <c r="AT644" s="705"/>
      <c r="AU644" s="705">
        <v>8</v>
      </c>
      <c r="AV644" s="705"/>
      <c r="AW644" s="705">
        <v>34</v>
      </c>
      <c r="AX644" s="711" t="s">
        <v>43</v>
      </c>
      <c r="AY644" s="709" t="s">
        <v>1200</v>
      </c>
      <c r="AZ644" s="705"/>
      <c r="BA644" s="705"/>
      <c r="BB644" s="705"/>
      <c r="BC644" s="711"/>
      <c r="BD644" s="705"/>
      <c r="BE644" s="705"/>
      <c r="BF644" s="705"/>
      <c r="BG644" s="705">
        <v>2</v>
      </c>
      <c r="BH644" s="705"/>
      <c r="BI644" s="705"/>
      <c r="BJ644" s="705">
        <v>2</v>
      </c>
      <c r="BK644" s="705"/>
      <c r="BL644" s="705"/>
      <c r="BM644" s="711"/>
      <c r="BN644" s="712"/>
      <c r="BO644" s="710"/>
      <c r="BP644" s="711"/>
      <c r="BQ644" s="713" t="str">
        <f>IFERROR(WWWW[[#This Row],['#_Water sources treated]]/WWWW[[#This Row],['#_Water sources tested for contamination]],"no test")</f>
        <v>no test</v>
      </c>
      <c r="BR644" s="710" t="str">
        <f>IFERROR(WWWW[[#This Row],['#_Household received remediation action due to contamination]]/WWWW[[#This Row],['#_Household water samples tested for contamination]],"no test")</f>
        <v>no test</v>
      </c>
      <c r="BS644" s="712" t="str">
        <f>IF(AND(WWWW[[#This Row],[% of water sources treated]]="no test",WWWW[[#This Row],[% Household received corrective actions]]="no test"),"No Test","Tested")</f>
        <v>No Test</v>
      </c>
      <c r="BT644" s="712">
        <f>WWWW[[#This Row],['#_Constructed/existing protected hand dug well]]-WWWW[[#This Row],['#_Non-functional protected hand dug well]]</f>
        <v>0</v>
      </c>
      <c r="BU644" s="712">
        <f>(WWWW[[#This Row],['#_Constructed/Existing tube wells/boreholes/handpumps_WASH_agency]]+WWWW[[#This Row],['#_Non-Cluster partner water tube-wells/boreholes/handpumps]])-WWWW[[#This Row],['#_Non-functional tube wells/boreholes/handpumps]]</f>
        <v>2</v>
      </c>
      <c r="BV644" s="712">
        <f>WWWW[[#This Row],['#_Constructed/Existingwater storage tank with gravity fed reticulation system]]-WWWW[[#This Row],['#_Non-functional storage tank gravity fed reticulation system]]</f>
        <v>0</v>
      </c>
      <c r="BW644" s="712">
        <f>WWWW[[#This Row],['#_Water boating or water trucking]]</f>
        <v>0</v>
      </c>
      <c r="BX644" s="712">
        <f>WWWW[[#This Row],['#_Constructed/Existing water distribution system from river or natural spring]]</f>
        <v>0</v>
      </c>
      <c r="BY64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0.91407678244972579</v>
      </c>
      <c r="CA644" s="710">
        <f>IF(WWWW[[#This Row],[Location Type 1]]="Village",WWWW[[#This Row],[Access to safe drinking water for Village]],WWWW[[#This Row],[Access to safe drinking water for Camp]])</f>
        <v>1</v>
      </c>
      <c r="CB644" s="708">
        <f>WWWW[[#This Row],[%Equitable and continuous access to sufficient quantity of safe drinking water]]*WWWW[[#This Row],[Total PoP ]]</f>
        <v>547</v>
      </c>
      <c r="CC644" s="710">
        <f>IF((WWWW[[#This Row],['#_Constructed/Existing protected/fenced ponds]]*250)/WWWW[[#This Row],[Total PoP ]]&gt;1,1,(WWWW[[#This Row],['#_Constructed/Existing protected/fenced ponds]]*250)/WWWW[[#This Row],[Total PoP ]])</f>
        <v>0</v>
      </c>
      <c r="CD644" s="708">
        <f>WWWW[[#This Row],[% Access to unimproved water points]]*WWWW[[#This Row],[Total PoP ]]</f>
        <v>0</v>
      </c>
      <c r="CE64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G644" s="708">
        <f>WWWW[[#This Row],[HRP1]]/500</f>
        <v>1.0940000000000001</v>
      </c>
      <c r="CH644" s="714">
        <f>1-WWWW[[#This Row],[% Equitable and continuous access to sufficient quantity of domestic water]]</f>
        <v>0</v>
      </c>
      <c r="CI644" s="708">
        <f>WWWW[[#This Row],[%equitable and continuous access to sufficient quantity of safe drinking and domestic water''s GAP]]*WWWW[[#This Row],[Total PoP ]]</f>
        <v>0</v>
      </c>
      <c r="CJ644" s="712">
        <f>IF(WWWW[[#This Row],[Total required water points]]-WWWW[[#This Row],['#Water points coverage]]&lt;0,0,WWWW[[#This Row],[Total required water points]]-WWWW[[#This Row],['#Water points coverage]])</f>
        <v>0</v>
      </c>
      <c r="CK644" s="712">
        <f>ROUND(IF(WWWW[[#This Row],[Total PoP ]]&lt;500,1,WWWW[[#This Row],[Total PoP ]]/500),0)</f>
        <v>1</v>
      </c>
      <c r="CL644" s="712">
        <f>(WWWW[[#This Row],['#_Constructed latrines_by_WASHAgencies]]+WWWW[[#This Row],['#_Non Cluster partner latrines]])-WWWW[[#This Row],['#_Non-functional latrines]]</f>
        <v>34</v>
      </c>
      <c r="CM64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4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547</v>
      </c>
      <c r="CO64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CP644" s="712">
        <f>IF(WWWW[[#This Row],[Location Type 1]]="Village","NA",IF(WWWW[[#This Row],['#_Constructed/Existing latrines in TLS]]*50&gt;WWWW[[#This Row],['#_students at TLS_CFS]],WWWW[[#This Row],['#_students at TLS_CFS]],(WWWW[[#This Row],['#_Constructed/Existing latrines in TLS]]*50)))</f>
        <v>0</v>
      </c>
      <c r="CQ644" s="712">
        <f>ROUND(IF(WWWW[[#This Row],[Location Type 1]]="camp",WWWW[[#This Row],[Total PoP ]]/20,IF(WWWW[[#This Row],[Location Type 1]]="Temporary Location",WWWW[[#This Row],[Total PoP ]]/50,(WWWW[[#This Row],[Total PoP ]]/6))),0)</f>
        <v>27</v>
      </c>
      <c r="CR644" s="712">
        <f>IF(WWWW[[#This Row],[Total required Latrines]]-(WWWW[[#This Row],['#_Constructed latrines_by_WASHAgencies]]+WWWW[[#This Row],['#_Non Cluster partner latrines]])&lt;0,0,WWWW[[#This Row],[Total required Latrines]]-(WWWW[[#This Row],['#_Constructed latrines_by_WASHAgencies]]+WWWW[[#This Row],['#_Non Cluster partner latrines]]))</f>
        <v>0</v>
      </c>
      <c r="CS644" s="714">
        <f>1-WWWW[[#This Row],[% people access to functioning Latrine]]</f>
        <v>0</v>
      </c>
      <c r="CT644" s="713">
        <f>IF(OR(WWWW[[#This Row],['#_Non-functional latrines]]="",WWWW[[#This Row],['#_Non-functional latrines]]=0),0,WWWW[[#This Row],['#_Non-functional latrines]]/(WWWW[[#This Row],['#_Constructed latrines_by_WASHAgencies]]+WWWW[[#This Row],['#_Non Cluster partner latrines]]))</f>
        <v>0</v>
      </c>
      <c r="CU644" s="708">
        <f>IF(500*(WWWW[[#This Row],['#_male hygiene promoters]]+WWWW[[#This Row],['#_female hygiene promoters]])&gt;WWWW[[#This Row],[Total PoP ]],WWWW[[#This Row],[Total PoP ]],500*(WWWW[[#This Row],['#_male hygiene promoters]]+WWWW[[#This Row],['#_female hygiene promoters]]))</f>
        <v>547</v>
      </c>
      <c r="CV64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4" s="712">
        <f>IF(WWWW[[#This Row],['# People with access to soap]]&gt;WWWW[[#This Row],['# People with access to Sanity Pads]],WWWW[[#This Row],['# People with access to soap]],WWWW[[#This Row],['# People with access to Sanity Pads]])</f>
        <v>0</v>
      </c>
      <c r="CY644" s="712">
        <f>IF(WWWW[[#This Row],['# people reached by regular dedicated hygiene promotion_5]]&gt;WWWW[[#This Row],['# People received regular supply of hygiene items_6]],WWWW[[#This Row],['# people reached by regular dedicated hygiene promotion_5]],WWWW[[#This Row],['# People received regular supply of hygiene items_6]])</f>
        <v>547</v>
      </c>
      <c r="CZ644" s="714">
        <f>IF(WWWW[[#This Row],[HRP3]]/WWWW[[#This Row],[Total PoP ]]&gt;100%,100%,WWWW[[#This Row],[HRP3]]/WWWW[[#This Row],[Total PoP ]])</f>
        <v>1</v>
      </c>
      <c r="DA644" s="713">
        <f>1-WWWW[[#This Row],[Hygiene Coverage%]]</f>
        <v>0</v>
      </c>
      <c r="DB644" s="710">
        <f>WWWW[[#This Row],['# people reached by regular dedicated hygiene promotion_5]]/WWWW[[#This Row],[Total PoP ]]</f>
        <v>1</v>
      </c>
      <c r="DC644" s="710">
        <f>IF(WWWW[[#This Row],['#_households that received standard amount of soap for this quarter]]/WWWW[[#This Row],[Total HH]]&gt;1,1,WWWW[[#This Row],['#_households that received standard amount of soap for this quarter]]/WWWW[[#This Row],[Total HH]])</f>
        <v>0</v>
      </c>
      <c r="DD644" s="710">
        <f>IF(WWWW[[#This Row],['#_households that received standard amount of sanitary pads for this quarter]]/WWWW[[#This Row],[Total HH]]&gt;1,1,WWWW[[#This Row],['#_households that received standard amount of sanitary pads for this quarter]]/WWWW[[#This Row],[Total HH]])</f>
        <v>0</v>
      </c>
      <c r="DE644" s="712">
        <f>WWWW[[#This Row],['#_Constructed/Existing hand washing stations]]-WWWW[[#This Row],['#_Non-Functional_hand_washing_stations]]</f>
        <v>0</v>
      </c>
      <c r="DF644" s="757">
        <f>IF(WWWW[[#This Row],['# Functional hand washing stations during reporting period]]*20&gt;WWWW[[#This Row],[Total HH]],WWWW[[#This Row],[Total HH]],WWWW[[#This Row],['# Functional hand washing stations during reporting period]]*20)</f>
        <v>0</v>
      </c>
      <c r="DG644" s="708">
        <f>IF(WWWW[[#This Row],[Is sufficient soap available for TLS? (Yes/No)]]="yes",WWWW[[#This Row],['#_Constructed/Existing hand washing stations at TLS]],0)</f>
        <v>0</v>
      </c>
      <c r="DH644" s="759">
        <f>IF(WWWW[[#This Row],['# Functional hand washing stations during reporting period]]*100&gt;WWWW[[#This Row],[Total PoP ]],WWWW[[#This Row],[Total PoP ]],WWWW[[#This Row],['# Functional hand washing stations during reporting period]]*100)</f>
        <v>0</v>
      </c>
      <c r="DI644" s="759" t="str">
        <f>IF(OR(WWWW[[#This Row],['#_students at TLS_CFS]]="",WWWW[[#This Row],['#_students at TLS_CFS]]=0),"No","Yes")</f>
        <v>No</v>
      </c>
      <c r="DJ644" s="711" t="str">
        <f>VLOOKUP(WWWW[[#This Row],[Site Name]],SiteDB6[[Site Name]:[CCCM Management]],6,FALSE)</f>
        <v>Yes</v>
      </c>
      <c r="DK644" s="711" t="str">
        <f>VLOOKUP(WWWW[[#This Row],[Site Name]],SiteDB6[[Site Name]:[CCCM Focal Agency]],7,FALSE)</f>
        <v>KBC-MYT</v>
      </c>
      <c r="DL644" s="711" t="str">
        <f>VLOOKUP(WWWW[[#This Row],[Site Name]],SiteDB6[[Site Name]:[Location Type 1]],9,FALSE)</f>
        <v>Camp</v>
      </c>
      <c r="DM644" s="711" t="str">
        <f>VLOOKUP(WWWW[[#This Row],[Site Name]],SiteDB6[[Site Name]:[Type of Accommodation]],10,FALSE)</f>
        <v>Camp</v>
      </c>
      <c r="DN644" s="711" t="str">
        <f>VLOOKUP(WWWW[[#This Row],[Site Name]],SiteDB6[[Site Name]:[Ethnic or GCA/NGCA]],11,FALSE)</f>
        <v>GCA</v>
      </c>
      <c r="DO644" s="711">
        <f>VLOOKUP(WWWW[[#This Row],[Site Name]],SiteDB6[[Site Name]:[Lat]],12,FALSE)</f>
        <v>25.428910999999999</v>
      </c>
      <c r="DP644" s="711">
        <f>VLOOKUP(WWWW[[#This Row],[Site Name]],SiteDB6[[Site Name]:[Long]],13,FALSE)</f>
        <v>97.418694000000002</v>
      </c>
      <c r="DQ644" s="711" t="str">
        <f>VLOOKUP(WWWW[[#This Row],[Site Name]],SiteDB6[[Site Name]:[Pcode]],3,FALSE)</f>
        <v>MMR001CMP008</v>
      </c>
      <c r="DR644" s="709" t="str">
        <f t="shared" si="24"/>
        <v>Covered</v>
      </c>
      <c r="DS644" s="709"/>
    </row>
    <row r="645" spans="1:123">
      <c r="A645" s="701" t="s">
        <v>2519</v>
      </c>
      <c r="B645" s="701" t="s">
        <v>149</v>
      </c>
      <c r="C645" s="702" t="s">
        <v>149</v>
      </c>
      <c r="D645" s="584" t="s">
        <v>307</v>
      </c>
      <c r="E645" s="702" t="s">
        <v>39</v>
      </c>
      <c r="F645" s="702" t="s">
        <v>203</v>
      </c>
      <c r="G645" s="711" t="str">
        <f>VLOOKUP(WWWW[[#This Row],[Site Name]],SiteDB6[[Site Name]:[Location Type]],8,FALSE)</f>
        <v>Camp_not registered</v>
      </c>
      <c r="H645" s="702" t="s">
        <v>2087</v>
      </c>
      <c r="I645" s="806">
        <v>40</v>
      </c>
      <c r="J645" s="806">
        <v>187</v>
      </c>
      <c r="K645" s="553">
        <v>43374</v>
      </c>
      <c r="L645" s="755">
        <v>43656</v>
      </c>
      <c r="M645" s="705"/>
      <c r="N645" s="705"/>
      <c r="O645" s="705"/>
      <c r="P645" s="705"/>
      <c r="Q645" s="708" t="s">
        <v>43</v>
      </c>
      <c r="R645" s="705"/>
      <c r="S645" s="705"/>
      <c r="T645" s="807">
        <v>2</v>
      </c>
      <c r="U645" s="705">
        <v>2</v>
      </c>
      <c r="V645" s="705"/>
      <c r="W645" s="705">
        <v>2</v>
      </c>
      <c r="X645" s="705"/>
      <c r="Y645" s="705"/>
      <c r="Z645" s="705"/>
      <c r="AA645" s="705"/>
      <c r="AB645" s="705"/>
      <c r="AC645" s="705"/>
      <c r="AD645" s="705"/>
      <c r="AE645" s="705"/>
      <c r="AF645" s="705"/>
      <c r="AG645" s="705"/>
      <c r="AH645" s="705"/>
      <c r="AI645" s="806">
        <v>4</v>
      </c>
      <c r="AJ645" s="806">
        <v>2</v>
      </c>
      <c r="AK645" s="806">
        <v>7</v>
      </c>
      <c r="AL645" s="806"/>
      <c r="AM645" s="806">
        <v>0</v>
      </c>
      <c r="AN645" s="705"/>
      <c r="AO645" s="709"/>
      <c r="AP645" s="705">
        <v>6</v>
      </c>
      <c r="AQ645" s="705"/>
      <c r="AR645" s="710"/>
      <c r="AS645" s="705"/>
      <c r="AT645" s="705"/>
      <c r="AU645" s="705"/>
      <c r="AV645" s="705"/>
      <c r="AW645" s="705">
        <v>6</v>
      </c>
      <c r="AX645" s="711" t="s">
        <v>43</v>
      </c>
      <c r="AY645" s="709" t="s">
        <v>145</v>
      </c>
      <c r="AZ645" s="705"/>
      <c r="BA645" s="705"/>
      <c r="BB645" s="705"/>
      <c r="BC645" s="711"/>
      <c r="BD645" s="705">
        <v>2</v>
      </c>
      <c r="BE645" s="705"/>
      <c r="BF645" s="705">
        <v>2</v>
      </c>
      <c r="BG645" s="705">
        <v>0</v>
      </c>
      <c r="BH645" s="705"/>
      <c r="BI645" s="705"/>
      <c r="BJ645" s="806">
        <v>1</v>
      </c>
      <c r="BK645" s="806">
        <v>40</v>
      </c>
      <c r="BL645" s="806">
        <v>34</v>
      </c>
      <c r="BM645" s="711"/>
      <c r="BN645" s="712"/>
      <c r="BO645" s="710"/>
      <c r="BP645" s="207" t="s">
        <v>3333</v>
      </c>
      <c r="BQ645" s="713">
        <f>IFERROR(WWWW[[#This Row],['#_Water sources treated]]/WWWW[[#This Row],['#_Water sources tested for contamination]],"no test")</f>
        <v>0.5</v>
      </c>
      <c r="BR645" s="710">
        <f>IFERROR(WWWW[[#This Row],['#_Household received remediation action due to contamination]]/WWWW[[#This Row],['#_Household water samples tested for contamination]],"no test")</f>
        <v>0</v>
      </c>
      <c r="BS645" s="712" t="str">
        <f>IF(AND(WWWW[[#This Row],[% of water sources treated]]="no test",WWWW[[#This Row],[% Household received corrective actions]]="no test"),"No Test","Tested")</f>
        <v>Tested</v>
      </c>
      <c r="BT645" s="712">
        <f>WWWW[[#This Row],['#_Constructed/existing protected hand dug well]]-WWWW[[#This Row],['#_Non-functional protected hand dug well]]</f>
        <v>0</v>
      </c>
      <c r="BU645" s="712">
        <f>(WWWW[[#This Row],['#_Constructed/Existing tube wells/boreholes/handpumps_WASH_agency]]+WWWW[[#This Row],['#_Non-Cluster partner water tube-wells/boreholes/handpumps]])-WWWW[[#This Row],['#_Non-functional tube wells/boreholes/handpumps]]</f>
        <v>2</v>
      </c>
      <c r="BV645" s="712">
        <f>WWWW[[#This Row],['#_Constructed/Existingwater storage tank with gravity fed reticulation system]]-WWWW[[#This Row],['#_Non-functional storage tank gravity fed reticulation system]]</f>
        <v>0</v>
      </c>
      <c r="BW645" s="712">
        <f>WWWW[[#This Row],['#_Water boating or water trucking]]</f>
        <v>0</v>
      </c>
      <c r="BX645" s="712">
        <f>WWWW[[#This Row],['#_Constructed/Existing water distribution system from river or natural spring]]</f>
        <v>0</v>
      </c>
      <c r="BY64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45" s="710">
        <f>IF(WWWW[[#This Row],[Location Type 1]]="Village",WWWW[[#This Row],[Access to safe drinking water for Village]],WWWW[[#This Row],[Access to safe drinking water for Camp]])</f>
        <v>1</v>
      </c>
      <c r="CB645" s="708">
        <f>WWWW[[#This Row],[%Equitable and continuous access to sufficient quantity of safe drinking water]]*WWWW[[#This Row],[Total PoP ]]</f>
        <v>187</v>
      </c>
      <c r="CC645" s="710">
        <f>IF((WWWW[[#This Row],['#_Constructed/Existing protected/fenced ponds]]*250)/WWWW[[#This Row],[Total PoP ]]&gt;1,1,(WWWW[[#This Row],['#_Constructed/Existing protected/fenced ponds]]*250)/WWWW[[#This Row],[Total PoP ]])</f>
        <v>0</v>
      </c>
      <c r="CD645" s="708">
        <f>WWWW[[#This Row],[% Access to unimproved water points]]*WWWW[[#This Row],[Total PoP ]]</f>
        <v>0</v>
      </c>
      <c r="CE64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187</v>
      </c>
      <c r="CG645" s="708">
        <f>WWWW[[#This Row],[HRP1]]/500</f>
        <v>0.374</v>
      </c>
      <c r="CH645" s="714">
        <f>1-WWWW[[#This Row],[% Equitable and continuous access to sufficient quantity of domestic water]]</f>
        <v>0</v>
      </c>
      <c r="CI645" s="708">
        <f>WWWW[[#This Row],[%equitable and continuous access to sufficient quantity of safe drinking and domestic water''s GAP]]*WWWW[[#This Row],[Total PoP ]]</f>
        <v>0</v>
      </c>
      <c r="CJ645" s="712">
        <f>IF(WWWW[[#This Row],[Total required water points]]-WWWW[[#This Row],['#Water points coverage]]&lt;0,0,WWWW[[#This Row],[Total required water points]]-WWWW[[#This Row],['#Water points coverage]])</f>
        <v>0.626</v>
      </c>
      <c r="CK645" s="712">
        <f>ROUND(IF(WWWW[[#This Row],[Total PoP ]]&lt;500,1,WWWW[[#This Row],[Total PoP ]]/500),0)</f>
        <v>1</v>
      </c>
      <c r="CL645" s="712">
        <f>(WWWW[[#This Row],['#_Constructed latrines_by_WASHAgencies]]+WWWW[[#This Row],['#_Non Cluster partner latrines]])-WWWW[[#This Row],['#_Non-functional latrines]]</f>
        <v>6</v>
      </c>
      <c r="CM64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0.64171122994652408</v>
      </c>
      <c r="CN64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64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5" s="712">
        <f>IF(WWWW[[#This Row],[Location Type 1]]="Village","NA",IF(WWWW[[#This Row],['#_Constructed/Existing latrines in TLS]]*50&gt;WWWW[[#This Row],['#_students at TLS_CFS]],WWWW[[#This Row],['#_students at TLS_CFS]],(WWWW[[#This Row],['#_Constructed/Existing latrines in TLS]]*50)))</f>
        <v>0</v>
      </c>
      <c r="CQ645" s="712">
        <f>ROUND(IF(WWWW[[#This Row],[Location Type 1]]="camp",WWWW[[#This Row],[Total PoP ]]/20,IF(WWWW[[#This Row],[Location Type 1]]="Temporary Location",WWWW[[#This Row],[Total PoP ]]/50,(WWWW[[#This Row],[Total PoP ]]/6))),0)</f>
        <v>9</v>
      </c>
      <c r="CR645" s="712">
        <f>IF(WWWW[[#This Row],[Total required Latrines]]-(WWWW[[#This Row],['#_Constructed latrines_by_WASHAgencies]]+WWWW[[#This Row],['#_Non Cluster partner latrines]])&lt;0,0,WWWW[[#This Row],[Total required Latrines]]-(WWWW[[#This Row],['#_Constructed latrines_by_WASHAgencies]]+WWWW[[#This Row],['#_Non Cluster partner latrines]]))</f>
        <v>3</v>
      </c>
      <c r="CS645" s="714">
        <f>1-WWWW[[#This Row],[% people access to functioning Latrine]]</f>
        <v>0.35828877005347592</v>
      </c>
      <c r="CT645" s="713">
        <f>IF(OR(WWWW[[#This Row],['#_Non-functional latrines]]="",WWWW[[#This Row],['#_Non-functional latrines]]=0),0,WWWW[[#This Row],['#_Non-functional latrines]]/(WWWW[[#This Row],['#_Constructed latrines_by_WASHAgencies]]+WWWW[[#This Row],['#_Non Cluster partner latrines]]))</f>
        <v>0</v>
      </c>
      <c r="CU645" s="708">
        <f>IF(500*(WWWW[[#This Row],['#_male hygiene promoters]]+WWWW[[#This Row],['#_female hygiene promoters]])&gt;WWWW[[#This Row],[Total PoP ]],WWWW[[#This Row],[Total PoP ]],500*(WWWW[[#This Row],['#_male hygiene promoters]]+WWWW[[#This Row],['#_female hygiene promoters]]))</f>
        <v>187</v>
      </c>
      <c r="CV64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187</v>
      </c>
      <c r="CW64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170</v>
      </c>
      <c r="CX645" s="712">
        <f>IF(WWWW[[#This Row],['# People with access to soap]]&gt;WWWW[[#This Row],['# People with access to Sanity Pads]],WWWW[[#This Row],['# People with access to soap]],WWWW[[#This Row],['# People with access to Sanity Pads]])</f>
        <v>187</v>
      </c>
      <c r="CY645" s="712">
        <f>IF(WWWW[[#This Row],['# people reached by regular dedicated hygiene promotion_5]]&gt;WWWW[[#This Row],['# People received regular supply of hygiene items_6]],WWWW[[#This Row],['# people reached by regular dedicated hygiene promotion_5]],WWWW[[#This Row],['# People received regular supply of hygiene items_6]])</f>
        <v>187</v>
      </c>
      <c r="CZ645" s="714">
        <f>IF(WWWW[[#This Row],[HRP3]]/WWWW[[#This Row],[Total PoP ]]&gt;100%,100%,WWWW[[#This Row],[HRP3]]/WWWW[[#This Row],[Total PoP ]])</f>
        <v>1</v>
      </c>
      <c r="DA645" s="713">
        <f>1-WWWW[[#This Row],[Hygiene Coverage%]]</f>
        <v>0</v>
      </c>
      <c r="DB645" s="710">
        <f>WWWW[[#This Row],['# people reached by regular dedicated hygiene promotion_5]]/WWWW[[#This Row],[Total PoP ]]</f>
        <v>1</v>
      </c>
      <c r="DC645" s="710">
        <f>IF(WWWW[[#This Row],['#_households that received standard amount of soap for this quarter]]/WWWW[[#This Row],[Total HH]]&gt;1,1,WWWW[[#This Row],['#_households that received standard amount of soap for this quarter]]/WWWW[[#This Row],[Total HH]])</f>
        <v>1</v>
      </c>
      <c r="DD645" s="710">
        <f>IF(WWWW[[#This Row],['#_households that received standard amount of sanitary pads for this quarter]]/WWWW[[#This Row],[Total HH]]&gt;1,1,WWWW[[#This Row],['#_households that received standard amount of sanitary pads for this quarter]]/WWWW[[#This Row],[Total HH]])</f>
        <v>0.85</v>
      </c>
      <c r="DE645" s="712">
        <f>WWWW[[#This Row],['#_Constructed/Existing hand washing stations]]-WWWW[[#This Row],['#_Non-Functional_hand_washing_stations]]</f>
        <v>2</v>
      </c>
      <c r="DF645" s="757">
        <f>IF(WWWW[[#This Row],['# Functional hand washing stations during reporting period]]*20&gt;WWWW[[#This Row],[Total HH]],WWWW[[#This Row],[Total HH]],WWWW[[#This Row],['# Functional hand washing stations during reporting period]]*20)</f>
        <v>40</v>
      </c>
      <c r="DG645" s="708">
        <f>IF(WWWW[[#This Row],[Is sufficient soap available for TLS? (Yes/No)]]="yes",WWWW[[#This Row],['#_Constructed/Existing hand washing stations at TLS]],0)</f>
        <v>0</v>
      </c>
      <c r="DH645" s="759">
        <f>IF(WWWW[[#This Row],['# Functional hand washing stations during reporting period]]*100&gt;WWWW[[#This Row],[Total PoP ]],WWWW[[#This Row],[Total PoP ]],WWWW[[#This Row],['# Functional hand washing stations during reporting period]]*100)</f>
        <v>187</v>
      </c>
      <c r="DI645" s="759" t="str">
        <f>IF(OR(WWWW[[#This Row],['#_students at TLS_CFS]]="",WWWW[[#This Row],['#_students at TLS_CFS]]=0),"No","Yes")</f>
        <v>No</v>
      </c>
      <c r="DJ645" s="711">
        <f>VLOOKUP(WWWW[[#This Row],[Site Name]],SiteDB6[[Site Name]:[CCCM Management]],6,FALSE)</f>
        <v>0</v>
      </c>
      <c r="DK645" s="711">
        <f>VLOOKUP(WWWW[[#This Row],[Site Name]],SiteDB6[[Site Name]:[CCCM Focal Agency]],7,FALSE)</f>
        <v>0</v>
      </c>
      <c r="DL645" s="711" t="str">
        <f>VLOOKUP(WWWW[[#This Row],[Site Name]],SiteDB6[[Site Name]:[Location Type 1]],9,FALSE)</f>
        <v>Camp</v>
      </c>
      <c r="DM645" s="711" t="str">
        <f>VLOOKUP(WWWW[[#This Row],[Site Name]],SiteDB6[[Site Name]:[Type of Accommodation]],10,FALSE)</f>
        <v>camp</v>
      </c>
      <c r="DN645" s="711" t="str">
        <f>VLOOKUP(WWWW[[#This Row],[Site Name]],SiteDB6[[Site Name]:[Ethnic or GCA/NGCA]],11,FALSE)</f>
        <v>GCA</v>
      </c>
      <c r="DO645" s="711">
        <f>VLOOKUP(WWWW[[#This Row],[Site Name]],SiteDB6[[Site Name]:[Lat]],12,FALSE)</f>
        <v>0</v>
      </c>
      <c r="DP645" s="711">
        <f>VLOOKUP(WWWW[[#This Row],[Site Name]],SiteDB6[[Site Name]:[Long]],13,FALSE)</f>
        <v>0</v>
      </c>
      <c r="DQ645" s="711">
        <f>VLOOKUP(WWWW[[#This Row],[Site Name]],SiteDB6[[Site Name]:[Pcode]],3,FALSE)</f>
        <v>0</v>
      </c>
      <c r="DR645" s="709" t="str">
        <f t="shared" si="24"/>
        <v>Covered</v>
      </c>
      <c r="DS645" s="709"/>
    </row>
    <row r="646" spans="1:123">
      <c r="A646" s="701" t="s">
        <v>2519</v>
      </c>
      <c r="B646" s="701" t="s">
        <v>149</v>
      </c>
      <c r="C646" s="702" t="s">
        <v>149</v>
      </c>
      <c r="D646" s="702" t="s">
        <v>3268</v>
      </c>
      <c r="E646" s="702" t="s">
        <v>39</v>
      </c>
      <c r="F646" s="702" t="s">
        <v>160</v>
      </c>
      <c r="G646" s="711" t="str">
        <f>VLOOKUP(WWWW[[#This Row],[Site Name]],SiteDB6[[Site Name]:[Location Type]],8,FALSE)</f>
        <v>Camp_not registered</v>
      </c>
      <c r="H646" s="702" t="s">
        <v>2088</v>
      </c>
      <c r="I646" s="705">
        <v>6</v>
      </c>
      <c r="J646" s="705">
        <v>36</v>
      </c>
      <c r="K646" s="593" t="s">
        <v>3276</v>
      </c>
      <c r="L646" s="58" t="s">
        <v>3277</v>
      </c>
      <c r="M646" s="705"/>
      <c r="N646" s="705"/>
      <c r="O646" s="705"/>
      <c r="P646" s="705"/>
      <c r="Q646" s="708" t="s">
        <v>43</v>
      </c>
      <c r="R646" s="705"/>
      <c r="S646" s="705"/>
      <c r="T646" s="807">
        <v>0</v>
      </c>
      <c r="U646" s="705"/>
      <c r="V646" s="705"/>
      <c r="W646" s="705">
        <v>1</v>
      </c>
      <c r="X646" s="705"/>
      <c r="Y646" s="705"/>
      <c r="Z646" s="705"/>
      <c r="AA646" s="705"/>
      <c r="AB646" s="705"/>
      <c r="AC646" s="705"/>
      <c r="AD646" s="705"/>
      <c r="AE646" s="705"/>
      <c r="AF646" s="705"/>
      <c r="AG646" s="705"/>
      <c r="AH646" s="705">
        <v>3</v>
      </c>
      <c r="AI646" s="705"/>
      <c r="AJ646" s="705"/>
      <c r="AK646" s="705"/>
      <c r="AL646" s="705"/>
      <c r="AM646" s="705"/>
      <c r="AN646" s="705"/>
      <c r="AO646" s="709"/>
      <c r="AP646" s="705">
        <v>2</v>
      </c>
      <c r="AQ646" s="705"/>
      <c r="AR646" s="710"/>
      <c r="AS646" s="705"/>
      <c r="AT646" s="705"/>
      <c r="AU646" s="705"/>
      <c r="AV646" s="705"/>
      <c r="AW646" s="705">
        <v>2</v>
      </c>
      <c r="AX646" s="711" t="s">
        <v>43</v>
      </c>
      <c r="AY646" s="709" t="s">
        <v>145</v>
      </c>
      <c r="AZ646" s="705"/>
      <c r="BA646" s="705"/>
      <c r="BB646" s="705"/>
      <c r="BC646" s="711"/>
      <c r="BD646" s="705"/>
      <c r="BE646" s="705"/>
      <c r="BF646" s="705"/>
      <c r="BG646" s="705">
        <v>0</v>
      </c>
      <c r="BH646" s="705"/>
      <c r="BI646" s="705"/>
      <c r="BJ646" s="705">
        <v>1</v>
      </c>
      <c r="BK646" s="705"/>
      <c r="BL646" s="705"/>
      <c r="BM646" s="711"/>
      <c r="BN646" s="712"/>
      <c r="BO646" s="710"/>
      <c r="BP646" s="711"/>
      <c r="BQ646" s="713" t="str">
        <f>IFERROR(WWWW[[#This Row],['#_Water sources treated]]/WWWW[[#This Row],['#_Water sources tested for contamination]],"no test")</f>
        <v>no test</v>
      </c>
      <c r="BR646" s="710" t="str">
        <f>IFERROR(WWWW[[#This Row],['#_Household received remediation action due to contamination]]/WWWW[[#This Row],['#_Household water samples tested for contamination]],"no test")</f>
        <v>no test</v>
      </c>
      <c r="BS646" s="712" t="str">
        <f>IF(AND(WWWW[[#This Row],[% of water sources treated]]="no test",WWWW[[#This Row],[% Household received corrective actions]]="no test"),"No Test","Tested")</f>
        <v>No Test</v>
      </c>
      <c r="BT646" s="712">
        <f>WWWW[[#This Row],['#_Constructed/existing protected hand dug well]]-WWWW[[#This Row],['#_Non-functional protected hand dug well]]</f>
        <v>0</v>
      </c>
      <c r="BU646" s="712">
        <f>(WWWW[[#This Row],['#_Constructed/Existing tube wells/boreholes/handpumps_WASH_agency]]+WWWW[[#This Row],['#_Non-Cluster partner water tube-wells/boreholes/handpumps]])-WWWW[[#This Row],['#_Non-functional tube wells/boreholes/handpumps]]</f>
        <v>1</v>
      </c>
      <c r="BV646" s="712">
        <f>WWWW[[#This Row],['#_Constructed/Existingwater storage tank with gravity fed reticulation system]]-WWWW[[#This Row],['#_Non-functional storage tank gravity fed reticulation system]]</f>
        <v>0</v>
      </c>
      <c r="BW646" s="712">
        <f>WWWW[[#This Row],['#_Water boating or water trucking]]</f>
        <v>0</v>
      </c>
      <c r="BX646" s="712">
        <f>WWWW[[#This Row],['#_Constructed/Existing water distribution system from river or natural spring]]</f>
        <v>0</v>
      </c>
      <c r="BY64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46" s="710">
        <f>IF(WWWW[[#This Row],[Location Type 1]]="Village",WWWW[[#This Row],[Access to safe drinking water for Village]],WWWW[[#This Row],[Access to safe drinking water for Camp]])</f>
        <v>1</v>
      </c>
      <c r="CB646" s="708">
        <f>WWWW[[#This Row],[%Equitable and continuous access to sufficient quantity of safe drinking water]]*WWWW[[#This Row],[Total PoP ]]</f>
        <v>36</v>
      </c>
      <c r="CC646" s="710">
        <f>IF((WWWW[[#This Row],['#_Constructed/Existing protected/fenced ponds]]*250)/WWWW[[#This Row],[Total PoP ]]&gt;1,1,(WWWW[[#This Row],['#_Constructed/Existing protected/fenced ponds]]*250)/WWWW[[#This Row],[Total PoP ]])</f>
        <v>0</v>
      </c>
      <c r="CD646" s="708">
        <f>WWWW[[#This Row],[% Access to unimproved water points]]*WWWW[[#This Row],[Total PoP ]]</f>
        <v>0</v>
      </c>
      <c r="CE64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G646" s="708">
        <f>WWWW[[#This Row],[HRP1]]/500</f>
        <v>7.1999999999999995E-2</v>
      </c>
      <c r="CH646" s="714">
        <f>1-WWWW[[#This Row],[% Equitable and continuous access to sufficient quantity of domestic water]]</f>
        <v>0</v>
      </c>
      <c r="CI646" s="708">
        <f>WWWW[[#This Row],[%equitable and continuous access to sufficient quantity of safe drinking and domestic water''s GAP]]*WWWW[[#This Row],[Total PoP ]]</f>
        <v>0</v>
      </c>
      <c r="CJ646" s="712">
        <f>IF(WWWW[[#This Row],[Total required water points]]-WWWW[[#This Row],['#Water points coverage]]&lt;0,0,WWWW[[#This Row],[Total required water points]]-WWWW[[#This Row],['#Water points coverage]])</f>
        <v>0.92800000000000005</v>
      </c>
      <c r="CK646" s="712">
        <f>ROUND(IF(WWWW[[#This Row],[Total PoP ]]&lt;500,1,WWWW[[#This Row],[Total PoP ]]/500),0)</f>
        <v>1</v>
      </c>
      <c r="CL646" s="712">
        <f>(WWWW[[#This Row],['#_Constructed latrines_by_WASHAgencies]]+WWWW[[#This Row],['#_Non Cluster partner latrines]])-WWWW[[#This Row],['#_Non-functional latrines]]</f>
        <v>2</v>
      </c>
      <c r="CM64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4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36</v>
      </c>
      <c r="CO64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6" s="712">
        <f>IF(WWWW[[#This Row],[Location Type 1]]="Village","NA",IF(WWWW[[#This Row],['#_Constructed/Existing latrines in TLS]]*50&gt;WWWW[[#This Row],['#_students at TLS_CFS]],WWWW[[#This Row],['#_students at TLS_CFS]],(WWWW[[#This Row],['#_Constructed/Existing latrines in TLS]]*50)))</f>
        <v>0</v>
      </c>
      <c r="CQ646" s="712">
        <f>ROUND(IF(WWWW[[#This Row],[Location Type 1]]="camp",WWWW[[#This Row],[Total PoP ]]/20,IF(WWWW[[#This Row],[Location Type 1]]="Temporary Location",WWWW[[#This Row],[Total PoP ]]/50,(WWWW[[#This Row],[Total PoP ]]/6))),0)</f>
        <v>2</v>
      </c>
      <c r="CR646" s="712">
        <f>IF(WWWW[[#This Row],[Total required Latrines]]-(WWWW[[#This Row],['#_Constructed latrines_by_WASHAgencies]]+WWWW[[#This Row],['#_Non Cluster partner latrines]])&lt;0,0,WWWW[[#This Row],[Total required Latrines]]-(WWWW[[#This Row],['#_Constructed latrines_by_WASHAgencies]]+WWWW[[#This Row],['#_Non Cluster partner latrines]]))</f>
        <v>0</v>
      </c>
      <c r="CS646" s="714">
        <f>1-WWWW[[#This Row],[% people access to functioning Latrine]]</f>
        <v>0</v>
      </c>
      <c r="CT646" s="713">
        <f>IF(OR(WWWW[[#This Row],['#_Non-functional latrines]]="",WWWW[[#This Row],['#_Non-functional latrines]]=0),0,WWWW[[#This Row],['#_Non-functional latrines]]/(WWWW[[#This Row],['#_Constructed latrines_by_WASHAgencies]]+WWWW[[#This Row],['#_Non Cluster partner latrines]]))</f>
        <v>0</v>
      </c>
      <c r="CU646" s="708">
        <f>IF(500*(WWWW[[#This Row],['#_male hygiene promoters]]+WWWW[[#This Row],['#_female hygiene promoters]])&gt;WWWW[[#This Row],[Total PoP ]],WWWW[[#This Row],[Total PoP ]],500*(WWWW[[#This Row],['#_male hygiene promoters]]+WWWW[[#This Row],['#_female hygiene promoters]]))</f>
        <v>36</v>
      </c>
      <c r="CV64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6" s="712">
        <f>IF(WWWW[[#This Row],['# People with access to soap]]&gt;WWWW[[#This Row],['# People with access to Sanity Pads]],WWWW[[#This Row],['# People with access to soap]],WWWW[[#This Row],['# People with access to Sanity Pads]])</f>
        <v>0</v>
      </c>
      <c r="CY646" s="712">
        <f>IF(WWWW[[#This Row],['# people reached by regular dedicated hygiene promotion_5]]&gt;WWWW[[#This Row],['# People received regular supply of hygiene items_6]],WWWW[[#This Row],['# people reached by regular dedicated hygiene promotion_5]],WWWW[[#This Row],['# People received regular supply of hygiene items_6]])</f>
        <v>36</v>
      </c>
      <c r="CZ646" s="714">
        <f>IF(WWWW[[#This Row],[HRP3]]/WWWW[[#This Row],[Total PoP ]]&gt;100%,100%,WWWW[[#This Row],[HRP3]]/WWWW[[#This Row],[Total PoP ]])</f>
        <v>1</v>
      </c>
      <c r="DA646" s="713">
        <f>1-WWWW[[#This Row],[Hygiene Coverage%]]</f>
        <v>0</v>
      </c>
      <c r="DB646" s="710">
        <f>WWWW[[#This Row],['# people reached by regular dedicated hygiene promotion_5]]/WWWW[[#This Row],[Total PoP ]]</f>
        <v>1</v>
      </c>
      <c r="DC646" s="710">
        <f>IF(WWWW[[#This Row],['#_households that received standard amount of soap for this quarter]]/WWWW[[#This Row],[Total HH]]&gt;1,1,WWWW[[#This Row],['#_households that received standard amount of soap for this quarter]]/WWWW[[#This Row],[Total HH]])</f>
        <v>0</v>
      </c>
      <c r="DD646" s="710">
        <f>IF(WWWW[[#This Row],['#_households that received standard amount of sanitary pads for this quarter]]/WWWW[[#This Row],[Total HH]]&gt;1,1,WWWW[[#This Row],['#_households that received standard amount of sanitary pads for this quarter]]/WWWW[[#This Row],[Total HH]])</f>
        <v>0</v>
      </c>
      <c r="DE646" s="712">
        <f>WWWW[[#This Row],['#_Constructed/Existing hand washing stations]]-WWWW[[#This Row],['#_Non-Functional_hand_washing_stations]]</f>
        <v>0</v>
      </c>
      <c r="DF646" s="757">
        <f>IF(WWWW[[#This Row],['# Functional hand washing stations during reporting period]]*20&gt;WWWW[[#This Row],[Total HH]],WWWW[[#This Row],[Total HH]],WWWW[[#This Row],['# Functional hand washing stations during reporting period]]*20)</f>
        <v>0</v>
      </c>
      <c r="DG646" s="708">
        <f>IF(WWWW[[#This Row],[Is sufficient soap available for TLS? (Yes/No)]]="yes",WWWW[[#This Row],['#_Constructed/Existing hand washing stations at TLS]],0)</f>
        <v>0</v>
      </c>
      <c r="DH646" s="759">
        <f>IF(WWWW[[#This Row],['# Functional hand washing stations during reporting period]]*100&gt;WWWW[[#This Row],[Total PoP ]],WWWW[[#This Row],[Total PoP ]],WWWW[[#This Row],['# Functional hand washing stations during reporting period]]*100)</f>
        <v>0</v>
      </c>
      <c r="DI646" s="759" t="str">
        <f>IF(OR(WWWW[[#This Row],['#_students at TLS_CFS]]="",WWWW[[#This Row],['#_students at TLS_CFS]]=0),"No","Yes")</f>
        <v>No</v>
      </c>
      <c r="DJ646" s="711">
        <f>VLOOKUP(WWWW[[#This Row],[Site Name]],SiteDB6[[Site Name]:[CCCM Management]],6,FALSE)</f>
        <v>0</v>
      </c>
      <c r="DK646" s="711">
        <f>VLOOKUP(WWWW[[#This Row],[Site Name]],SiteDB6[[Site Name]:[CCCM Focal Agency]],7,FALSE)</f>
        <v>0</v>
      </c>
      <c r="DL646" s="711" t="str">
        <f>VLOOKUP(WWWW[[#This Row],[Site Name]],SiteDB6[[Site Name]:[Location Type 1]],9,FALSE)</f>
        <v>Camp</v>
      </c>
      <c r="DM646" s="711" t="str">
        <f>VLOOKUP(WWWW[[#This Row],[Site Name]],SiteDB6[[Site Name]:[Type of Accommodation]],10,FALSE)</f>
        <v>Camp like setting</v>
      </c>
      <c r="DN646" s="711" t="str">
        <f>VLOOKUP(WWWW[[#This Row],[Site Name]],SiteDB6[[Site Name]:[Ethnic or GCA/NGCA]],11,FALSE)</f>
        <v>GCA</v>
      </c>
      <c r="DO646" s="711">
        <f>VLOOKUP(WWWW[[#This Row],[Site Name]],SiteDB6[[Site Name]:[Lat]],12,FALSE)</f>
        <v>0</v>
      </c>
      <c r="DP646" s="711">
        <f>VLOOKUP(WWWW[[#This Row],[Site Name]],SiteDB6[[Site Name]:[Long]],13,FALSE)</f>
        <v>0</v>
      </c>
      <c r="DQ646" s="711">
        <f>VLOOKUP(WWWW[[#This Row],[Site Name]],SiteDB6[[Site Name]:[Pcode]],3,FALSE)</f>
        <v>0</v>
      </c>
      <c r="DR646" s="709" t="str">
        <f t="shared" si="24"/>
        <v>Covered</v>
      </c>
      <c r="DS646" s="709"/>
    </row>
    <row r="647" spans="1:123">
      <c r="A647" s="701" t="s">
        <v>2519</v>
      </c>
      <c r="B647" s="701" t="s">
        <v>250</v>
      </c>
      <c r="C647" s="702" t="s">
        <v>250</v>
      </c>
      <c r="D647" s="702" t="s">
        <v>315</v>
      </c>
      <c r="E647" s="702" t="s">
        <v>39</v>
      </c>
      <c r="F647" s="702" t="s">
        <v>156</v>
      </c>
      <c r="G647" s="711" t="str">
        <f>VLOOKUP(WWWW[[#This Row],[Site Name]],SiteDB6[[Site Name]:[Location Type]],8,FALSE)</f>
        <v>Camp</v>
      </c>
      <c r="H647" s="702" t="s">
        <v>266</v>
      </c>
      <c r="I647" s="705">
        <v>11</v>
      </c>
      <c r="J647" s="705">
        <v>42</v>
      </c>
      <c r="K647" s="706">
        <v>43313</v>
      </c>
      <c r="L647" s="707">
        <v>44043</v>
      </c>
      <c r="M647" s="705"/>
      <c r="N647" s="705">
        <v>1</v>
      </c>
      <c r="O647" s="705">
        <v>0</v>
      </c>
      <c r="P647" s="705">
        <v>0</v>
      </c>
      <c r="Q647" s="708" t="s">
        <v>43</v>
      </c>
      <c r="R647" s="705">
        <v>4</v>
      </c>
      <c r="S647" s="705">
        <v>2</v>
      </c>
      <c r="T647" s="807">
        <v>1</v>
      </c>
      <c r="U647" s="705"/>
      <c r="V647" s="705"/>
      <c r="W647" s="705">
        <v>0</v>
      </c>
      <c r="X647" s="705">
        <v>0</v>
      </c>
      <c r="Y647" s="705"/>
      <c r="Z647" s="705"/>
      <c r="AA647" s="705">
        <v>2</v>
      </c>
      <c r="AB647" s="705"/>
      <c r="AC647" s="705"/>
      <c r="AD647" s="705">
        <v>0</v>
      </c>
      <c r="AE647" s="705">
        <v>0</v>
      </c>
      <c r="AF647" s="705">
        <v>1</v>
      </c>
      <c r="AG647" s="705">
        <v>0</v>
      </c>
      <c r="AH647" s="705">
        <v>1</v>
      </c>
      <c r="AI647" s="705"/>
      <c r="AJ647" s="705"/>
      <c r="AK647" s="705"/>
      <c r="AL647" s="705"/>
      <c r="AM647" s="705">
        <v>0</v>
      </c>
      <c r="AN647" s="705">
        <v>0</v>
      </c>
      <c r="AO647" s="709"/>
      <c r="AP647" s="705">
        <v>4</v>
      </c>
      <c r="AQ647" s="705">
        <v>0</v>
      </c>
      <c r="AR647" s="710" t="s">
        <v>250</v>
      </c>
      <c r="AS647" s="705"/>
      <c r="AT647" s="705"/>
      <c r="AU647" s="705"/>
      <c r="AV647" s="705"/>
      <c r="AW647" s="705">
        <v>0</v>
      </c>
      <c r="AX647" s="711" t="s">
        <v>43</v>
      </c>
      <c r="AY647" s="709" t="s">
        <v>144</v>
      </c>
      <c r="AZ647" s="705">
        <v>0</v>
      </c>
      <c r="BA647" s="705">
        <v>0</v>
      </c>
      <c r="BB647" s="705">
        <v>0</v>
      </c>
      <c r="BC647" s="711">
        <v>0</v>
      </c>
      <c r="BD647" s="705">
        <v>0</v>
      </c>
      <c r="BE647" s="705"/>
      <c r="BF647" s="705">
        <v>0</v>
      </c>
      <c r="BG647" s="705">
        <v>2</v>
      </c>
      <c r="BH647" s="705"/>
      <c r="BI647" s="705">
        <v>4</v>
      </c>
      <c r="BJ647" s="705">
        <v>2</v>
      </c>
      <c r="BK647" s="705"/>
      <c r="BL647" s="705"/>
      <c r="BM647" s="711" t="s">
        <v>144</v>
      </c>
      <c r="BN647" s="712"/>
      <c r="BO647" s="710">
        <v>0.4</v>
      </c>
      <c r="BP647" s="711"/>
      <c r="BQ647" s="713" t="str">
        <f>IFERROR(WWWW[[#This Row],['#_Water sources treated]]/WWWW[[#This Row],['#_Water sources tested for contamination]],"no test")</f>
        <v>no test</v>
      </c>
      <c r="BR647" s="710" t="str">
        <f>IFERROR(WWWW[[#This Row],['#_Household received remediation action due to contamination]]/WWWW[[#This Row],['#_Household water samples tested for contamination]],"no test")</f>
        <v>no test</v>
      </c>
      <c r="BS647" s="712" t="str">
        <f>IF(AND(WWWW[[#This Row],[% of water sources treated]]="no test",WWWW[[#This Row],[% Household received corrective actions]]="no test"),"No Test","Tested")</f>
        <v>No Test</v>
      </c>
      <c r="BT647" s="712">
        <f>WWWW[[#This Row],['#_Constructed/existing protected hand dug well]]-WWWW[[#This Row],['#_Non-functional protected hand dug well]]</f>
        <v>1</v>
      </c>
      <c r="BU647" s="712">
        <f>(WWWW[[#This Row],['#_Constructed/Existing tube wells/boreholes/handpumps_WASH_agency]]+WWWW[[#This Row],['#_Non-Cluster partner water tube-wells/boreholes/handpumps]])-WWWW[[#This Row],['#_Non-functional tube wells/boreholes/handpumps]]</f>
        <v>0</v>
      </c>
      <c r="BV647" s="712">
        <f>WWWW[[#This Row],['#_Constructed/Existingwater storage tank with gravity fed reticulation system]]-WWWW[[#This Row],['#_Non-functional storage tank gravity fed reticulation system]]</f>
        <v>2</v>
      </c>
      <c r="BW647" s="712">
        <f>WWWW[[#This Row],['#_Water boating or water trucking]]</f>
        <v>0</v>
      </c>
      <c r="BX647" s="712">
        <f>WWWW[[#This Row],['#_Constructed/Existing water distribution system from river or natural spring]]</f>
        <v>1</v>
      </c>
      <c r="BY64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47" s="710">
        <f>IF(WWWW[[#This Row],[Location Type 1]]="Village",WWWW[[#This Row],[Access to safe drinking water for Village]],WWWW[[#This Row],[Access to safe drinking water for Camp]])</f>
        <v>1</v>
      </c>
      <c r="CB647" s="708">
        <f>WWWW[[#This Row],[%Equitable and continuous access to sufficient quantity of safe drinking water]]*WWWW[[#This Row],[Total PoP ]]</f>
        <v>42</v>
      </c>
      <c r="CC647" s="710">
        <f>IF((WWWW[[#This Row],['#_Constructed/Existing protected/fenced ponds]]*250)/WWWW[[#This Row],[Total PoP ]]&gt;1,1,(WWWW[[#This Row],['#_Constructed/Existing protected/fenced ponds]]*250)/WWWW[[#This Row],[Total PoP ]])</f>
        <v>0</v>
      </c>
      <c r="CD647" s="708">
        <f>WWWW[[#This Row],[% Access to unimproved water points]]*WWWW[[#This Row],[Total PoP ]]</f>
        <v>0</v>
      </c>
      <c r="CE64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v>
      </c>
      <c r="CG647" s="708">
        <f>WWWW[[#This Row],[HRP1]]/500</f>
        <v>8.4000000000000005E-2</v>
      </c>
      <c r="CH647" s="714">
        <f>1-WWWW[[#This Row],[% Equitable and continuous access to sufficient quantity of domestic water]]</f>
        <v>0</v>
      </c>
      <c r="CI647" s="708">
        <f>WWWW[[#This Row],[%equitable and continuous access to sufficient quantity of safe drinking and domestic water''s GAP]]*WWWW[[#This Row],[Total PoP ]]</f>
        <v>0</v>
      </c>
      <c r="CJ647" s="712">
        <f>IF(WWWW[[#This Row],[Total required water points]]-WWWW[[#This Row],['#Water points coverage]]&lt;0,0,WWWW[[#This Row],[Total required water points]]-WWWW[[#This Row],['#Water points coverage]])</f>
        <v>0.91600000000000004</v>
      </c>
      <c r="CK647" s="712">
        <f>ROUND(IF(WWWW[[#This Row],[Total PoP ]]&lt;500,1,WWWW[[#This Row],[Total PoP ]]/500),0)</f>
        <v>1</v>
      </c>
      <c r="CL647" s="712">
        <f>(WWWW[[#This Row],['#_Constructed latrines_by_WASHAgencies]]+WWWW[[#This Row],['#_Non Cluster partner latrines]])-WWWW[[#This Row],['#_Non-functional latrines]]</f>
        <v>4</v>
      </c>
      <c r="CM64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4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42</v>
      </c>
      <c r="CO64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7" s="712">
        <f>IF(WWWW[[#This Row],[Location Type 1]]="Village","NA",IF(WWWW[[#This Row],['#_Constructed/Existing latrines in TLS]]*50&gt;WWWW[[#This Row],['#_students at TLS_CFS]],WWWW[[#This Row],['#_students at TLS_CFS]],(WWWW[[#This Row],['#_Constructed/Existing latrines in TLS]]*50)))</f>
        <v>0</v>
      </c>
      <c r="CQ647" s="712">
        <f>ROUND(IF(WWWW[[#This Row],[Location Type 1]]="camp",WWWW[[#This Row],[Total PoP ]]/20,IF(WWWW[[#This Row],[Location Type 1]]="Temporary Location",WWWW[[#This Row],[Total PoP ]]/50,(WWWW[[#This Row],[Total PoP ]]/6))),0)</f>
        <v>2</v>
      </c>
      <c r="CR647" s="712">
        <f>IF(WWWW[[#This Row],[Total required Latrines]]-(WWWW[[#This Row],['#_Constructed latrines_by_WASHAgencies]]+WWWW[[#This Row],['#_Non Cluster partner latrines]])&lt;0,0,WWWW[[#This Row],[Total required Latrines]]-(WWWW[[#This Row],['#_Constructed latrines_by_WASHAgencies]]+WWWW[[#This Row],['#_Non Cluster partner latrines]]))</f>
        <v>0</v>
      </c>
      <c r="CS647" s="714">
        <f>1-WWWW[[#This Row],[% people access to functioning Latrine]]</f>
        <v>0</v>
      </c>
      <c r="CT647" s="713">
        <f>IF(OR(WWWW[[#This Row],['#_Non-functional latrines]]="",WWWW[[#This Row],['#_Non-functional latrines]]=0),0,WWWW[[#This Row],['#_Non-functional latrines]]/(WWWW[[#This Row],['#_Constructed latrines_by_WASHAgencies]]+WWWW[[#This Row],['#_Non Cluster partner latrines]]))</f>
        <v>0</v>
      </c>
      <c r="CU647" s="708">
        <f>IF(500*(WWWW[[#This Row],['#_male hygiene promoters]]+WWWW[[#This Row],['#_female hygiene promoters]])&gt;WWWW[[#This Row],[Total PoP ]],WWWW[[#This Row],[Total PoP ]],500*(WWWW[[#This Row],['#_male hygiene promoters]]+WWWW[[#This Row],['#_female hygiene promoters]]))</f>
        <v>42</v>
      </c>
      <c r="CV64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7" s="712">
        <f>IF(WWWW[[#This Row],['# People with access to soap]]&gt;WWWW[[#This Row],['# People with access to Sanity Pads]],WWWW[[#This Row],['# People with access to soap]],WWWW[[#This Row],['# People with access to Sanity Pads]])</f>
        <v>0</v>
      </c>
      <c r="CY647" s="712">
        <f>IF(WWWW[[#This Row],['# people reached by regular dedicated hygiene promotion_5]]&gt;WWWW[[#This Row],['# People received regular supply of hygiene items_6]],WWWW[[#This Row],['# people reached by regular dedicated hygiene promotion_5]],WWWW[[#This Row],['# People received regular supply of hygiene items_6]])</f>
        <v>42</v>
      </c>
      <c r="CZ647" s="714">
        <f>IF(WWWW[[#This Row],[HRP3]]/WWWW[[#This Row],[Total PoP ]]&gt;100%,100%,WWWW[[#This Row],[HRP3]]/WWWW[[#This Row],[Total PoP ]])</f>
        <v>1</v>
      </c>
      <c r="DA647" s="713">
        <f>1-WWWW[[#This Row],[Hygiene Coverage%]]</f>
        <v>0</v>
      </c>
      <c r="DB647" s="710">
        <f>WWWW[[#This Row],['# people reached by regular dedicated hygiene promotion_5]]/WWWW[[#This Row],[Total PoP ]]</f>
        <v>1</v>
      </c>
      <c r="DC647" s="710">
        <f>IF(WWWW[[#This Row],['#_households that received standard amount of soap for this quarter]]/WWWW[[#This Row],[Total HH]]&gt;1,1,WWWW[[#This Row],['#_households that received standard amount of soap for this quarter]]/WWWW[[#This Row],[Total HH]])</f>
        <v>0</v>
      </c>
      <c r="DD647" s="710">
        <f>IF(WWWW[[#This Row],['#_households that received standard amount of sanitary pads for this quarter]]/WWWW[[#This Row],[Total HH]]&gt;1,1,WWWW[[#This Row],['#_households that received standard amount of sanitary pads for this quarter]]/WWWW[[#This Row],[Total HH]])</f>
        <v>0</v>
      </c>
      <c r="DE647" s="712">
        <f>WWWW[[#This Row],['#_Constructed/Existing hand washing stations]]-WWWW[[#This Row],['#_Non-Functional_hand_washing_stations]]</f>
        <v>0</v>
      </c>
      <c r="DF647" s="757">
        <f>IF(WWWW[[#This Row],['# Functional hand washing stations during reporting period]]*20&gt;WWWW[[#This Row],[Total HH]],WWWW[[#This Row],[Total HH]],WWWW[[#This Row],['# Functional hand washing stations during reporting period]]*20)</f>
        <v>0</v>
      </c>
      <c r="DG647" s="708">
        <f>IF(WWWW[[#This Row],[Is sufficient soap available for TLS? (Yes/No)]]="yes",WWWW[[#This Row],['#_Constructed/Existing hand washing stations at TLS]],0)</f>
        <v>0</v>
      </c>
      <c r="DH647" s="759">
        <f>IF(WWWW[[#This Row],['# Functional hand washing stations during reporting period]]*100&gt;WWWW[[#This Row],[Total PoP ]],WWWW[[#This Row],[Total PoP ]],WWWW[[#This Row],['# Functional hand washing stations during reporting period]]*100)</f>
        <v>0</v>
      </c>
      <c r="DI647" s="759" t="str">
        <f>IF(OR(WWWW[[#This Row],['#_students at TLS_CFS]]="",WWWW[[#This Row],['#_students at TLS_CFS]]=0),"No","Yes")</f>
        <v>No</v>
      </c>
      <c r="DJ647" s="711" t="str">
        <f>VLOOKUP(WWWW[[#This Row],[Site Name]],SiteDB6[[Site Name]:[CCCM Management]],6,FALSE)</f>
        <v>Yes</v>
      </c>
      <c r="DK647" s="711" t="str">
        <f>VLOOKUP(WWWW[[#This Row],[Site Name]],SiteDB6[[Site Name]:[CCCM Focal Agency]],7,FALSE)</f>
        <v>uncovered</v>
      </c>
      <c r="DL647" s="711" t="str">
        <f>VLOOKUP(WWWW[[#This Row],[Site Name]],SiteDB6[[Site Name]:[Location Type 1]],9,FALSE)</f>
        <v>Camp</v>
      </c>
      <c r="DM647" s="711" t="str">
        <f>VLOOKUP(WWWW[[#This Row],[Site Name]],SiteDB6[[Site Name]:[Type of Accommodation]],10,FALSE)</f>
        <v>Camp like setting</v>
      </c>
      <c r="DN647" s="711" t="str">
        <f>VLOOKUP(WWWW[[#This Row],[Site Name]],SiteDB6[[Site Name]:[Ethnic or GCA/NGCA]],11,FALSE)</f>
        <v>GCA</v>
      </c>
      <c r="DO647" s="711">
        <f>VLOOKUP(WWWW[[#This Row],[Site Name]],SiteDB6[[Site Name]:[Lat]],12,FALSE)</f>
        <v>25.617998</v>
      </c>
      <c r="DP647" s="711">
        <f>VLOOKUP(WWWW[[#This Row],[Site Name]],SiteDB6[[Site Name]:[Long]],13,FALSE)</f>
        <v>96.339590000000001</v>
      </c>
      <c r="DQ647" s="711" t="str">
        <f>VLOOKUP(WWWW[[#This Row],[Site Name]],SiteDB6[[Site Name]:[Pcode]],3,FALSE)</f>
        <v>MMR001CMP192</v>
      </c>
      <c r="DR647" s="709" t="str">
        <f t="shared" si="24"/>
        <v>Covered</v>
      </c>
      <c r="DS647" s="709"/>
    </row>
    <row r="648" spans="1:123">
      <c r="A648" s="701" t="s">
        <v>2519</v>
      </c>
      <c r="B648" s="701" t="s">
        <v>250</v>
      </c>
      <c r="C648" s="702" t="s">
        <v>250</v>
      </c>
      <c r="D648" s="702" t="s">
        <v>315</v>
      </c>
      <c r="E648" s="702" t="s">
        <v>39</v>
      </c>
      <c r="F648" s="702" t="s">
        <v>150</v>
      </c>
      <c r="G648" s="711" t="str">
        <f>VLOOKUP(WWWW[[#This Row],[Site Name]],SiteDB6[[Site Name]:[Location Type]],8,FALSE)</f>
        <v>Camp</v>
      </c>
      <c r="H648" s="702" t="s">
        <v>278</v>
      </c>
      <c r="I648" s="705">
        <v>19</v>
      </c>
      <c r="J648" s="705">
        <v>82</v>
      </c>
      <c r="K648" s="706">
        <v>43313</v>
      </c>
      <c r="L648" s="707">
        <v>44043</v>
      </c>
      <c r="M648" s="705"/>
      <c r="N648" s="705">
        <v>1</v>
      </c>
      <c r="O648" s="705">
        <v>0</v>
      </c>
      <c r="P648" s="705">
        <v>0</v>
      </c>
      <c r="Q648" s="708" t="s">
        <v>43</v>
      </c>
      <c r="R648" s="705">
        <v>0</v>
      </c>
      <c r="S648" s="705">
        <v>4</v>
      </c>
      <c r="T648" s="807">
        <v>1</v>
      </c>
      <c r="U648" s="705"/>
      <c r="V648" s="705"/>
      <c r="W648" s="705">
        <v>2</v>
      </c>
      <c r="X648" s="705">
        <v>0</v>
      </c>
      <c r="Y648" s="705"/>
      <c r="Z648" s="705"/>
      <c r="AA648" s="705">
        <v>0</v>
      </c>
      <c r="AB648" s="705"/>
      <c r="AC648" s="705"/>
      <c r="AD648" s="705">
        <v>0</v>
      </c>
      <c r="AE648" s="705">
        <v>0</v>
      </c>
      <c r="AF648" s="705">
        <v>0</v>
      </c>
      <c r="AG648" s="705">
        <v>0</v>
      </c>
      <c r="AH648" s="705">
        <v>0</v>
      </c>
      <c r="AI648" s="705"/>
      <c r="AJ648" s="705"/>
      <c r="AK648" s="705"/>
      <c r="AL648" s="705"/>
      <c r="AM648" s="705">
        <v>0</v>
      </c>
      <c r="AN648" s="705"/>
      <c r="AO648" s="709"/>
      <c r="AP648" s="705">
        <v>6</v>
      </c>
      <c r="AQ648" s="705">
        <v>0</v>
      </c>
      <c r="AR648" s="710"/>
      <c r="AS648" s="705"/>
      <c r="AT648" s="705"/>
      <c r="AU648" s="705"/>
      <c r="AV648" s="705"/>
      <c r="AW648" s="705">
        <v>0</v>
      </c>
      <c r="AX648" s="711" t="s">
        <v>43</v>
      </c>
      <c r="AY648" s="709" t="s">
        <v>145</v>
      </c>
      <c r="AZ648" s="705">
        <v>0</v>
      </c>
      <c r="BA648" s="705">
        <v>0</v>
      </c>
      <c r="BB648" s="705">
        <v>0</v>
      </c>
      <c r="BC648" s="711"/>
      <c r="BD648" s="705">
        <v>1</v>
      </c>
      <c r="BE648" s="705"/>
      <c r="BF648" s="705">
        <v>0</v>
      </c>
      <c r="BG648" s="705">
        <v>2</v>
      </c>
      <c r="BH648" s="705"/>
      <c r="BI648" s="705">
        <v>0</v>
      </c>
      <c r="BJ648" s="705">
        <v>0</v>
      </c>
      <c r="BK648" s="705"/>
      <c r="BL648" s="705"/>
      <c r="BM648" s="711" t="s">
        <v>144</v>
      </c>
      <c r="BN648" s="712"/>
      <c r="BO648" s="710">
        <v>0</v>
      </c>
      <c r="BP648" s="711"/>
      <c r="BQ648" s="713" t="str">
        <f>IFERROR(WWWW[[#This Row],['#_Water sources treated]]/WWWW[[#This Row],['#_Water sources tested for contamination]],"no test")</f>
        <v>no test</v>
      </c>
      <c r="BR648" s="710" t="str">
        <f>IFERROR(WWWW[[#This Row],['#_Household received remediation action due to contamination]]/WWWW[[#This Row],['#_Household water samples tested for contamination]],"no test")</f>
        <v>no test</v>
      </c>
      <c r="BS648" s="712" t="str">
        <f>IF(AND(WWWW[[#This Row],[% of water sources treated]]="no test",WWWW[[#This Row],[% Household received corrective actions]]="no test"),"No Test","Tested")</f>
        <v>No Test</v>
      </c>
      <c r="BT648" s="712">
        <f>WWWW[[#This Row],['#_Constructed/existing protected hand dug well]]-WWWW[[#This Row],['#_Non-functional protected hand dug well]]</f>
        <v>1</v>
      </c>
      <c r="BU648" s="712">
        <f>(WWWW[[#This Row],['#_Constructed/Existing tube wells/boreholes/handpumps_WASH_agency]]+WWWW[[#This Row],['#_Non-Cluster partner water tube-wells/boreholes/handpumps]])-WWWW[[#This Row],['#_Non-functional tube wells/boreholes/handpumps]]</f>
        <v>2</v>
      </c>
      <c r="BV648" s="712">
        <f>WWWW[[#This Row],['#_Constructed/Existingwater storage tank with gravity fed reticulation system]]-WWWW[[#This Row],['#_Non-functional storage tank gravity fed reticulation system]]</f>
        <v>0</v>
      </c>
      <c r="BW648" s="712">
        <f>WWWW[[#This Row],['#_Water boating or water trucking]]</f>
        <v>0</v>
      </c>
      <c r="BX648" s="712">
        <f>WWWW[[#This Row],['#_Constructed/Existing water distribution system from river or natural spring]]</f>
        <v>0</v>
      </c>
      <c r="BY64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4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48" s="710">
        <f>IF(WWWW[[#This Row],[Location Type 1]]="Village",WWWW[[#This Row],[Access to safe drinking water for Village]],WWWW[[#This Row],[Access to safe drinking water for Camp]])</f>
        <v>1</v>
      </c>
      <c r="CB648" s="708">
        <f>WWWW[[#This Row],[%Equitable and continuous access to sufficient quantity of safe drinking water]]*WWWW[[#This Row],[Total PoP ]]</f>
        <v>82</v>
      </c>
      <c r="CC648" s="710">
        <f>IF((WWWW[[#This Row],['#_Constructed/Existing protected/fenced ponds]]*250)/WWWW[[#This Row],[Total PoP ]]&gt;1,1,(WWWW[[#This Row],['#_Constructed/Existing protected/fenced ponds]]*250)/WWWW[[#This Row],[Total PoP ]])</f>
        <v>0</v>
      </c>
      <c r="CD648" s="708">
        <f>WWWW[[#This Row],[% Access to unimproved water points]]*WWWW[[#This Row],[Total PoP ]]</f>
        <v>0</v>
      </c>
      <c r="CE64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4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G648" s="708">
        <f>WWWW[[#This Row],[HRP1]]/500</f>
        <v>0.16400000000000001</v>
      </c>
      <c r="CH648" s="714">
        <f>1-WWWW[[#This Row],[% Equitable and continuous access to sufficient quantity of domestic water]]</f>
        <v>0</v>
      </c>
      <c r="CI648" s="708">
        <f>WWWW[[#This Row],[%equitable and continuous access to sufficient quantity of safe drinking and domestic water''s GAP]]*WWWW[[#This Row],[Total PoP ]]</f>
        <v>0</v>
      </c>
      <c r="CJ648" s="712">
        <f>IF(WWWW[[#This Row],[Total required water points]]-WWWW[[#This Row],['#Water points coverage]]&lt;0,0,WWWW[[#This Row],[Total required water points]]-WWWW[[#This Row],['#Water points coverage]])</f>
        <v>0.83599999999999997</v>
      </c>
      <c r="CK648" s="712">
        <f>ROUND(IF(WWWW[[#This Row],[Total PoP ]]&lt;500,1,WWWW[[#This Row],[Total PoP ]]/500),0)</f>
        <v>1</v>
      </c>
      <c r="CL648" s="712">
        <f>(WWWW[[#This Row],['#_Constructed latrines_by_WASHAgencies]]+WWWW[[#This Row],['#_Non Cluster partner latrines]])-WWWW[[#This Row],['#_Non-functional latrines]]</f>
        <v>6</v>
      </c>
      <c r="CM64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4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82</v>
      </c>
      <c r="CO64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8" s="712">
        <f>IF(WWWW[[#This Row],[Location Type 1]]="Village","NA",IF(WWWW[[#This Row],['#_Constructed/Existing latrines in TLS]]*50&gt;WWWW[[#This Row],['#_students at TLS_CFS]],WWWW[[#This Row],['#_students at TLS_CFS]],(WWWW[[#This Row],['#_Constructed/Existing latrines in TLS]]*50)))</f>
        <v>0</v>
      </c>
      <c r="CQ648" s="712">
        <f>ROUND(IF(WWWW[[#This Row],[Location Type 1]]="camp",WWWW[[#This Row],[Total PoP ]]/20,IF(WWWW[[#This Row],[Location Type 1]]="Temporary Location",WWWW[[#This Row],[Total PoP ]]/50,(WWWW[[#This Row],[Total PoP ]]/6))),0)</f>
        <v>4</v>
      </c>
      <c r="CR648" s="712">
        <f>IF(WWWW[[#This Row],[Total required Latrines]]-(WWWW[[#This Row],['#_Constructed latrines_by_WASHAgencies]]+WWWW[[#This Row],['#_Non Cluster partner latrines]])&lt;0,0,WWWW[[#This Row],[Total required Latrines]]-(WWWW[[#This Row],['#_Constructed latrines_by_WASHAgencies]]+WWWW[[#This Row],['#_Non Cluster partner latrines]]))</f>
        <v>0</v>
      </c>
      <c r="CS648" s="714">
        <f>1-WWWW[[#This Row],[% people access to functioning Latrine]]</f>
        <v>0</v>
      </c>
      <c r="CT648" s="713">
        <f>IF(OR(WWWW[[#This Row],['#_Non-functional latrines]]="",WWWW[[#This Row],['#_Non-functional latrines]]=0),0,WWWW[[#This Row],['#_Non-functional latrines]]/(WWWW[[#This Row],['#_Constructed latrines_by_WASHAgencies]]+WWWW[[#This Row],['#_Non Cluster partner latrines]]))</f>
        <v>0</v>
      </c>
      <c r="CU648" s="708">
        <f>IF(500*(WWWW[[#This Row],['#_male hygiene promoters]]+WWWW[[#This Row],['#_female hygiene promoters]])&gt;WWWW[[#This Row],[Total PoP ]],WWWW[[#This Row],[Total PoP ]],500*(WWWW[[#This Row],['#_male hygiene promoters]]+WWWW[[#This Row],['#_female hygiene promoters]]))</f>
        <v>0</v>
      </c>
      <c r="CV64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8" s="712">
        <f>IF(WWWW[[#This Row],['# People with access to soap]]&gt;WWWW[[#This Row],['# People with access to Sanity Pads]],WWWW[[#This Row],['# People with access to soap]],WWWW[[#This Row],['# People with access to Sanity Pads]])</f>
        <v>0</v>
      </c>
      <c r="CY64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48" s="714">
        <f>IF(WWWW[[#This Row],[HRP3]]/WWWW[[#This Row],[Total PoP ]]&gt;100%,100%,WWWW[[#This Row],[HRP3]]/WWWW[[#This Row],[Total PoP ]])</f>
        <v>0</v>
      </c>
      <c r="DA648" s="713">
        <f>1-WWWW[[#This Row],[Hygiene Coverage%]]</f>
        <v>1</v>
      </c>
      <c r="DB648" s="710">
        <f>WWWW[[#This Row],['# people reached by regular dedicated hygiene promotion_5]]/WWWW[[#This Row],[Total PoP ]]</f>
        <v>0</v>
      </c>
      <c r="DC648" s="710">
        <f>IF(WWWW[[#This Row],['#_households that received standard amount of soap for this quarter]]/WWWW[[#This Row],[Total HH]]&gt;1,1,WWWW[[#This Row],['#_households that received standard amount of soap for this quarter]]/WWWW[[#This Row],[Total HH]])</f>
        <v>0</v>
      </c>
      <c r="DD648" s="710">
        <f>IF(WWWW[[#This Row],['#_households that received standard amount of sanitary pads for this quarter]]/WWWW[[#This Row],[Total HH]]&gt;1,1,WWWW[[#This Row],['#_households that received standard amount of sanitary pads for this quarter]]/WWWW[[#This Row],[Total HH]])</f>
        <v>0</v>
      </c>
      <c r="DE648" s="712">
        <f>WWWW[[#This Row],['#_Constructed/Existing hand washing stations]]-WWWW[[#This Row],['#_Non-Functional_hand_washing_stations]]</f>
        <v>1</v>
      </c>
      <c r="DF648" s="757">
        <f>IF(WWWW[[#This Row],['# Functional hand washing stations during reporting period]]*20&gt;WWWW[[#This Row],[Total HH]],WWWW[[#This Row],[Total HH]],WWWW[[#This Row],['# Functional hand washing stations during reporting period]]*20)</f>
        <v>19</v>
      </c>
      <c r="DG648" s="708">
        <f>IF(WWWW[[#This Row],[Is sufficient soap available for TLS? (Yes/No)]]="yes",WWWW[[#This Row],['#_Constructed/Existing hand washing stations at TLS]],0)</f>
        <v>0</v>
      </c>
      <c r="DH648" s="759">
        <f>IF(WWWW[[#This Row],['# Functional hand washing stations during reporting period]]*100&gt;WWWW[[#This Row],[Total PoP ]],WWWW[[#This Row],[Total PoP ]],WWWW[[#This Row],['# Functional hand washing stations during reporting period]]*100)</f>
        <v>82</v>
      </c>
      <c r="DI648" s="759" t="str">
        <f>IF(OR(WWWW[[#This Row],['#_students at TLS_CFS]]="",WWWW[[#This Row],['#_students at TLS_CFS]]=0),"No","Yes")</f>
        <v>No</v>
      </c>
      <c r="DJ648" s="711" t="str">
        <f>VLOOKUP(WWWW[[#This Row],[Site Name]],SiteDB6[[Site Name]:[CCCM Management]],6,FALSE)</f>
        <v>Yes</v>
      </c>
      <c r="DK648" s="711" t="str">
        <f>VLOOKUP(WWWW[[#This Row],[Site Name]],SiteDB6[[Site Name]:[CCCM Focal Agency]],7,FALSE)</f>
        <v>Shalom</v>
      </c>
      <c r="DL648" s="711" t="str">
        <f>VLOOKUP(WWWW[[#This Row],[Site Name]],SiteDB6[[Site Name]:[Location Type 1]],9,FALSE)</f>
        <v>Camp</v>
      </c>
      <c r="DM648" s="711" t="str">
        <f>VLOOKUP(WWWW[[#This Row],[Site Name]],SiteDB6[[Site Name]:[Type of Accommodation]],10,FALSE)</f>
        <v>Camp</v>
      </c>
      <c r="DN648" s="711" t="str">
        <f>VLOOKUP(WWWW[[#This Row],[Site Name]],SiteDB6[[Site Name]:[Ethnic or GCA/NGCA]],11,FALSE)</f>
        <v>GCA</v>
      </c>
      <c r="DO648" s="711">
        <f>VLOOKUP(WWWW[[#This Row],[Site Name]],SiteDB6[[Site Name]:[Lat]],12,FALSE)</f>
        <v>25.351965</v>
      </c>
      <c r="DP648" s="711">
        <f>VLOOKUP(WWWW[[#This Row],[Site Name]],SiteDB6[[Site Name]:[Long]],13,FALSE)</f>
        <v>97.345039</v>
      </c>
      <c r="DQ648" s="711" t="str">
        <f>VLOOKUP(WWWW[[#This Row],[Site Name]],SiteDB6[[Site Name]:[Pcode]],3,FALSE)</f>
        <v>MMR001CMP033</v>
      </c>
      <c r="DR648" s="709" t="str">
        <f t="shared" si="24"/>
        <v>Covered</v>
      </c>
      <c r="DS648" s="709"/>
    </row>
    <row r="649" spans="1:123">
      <c r="A649" s="701" t="s">
        <v>2519</v>
      </c>
      <c r="B649" s="701" t="s">
        <v>38</v>
      </c>
      <c r="C649" s="702" t="s">
        <v>38</v>
      </c>
      <c r="D649" s="584" t="s">
        <v>3336</v>
      </c>
      <c r="E649" s="702" t="s">
        <v>39</v>
      </c>
      <c r="F649" s="702" t="s">
        <v>154</v>
      </c>
      <c r="G649" s="711" t="str">
        <f>VLOOKUP(WWWW[[#This Row],[Site Name]],SiteDB6[[Site Name]:[Location Type]],8,FALSE)</f>
        <v>Camp</v>
      </c>
      <c r="H649" s="702" t="s">
        <v>233</v>
      </c>
      <c r="I649" s="705">
        <v>57</v>
      </c>
      <c r="J649" s="705">
        <v>264</v>
      </c>
      <c r="K649" s="706" t="s">
        <v>3315</v>
      </c>
      <c r="L649" s="707" t="s">
        <v>3316</v>
      </c>
      <c r="M649" s="705">
        <v>148</v>
      </c>
      <c r="N649" s="705"/>
      <c r="O649" s="705"/>
      <c r="P649" s="705"/>
      <c r="Q649" s="708" t="s">
        <v>43</v>
      </c>
      <c r="R649" s="705"/>
      <c r="S649" s="705"/>
      <c r="T649" s="807"/>
      <c r="U649" s="705"/>
      <c r="V649" s="705"/>
      <c r="W649" s="705"/>
      <c r="X649" s="705"/>
      <c r="Y649" s="705"/>
      <c r="Z649" s="705"/>
      <c r="AA649" s="705">
        <v>1</v>
      </c>
      <c r="AB649" s="705"/>
      <c r="AC649" s="705"/>
      <c r="AD649" s="705"/>
      <c r="AE649" s="705"/>
      <c r="AF649" s="705"/>
      <c r="AG649" s="705"/>
      <c r="AH649" s="705"/>
      <c r="AI649" s="705"/>
      <c r="AJ649" s="705"/>
      <c r="AK649" s="705"/>
      <c r="AL649" s="705"/>
      <c r="AM649" s="705"/>
      <c r="AN649" s="705"/>
      <c r="AO649" s="709"/>
      <c r="AP649" s="705">
        <v>28</v>
      </c>
      <c r="AQ649" s="705"/>
      <c r="AR649" s="710"/>
      <c r="AS649" s="705"/>
      <c r="AT649" s="705"/>
      <c r="AU649" s="705"/>
      <c r="AV649" s="705"/>
      <c r="AW649" s="705"/>
      <c r="AX649" s="711" t="s">
        <v>43</v>
      </c>
      <c r="AY649" s="709" t="s">
        <v>145</v>
      </c>
      <c r="AZ649" s="705">
        <v>2</v>
      </c>
      <c r="BA649" s="705"/>
      <c r="BB649" s="705"/>
      <c r="BC649" s="711"/>
      <c r="BD649" s="705"/>
      <c r="BE649" s="705"/>
      <c r="BF649" s="705"/>
      <c r="BG649" s="705">
        <v>2</v>
      </c>
      <c r="BH649" s="705"/>
      <c r="BI649" s="705">
        <v>1</v>
      </c>
      <c r="BJ649" s="705"/>
      <c r="BK649" s="705"/>
      <c r="BL649" s="705"/>
      <c r="BM649" s="711" t="s">
        <v>144</v>
      </c>
      <c r="BN649" s="712"/>
      <c r="BO649" s="710"/>
      <c r="BP649" s="711"/>
      <c r="BQ649" s="713" t="str">
        <f>IFERROR(WWWW[[#This Row],['#_Water sources treated]]/WWWW[[#This Row],['#_Water sources tested for contamination]],"no test")</f>
        <v>no test</v>
      </c>
      <c r="BR649" s="710" t="str">
        <f>IFERROR(WWWW[[#This Row],['#_Household received remediation action due to contamination]]/WWWW[[#This Row],['#_Household water samples tested for contamination]],"no test")</f>
        <v>no test</v>
      </c>
      <c r="BS649" s="712" t="str">
        <f>IF(AND(WWWW[[#This Row],[% of water sources treated]]="no test",WWWW[[#This Row],[% Household received corrective actions]]="no test"),"No Test","Tested")</f>
        <v>No Test</v>
      </c>
      <c r="BT649" s="712">
        <f>WWWW[[#This Row],['#_Constructed/existing protected hand dug well]]-WWWW[[#This Row],['#_Non-functional protected hand dug well]]</f>
        <v>0</v>
      </c>
      <c r="BU649" s="712">
        <f>(WWWW[[#This Row],['#_Constructed/Existing tube wells/boreholes/handpumps_WASH_agency]]+WWWW[[#This Row],['#_Non-Cluster partner water tube-wells/boreholes/handpumps]])-WWWW[[#This Row],['#_Non-functional tube wells/boreholes/handpumps]]</f>
        <v>0</v>
      </c>
      <c r="BV649" s="712">
        <f>WWWW[[#This Row],['#_Constructed/Existingwater storage tank with gravity fed reticulation system]]-WWWW[[#This Row],['#_Non-functional storage tank gravity fed reticulation system]]</f>
        <v>1</v>
      </c>
      <c r="BW649" s="712">
        <f>WWWW[[#This Row],['#_Water boating or water trucking]]</f>
        <v>0</v>
      </c>
      <c r="BX649" s="712">
        <f>WWWW[[#This Row],['#_Constructed/Existing water distribution system from river or natural spring]]</f>
        <v>0</v>
      </c>
      <c r="BY64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0.25252525252525254</v>
      </c>
      <c r="BZ64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0.25252525252525254</v>
      </c>
      <c r="CA649" s="710">
        <f>IF(WWWW[[#This Row],[Location Type 1]]="Village",WWWW[[#This Row],[Access to safe drinking water for Village]],WWWW[[#This Row],[Access to safe drinking water for Camp]])</f>
        <v>0.25252525252525254</v>
      </c>
      <c r="CB649" s="708">
        <f>WWWW[[#This Row],[%Equitable and continuous access to sufficient quantity of safe drinking water]]*WWWW[[#This Row],[Total PoP ]]</f>
        <v>66.666666666666671</v>
      </c>
      <c r="CC649" s="710">
        <f>IF((WWWW[[#This Row],['#_Constructed/Existing protected/fenced ponds]]*250)/WWWW[[#This Row],[Total PoP ]]&gt;1,1,(WWWW[[#This Row],['#_Constructed/Existing protected/fenced ponds]]*250)/WWWW[[#This Row],[Total PoP ]])</f>
        <v>0</v>
      </c>
      <c r="CD649" s="708">
        <f>WWWW[[#This Row],[% Access to unimproved water points]]*WWWW[[#This Row],[Total PoP ]]</f>
        <v>0</v>
      </c>
      <c r="CE64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0.25252525252525254</v>
      </c>
      <c r="CF64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649" s="708">
        <f>WWWW[[#This Row],[HRP1]]/500</f>
        <v>0.13333333333333333</v>
      </c>
      <c r="CH649" s="714">
        <f>1-WWWW[[#This Row],[% Equitable and continuous access to sufficient quantity of domestic water]]</f>
        <v>0.7474747474747474</v>
      </c>
      <c r="CI649" s="708">
        <f>WWWW[[#This Row],[%equitable and continuous access to sufficient quantity of safe drinking and domestic water''s GAP]]*WWWW[[#This Row],[Total PoP ]]</f>
        <v>197.33333333333331</v>
      </c>
      <c r="CJ649" s="712">
        <f>IF(WWWW[[#This Row],[Total required water points]]-WWWW[[#This Row],['#Water points coverage]]&lt;0,0,WWWW[[#This Row],[Total required water points]]-WWWW[[#This Row],['#Water points coverage]])</f>
        <v>0.8666666666666667</v>
      </c>
      <c r="CK649" s="712">
        <f>ROUND(IF(WWWW[[#This Row],[Total PoP ]]&lt;500,1,WWWW[[#This Row],[Total PoP ]]/500),0)</f>
        <v>1</v>
      </c>
      <c r="CL649" s="712">
        <f>(WWWW[[#This Row],['#_Constructed latrines_by_WASHAgencies]]+WWWW[[#This Row],['#_Non Cluster partner latrines]])-WWWW[[#This Row],['#_Non-functional latrines]]</f>
        <v>28</v>
      </c>
      <c r="CM64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4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264</v>
      </c>
      <c r="CO64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49" s="712">
        <f>IF(WWWW[[#This Row],[Location Type 1]]="Village","NA",IF(WWWW[[#This Row],['#_Constructed/Existing latrines in TLS]]*50&gt;WWWW[[#This Row],['#_students at TLS_CFS]],WWWW[[#This Row],['#_students at TLS_CFS]],(WWWW[[#This Row],['#_Constructed/Existing latrines in TLS]]*50)))</f>
        <v>0</v>
      </c>
      <c r="CQ649" s="712">
        <f>ROUND(IF(WWWW[[#This Row],[Location Type 1]]="camp",WWWW[[#This Row],[Total PoP ]]/20,IF(WWWW[[#This Row],[Location Type 1]]="Temporary Location",WWWW[[#This Row],[Total PoP ]]/50,(WWWW[[#This Row],[Total PoP ]]/6))),0)</f>
        <v>13</v>
      </c>
      <c r="CR649" s="712">
        <f>IF(WWWW[[#This Row],[Total required Latrines]]-(WWWW[[#This Row],['#_Constructed latrines_by_WASHAgencies]]+WWWW[[#This Row],['#_Non Cluster partner latrines]])&lt;0,0,WWWW[[#This Row],[Total required Latrines]]-(WWWW[[#This Row],['#_Constructed latrines_by_WASHAgencies]]+WWWW[[#This Row],['#_Non Cluster partner latrines]]))</f>
        <v>0</v>
      </c>
      <c r="CS649" s="714">
        <f>1-WWWW[[#This Row],[% people access to functioning Latrine]]</f>
        <v>0</v>
      </c>
      <c r="CT649" s="713">
        <f>IF(OR(WWWW[[#This Row],['#_Non-functional latrines]]="",WWWW[[#This Row],['#_Non-functional latrines]]=0),0,WWWW[[#This Row],['#_Non-functional latrines]]/(WWWW[[#This Row],['#_Constructed latrines_by_WASHAgencies]]+WWWW[[#This Row],['#_Non Cluster partner latrines]]))</f>
        <v>0</v>
      </c>
      <c r="CU649" s="708">
        <f>IF(500*(WWWW[[#This Row],['#_male hygiene promoters]]+WWWW[[#This Row],['#_female hygiene promoters]])&gt;WWWW[[#This Row],[Total PoP ]],WWWW[[#This Row],[Total PoP ]],500*(WWWW[[#This Row],['#_male hygiene promoters]]+WWWW[[#This Row],['#_female hygiene promoters]]))</f>
        <v>264</v>
      </c>
      <c r="CV64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4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49" s="712">
        <f>IF(WWWW[[#This Row],['# People with access to soap]]&gt;WWWW[[#This Row],['# People with access to Sanity Pads]],WWWW[[#This Row],['# People with access to soap]],WWWW[[#This Row],['# People with access to Sanity Pads]])</f>
        <v>0</v>
      </c>
      <c r="CY649" s="712">
        <f>IF(WWWW[[#This Row],['# people reached by regular dedicated hygiene promotion_5]]&gt;WWWW[[#This Row],['# People received regular supply of hygiene items_6]],WWWW[[#This Row],['# people reached by regular dedicated hygiene promotion_5]],WWWW[[#This Row],['# People received regular supply of hygiene items_6]])</f>
        <v>264</v>
      </c>
      <c r="CZ649" s="714">
        <f>IF(WWWW[[#This Row],[HRP3]]/WWWW[[#This Row],[Total PoP ]]&gt;100%,100%,WWWW[[#This Row],[HRP3]]/WWWW[[#This Row],[Total PoP ]])</f>
        <v>1</v>
      </c>
      <c r="DA649" s="713">
        <f>1-WWWW[[#This Row],[Hygiene Coverage%]]</f>
        <v>0</v>
      </c>
      <c r="DB649" s="710">
        <f>WWWW[[#This Row],['# people reached by regular dedicated hygiene promotion_5]]/WWWW[[#This Row],[Total PoP ]]</f>
        <v>1</v>
      </c>
      <c r="DC649" s="710">
        <f>IF(WWWW[[#This Row],['#_households that received standard amount of soap for this quarter]]/WWWW[[#This Row],[Total HH]]&gt;1,1,WWWW[[#This Row],['#_households that received standard amount of soap for this quarter]]/WWWW[[#This Row],[Total HH]])</f>
        <v>0</v>
      </c>
      <c r="DD649" s="710">
        <f>IF(WWWW[[#This Row],['#_households that received standard amount of sanitary pads for this quarter]]/WWWW[[#This Row],[Total HH]]&gt;1,1,WWWW[[#This Row],['#_households that received standard amount of sanitary pads for this quarter]]/WWWW[[#This Row],[Total HH]])</f>
        <v>0</v>
      </c>
      <c r="DE649" s="712">
        <f>WWWW[[#This Row],['#_Constructed/Existing hand washing stations]]-WWWW[[#This Row],['#_Non-Functional_hand_washing_stations]]</f>
        <v>0</v>
      </c>
      <c r="DF649" s="757">
        <f>IF(WWWW[[#This Row],['# Functional hand washing stations during reporting period]]*20&gt;WWWW[[#This Row],[Total HH]],WWWW[[#This Row],[Total HH]],WWWW[[#This Row],['# Functional hand washing stations during reporting period]]*20)</f>
        <v>0</v>
      </c>
      <c r="DG649" s="708">
        <f>IF(WWWW[[#This Row],[Is sufficient soap available for TLS? (Yes/No)]]="yes",WWWW[[#This Row],['#_Constructed/Existing hand washing stations at TLS]],0)</f>
        <v>0</v>
      </c>
      <c r="DH649" s="759">
        <f>IF(WWWW[[#This Row],['# Functional hand washing stations during reporting period]]*100&gt;WWWW[[#This Row],[Total PoP ]],WWWW[[#This Row],[Total PoP ]],WWWW[[#This Row],['# Functional hand washing stations during reporting period]]*100)</f>
        <v>0</v>
      </c>
      <c r="DI649" s="759" t="str">
        <f>IF(OR(WWWW[[#This Row],['#_students at TLS_CFS]]="",WWWW[[#This Row],['#_students at TLS_CFS]]=0),"No","Yes")</f>
        <v>Yes</v>
      </c>
      <c r="DJ649" s="711" t="str">
        <f>VLOOKUP(WWWW[[#This Row],[Site Name]],SiteDB6[[Site Name]:[CCCM Management]],6,FALSE)</f>
        <v>Yes</v>
      </c>
      <c r="DK649" s="711" t="str">
        <f>VLOOKUP(WWWW[[#This Row],[Site Name]],SiteDB6[[Site Name]:[CCCM Focal Agency]],7,FALSE)</f>
        <v>KMSS-MYT</v>
      </c>
      <c r="DL649" s="711" t="str">
        <f>VLOOKUP(WWWW[[#This Row],[Site Name]],SiteDB6[[Site Name]:[Location Type 1]],9,FALSE)</f>
        <v>Camp</v>
      </c>
      <c r="DM649" s="711" t="str">
        <f>VLOOKUP(WWWW[[#This Row],[Site Name]],SiteDB6[[Site Name]:[Type of Accommodation]],10,FALSE)</f>
        <v>Camp</v>
      </c>
      <c r="DN649" s="711" t="str">
        <f>VLOOKUP(WWWW[[#This Row],[Site Name]],SiteDB6[[Site Name]:[Ethnic or GCA/NGCA]],11,FALSE)</f>
        <v>GCA</v>
      </c>
      <c r="DO649" s="711">
        <f>VLOOKUP(WWWW[[#This Row],[Site Name]],SiteDB6[[Site Name]:[Lat]],12,FALSE)</f>
        <v>25.60867</v>
      </c>
      <c r="DP649" s="711">
        <f>VLOOKUP(WWWW[[#This Row],[Site Name]],SiteDB6[[Site Name]:[Long]],13,FALSE)</f>
        <v>98.377780000000001</v>
      </c>
      <c r="DQ649" s="711" t="str">
        <f>VLOOKUP(WWWW[[#This Row],[Site Name]],SiteDB6[[Site Name]:[Pcode]],3,FALSE)</f>
        <v>MMR001CMP210</v>
      </c>
      <c r="DR649" s="709" t="str">
        <f t="shared" si="24"/>
        <v>Covered</v>
      </c>
      <c r="DS649" s="709"/>
    </row>
    <row r="650" spans="1:123">
      <c r="A650" s="701" t="s">
        <v>2519</v>
      </c>
      <c r="B650" s="701" t="s">
        <v>149</v>
      </c>
      <c r="C650" s="702" t="s">
        <v>149</v>
      </c>
      <c r="D650" s="702" t="s">
        <v>3268</v>
      </c>
      <c r="E650" s="702" t="s">
        <v>39</v>
      </c>
      <c r="F650" s="702" t="s">
        <v>160</v>
      </c>
      <c r="G650" s="711" t="str">
        <f>VLOOKUP(WWWW[[#This Row],[Site Name]],SiteDB6[[Site Name]:[Location Type]],8,FALSE)</f>
        <v>Camp</v>
      </c>
      <c r="H650" s="702" t="s">
        <v>2192</v>
      </c>
      <c r="I650" s="705">
        <v>105</v>
      </c>
      <c r="J650" s="705">
        <v>474</v>
      </c>
      <c r="K650" s="593" t="s">
        <v>3276</v>
      </c>
      <c r="L650" s="58" t="s">
        <v>3277</v>
      </c>
      <c r="M650" s="705"/>
      <c r="N650" s="705"/>
      <c r="O650" s="705"/>
      <c r="P650" s="705"/>
      <c r="Q650" s="708" t="s">
        <v>43</v>
      </c>
      <c r="R650" s="705"/>
      <c r="S650" s="705"/>
      <c r="T650" s="807">
        <v>1</v>
      </c>
      <c r="U650" s="705"/>
      <c r="V650" s="705"/>
      <c r="W650" s="705">
        <v>0</v>
      </c>
      <c r="X650" s="705"/>
      <c r="Y650" s="705"/>
      <c r="Z650" s="705"/>
      <c r="AA650" s="705"/>
      <c r="AB650" s="705"/>
      <c r="AC650" s="705"/>
      <c r="AD650" s="705"/>
      <c r="AE650" s="705"/>
      <c r="AF650" s="705"/>
      <c r="AG650" s="705"/>
      <c r="AH650" s="705">
        <v>2</v>
      </c>
      <c r="AI650" s="705"/>
      <c r="AJ650" s="705"/>
      <c r="AK650" s="705"/>
      <c r="AL650" s="705"/>
      <c r="AM650" s="705"/>
      <c r="AN650" s="705"/>
      <c r="AO650" s="709"/>
      <c r="AP650" s="705">
        <v>12</v>
      </c>
      <c r="AQ650" s="705"/>
      <c r="AR650" s="710"/>
      <c r="AS650" s="705"/>
      <c r="AT650" s="705"/>
      <c r="AU650" s="705"/>
      <c r="AV650" s="705"/>
      <c r="AW650" s="705">
        <v>12</v>
      </c>
      <c r="AX650" s="711" t="s">
        <v>43</v>
      </c>
      <c r="AY650" s="709" t="s">
        <v>145</v>
      </c>
      <c r="AZ650" s="705"/>
      <c r="BA650" s="705"/>
      <c r="BB650" s="705"/>
      <c r="BC650" s="711"/>
      <c r="BD650" s="705"/>
      <c r="BE650" s="705"/>
      <c r="BF650" s="705"/>
      <c r="BG650" s="705">
        <v>3</v>
      </c>
      <c r="BH650" s="705"/>
      <c r="BI650" s="705"/>
      <c r="BJ650" s="705">
        <v>2</v>
      </c>
      <c r="BK650" s="705"/>
      <c r="BL650" s="705"/>
      <c r="BM650" s="711"/>
      <c r="BN650" s="712"/>
      <c r="BO650" s="710"/>
      <c r="BP650" s="711"/>
      <c r="BQ650" s="713" t="str">
        <f>IFERROR(WWWW[[#This Row],['#_Water sources treated]]/WWWW[[#This Row],['#_Water sources tested for contamination]],"no test")</f>
        <v>no test</v>
      </c>
      <c r="BR650" s="710" t="str">
        <f>IFERROR(WWWW[[#This Row],['#_Household received remediation action due to contamination]]/WWWW[[#This Row],['#_Household water samples tested for contamination]],"no test")</f>
        <v>no test</v>
      </c>
      <c r="BS650" s="712" t="str">
        <f>IF(AND(WWWW[[#This Row],[% of water sources treated]]="no test",WWWW[[#This Row],[% Household received corrective actions]]="no test"),"No Test","Tested")</f>
        <v>No Test</v>
      </c>
      <c r="BT650" s="712">
        <f>WWWW[[#This Row],['#_Constructed/existing protected hand dug well]]-WWWW[[#This Row],['#_Non-functional protected hand dug well]]</f>
        <v>1</v>
      </c>
      <c r="BU650" s="712">
        <f>(WWWW[[#This Row],['#_Constructed/Existing tube wells/boreholes/handpumps_WASH_agency]]+WWWW[[#This Row],['#_Non-Cluster partner water tube-wells/boreholes/handpumps]])-WWWW[[#This Row],['#_Non-functional tube wells/boreholes/handpumps]]</f>
        <v>0</v>
      </c>
      <c r="BV650" s="712">
        <f>WWWW[[#This Row],['#_Constructed/Existingwater storage tank with gravity fed reticulation system]]-WWWW[[#This Row],['#_Non-functional storage tank gravity fed reticulation system]]</f>
        <v>0</v>
      </c>
      <c r="BW650" s="712">
        <f>WWWW[[#This Row],['#_Water boating or water trucking]]</f>
        <v>0</v>
      </c>
      <c r="BX650" s="712">
        <f>WWWW[[#This Row],['#_Constructed/Existing water distribution system from river or natural spring]]</f>
        <v>0</v>
      </c>
      <c r="BY65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0.84388185654008441</v>
      </c>
      <c r="BZ65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0.52742616033755274</v>
      </c>
      <c r="CA650" s="710">
        <f>IF(WWWW[[#This Row],[Location Type 1]]="Village",WWWW[[#This Row],[Access to safe drinking water for Village]],WWWW[[#This Row],[Access to safe drinking water for Camp]])</f>
        <v>0.84388185654008441</v>
      </c>
      <c r="CB650" s="708">
        <f>WWWW[[#This Row],[%Equitable and continuous access to sufficient quantity of safe drinking water]]*WWWW[[#This Row],[Total PoP ]]</f>
        <v>400</v>
      </c>
      <c r="CC650" s="710">
        <f>IF((WWWW[[#This Row],['#_Constructed/Existing protected/fenced ponds]]*250)/WWWW[[#This Row],[Total PoP ]]&gt;1,1,(WWWW[[#This Row],['#_Constructed/Existing protected/fenced ponds]]*250)/WWWW[[#This Row],[Total PoP ]])</f>
        <v>0</v>
      </c>
      <c r="CD650" s="708">
        <f>WWWW[[#This Row],[% Access to unimproved water points]]*WWWW[[#This Row],[Total PoP ]]</f>
        <v>0</v>
      </c>
      <c r="CE65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F65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G650" s="708">
        <f>WWWW[[#This Row],[HRP1]]/500</f>
        <v>0.8</v>
      </c>
      <c r="CH650" s="714">
        <f>1-WWWW[[#This Row],[% Equitable and continuous access to sufficient quantity of domestic water]]</f>
        <v>0.15611814345991559</v>
      </c>
      <c r="CI650" s="708">
        <f>WWWW[[#This Row],[%equitable and continuous access to sufficient quantity of safe drinking and domestic water''s GAP]]*WWWW[[#This Row],[Total PoP ]]</f>
        <v>73.999999999999986</v>
      </c>
      <c r="CJ650" s="712">
        <f>IF(WWWW[[#This Row],[Total required water points]]-WWWW[[#This Row],['#Water points coverage]]&lt;0,0,WWWW[[#This Row],[Total required water points]]-WWWW[[#This Row],['#Water points coverage]])</f>
        <v>0.19999999999999996</v>
      </c>
      <c r="CK650" s="712">
        <f>ROUND(IF(WWWW[[#This Row],[Total PoP ]]&lt;500,1,WWWW[[#This Row],[Total PoP ]]/500),0)</f>
        <v>1</v>
      </c>
      <c r="CL650" s="712">
        <f>(WWWW[[#This Row],['#_Constructed latrines_by_WASHAgencies]]+WWWW[[#This Row],['#_Non Cluster partner latrines]])-WWWW[[#This Row],['#_Non-functional latrines]]</f>
        <v>12</v>
      </c>
      <c r="CM65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0.50632911392405067</v>
      </c>
      <c r="CN65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65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0" s="712">
        <f>IF(WWWW[[#This Row],[Location Type 1]]="Village","NA",IF(WWWW[[#This Row],['#_Constructed/Existing latrines in TLS]]*50&gt;WWWW[[#This Row],['#_students at TLS_CFS]],WWWW[[#This Row],['#_students at TLS_CFS]],(WWWW[[#This Row],['#_Constructed/Existing latrines in TLS]]*50)))</f>
        <v>0</v>
      </c>
      <c r="CQ650" s="712">
        <f>ROUND(IF(WWWW[[#This Row],[Location Type 1]]="camp",WWWW[[#This Row],[Total PoP ]]/20,IF(WWWW[[#This Row],[Location Type 1]]="Temporary Location",WWWW[[#This Row],[Total PoP ]]/50,(WWWW[[#This Row],[Total PoP ]]/6))),0)</f>
        <v>24</v>
      </c>
      <c r="CR650" s="712">
        <f>IF(WWWW[[#This Row],[Total required Latrines]]-(WWWW[[#This Row],['#_Constructed latrines_by_WASHAgencies]]+WWWW[[#This Row],['#_Non Cluster partner latrines]])&lt;0,0,WWWW[[#This Row],[Total required Latrines]]-(WWWW[[#This Row],['#_Constructed latrines_by_WASHAgencies]]+WWWW[[#This Row],['#_Non Cluster partner latrines]]))</f>
        <v>12</v>
      </c>
      <c r="CS650" s="714">
        <f>1-WWWW[[#This Row],[% people access to functioning Latrine]]</f>
        <v>0.49367088607594933</v>
      </c>
      <c r="CT650" s="713">
        <f>IF(OR(WWWW[[#This Row],['#_Non-functional latrines]]="",WWWW[[#This Row],['#_Non-functional latrines]]=0),0,WWWW[[#This Row],['#_Non-functional latrines]]/(WWWW[[#This Row],['#_Constructed latrines_by_WASHAgencies]]+WWWW[[#This Row],['#_Non Cluster partner latrines]]))</f>
        <v>0</v>
      </c>
      <c r="CU650" s="708">
        <f>IF(500*(WWWW[[#This Row],['#_male hygiene promoters]]+WWWW[[#This Row],['#_female hygiene promoters]])&gt;WWWW[[#This Row],[Total PoP ]],WWWW[[#This Row],[Total PoP ]],500*(WWWW[[#This Row],['#_male hygiene promoters]]+WWWW[[#This Row],['#_female hygiene promoters]]))</f>
        <v>474</v>
      </c>
      <c r="CV65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0" s="712">
        <f>IF(WWWW[[#This Row],['# People with access to soap]]&gt;WWWW[[#This Row],['# People with access to Sanity Pads]],WWWW[[#This Row],['# People with access to soap]],WWWW[[#This Row],['# People with access to Sanity Pads]])</f>
        <v>0</v>
      </c>
      <c r="CY650" s="712">
        <f>IF(WWWW[[#This Row],['# people reached by regular dedicated hygiene promotion_5]]&gt;WWWW[[#This Row],['# People received regular supply of hygiene items_6]],WWWW[[#This Row],['# people reached by regular dedicated hygiene promotion_5]],WWWW[[#This Row],['# People received regular supply of hygiene items_6]])</f>
        <v>474</v>
      </c>
      <c r="CZ650" s="714">
        <f>IF(WWWW[[#This Row],[HRP3]]/WWWW[[#This Row],[Total PoP ]]&gt;100%,100%,WWWW[[#This Row],[HRP3]]/WWWW[[#This Row],[Total PoP ]])</f>
        <v>1</v>
      </c>
      <c r="DA650" s="713">
        <f>1-WWWW[[#This Row],[Hygiene Coverage%]]</f>
        <v>0</v>
      </c>
      <c r="DB650" s="710">
        <f>WWWW[[#This Row],['# people reached by regular dedicated hygiene promotion_5]]/WWWW[[#This Row],[Total PoP ]]</f>
        <v>1</v>
      </c>
      <c r="DC650" s="710">
        <f>IF(WWWW[[#This Row],['#_households that received standard amount of soap for this quarter]]/WWWW[[#This Row],[Total HH]]&gt;1,1,WWWW[[#This Row],['#_households that received standard amount of soap for this quarter]]/WWWW[[#This Row],[Total HH]])</f>
        <v>0</v>
      </c>
      <c r="DD650" s="710">
        <f>IF(WWWW[[#This Row],['#_households that received standard amount of sanitary pads for this quarter]]/WWWW[[#This Row],[Total HH]]&gt;1,1,WWWW[[#This Row],['#_households that received standard amount of sanitary pads for this quarter]]/WWWW[[#This Row],[Total HH]])</f>
        <v>0</v>
      </c>
      <c r="DE650" s="712">
        <f>WWWW[[#This Row],['#_Constructed/Existing hand washing stations]]-WWWW[[#This Row],['#_Non-Functional_hand_washing_stations]]</f>
        <v>0</v>
      </c>
      <c r="DF650" s="757">
        <f>IF(WWWW[[#This Row],['# Functional hand washing stations during reporting period]]*20&gt;WWWW[[#This Row],[Total HH]],WWWW[[#This Row],[Total HH]],WWWW[[#This Row],['# Functional hand washing stations during reporting period]]*20)</f>
        <v>0</v>
      </c>
      <c r="DG650" s="708">
        <f>IF(WWWW[[#This Row],[Is sufficient soap available for TLS? (Yes/No)]]="yes",WWWW[[#This Row],['#_Constructed/Existing hand washing stations at TLS]],0)</f>
        <v>0</v>
      </c>
      <c r="DH650" s="759">
        <f>IF(WWWW[[#This Row],['# Functional hand washing stations during reporting period]]*100&gt;WWWW[[#This Row],[Total PoP ]],WWWW[[#This Row],[Total PoP ]],WWWW[[#This Row],['# Functional hand washing stations during reporting period]]*100)</f>
        <v>0</v>
      </c>
      <c r="DI650" s="759" t="str">
        <f>IF(OR(WWWW[[#This Row],['#_students at TLS_CFS]]="",WWWW[[#This Row],['#_students at TLS_CFS]]=0),"No","Yes")</f>
        <v>No</v>
      </c>
      <c r="DJ650" s="711">
        <f>VLOOKUP(WWWW[[#This Row],[Site Name]],SiteDB6[[Site Name]:[CCCM Management]],6,FALSE)</f>
        <v>0</v>
      </c>
      <c r="DK650" s="711" t="str">
        <f>VLOOKUP(WWWW[[#This Row],[Site Name]],SiteDB6[[Site Name]:[CCCM Focal Agency]],7,FALSE)</f>
        <v>KBC</v>
      </c>
      <c r="DL650" s="711" t="str">
        <f>VLOOKUP(WWWW[[#This Row],[Site Name]],SiteDB6[[Site Name]:[Location Type 1]],9,FALSE)</f>
        <v>Camp</v>
      </c>
      <c r="DM650" s="711" t="str">
        <f>VLOOKUP(WWWW[[#This Row],[Site Name]],SiteDB6[[Site Name]:[Type of Accommodation]],10,FALSE)</f>
        <v>Camp</v>
      </c>
      <c r="DN650" s="711" t="str">
        <f>VLOOKUP(WWWW[[#This Row],[Site Name]],SiteDB6[[Site Name]:[Ethnic or GCA/NGCA]],11,FALSE)</f>
        <v>GCA</v>
      </c>
      <c r="DO650" s="711">
        <f>VLOOKUP(WWWW[[#This Row],[Site Name]],SiteDB6[[Site Name]:[Lat]],12,FALSE)</f>
        <v>97.104997409999996</v>
      </c>
      <c r="DP650" s="711">
        <f>VLOOKUP(WWWW[[#This Row],[Site Name]],SiteDB6[[Site Name]:[Long]],13,FALSE)</f>
        <v>25.379014999999999</v>
      </c>
      <c r="DQ650" s="711" t="str">
        <f>VLOOKUP(WWWW[[#This Row],[Site Name]],SiteDB6[[Site Name]:[Pcode]],3,FALSE)</f>
        <v>MMR001CMP261</v>
      </c>
      <c r="DR650" s="709" t="str">
        <f t="shared" si="24"/>
        <v>Covered</v>
      </c>
      <c r="DS650" s="709"/>
    </row>
    <row r="651" spans="1:123">
      <c r="A651" s="701" t="s">
        <v>2519</v>
      </c>
      <c r="B651" s="701" t="s">
        <v>38</v>
      </c>
      <c r="C651" s="702" t="s">
        <v>38</v>
      </c>
      <c r="D651" s="584" t="s">
        <v>3336</v>
      </c>
      <c r="E651" s="702" t="s">
        <v>39</v>
      </c>
      <c r="F651" s="702" t="s">
        <v>150</v>
      </c>
      <c r="G651" s="711" t="str">
        <f>VLOOKUP(WWWW[[#This Row],[Site Name]],SiteDB6[[Site Name]:[Location Type]],8,FALSE)</f>
        <v>Camp</v>
      </c>
      <c r="H651" s="702" t="s">
        <v>246</v>
      </c>
      <c r="I651" s="705">
        <v>100</v>
      </c>
      <c r="J651" s="705">
        <v>612</v>
      </c>
      <c r="K651" s="706" t="s">
        <v>3318</v>
      </c>
      <c r="L651" s="707" t="s">
        <v>3316</v>
      </c>
      <c r="M651" s="705">
        <v>57</v>
      </c>
      <c r="N651" s="705"/>
      <c r="O651" s="705"/>
      <c r="P651" s="705"/>
      <c r="Q651" s="708" t="s">
        <v>43</v>
      </c>
      <c r="R651" s="705"/>
      <c r="S651" s="705"/>
      <c r="T651" s="807"/>
      <c r="U651" s="705"/>
      <c r="V651" s="705"/>
      <c r="W651" s="705"/>
      <c r="X651" s="705"/>
      <c r="Y651" s="705"/>
      <c r="Z651" s="705"/>
      <c r="AA651" s="705">
        <v>1</v>
      </c>
      <c r="AB651" s="705"/>
      <c r="AC651" s="705"/>
      <c r="AD651" s="705"/>
      <c r="AE651" s="705"/>
      <c r="AF651" s="705"/>
      <c r="AG651" s="705"/>
      <c r="AH651" s="705"/>
      <c r="AI651" s="705"/>
      <c r="AJ651" s="705"/>
      <c r="AK651" s="705"/>
      <c r="AL651" s="705"/>
      <c r="AM651" s="705">
        <v>4</v>
      </c>
      <c r="AN651" s="705"/>
      <c r="AO651" s="709"/>
      <c r="AP651" s="705">
        <v>98</v>
      </c>
      <c r="AQ651" s="705"/>
      <c r="AR651" s="710"/>
      <c r="AS651" s="705"/>
      <c r="AT651" s="705"/>
      <c r="AU651" s="705"/>
      <c r="AV651" s="705"/>
      <c r="AW651" s="705"/>
      <c r="AX651" s="711" t="s">
        <v>43</v>
      </c>
      <c r="AY651" s="709" t="s">
        <v>145</v>
      </c>
      <c r="AZ651" s="705">
        <v>3</v>
      </c>
      <c r="BA651" s="705"/>
      <c r="BB651" s="705"/>
      <c r="BC651" s="711"/>
      <c r="BD651" s="705"/>
      <c r="BE651" s="705"/>
      <c r="BF651" s="705"/>
      <c r="BG651" s="705">
        <v>4</v>
      </c>
      <c r="BH651" s="705"/>
      <c r="BI651" s="705">
        <v>1</v>
      </c>
      <c r="BJ651" s="705">
        <v>1</v>
      </c>
      <c r="BK651" s="705"/>
      <c r="BL651" s="705"/>
      <c r="BM651" s="711" t="s">
        <v>144</v>
      </c>
      <c r="BN651" s="712"/>
      <c r="BO651" s="710">
        <v>0.46</v>
      </c>
      <c r="BP651" s="711"/>
      <c r="BQ651" s="713" t="str">
        <f>IFERROR(WWWW[[#This Row],['#_Water sources treated]]/WWWW[[#This Row],['#_Water sources tested for contamination]],"no test")</f>
        <v>no test</v>
      </c>
      <c r="BR651" s="710" t="str">
        <f>IFERROR(WWWW[[#This Row],['#_Household received remediation action due to contamination]]/WWWW[[#This Row],['#_Household water samples tested for contamination]],"no test")</f>
        <v>no test</v>
      </c>
      <c r="BS651" s="712" t="str">
        <f>IF(AND(WWWW[[#This Row],[% of water sources treated]]="no test",WWWW[[#This Row],[% Household received corrective actions]]="no test"),"No Test","Tested")</f>
        <v>No Test</v>
      </c>
      <c r="BT651" s="712">
        <f>WWWW[[#This Row],['#_Constructed/existing protected hand dug well]]-WWWW[[#This Row],['#_Non-functional protected hand dug well]]</f>
        <v>0</v>
      </c>
      <c r="BU651" s="712">
        <f>(WWWW[[#This Row],['#_Constructed/Existing tube wells/boreholes/handpumps_WASH_agency]]+WWWW[[#This Row],['#_Non-Cluster partner water tube-wells/boreholes/handpumps]])-WWWW[[#This Row],['#_Non-functional tube wells/boreholes/handpumps]]</f>
        <v>0</v>
      </c>
      <c r="BV651" s="712">
        <f>WWWW[[#This Row],['#_Constructed/Existingwater storage tank with gravity fed reticulation system]]-WWWW[[#This Row],['#_Non-functional storage tank gravity fed reticulation system]]</f>
        <v>1</v>
      </c>
      <c r="BW651" s="712">
        <f>WWWW[[#This Row],['#_Water boating or water trucking]]</f>
        <v>0</v>
      </c>
      <c r="BX651" s="712">
        <f>WWWW[[#This Row],['#_Constructed/Existing water distribution system from river or natural spring]]</f>
        <v>0</v>
      </c>
      <c r="BY65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0.10893246187363835</v>
      </c>
      <c r="BZ65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0.10893246187363835</v>
      </c>
      <c r="CA651" s="710">
        <f>IF(WWWW[[#This Row],[Location Type 1]]="Village",WWWW[[#This Row],[Access to safe drinking water for Village]],WWWW[[#This Row],[Access to safe drinking water for Camp]])</f>
        <v>0.10893246187363835</v>
      </c>
      <c r="CB651" s="708">
        <f>WWWW[[#This Row],[%Equitable and continuous access to sufficient quantity of safe drinking water]]*WWWW[[#This Row],[Total PoP ]]</f>
        <v>66.666666666666671</v>
      </c>
      <c r="CC651" s="710">
        <f>IF((WWWW[[#This Row],['#_Constructed/Existing protected/fenced ponds]]*250)/WWWW[[#This Row],[Total PoP ]]&gt;1,1,(WWWW[[#This Row],['#_Constructed/Existing protected/fenced ponds]]*250)/WWWW[[#This Row],[Total PoP ]])</f>
        <v>0</v>
      </c>
      <c r="CD651" s="708">
        <f>WWWW[[#This Row],[% Access to unimproved water points]]*WWWW[[#This Row],[Total PoP ]]</f>
        <v>0</v>
      </c>
      <c r="CE65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0.10893246187363835</v>
      </c>
      <c r="CF65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651" s="708">
        <f>WWWW[[#This Row],[HRP1]]/500</f>
        <v>0.13333333333333333</v>
      </c>
      <c r="CH651" s="714">
        <f>1-WWWW[[#This Row],[% Equitable and continuous access to sufficient quantity of domestic water]]</f>
        <v>0.89106753812636164</v>
      </c>
      <c r="CI651" s="708">
        <f>WWWW[[#This Row],[%equitable and continuous access to sufficient quantity of safe drinking and domestic water''s GAP]]*WWWW[[#This Row],[Total PoP ]]</f>
        <v>545.33333333333337</v>
      </c>
      <c r="CJ651" s="712">
        <f>IF(WWWW[[#This Row],[Total required water points]]-WWWW[[#This Row],['#Water points coverage]]&lt;0,0,WWWW[[#This Row],[Total required water points]]-WWWW[[#This Row],['#Water points coverage]])</f>
        <v>0.8666666666666667</v>
      </c>
      <c r="CK651" s="712">
        <f>ROUND(IF(WWWW[[#This Row],[Total PoP ]]&lt;500,1,WWWW[[#This Row],[Total PoP ]]/500),0)</f>
        <v>1</v>
      </c>
      <c r="CL651" s="712">
        <f>(WWWW[[#This Row],['#_Constructed latrines_by_WASHAgencies]]+WWWW[[#This Row],['#_Non Cluster partner latrines]])-WWWW[[#This Row],['#_Non-functional latrines]]</f>
        <v>98</v>
      </c>
      <c r="CM65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5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612</v>
      </c>
      <c r="CO65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1" s="712">
        <f>IF(WWWW[[#This Row],[Location Type 1]]="Village","NA",IF(WWWW[[#This Row],['#_Constructed/Existing latrines in TLS]]*50&gt;WWWW[[#This Row],['#_students at TLS_CFS]],WWWW[[#This Row],['#_students at TLS_CFS]],(WWWW[[#This Row],['#_Constructed/Existing latrines in TLS]]*50)))</f>
        <v>0</v>
      </c>
      <c r="CQ651" s="712">
        <f>ROUND(IF(WWWW[[#This Row],[Location Type 1]]="camp",WWWW[[#This Row],[Total PoP ]]/20,IF(WWWW[[#This Row],[Location Type 1]]="Temporary Location",WWWW[[#This Row],[Total PoP ]]/50,(WWWW[[#This Row],[Total PoP ]]/6))),0)</f>
        <v>31</v>
      </c>
      <c r="CR651" s="712">
        <f>IF(WWWW[[#This Row],[Total required Latrines]]-(WWWW[[#This Row],['#_Constructed latrines_by_WASHAgencies]]+WWWW[[#This Row],['#_Non Cluster partner latrines]])&lt;0,0,WWWW[[#This Row],[Total required Latrines]]-(WWWW[[#This Row],['#_Constructed latrines_by_WASHAgencies]]+WWWW[[#This Row],['#_Non Cluster partner latrines]]))</f>
        <v>0</v>
      </c>
      <c r="CS651" s="714">
        <f>1-WWWW[[#This Row],[% people access to functioning Latrine]]</f>
        <v>0</v>
      </c>
      <c r="CT651" s="713">
        <f>IF(OR(WWWW[[#This Row],['#_Non-functional latrines]]="",WWWW[[#This Row],['#_Non-functional latrines]]=0),0,WWWW[[#This Row],['#_Non-functional latrines]]/(WWWW[[#This Row],['#_Constructed latrines_by_WASHAgencies]]+WWWW[[#This Row],['#_Non Cluster partner latrines]]))</f>
        <v>0</v>
      </c>
      <c r="CU651" s="708">
        <f>IF(500*(WWWW[[#This Row],['#_male hygiene promoters]]+WWWW[[#This Row],['#_female hygiene promoters]])&gt;WWWW[[#This Row],[Total PoP ]],WWWW[[#This Row],[Total PoP ]],500*(WWWW[[#This Row],['#_male hygiene promoters]]+WWWW[[#This Row],['#_female hygiene promoters]]))</f>
        <v>612</v>
      </c>
      <c r="CV65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1" s="712">
        <f>IF(WWWW[[#This Row],['# People with access to soap]]&gt;WWWW[[#This Row],['# People with access to Sanity Pads]],WWWW[[#This Row],['# People with access to soap]],WWWW[[#This Row],['# People with access to Sanity Pads]])</f>
        <v>0</v>
      </c>
      <c r="CY651" s="712">
        <f>IF(WWWW[[#This Row],['# people reached by regular dedicated hygiene promotion_5]]&gt;WWWW[[#This Row],['# People received regular supply of hygiene items_6]],WWWW[[#This Row],['# people reached by regular dedicated hygiene promotion_5]],WWWW[[#This Row],['# People received regular supply of hygiene items_6]])</f>
        <v>612</v>
      </c>
      <c r="CZ651" s="714">
        <f>IF(WWWW[[#This Row],[HRP3]]/WWWW[[#This Row],[Total PoP ]]&gt;100%,100%,WWWW[[#This Row],[HRP3]]/WWWW[[#This Row],[Total PoP ]])</f>
        <v>1</v>
      </c>
      <c r="DA651" s="713">
        <f>1-WWWW[[#This Row],[Hygiene Coverage%]]</f>
        <v>0</v>
      </c>
      <c r="DB651" s="710">
        <f>WWWW[[#This Row],['# people reached by regular dedicated hygiene promotion_5]]/WWWW[[#This Row],[Total PoP ]]</f>
        <v>1</v>
      </c>
      <c r="DC651" s="710">
        <f>IF(WWWW[[#This Row],['#_households that received standard amount of soap for this quarter]]/WWWW[[#This Row],[Total HH]]&gt;1,1,WWWW[[#This Row],['#_households that received standard amount of soap for this quarter]]/WWWW[[#This Row],[Total HH]])</f>
        <v>0</v>
      </c>
      <c r="DD651" s="710">
        <f>IF(WWWW[[#This Row],['#_households that received standard amount of sanitary pads for this quarter]]/WWWW[[#This Row],[Total HH]]&gt;1,1,WWWW[[#This Row],['#_households that received standard amount of sanitary pads for this quarter]]/WWWW[[#This Row],[Total HH]])</f>
        <v>0</v>
      </c>
      <c r="DE651" s="712">
        <f>WWWW[[#This Row],['#_Constructed/Existing hand washing stations]]-WWWW[[#This Row],['#_Non-Functional_hand_washing_stations]]</f>
        <v>0</v>
      </c>
      <c r="DF651" s="757">
        <f>IF(WWWW[[#This Row],['# Functional hand washing stations during reporting period]]*20&gt;WWWW[[#This Row],[Total HH]],WWWW[[#This Row],[Total HH]],WWWW[[#This Row],['# Functional hand washing stations during reporting period]]*20)</f>
        <v>0</v>
      </c>
      <c r="DG651" s="708">
        <f>IF(WWWW[[#This Row],[Is sufficient soap available for TLS? (Yes/No)]]="yes",WWWW[[#This Row],['#_Constructed/Existing hand washing stations at TLS]],0)</f>
        <v>0</v>
      </c>
      <c r="DH651" s="759">
        <f>IF(WWWW[[#This Row],['# Functional hand washing stations during reporting period]]*100&gt;WWWW[[#This Row],[Total PoP ]],WWWW[[#This Row],[Total PoP ]],WWWW[[#This Row],['# Functional hand washing stations during reporting period]]*100)</f>
        <v>0</v>
      </c>
      <c r="DI651" s="759" t="str">
        <f>IF(OR(WWWW[[#This Row],['#_students at TLS_CFS]]="",WWWW[[#This Row],['#_students at TLS_CFS]]=0),"No","Yes")</f>
        <v>Yes</v>
      </c>
      <c r="DJ651" s="711" t="str">
        <f>VLOOKUP(WWWW[[#This Row],[Site Name]],SiteDB6[[Site Name]:[CCCM Management]],6,FALSE)</f>
        <v>Yes</v>
      </c>
      <c r="DK651" s="711" t="str">
        <f>VLOOKUP(WWWW[[#This Row],[Site Name]],SiteDB6[[Site Name]:[CCCM Focal Agency]],7,FALSE)</f>
        <v>KMSS-MYT</v>
      </c>
      <c r="DL651" s="711" t="str">
        <f>VLOOKUP(WWWW[[#This Row],[Site Name]],SiteDB6[[Site Name]:[Location Type 1]],9,FALSE)</f>
        <v>Camp</v>
      </c>
      <c r="DM651" s="711" t="str">
        <f>VLOOKUP(WWWW[[#This Row],[Site Name]],SiteDB6[[Site Name]:[Type of Accommodation]],10,FALSE)</f>
        <v>Camp</v>
      </c>
      <c r="DN651" s="711" t="str">
        <f>VLOOKUP(WWWW[[#This Row],[Site Name]],SiteDB6[[Site Name]:[Ethnic or GCA/NGCA]],11,FALSE)</f>
        <v>NGCA</v>
      </c>
      <c r="DO651" s="711">
        <f>VLOOKUP(WWWW[[#This Row],[Site Name]],SiteDB6[[Site Name]:[Lat]],12,FALSE)</f>
        <v>25.265277999999999</v>
      </c>
      <c r="DP651" s="711">
        <f>VLOOKUP(WWWW[[#This Row],[Site Name]],SiteDB6[[Site Name]:[Long]],13,FALSE)</f>
        <v>97.990555999999998</v>
      </c>
      <c r="DQ651" s="711" t="str">
        <f>VLOOKUP(WWWW[[#This Row],[Site Name]],SiteDB6[[Site Name]:[Pcode]],3,FALSE)</f>
        <v>MMR001CMP160</v>
      </c>
      <c r="DR651" s="709" t="str">
        <f t="shared" si="24"/>
        <v>Covered</v>
      </c>
      <c r="DS651" s="709"/>
    </row>
    <row r="652" spans="1:123">
      <c r="A652" s="701" t="s">
        <v>2519</v>
      </c>
      <c r="B652" s="701" t="s">
        <v>317</v>
      </c>
      <c r="C652" s="702" t="s">
        <v>317</v>
      </c>
      <c r="D652" s="702"/>
      <c r="E652" s="702" t="s">
        <v>39</v>
      </c>
      <c r="F652" s="702" t="s">
        <v>167</v>
      </c>
      <c r="G652" s="711" t="str">
        <f>VLOOKUP(WWWW[[#This Row],[Site Name]],SiteDB6[[Site Name]:[Location Type]],8,FALSE)</f>
        <v>Camp</v>
      </c>
      <c r="H652" s="702" t="s">
        <v>2185</v>
      </c>
      <c r="I652" s="705">
        <v>255</v>
      </c>
      <c r="J652" s="705">
        <v>1374</v>
      </c>
      <c r="K652" s="706"/>
      <c r="L652" s="707"/>
      <c r="M652" s="705"/>
      <c r="N652" s="705"/>
      <c r="O652" s="705"/>
      <c r="P652" s="705"/>
      <c r="Q652" s="708"/>
      <c r="R652" s="705"/>
      <c r="S652" s="705"/>
      <c r="T652" s="807"/>
      <c r="U652" s="705"/>
      <c r="V652" s="705"/>
      <c r="W652" s="705"/>
      <c r="X652" s="705"/>
      <c r="Y652" s="705"/>
      <c r="Z652" s="705"/>
      <c r="AA652" s="705"/>
      <c r="AB652" s="705"/>
      <c r="AC652" s="705"/>
      <c r="AD652" s="705"/>
      <c r="AE652" s="705"/>
      <c r="AF652" s="705"/>
      <c r="AG652" s="705"/>
      <c r="AH652" s="705"/>
      <c r="AI652" s="705"/>
      <c r="AJ652" s="705"/>
      <c r="AK652" s="705"/>
      <c r="AL652" s="705"/>
      <c r="AM652" s="705"/>
      <c r="AN652" s="705"/>
      <c r="AO652" s="709"/>
      <c r="AP652" s="705"/>
      <c r="AQ652" s="705"/>
      <c r="AR652" s="710"/>
      <c r="AS652" s="705"/>
      <c r="AT652" s="705"/>
      <c r="AU652" s="705"/>
      <c r="AV652" s="705"/>
      <c r="AW652" s="705"/>
      <c r="AX652" s="711"/>
      <c r="AY652" s="709"/>
      <c r="AZ652" s="705"/>
      <c r="BA652" s="705"/>
      <c r="BB652" s="705"/>
      <c r="BC652" s="711"/>
      <c r="BD652" s="705"/>
      <c r="BE652" s="705"/>
      <c r="BF652" s="705"/>
      <c r="BG652" s="705"/>
      <c r="BH652" s="705"/>
      <c r="BI652" s="705"/>
      <c r="BJ652" s="705"/>
      <c r="BK652" s="705"/>
      <c r="BL652" s="705"/>
      <c r="BM652" s="711"/>
      <c r="BN652" s="712"/>
      <c r="BO652" s="710"/>
      <c r="BP652" s="711"/>
      <c r="BQ652" s="713" t="str">
        <f>IFERROR(WWWW[[#This Row],['#_Water sources treated]]/WWWW[[#This Row],['#_Water sources tested for contamination]],"no test")</f>
        <v>no test</v>
      </c>
      <c r="BR652" s="710" t="str">
        <f>IFERROR(WWWW[[#This Row],['#_Household received remediation action due to contamination]]/WWWW[[#This Row],['#_Household water samples tested for contamination]],"no test")</f>
        <v>no test</v>
      </c>
      <c r="BS652" s="712" t="str">
        <f>IF(AND(WWWW[[#This Row],[% of water sources treated]]="no test",WWWW[[#This Row],[% Household received corrective actions]]="no test"),"No Test","Tested")</f>
        <v>No Test</v>
      </c>
      <c r="BT652" s="712">
        <f>WWWW[[#This Row],['#_Constructed/existing protected hand dug well]]-WWWW[[#This Row],['#_Non-functional protected hand dug well]]</f>
        <v>0</v>
      </c>
      <c r="BU652" s="712">
        <f>(WWWW[[#This Row],['#_Constructed/Existing tube wells/boreholes/handpumps_WASH_agency]]+WWWW[[#This Row],['#_Non-Cluster partner water tube-wells/boreholes/handpumps]])-WWWW[[#This Row],['#_Non-functional tube wells/boreholes/handpumps]]</f>
        <v>0</v>
      </c>
      <c r="BV652" s="712">
        <f>WWWW[[#This Row],['#_Constructed/Existingwater storage tank with gravity fed reticulation system]]-WWWW[[#This Row],['#_Non-functional storage tank gravity fed reticulation system]]</f>
        <v>0</v>
      </c>
      <c r="BW652" s="712">
        <f>WWWW[[#This Row],['#_Water boating or water trucking]]</f>
        <v>0</v>
      </c>
      <c r="BX652" s="712">
        <f>WWWW[[#This Row],['#_Constructed/Existing water distribution system from river or natural spring]]</f>
        <v>0</v>
      </c>
      <c r="BY65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5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52" s="710">
        <f>IF(WWWW[[#This Row],[Location Type 1]]="Village",WWWW[[#This Row],[Access to safe drinking water for Village]],WWWW[[#This Row],[Access to safe drinking water for Camp]])</f>
        <v>0</v>
      </c>
      <c r="CB652" s="708">
        <f>WWWW[[#This Row],[%Equitable and continuous access to sufficient quantity of safe drinking water]]*WWWW[[#This Row],[Total PoP ]]</f>
        <v>0</v>
      </c>
      <c r="CC652" s="710">
        <f>IF((WWWW[[#This Row],['#_Constructed/Existing protected/fenced ponds]]*250)/WWWW[[#This Row],[Total PoP ]]&gt;1,1,(WWWW[[#This Row],['#_Constructed/Existing protected/fenced ponds]]*250)/WWWW[[#This Row],[Total PoP ]])</f>
        <v>0</v>
      </c>
      <c r="CD652" s="708">
        <f>WWWW[[#This Row],[% Access to unimproved water points]]*WWWW[[#This Row],[Total PoP ]]</f>
        <v>0</v>
      </c>
      <c r="CE65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5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52" s="708">
        <f>WWWW[[#This Row],[HRP1]]/500</f>
        <v>0</v>
      </c>
      <c r="CH652" s="714">
        <f>1-WWWW[[#This Row],[% Equitable and continuous access to sufficient quantity of domestic water]]</f>
        <v>1</v>
      </c>
      <c r="CI652" s="708">
        <f>WWWW[[#This Row],[%equitable and continuous access to sufficient quantity of safe drinking and domestic water''s GAP]]*WWWW[[#This Row],[Total PoP ]]</f>
        <v>1374</v>
      </c>
      <c r="CJ652" s="712">
        <f>IF(WWWW[[#This Row],[Total required water points]]-WWWW[[#This Row],['#Water points coverage]]&lt;0,0,WWWW[[#This Row],[Total required water points]]-WWWW[[#This Row],['#Water points coverage]])</f>
        <v>3</v>
      </c>
      <c r="CK652" s="712">
        <f>ROUND(IF(WWWW[[#This Row],[Total PoP ]]&lt;500,1,WWWW[[#This Row],[Total PoP ]]/500),0)</f>
        <v>3</v>
      </c>
      <c r="CL652" s="712">
        <f>(WWWW[[#This Row],['#_Constructed latrines_by_WASHAgencies]]+WWWW[[#This Row],['#_Non Cluster partner latrines]])-WWWW[[#This Row],['#_Non-functional latrines]]</f>
        <v>0</v>
      </c>
      <c r="CM65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5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5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2" s="712">
        <f>IF(WWWW[[#This Row],[Location Type 1]]="Village","NA",IF(WWWW[[#This Row],['#_Constructed/Existing latrines in TLS]]*50&gt;WWWW[[#This Row],['#_students at TLS_CFS]],WWWW[[#This Row],['#_students at TLS_CFS]],(WWWW[[#This Row],['#_Constructed/Existing latrines in TLS]]*50)))</f>
        <v>0</v>
      </c>
      <c r="CQ652" s="712">
        <f>ROUND(IF(WWWW[[#This Row],[Location Type 1]]="camp",WWWW[[#This Row],[Total PoP ]]/20,IF(WWWW[[#This Row],[Location Type 1]]="Temporary Location",WWWW[[#This Row],[Total PoP ]]/50,(WWWW[[#This Row],[Total PoP ]]/6))),0)</f>
        <v>69</v>
      </c>
      <c r="CR652" s="712">
        <f>IF(WWWW[[#This Row],[Total required Latrines]]-(WWWW[[#This Row],['#_Constructed latrines_by_WASHAgencies]]+WWWW[[#This Row],['#_Non Cluster partner latrines]])&lt;0,0,WWWW[[#This Row],[Total required Latrines]]-(WWWW[[#This Row],['#_Constructed latrines_by_WASHAgencies]]+WWWW[[#This Row],['#_Non Cluster partner latrines]]))</f>
        <v>69</v>
      </c>
      <c r="CS652" s="714">
        <f>1-WWWW[[#This Row],[% people access to functioning Latrine]]</f>
        <v>1</v>
      </c>
      <c r="CT652" s="713">
        <f>IF(OR(WWWW[[#This Row],['#_Non-functional latrines]]="",WWWW[[#This Row],['#_Non-functional latrines]]=0),0,WWWW[[#This Row],['#_Non-functional latrines]]/(WWWW[[#This Row],['#_Constructed latrines_by_WASHAgencies]]+WWWW[[#This Row],['#_Non Cluster partner latrines]]))</f>
        <v>0</v>
      </c>
      <c r="CU652" s="708">
        <f>IF(500*(WWWW[[#This Row],['#_male hygiene promoters]]+WWWW[[#This Row],['#_female hygiene promoters]])&gt;WWWW[[#This Row],[Total PoP ]],WWWW[[#This Row],[Total PoP ]],500*(WWWW[[#This Row],['#_male hygiene promoters]]+WWWW[[#This Row],['#_female hygiene promoters]]))</f>
        <v>0</v>
      </c>
      <c r="CV65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2" s="712">
        <f>IF(WWWW[[#This Row],['# People with access to soap]]&gt;WWWW[[#This Row],['# People with access to Sanity Pads]],WWWW[[#This Row],['# People with access to soap]],WWWW[[#This Row],['# People with access to Sanity Pads]])</f>
        <v>0</v>
      </c>
      <c r="CY65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52" s="714">
        <f>IF(WWWW[[#This Row],[HRP3]]/WWWW[[#This Row],[Total PoP ]]&gt;100%,100%,WWWW[[#This Row],[HRP3]]/WWWW[[#This Row],[Total PoP ]])</f>
        <v>0</v>
      </c>
      <c r="DA652" s="713">
        <f>1-WWWW[[#This Row],[Hygiene Coverage%]]</f>
        <v>1</v>
      </c>
      <c r="DB652" s="710">
        <f>WWWW[[#This Row],['# people reached by regular dedicated hygiene promotion_5]]/WWWW[[#This Row],[Total PoP ]]</f>
        <v>0</v>
      </c>
      <c r="DC652" s="710">
        <f>IF(WWWW[[#This Row],['#_households that received standard amount of soap for this quarter]]/WWWW[[#This Row],[Total HH]]&gt;1,1,WWWW[[#This Row],['#_households that received standard amount of soap for this quarter]]/WWWW[[#This Row],[Total HH]])</f>
        <v>0</v>
      </c>
      <c r="DD652" s="710">
        <f>IF(WWWW[[#This Row],['#_households that received standard amount of sanitary pads for this quarter]]/WWWW[[#This Row],[Total HH]]&gt;1,1,WWWW[[#This Row],['#_households that received standard amount of sanitary pads for this quarter]]/WWWW[[#This Row],[Total HH]])</f>
        <v>0</v>
      </c>
      <c r="DE652" s="712">
        <f>WWWW[[#This Row],['#_Constructed/Existing hand washing stations]]-WWWW[[#This Row],['#_Non-Functional_hand_washing_stations]]</f>
        <v>0</v>
      </c>
      <c r="DF652" s="757">
        <f>IF(WWWW[[#This Row],['# Functional hand washing stations during reporting period]]*20&gt;WWWW[[#This Row],[Total HH]],WWWW[[#This Row],[Total HH]],WWWW[[#This Row],['# Functional hand washing stations during reporting period]]*20)</f>
        <v>0</v>
      </c>
      <c r="DG652" s="708">
        <f>IF(WWWW[[#This Row],[Is sufficient soap available for TLS? (Yes/No)]]="yes",WWWW[[#This Row],['#_Constructed/Existing hand washing stations at TLS]],0)</f>
        <v>0</v>
      </c>
      <c r="DH652" s="759">
        <f>IF(WWWW[[#This Row],['# Functional hand washing stations during reporting period]]*100&gt;WWWW[[#This Row],[Total PoP ]],WWWW[[#This Row],[Total PoP ]],WWWW[[#This Row],['# Functional hand washing stations during reporting period]]*100)</f>
        <v>0</v>
      </c>
      <c r="DI652" s="759" t="str">
        <f>IF(OR(WWWW[[#This Row],['#_students at TLS_CFS]]="",WWWW[[#This Row],['#_students at TLS_CFS]]=0),"No","Yes")</f>
        <v>No</v>
      </c>
      <c r="DJ652" s="711" t="str">
        <f>VLOOKUP(WWWW[[#This Row],[Site Name]],SiteDB6[[Site Name]:[CCCM Management]],6,FALSE)</f>
        <v>Yes</v>
      </c>
      <c r="DK652" s="711" t="str">
        <f>VLOOKUP(WWWW[[#This Row],[Site Name]],SiteDB6[[Site Name]:[CCCM Focal Agency]],7,FALSE)</f>
        <v>KMSS-MYT</v>
      </c>
      <c r="DL652" s="711" t="str">
        <f>VLOOKUP(WWWW[[#This Row],[Site Name]],SiteDB6[[Site Name]:[Location Type 1]],9,FALSE)</f>
        <v>Camp</v>
      </c>
      <c r="DM652" s="711" t="str">
        <f>VLOOKUP(WWWW[[#This Row],[Site Name]],SiteDB6[[Site Name]:[Type of Accommodation]],10,FALSE)</f>
        <v>Camp</v>
      </c>
      <c r="DN652" s="711" t="str">
        <f>VLOOKUP(WWWW[[#This Row],[Site Name]],SiteDB6[[Site Name]:[Ethnic or GCA/NGCA]],11,FALSE)</f>
        <v>GCA</v>
      </c>
      <c r="DO652" s="711">
        <f>VLOOKUP(WWWW[[#This Row],[Site Name]],SiteDB6[[Site Name]:[Lat]],12,FALSE)</f>
        <v>25.493819999999999</v>
      </c>
      <c r="DP652" s="711">
        <f>VLOOKUP(WWWW[[#This Row],[Site Name]],SiteDB6[[Site Name]:[Long]],13,FALSE)</f>
        <v>97.4345</v>
      </c>
      <c r="DQ652" s="711" t="str">
        <f>VLOOKUP(WWWW[[#This Row],[Site Name]],SiteDB6[[Site Name]:[Pcode]],3,FALSE)</f>
        <v>MMR001CMP271</v>
      </c>
      <c r="DR652" s="709" t="str">
        <f t="shared" si="24"/>
        <v>Notcovered</v>
      </c>
      <c r="DS652" s="709"/>
    </row>
    <row r="653" spans="1:123">
      <c r="A653" s="701" t="s">
        <v>2519</v>
      </c>
      <c r="B653" s="701" t="s">
        <v>149</v>
      </c>
      <c r="C653" s="702" t="s">
        <v>149</v>
      </c>
      <c r="D653" s="702" t="s">
        <v>3264</v>
      </c>
      <c r="E653" s="702" t="s">
        <v>39</v>
      </c>
      <c r="F653" s="702" t="s">
        <v>160</v>
      </c>
      <c r="G653" s="711" t="str">
        <f>VLOOKUP(WWWW[[#This Row],[Site Name]],SiteDB6[[Site Name]:[Location Type]],8,FALSE)</f>
        <v>Camp</v>
      </c>
      <c r="H653" s="702" t="s">
        <v>163</v>
      </c>
      <c r="I653" s="705">
        <v>10</v>
      </c>
      <c r="J653" s="705">
        <v>41</v>
      </c>
      <c r="K653" s="593" t="s">
        <v>3265</v>
      </c>
      <c r="L653" s="58" t="s">
        <v>3267</v>
      </c>
      <c r="M653" s="705"/>
      <c r="N653" s="705"/>
      <c r="O653" s="705"/>
      <c r="P653" s="705"/>
      <c r="Q653" s="708" t="s">
        <v>43</v>
      </c>
      <c r="R653" s="705"/>
      <c r="S653" s="705"/>
      <c r="T653" s="807">
        <v>1</v>
      </c>
      <c r="U653" s="705"/>
      <c r="V653" s="705"/>
      <c r="W653" s="705">
        <v>0</v>
      </c>
      <c r="X653" s="705"/>
      <c r="Y653" s="705"/>
      <c r="Z653" s="705"/>
      <c r="AA653" s="705"/>
      <c r="AB653" s="705"/>
      <c r="AC653" s="705"/>
      <c r="AD653" s="705"/>
      <c r="AE653" s="705"/>
      <c r="AF653" s="705"/>
      <c r="AG653" s="705"/>
      <c r="AH653" s="705">
        <v>3</v>
      </c>
      <c r="AI653" s="705"/>
      <c r="AJ653" s="705"/>
      <c r="AK653" s="705"/>
      <c r="AL653" s="705"/>
      <c r="AM653" s="705"/>
      <c r="AN653" s="705"/>
      <c r="AO653" s="709"/>
      <c r="AP653" s="705">
        <v>3</v>
      </c>
      <c r="AQ653" s="705"/>
      <c r="AR653" s="710"/>
      <c r="AS653" s="705"/>
      <c r="AT653" s="705"/>
      <c r="AU653" s="705"/>
      <c r="AV653" s="705"/>
      <c r="AW653" s="705">
        <v>3</v>
      </c>
      <c r="AX653" s="711" t="s">
        <v>43</v>
      </c>
      <c r="AY653" s="709" t="s">
        <v>145</v>
      </c>
      <c r="AZ653" s="705"/>
      <c r="BA653" s="705"/>
      <c r="BB653" s="705"/>
      <c r="BC653" s="711"/>
      <c r="BD653" s="705"/>
      <c r="BE653" s="705"/>
      <c r="BF653" s="705"/>
      <c r="BG653" s="705">
        <v>2</v>
      </c>
      <c r="BH653" s="705"/>
      <c r="BI653" s="705"/>
      <c r="BJ653" s="705">
        <v>1</v>
      </c>
      <c r="BK653" s="705"/>
      <c r="BL653" s="705"/>
      <c r="BM653" s="711"/>
      <c r="BN653" s="712"/>
      <c r="BO653" s="710"/>
      <c r="BP653" s="711"/>
      <c r="BQ653" s="713" t="str">
        <f>IFERROR(WWWW[[#This Row],['#_Water sources treated]]/WWWW[[#This Row],['#_Water sources tested for contamination]],"no test")</f>
        <v>no test</v>
      </c>
      <c r="BR653" s="710" t="str">
        <f>IFERROR(WWWW[[#This Row],['#_Household received remediation action due to contamination]]/WWWW[[#This Row],['#_Household water samples tested for contamination]],"no test")</f>
        <v>no test</v>
      </c>
      <c r="BS653" s="712" t="str">
        <f>IF(AND(WWWW[[#This Row],[% of water sources treated]]="no test",WWWW[[#This Row],[% Household received corrective actions]]="no test"),"No Test","Tested")</f>
        <v>No Test</v>
      </c>
      <c r="BT653" s="712">
        <f>WWWW[[#This Row],['#_Constructed/existing protected hand dug well]]-WWWW[[#This Row],['#_Non-functional protected hand dug well]]</f>
        <v>1</v>
      </c>
      <c r="BU653" s="712">
        <f>(WWWW[[#This Row],['#_Constructed/Existing tube wells/boreholes/handpumps_WASH_agency]]+WWWW[[#This Row],['#_Non-Cluster partner water tube-wells/boreholes/handpumps]])-WWWW[[#This Row],['#_Non-functional tube wells/boreholes/handpumps]]</f>
        <v>0</v>
      </c>
      <c r="BV653" s="712">
        <f>WWWW[[#This Row],['#_Constructed/Existingwater storage tank with gravity fed reticulation system]]-WWWW[[#This Row],['#_Non-functional storage tank gravity fed reticulation system]]</f>
        <v>0</v>
      </c>
      <c r="BW653" s="712">
        <f>WWWW[[#This Row],['#_Water boating or water trucking]]</f>
        <v>0</v>
      </c>
      <c r="BX653" s="712">
        <f>WWWW[[#This Row],['#_Constructed/Existing water distribution system from river or natural spring]]</f>
        <v>0</v>
      </c>
      <c r="BY65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3" s="710">
        <f>IF(WWWW[[#This Row],[Location Type 1]]="Village",WWWW[[#This Row],[Access to safe drinking water for Village]],WWWW[[#This Row],[Access to safe drinking water for Camp]])</f>
        <v>1</v>
      </c>
      <c r="CB653" s="708">
        <f>WWWW[[#This Row],[%Equitable and continuous access to sufficient quantity of safe drinking water]]*WWWW[[#This Row],[Total PoP ]]</f>
        <v>41</v>
      </c>
      <c r="CC653" s="710">
        <f>IF((WWWW[[#This Row],['#_Constructed/Existing protected/fenced ponds]]*250)/WWWW[[#This Row],[Total PoP ]]&gt;1,1,(WWWW[[#This Row],['#_Constructed/Existing protected/fenced ponds]]*250)/WWWW[[#This Row],[Total PoP ]])</f>
        <v>0</v>
      </c>
      <c r="CD653" s="708">
        <f>WWWW[[#This Row],[% Access to unimproved water points]]*WWWW[[#This Row],[Total PoP ]]</f>
        <v>0</v>
      </c>
      <c r="CE65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G653" s="708">
        <f>WWWW[[#This Row],[HRP1]]/500</f>
        <v>8.2000000000000003E-2</v>
      </c>
      <c r="CH653" s="714">
        <f>1-WWWW[[#This Row],[% Equitable and continuous access to sufficient quantity of domestic water]]</f>
        <v>0</v>
      </c>
      <c r="CI653" s="708">
        <f>WWWW[[#This Row],[%equitable and continuous access to sufficient quantity of safe drinking and domestic water''s GAP]]*WWWW[[#This Row],[Total PoP ]]</f>
        <v>0</v>
      </c>
      <c r="CJ653" s="712">
        <f>IF(WWWW[[#This Row],[Total required water points]]-WWWW[[#This Row],['#Water points coverage]]&lt;0,0,WWWW[[#This Row],[Total required water points]]-WWWW[[#This Row],['#Water points coverage]])</f>
        <v>0.91800000000000004</v>
      </c>
      <c r="CK653" s="712">
        <f>ROUND(IF(WWWW[[#This Row],[Total PoP ]]&lt;500,1,WWWW[[#This Row],[Total PoP ]]/500),0)</f>
        <v>1</v>
      </c>
      <c r="CL653" s="712">
        <f>(WWWW[[#This Row],['#_Constructed latrines_by_WASHAgencies]]+WWWW[[#This Row],['#_Non Cluster partner latrines]])-WWWW[[#This Row],['#_Non-functional latrines]]</f>
        <v>3</v>
      </c>
      <c r="CM65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5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41</v>
      </c>
      <c r="CO65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3" s="712">
        <f>IF(WWWW[[#This Row],[Location Type 1]]="Village","NA",IF(WWWW[[#This Row],['#_Constructed/Existing latrines in TLS]]*50&gt;WWWW[[#This Row],['#_students at TLS_CFS]],WWWW[[#This Row],['#_students at TLS_CFS]],(WWWW[[#This Row],['#_Constructed/Existing latrines in TLS]]*50)))</f>
        <v>0</v>
      </c>
      <c r="CQ653" s="712">
        <f>ROUND(IF(WWWW[[#This Row],[Location Type 1]]="camp",WWWW[[#This Row],[Total PoP ]]/20,IF(WWWW[[#This Row],[Location Type 1]]="Temporary Location",WWWW[[#This Row],[Total PoP ]]/50,(WWWW[[#This Row],[Total PoP ]]/6))),0)</f>
        <v>2</v>
      </c>
      <c r="CR653" s="712">
        <f>IF(WWWW[[#This Row],[Total required Latrines]]-(WWWW[[#This Row],['#_Constructed latrines_by_WASHAgencies]]+WWWW[[#This Row],['#_Non Cluster partner latrines]])&lt;0,0,WWWW[[#This Row],[Total required Latrines]]-(WWWW[[#This Row],['#_Constructed latrines_by_WASHAgencies]]+WWWW[[#This Row],['#_Non Cluster partner latrines]]))</f>
        <v>0</v>
      </c>
      <c r="CS653" s="714">
        <f>1-WWWW[[#This Row],[% people access to functioning Latrine]]</f>
        <v>0</v>
      </c>
      <c r="CT653" s="713">
        <f>IF(OR(WWWW[[#This Row],['#_Non-functional latrines]]="",WWWW[[#This Row],['#_Non-functional latrines]]=0),0,WWWW[[#This Row],['#_Non-functional latrines]]/(WWWW[[#This Row],['#_Constructed latrines_by_WASHAgencies]]+WWWW[[#This Row],['#_Non Cluster partner latrines]]))</f>
        <v>0</v>
      </c>
      <c r="CU653" s="708">
        <f>IF(500*(WWWW[[#This Row],['#_male hygiene promoters]]+WWWW[[#This Row],['#_female hygiene promoters]])&gt;WWWW[[#This Row],[Total PoP ]],WWWW[[#This Row],[Total PoP ]],500*(WWWW[[#This Row],['#_male hygiene promoters]]+WWWW[[#This Row],['#_female hygiene promoters]]))</f>
        <v>41</v>
      </c>
      <c r="CV65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3" s="712">
        <f>IF(WWWW[[#This Row],['# People with access to soap]]&gt;WWWW[[#This Row],['# People with access to Sanity Pads]],WWWW[[#This Row],['# People with access to soap]],WWWW[[#This Row],['# People with access to Sanity Pads]])</f>
        <v>0</v>
      </c>
      <c r="CY653" s="712">
        <f>IF(WWWW[[#This Row],['# people reached by regular dedicated hygiene promotion_5]]&gt;WWWW[[#This Row],['# People received regular supply of hygiene items_6]],WWWW[[#This Row],['# people reached by regular dedicated hygiene promotion_5]],WWWW[[#This Row],['# People received regular supply of hygiene items_6]])</f>
        <v>41</v>
      </c>
      <c r="CZ653" s="714">
        <f>IF(WWWW[[#This Row],[HRP3]]/WWWW[[#This Row],[Total PoP ]]&gt;100%,100%,WWWW[[#This Row],[HRP3]]/WWWW[[#This Row],[Total PoP ]])</f>
        <v>1</v>
      </c>
      <c r="DA653" s="713">
        <f>1-WWWW[[#This Row],[Hygiene Coverage%]]</f>
        <v>0</v>
      </c>
      <c r="DB653" s="710">
        <f>WWWW[[#This Row],['# people reached by regular dedicated hygiene promotion_5]]/WWWW[[#This Row],[Total PoP ]]</f>
        <v>1</v>
      </c>
      <c r="DC653" s="710">
        <f>IF(WWWW[[#This Row],['#_households that received standard amount of soap for this quarter]]/WWWW[[#This Row],[Total HH]]&gt;1,1,WWWW[[#This Row],['#_households that received standard amount of soap for this quarter]]/WWWW[[#This Row],[Total HH]])</f>
        <v>0</v>
      </c>
      <c r="DD653" s="710">
        <f>IF(WWWW[[#This Row],['#_households that received standard amount of sanitary pads for this quarter]]/WWWW[[#This Row],[Total HH]]&gt;1,1,WWWW[[#This Row],['#_households that received standard amount of sanitary pads for this quarter]]/WWWW[[#This Row],[Total HH]])</f>
        <v>0</v>
      </c>
      <c r="DE653" s="712">
        <f>WWWW[[#This Row],['#_Constructed/Existing hand washing stations]]-WWWW[[#This Row],['#_Non-Functional_hand_washing_stations]]</f>
        <v>0</v>
      </c>
      <c r="DF653" s="757">
        <f>IF(WWWW[[#This Row],['# Functional hand washing stations during reporting period]]*20&gt;WWWW[[#This Row],[Total HH]],WWWW[[#This Row],[Total HH]],WWWW[[#This Row],['# Functional hand washing stations during reporting period]]*20)</f>
        <v>0</v>
      </c>
      <c r="DG653" s="708">
        <f>IF(WWWW[[#This Row],[Is sufficient soap available for TLS? (Yes/No)]]="yes",WWWW[[#This Row],['#_Constructed/Existing hand washing stations at TLS]],0)</f>
        <v>0</v>
      </c>
      <c r="DH653" s="759">
        <f>IF(WWWW[[#This Row],['# Functional hand washing stations during reporting period]]*100&gt;WWWW[[#This Row],[Total PoP ]],WWWW[[#This Row],[Total PoP ]],WWWW[[#This Row],['# Functional hand washing stations during reporting period]]*100)</f>
        <v>0</v>
      </c>
      <c r="DI653" s="759" t="str">
        <f>IF(OR(WWWW[[#This Row],['#_students at TLS_CFS]]="",WWWW[[#This Row],['#_students at TLS_CFS]]=0),"No","Yes")</f>
        <v>No</v>
      </c>
      <c r="DJ653" s="711" t="str">
        <f>VLOOKUP(WWWW[[#This Row],[Site Name]],SiteDB6[[Site Name]:[CCCM Management]],6,FALSE)</f>
        <v>Yes</v>
      </c>
      <c r="DK653" s="711" t="str">
        <f>VLOOKUP(WWWW[[#This Row],[Site Name]],SiteDB6[[Site Name]:[CCCM Focal Agency]],7,FALSE)</f>
        <v>KBC</v>
      </c>
      <c r="DL653" s="711" t="str">
        <f>VLOOKUP(WWWW[[#This Row],[Site Name]],SiteDB6[[Site Name]:[Location Type 1]],9,FALSE)</f>
        <v>Camp</v>
      </c>
      <c r="DM653" s="711" t="str">
        <f>VLOOKUP(WWWW[[#This Row],[Site Name]],SiteDB6[[Site Name]:[Type of Accommodation]],10,FALSE)</f>
        <v>Camp</v>
      </c>
      <c r="DN653" s="711" t="str">
        <f>VLOOKUP(WWWW[[#This Row],[Site Name]],SiteDB6[[Site Name]:[Ethnic or GCA/NGCA]],11,FALSE)</f>
        <v>GCA</v>
      </c>
      <c r="DO653" s="711">
        <f>VLOOKUP(WWWW[[#This Row],[Site Name]],SiteDB6[[Site Name]:[Lat]],12,FALSE)</f>
        <v>25.30442</v>
      </c>
      <c r="DP653" s="711">
        <f>VLOOKUP(WWWW[[#This Row],[Site Name]],SiteDB6[[Site Name]:[Long]],13,FALSE)</f>
        <v>96.948740000000001</v>
      </c>
      <c r="DQ653" s="711" t="str">
        <f>VLOOKUP(WWWW[[#This Row],[Site Name]],SiteDB6[[Site Name]:[Pcode]],3,FALSE)</f>
        <v>MMR001CMP079</v>
      </c>
      <c r="DR653" s="709" t="str">
        <f t="shared" si="24"/>
        <v>Covered</v>
      </c>
      <c r="DS653" s="709"/>
    </row>
    <row r="654" spans="1:123">
      <c r="A654" s="701" t="s">
        <v>2519</v>
      </c>
      <c r="B654" s="701" t="s">
        <v>250</v>
      </c>
      <c r="C654" s="702" t="s">
        <v>250</v>
      </c>
      <c r="D654" s="702" t="s">
        <v>315</v>
      </c>
      <c r="E654" s="702" t="s">
        <v>39</v>
      </c>
      <c r="F654" s="702" t="s">
        <v>150</v>
      </c>
      <c r="G654" s="711" t="str">
        <f>VLOOKUP(WWWW[[#This Row],[Site Name]],SiteDB6[[Site Name]:[Location Type]],8,FALSE)</f>
        <v>Camp</v>
      </c>
      <c r="H654" s="702" t="s">
        <v>279</v>
      </c>
      <c r="I654" s="705">
        <v>115</v>
      </c>
      <c r="J654" s="705">
        <v>493</v>
      </c>
      <c r="K654" s="706">
        <v>43313</v>
      </c>
      <c r="L654" s="707">
        <v>44043</v>
      </c>
      <c r="M654" s="705">
        <v>134</v>
      </c>
      <c r="N654" s="705">
        <v>1</v>
      </c>
      <c r="O654" s="705">
        <v>0</v>
      </c>
      <c r="P654" s="705">
        <v>0</v>
      </c>
      <c r="Q654" s="708" t="s">
        <v>43</v>
      </c>
      <c r="R654" s="705">
        <v>3</v>
      </c>
      <c r="S654" s="705">
        <v>4</v>
      </c>
      <c r="T654" s="807">
        <v>1</v>
      </c>
      <c r="U654" s="705"/>
      <c r="V654" s="705"/>
      <c r="W654" s="705">
        <v>1</v>
      </c>
      <c r="X654" s="705">
        <v>4</v>
      </c>
      <c r="Y654" s="705"/>
      <c r="Z654" s="705"/>
      <c r="AA654" s="705">
        <v>0</v>
      </c>
      <c r="AB654" s="705"/>
      <c r="AC654" s="705"/>
      <c r="AD654" s="705">
        <v>0</v>
      </c>
      <c r="AE654" s="705">
        <v>0</v>
      </c>
      <c r="AF654" s="705">
        <v>0</v>
      </c>
      <c r="AG654" s="705">
        <v>0</v>
      </c>
      <c r="AH654" s="705">
        <v>0</v>
      </c>
      <c r="AI654" s="705"/>
      <c r="AJ654" s="705"/>
      <c r="AK654" s="705"/>
      <c r="AL654" s="705"/>
      <c r="AM654" s="705">
        <v>0</v>
      </c>
      <c r="AN654" s="705">
        <v>0</v>
      </c>
      <c r="AO654" s="709"/>
      <c r="AP654" s="705">
        <v>0</v>
      </c>
      <c r="AQ654" s="705">
        <v>10</v>
      </c>
      <c r="AR654" s="710" t="s">
        <v>1249</v>
      </c>
      <c r="AS654" s="705"/>
      <c r="AT654" s="705"/>
      <c r="AU654" s="705"/>
      <c r="AV654" s="705"/>
      <c r="AW654" s="705">
        <v>0</v>
      </c>
      <c r="AX654" s="711" t="s">
        <v>43</v>
      </c>
      <c r="AY654" s="709" t="s">
        <v>145</v>
      </c>
      <c r="AZ654" s="705">
        <v>0</v>
      </c>
      <c r="BA654" s="705">
        <v>0</v>
      </c>
      <c r="BB654" s="705">
        <v>0</v>
      </c>
      <c r="BC654" s="711"/>
      <c r="BD654" s="705">
        <v>5</v>
      </c>
      <c r="BE654" s="705"/>
      <c r="BF654" s="705">
        <v>0</v>
      </c>
      <c r="BG654" s="705">
        <v>2</v>
      </c>
      <c r="BH654" s="705"/>
      <c r="BI654" s="705">
        <v>0</v>
      </c>
      <c r="BJ654" s="705">
        <v>0</v>
      </c>
      <c r="BK654" s="705"/>
      <c r="BL654" s="705"/>
      <c r="BM654" s="711" t="s">
        <v>43</v>
      </c>
      <c r="BN654" s="712"/>
      <c r="BO654" s="710">
        <v>0.2</v>
      </c>
      <c r="BP654" s="711"/>
      <c r="BQ654" s="713" t="str">
        <f>IFERROR(WWWW[[#This Row],['#_Water sources treated]]/WWWW[[#This Row],['#_Water sources tested for contamination]],"no test")</f>
        <v>no test</v>
      </c>
      <c r="BR654" s="710" t="str">
        <f>IFERROR(WWWW[[#This Row],['#_Household received remediation action due to contamination]]/WWWW[[#This Row],['#_Household water samples tested for contamination]],"no test")</f>
        <v>no test</v>
      </c>
      <c r="BS654" s="712" t="str">
        <f>IF(AND(WWWW[[#This Row],[% of water sources treated]]="no test",WWWW[[#This Row],[% Household received corrective actions]]="no test"),"No Test","Tested")</f>
        <v>No Test</v>
      </c>
      <c r="BT654" s="712">
        <f>WWWW[[#This Row],['#_Constructed/existing protected hand dug well]]-WWWW[[#This Row],['#_Non-functional protected hand dug well]]</f>
        <v>1</v>
      </c>
      <c r="BU654" s="712">
        <f>(WWWW[[#This Row],['#_Constructed/Existing tube wells/boreholes/handpumps_WASH_agency]]+WWWW[[#This Row],['#_Non-Cluster partner water tube-wells/boreholes/handpumps]])-WWWW[[#This Row],['#_Non-functional tube wells/boreholes/handpumps]]</f>
        <v>5</v>
      </c>
      <c r="BV654" s="712">
        <f>WWWW[[#This Row],['#_Constructed/Existingwater storage tank with gravity fed reticulation system]]-WWWW[[#This Row],['#_Non-functional storage tank gravity fed reticulation system]]</f>
        <v>0</v>
      </c>
      <c r="BW654" s="712">
        <f>WWWW[[#This Row],['#_Water boating or water trucking]]</f>
        <v>0</v>
      </c>
      <c r="BX654" s="712">
        <f>WWWW[[#This Row],['#_Constructed/Existing water distribution system from river or natural spring]]</f>
        <v>0</v>
      </c>
      <c r="BY65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4" s="710">
        <f>IF(WWWW[[#This Row],[Location Type 1]]="Village",WWWW[[#This Row],[Access to safe drinking water for Village]],WWWW[[#This Row],[Access to safe drinking water for Camp]])</f>
        <v>1</v>
      </c>
      <c r="CB654" s="708">
        <f>WWWW[[#This Row],[%Equitable and continuous access to sufficient quantity of safe drinking water]]*WWWW[[#This Row],[Total PoP ]]</f>
        <v>493</v>
      </c>
      <c r="CC654" s="710">
        <f>IF((WWWW[[#This Row],['#_Constructed/Existing protected/fenced ponds]]*250)/WWWW[[#This Row],[Total PoP ]]&gt;1,1,(WWWW[[#This Row],['#_Constructed/Existing protected/fenced ponds]]*250)/WWWW[[#This Row],[Total PoP ]])</f>
        <v>0</v>
      </c>
      <c r="CD654" s="708">
        <f>WWWW[[#This Row],[% Access to unimproved water points]]*WWWW[[#This Row],[Total PoP ]]</f>
        <v>0</v>
      </c>
      <c r="CE65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CG654" s="708">
        <f>WWWW[[#This Row],[HRP1]]/500</f>
        <v>0.98599999999999999</v>
      </c>
      <c r="CH654" s="714">
        <f>1-WWWW[[#This Row],[% Equitable and continuous access to sufficient quantity of domestic water]]</f>
        <v>0</v>
      </c>
      <c r="CI654" s="708">
        <f>WWWW[[#This Row],[%equitable and continuous access to sufficient quantity of safe drinking and domestic water''s GAP]]*WWWW[[#This Row],[Total PoP ]]</f>
        <v>0</v>
      </c>
      <c r="CJ654" s="712">
        <f>IF(WWWW[[#This Row],[Total required water points]]-WWWW[[#This Row],['#Water points coverage]]&lt;0,0,WWWW[[#This Row],[Total required water points]]-WWWW[[#This Row],['#Water points coverage]])</f>
        <v>1.4000000000000012E-2</v>
      </c>
      <c r="CK654" s="712">
        <f>ROUND(IF(WWWW[[#This Row],[Total PoP ]]&lt;500,1,WWWW[[#This Row],[Total PoP ]]/500),0)</f>
        <v>1</v>
      </c>
      <c r="CL654" s="712">
        <f>(WWWW[[#This Row],['#_Constructed latrines_by_WASHAgencies]]+WWWW[[#This Row],['#_Non Cluster partner latrines]])-WWWW[[#This Row],['#_Non-functional latrines]]</f>
        <v>10</v>
      </c>
      <c r="CM65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0.40567951318458417</v>
      </c>
      <c r="CN65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65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4" s="712">
        <f>IF(WWWW[[#This Row],[Location Type 1]]="Village","NA",IF(WWWW[[#This Row],['#_Constructed/Existing latrines in TLS]]*50&gt;WWWW[[#This Row],['#_students at TLS_CFS]],WWWW[[#This Row],['#_students at TLS_CFS]],(WWWW[[#This Row],['#_Constructed/Existing latrines in TLS]]*50)))</f>
        <v>0</v>
      </c>
      <c r="CQ654" s="712">
        <f>ROUND(IF(WWWW[[#This Row],[Location Type 1]]="camp",WWWW[[#This Row],[Total PoP ]]/20,IF(WWWW[[#This Row],[Location Type 1]]="Temporary Location",WWWW[[#This Row],[Total PoP ]]/50,(WWWW[[#This Row],[Total PoP ]]/6))),0)</f>
        <v>25</v>
      </c>
      <c r="CR654" s="712">
        <f>IF(WWWW[[#This Row],[Total required Latrines]]-(WWWW[[#This Row],['#_Constructed latrines_by_WASHAgencies]]+WWWW[[#This Row],['#_Non Cluster partner latrines]])&lt;0,0,WWWW[[#This Row],[Total required Latrines]]-(WWWW[[#This Row],['#_Constructed latrines_by_WASHAgencies]]+WWWW[[#This Row],['#_Non Cluster partner latrines]]))</f>
        <v>15</v>
      </c>
      <c r="CS654" s="714">
        <f>1-WWWW[[#This Row],[% people access to functioning Latrine]]</f>
        <v>0.59432048681541583</v>
      </c>
      <c r="CT654" s="713">
        <f>IF(OR(WWWW[[#This Row],['#_Non-functional latrines]]="",WWWW[[#This Row],['#_Non-functional latrines]]=0),0,WWWW[[#This Row],['#_Non-functional latrines]]/(WWWW[[#This Row],['#_Constructed latrines_by_WASHAgencies]]+WWWW[[#This Row],['#_Non Cluster partner latrines]]))</f>
        <v>0</v>
      </c>
      <c r="CU654" s="708">
        <f>IF(500*(WWWW[[#This Row],['#_male hygiene promoters]]+WWWW[[#This Row],['#_female hygiene promoters]])&gt;WWWW[[#This Row],[Total PoP ]],WWWW[[#This Row],[Total PoP ]],500*(WWWW[[#This Row],['#_male hygiene promoters]]+WWWW[[#This Row],['#_female hygiene promoters]]))</f>
        <v>0</v>
      </c>
      <c r="CV65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4" s="712">
        <f>IF(WWWW[[#This Row],['# People with access to soap]]&gt;WWWW[[#This Row],['# People with access to Sanity Pads]],WWWW[[#This Row],['# People with access to soap]],WWWW[[#This Row],['# People with access to Sanity Pads]])</f>
        <v>0</v>
      </c>
      <c r="CY65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54" s="714">
        <f>IF(WWWW[[#This Row],[HRP3]]/WWWW[[#This Row],[Total PoP ]]&gt;100%,100%,WWWW[[#This Row],[HRP3]]/WWWW[[#This Row],[Total PoP ]])</f>
        <v>0</v>
      </c>
      <c r="DA654" s="713">
        <f>1-WWWW[[#This Row],[Hygiene Coverage%]]</f>
        <v>1</v>
      </c>
      <c r="DB654" s="710">
        <f>WWWW[[#This Row],['# people reached by regular dedicated hygiene promotion_5]]/WWWW[[#This Row],[Total PoP ]]</f>
        <v>0</v>
      </c>
      <c r="DC654" s="710">
        <f>IF(WWWW[[#This Row],['#_households that received standard amount of soap for this quarter]]/WWWW[[#This Row],[Total HH]]&gt;1,1,WWWW[[#This Row],['#_households that received standard amount of soap for this quarter]]/WWWW[[#This Row],[Total HH]])</f>
        <v>0</v>
      </c>
      <c r="DD654" s="710">
        <f>IF(WWWW[[#This Row],['#_households that received standard amount of sanitary pads for this quarter]]/WWWW[[#This Row],[Total HH]]&gt;1,1,WWWW[[#This Row],['#_households that received standard amount of sanitary pads for this quarter]]/WWWW[[#This Row],[Total HH]])</f>
        <v>0</v>
      </c>
      <c r="DE654" s="712">
        <f>WWWW[[#This Row],['#_Constructed/Existing hand washing stations]]-WWWW[[#This Row],['#_Non-Functional_hand_washing_stations]]</f>
        <v>5</v>
      </c>
      <c r="DF654" s="757">
        <f>IF(WWWW[[#This Row],['# Functional hand washing stations during reporting period]]*20&gt;WWWW[[#This Row],[Total HH]],WWWW[[#This Row],[Total HH]],WWWW[[#This Row],['# Functional hand washing stations during reporting period]]*20)</f>
        <v>100</v>
      </c>
      <c r="DG654" s="708">
        <f>IF(WWWW[[#This Row],[Is sufficient soap available for TLS? (Yes/No)]]="yes",WWWW[[#This Row],['#_Constructed/Existing hand washing stations at TLS]],0)</f>
        <v>0</v>
      </c>
      <c r="DH654" s="759">
        <f>IF(WWWW[[#This Row],['# Functional hand washing stations during reporting period]]*100&gt;WWWW[[#This Row],[Total PoP ]],WWWW[[#This Row],[Total PoP ]],WWWW[[#This Row],['# Functional hand washing stations during reporting period]]*100)</f>
        <v>493</v>
      </c>
      <c r="DI654" s="759" t="str">
        <f>IF(OR(WWWW[[#This Row],['#_students at TLS_CFS]]="",WWWW[[#This Row],['#_students at TLS_CFS]]=0),"No","Yes")</f>
        <v>Yes</v>
      </c>
      <c r="DJ654" s="711" t="str">
        <f>VLOOKUP(WWWW[[#This Row],[Site Name]],SiteDB6[[Site Name]:[CCCM Management]],6,FALSE)</f>
        <v>Yes</v>
      </c>
      <c r="DK654" s="711" t="str">
        <f>VLOOKUP(WWWW[[#This Row],[Site Name]],SiteDB6[[Site Name]:[CCCM Focal Agency]],7,FALSE)</f>
        <v>Shalom</v>
      </c>
      <c r="DL654" s="711" t="str">
        <f>VLOOKUP(WWWW[[#This Row],[Site Name]],SiteDB6[[Site Name]:[Location Type 1]],9,FALSE)</f>
        <v>Camp</v>
      </c>
      <c r="DM654" s="711" t="str">
        <f>VLOOKUP(WWWW[[#This Row],[Site Name]],SiteDB6[[Site Name]:[Type of Accommodation]],10,FALSE)</f>
        <v>Camp</v>
      </c>
      <c r="DN654" s="711" t="str">
        <f>VLOOKUP(WWWW[[#This Row],[Site Name]],SiteDB6[[Site Name]:[Ethnic or GCA/NGCA]],11,FALSE)</f>
        <v>GCA</v>
      </c>
      <c r="DO654" s="711">
        <f>VLOOKUP(WWWW[[#This Row],[Site Name]],SiteDB6[[Site Name]:[Lat]],12,FALSE)</f>
        <v>25.3540362037037</v>
      </c>
      <c r="DP654" s="711">
        <f>VLOOKUP(WWWW[[#This Row],[Site Name]],SiteDB6[[Site Name]:[Long]],13,FALSE)</f>
        <v>97.441166388888902</v>
      </c>
      <c r="DQ654" s="711" t="str">
        <f>VLOOKUP(WWWW[[#This Row],[Site Name]],SiteDB6[[Site Name]:[Pcode]],3,FALSE)</f>
        <v>MMR001CMP032</v>
      </c>
      <c r="DR654" s="709" t="str">
        <f t="shared" si="24"/>
        <v>Covered</v>
      </c>
      <c r="DS654" s="709"/>
    </row>
    <row r="655" spans="1:123">
      <c r="A655" s="701" t="s">
        <v>2519</v>
      </c>
      <c r="B655" s="701" t="s">
        <v>149</v>
      </c>
      <c r="C655" s="702" t="s">
        <v>149</v>
      </c>
      <c r="D655" s="702" t="s">
        <v>3264</v>
      </c>
      <c r="E655" s="702" t="s">
        <v>39</v>
      </c>
      <c r="F655" s="702" t="s">
        <v>165</v>
      </c>
      <c r="G655" s="711" t="str">
        <f>VLOOKUP(WWWW[[#This Row],[Site Name]],SiteDB6[[Site Name]:[Location Type]],8,FALSE)</f>
        <v>Camp</v>
      </c>
      <c r="H655" s="702" t="s">
        <v>166</v>
      </c>
      <c r="I655" s="705">
        <v>22</v>
      </c>
      <c r="J655" s="705">
        <v>113</v>
      </c>
      <c r="K655" s="593" t="s">
        <v>3265</v>
      </c>
      <c r="L655" s="58" t="s">
        <v>3267</v>
      </c>
      <c r="M655" s="705"/>
      <c r="N655" s="705"/>
      <c r="O655" s="705"/>
      <c r="P655" s="705"/>
      <c r="Q655" s="708" t="s">
        <v>43</v>
      </c>
      <c r="R655" s="705"/>
      <c r="S655" s="705"/>
      <c r="T655" s="807">
        <v>0</v>
      </c>
      <c r="U655" s="705"/>
      <c r="V655" s="705"/>
      <c r="W655" s="705">
        <v>3</v>
      </c>
      <c r="X655" s="705"/>
      <c r="Y655" s="705"/>
      <c r="Z655" s="705"/>
      <c r="AA655" s="705"/>
      <c r="AB655" s="705"/>
      <c r="AC655" s="705"/>
      <c r="AD655" s="705"/>
      <c r="AE655" s="705"/>
      <c r="AF655" s="705"/>
      <c r="AG655" s="705"/>
      <c r="AH655" s="705">
        <v>0</v>
      </c>
      <c r="AI655" s="705"/>
      <c r="AJ655" s="705"/>
      <c r="AK655" s="705"/>
      <c r="AL655" s="705"/>
      <c r="AM655" s="705"/>
      <c r="AN655" s="705"/>
      <c r="AO655" s="709"/>
      <c r="AP655" s="705">
        <v>5</v>
      </c>
      <c r="AQ655" s="705"/>
      <c r="AR655" s="710"/>
      <c r="AS655" s="705"/>
      <c r="AT655" s="705"/>
      <c r="AU655" s="705"/>
      <c r="AV655" s="705"/>
      <c r="AW655" s="705"/>
      <c r="AX655" s="711" t="s">
        <v>43</v>
      </c>
      <c r="AY655" s="709" t="s">
        <v>1200</v>
      </c>
      <c r="AZ655" s="705"/>
      <c r="BA655" s="705"/>
      <c r="BB655" s="705"/>
      <c r="BC655" s="711"/>
      <c r="BD655" s="705"/>
      <c r="BE655" s="705"/>
      <c r="BF655" s="705"/>
      <c r="BG655" s="705">
        <v>2</v>
      </c>
      <c r="BH655" s="705"/>
      <c r="BI655" s="705"/>
      <c r="BJ655" s="705">
        <v>1</v>
      </c>
      <c r="BK655" s="705"/>
      <c r="BL655" s="705"/>
      <c r="BM655" s="711"/>
      <c r="BN655" s="712"/>
      <c r="BO655" s="710"/>
      <c r="BP655" s="711"/>
      <c r="BQ655" s="713" t="str">
        <f>IFERROR(WWWW[[#This Row],['#_Water sources treated]]/WWWW[[#This Row],['#_Water sources tested for contamination]],"no test")</f>
        <v>no test</v>
      </c>
      <c r="BR655" s="710" t="str">
        <f>IFERROR(WWWW[[#This Row],['#_Household received remediation action due to contamination]]/WWWW[[#This Row],['#_Household water samples tested for contamination]],"no test")</f>
        <v>no test</v>
      </c>
      <c r="BS655" s="712" t="str">
        <f>IF(AND(WWWW[[#This Row],[% of water sources treated]]="no test",WWWW[[#This Row],[% Household received corrective actions]]="no test"),"No Test","Tested")</f>
        <v>No Test</v>
      </c>
      <c r="BT655" s="712">
        <f>WWWW[[#This Row],['#_Constructed/existing protected hand dug well]]-WWWW[[#This Row],['#_Non-functional protected hand dug well]]</f>
        <v>0</v>
      </c>
      <c r="BU655" s="712">
        <f>(WWWW[[#This Row],['#_Constructed/Existing tube wells/boreholes/handpumps_WASH_agency]]+WWWW[[#This Row],['#_Non-Cluster partner water tube-wells/boreholes/handpumps]])-WWWW[[#This Row],['#_Non-functional tube wells/boreholes/handpumps]]</f>
        <v>3</v>
      </c>
      <c r="BV655" s="712">
        <f>WWWW[[#This Row],['#_Constructed/Existingwater storage tank with gravity fed reticulation system]]-WWWW[[#This Row],['#_Non-functional storage tank gravity fed reticulation system]]</f>
        <v>0</v>
      </c>
      <c r="BW655" s="712">
        <f>WWWW[[#This Row],['#_Water boating or water trucking]]</f>
        <v>0</v>
      </c>
      <c r="BX655" s="712">
        <f>WWWW[[#This Row],['#_Constructed/Existing water distribution system from river or natural spring]]</f>
        <v>0</v>
      </c>
      <c r="BY65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5" s="710">
        <f>IF(WWWW[[#This Row],[Location Type 1]]="Village",WWWW[[#This Row],[Access to safe drinking water for Village]],WWWW[[#This Row],[Access to safe drinking water for Camp]])</f>
        <v>1</v>
      </c>
      <c r="CB655" s="708">
        <f>WWWW[[#This Row],[%Equitable and continuous access to sufficient quantity of safe drinking water]]*WWWW[[#This Row],[Total PoP ]]</f>
        <v>113</v>
      </c>
      <c r="CC655" s="710">
        <f>IF((WWWW[[#This Row],['#_Constructed/Existing protected/fenced ponds]]*250)/WWWW[[#This Row],[Total PoP ]]&gt;1,1,(WWWW[[#This Row],['#_Constructed/Existing protected/fenced ponds]]*250)/WWWW[[#This Row],[Total PoP ]])</f>
        <v>0</v>
      </c>
      <c r="CD655" s="708">
        <f>WWWW[[#This Row],[% Access to unimproved water points]]*WWWW[[#This Row],[Total PoP ]]</f>
        <v>0</v>
      </c>
      <c r="CE65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G655" s="708">
        <f>WWWW[[#This Row],[HRP1]]/500</f>
        <v>0.22600000000000001</v>
      </c>
      <c r="CH655" s="714">
        <f>1-WWWW[[#This Row],[% Equitable and continuous access to sufficient quantity of domestic water]]</f>
        <v>0</v>
      </c>
      <c r="CI655" s="708">
        <f>WWWW[[#This Row],[%equitable and continuous access to sufficient quantity of safe drinking and domestic water''s GAP]]*WWWW[[#This Row],[Total PoP ]]</f>
        <v>0</v>
      </c>
      <c r="CJ655" s="712">
        <f>IF(WWWW[[#This Row],[Total required water points]]-WWWW[[#This Row],['#Water points coverage]]&lt;0,0,WWWW[[#This Row],[Total required water points]]-WWWW[[#This Row],['#Water points coverage]])</f>
        <v>0.77400000000000002</v>
      </c>
      <c r="CK655" s="712">
        <f>ROUND(IF(WWWW[[#This Row],[Total PoP ]]&lt;500,1,WWWW[[#This Row],[Total PoP ]]/500),0)</f>
        <v>1</v>
      </c>
      <c r="CL655" s="712">
        <f>(WWWW[[#This Row],['#_Constructed latrines_by_WASHAgencies]]+WWWW[[#This Row],['#_Non Cluster partner latrines]])-WWWW[[#This Row],['#_Non-functional latrines]]</f>
        <v>5</v>
      </c>
      <c r="CM65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0.88495575221238942</v>
      </c>
      <c r="CN65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65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5" s="712">
        <f>IF(WWWW[[#This Row],[Location Type 1]]="Village","NA",IF(WWWW[[#This Row],['#_Constructed/Existing latrines in TLS]]*50&gt;WWWW[[#This Row],['#_students at TLS_CFS]],WWWW[[#This Row],['#_students at TLS_CFS]],(WWWW[[#This Row],['#_Constructed/Existing latrines in TLS]]*50)))</f>
        <v>0</v>
      </c>
      <c r="CQ655" s="712">
        <f>ROUND(IF(WWWW[[#This Row],[Location Type 1]]="camp",WWWW[[#This Row],[Total PoP ]]/20,IF(WWWW[[#This Row],[Location Type 1]]="Temporary Location",WWWW[[#This Row],[Total PoP ]]/50,(WWWW[[#This Row],[Total PoP ]]/6))),0)</f>
        <v>6</v>
      </c>
      <c r="CR655" s="712">
        <f>IF(WWWW[[#This Row],[Total required Latrines]]-(WWWW[[#This Row],['#_Constructed latrines_by_WASHAgencies]]+WWWW[[#This Row],['#_Non Cluster partner latrines]])&lt;0,0,WWWW[[#This Row],[Total required Latrines]]-(WWWW[[#This Row],['#_Constructed latrines_by_WASHAgencies]]+WWWW[[#This Row],['#_Non Cluster partner latrines]]))</f>
        <v>1</v>
      </c>
      <c r="CS655" s="714">
        <f>1-WWWW[[#This Row],[% people access to functioning Latrine]]</f>
        <v>0.11504424778761058</v>
      </c>
      <c r="CT655" s="713">
        <f>IF(OR(WWWW[[#This Row],['#_Non-functional latrines]]="",WWWW[[#This Row],['#_Non-functional latrines]]=0),0,WWWW[[#This Row],['#_Non-functional latrines]]/(WWWW[[#This Row],['#_Constructed latrines_by_WASHAgencies]]+WWWW[[#This Row],['#_Non Cluster partner latrines]]))</f>
        <v>0</v>
      </c>
      <c r="CU655" s="708">
        <f>IF(500*(WWWW[[#This Row],['#_male hygiene promoters]]+WWWW[[#This Row],['#_female hygiene promoters]])&gt;WWWW[[#This Row],[Total PoP ]],WWWW[[#This Row],[Total PoP ]],500*(WWWW[[#This Row],['#_male hygiene promoters]]+WWWW[[#This Row],['#_female hygiene promoters]]))</f>
        <v>113</v>
      </c>
      <c r="CV65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5" s="712">
        <f>IF(WWWW[[#This Row],['# People with access to soap]]&gt;WWWW[[#This Row],['# People with access to Sanity Pads]],WWWW[[#This Row],['# People with access to soap]],WWWW[[#This Row],['# People with access to Sanity Pads]])</f>
        <v>0</v>
      </c>
      <c r="CY655" s="712">
        <f>IF(WWWW[[#This Row],['# people reached by regular dedicated hygiene promotion_5]]&gt;WWWW[[#This Row],['# People received regular supply of hygiene items_6]],WWWW[[#This Row],['# people reached by regular dedicated hygiene promotion_5]],WWWW[[#This Row],['# People received regular supply of hygiene items_6]])</f>
        <v>113</v>
      </c>
      <c r="CZ655" s="714">
        <f>IF(WWWW[[#This Row],[HRP3]]/WWWW[[#This Row],[Total PoP ]]&gt;100%,100%,WWWW[[#This Row],[HRP3]]/WWWW[[#This Row],[Total PoP ]])</f>
        <v>1</v>
      </c>
      <c r="DA655" s="713">
        <f>1-WWWW[[#This Row],[Hygiene Coverage%]]</f>
        <v>0</v>
      </c>
      <c r="DB655" s="710">
        <f>WWWW[[#This Row],['# people reached by regular dedicated hygiene promotion_5]]/WWWW[[#This Row],[Total PoP ]]</f>
        <v>1</v>
      </c>
      <c r="DC655" s="710">
        <f>IF(WWWW[[#This Row],['#_households that received standard amount of soap for this quarter]]/WWWW[[#This Row],[Total HH]]&gt;1,1,WWWW[[#This Row],['#_households that received standard amount of soap for this quarter]]/WWWW[[#This Row],[Total HH]])</f>
        <v>0</v>
      </c>
      <c r="DD655" s="710">
        <f>IF(WWWW[[#This Row],['#_households that received standard amount of sanitary pads for this quarter]]/WWWW[[#This Row],[Total HH]]&gt;1,1,WWWW[[#This Row],['#_households that received standard amount of sanitary pads for this quarter]]/WWWW[[#This Row],[Total HH]])</f>
        <v>0</v>
      </c>
      <c r="DE655" s="712">
        <f>WWWW[[#This Row],['#_Constructed/Existing hand washing stations]]-WWWW[[#This Row],['#_Non-Functional_hand_washing_stations]]</f>
        <v>0</v>
      </c>
      <c r="DF655" s="757">
        <f>IF(WWWW[[#This Row],['# Functional hand washing stations during reporting period]]*20&gt;WWWW[[#This Row],[Total HH]],WWWW[[#This Row],[Total HH]],WWWW[[#This Row],['# Functional hand washing stations during reporting period]]*20)</f>
        <v>0</v>
      </c>
      <c r="DG655" s="708">
        <f>IF(WWWW[[#This Row],[Is sufficient soap available for TLS? (Yes/No)]]="yes",WWWW[[#This Row],['#_Constructed/Existing hand washing stations at TLS]],0)</f>
        <v>0</v>
      </c>
      <c r="DH655" s="759">
        <f>IF(WWWW[[#This Row],['# Functional hand washing stations during reporting period]]*100&gt;WWWW[[#This Row],[Total PoP ]],WWWW[[#This Row],[Total PoP ]],WWWW[[#This Row],['# Functional hand washing stations during reporting period]]*100)</f>
        <v>0</v>
      </c>
      <c r="DI655" s="759" t="str">
        <f>IF(OR(WWWW[[#This Row],['#_students at TLS_CFS]]="",WWWW[[#This Row],['#_students at TLS_CFS]]=0),"No","Yes")</f>
        <v>No</v>
      </c>
      <c r="DJ655" s="711" t="str">
        <f>VLOOKUP(WWWW[[#This Row],[Site Name]],SiteDB6[[Site Name]:[CCCM Management]],6,FALSE)</f>
        <v>Yes</v>
      </c>
      <c r="DK655" s="711" t="str">
        <f>VLOOKUP(WWWW[[#This Row],[Site Name]],SiteDB6[[Site Name]:[CCCM Focal Agency]],7,FALSE)</f>
        <v>KBC</v>
      </c>
      <c r="DL655" s="711" t="str">
        <f>VLOOKUP(WWWW[[#This Row],[Site Name]],SiteDB6[[Site Name]:[Location Type 1]],9,FALSE)</f>
        <v>Camp</v>
      </c>
      <c r="DM655" s="711" t="str">
        <f>VLOOKUP(WWWW[[#This Row],[Site Name]],SiteDB6[[Site Name]:[Type of Accommodation]],10,FALSE)</f>
        <v>Camp</v>
      </c>
      <c r="DN655" s="711" t="str">
        <f>VLOOKUP(WWWW[[#This Row],[Site Name]],SiteDB6[[Site Name]:[Ethnic or GCA/NGCA]],11,FALSE)</f>
        <v>GCA</v>
      </c>
      <c r="DO655" s="711">
        <f>VLOOKUP(WWWW[[#This Row],[Site Name]],SiteDB6[[Site Name]:[Lat]],12,FALSE)</f>
        <v>24.998349999999999</v>
      </c>
      <c r="DP655" s="711">
        <f>VLOOKUP(WWWW[[#This Row],[Site Name]],SiteDB6[[Site Name]:[Long]],13,FALSE)</f>
        <v>96.364949999999993</v>
      </c>
      <c r="DQ655" s="711" t="str">
        <f>VLOOKUP(WWWW[[#This Row],[Site Name]],SiteDB6[[Site Name]:[Pcode]],3,FALSE)</f>
        <v>MMR001CMP152</v>
      </c>
      <c r="DR655" s="709" t="str">
        <f t="shared" si="24"/>
        <v>Covered</v>
      </c>
      <c r="DS655" s="709"/>
    </row>
    <row r="656" spans="1:123">
      <c r="A656" s="701" t="s">
        <v>2519</v>
      </c>
      <c r="B656" s="701" t="s">
        <v>149</v>
      </c>
      <c r="C656" s="702" t="s">
        <v>149</v>
      </c>
      <c r="D656" s="702" t="s">
        <v>3264</v>
      </c>
      <c r="E656" s="702" t="s">
        <v>39</v>
      </c>
      <c r="F656" s="702" t="s">
        <v>192</v>
      </c>
      <c r="G656" s="711" t="str">
        <f>VLOOKUP(WWWW[[#This Row],[Site Name]],SiteDB6[[Site Name]:[Location Type]],8,FALSE)</f>
        <v>Camp</v>
      </c>
      <c r="H656" s="702" t="s">
        <v>193</v>
      </c>
      <c r="I656" s="705">
        <v>127</v>
      </c>
      <c r="J656" s="705">
        <v>547</v>
      </c>
      <c r="K656" s="593" t="s">
        <v>3265</v>
      </c>
      <c r="L656" s="58" t="s">
        <v>3267</v>
      </c>
      <c r="M656" s="705"/>
      <c r="N656" s="705"/>
      <c r="O656" s="705"/>
      <c r="P656" s="705">
        <v>30</v>
      </c>
      <c r="Q656" s="708" t="s">
        <v>43</v>
      </c>
      <c r="R656" s="705"/>
      <c r="S656" s="705"/>
      <c r="T656" s="807">
        <v>0</v>
      </c>
      <c r="U656" s="705"/>
      <c r="V656" s="705"/>
      <c r="W656" s="705">
        <v>0</v>
      </c>
      <c r="X656" s="705"/>
      <c r="Y656" s="705"/>
      <c r="Z656" s="705"/>
      <c r="AA656" s="705">
        <v>1</v>
      </c>
      <c r="AB656" s="705">
        <v>1</v>
      </c>
      <c r="AC656" s="705"/>
      <c r="AD656" s="705"/>
      <c r="AE656" s="705"/>
      <c r="AF656" s="705"/>
      <c r="AG656" s="705"/>
      <c r="AH656" s="705">
        <v>0</v>
      </c>
      <c r="AI656" s="705"/>
      <c r="AJ656" s="705"/>
      <c r="AK656" s="705"/>
      <c r="AL656" s="705"/>
      <c r="AM656" s="705"/>
      <c r="AN656" s="705"/>
      <c r="AO656" s="709"/>
      <c r="AP656" s="705">
        <v>74</v>
      </c>
      <c r="AQ656" s="705"/>
      <c r="AR656" s="710"/>
      <c r="AS656" s="705"/>
      <c r="AT656" s="705"/>
      <c r="AU656" s="705"/>
      <c r="AV656" s="705"/>
      <c r="AW656" s="705">
        <v>74</v>
      </c>
      <c r="AX656" s="711" t="s">
        <v>43</v>
      </c>
      <c r="AY656" s="709" t="s">
        <v>145</v>
      </c>
      <c r="AZ656" s="705"/>
      <c r="BA656" s="705"/>
      <c r="BB656" s="705"/>
      <c r="BC656" s="711"/>
      <c r="BD656" s="705"/>
      <c r="BE656" s="705"/>
      <c r="BF656" s="705"/>
      <c r="BG656" s="705">
        <v>0</v>
      </c>
      <c r="BH656" s="705"/>
      <c r="BI656" s="705"/>
      <c r="BJ656" s="705">
        <v>2</v>
      </c>
      <c r="BK656" s="705"/>
      <c r="BL656" s="705"/>
      <c r="BM656" s="711"/>
      <c r="BN656" s="712"/>
      <c r="BO656" s="710"/>
      <c r="BP656" s="711"/>
      <c r="BQ656" s="713" t="str">
        <f>IFERROR(WWWW[[#This Row],['#_Water sources treated]]/WWWW[[#This Row],['#_Water sources tested for contamination]],"no test")</f>
        <v>no test</v>
      </c>
      <c r="BR656" s="710" t="str">
        <f>IFERROR(WWWW[[#This Row],['#_Household received remediation action due to contamination]]/WWWW[[#This Row],['#_Household water samples tested for contamination]],"no test")</f>
        <v>no test</v>
      </c>
      <c r="BS656" s="712" t="str">
        <f>IF(AND(WWWW[[#This Row],[% of water sources treated]]="no test",WWWW[[#This Row],[% Household received corrective actions]]="no test"),"No Test","Tested")</f>
        <v>No Test</v>
      </c>
      <c r="BT656" s="712">
        <f>WWWW[[#This Row],['#_Constructed/existing protected hand dug well]]-WWWW[[#This Row],['#_Non-functional protected hand dug well]]</f>
        <v>0</v>
      </c>
      <c r="BU656" s="712">
        <f>(WWWW[[#This Row],['#_Constructed/Existing tube wells/boreholes/handpumps_WASH_agency]]+WWWW[[#This Row],['#_Non-Cluster partner water tube-wells/boreholes/handpumps]])-WWWW[[#This Row],['#_Non-functional tube wells/boreholes/handpumps]]</f>
        <v>0</v>
      </c>
      <c r="BV656" s="712">
        <f>WWWW[[#This Row],['#_Constructed/Existingwater storage tank with gravity fed reticulation system]]-WWWW[[#This Row],['#_Non-functional storage tank gravity fed reticulation system]]</f>
        <v>0</v>
      </c>
      <c r="BW656" s="712">
        <f>WWWW[[#This Row],['#_Water boating or water trucking]]</f>
        <v>0</v>
      </c>
      <c r="BX656" s="712">
        <f>WWWW[[#This Row],['#_Constructed/Existing water distribution system from river or natural spring]]</f>
        <v>0</v>
      </c>
      <c r="BY65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5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56" s="710">
        <f>IF(WWWW[[#This Row],[Location Type 1]]="Village",WWWW[[#This Row],[Access to safe drinking water for Village]],WWWW[[#This Row],[Access to safe drinking water for Camp]])</f>
        <v>0</v>
      </c>
      <c r="CB656" s="708">
        <f>WWWW[[#This Row],[%Equitable and continuous access to sufficient quantity of safe drinking water]]*WWWW[[#This Row],[Total PoP ]]</f>
        <v>0</v>
      </c>
      <c r="CC656" s="710">
        <f>IF((WWWW[[#This Row],['#_Constructed/Existing protected/fenced ponds]]*250)/WWWW[[#This Row],[Total PoP ]]&gt;1,1,(WWWW[[#This Row],['#_Constructed/Existing protected/fenced ponds]]*250)/WWWW[[#This Row],[Total PoP ]])</f>
        <v>0</v>
      </c>
      <c r="CD656" s="708">
        <f>WWWW[[#This Row],[% Access to unimproved water points]]*WWWW[[#This Row],[Total PoP ]]</f>
        <v>0</v>
      </c>
      <c r="CE65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5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56" s="708">
        <f>WWWW[[#This Row],[HRP1]]/500</f>
        <v>0</v>
      </c>
      <c r="CH656" s="714">
        <f>1-WWWW[[#This Row],[% Equitable and continuous access to sufficient quantity of domestic water]]</f>
        <v>1</v>
      </c>
      <c r="CI656" s="708">
        <f>WWWW[[#This Row],[%equitable and continuous access to sufficient quantity of safe drinking and domestic water''s GAP]]*WWWW[[#This Row],[Total PoP ]]</f>
        <v>547</v>
      </c>
      <c r="CJ656" s="712">
        <f>IF(WWWW[[#This Row],[Total required water points]]-WWWW[[#This Row],['#Water points coverage]]&lt;0,0,WWWW[[#This Row],[Total required water points]]-WWWW[[#This Row],['#Water points coverage]])</f>
        <v>1</v>
      </c>
      <c r="CK656" s="712">
        <f>ROUND(IF(WWWW[[#This Row],[Total PoP ]]&lt;500,1,WWWW[[#This Row],[Total PoP ]]/500),0)</f>
        <v>1</v>
      </c>
      <c r="CL656" s="712">
        <f>(WWWW[[#This Row],['#_Constructed latrines_by_WASHAgencies]]+WWWW[[#This Row],['#_Non Cluster partner latrines]])-WWWW[[#This Row],['#_Non-functional latrines]]</f>
        <v>74</v>
      </c>
      <c r="CM65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5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547</v>
      </c>
      <c r="CO65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6" s="712">
        <f>IF(WWWW[[#This Row],[Location Type 1]]="Village","NA",IF(WWWW[[#This Row],['#_Constructed/Existing latrines in TLS]]*50&gt;WWWW[[#This Row],['#_students at TLS_CFS]],WWWW[[#This Row],['#_students at TLS_CFS]],(WWWW[[#This Row],['#_Constructed/Existing latrines in TLS]]*50)))</f>
        <v>0</v>
      </c>
      <c r="CQ656" s="712">
        <f>ROUND(IF(WWWW[[#This Row],[Location Type 1]]="camp",WWWW[[#This Row],[Total PoP ]]/20,IF(WWWW[[#This Row],[Location Type 1]]="Temporary Location",WWWW[[#This Row],[Total PoP ]]/50,(WWWW[[#This Row],[Total PoP ]]/6))),0)</f>
        <v>27</v>
      </c>
      <c r="CR656" s="712">
        <f>IF(WWWW[[#This Row],[Total required Latrines]]-(WWWW[[#This Row],['#_Constructed latrines_by_WASHAgencies]]+WWWW[[#This Row],['#_Non Cluster partner latrines]])&lt;0,0,WWWW[[#This Row],[Total required Latrines]]-(WWWW[[#This Row],['#_Constructed latrines_by_WASHAgencies]]+WWWW[[#This Row],['#_Non Cluster partner latrines]]))</f>
        <v>0</v>
      </c>
      <c r="CS656" s="714">
        <f>1-WWWW[[#This Row],[% people access to functioning Latrine]]</f>
        <v>0</v>
      </c>
      <c r="CT656" s="713">
        <f>IF(OR(WWWW[[#This Row],['#_Non-functional latrines]]="",WWWW[[#This Row],['#_Non-functional latrines]]=0),0,WWWW[[#This Row],['#_Non-functional latrines]]/(WWWW[[#This Row],['#_Constructed latrines_by_WASHAgencies]]+WWWW[[#This Row],['#_Non Cluster partner latrines]]))</f>
        <v>0</v>
      </c>
      <c r="CU656" s="708">
        <f>IF(500*(WWWW[[#This Row],['#_male hygiene promoters]]+WWWW[[#This Row],['#_female hygiene promoters]])&gt;WWWW[[#This Row],[Total PoP ]],WWWW[[#This Row],[Total PoP ]],500*(WWWW[[#This Row],['#_male hygiene promoters]]+WWWW[[#This Row],['#_female hygiene promoters]]))</f>
        <v>547</v>
      </c>
      <c r="CV65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6" s="712">
        <f>IF(WWWW[[#This Row],['# People with access to soap]]&gt;WWWW[[#This Row],['# People with access to Sanity Pads]],WWWW[[#This Row],['# People with access to soap]],WWWW[[#This Row],['# People with access to Sanity Pads]])</f>
        <v>0</v>
      </c>
      <c r="CY656" s="712">
        <f>IF(WWWW[[#This Row],['# people reached by regular dedicated hygiene promotion_5]]&gt;WWWW[[#This Row],['# People received regular supply of hygiene items_6]],WWWW[[#This Row],['# people reached by regular dedicated hygiene promotion_5]],WWWW[[#This Row],['# People received regular supply of hygiene items_6]])</f>
        <v>547</v>
      </c>
      <c r="CZ656" s="714">
        <f>IF(WWWW[[#This Row],[HRP3]]/WWWW[[#This Row],[Total PoP ]]&gt;100%,100%,WWWW[[#This Row],[HRP3]]/WWWW[[#This Row],[Total PoP ]])</f>
        <v>1</v>
      </c>
      <c r="DA656" s="713">
        <f>1-WWWW[[#This Row],[Hygiene Coverage%]]</f>
        <v>0</v>
      </c>
      <c r="DB656" s="710">
        <f>WWWW[[#This Row],['# people reached by regular dedicated hygiene promotion_5]]/WWWW[[#This Row],[Total PoP ]]</f>
        <v>1</v>
      </c>
      <c r="DC656" s="710">
        <f>IF(WWWW[[#This Row],['#_households that received standard amount of soap for this quarter]]/WWWW[[#This Row],[Total HH]]&gt;1,1,WWWW[[#This Row],['#_households that received standard amount of soap for this quarter]]/WWWW[[#This Row],[Total HH]])</f>
        <v>0</v>
      </c>
      <c r="DD656" s="710">
        <f>IF(WWWW[[#This Row],['#_households that received standard amount of sanitary pads for this quarter]]/WWWW[[#This Row],[Total HH]]&gt;1,1,WWWW[[#This Row],['#_households that received standard amount of sanitary pads for this quarter]]/WWWW[[#This Row],[Total HH]])</f>
        <v>0</v>
      </c>
      <c r="DE656" s="712">
        <f>WWWW[[#This Row],['#_Constructed/Existing hand washing stations]]-WWWW[[#This Row],['#_Non-Functional_hand_washing_stations]]</f>
        <v>0</v>
      </c>
      <c r="DF656" s="757">
        <f>IF(WWWW[[#This Row],['# Functional hand washing stations during reporting period]]*20&gt;WWWW[[#This Row],[Total HH]],WWWW[[#This Row],[Total HH]],WWWW[[#This Row],['# Functional hand washing stations during reporting period]]*20)</f>
        <v>0</v>
      </c>
      <c r="DG656" s="708">
        <f>IF(WWWW[[#This Row],[Is sufficient soap available for TLS? (Yes/No)]]="yes",WWWW[[#This Row],['#_Constructed/Existing hand washing stations at TLS]],0)</f>
        <v>0</v>
      </c>
      <c r="DH656" s="759">
        <f>IF(WWWW[[#This Row],['# Functional hand washing stations during reporting period]]*100&gt;WWWW[[#This Row],[Total PoP ]],WWWW[[#This Row],[Total PoP ]],WWWW[[#This Row],['# Functional hand washing stations during reporting period]]*100)</f>
        <v>0</v>
      </c>
      <c r="DI656" s="759" t="str">
        <f>IF(OR(WWWW[[#This Row],['#_students at TLS_CFS]]="",WWWW[[#This Row],['#_students at TLS_CFS]]=0),"No","Yes")</f>
        <v>No</v>
      </c>
      <c r="DJ656" s="711" t="str">
        <f>VLOOKUP(WWWW[[#This Row],[Site Name]],SiteDB6[[Site Name]:[CCCM Management]],6,FALSE)</f>
        <v>Yes</v>
      </c>
      <c r="DK656" s="711" t="str">
        <f>VLOOKUP(WWWW[[#This Row],[Site Name]],SiteDB6[[Site Name]:[CCCM Focal Agency]],7,FALSE)</f>
        <v>KBC-MYT</v>
      </c>
      <c r="DL656" s="711" t="str">
        <f>VLOOKUP(WWWW[[#This Row],[Site Name]],SiteDB6[[Site Name]:[Location Type 1]],9,FALSE)</f>
        <v>Camp</v>
      </c>
      <c r="DM656" s="711" t="str">
        <f>VLOOKUP(WWWW[[#This Row],[Site Name]],SiteDB6[[Site Name]:[Type of Accommodation]],10,FALSE)</f>
        <v>Camp</v>
      </c>
      <c r="DN656" s="711" t="str">
        <f>VLOOKUP(WWWW[[#This Row],[Site Name]],SiteDB6[[Site Name]:[Ethnic or GCA/NGCA]],11,FALSE)</f>
        <v>NGCA</v>
      </c>
      <c r="DO656" s="711">
        <f>VLOOKUP(WWWW[[#This Row],[Site Name]],SiteDB6[[Site Name]:[Lat]],12,FALSE)</f>
        <v>26.569633</v>
      </c>
      <c r="DP656" s="711">
        <f>VLOOKUP(WWWW[[#This Row],[Site Name]],SiteDB6[[Site Name]:[Long]],13,FALSE)</f>
        <v>97.745480999999998</v>
      </c>
      <c r="DQ656" s="711" t="str">
        <f>VLOOKUP(WWWW[[#This Row],[Site Name]],SiteDB6[[Site Name]:[Pcode]],3,FALSE)</f>
        <v>MMR001CMP238</v>
      </c>
      <c r="DR656" s="709" t="str">
        <f t="shared" si="24"/>
        <v>Covered</v>
      </c>
      <c r="DS656" s="709"/>
    </row>
    <row r="657" spans="1:123">
      <c r="A657" s="701" t="s">
        <v>2519</v>
      </c>
      <c r="B657" s="701" t="s">
        <v>250</v>
      </c>
      <c r="C657" s="702" t="s">
        <v>250</v>
      </c>
      <c r="D657" s="702" t="s">
        <v>315</v>
      </c>
      <c r="E657" s="702" t="s">
        <v>39</v>
      </c>
      <c r="F657" s="702" t="s">
        <v>150</v>
      </c>
      <c r="G657" s="711" t="str">
        <f>VLOOKUP(WWWW[[#This Row],[Site Name]],SiteDB6[[Site Name]:[Location Type]],8,FALSE)</f>
        <v>Camp</v>
      </c>
      <c r="H657" s="702" t="s">
        <v>280</v>
      </c>
      <c r="I657" s="705">
        <v>36</v>
      </c>
      <c r="J657" s="705">
        <v>189</v>
      </c>
      <c r="K657" s="706">
        <v>43313</v>
      </c>
      <c r="L657" s="707">
        <v>44043</v>
      </c>
      <c r="M657" s="705"/>
      <c r="N657" s="705">
        <v>1</v>
      </c>
      <c r="O657" s="705">
        <v>0</v>
      </c>
      <c r="P657" s="705">
        <v>0</v>
      </c>
      <c r="Q657" s="708" t="s">
        <v>43</v>
      </c>
      <c r="R657" s="705">
        <v>2</v>
      </c>
      <c r="S657" s="705">
        <v>2</v>
      </c>
      <c r="T657" s="807">
        <v>2</v>
      </c>
      <c r="U657" s="705"/>
      <c r="V657" s="705"/>
      <c r="W657" s="705">
        <v>0</v>
      </c>
      <c r="X657" s="705">
        <v>2</v>
      </c>
      <c r="Y657" s="705"/>
      <c r="Z657" s="705"/>
      <c r="AA657" s="705">
        <v>0</v>
      </c>
      <c r="AB657" s="705"/>
      <c r="AC657" s="705"/>
      <c r="AD657" s="705">
        <v>0</v>
      </c>
      <c r="AE657" s="705">
        <v>0</v>
      </c>
      <c r="AF657" s="705">
        <v>0</v>
      </c>
      <c r="AG657" s="705">
        <v>0</v>
      </c>
      <c r="AH657" s="705">
        <v>0</v>
      </c>
      <c r="AI657" s="705"/>
      <c r="AJ657" s="705"/>
      <c r="AK657" s="705"/>
      <c r="AL657" s="705"/>
      <c r="AM657" s="705">
        <v>0</v>
      </c>
      <c r="AN657" s="705">
        <v>0</v>
      </c>
      <c r="AO657" s="709"/>
      <c r="AP657" s="705">
        <v>8</v>
      </c>
      <c r="AQ657" s="705">
        <v>0</v>
      </c>
      <c r="AR657" s="710">
        <v>0</v>
      </c>
      <c r="AS657" s="705"/>
      <c r="AT657" s="705"/>
      <c r="AU657" s="705"/>
      <c r="AV657" s="705"/>
      <c r="AW657" s="705">
        <v>0</v>
      </c>
      <c r="AX657" s="711" t="s">
        <v>43</v>
      </c>
      <c r="AY657" s="709" t="s">
        <v>145</v>
      </c>
      <c r="AZ657" s="705">
        <v>0</v>
      </c>
      <c r="BA657" s="705">
        <v>0</v>
      </c>
      <c r="BB657" s="705">
        <v>0</v>
      </c>
      <c r="BC657" s="711"/>
      <c r="BD657" s="705">
        <v>3</v>
      </c>
      <c r="BE657" s="705"/>
      <c r="BF657" s="705">
        <v>4</v>
      </c>
      <c r="BG657" s="705">
        <v>2</v>
      </c>
      <c r="BH657" s="705"/>
      <c r="BI657" s="705">
        <v>0</v>
      </c>
      <c r="BJ657" s="705">
        <v>0</v>
      </c>
      <c r="BK657" s="705"/>
      <c r="BL657" s="705"/>
      <c r="BM657" s="711" t="s">
        <v>144</v>
      </c>
      <c r="BN657" s="712"/>
      <c r="BO657" s="710">
        <v>0</v>
      </c>
      <c r="BP657" s="711"/>
      <c r="BQ657" s="713" t="str">
        <f>IFERROR(WWWW[[#This Row],['#_Water sources treated]]/WWWW[[#This Row],['#_Water sources tested for contamination]],"no test")</f>
        <v>no test</v>
      </c>
      <c r="BR657" s="710" t="str">
        <f>IFERROR(WWWW[[#This Row],['#_Household received remediation action due to contamination]]/WWWW[[#This Row],['#_Household water samples tested for contamination]],"no test")</f>
        <v>no test</v>
      </c>
      <c r="BS657" s="712" t="str">
        <f>IF(AND(WWWW[[#This Row],[% of water sources treated]]="no test",WWWW[[#This Row],[% Household received corrective actions]]="no test"),"No Test","Tested")</f>
        <v>No Test</v>
      </c>
      <c r="BT657" s="712">
        <f>WWWW[[#This Row],['#_Constructed/existing protected hand dug well]]-WWWW[[#This Row],['#_Non-functional protected hand dug well]]</f>
        <v>2</v>
      </c>
      <c r="BU657" s="712">
        <f>(WWWW[[#This Row],['#_Constructed/Existing tube wells/boreholes/handpumps_WASH_agency]]+WWWW[[#This Row],['#_Non-Cluster partner water tube-wells/boreholes/handpumps]])-WWWW[[#This Row],['#_Non-functional tube wells/boreholes/handpumps]]</f>
        <v>2</v>
      </c>
      <c r="BV657" s="712">
        <f>WWWW[[#This Row],['#_Constructed/Existingwater storage tank with gravity fed reticulation system]]-WWWW[[#This Row],['#_Non-functional storage tank gravity fed reticulation system]]</f>
        <v>0</v>
      </c>
      <c r="BW657" s="712">
        <f>WWWW[[#This Row],['#_Water boating or water trucking]]</f>
        <v>0</v>
      </c>
      <c r="BX657" s="712">
        <f>WWWW[[#This Row],['#_Constructed/Existing water distribution system from river or natural spring]]</f>
        <v>0</v>
      </c>
      <c r="BY65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7" s="710">
        <f>IF(WWWW[[#This Row],[Location Type 1]]="Village",WWWW[[#This Row],[Access to safe drinking water for Village]],WWWW[[#This Row],[Access to safe drinking water for Camp]])</f>
        <v>1</v>
      </c>
      <c r="CB657" s="708">
        <f>WWWW[[#This Row],[%Equitable and continuous access to sufficient quantity of safe drinking water]]*WWWW[[#This Row],[Total PoP ]]</f>
        <v>189</v>
      </c>
      <c r="CC657" s="710">
        <f>IF((WWWW[[#This Row],['#_Constructed/Existing protected/fenced ponds]]*250)/WWWW[[#This Row],[Total PoP ]]&gt;1,1,(WWWW[[#This Row],['#_Constructed/Existing protected/fenced ponds]]*250)/WWWW[[#This Row],[Total PoP ]])</f>
        <v>0</v>
      </c>
      <c r="CD657" s="708">
        <f>WWWW[[#This Row],[% Access to unimproved water points]]*WWWW[[#This Row],[Total PoP ]]</f>
        <v>0</v>
      </c>
      <c r="CE65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G657" s="708">
        <f>WWWW[[#This Row],[HRP1]]/500</f>
        <v>0.378</v>
      </c>
      <c r="CH657" s="714">
        <f>1-WWWW[[#This Row],[% Equitable and continuous access to sufficient quantity of domestic water]]</f>
        <v>0</v>
      </c>
      <c r="CI657" s="708">
        <f>WWWW[[#This Row],[%equitable and continuous access to sufficient quantity of safe drinking and domestic water''s GAP]]*WWWW[[#This Row],[Total PoP ]]</f>
        <v>0</v>
      </c>
      <c r="CJ657" s="712">
        <f>IF(WWWW[[#This Row],[Total required water points]]-WWWW[[#This Row],['#Water points coverage]]&lt;0,0,WWWW[[#This Row],[Total required water points]]-WWWW[[#This Row],['#Water points coverage]])</f>
        <v>0.622</v>
      </c>
      <c r="CK657" s="712">
        <f>ROUND(IF(WWWW[[#This Row],[Total PoP ]]&lt;500,1,WWWW[[#This Row],[Total PoP ]]/500),0)</f>
        <v>1</v>
      </c>
      <c r="CL657" s="712">
        <f>(WWWW[[#This Row],['#_Constructed latrines_by_WASHAgencies]]+WWWW[[#This Row],['#_Non Cluster partner latrines]])-WWWW[[#This Row],['#_Non-functional latrines]]</f>
        <v>8</v>
      </c>
      <c r="CM65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0.84656084656084651</v>
      </c>
      <c r="CN65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65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7" s="712">
        <f>IF(WWWW[[#This Row],[Location Type 1]]="Village","NA",IF(WWWW[[#This Row],['#_Constructed/Existing latrines in TLS]]*50&gt;WWWW[[#This Row],['#_students at TLS_CFS]],WWWW[[#This Row],['#_students at TLS_CFS]],(WWWW[[#This Row],['#_Constructed/Existing latrines in TLS]]*50)))</f>
        <v>0</v>
      </c>
      <c r="CQ657" s="712">
        <f>ROUND(IF(WWWW[[#This Row],[Location Type 1]]="camp",WWWW[[#This Row],[Total PoP ]]/20,IF(WWWW[[#This Row],[Location Type 1]]="Temporary Location",WWWW[[#This Row],[Total PoP ]]/50,(WWWW[[#This Row],[Total PoP ]]/6))),0)</f>
        <v>9</v>
      </c>
      <c r="CR657" s="712">
        <f>IF(WWWW[[#This Row],[Total required Latrines]]-(WWWW[[#This Row],['#_Constructed latrines_by_WASHAgencies]]+WWWW[[#This Row],['#_Non Cluster partner latrines]])&lt;0,0,WWWW[[#This Row],[Total required Latrines]]-(WWWW[[#This Row],['#_Constructed latrines_by_WASHAgencies]]+WWWW[[#This Row],['#_Non Cluster partner latrines]]))</f>
        <v>1</v>
      </c>
      <c r="CS657" s="714">
        <f>1-WWWW[[#This Row],[% people access to functioning Latrine]]</f>
        <v>0.15343915343915349</v>
      </c>
      <c r="CT657" s="713">
        <f>IF(OR(WWWW[[#This Row],['#_Non-functional latrines]]="",WWWW[[#This Row],['#_Non-functional latrines]]=0),0,WWWW[[#This Row],['#_Non-functional latrines]]/(WWWW[[#This Row],['#_Constructed latrines_by_WASHAgencies]]+WWWW[[#This Row],['#_Non Cluster partner latrines]]))</f>
        <v>0</v>
      </c>
      <c r="CU657" s="708">
        <f>IF(500*(WWWW[[#This Row],['#_male hygiene promoters]]+WWWW[[#This Row],['#_female hygiene promoters]])&gt;WWWW[[#This Row],[Total PoP ]],WWWW[[#This Row],[Total PoP ]],500*(WWWW[[#This Row],['#_male hygiene promoters]]+WWWW[[#This Row],['#_female hygiene promoters]]))</f>
        <v>0</v>
      </c>
      <c r="CV65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7" s="712">
        <f>IF(WWWW[[#This Row],['# People with access to soap]]&gt;WWWW[[#This Row],['# People with access to Sanity Pads]],WWWW[[#This Row],['# People with access to soap]],WWWW[[#This Row],['# People with access to Sanity Pads]])</f>
        <v>0</v>
      </c>
      <c r="CY65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57" s="714">
        <f>IF(WWWW[[#This Row],[HRP3]]/WWWW[[#This Row],[Total PoP ]]&gt;100%,100%,WWWW[[#This Row],[HRP3]]/WWWW[[#This Row],[Total PoP ]])</f>
        <v>0</v>
      </c>
      <c r="DA657" s="713">
        <f>1-WWWW[[#This Row],[Hygiene Coverage%]]</f>
        <v>1</v>
      </c>
      <c r="DB657" s="710">
        <f>WWWW[[#This Row],['# people reached by regular dedicated hygiene promotion_5]]/WWWW[[#This Row],[Total PoP ]]</f>
        <v>0</v>
      </c>
      <c r="DC657" s="710">
        <f>IF(WWWW[[#This Row],['#_households that received standard amount of soap for this quarter]]/WWWW[[#This Row],[Total HH]]&gt;1,1,WWWW[[#This Row],['#_households that received standard amount of soap for this quarter]]/WWWW[[#This Row],[Total HH]])</f>
        <v>0</v>
      </c>
      <c r="DD657" s="710">
        <f>IF(WWWW[[#This Row],['#_households that received standard amount of sanitary pads for this quarter]]/WWWW[[#This Row],[Total HH]]&gt;1,1,WWWW[[#This Row],['#_households that received standard amount of sanitary pads for this quarter]]/WWWW[[#This Row],[Total HH]])</f>
        <v>0</v>
      </c>
      <c r="DE657" s="712">
        <f>WWWW[[#This Row],['#_Constructed/Existing hand washing stations]]-WWWW[[#This Row],['#_Non-Functional_hand_washing_stations]]</f>
        <v>3</v>
      </c>
      <c r="DF657" s="757">
        <f>IF(WWWW[[#This Row],['# Functional hand washing stations during reporting period]]*20&gt;WWWW[[#This Row],[Total HH]],WWWW[[#This Row],[Total HH]],WWWW[[#This Row],['# Functional hand washing stations during reporting period]]*20)</f>
        <v>36</v>
      </c>
      <c r="DG657" s="708">
        <f>IF(WWWW[[#This Row],[Is sufficient soap available for TLS? (Yes/No)]]="yes",WWWW[[#This Row],['#_Constructed/Existing hand washing stations at TLS]],0)</f>
        <v>0</v>
      </c>
      <c r="DH657" s="759">
        <f>IF(WWWW[[#This Row],['# Functional hand washing stations during reporting period]]*100&gt;WWWW[[#This Row],[Total PoP ]],WWWW[[#This Row],[Total PoP ]],WWWW[[#This Row],['# Functional hand washing stations during reporting period]]*100)</f>
        <v>189</v>
      </c>
      <c r="DI657" s="759" t="str">
        <f>IF(OR(WWWW[[#This Row],['#_students at TLS_CFS]]="",WWWW[[#This Row],['#_students at TLS_CFS]]=0),"No","Yes")</f>
        <v>No</v>
      </c>
      <c r="DJ657" s="711" t="str">
        <f>VLOOKUP(WWWW[[#This Row],[Site Name]],SiteDB6[[Site Name]:[CCCM Management]],6,FALSE)</f>
        <v>Yes</v>
      </c>
      <c r="DK657" s="711" t="str">
        <f>VLOOKUP(WWWW[[#This Row],[Site Name]],SiteDB6[[Site Name]:[CCCM Focal Agency]],7,FALSE)</f>
        <v>Shalom</v>
      </c>
      <c r="DL657" s="711" t="str">
        <f>VLOOKUP(WWWW[[#This Row],[Site Name]],SiteDB6[[Site Name]:[Location Type 1]],9,FALSE)</f>
        <v>Camp</v>
      </c>
      <c r="DM657" s="711" t="str">
        <f>VLOOKUP(WWWW[[#This Row],[Site Name]],SiteDB6[[Site Name]:[Type of Accommodation]],10,FALSE)</f>
        <v>Camp</v>
      </c>
      <c r="DN657" s="711" t="str">
        <f>VLOOKUP(WWWW[[#This Row],[Site Name]],SiteDB6[[Site Name]:[Ethnic or GCA/NGCA]],11,FALSE)</f>
        <v>GCA</v>
      </c>
      <c r="DO657" s="711">
        <f>VLOOKUP(WWWW[[#This Row],[Site Name]],SiteDB6[[Site Name]:[Lat]],12,FALSE)</f>
        <v>25.345918166666699</v>
      </c>
      <c r="DP657" s="711">
        <f>VLOOKUP(WWWW[[#This Row],[Site Name]],SiteDB6[[Site Name]:[Long]],13,FALSE)</f>
        <v>97.437472666666693</v>
      </c>
      <c r="DQ657" s="711" t="str">
        <f>VLOOKUP(WWWW[[#This Row],[Site Name]],SiteDB6[[Site Name]:[Pcode]],3,FALSE)</f>
        <v>MMR001CMP030</v>
      </c>
      <c r="DR657" s="709" t="str">
        <f t="shared" si="24"/>
        <v>Covered</v>
      </c>
      <c r="DS657" s="709"/>
    </row>
    <row r="658" spans="1:123">
      <c r="A658" s="701" t="s">
        <v>2519</v>
      </c>
      <c r="B658" s="701" t="s">
        <v>250</v>
      </c>
      <c r="C658" s="702" t="s">
        <v>250</v>
      </c>
      <c r="D658" s="702" t="s">
        <v>315</v>
      </c>
      <c r="E658" s="702" t="s">
        <v>39</v>
      </c>
      <c r="F658" s="702" t="s">
        <v>156</v>
      </c>
      <c r="G658" s="711" t="str">
        <f>VLOOKUP(WWWW[[#This Row],[Site Name]],SiteDB6[[Site Name]:[Location Type]],8,FALSE)</f>
        <v>Camp</v>
      </c>
      <c r="H658" s="702" t="s">
        <v>267</v>
      </c>
      <c r="I658" s="705">
        <v>10</v>
      </c>
      <c r="J658" s="705">
        <v>38</v>
      </c>
      <c r="K658" s="706">
        <v>43313</v>
      </c>
      <c r="L658" s="707">
        <v>44043</v>
      </c>
      <c r="M658" s="705"/>
      <c r="N658" s="705">
        <v>1</v>
      </c>
      <c r="O658" s="705">
        <v>0</v>
      </c>
      <c r="P658" s="705">
        <v>0</v>
      </c>
      <c r="Q658" s="708" t="s">
        <v>43</v>
      </c>
      <c r="R658" s="705">
        <v>2</v>
      </c>
      <c r="S658" s="705">
        <v>2</v>
      </c>
      <c r="T658" s="807">
        <v>1</v>
      </c>
      <c r="U658" s="705"/>
      <c r="V658" s="705"/>
      <c r="W658" s="705">
        <v>0</v>
      </c>
      <c r="X658" s="705">
        <v>0</v>
      </c>
      <c r="Y658" s="705"/>
      <c r="Z658" s="705"/>
      <c r="AA658" s="705">
        <v>2</v>
      </c>
      <c r="AB658" s="705"/>
      <c r="AC658" s="705"/>
      <c r="AD658" s="705">
        <v>0</v>
      </c>
      <c r="AE658" s="705">
        <v>1</v>
      </c>
      <c r="AF658" s="705">
        <v>1</v>
      </c>
      <c r="AG658" s="705">
        <v>0</v>
      </c>
      <c r="AH658" s="705">
        <v>1</v>
      </c>
      <c r="AI658" s="705"/>
      <c r="AJ658" s="705"/>
      <c r="AK658" s="705"/>
      <c r="AL658" s="705"/>
      <c r="AM658" s="705">
        <v>0</v>
      </c>
      <c r="AN658" s="705">
        <v>0</v>
      </c>
      <c r="AO658" s="709"/>
      <c r="AP658" s="705">
        <v>2</v>
      </c>
      <c r="AQ658" s="705">
        <v>0</v>
      </c>
      <c r="AR658" s="710" t="s">
        <v>250</v>
      </c>
      <c r="AS658" s="705"/>
      <c r="AT658" s="705"/>
      <c r="AU658" s="705"/>
      <c r="AV658" s="705"/>
      <c r="AW658" s="705">
        <v>0</v>
      </c>
      <c r="AX658" s="711" t="s">
        <v>43</v>
      </c>
      <c r="AY658" s="709" t="s">
        <v>145</v>
      </c>
      <c r="AZ658" s="705">
        <v>0</v>
      </c>
      <c r="BA658" s="705">
        <v>0</v>
      </c>
      <c r="BB658" s="705">
        <v>0</v>
      </c>
      <c r="BC658" s="711"/>
      <c r="BD658" s="705">
        <v>1</v>
      </c>
      <c r="BE658" s="705"/>
      <c r="BF658" s="705">
        <v>0</v>
      </c>
      <c r="BG658" s="705">
        <v>1</v>
      </c>
      <c r="BH658" s="705"/>
      <c r="BI658" s="705">
        <v>2</v>
      </c>
      <c r="BJ658" s="705">
        <v>2</v>
      </c>
      <c r="BK658" s="705"/>
      <c r="BL658" s="705"/>
      <c r="BM658" s="711" t="s">
        <v>144</v>
      </c>
      <c r="BN658" s="712"/>
      <c r="BO658" s="710">
        <v>0.4</v>
      </c>
      <c r="BP658" s="711"/>
      <c r="BQ658" s="713" t="str">
        <f>IFERROR(WWWW[[#This Row],['#_Water sources treated]]/WWWW[[#This Row],['#_Water sources tested for contamination]],"no test")</f>
        <v>no test</v>
      </c>
      <c r="BR658" s="710" t="str">
        <f>IFERROR(WWWW[[#This Row],['#_Household received remediation action due to contamination]]/WWWW[[#This Row],['#_Household water samples tested for contamination]],"no test")</f>
        <v>no test</v>
      </c>
      <c r="BS658" s="712" t="str">
        <f>IF(AND(WWWW[[#This Row],[% of water sources treated]]="no test",WWWW[[#This Row],[% Household received corrective actions]]="no test"),"No Test","Tested")</f>
        <v>No Test</v>
      </c>
      <c r="BT658" s="712">
        <f>WWWW[[#This Row],['#_Constructed/existing protected hand dug well]]-WWWW[[#This Row],['#_Non-functional protected hand dug well]]</f>
        <v>1</v>
      </c>
      <c r="BU658" s="712">
        <f>(WWWW[[#This Row],['#_Constructed/Existing tube wells/boreholes/handpumps_WASH_agency]]+WWWW[[#This Row],['#_Non-Cluster partner water tube-wells/boreholes/handpumps]])-WWWW[[#This Row],['#_Non-functional tube wells/boreholes/handpumps]]</f>
        <v>0</v>
      </c>
      <c r="BV658" s="712">
        <f>WWWW[[#This Row],['#_Constructed/Existingwater storage tank with gravity fed reticulation system]]-WWWW[[#This Row],['#_Non-functional storage tank gravity fed reticulation system]]</f>
        <v>2</v>
      </c>
      <c r="BW658" s="712">
        <f>WWWW[[#This Row],['#_Water boating or water trucking]]</f>
        <v>0</v>
      </c>
      <c r="BX658" s="712">
        <f>WWWW[[#This Row],['#_Constructed/Existing water distribution system from river or natural spring]]</f>
        <v>1</v>
      </c>
      <c r="BY65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8" s="710">
        <f>IF(WWWW[[#This Row],[Location Type 1]]="Village",WWWW[[#This Row],[Access to safe drinking water for Village]],WWWW[[#This Row],[Access to safe drinking water for Camp]])</f>
        <v>1</v>
      </c>
      <c r="CB658" s="708">
        <f>WWWW[[#This Row],[%Equitable and continuous access to sufficient quantity of safe drinking water]]*WWWW[[#This Row],[Total PoP ]]</f>
        <v>38</v>
      </c>
      <c r="CC658" s="710">
        <f>IF((WWWW[[#This Row],['#_Constructed/Existing protected/fenced ponds]]*250)/WWWW[[#This Row],[Total PoP ]]&gt;1,1,(WWWW[[#This Row],['#_Constructed/Existing protected/fenced ponds]]*250)/WWWW[[#This Row],[Total PoP ]])</f>
        <v>1</v>
      </c>
      <c r="CD658" s="708">
        <f>WWWW[[#This Row],[% Access to unimproved water points]]*WWWW[[#This Row],[Total PoP ]]</f>
        <v>38</v>
      </c>
      <c r="CE65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v>
      </c>
      <c r="CG658" s="708">
        <f>WWWW[[#This Row],[HRP1]]/500</f>
        <v>7.5999999999999998E-2</v>
      </c>
      <c r="CH658" s="714">
        <f>1-WWWW[[#This Row],[% Equitable and continuous access to sufficient quantity of domestic water]]</f>
        <v>0</v>
      </c>
      <c r="CI658" s="708">
        <f>WWWW[[#This Row],[%equitable and continuous access to sufficient quantity of safe drinking and domestic water''s GAP]]*WWWW[[#This Row],[Total PoP ]]</f>
        <v>0</v>
      </c>
      <c r="CJ658" s="712">
        <f>IF(WWWW[[#This Row],[Total required water points]]-WWWW[[#This Row],['#Water points coverage]]&lt;0,0,WWWW[[#This Row],[Total required water points]]-WWWW[[#This Row],['#Water points coverage]])</f>
        <v>0.92400000000000004</v>
      </c>
      <c r="CK658" s="712">
        <f>ROUND(IF(WWWW[[#This Row],[Total PoP ]]&lt;500,1,WWWW[[#This Row],[Total PoP ]]/500),0)</f>
        <v>1</v>
      </c>
      <c r="CL658" s="712">
        <f>(WWWW[[#This Row],['#_Constructed latrines_by_WASHAgencies]]+WWWW[[#This Row],['#_Non Cluster partner latrines]])-WWWW[[#This Row],['#_Non-functional latrines]]</f>
        <v>2</v>
      </c>
      <c r="CM65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5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38</v>
      </c>
      <c r="CO65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8" s="712">
        <f>IF(WWWW[[#This Row],[Location Type 1]]="Village","NA",IF(WWWW[[#This Row],['#_Constructed/Existing latrines in TLS]]*50&gt;WWWW[[#This Row],['#_students at TLS_CFS]],WWWW[[#This Row],['#_students at TLS_CFS]],(WWWW[[#This Row],['#_Constructed/Existing latrines in TLS]]*50)))</f>
        <v>0</v>
      </c>
      <c r="CQ658" s="712">
        <f>ROUND(IF(WWWW[[#This Row],[Location Type 1]]="camp",WWWW[[#This Row],[Total PoP ]]/20,IF(WWWW[[#This Row],[Location Type 1]]="Temporary Location",WWWW[[#This Row],[Total PoP ]]/50,(WWWW[[#This Row],[Total PoP ]]/6))),0)</f>
        <v>2</v>
      </c>
      <c r="CR658" s="712">
        <f>IF(WWWW[[#This Row],[Total required Latrines]]-(WWWW[[#This Row],['#_Constructed latrines_by_WASHAgencies]]+WWWW[[#This Row],['#_Non Cluster partner latrines]])&lt;0,0,WWWW[[#This Row],[Total required Latrines]]-(WWWW[[#This Row],['#_Constructed latrines_by_WASHAgencies]]+WWWW[[#This Row],['#_Non Cluster partner latrines]]))</f>
        <v>0</v>
      </c>
      <c r="CS658" s="714">
        <f>1-WWWW[[#This Row],[% people access to functioning Latrine]]</f>
        <v>0</v>
      </c>
      <c r="CT658" s="713">
        <f>IF(OR(WWWW[[#This Row],['#_Non-functional latrines]]="",WWWW[[#This Row],['#_Non-functional latrines]]=0),0,WWWW[[#This Row],['#_Non-functional latrines]]/(WWWW[[#This Row],['#_Constructed latrines_by_WASHAgencies]]+WWWW[[#This Row],['#_Non Cluster partner latrines]]))</f>
        <v>0</v>
      </c>
      <c r="CU658" s="708">
        <f>IF(500*(WWWW[[#This Row],['#_male hygiene promoters]]+WWWW[[#This Row],['#_female hygiene promoters]])&gt;WWWW[[#This Row],[Total PoP ]],WWWW[[#This Row],[Total PoP ]],500*(WWWW[[#This Row],['#_male hygiene promoters]]+WWWW[[#This Row],['#_female hygiene promoters]]))</f>
        <v>38</v>
      </c>
      <c r="CV65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8" s="712">
        <f>IF(WWWW[[#This Row],['# People with access to soap]]&gt;WWWW[[#This Row],['# People with access to Sanity Pads]],WWWW[[#This Row],['# People with access to soap]],WWWW[[#This Row],['# People with access to Sanity Pads]])</f>
        <v>0</v>
      </c>
      <c r="CY658" s="712">
        <f>IF(WWWW[[#This Row],['# people reached by regular dedicated hygiene promotion_5]]&gt;WWWW[[#This Row],['# People received regular supply of hygiene items_6]],WWWW[[#This Row],['# people reached by regular dedicated hygiene promotion_5]],WWWW[[#This Row],['# People received regular supply of hygiene items_6]])</f>
        <v>38</v>
      </c>
      <c r="CZ658" s="714">
        <f>IF(WWWW[[#This Row],[HRP3]]/WWWW[[#This Row],[Total PoP ]]&gt;100%,100%,WWWW[[#This Row],[HRP3]]/WWWW[[#This Row],[Total PoP ]])</f>
        <v>1</v>
      </c>
      <c r="DA658" s="713">
        <f>1-WWWW[[#This Row],[Hygiene Coverage%]]</f>
        <v>0</v>
      </c>
      <c r="DB658" s="710">
        <f>WWWW[[#This Row],['# people reached by regular dedicated hygiene promotion_5]]/WWWW[[#This Row],[Total PoP ]]</f>
        <v>1</v>
      </c>
      <c r="DC658" s="710">
        <f>IF(WWWW[[#This Row],['#_households that received standard amount of soap for this quarter]]/WWWW[[#This Row],[Total HH]]&gt;1,1,WWWW[[#This Row],['#_households that received standard amount of soap for this quarter]]/WWWW[[#This Row],[Total HH]])</f>
        <v>0</v>
      </c>
      <c r="DD658" s="710">
        <f>IF(WWWW[[#This Row],['#_households that received standard amount of sanitary pads for this quarter]]/WWWW[[#This Row],[Total HH]]&gt;1,1,WWWW[[#This Row],['#_households that received standard amount of sanitary pads for this quarter]]/WWWW[[#This Row],[Total HH]])</f>
        <v>0</v>
      </c>
      <c r="DE658" s="712">
        <f>WWWW[[#This Row],['#_Constructed/Existing hand washing stations]]-WWWW[[#This Row],['#_Non-Functional_hand_washing_stations]]</f>
        <v>1</v>
      </c>
      <c r="DF658" s="757">
        <f>IF(WWWW[[#This Row],['# Functional hand washing stations during reporting period]]*20&gt;WWWW[[#This Row],[Total HH]],WWWW[[#This Row],[Total HH]],WWWW[[#This Row],['# Functional hand washing stations during reporting period]]*20)</f>
        <v>10</v>
      </c>
      <c r="DG658" s="708">
        <f>IF(WWWW[[#This Row],[Is sufficient soap available for TLS? (Yes/No)]]="yes",WWWW[[#This Row],['#_Constructed/Existing hand washing stations at TLS]],0)</f>
        <v>0</v>
      </c>
      <c r="DH658" s="759">
        <f>IF(WWWW[[#This Row],['# Functional hand washing stations during reporting period]]*100&gt;WWWW[[#This Row],[Total PoP ]],WWWW[[#This Row],[Total PoP ]],WWWW[[#This Row],['# Functional hand washing stations during reporting period]]*100)</f>
        <v>38</v>
      </c>
      <c r="DI658" s="759" t="str">
        <f>IF(OR(WWWW[[#This Row],['#_students at TLS_CFS]]="",WWWW[[#This Row],['#_students at TLS_CFS]]=0),"No","Yes")</f>
        <v>No</v>
      </c>
      <c r="DJ658" s="711" t="str">
        <f>VLOOKUP(WWWW[[#This Row],[Site Name]],SiteDB6[[Site Name]:[CCCM Management]],6,FALSE)</f>
        <v>Yes</v>
      </c>
      <c r="DK658" s="711" t="str">
        <f>VLOOKUP(WWWW[[#This Row],[Site Name]],SiteDB6[[Site Name]:[CCCM Focal Agency]],7,FALSE)</f>
        <v>uncovered</v>
      </c>
      <c r="DL658" s="711" t="str">
        <f>VLOOKUP(WWWW[[#This Row],[Site Name]],SiteDB6[[Site Name]:[Location Type 1]],9,FALSE)</f>
        <v>Camp</v>
      </c>
      <c r="DM658" s="711" t="str">
        <f>VLOOKUP(WWWW[[#This Row],[Site Name]],SiteDB6[[Site Name]:[Type of Accommodation]],10,FALSE)</f>
        <v>Camp like setting</v>
      </c>
      <c r="DN658" s="711" t="str">
        <f>VLOOKUP(WWWW[[#This Row],[Site Name]],SiteDB6[[Site Name]:[Ethnic or GCA/NGCA]],11,FALSE)</f>
        <v>GCA</v>
      </c>
      <c r="DO658" s="711">
        <f>VLOOKUP(WWWW[[#This Row],[Site Name]],SiteDB6[[Site Name]:[Lat]],12,FALSE)</f>
        <v>25.56551</v>
      </c>
      <c r="DP658" s="711">
        <f>VLOOKUP(WWWW[[#This Row],[Site Name]],SiteDB6[[Site Name]:[Long]],13,FALSE)</f>
        <v>96.279200000000003</v>
      </c>
      <c r="DQ658" s="711" t="str">
        <f>VLOOKUP(WWWW[[#This Row],[Site Name]],SiteDB6[[Site Name]:[Pcode]],3,FALSE)</f>
        <v>MMR001CMP182</v>
      </c>
      <c r="DR658" s="709" t="str">
        <f t="shared" si="24"/>
        <v>Covered</v>
      </c>
      <c r="DS658" s="709"/>
    </row>
    <row r="659" spans="1:123">
      <c r="A659" s="701" t="s">
        <v>2519</v>
      </c>
      <c r="B659" s="701" t="s">
        <v>149</v>
      </c>
      <c r="C659" s="702" t="s">
        <v>149</v>
      </c>
      <c r="D659" s="702" t="s">
        <v>3268</v>
      </c>
      <c r="E659" s="702" t="s">
        <v>39</v>
      </c>
      <c r="F659" s="702" t="s">
        <v>167</v>
      </c>
      <c r="G659" s="711" t="str">
        <f>VLOOKUP(WWWW[[#This Row],[Site Name]],SiteDB6[[Site Name]:[Location Type]],8,FALSE)</f>
        <v>Camp</v>
      </c>
      <c r="H659" s="702" t="s">
        <v>175</v>
      </c>
      <c r="I659" s="705">
        <v>67</v>
      </c>
      <c r="J659" s="705">
        <v>281</v>
      </c>
      <c r="K659" s="593" t="s">
        <v>3276</v>
      </c>
      <c r="L659" s="58" t="s">
        <v>3277</v>
      </c>
      <c r="M659" s="705"/>
      <c r="N659" s="705"/>
      <c r="O659" s="705"/>
      <c r="P659" s="705"/>
      <c r="Q659" s="708" t="s">
        <v>43</v>
      </c>
      <c r="R659" s="705"/>
      <c r="S659" s="705"/>
      <c r="T659" s="807">
        <v>1</v>
      </c>
      <c r="U659" s="705"/>
      <c r="V659" s="705"/>
      <c r="W659" s="705">
        <v>2</v>
      </c>
      <c r="X659" s="705"/>
      <c r="Y659" s="705"/>
      <c r="Z659" s="705"/>
      <c r="AA659" s="705"/>
      <c r="AB659" s="705"/>
      <c r="AC659" s="705"/>
      <c r="AD659" s="705"/>
      <c r="AE659" s="705"/>
      <c r="AF659" s="705"/>
      <c r="AG659" s="705"/>
      <c r="AH659" s="705">
        <v>3</v>
      </c>
      <c r="AI659" s="705"/>
      <c r="AJ659" s="705"/>
      <c r="AK659" s="705"/>
      <c r="AL659" s="705"/>
      <c r="AM659" s="705"/>
      <c r="AN659" s="705"/>
      <c r="AO659" s="709"/>
      <c r="AP659" s="705">
        <v>15</v>
      </c>
      <c r="AQ659" s="705"/>
      <c r="AR659" s="710"/>
      <c r="AS659" s="705"/>
      <c r="AT659" s="705"/>
      <c r="AU659" s="705"/>
      <c r="AV659" s="705"/>
      <c r="AW659" s="705">
        <v>15</v>
      </c>
      <c r="AX659" s="711" t="s">
        <v>43</v>
      </c>
      <c r="AY659" s="709" t="s">
        <v>145</v>
      </c>
      <c r="AZ659" s="705"/>
      <c r="BA659" s="705"/>
      <c r="BB659" s="705"/>
      <c r="BC659" s="711"/>
      <c r="BD659" s="705"/>
      <c r="BE659" s="705"/>
      <c r="BF659" s="705"/>
      <c r="BG659" s="705">
        <v>2</v>
      </c>
      <c r="BH659" s="705"/>
      <c r="BI659" s="705"/>
      <c r="BJ659" s="705">
        <v>1</v>
      </c>
      <c r="BK659" s="705"/>
      <c r="BL659" s="705"/>
      <c r="BM659" s="711"/>
      <c r="BN659" s="712"/>
      <c r="BO659" s="710"/>
      <c r="BP659" s="711"/>
      <c r="BQ659" s="713" t="str">
        <f>IFERROR(WWWW[[#This Row],['#_Water sources treated]]/WWWW[[#This Row],['#_Water sources tested for contamination]],"no test")</f>
        <v>no test</v>
      </c>
      <c r="BR659" s="710" t="str">
        <f>IFERROR(WWWW[[#This Row],['#_Household received remediation action due to contamination]]/WWWW[[#This Row],['#_Household water samples tested for contamination]],"no test")</f>
        <v>no test</v>
      </c>
      <c r="BS659" s="712" t="str">
        <f>IF(AND(WWWW[[#This Row],[% of water sources treated]]="no test",WWWW[[#This Row],[% Household received corrective actions]]="no test"),"No Test","Tested")</f>
        <v>No Test</v>
      </c>
      <c r="BT659" s="712">
        <f>WWWW[[#This Row],['#_Constructed/existing protected hand dug well]]-WWWW[[#This Row],['#_Non-functional protected hand dug well]]</f>
        <v>1</v>
      </c>
      <c r="BU659" s="712">
        <f>(WWWW[[#This Row],['#_Constructed/Existing tube wells/boreholes/handpumps_WASH_agency]]+WWWW[[#This Row],['#_Non-Cluster partner water tube-wells/boreholes/handpumps]])-WWWW[[#This Row],['#_Non-functional tube wells/boreholes/handpumps]]</f>
        <v>2</v>
      </c>
      <c r="BV659" s="712">
        <f>WWWW[[#This Row],['#_Constructed/Existingwater storage tank with gravity fed reticulation system]]-WWWW[[#This Row],['#_Non-functional storage tank gravity fed reticulation system]]</f>
        <v>0</v>
      </c>
      <c r="BW659" s="712">
        <f>WWWW[[#This Row],['#_Water boating or water trucking]]</f>
        <v>0</v>
      </c>
      <c r="BX659" s="712">
        <f>WWWW[[#This Row],['#_Constructed/Existing water distribution system from river or natural spring]]</f>
        <v>0</v>
      </c>
      <c r="BY65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5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59" s="710">
        <f>IF(WWWW[[#This Row],[Location Type 1]]="Village",WWWW[[#This Row],[Access to safe drinking water for Village]],WWWW[[#This Row],[Access to safe drinking water for Camp]])</f>
        <v>1</v>
      </c>
      <c r="CB659" s="708">
        <f>WWWW[[#This Row],[%Equitable and continuous access to sufficient quantity of safe drinking water]]*WWWW[[#This Row],[Total PoP ]]</f>
        <v>281</v>
      </c>
      <c r="CC659" s="710">
        <f>IF((WWWW[[#This Row],['#_Constructed/Existing protected/fenced ponds]]*250)/WWWW[[#This Row],[Total PoP ]]&gt;1,1,(WWWW[[#This Row],['#_Constructed/Existing protected/fenced ponds]]*250)/WWWW[[#This Row],[Total PoP ]])</f>
        <v>0</v>
      </c>
      <c r="CD659" s="708">
        <f>WWWW[[#This Row],[% Access to unimproved water points]]*WWWW[[#This Row],[Total PoP ]]</f>
        <v>0</v>
      </c>
      <c r="CE65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5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281</v>
      </c>
      <c r="CG659" s="708">
        <f>WWWW[[#This Row],[HRP1]]/500</f>
        <v>0.56200000000000006</v>
      </c>
      <c r="CH659" s="714">
        <f>1-WWWW[[#This Row],[% Equitable and continuous access to sufficient quantity of domestic water]]</f>
        <v>0</v>
      </c>
      <c r="CI659" s="708">
        <f>WWWW[[#This Row],[%equitable and continuous access to sufficient quantity of safe drinking and domestic water''s GAP]]*WWWW[[#This Row],[Total PoP ]]</f>
        <v>0</v>
      </c>
      <c r="CJ659" s="712">
        <f>IF(WWWW[[#This Row],[Total required water points]]-WWWW[[#This Row],['#Water points coverage]]&lt;0,0,WWWW[[#This Row],[Total required water points]]-WWWW[[#This Row],['#Water points coverage]])</f>
        <v>0.43799999999999994</v>
      </c>
      <c r="CK659" s="712">
        <f>ROUND(IF(WWWW[[#This Row],[Total PoP ]]&lt;500,1,WWWW[[#This Row],[Total PoP ]]/500),0)</f>
        <v>1</v>
      </c>
      <c r="CL659" s="712">
        <f>(WWWW[[#This Row],['#_Constructed latrines_by_WASHAgencies]]+WWWW[[#This Row],['#_Non Cluster partner latrines]])-WWWW[[#This Row],['#_Non-functional latrines]]</f>
        <v>15</v>
      </c>
      <c r="CM65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5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281</v>
      </c>
      <c r="CO65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59" s="712">
        <f>IF(WWWW[[#This Row],[Location Type 1]]="Village","NA",IF(WWWW[[#This Row],['#_Constructed/Existing latrines in TLS]]*50&gt;WWWW[[#This Row],['#_students at TLS_CFS]],WWWW[[#This Row],['#_students at TLS_CFS]],(WWWW[[#This Row],['#_Constructed/Existing latrines in TLS]]*50)))</f>
        <v>0</v>
      </c>
      <c r="CQ659" s="712">
        <f>ROUND(IF(WWWW[[#This Row],[Location Type 1]]="camp",WWWW[[#This Row],[Total PoP ]]/20,IF(WWWW[[#This Row],[Location Type 1]]="Temporary Location",WWWW[[#This Row],[Total PoP ]]/50,(WWWW[[#This Row],[Total PoP ]]/6))),0)</f>
        <v>14</v>
      </c>
      <c r="CR659" s="712">
        <f>IF(WWWW[[#This Row],[Total required Latrines]]-(WWWW[[#This Row],['#_Constructed latrines_by_WASHAgencies]]+WWWW[[#This Row],['#_Non Cluster partner latrines]])&lt;0,0,WWWW[[#This Row],[Total required Latrines]]-(WWWW[[#This Row],['#_Constructed latrines_by_WASHAgencies]]+WWWW[[#This Row],['#_Non Cluster partner latrines]]))</f>
        <v>0</v>
      </c>
      <c r="CS659" s="714">
        <f>1-WWWW[[#This Row],[% people access to functioning Latrine]]</f>
        <v>0</v>
      </c>
      <c r="CT659" s="713">
        <f>IF(OR(WWWW[[#This Row],['#_Non-functional latrines]]="",WWWW[[#This Row],['#_Non-functional latrines]]=0),0,WWWW[[#This Row],['#_Non-functional latrines]]/(WWWW[[#This Row],['#_Constructed latrines_by_WASHAgencies]]+WWWW[[#This Row],['#_Non Cluster partner latrines]]))</f>
        <v>0</v>
      </c>
      <c r="CU659" s="708">
        <f>IF(500*(WWWW[[#This Row],['#_male hygiene promoters]]+WWWW[[#This Row],['#_female hygiene promoters]])&gt;WWWW[[#This Row],[Total PoP ]],WWWW[[#This Row],[Total PoP ]],500*(WWWW[[#This Row],['#_male hygiene promoters]]+WWWW[[#This Row],['#_female hygiene promoters]]))</f>
        <v>281</v>
      </c>
      <c r="CV65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5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59" s="712">
        <f>IF(WWWW[[#This Row],['# People with access to soap]]&gt;WWWW[[#This Row],['# People with access to Sanity Pads]],WWWW[[#This Row],['# People with access to soap]],WWWW[[#This Row],['# People with access to Sanity Pads]])</f>
        <v>0</v>
      </c>
      <c r="CY659" s="712">
        <f>IF(WWWW[[#This Row],['# people reached by regular dedicated hygiene promotion_5]]&gt;WWWW[[#This Row],['# People received regular supply of hygiene items_6]],WWWW[[#This Row],['# people reached by regular dedicated hygiene promotion_5]],WWWW[[#This Row],['# People received regular supply of hygiene items_6]])</f>
        <v>281</v>
      </c>
      <c r="CZ659" s="714">
        <f>IF(WWWW[[#This Row],[HRP3]]/WWWW[[#This Row],[Total PoP ]]&gt;100%,100%,WWWW[[#This Row],[HRP3]]/WWWW[[#This Row],[Total PoP ]])</f>
        <v>1</v>
      </c>
      <c r="DA659" s="713">
        <f>1-WWWW[[#This Row],[Hygiene Coverage%]]</f>
        <v>0</v>
      </c>
      <c r="DB659" s="710">
        <f>WWWW[[#This Row],['# people reached by regular dedicated hygiene promotion_5]]/WWWW[[#This Row],[Total PoP ]]</f>
        <v>1</v>
      </c>
      <c r="DC659" s="710">
        <f>IF(WWWW[[#This Row],['#_households that received standard amount of soap for this quarter]]/WWWW[[#This Row],[Total HH]]&gt;1,1,WWWW[[#This Row],['#_households that received standard amount of soap for this quarter]]/WWWW[[#This Row],[Total HH]])</f>
        <v>0</v>
      </c>
      <c r="DD659" s="710">
        <f>IF(WWWW[[#This Row],['#_households that received standard amount of sanitary pads for this quarter]]/WWWW[[#This Row],[Total HH]]&gt;1,1,WWWW[[#This Row],['#_households that received standard amount of sanitary pads for this quarter]]/WWWW[[#This Row],[Total HH]])</f>
        <v>0</v>
      </c>
      <c r="DE659" s="712">
        <f>WWWW[[#This Row],['#_Constructed/Existing hand washing stations]]-WWWW[[#This Row],['#_Non-Functional_hand_washing_stations]]</f>
        <v>0</v>
      </c>
      <c r="DF659" s="757">
        <f>IF(WWWW[[#This Row],['# Functional hand washing stations during reporting period]]*20&gt;WWWW[[#This Row],[Total HH]],WWWW[[#This Row],[Total HH]],WWWW[[#This Row],['# Functional hand washing stations during reporting period]]*20)</f>
        <v>0</v>
      </c>
      <c r="DG659" s="708">
        <f>IF(WWWW[[#This Row],[Is sufficient soap available for TLS? (Yes/No)]]="yes",WWWW[[#This Row],['#_Constructed/Existing hand washing stations at TLS]],0)</f>
        <v>0</v>
      </c>
      <c r="DH659" s="759">
        <f>IF(WWWW[[#This Row],['# Functional hand washing stations during reporting period]]*100&gt;WWWW[[#This Row],[Total PoP ]],WWWW[[#This Row],[Total PoP ]],WWWW[[#This Row],['# Functional hand washing stations during reporting period]]*100)</f>
        <v>0</v>
      </c>
      <c r="DI659" s="759" t="str">
        <f>IF(OR(WWWW[[#This Row],['#_students at TLS_CFS]]="",WWWW[[#This Row],['#_students at TLS_CFS]]=0),"No","Yes")</f>
        <v>No</v>
      </c>
      <c r="DJ659" s="711" t="str">
        <f>VLOOKUP(WWWW[[#This Row],[Site Name]],SiteDB6[[Site Name]:[CCCM Management]],6,FALSE)</f>
        <v>Yes</v>
      </c>
      <c r="DK659" s="711" t="str">
        <f>VLOOKUP(WWWW[[#This Row],[Site Name]],SiteDB6[[Site Name]:[CCCM Focal Agency]],7,FALSE)</f>
        <v>KBC-MYT</v>
      </c>
      <c r="DL659" s="711" t="str">
        <f>VLOOKUP(WWWW[[#This Row],[Site Name]],SiteDB6[[Site Name]:[Location Type 1]],9,FALSE)</f>
        <v>Camp</v>
      </c>
      <c r="DM659" s="711" t="str">
        <f>VLOOKUP(WWWW[[#This Row],[Site Name]],SiteDB6[[Site Name]:[Type of Accommodation]],10,FALSE)</f>
        <v>Camp</v>
      </c>
      <c r="DN659" s="711" t="str">
        <f>VLOOKUP(WWWW[[#This Row],[Site Name]],SiteDB6[[Site Name]:[Ethnic or GCA/NGCA]],11,FALSE)</f>
        <v>GCA</v>
      </c>
      <c r="DO659" s="711">
        <f>VLOOKUP(WWWW[[#This Row],[Site Name]],SiteDB6[[Site Name]:[Lat]],12,FALSE)</f>
        <v>25.422194000000001</v>
      </c>
      <c r="DP659" s="711">
        <f>VLOOKUP(WWWW[[#This Row],[Site Name]],SiteDB6[[Site Name]:[Long]],13,FALSE)</f>
        <v>97.394547000000003</v>
      </c>
      <c r="DQ659" s="711" t="str">
        <f>VLOOKUP(WWWW[[#This Row],[Site Name]],SiteDB6[[Site Name]:[Pcode]],3,FALSE)</f>
        <v>MMR001CMP002</v>
      </c>
      <c r="DR659" s="709" t="str">
        <f t="shared" si="24"/>
        <v>Covered</v>
      </c>
      <c r="DS659" s="709"/>
    </row>
    <row r="660" spans="1:123">
      <c r="A660" s="701" t="s">
        <v>2519</v>
      </c>
      <c r="B660" s="701" t="s">
        <v>149</v>
      </c>
      <c r="C660" s="702" t="s">
        <v>149</v>
      </c>
      <c r="D660" s="702" t="s">
        <v>3264</v>
      </c>
      <c r="E660" s="702" t="s">
        <v>39</v>
      </c>
      <c r="F660" s="702" t="s">
        <v>150</v>
      </c>
      <c r="G660" s="711" t="str">
        <f>VLOOKUP(WWWW[[#This Row],[Site Name]],SiteDB6[[Site Name]:[Location Type]],8,FALSE)</f>
        <v>Camp</v>
      </c>
      <c r="H660" s="702" t="s">
        <v>188</v>
      </c>
      <c r="I660" s="705">
        <v>178</v>
      </c>
      <c r="J660" s="705">
        <v>846</v>
      </c>
      <c r="K660" s="593" t="s">
        <v>3265</v>
      </c>
      <c r="L660" s="58" t="s">
        <v>3267</v>
      </c>
      <c r="M660" s="705"/>
      <c r="N660" s="705"/>
      <c r="O660" s="705"/>
      <c r="P660" s="705"/>
      <c r="Q660" s="708" t="s">
        <v>43</v>
      </c>
      <c r="R660" s="705"/>
      <c r="S660" s="705"/>
      <c r="T660" s="807">
        <v>0</v>
      </c>
      <c r="U660" s="705"/>
      <c r="V660" s="705"/>
      <c r="W660" s="705">
        <v>0</v>
      </c>
      <c r="X660" s="705"/>
      <c r="Y660" s="705"/>
      <c r="Z660" s="705"/>
      <c r="AA660" s="705">
        <v>3</v>
      </c>
      <c r="AB660" s="705"/>
      <c r="AC660" s="705"/>
      <c r="AD660" s="705"/>
      <c r="AE660" s="705"/>
      <c r="AF660" s="705"/>
      <c r="AG660" s="705"/>
      <c r="AH660" s="705">
        <v>0</v>
      </c>
      <c r="AI660" s="705"/>
      <c r="AJ660" s="705"/>
      <c r="AK660" s="705"/>
      <c r="AL660" s="705"/>
      <c r="AM660" s="705"/>
      <c r="AN660" s="705"/>
      <c r="AO660" s="709"/>
      <c r="AP660" s="705">
        <v>150</v>
      </c>
      <c r="AQ660" s="705"/>
      <c r="AR660" s="710"/>
      <c r="AS660" s="705"/>
      <c r="AT660" s="705"/>
      <c r="AU660" s="705"/>
      <c r="AV660" s="705"/>
      <c r="AW660" s="705">
        <v>150</v>
      </c>
      <c r="AX660" s="711" t="s">
        <v>43</v>
      </c>
      <c r="AY660" s="709" t="s">
        <v>145</v>
      </c>
      <c r="AZ660" s="705"/>
      <c r="BA660" s="705"/>
      <c r="BB660" s="705"/>
      <c r="BC660" s="711"/>
      <c r="BD660" s="705"/>
      <c r="BE660" s="705"/>
      <c r="BF660" s="705"/>
      <c r="BG660" s="705">
        <v>4</v>
      </c>
      <c r="BH660" s="705"/>
      <c r="BI660" s="705"/>
      <c r="BJ660" s="705">
        <v>3</v>
      </c>
      <c r="BK660" s="705"/>
      <c r="BL660" s="705"/>
      <c r="BM660" s="711"/>
      <c r="BN660" s="712"/>
      <c r="BO660" s="710"/>
      <c r="BP660" s="711"/>
      <c r="BQ660" s="713" t="str">
        <f>IFERROR(WWWW[[#This Row],['#_Water sources treated]]/WWWW[[#This Row],['#_Water sources tested for contamination]],"no test")</f>
        <v>no test</v>
      </c>
      <c r="BR660" s="710" t="str">
        <f>IFERROR(WWWW[[#This Row],['#_Household received remediation action due to contamination]]/WWWW[[#This Row],['#_Household water samples tested for contamination]],"no test")</f>
        <v>no test</v>
      </c>
      <c r="BS660" s="712" t="str">
        <f>IF(AND(WWWW[[#This Row],[% of water sources treated]]="no test",WWWW[[#This Row],[% Household received corrective actions]]="no test"),"No Test","Tested")</f>
        <v>No Test</v>
      </c>
      <c r="BT660" s="712">
        <f>WWWW[[#This Row],['#_Constructed/existing protected hand dug well]]-WWWW[[#This Row],['#_Non-functional protected hand dug well]]</f>
        <v>0</v>
      </c>
      <c r="BU660" s="712">
        <f>(WWWW[[#This Row],['#_Constructed/Existing tube wells/boreholes/handpumps_WASH_agency]]+WWWW[[#This Row],['#_Non-Cluster partner water tube-wells/boreholes/handpumps]])-WWWW[[#This Row],['#_Non-functional tube wells/boreholes/handpumps]]</f>
        <v>0</v>
      </c>
      <c r="BV660" s="712">
        <f>WWWW[[#This Row],['#_Constructed/Existingwater storage tank with gravity fed reticulation system]]-WWWW[[#This Row],['#_Non-functional storage tank gravity fed reticulation system]]</f>
        <v>3</v>
      </c>
      <c r="BW660" s="712">
        <f>WWWW[[#This Row],['#_Water boating or water trucking]]</f>
        <v>0</v>
      </c>
      <c r="BX660" s="712">
        <f>WWWW[[#This Row],['#_Constructed/Existing water distribution system from river or natural spring]]</f>
        <v>0</v>
      </c>
      <c r="BY66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0.2364066193853428</v>
      </c>
      <c r="BZ66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0.2364066193853428</v>
      </c>
      <c r="CA660" s="710">
        <f>IF(WWWW[[#This Row],[Location Type 1]]="Village",WWWW[[#This Row],[Access to safe drinking water for Village]],WWWW[[#This Row],[Access to safe drinking water for Camp]])</f>
        <v>0.2364066193853428</v>
      </c>
      <c r="CB660" s="708">
        <f>WWWW[[#This Row],[%Equitable and continuous access to sufficient quantity of safe drinking water]]*WWWW[[#This Row],[Total PoP ]]</f>
        <v>200</v>
      </c>
      <c r="CC660" s="710">
        <f>IF((WWWW[[#This Row],['#_Constructed/Existing protected/fenced ponds]]*250)/WWWW[[#This Row],[Total PoP ]]&gt;1,1,(WWWW[[#This Row],['#_Constructed/Existing protected/fenced ponds]]*250)/WWWW[[#This Row],[Total PoP ]])</f>
        <v>0</v>
      </c>
      <c r="CD660" s="708">
        <f>WWWW[[#This Row],[% Access to unimproved water points]]*WWWW[[#This Row],[Total PoP ]]</f>
        <v>0</v>
      </c>
      <c r="CE66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0.2364066193853428</v>
      </c>
      <c r="CF66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G660" s="708">
        <f>WWWW[[#This Row],[HRP1]]/500</f>
        <v>0.4</v>
      </c>
      <c r="CH660" s="714">
        <f>1-WWWW[[#This Row],[% Equitable and continuous access to sufficient quantity of domestic water]]</f>
        <v>0.7635933806146572</v>
      </c>
      <c r="CI660" s="708">
        <f>WWWW[[#This Row],[%equitable and continuous access to sufficient quantity of safe drinking and domestic water''s GAP]]*WWWW[[#This Row],[Total PoP ]]</f>
        <v>646</v>
      </c>
      <c r="CJ660" s="712">
        <f>IF(WWWW[[#This Row],[Total required water points]]-WWWW[[#This Row],['#Water points coverage]]&lt;0,0,WWWW[[#This Row],[Total required water points]]-WWWW[[#This Row],['#Water points coverage]])</f>
        <v>1.6</v>
      </c>
      <c r="CK660" s="712">
        <f>ROUND(IF(WWWW[[#This Row],[Total PoP ]]&lt;500,1,WWWW[[#This Row],[Total PoP ]]/500),0)</f>
        <v>2</v>
      </c>
      <c r="CL660" s="712">
        <f>(WWWW[[#This Row],['#_Constructed latrines_by_WASHAgencies]]+WWWW[[#This Row],['#_Non Cluster partner latrines]])-WWWW[[#This Row],['#_Non-functional latrines]]</f>
        <v>150</v>
      </c>
      <c r="CM66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846</v>
      </c>
      <c r="CO66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0" s="712">
        <f>IF(WWWW[[#This Row],[Location Type 1]]="Village","NA",IF(WWWW[[#This Row],['#_Constructed/Existing latrines in TLS]]*50&gt;WWWW[[#This Row],['#_students at TLS_CFS]],WWWW[[#This Row],['#_students at TLS_CFS]],(WWWW[[#This Row],['#_Constructed/Existing latrines in TLS]]*50)))</f>
        <v>0</v>
      </c>
      <c r="CQ660" s="712">
        <f>ROUND(IF(WWWW[[#This Row],[Location Type 1]]="camp",WWWW[[#This Row],[Total PoP ]]/20,IF(WWWW[[#This Row],[Location Type 1]]="Temporary Location",WWWW[[#This Row],[Total PoP ]]/50,(WWWW[[#This Row],[Total PoP ]]/6))),0)</f>
        <v>141</v>
      </c>
      <c r="CR660" s="712">
        <f>IF(WWWW[[#This Row],[Total required Latrines]]-(WWWW[[#This Row],['#_Constructed latrines_by_WASHAgencies]]+WWWW[[#This Row],['#_Non Cluster partner latrines]])&lt;0,0,WWWW[[#This Row],[Total required Latrines]]-(WWWW[[#This Row],['#_Constructed latrines_by_WASHAgencies]]+WWWW[[#This Row],['#_Non Cluster partner latrines]]))</f>
        <v>0</v>
      </c>
      <c r="CS660" s="714">
        <f>1-WWWW[[#This Row],[% people access to functioning Latrine]]</f>
        <v>0</v>
      </c>
      <c r="CT660" s="713">
        <f>IF(OR(WWWW[[#This Row],['#_Non-functional latrines]]="",WWWW[[#This Row],['#_Non-functional latrines]]=0),0,WWWW[[#This Row],['#_Non-functional latrines]]/(WWWW[[#This Row],['#_Constructed latrines_by_WASHAgencies]]+WWWW[[#This Row],['#_Non Cluster partner latrines]]))</f>
        <v>0</v>
      </c>
      <c r="CU660" s="708">
        <f>IF(500*(WWWW[[#This Row],['#_male hygiene promoters]]+WWWW[[#This Row],['#_female hygiene promoters]])&gt;WWWW[[#This Row],[Total PoP ]],WWWW[[#This Row],[Total PoP ]],500*(WWWW[[#This Row],['#_male hygiene promoters]]+WWWW[[#This Row],['#_female hygiene promoters]]))</f>
        <v>846</v>
      </c>
      <c r="CV66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6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0" s="712">
        <f>IF(WWWW[[#This Row],['# People with access to soap]]&gt;WWWW[[#This Row],['# People with access to Sanity Pads]],WWWW[[#This Row],['# People with access to soap]],WWWW[[#This Row],['# People with access to Sanity Pads]])</f>
        <v>0</v>
      </c>
      <c r="CY660" s="712">
        <f>IF(WWWW[[#This Row],['# people reached by regular dedicated hygiene promotion_5]]&gt;WWWW[[#This Row],['# People received regular supply of hygiene items_6]],WWWW[[#This Row],['# people reached by regular dedicated hygiene promotion_5]],WWWW[[#This Row],['# People received regular supply of hygiene items_6]])</f>
        <v>846</v>
      </c>
      <c r="CZ660" s="714">
        <f>IF(WWWW[[#This Row],[HRP3]]/WWWW[[#This Row],[Total PoP ]]&gt;100%,100%,WWWW[[#This Row],[HRP3]]/WWWW[[#This Row],[Total PoP ]])</f>
        <v>1</v>
      </c>
      <c r="DA660" s="713">
        <f>1-WWWW[[#This Row],[Hygiene Coverage%]]</f>
        <v>0</v>
      </c>
      <c r="DB660" s="710">
        <f>WWWW[[#This Row],['# people reached by regular dedicated hygiene promotion_5]]/WWWW[[#This Row],[Total PoP ]]</f>
        <v>1</v>
      </c>
      <c r="DC660" s="710">
        <f>IF(WWWW[[#This Row],['#_households that received standard amount of soap for this quarter]]/WWWW[[#This Row],[Total HH]]&gt;1,1,WWWW[[#This Row],['#_households that received standard amount of soap for this quarter]]/WWWW[[#This Row],[Total HH]])</f>
        <v>0</v>
      </c>
      <c r="DD660" s="710">
        <f>IF(WWWW[[#This Row],['#_households that received standard amount of sanitary pads for this quarter]]/WWWW[[#This Row],[Total HH]]&gt;1,1,WWWW[[#This Row],['#_households that received standard amount of sanitary pads for this quarter]]/WWWW[[#This Row],[Total HH]])</f>
        <v>0</v>
      </c>
      <c r="DE660" s="712">
        <f>WWWW[[#This Row],['#_Constructed/Existing hand washing stations]]-WWWW[[#This Row],['#_Non-Functional_hand_washing_stations]]</f>
        <v>0</v>
      </c>
      <c r="DF660" s="757">
        <f>IF(WWWW[[#This Row],['# Functional hand washing stations during reporting period]]*20&gt;WWWW[[#This Row],[Total HH]],WWWW[[#This Row],[Total HH]],WWWW[[#This Row],['# Functional hand washing stations during reporting period]]*20)</f>
        <v>0</v>
      </c>
      <c r="DG660" s="708">
        <f>IF(WWWW[[#This Row],[Is sufficient soap available for TLS? (Yes/No)]]="yes",WWWW[[#This Row],['#_Constructed/Existing hand washing stations at TLS]],0)</f>
        <v>0</v>
      </c>
      <c r="DH660" s="759">
        <f>IF(WWWW[[#This Row],['# Functional hand washing stations during reporting period]]*100&gt;WWWW[[#This Row],[Total PoP ]],WWWW[[#This Row],[Total PoP ]],WWWW[[#This Row],['# Functional hand washing stations during reporting period]]*100)</f>
        <v>0</v>
      </c>
      <c r="DI660" s="759" t="str">
        <f>IF(OR(WWWW[[#This Row],['#_students at TLS_CFS]]="",WWWW[[#This Row],['#_students at TLS_CFS]]=0),"No","Yes")</f>
        <v>No</v>
      </c>
      <c r="DJ660" s="711" t="str">
        <f>VLOOKUP(WWWW[[#This Row],[Site Name]],SiteDB6[[Site Name]:[CCCM Management]],6,FALSE)</f>
        <v>Yes</v>
      </c>
      <c r="DK660" s="711" t="str">
        <f>VLOOKUP(WWWW[[#This Row],[Site Name]],SiteDB6[[Site Name]:[CCCM Focal Agency]],7,FALSE)</f>
        <v>KBC-MYT</v>
      </c>
      <c r="DL660" s="711" t="str">
        <f>VLOOKUP(WWWW[[#This Row],[Site Name]],SiteDB6[[Site Name]:[Location Type 1]],9,FALSE)</f>
        <v>Village Type Camp</v>
      </c>
      <c r="DM660" s="711" t="str">
        <f>VLOOKUP(WWWW[[#This Row],[Site Name]],SiteDB6[[Site Name]:[Type of Accommodation]],10,FALSE)</f>
        <v>Camp</v>
      </c>
      <c r="DN660" s="711" t="str">
        <f>VLOOKUP(WWWW[[#This Row],[Site Name]],SiteDB6[[Site Name]:[Ethnic or GCA/NGCA]],11,FALSE)</f>
        <v>NGCA</v>
      </c>
      <c r="DO660" s="711">
        <f>VLOOKUP(WWWW[[#This Row],[Site Name]],SiteDB6[[Site Name]:[Lat]],12,FALSE)</f>
        <v>24.831944</v>
      </c>
      <c r="DP660" s="711">
        <f>VLOOKUP(WWWW[[#This Row],[Site Name]],SiteDB6[[Site Name]:[Long]],13,FALSE)</f>
        <v>97.751389000000003</v>
      </c>
      <c r="DQ660" s="711" t="str">
        <f>VLOOKUP(WWWW[[#This Row],[Site Name]],SiteDB6[[Site Name]:[Pcode]],3,FALSE)</f>
        <v>MMR001CMP120</v>
      </c>
      <c r="DR660" s="709" t="str">
        <f t="shared" si="24"/>
        <v>Covered</v>
      </c>
      <c r="DS660" s="709"/>
    </row>
    <row r="661" spans="1:123">
      <c r="A661" s="701" t="s">
        <v>2519</v>
      </c>
      <c r="B661" s="701" t="s">
        <v>149</v>
      </c>
      <c r="C661" s="702" t="s">
        <v>149</v>
      </c>
      <c r="D661" s="702" t="s">
        <v>3329</v>
      </c>
      <c r="E661" s="702" t="s">
        <v>39</v>
      </c>
      <c r="F661" s="702" t="s">
        <v>222</v>
      </c>
      <c r="G661" s="711" t="str">
        <f>VLOOKUP(WWWW[[#This Row],[Site Name]],SiteDB6[[Site Name]:[Location Type]],8,FALSE)</f>
        <v>Camp</v>
      </c>
      <c r="H661" s="711" t="s">
        <v>2085</v>
      </c>
      <c r="I661" s="705">
        <v>361</v>
      </c>
      <c r="J661" s="705">
        <v>1436</v>
      </c>
      <c r="K661" s="706">
        <v>43374</v>
      </c>
      <c r="L661" s="707">
        <v>43676</v>
      </c>
      <c r="M661" s="806">
        <v>278</v>
      </c>
      <c r="N661" s="705"/>
      <c r="O661" s="705"/>
      <c r="P661" s="705"/>
      <c r="Q661" s="744" t="s">
        <v>43</v>
      </c>
      <c r="R661" s="806">
        <v>8</v>
      </c>
      <c r="S661" s="806">
        <v>6</v>
      </c>
      <c r="T661" s="807">
        <v>14</v>
      </c>
      <c r="U661" s="705"/>
      <c r="V661" s="705"/>
      <c r="W661" s="705">
        <v>1</v>
      </c>
      <c r="X661" s="705"/>
      <c r="Y661" s="705"/>
      <c r="Z661" s="705"/>
      <c r="AA661" s="705">
        <v>1</v>
      </c>
      <c r="AB661" s="705"/>
      <c r="AC661" s="705"/>
      <c r="AD661" s="705"/>
      <c r="AE661" s="705"/>
      <c r="AF661" s="705">
        <f>10*WWWW[[#This Row],[Total PoP ]]</f>
        <v>14360</v>
      </c>
      <c r="AG661" s="705"/>
      <c r="AH661" s="705">
        <v>0</v>
      </c>
      <c r="AI661" s="806">
        <v>11</v>
      </c>
      <c r="AJ661" s="806">
        <v>8</v>
      </c>
      <c r="AK661" s="806">
        <v>361</v>
      </c>
      <c r="AL661" s="806">
        <v>361</v>
      </c>
      <c r="AM661" s="806">
        <v>74</v>
      </c>
      <c r="AN661" s="806">
        <v>0</v>
      </c>
      <c r="AO661" s="207" t="s">
        <v>3330</v>
      </c>
      <c r="AP661" s="806">
        <v>14</v>
      </c>
      <c r="AQ661" s="806">
        <v>361</v>
      </c>
      <c r="AR661" s="744" t="s">
        <v>3331</v>
      </c>
      <c r="AS661" s="705"/>
      <c r="AT661" s="705"/>
      <c r="AU661" s="705"/>
      <c r="AV661" s="705"/>
      <c r="AW661" s="705">
        <v>16</v>
      </c>
      <c r="AX661" s="711" t="s">
        <v>43</v>
      </c>
      <c r="AY661" s="709" t="s">
        <v>144</v>
      </c>
      <c r="AZ661" s="705"/>
      <c r="BA661" s="705"/>
      <c r="BB661" s="705">
        <v>35</v>
      </c>
      <c r="BC661" s="711" t="s">
        <v>3332</v>
      </c>
      <c r="BD661" s="705">
        <v>70</v>
      </c>
      <c r="BE661" s="705">
        <v>0</v>
      </c>
      <c r="BF661" s="705">
        <v>7</v>
      </c>
      <c r="BG661" s="705">
        <v>0</v>
      </c>
      <c r="BH661" s="705">
        <v>0</v>
      </c>
      <c r="BI661" s="705">
        <v>1</v>
      </c>
      <c r="BJ661" s="705">
        <v>6</v>
      </c>
      <c r="BK661" s="705">
        <v>361</v>
      </c>
      <c r="BL661" s="705">
        <v>346</v>
      </c>
      <c r="BM661" s="711" t="s">
        <v>43</v>
      </c>
      <c r="BN661" s="712"/>
      <c r="BO661" s="710"/>
      <c r="BP661" s="711"/>
      <c r="BQ661" s="713">
        <f>IFERROR(WWWW[[#This Row],['#_Water sources treated]]/WWWW[[#This Row],['#_Water sources tested for contamination]],"no test")</f>
        <v>0.72727272727272729</v>
      </c>
      <c r="BR661" s="710">
        <f>IFERROR(WWWW[[#This Row],['#_Household received remediation action due to contamination]]/WWWW[[#This Row],['#_Household water samples tested for contamination]],"no test")</f>
        <v>1</v>
      </c>
      <c r="BS661" s="712" t="str">
        <f>IF(AND(WWWW[[#This Row],[% of water sources treated]]="no test",WWWW[[#This Row],[% Household received corrective actions]]="no test"),"No Test","Tested")</f>
        <v>Tested</v>
      </c>
      <c r="BT661" s="712">
        <f>WWWW[[#This Row],['#_Constructed/existing protected hand dug well]]-WWWW[[#This Row],['#_Non-functional protected hand dug well]]</f>
        <v>14</v>
      </c>
      <c r="BU661" s="712">
        <f>(WWWW[[#This Row],['#_Constructed/Existing tube wells/boreholes/handpumps_WASH_agency]]+WWWW[[#This Row],['#_Non-Cluster partner water tube-wells/boreholes/handpumps]])-WWWW[[#This Row],['#_Non-functional tube wells/boreholes/handpumps]]</f>
        <v>1</v>
      </c>
      <c r="BV661" s="712">
        <f>WWWW[[#This Row],['#_Constructed/Existingwater storage tank with gravity fed reticulation system]]-WWWW[[#This Row],['#_Non-functional storage tank gravity fed reticulation system]]</f>
        <v>1</v>
      </c>
      <c r="BW661" s="712">
        <f>WWWW[[#This Row],['#_Water boating or water trucking]]</f>
        <v>0</v>
      </c>
      <c r="BX661" s="712">
        <f>WWWW[[#This Row],['#_Constructed/Existing water distribution system from river or natural spring]]</f>
        <v>14360</v>
      </c>
      <c r="BY66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6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61" s="710">
        <f>IF(WWWW[[#This Row],[Location Type 1]]="Village",WWWW[[#This Row],[Access to safe drinking water for Village]],WWWW[[#This Row],[Access to safe drinking water for Camp]])</f>
        <v>1</v>
      </c>
      <c r="CB661" s="708">
        <f>WWWW[[#This Row],[%Equitable and continuous access to sufficient quantity of safe drinking water]]*WWWW[[#This Row],[Total PoP ]]</f>
        <v>1436</v>
      </c>
      <c r="CC661" s="710">
        <f>IF((WWWW[[#This Row],['#_Constructed/Existing protected/fenced ponds]]*250)/WWWW[[#This Row],[Total PoP ]]&gt;1,1,(WWWW[[#This Row],['#_Constructed/Existing protected/fenced ponds]]*250)/WWWW[[#This Row],[Total PoP ]])</f>
        <v>0</v>
      </c>
      <c r="CD661" s="708">
        <f>WWWW[[#This Row],[% Access to unimproved water points]]*WWWW[[#This Row],[Total PoP ]]</f>
        <v>0</v>
      </c>
      <c r="CE66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6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1436</v>
      </c>
      <c r="CG661" s="708">
        <f>WWWW[[#This Row],[HRP1]]/500</f>
        <v>2.8719999999999999</v>
      </c>
      <c r="CH661" s="714">
        <f>1-WWWW[[#This Row],[% Equitable and continuous access to sufficient quantity of domestic water]]</f>
        <v>0</v>
      </c>
      <c r="CI661" s="708">
        <f>WWWW[[#This Row],[%equitable and continuous access to sufficient quantity of safe drinking and domestic water''s GAP]]*WWWW[[#This Row],[Total PoP ]]</f>
        <v>0</v>
      </c>
      <c r="CJ661" s="712">
        <f>IF(WWWW[[#This Row],[Total required water points]]-WWWW[[#This Row],['#Water points coverage]]&lt;0,0,WWWW[[#This Row],[Total required water points]]-WWWW[[#This Row],['#Water points coverage]])</f>
        <v>0.12800000000000011</v>
      </c>
      <c r="CK661" s="712">
        <f>ROUND(IF(WWWW[[#This Row],[Total PoP ]]&lt;500,1,WWWW[[#This Row],[Total PoP ]]/500),0)</f>
        <v>3</v>
      </c>
      <c r="CL661" s="712">
        <f>(WWWW[[#This Row],['#_Constructed latrines_by_WASHAgencies]]+WWWW[[#This Row],['#_Non Cluster partner latrines]])-WWWW[[#This Row],['#_Non-functional latrines]]</f>
        <v>375</v>
      </c>
      <c r="CM66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1436</v>
      </c>
      <c r="CO66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1" s="712">
        <f>IF(WWWW[[#This Row],[Location Type 1]]="Village","NA",IF(WWWW[[#This Row],['#_Constructed/Existing latrines in TLS]]*50&gt;WWWW[[#This Row],['#_students at TLS_CFS]],WWWW[[#This Row],['#_students at TLS_CFS]],(WWWW[[#This Row],['#_Constructed/Existing latrines in TLS]]*50)))</f>
        <v>278</v>
      </c>
      <c r="CQ661" s="712">
        <f>ROUND(IF(WWWW[[#This Row],[Location Type 1]]="camp",WWWW[[#This Row],[Total PoP ]]/20,IF(WWWW[[#This Row],[Location Type 1]]="Temporary Location",WWWW[[#This Row],[Total PoP ]]/50,(WWWW[[#This Row],[Total PoP ]]/6))),0)</f>
        <v>72</v>
      </c>
      <c r="CR661" s="712">
        <f>IF(WWWW[[#This Row],[Total required Latrines]]-(WWWW[[#This Row],['#_Constructed latrines_by_WASHAgencies]]+WWWW[[#This Row],['#_Non Cluster partner latrines]])&lt;0,0,WWWW[[#This Row],[Total required Latrines]]-(WWWW[[#This Row],['#_Constructed latrines_by_WASHAgencies]]+WWWW[[#This Row],['#_Non Cluster partner latrines]]))</f>
        <v>0</v>
      </c>
      <c r="CS661" s="714">
        <f>1-WWWW[[#This Row],[% people access to functioning Latrine]]</f>
        <v>0</v>
      </c>
      <c r="CT661" s="713">
        <f>IF(OR(WWWW[[#This Row],['#_Non-functional latrines]]="",WWWW[[#This Row],['#_Non-functional latrines]]=0),0,WWWW[[#This Row],['#_Non-functional latrines]]/(WWWW[[#This Row],['#_Constructed latrines_by_WASHAgencies]]+WWWW[[#This Row],['#_Non Cluster partner latrines]]))</f>
        <v>0</v>
      </c>
      <c r="CU661" s="708">
        <f>IF(500*(WWWW[[#This Row],['#_male hygiene promoters]]+WWWW[[#This Row],['#_female hygiene promoters]])&gt;WWWW[[#This Row],[Total PoP ]],WWWW[[#This Row],[Total PoP ]],500*(WWWW[[#This Row],['#_male hygiene promoters]]+WWWW[[#This Row],['#_female hygiene promoters]]))</f>
        <v>1436</v>
      </c>
      <c r="CV66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1436</v>
      </c>
      <c r="CW66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1436</v>
      </c>
      <c r="CX661" s="712">
        <f>IF(WWWW[[#This Row],['# People with access to soap]]&gt;WWWW[[#This Row],['# People with access to Sanity Pads]],WWWW[[#This Row],['# People with access to soap]],WWWW[[#This Row],['# People with access to Sanity Pads]])</f>
        <v>1436</v>
      </c>
      <c r="CY661" s="712">
        <f>IF(WWWW[[#This Row],['# people reached by regular dedicated hygiene promotion_5]]&gt;WWWW[[#This Row],['# People received regular supply of hygiene items_6]],WWWW[[#This Row],['# people reached by regular dedicated hygiene promotion_5]],WWWW[[#This Row],['# People received regular supply of hygiene items_6]])</f>
        <v>1436</v>
      </c>
      <c r="CZ661" s="714">
        <f>IF(WWWW[[#This Row],[HRP3]]/WWWW[[#This Row],[Total PoP ]]&gt;100%,100%,WWWW[[#This Row],[HRP3]]/WWWW[[#This Row],[Total PoP ]])</f>
        <v>1</v>
      </c>
      <c r="DA661" s="713">
        <f>1-WWWW[[#This Row],[Hygiene Coverage%]]</f>
        <v>0</v>
      </c>
      <c r="DB661" s="710">
        <f>WWWW[[#This Row],['# people reached by regular dedicated hygiene promotion_5]]/WWWW[[#This Row],[Total PoP ]]</f>
        <v>1</v>
      </c>
      <c r="DC661" s="710">
        <f>IF(WWWW[[#This Row],['#_households that received standard amount of soap for this quarter]]/WWWW[[#This Row],[Total HH]]&gt;1,1,WWWW[[#This Row],['#_households that received standard amount of soap for this quarter]]/WWWW[[#This Row],[Total HH]])</f>
        <v>1</v>
      </c>
      <c r="DD661" s="710">
        <f>IF(WWWW[[#This Row],['#_households that received standard amount of sanitary pads for this quarter]]/WWWW[[#This Row],[Total HH]]&gt;1,1,WWWW[[#This Row],['#_households that received standard amount of sanitary pads for this quarter]]/WWWW[[#This Row],[Total HH]])</f>
        <v>0.95844875346260383</v>
      </c>
      <c r="DE661" s="712">
        <f>WWWW[[#This Row],['#_Constructed/Existing hand washing stations]]-WWWW[[#This Row],['#_Non-Functional_hand_washing_stations]]</f>
        <v>70</v>
      </c>
      <c r="DF661" s="757">
        <f>IF(WWWW[[#This Row],['# Functional hand washing stations during reporting period]]*20&gt;WWWW[[#This Row],[Total HH]],WWWW[[#This Row],[Total HH]],WWWW[[#This Row],['# Functional hand washing stations during reporting period]]*20)</f>
        <v>361</v>
      </c>
      <c r="DG661" s="708">
        <f>IF(WWWW[[#This Row],[Is sufficient soap available for TLS? (Yes/No)]]="yes",WWWW[[#This Row],['#_Constructed/Existing hand washing stations at TLS]],0)</f>
        <v>74</v>
      </c>
      <c r="DH661" s="759">
        <f>IF(WWWW[[#This Row],['# Functional hand washing stations during reporting period]]*100&gt;WWWW[[#This Row],[Total PoP ]],WWWW[[#This Row],[Total PoP ]],WWWW[[#This Row],['# Functional hand washing stations during reporting period]]*100)</f>
        <v>1436</v>
      </c>
      <c r="DI661" s="759" t="str">
        <f>IF(OR(WWWW[[#This Row],['#_students at TLS_CFS]]="",WWWW[[#This Row],['#_students at TLS_CFS]]=0),"No","Yes")</f>
        <v>Yes</v>
      </c>
      <c r="DJ661" s="711">
        <f>VLOOKUP(WWWW[[#This Row],[Site Name]],SiteDB6[[Site Name]:[CCCM Management]],6,FALSE)</f>
        <v>0</v>
      </c>
      <c r="DK661" s="711">
        <f>VLOOKUP(WWWW[[#This Row],[Site Name]],SiteDB6[[Site Name]:[CCCM Focal Agency]],7,FALSE)</f>
        <v>0</v>
      </c>
      <c r="DL661" s="711" t="str">
        <f>VLOOKUP(WWWW[[#This Row],[Site Name]],SiteDB6[[Site Name]:[Location Type 1]],9,FALSE)</f>
        <v>Camp</v>
      </c>
      <c r="DM661" s="711" t="str">
        <f>VLOOKUP(WWWW[[#This Row],[Site Name]],SiteDB6[[Site Name]:[Type of Accommodation]],10,FALSE)</f>
        <v>Camp like setting</v>
      </c>
      <c r="DN661" s="711" t="str">
        <f>VLOOKUP(WWWW[[#This Row],[Site Name]],SiteDB6[[Site Name]:[Ethnic or GCA/NGCA]],11,FALSE)</f>
        <v>NGCA</v>
      </c>
      <c r="DO661" s="711">
        <f>VLOOKUP(WWWW[[#This Row],[Site Name]],SiteDB6[[Site Name]:[Lat]],12,FALSE)</f>
        <v>0</v>
      </c>
      <c r="DP661" s="711">
        <f>VLOOKUP(WWWW[[#This Row],[Site Name]],SiteDB6[[Site Name]:[Long]],13,FALSE)</f>
        <v>0</v>
      </c>
      <c r="DQ661" s="711" t="str">
        <f>VLOOKUP(WWWW[[#This Row],[Site Name]],SiteDB6[[Site Name]:[Pcode]],3,FALSE)</f>
        <v>MMR001CMP273</v>
      </c>
      <c r="DR661" s="709" t="str">
        <f t="shared" si="24"/>
        <v>Covered</v>
      </c>
      <c r="DS661" s="709"/>
    </row>
    <row r="662" spans="1:123">
      <c r="A662" s="701" t="s">
        <v>2519</v>
      </c>
      <c r="B662" s="701" t="s">
        <v>149</v>
      </c>
      <c r="C662" s="702" t="s">
        <v>149</v>
      </c>
      <c r="D662" s="702" t="s">
        <v>3264</v>
      </c>
      <c r="E662" s="702" t="s">
        <v>39</v>
      </c>
      <c r="F662" s="702" t="s">
        <v>150</v>
      </c>
      <c r="G662" s="711" t="str">
        <f>VLOOKUP(WWWW[[#This Row],[Site Name]],SiteDB6[[Site Name]:[Location Type]],8,FALSE)</f>
        <v>Camp</v>
      </c>
      <c r="H662" s="702" t="s">
        <v>189</v>
      </c>
      <c r="I662" s="705">
        <v>60</v>
      </c>
      <c r="J662" s="705">
        <v>307</v>
      </c>
      <c r="K662" s="593" t="s">
        <v>3276</v>
      </c>
      <c r="L662" s="58" t="s">
        <v>3277</v>
      </c>
      <c r="M662" s="705"/>
      <c r="N662" s="705"/>
      <c r="O662" s="705"/>
      <c r="P662" s="705"/>
      <c r="Q662" s="708" t="s">
        <v>43</v>
      </c>
      <c r="R662" s="705"/>
      <c r="S662" s="705"/>
      <c r="T662" s="807">
        <v>1</v>
      </c>
      <c r="U662" s="705"/>
      <c r="V662" s="705"/>
      <c r="W662" s="705">
        <v>0</v>
      </c>
      <c r="X662" s="705"/>
      <c r="Y662" s="705"/>
      <c r="Z662" s="705"/>
      <c r="AA662" s="705"/>
      <c r="AB662" s="705"/>
      <c r="AC662" s="705"/>
      <c r="AD662" s="705"/>
      <c r="AE662" s="705"/>
      <c r="AF662" s="705"/>
      <c r="AG662" s="705"/>
      <c r="AH662" s="705">
        <v>1</v>
      </c>
      <c r="AI662" s="705"/>
      <c r="AJ662" s="705"/>
      <c r="AK662" s="705"/>
      <c r="AL662" s="705"/>
      <c r="AM662" s="705"/>
      <c r="AN662" s="705"/>
      <c r="AO662" s="709"/>
      <c r="AP662" s="705">
        <v>14</v>
      </c>
      <c r="AQ662" s="705"/>
      <c r="AR662" s="710"/>
      <c r="AS662" s="705"/>
      <c r="AT662" s="705"/>
      <c r="AU662" s="705"/>
      <c r="AV662" s="705"/>
      <c r="AW662" s="705">
        <v>10</v>
      </c>
      <c r="AX662" s="711" t="s">
        <v>43</v>
      </c>
      <c r="AY662" s="709" t="s">
        <v>145</v>
      </c>
      <c r="AZ662" s="705"/>
      <c r="BA662" s="705"/>
      <c r="BB662" s="705"/>
      <c r="BC662" s="711"/>
      <c r="BD662" s="705"/>
      <c r="BE662" s="705"/>
      <c r="BF662" s="705"/>
      <c r="BG662" s="705">
        <v>2</v>
      </c>
      <c r="BH662" s="705"/>
      <c r="BI662" s="705"/>
      <c r="BJ662" s="705">
        <v>1</v>
      </c>
      <c r="BK662" s="705"/>
      <c r="BL662" s="705"/>
      <c r="BM662" s="711"/>
      <c r="BN662" s="712"/>
      <c r="BO662" s="710"/>
      <c r="BP662" s="711"/>
      <c r="BQ662" s="713" t="str">
        <f>IFERROR(WWWW[[#This Row],['#_Water sources treated]]/WWWW[[#This Row],['#_Water sources tested for contamination]],"no test")</f>
        <v>no test</v>
      </c>
      <c r="BR662" s="710" t="str">
        <f>IFERROR(WWWW[[#This Row],['#_Household received remediation action due to contamination]]/WWWW[[#This Row],['#_Household water samples tested for contamination]],"no test")</f>
        <v>no test</v>
      </c>
      <c r="BS662" s="712" t="str">
        <f>IF(AND(WWWW[[#This Row],[% of water sources treated]]="no test",WWWW[[#This Row],[% Household received corrective actions]]="no test"),"No Test","Tested")</f>
        <v>No Test</v>
      </c>
      <c r="BT662" s="712">
        <f>WWWW[[#This Row],['#_Constructed/existing protected hand dug well]]-WWWW[[#This Row],['#_Non-functional protected hand dug well]]</f>
        <v>1</v>
      </c>
      <c r="BU662" s="712">
        <f>(WWWW[[#This Row],['#_Constructed/Existing tube wells/boreholes/handpumps_WASH_agency]]+WWWW[[#This Row],['#_Non-Cluster partner water tube-wells/boreholes/handpumps]])-WWWW[[#This Row],['#_Non-functional tube wells/boreholes/handpumps]]</f>
        <v>0</v>
      </c>
      <c r="BV662" s="712">
        <f>WWWW[[#This Row],['#_Constructed/Existingwater storage tank with gravity fed reticulation system]]-WWWW[[#This Row],['#_Non-functional storage tank gravity fed reticulation system]]</f>
        <v>0</v>
      </c>
      <c r="BW662" s="712">
        <f>WWWW[[#This Row],['#_Water boating or water trucking]]</f>
        <v>0</v>
      </c>
      <c r="BX662" s="712">
        <f>WWWW[[#This Row],['#_Constructed/Existing water distribution system from river or natural spring]]</f>
        <v>0</v>
      </c>
      <c r="BY66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6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0.81433224755700329</v>
      </c>
      <c r="CA662" s="710">
        <f>IF(WWWW[[#This Row],[Location Type 1]]="Village",WWWW[[#This Row],[Access to safe drinking water for Village]],WWWW[[#This Row],[Access to safe drinking water for Camp]])</f>
        <v>1</v>
      </c>
      <c r="CB662" s="708">
        <f>WWWW[[#This Row],[%Equitable and continuous access to sufficient quantity of safe drinking water]]*WWWW[[#This Row],[Total PoP ]]</f>
        <v>307</v>
      </c>
      <c r="CC662" s="710">
        <f>IF((WWWW[[#This Row],['#_Constructed/Existing protected/fenced ponds]]*250)/WWWW[[#This Row],[Total PoP ]]&gt;1,1,(WWWW[[#This Row],['#_Constructed/Existing protected/fenced ponds]]*250)/WWWW[[#This Row],[Total PoP ]])</f>
        <v>0</v>
      </c>
      <c r="CD662" s="708">
        <f>WWWW[[#This Row],[% Access to unimproved water points]]*WWWW[[#This Row],[Total PoP ]]</f>
        <v>0</v>
      </c>
      <c r="CE66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6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G662" s="708">
        <f>WWWW[[#This Row],[HRP1]]/500</f>
        <v>0.61399999999999999</v>
      </c>
      <c r="CH662" s="714">
        <f>1-WWWW[[#This Row],[% Equitable and continuous access to sufficient quantity of domestic water]]</f>
        <v>0</v>
      </c>
      <c r="CI662" s="708">
        <f>WWWW[[#This Row],[%equitable and continuous access to sufficient quantity of safe drinking and domestic water''s GAP]]*WWWW[[#This Row],[Total PoP ]]</f>
        <v>0</v>
      </c>
      <c r="CJ662" s="712">
        <f>IF(WWWW[[#This Row],[Total required water points]]-WWWW[[#This Row],['#Water points coverage]]&lt;0,0,WWWW[[#This Row],[Total required water points]]-WWWW[[#This Row],['#Water points coverage]])</f>
        <v>0.38600000000000001</v>
      </c>
      <c r="CK662" s="712">
        <f>ROUND(IF(WWWW[[#This Row],[Total PoP ]]&lt;500,1,WWWW[[#This Row],[Total PoP ]]/500),0)</f>
        <v>1</v>
      </c>
      <c r="CL662" s="712">
        <f>(WWWW[[#This Row],['#_Constructed latrines_by_WASHAgencies]]+WWWW[[#This Row],['#_Non Cluster partner latrines]])-WWWW[[#This Row],['#_Non-functional latrines]]</f>
        <v>14</v>
      </c>
      <c r="CM66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0.91205211726384361</v>
      </c>
      <c r="CN66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280</v>
      </c>
      <c r="CO66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2" s="712">
        <f>IF(WWWW[[#This Row],[Location Type 1]]="Village","NA",IF(WWWW[[#This Row],['#_Constructed/Existing latrines in TLS]]*50&gt;WWWW[[#This Row],['#_students at TLS_CFS]],WWWW[[#This Row],['#_students at TLS_CFS]],(WWWW[[#This Row],['#_Constructed/Existing latrines in TLS]]*50)))</f>
        <v>0</v>
      </c>
      <c r="CQ662" s="712">
        <f>ROUND(IF(WWWW[[#This Row],[Location Type 1]]="camp",WWWW[[#This Row],[Total PoP ]]/20,IF(WWWW[[#This Row],[Location Type 1]]="Temporary Location",WWWW[[#This Row],[Total PoP ]]/50,(WWWW[[#This Row],[Total PoP ]]/6))),0)</f>
        <v>15</v>
      </c>
      <c r="CR662" s="712">
        <f>IF(WWWW[[#This Row],[Total required Latrines]]-(WWWW[[#This Row],['#_Constructed latrines_by_WASHAgencies]]+WWWW[[#This Row],['#_Non Cluster partner latrines]])&lt;0,0,WWWW[[#This Row],[Total required Latrines]]-(WWWW[[#This Row],['#_Constructed latrines_by_WASHAgencies]]+WWWW[[#This Row],['#_Non Cluster partner latrines]]))</f>
        <v>1</v>
      </c>
      <c r="CS662" s="714">
        <f>1-WWWW[[#This Row],[% people access to functioning Latrine]]</f>
        <v>8.7947882736156391E-2</v>
      </c>
      <c r="CT662" s="713">
        <f>IF(OR(WWWW[[#This Row],['#_Non-functional latrines]]="",WWWW[[#This Row],['#_Non-functional latrines]]=0),0,WWWW[[#This Row],['#_Non-functional latrines]]/(WWWW[[#This Row],['#_Constructed latrines_by_WASHAgencies]]+WWWW[[#This Row],['#_Non Cluster partner latrines]]))</f>
        <v>0</v>
      </c>
      <c r="CU662" s="708">
        <f>IF(500*(WWWW[[#This Row],['#_male hygiene promoters]]+WWWW[[#This Row],['#_female hygiene promoters]])&gt;WWWW[[#This Row],[Total PoP ]],WWWW[[#This Row],[Total PoP ]],500*(WWWW[[#This Row],['#_male hygiene promoters]]+WWWW[[#This Row],['#_female hygiene promoters]]))</f>
        <v>307</v>
      </c>
      <c r="CV66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6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2" s="712">
        <f>IF(WWWW[[#This Row],['# People with access to soap]]&gt;WWWW[[#This Row],['# People with access to Sanity Pads]],WWWW[[#This Row],['# People with access to soap]],WWWW[[#This Row],['# People with access to Sanity Pads]])</f>
        <v>0</v>
      </c>
      <c r="CY662" s="712">
        <f>IF(WWWW[[#This Row],['# people reached by regular dedicated hygiene promotion_5]]&gt;WWWW[[#This Row],['# People received regular supply of hygiene items_6]],WWWW[[#This Row],['# people reached by regular dedicated hygiene promotion_5]],WWWW[[#This Row],['# People received regular supply of hygiene items_6]])</f>
        <v>307</v>
      </c>
      <c r="CZ662" s="714">
        <f>IF(WWWW[[#This Row],[HRP3]]/WWWW[[#This Row],[Total PoP ]]&gt;100%,100%,WWWW[[#This Row],[HRP3]]/WWWW[[#This Row],[Total PoP ]])</f>
        <v>1</v>
      </c>
      <c r="DA662" s="713">
        <f>1-WWWW[[#This Row],[Hygiene Coverage%]]</f>
        <v>0</v>
      </c>
      <c r="DB662" s="710">
        <f>WWWW[[#This Row],['# people reached by regular dedicated hygiene promotion_5]]/WWWW[[#This Row],[Total PoP ]]</f>
        <v>1</v>
      </c>
      <c r="DC662" s="710">
        <f>IF(WWWW[[#This Row],['#_households that received standard amount of soap for this quarter]]/WWWW[[#This Row],[Total HH]]&gt;1,1,WWWW[[#This Row],['#_households that received standard amount of soap for this quarter]]/WWWW[[#This Row],[Total HH]])</f>
        <v>0</v>
      </c>
      <c r="DD662" s="710">
        <f>IF(WWWW[[#This Row],['#_households that received standard amount of sanitary pads for this quarter]]/WWWW[[#This Row],[Total HH]]&gt;1,1,WWWW[[#This Row],['#_households that received standard amount of sanitary pads for this quarter]]/WWWW[[#This Row],[Total HH]])</f>
        <v>0</v>
      </c>
      <c r="DE662" s="712">
        <f>WWWW[[#This Row],['#_Constructed/Existing hand washing stations]]-WWWW[[#This Row],['#_Non-Functional_hand_washing_stations]]</f>
        <v>0</v>
      </c>
      <c r="DF662" s="757">
        <f>IF(WWWW[[#This Row],['# Functional hand washing stations during reporting period]]*20&gt;WWWW[[#This Row],[Total HH]],WWWW[[#This Row],[Total HH]],WWWW[[#This Row],['# Functional hand washing stations during reporting period]]*20)</f>
        <v>0</v>
      </c>
      <c r="DG662" s="708">
        <f>IF(WWWW[[#This Row],[Is sufficient soap available for TLS? (Yes/No)]]="yes",WWWW[[#This Row],['#_Constructed/Existing hand washing stations at TLS]],0)</f>
        <v>0</v>
      </c>
      <c r="DH662" s="759">
        <f>IF(WWWW[[#This Row],['# Functional hand washing stations during reporting period]]*100&gt;WWWW[[#This Row],[Total PoP ]],WWWW[[#This Row],[Total PoP ]],WWWW[[#This Row],['# Functional hand washing stations during reporting period]]*100)</f>
        <v>0</v>
      </c>
      <c r="DI662" s="759" t="str">
        <f>IF(OR(WWWW[[#This Row],['#_students at TLS_CFS]]="",WWWW[[#This Row],['#_students at TLS_CFS]]=0),"No","Yes")</f>
        <v>No</v>
      </c>
      <c r="DJ662" s="711" t="str">
        <f>VLOOKUP(WWWW[[#This Row],[Site Name]],SiteDB6[[Site Name]:[CCCM Management]],6,FALSE)</f>
        <v>Yes</v>
      </c>
      <c r="DK662" s="711" t="str">
        <f>VLOOKUP(WWWW[[#This Row],[Site Name]],SiteDB6[[Site Name]:[CCCM Focal Agency]],7,FALSE)</f>
        <v>KBC-MYT</v>
      </c>
      <c r="DL662" s="711" t="str">
        <f>VLOOKUP(WWWW[[#This Row],[Site Name]],SiteDB6[[Site Name]:[Location Type 1]],9,FALSE)</f>
        <v>Camp</v>
      </c>
      <c r="DM662" s="711" t="str">
        <f>VLOOKUP(WWWW[[#This Row],[Site Name]],SiteDB6[[Site Name]:[Type of Accommodation]],10,FALSE)</f>
        <v>Camp</v>
      </c>
      <c r="DN662" s="711" t="str">
        <f>VLOOKUP(WWWW[[#This Row],[Site Name]],SiteDB6[[Site Name]:[Ethnic or GCA/NGCA]],11,FALSE)</f>
        <v>GCA</v>
      </c>
      <c r="DO662" s="711">
        <f>VLOOKUP(WWWW[[#This Row],[Site Name]],SiteDB6[[Site Name]:[Lat]],12,FALSE)</f>
        <v>25.351724999999998</v>
      </c>
      <c r="DP662" s="711">
        <f>VLOOKUP(WWWW[[#This Row],[Site Name]],SiteDB6[[Site Name]:[Long]],13,FALSE)</f>
        <v>97.438432380952406</v>
      </c>
      <c r="DQ662" s="711" t="str">
        <f>VLOOKUP(WWWW[[#This Row],[Site Name]],SiteDB6[[Site Name]:[Pcode]],3,FALSE)</f>
        <v>MMR001CMP025</v>
      </c>
      <c r="DR662" s="709" t="str">
        <f t="shared" si="24"/>
        <v>Covered</v>
      </c>
      <c r="DS662" s="709"/>
    </row>
    <row r="663" spans="1:123">
      <c r="A663" s="701" t="s">
        <v>2519</v>
      </c>
      <c r="B663" s="701" t="s">
        <v>317</v>
      </c>
      <c r="C663" s="702" t="s">
        <v>317</v>
      </c>
      <c r="D663" s="702"/>
      <c r="E663" s="702" t="s">
        <v>39</v>
      </c>
      <c r="F663" s="702" t="s">
        <v>181</v>
      </c>
      <c r="G663" s="711" t="str">
        <f>VLOOKUP(WWWW[[#This Row],[Site Name]],SiteDB6[[Site Name]:[Location Type]],8,FALSE)</f>
        <v>Camp</v>
      </c>
      <c r="H663" s="702" t="s">
        <v>1088</v>
      </c>
      <c r="I663" s="705">
        <v>10</v>
      </c>
      <c r="J663" s="705">
        <v>56</v>
      </c>
      <c r="K663" s="706"/>
      <c r="L663" s="707"/>
      <c r="M663" s="705"/>
      <c r="N663" s="705"/>
      <c r="O663" s="705"/>
      <c r="P663" s="705"/>
      <c r="Q663" s="708"/>
      <c r="R663" s="705"/>
      <c r="S663" s="705"/>
      <c r="T663" s="807"/>
      <c r="U663" s="705"/>
      <c r="V663" s="705"/>
      <c r="W663" s="705"/>
      <c r="X663" s="705"/>
      <c r="Y663" s="705"/>
      <c r="Z663" s="705"/>
      <c r="AA663" s="705"/>
      <c r="AB663" s="705"/>
      <c r="AC663" s="705"/>
      <c r="AD663" s="705"/>
      <c r="AE663" s="705"/>
      <c r="AF663" s="705"/>
      <c r="AG663" s="705"/>
      <c r="AH663" s="705"/>
      <c r="AI663" s="705"/>
      <c r="AJ663" s="705"/>
      <c r="AK663" s="705"/>
      <c r="AL663" s="705"/>
      <c r="AM663" s="705"/>
      <c r="AN663" s="705"/>
      <c r="AO663" s="709"/>
      <c r="AP663" s="705"/>
      <c r="AQ663" s="705"/>
      <c r="AR663" s="710"/>
      <c r="AS663" s="705"/>
      <c r="AT663" s="705"/>
      <c r="AU663" s="705"/>
      <c r="AV663" s="705"/>
      <c r="AW663" s="705"/>
      <c r="AX663" s="711"/>
      <c r="AY663" s="709"/>
      <c r="AZ663" s="705"/>
      <c r="BA663" s="705"/>
      <c r="BB663" s="705"/>
      <c r="BC663" s="711"/>
      <c r="BD663" s="705"/>
      <c r="BE663" s="705"/>
      <c r="BF663" s="705"/>
      <c r="BG663" s="705"/>
      <c r="BH663" s="705"/>
      <c r="BI663" s="705"/>
      <c r="BJ663" s="705"/>
      <c r="BK663" s="705"/>
      <c r="BL663" s="705"/>
      <c r="BM663" s="711"/>
      <c r="BN663" s="712"/>
      <c r="BO663" s="710"/>
      <c r="BP663" s="711"/>
      <c r="BQ663" s="713" t="str">
        <f>IFERROR(WWWW[[#This Row],['#_Water sources treated]]/WWWW[[#This Row],['#_Water sources tested for contamination]],"no test")</f>
        <v>no test</v>
      </c>
      <c r="BR663" s="710" t="str">
        <f>IFERROR(WWWW[[#This Row],['#_Household received remediation action due to contamination]]/WWWW[[#This Row],['#_Household water samples tested for contamination]],"no test")</f>
        <v>no test</v>
      </c>
      <c r="BS663" s="712" t="str">
        <f>IF(AND(WWWW[[#This Row],[% of water sources treated]]="no test",WWWW[[#This Row],[% Household received corrective actions]]="no test"),"No Test","Tested")</f>
        <v>No Test</v>
      </c>
      <c r="BT663" s="712">
        <f>WWWW[[#This Row],['#_Constructed/existing protected hand dug well]]-WWWW[[#This Row],['#_Non-functional protected hand dug well]]</f>
        <v>0</v>
      </c>
      <c r="BU663" s="712">
        <f>(WWWW[[#This Row],['#_Constructed/Existing tube wells/boreholes/handpumps_WASH_agency]]+WWWW[[#This Row],['#_Non-Cluster partner water tube-wells/boreholes/handpumps]])-WWWW[[#This Row],['#_Non-functional tube wells/boreholes/handpumps]]</f>
        <v>0</v>
      </c>
      <c r="BV663" s="712">
        <f>WWWW[[#This Row],['#_Constructed/Existingwater storage tank with gravity fed reticulation system]]-WWWW[[#This Row],['#_Non-functional storage tank gravity fed reticulation system]]</f>
        <v>0</v>
      </c>
      <c r="BW663" s="712">
        <f>WWWW[[#This Row],['#_Water boating or water trucking]]</f>
        <v>0</v>
      </c>
      <c r="BX663" s="712">
        <f>WWWW[[#This Row],['#_Constructed/Existing water distribution system from river or natural spring]]</f>
        <v>0</v>
      </c>
      <c r="BY66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6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63" s="710">
        <f>IF(WWWW[[#This Row],[Location Type 1]]="Village",WWWW[[#This Row],[Access to safe drinking water for Village]],WWWW[[#This Row],[Access to safe drinking water for Camp]])</f>
        <v>0</v>
      </c>
      <c r="CB663" s="708">
        <f>WWWW[[#This Row],[%Equitable and continuous access to sufficient quantity of safe drinking water]]*WWWW[[#This Row],[Total PoP ]]</f>
        <v>0</v>
      </c>
      <c r="CC663" s="710">
        <f>IF((WWWW[[#This Row],['#_Constructed/Existing protected/fenced ponds]]*250)/WWWW[[#This Row],[Total PoP ]]&gt;1,1,(WWWW[[#This Row],['#_Constructed/Existing protected/fenced ponds]]*250)/WWWW[[#This Row],[Total PoP ]])</f>
        <v>0</v>
      </c>
      <c r="CD663" s="708">
        <f>WWWW[[#This Row],[% Access to unimproved water points]]*WWWW[[#This Row],[Total PoP ]]</f>
        <v>0</v>
      </c>
      <c r="CE66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6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63" s="708">
        <f>WWWW[[#This Row],[HRP1]]/500</f>
        <v>0</v>
      </c>
      <c r="CH663" s="714">
        <f>1-WWWW[[#This Row],[% Equitable and continuous access to sufficient quantity of domestic water]]</f>
        <v>1</v>
      </c>
      <c r="CI663" s="708">
        <f>WWWW[[#This Row],[%equitable and continuous access to sufficient quantity of safe drinking and domestic water''s GAP]]*WWWW[[#This Row],[Total PoP ]]</f>
        <v>56</v>
      </c>
      <c r="CJ663" s="712">
        <f>IF(WWWW[[#This Row],[Total required water points]]-WWWW[[#This Row],['#Water points coverage]]&lt;0,0,WWWW[[#This Row],[Total required water points]]-WWWW[[#This Row],['#Water points coverage]])</f>
        <v>1</v>
      </c>
      <c r="CK663" s="712">
        <f>ROUND(IF(WWWW[[#This Row],[Total PoP ]]&lt;500,1,WWWW[[#This Row],[Total PoP ]]/500),0)</f>
        <v>1</v>
      </c>
      <c r="CL663" s="712">
        <f>(WWWW[[#This Row],['#_Constructed latrines_by_WASHAgencies]]+WWWW[[#This Row],['#_Non Cluster partner latrines]])-WWWW[[#This Row],['#_Non-functional latrines]]</f>
        <v>0</v>
      </c>
      <c r="CM66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6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6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3" s="712">
        <f>IF(WWWW[[#This Row],[Location Type 1]]="Village","NA",IF(WWWW[[#This Row],['#_Constructed/Existing latrines in TLS]]*50&gt;WWWW[[#This Row],['#_students at TLS_CFS]],WWWW[[#This Row],['#_students at TLS_CFS]],(WWWW[[#This Row],['#_Constructed/Existing latrines in TLS]]*50)))</f>
        <v>0</v>
      </c>
      <c r="CQ663" s="712">
        <f>ROUND(IF(WWWW[[#This Row],[Location Type 1]]="camp",WWWW[[#This Row],[Total PoP ]]/20,IF(WWWW[[#This Row],[Location Type 1]]="Temporary Location",WWWW[[#This Row],[Total PoP ]]/50,(WWWW[[#This Row],[Total PoP ]]/6))),0)</f>
        <v>3</v>
      </c>
      <c r="CR663" s="712">
        <f>IF(WWWW[[#This Row],[Total required Latrines]]-(WWWW[[#This Row],['#_Constructed latrines_by_WASHAgencies]]+WWWW[[#This Row],['#_Non Cluster partner latrines]])&lt;0,0,WWWW[[#This Row],[Total required Latrines]]-(WWWW[[#This Row],['#_Constructed latrines_by_WASHAgencies]]+WWWW[[#This Row],['#_Non Cluster partner latrines]]))</f>
        <v>3</v>
      </c>
      <c r="CS663" s="714">
        <f>1-WWWW[[#This Row],[% people access to functioning Latrine]]</f>
        <v>1</v>
      </c>
      <c r="CT663" s="713">
        <f>IF(OR(WWWW[[#This Row],['#_Non-functional latrines]]="",WWWW[[#This Row],['#_Non-functional latrines]]=0),0,WWWW[[#This Row],['#_Non-functional latrines]]/(WWWW[[#This Row],['#_Constructed latrines_by_WASHAgencies]]+WWWW[[#This Row],['#_Non Cluster partner latrines]]))</f>
        <v>0</v>
      </c>
      <c r="CU663" s="708">
        <f>IF(500*(WWWW[[#This Row],['#_male hygiene promoters]]+WWWW[[#This Row],['#_female hygiene promoters]])&gt;WWWW[[#This Row],[Total PoP ]],WWWW[[#This Row],[Total PoP ]],500*(WWWW[[#This Row],['#_male hygiene promoters]]+WWWW[[#This Row],['#_female hygiene promoters]]))</f>
        <v>0</v>
      </c>
      <c r="CV66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6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3" s="712">
        <f>IF(WWWW[[#This Row],['# People with access to soap]]&gt;WWWW[[#This Row],['# People with access to Sanity Pads]],WWWW[[#This Row],['# People with access to soap]],WWWW[[#This Row],['# People with access to Sanity Pads]])</f>
        <v>0</v>
      </c>
      <c r="CY66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63" s="714">
        <f>IF(WWWW[[#This Row],[HRP3]]/WWWW[[#This Row],[Total PoP ]]&gt;100%,100%,WWWW[[#This Row],[HRP3]]/WWWW[[#This Row],[Total PoP ]])</f>
        <v>0</v>
      </c>
      <c r="DA663" s="713">
        <f>1-WWWW[[#This Row],[Hygiene Coverage%]]</f>
        <v>1</v>
      </c>
      <c r="DB663" s="710">
        <f>WWWW[[#This Row],['# people reached by regular dedicated hygiene promotion_5]]/WWWW[[#This Row],[Total PoP ]]</f>
        <v>0</v>
      </c>
      <c r="DC663" s="710">
        <f>IF(WWWW[[#This Row],['#_households that received standard amount of soap for this quarter]]/WWWW[[#This Row],[Total HH]]&gt;1,1,WWWW[[#This Row],['#_households that received standard amount of soap for this quarter]]/WWWW[[#This Row],[Total HH]])</f>
        <v>0</v>
      </c>
      <c r="DD663" s="710">
        <f>IF(WWWW[[#This Row],['#_households that received standard amount of sanitary pads for this quarter]]/WWWW[[#This Row],[Total HH]]&gt;1,1,WWWW[[#This Row],['#_households that received standard amount of sanitary pads for this quarter]]/WWWW[[#This Row],[Total HH]])</f>
        <v>0</v>
      </c>
      <c r="DE663" s="712">
        <f>WWWW[[#This Row],['#_Constructed/Existing hand washing stations]]-WWWW[[#This Row],['#_Non-Functional_hand_washing_stations]]</f>
        <v>0</v>
      </c>
      <c r="DF663" s="757">
        <f>IF(WWWW[[#This Row],['# Functional hand washing stations during reporting period]]*20&gt;WWWW[[#This Row],[Total HH]],WWWW[[#This Row],[Total HH]],WWWW[[#This Row],['# Functional hand washing stations during reporting period]]*20)</f>
        <v>0</v>
      </c>
      <c r="DG663" s="708">
        <f>IF(WWWW[[#This Row],[Is sufficient soap available for TLS? (Yes/No)]]="yes",WWWW[[#This Row],['#_Constructed/Existing hand washing stations at TLS]],0)</f>
        <v>0</v>
      </c>
      <c r="DH663" s="759">
        <f>IF(WWWW[[#This Row],['# Functional hand washing stations during reporting period]]*100&gt;WWWW[[#This Row],[Total PoP ]],WWWW[[#This Row],[Total PoP ]],WWWW[[#This Row],['# Functional hand washing stations during reporting period]]*100)</f>
        <v>0</v>
      </c>
      <c r="DI663" s="759" t="str">
        <f>IF(OR(WWWW[[#This Row],['#_students at TLS_CFS]]="",WWWW[[#This Row],['#_students at TLS_CFS]]=0),"No","Yes")</f>
        <v>No</v>
      </c>
      <c r="DJ663" s="711">
        <f>VLOOKUP(WWWW[[#This Row],[Site Name]],SiteDB6[[Site Name]:[CCCM Management]],6,FALSE)</f>
        <v>0</v>
      </c>
      <c r="DK663" s="711" t="str">
        <f>VLOOKUP(WWWW[[#This Row],[Site Name]],SiteDB6[[Site Name]:[CCCM Focal Agency]],7,FALSE)</f>
        <v>uncovered</v>
      </c>
      <c r="DL663" s="711" t="str">
        <f>VLOOKUP(WWWW[[#This Row],[Site Name]],SiteDB6[[Site Name]:[Location Type 1]],9,FALSE)</f>
        <v>Camp</v>
      </c>
      <c r="DM663" s="711" t="str">
        <f>VLOOKUP(WWWW[[#This Row],[Site Name]],SiteDB6[[Site Name]:[Type of Accommodation]],10,FALSE)</f>
        <v>Host Families</v>
      </c>
      <c r="DN663" s="711" t="str">
        <f>VLOOKUP(WWWW[[#This Row],[Site Name]],SiteDB6[[Site Name]:[Ethnic or GCA/NGCA]],11,FALSE)</f>
        <v>GCA</v>
      </c>
      <c r="DO663" s="711">
        <f>VLOOKUP(WWWW[[#This Row],[Site Name]],SiteDB6[[Site Name]:[Lat]],12,FALSE)</f>
        <v>27.248964999999998</v>
      </c>
      <c r="DP663" s="711">
        <f>VLOOKUP(WWWW[[#This Row],[Site Name]],SiteDB6[[Site Name]:[Long]],13,FALSE)</f>
        <v>97.561105999999995</v>
      </c>
      <c r="DQ663" s="711" t="str">
        <f>VLOOKUP(WWWW[[#This Row],[Site Name]],SiteDB6[[Site Name]:[Pcode]],3,FALSE)</f>
        <v>MMR001CMP227</v>
      </c>
      <c r="DR663" s="709" t="str">
        <f t="shared" si="24"/>
        <v>Notcovered</v>
      </c>
      <c r="DS663" s="709"/>
    </row>
    <row r="664" spans="1:123">
      <c r="A664" s="701" t="s">
        <v>2519</v>
      </c>
      <c r="B664" s="701" t="s">
        <v>149</v>
      </c>
      <c r="C664" s="702" t="s">
        <v>149</v>
      </c>
      <c r="D664" s="702" t="s">
        <v>3264</v>
      </c>
      <c r="E664" s="702" t="s">
        <v>39</v>
      </c>
      <c r="F664" s="702" t="s">
        <v>192</v>
      </c>
      <c r="G664" s="711" t="str">
        <f>VLOOKUP(WWWW[[#This Row],[Site Name]],SiteDB6[[Site Name]:[Location Type]],8,FALSE)</f>
        <v>Camp</v>
      </c>
      <c r="H664" s="702" t="s">
        <v>195</v>
      </c>
      <c r="I664" s="705">
        <v>63</v>
      </c>
      <c r="J664" s="705">
        <v>325</v>
      </c>
      <c r="K664" s="593" t="s">
        <v>3265</v>
      </c>
      <c r="L664" s="58" t="s">
        <v>3267</v>
      </c>
      <c r="M664" s="705"/>
      <c r="N664" s="705"/>
      <c r="O664" s="705"/>
      <c r="P664" s="705">
        <v>30</v>
      </c>
      <c r="Q664" s="708" t="s">
        <v>43</v>
      </c>
      <c r="R664" s="705"/>
      <c r="S664" s="705"/>
      <c r="T664" s="807">
        <v>0</v>
      </c>
      <c r="U664" s="705"/>
      <c r="V664" s="705"/>
      <c r="W664" s="705">
        <v>0</v>
      </c>
      <c r="X664" s="705"/>
      <c r="Y664" s="705"/>
      <c r="Z664" s="705"/>
      <c r="AA664" s="705">
        <v>1</v>
      </c>
      <c r="AB664" s="705">
        <v>1</v>
      </c>
      <c r="AC664" s="705"/>
      <c r="AD664" s="705"/>
      <c r="AE664" s="705"/>
      <c r="AF664" s="705"/>
      <c r="AG664" s="705"/>
      <c r="AH664" s="705">
        <v>0</v>
      </c>
      <c r="AI664" s="705"/>
      <c r="AJ664" s="705"/>
      <c r="AK664" s="705"/>
      <c r="AL664" s="705"/>
      <c r="AM664" s="705"/>
      <c r="AN664" s="705"/>
      <c r="AO664" s="709"/>
      <c r="AP664" s="705">
        <v>65</v>
      </c>
      <c r="AQ664" s="705"/>
      <c r="AR664" s="710"/>
      <c r="AS664" s="705"/>
      <c r="AT664" s="705"/>
      <c r="AU664" s="705"/>
      <c r="AV664" s="705"/>
      <c r="AW664" s="705">
        <v>65</v>
      </c>
      <c r="AX664" s="711" t="s">
        <v>43</v>
      </c>
      <c r="AY664" s="709" t="s">
        <v>145</v>
      </c>
      <c r="AZ664" s="705"/>
      <c r="BA664" s="705"/>
      <c r="BB664" s="705"/>
      <c r="BC664" s="711"/>
      <c r="BD664" s="705"/>
      <c r="BE664" s="705"/>
      <c r="BF664" s="705"/>
      <c r="BG664" s="705">
        <v>0</v>
      </c>
      <c r="BH664" s="705"/>
      <c r="BI664" s="705"/>
      <c r="BJ664" s="705">
        <v>2</v>
      </c>
      <c r="BK664" s="705"/>
      <c r="BL664" s="705"/>
      <c r="BM664" s="711"/>
      <c r="BN664" s="712"/>
      <c r="BO664" s="710"/>
      <c r="BP664" s="711"/>
      <c r="BQ664" s="713" t="str">
        <f>IFERROR(WWWW[[#This Row],['#_Water sources treated]]/WWWW[[#This Row],['#_Water sources tested for contamination]],"no test")</f>
        <v>no test</v>
      </c>
      <c r="BR664" s="710" t="str">
        <f>IFERROR(WWWW[[#This Row],['#_Household received remediation action due to contamination]]/WWWW[[#This Row],['#_Household water samples tested for contamination]],"no test")</f>
        <v>no test</v>
      </c>
      <c r="BS664" s="712" t="str">
        <f>IF(AND(WWWW[[#This Row],[% of water sources treated]]="no test",WWWW[[#This Row],[% Household received corrective actions]]="no test"),"No Test","Tested")</f>
        <v>No Test</v>
      </c>
      <c r="BT664" s="712">
        <f>WWWW[[#This Row],['#_Constructed/existing protected hand dug well]]-WWWW[[#This Row],['#_Non-functional protected hand dug well]]</f>
        <v>0</v>
      </c>
      <c r="BU664" s="712">
        <f>(WWWW[[#This Row],['#_Constructed/Existing tube wells/boreholes/handpumps_WASH_agency]]+WWWW[[#This Row],['#_Non-Cluster partner water tube-wells/boreholes/handpumps]])-WWWW[[#This Row],['#_Non-functional tube wells/boreholes/handpumps]]</f>
        <v>0</v>
      </c>
      <c r="BV664" s="712">
        <f>WWWW[[#This Row],['#_Constructed/Existingwater storage tank with gravity fed reticulation system]]-WWWW[[#This Row],['#_Non-functional storage tank gravity fed reticulation system]]</f>
        <v>0</v>
      </c>
      <c r="BW664" s="712">
        <f>WWWW[[#This Row],['#_Water boating or water trucking]]</f>
        <v>0</v>
      </c>
      <c r="BX664" s="712">
        <f>WWWW[[#This Row],['#_Constructed/Existing water distribution system from river or natural spring]]</f>
        <v>0</v>
      </c>
      <c r="BY66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6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64" s="710">
        <f>IF(WWWW[[#This Row],[Location Type 1]]="Village",WWWW[[#This Row],[Access to safe drinking water for Village]],WWWW[[#This Row],[Access to safe drinking water for Camp]])</f>
        <v>0</v>
      </c>
      <c r="CB664" s="708">
        <f>WWWW[[#This Row],[%Equitable and continuous access to sufficient quantity of safe drinking water]]*WWWW[[#This Row],[Total PoP ]]</f>
        <v>0</v>
      </c>
      <c r="CC664" s="710">
        <f>IF((WWWW[[#This Row],['#_Constructed/Existing protected/fenced ponds]]*250)/WWWW[[#This Row],[Total PoP ]]&gt;1,1,(WWWW[[#This Row],['#_Constructed/Existing protected/fenced ponds]]*250)/WWWW[[#This Row],[Total PoP ]])</f>
        <v>0</v>
      </c>
      <c r="CD664" s="708">
        <f>WWWW[[#This Row],[% Access to unimproved water points]]*WWWW[[#This Row],[Total PoP ]]</f>
        <v>0</v>
      </c>
      <c r="CE66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6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64" s="708">
        <f>WWWW[[#This Row],[HRP1]]/500</f>
        <v>0</v>
      </c>
      <c r="CH664" s="714">
        <f>1-WWWW[[#This Row],[% Equitable and continuous access to sufficient quantity of domestic water]]</f>
        <v>1</v>
      </c>
      <c r="CI664" s="708">
        <f>WWWW[[#This Row],[%equitable and continuous access to sufficient quantity of safe drinking and domestic water''s GAP]]*WWWW[[#This Row],[Total PoP ]]</f>
        <v>325</v>
      </c>
      <c r="CJ664" s="712">
        <f>IF(WWWW[[#This Row],[Total required water points]]-WWWW[[#This Row],['#Water points coverage]]&lt;0,0,WWWW[[#This Row],[Total required water points]]-WWWW[[#This Row],['#Water points coverage]])</f>
        <v>1</v>
      </c>
      <c r="CK664" s="712">
        <f>ROUND(IF(WWWW[[#This Row],[Total PoP ]]&lt;500,1,WWWW[[#This Row],[Total PoP ]]/500),0)</f>
        <v>1</v>
      </c>
      <c r="CL664" s="712">
        <f>(WWWW[[#This Row],['#_Constructed latrines_by_WASHAgencies]]+WWWW[[#This Row],['#_Non Cluster partner latrines]])-WWWW[[#This Row],['#_Non-functional latrines]]</f>
        <v>65</v>
      </c>
      <c r="CM66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325</v>
      </c>
      <c r="CO66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4" s="712">
        <f>IF(WWWW[[#This Row],[Location Type 1]]="Village","NA",IF(WWWW[[#This Row],['#_Constructed/Existing latrines in TLS]]*50&gt;WWWW[[#This Row],['#_students at TLS_CFS]],WWWW[[#This Row],['#_students at TLS_CFS]],(WWWW[[#This Row],['#_Constructed/Existing latrines in TLS]]*50)))</f>
        <v>0</v>
      </c>
      <c r="CQ664" s="712">
        <f>ROUND(IF(WWWW[[#This Row],[Location Type 1]]="camp",WWWW[[#This Row],[Total PoP ]]/20,IF(WWWW[[#This Row],[Location Type 1]]="Temporary Location",WWWW[[#This Row],[Total PoP ]]/50,(WWWW[[#This Row],[Total PoP ]]/6))),0)</f>
        <v>16</v>
      </c>
      <c r="CR664" s="712">
        <f>IF(WWWW[[#This Row],[Total required Latrines]]-(WWWW[[#This Row],['#_Constructed latrines_by_WASHAgencies]]+WWWW[[#This Row],['#_Non Cluster partner latrines]])&lt;0,0,WWWW[[#This Row],[Total required Latrines]]-(WWWW[[#This Row],['#_Constructed latrines_by_WASHAgencies]]+WWWW[[#This Row],['#_Non Cluster partner latrines]]))</f>
        <v>0</v>
      </c>
      <c r="CS664" s="714">
        <f>1-WWWW[[#This Row],[% people access to functioning Latrine]]</f>
        <v>0</v>
      </c>
      <c r="CT664" s="713">
        <f>IF(OR(WWWW[[#This Row],['#_Non-functional latrines]]="",WWWW[[#This Row],['#_Non-functional latrines]]=0),0,WWWW[[#This Row],['#_Non-functional latrines]]/(WWWW[[#This Row],['#_Constructed latrines_by_WASHAgencies]]+WWWW[[#This Row],['#_Non Cluster partner latrines]]))</f>
        <v>0</v>
      </c>
      <c r="CU664" s="708">
        <f>IF(500*(WWWW[[#This Row],['#_male hygiene promoters]]+WWWW[[#This Row],['#_female hygiene promoters]])&gt;WWWW[[#This Row],[Total PoP ]],WWWW[[#This Row],[Total PoP ]],500*(WWWW[[#This Row],['#_male hygiene promoters]]+WWWW[[#This Row],['#_female hygiene promoters]]))</f>
        <v>325</v>
      </c>
      <c r="CV66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6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4" s="712">
        <f>IF(WWWW[[#This Row],['# People with access to soap]]&gt;WWWW[[#This Row],['# People with access to Sanity Pads]],WWWW[[#This Row],['# People with access to soap]],WWWW[[#This Row],['# People with access to Sanity Pads]])</f>
        <v>0</v>
      </c>
      <c r="CY664" s="712">
        <f>IF(WWWW[[#This Row],['# people reached by regular dedicated hygiene promotion_5]]&gt;WWWW[[#This Row],['# People received regular supply of hygiene items_6]],WWWW[[#This Row],['# people reached by regular dedicated hygiene promotion_5]],WWWW[[#This Row],['# People received regular supply of hygiene items_6]])</f>
        <v>325</v>
      </c>
      <c r="CZ664" s="714">
        <f>IF(WWWW[[#This Row],[HRP3]]/WWWW[[#This Row],[Total PoP ]]&gt;100%,100%,WWWW[[#This Row],[HRP3]]/WWWW[[#This Row],[Total PoP ]])</f>
        <v>1</v>
      </c>
      <c r="DA664" s="713">
        <f>1-WWWW[[#This Row],[Hygiene Coverage%]]</f>
        <v>0</v>
      </c>
      <c r="DB664" s="710">
        <f>WWWW[[#This Row],['# people reached by regular dedicated hygiene promotion_5]]/WWWW[[#This Row],[Total PoP ]]</f>
        <v>1</v>
      </c>
      <c r="DC664" s="710">
        <f>IF(WWWW[[#This Row],['#_households that received standard amount of soap for this quarter]]/WWWW[[#This Row],[Total HH]]&gt;1,1,WWWW[[#This Row],['#_households that received standard amount of soap for this quarter]]/WWWW[[#This Row],[Total HH]])</f>
        <v>0</v>
      </c>
      <c r="DD664" s="710">
        <f>IF(WWWW[[#This Row],['#_households that received standard amount of sanitary pads for this quarter]]/WWWW[[#This Row],[Total HH]]&gt;1,1,WWWW[[#This Row],['#_households that received standard amount of sanitary pads for this quarter]]/WWWW[[#This Row],[Total HH]])</f>
        <v>0</v>
      </c>
      <c r="DE664" s="712">
        <f>WWWW[[#This Row],['#_Constructed/Existing hand washing stations]]-WWWW[[#This Row],['#_Non-Functional_hand_washing_stations]]</f>
        <v>0</v>
      </c>
      <c r="DF664" s="757">
        <f>IF(WWWW[[#This Row],['# Functional hand washing stations during reporting period]]*20&gt;WWWW[[#This Row],[Total HH]],WWWW[[#This Row],[Total HH]],WWWW[[#This Row],['# Functional hand washing stations during reporting period]]*20)</f>
        <v>0</v>
      </c>
      <c r="DG664" s="708">
        <f>IF(WWWW[[#This Row],[Is sufficient soap available for TLS? (Yes/No)]]="yes",WWWW[[#This Row],['#_Constructed/Existing hand washing stations at TLS]],0)</f>
        <v>0</v>
      </c>
      <c r="DH664" s="759">
        <f>IF(WWWW[[#This Row],['# Functional hand washing stations during reporting period]]*100&gt;WWWW[[#This Row],[Total PoP ]],WWWW[[#This Row],[Total PoP ]],WWWW[[#This Row],['# Functional hand washing stations during reporting period]]*100)</f>
        <v>0</v>
      </c>
      <c r="DI664" s="759" t="str">
        <f>IF(OR(WWWW[[#This Row],['#_students at TLS_CFS]]="",WWWW[[#This Row],['#_students at TLS_CFS]]=0),"No","Yes")</f>
        <v>No</v>
      </c>
      <c r="DJ664" s="711" t="str">
        <f>VLOOKUP(WWWW[[#This Row],[Site Name]],SiteDB6[[Site Name]:[CCCM Management]],6,FALSE)</f>
        <v>Yes</v>
      </c>
      <c r="DK664" s="711" t="str">
        <f>VLOOKUP(WWWW[[#This Row],[Site Name]],SiteDB6[[Site Name]:[CCCM Focal Agency]],7,FALSE)</f>
        <v>KBC-MYT</v>
      </c>
      <c r="DL664" s="711" t="str">
        <f>VLOOKUP(WWWW[[#This Row],[Site Name]],SiteDB6[[Site Name]:[Location Type 1]],9,FALSE)</f>
        <v>Camp</v>
      </c>
      <c r="DM664" s="711" t="str">
        <f>VLOOKUP(WWWW[[#This Row],[Site Name]],SiteDB6[[Site Name]:[Type of Accommodation]],10,FALSE)</f>
        <v>Camp</v>
      </c>
      <c r="DN664" s="711" t="str">
        <f>VLOOKUP(WWWW[[#This Row],[Site Name]],SiteDB6[[Site Name]:[Ethnic or GCA/NGCA]],11,FALSE)</f>
        <v>NGCA</v>
      </c>
      <c r="DO664" s="711">
        <f>VLOOKUP(WWWW[[#This Row],[Site Name]],SiteDB6[[Site Name]:[Lat]],12,FALSE)</f>
        <v>26.548506</v>
      </c>
      <c r="DP664" s="711">
        <f>VLOOKUP(WWWW[[#This Row],[Site Name]],SiteDB6[[Site Name]:[Long]],13,FALSE)</f>
        <v>97.75609</v>
      </c>
      <c r="DQ664" s="711" t="str">
        <f>VLOOKUP(WWWW[[#This Row],[Site Name]],SiteDB6[[Site Name]:[Pcode]],3,FALSE)</f>
        <v>MMR001CMP239</v>
      </c>
      <c r="DR664" s="709" t="str">
        <f t="shared" si="24"/>
        <v>Covered</v>
      </c>
      <c r="DS664" s="709"/>
    </row>
    <row r="665" spans="1:123">
      <c r="A665" s="701" t="s">
        <v>2519</v>
      </c>
      <c r="B665" s="701" t="s">
        <v>317</v>
      </c>
      <c r="C665" s="702" t="s">
        <v>317</v>
      </c>
      <c r="D665" s="702"/>
      <c r="E665" s="702" t="s">
        <v>39</v>
      </c>
      <c r="F665" s="702" t="s">
        <v>181</v>
      </c>
      <c r="G665" s="711" t="str">
        <f>VLOOKUP(WWWW[[#This Row],[Site Name]],SiteDB6[[Site Name]:[Location Type]],8,FALSE)</f>
        <v>Camp</v>
      </c>
      <c r="H665" s="702" t="s">
        <v>1094</v>
      </c>
      <c r="I665" s="705">
        <v>14</v>
      </c>
      <c r="J665" s="705">
        <v>75</v>
      </c>
      <c r="K665" s="706"/>
      <c r="L665" s="707"/>
      <c r="M665" s="705"/>
      <c r="N665" s="705"/>
      <c r="O665" s="705"/>
      <c r="P665" s="705"/>
      <c r="Q665" s="708"/>
      <c r="R665" s="705"/>
      <c r="S665" s="705"/>
      <c r="T665" s="807"/>
      <c r="U665" s="705"/>
      <c r="V665" s="705"/>
      <c r="W665" s="705"/>
      <c r="X665" s="705"/>
      <c r="Y665" s="705"/>
      <c r="Z665" s="705"/>
      <c r="AA665" s="705"/>
      <c r="AB665" s="705"/>
      <c r="AC665" s="705"/>
      <c r="AD665" s="705"/>
      <c r="AE665" s="705"/>
      <c r="AF665" s="705"/>
      <c r="AG665" s="705"/>
      <c r="AH665" s="705"/>
      <c r="AI665" s="705"/>
      <c r="AJ665" s="705"/>
      <c r="AK665" s="705"/>
      <c r="AL665" s="705"/>
      <c r="AM665" s="705"/>
      <c r="AN665" s="705"/>
      <c r="AO665" s="709"/>
      <c r="AP665" s="705"/>
      <c r="AQ665" s="705"/>
      <c r="AR665" s="710"/>
      <c r="AS665" s="705"/>
      <c r="AT665" s="705"/>
      <c r="AU665" s="705"/>
      <c r="AV665" s="705"/>
      <c r="AW665" s="705"/>
      <c r="AX665" s="711"/>
      <c r="AY665" s="709"/>
      <c r="AZ665" s="705"/>
      <c r="BA665" s="705"/>
      <c r="BB665" s="705"/>
      <c r="BC665" s="711"/>
      <c r="BD665" s="705"/>
      <c r="BE665" s="705"/>
      <c r="BF665" s="705"/>
      <c r="BG665" s="705"/>
      <c r="BH665" s="705"/>
      <c r="BI665" s="705"/>
      <c r="BJ665" s="705"/>
      <c r="BK665" s="705"/>
      <c r="BL665" s="705"/>
      <c r="BM665" s="711"/>
      <c r="BN665" s="712"/>
      <c r="BO665" s="710"/>
      <c r="BP665" s="711"/>
      <c r="BQ665" s="713" t="str">
        <f>IFERROR(WWWW[[#This Row],['#_Water sources treated]]/WWWW[[#This Row],['#_Water sources tested for contamination]],"no test")</f>
        <v>no test</v>
      </c>
      <c r="BR665" s="710" t="str">
        <f>IFERROR(WWWW[[#This Row],['#_Household received remediation action due to contamination]]/WWWW[[#This Row],['#_Household water samples tested for contamination]],"no test")</f>
        <v>no test</v>
      </c>
      <c r="BS665" s="712" t="str">
        <f>IF(AND(WWWW[[#This Row],[% of water sources treated]]="no test",WWWW[[#This Row],[% Household received corrective actions]]="no test"),"No Test","Tested")</f>
        <v>No Test</v>
      </c>
      <c r="BT665" s="712">
        <f>WWWW[[#This Row],['#_Constructed/existing protected hand dug well]]-WWWW[[#This Row],['#_Non-functional protected hand dug well]]</f>
        <v>0</v>
      </c>
      <c r="BU665" s="712">
        <f>(WWWW[[#This Row],['#_Constructed/Existing tube wells/boreholes/handpumps_WASH_agency]]+WWWW[[#This Row],['#_Non-Cluster partner water tube-wells/boreholes/handpumps]])-WWWW[[#This Row],['#_Non-functional tube wells/boreholes/handpumps]]</f>
        <v>0</v>
      </c>
      <c r="BV665" s="712">
        <f>WWWW[[#This Row],['#_Constructed/Existingwater storage tank with gravity fed reticulation system]]-WWWW[[#This Row],['#_Non-functional storage tank gravity fed reticulation system]]</f>
        <v>0</v>
      </c>
      <c r="BW665" s="712">
        <f>WWWW[[#This Row],['#_Water boating or water trucking]]</f>
        <v>0</v>
      </c>
      <c r="BX665" s="712">
        <f>WWWW[[#This Row],['#_Constructed/Existing water distribution system from river or natural spring]]</f>
        <v>0</v>
      </c>
      <c r="BY66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6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65" s="710">
        <f>IF(WWWW[[#This Row],[Location Type 1]]="Village",WWWW[[#This Row],[Access to safe drinking water for Village]],WWWW[[#This Row],[Access to safe drinking water for Camp]])</f>
        <v>0</v>
      </c>
      <c r="CB665" s="708">
        <f>WWWW[[#This Row],[%Equitable and continuous access to sufficient quantity of safe drinking water]]*WWWW[[#This Row],[Total PoP ]]</f>
        <v>0</v>
      </c>
      <c r="CC665" s="710">
        <f>IF((WWWW[[#This Row],['#_Constructed/Existing protected/fenced ponds]]*250)/WWWW[[#This Row],[Total PoP ]]&gt;1,1,(WWWW[[#This Row],['#_Constructed/Existing protected/fenced ponds]]*250)/WWWW[[#This Row],[Total PoP ]])</f>
        <v>0</v>
      </c>
      <c r="CD665" s="708">
        <f>WWWW[[#This Row],[% Access to unimproved water points]]*WWWW[[#This Row],[Total PoP ]]</f>
        <v>0</v>
      </c>
      <c r="CE66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6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65" s="708">
        <f>WWWW[[#This Row],[HRP1]]/500</f>
        <v>0</v>
      </c>
      <c r="CH665" s="714">
        <f>1-WWWW[[#This Row],[% Equitable and continuous access to sufficient quantity of domestic water]]</f>
        <v>1</v>
      </c>
      <c r="CI665" s="708">
        <f>WWWW[[#This Row],[%equitable and continuous access to sufficient quantity of safe drinking and domestic water''s GAP]]*WWWW[[#This Row],[Total PoP ]]</f>
        <v>75</v>
      </c>
      <c r="CJ665" s="712">
        <f>IF(WWWW[[#This Row],[Total required water points]]-WWWW[[#This Row],['#Water points coverage]]&lt;0,0,WWWW[[#This Row],[Total required water points]]-WWWW[[#This Row],['#Water points coverage]])</f>
        <v>1</v>
      </c>
      <c r="CK665" s="712">
        <f>ROUND(IF(WWWW[[#This Row],[Total PoP ]]&lt;500,1,WWWW[[#This Row],[Total PoP ]]/500),0)</f>
        <v>1</v>
      </c>
      <c r="CL665" s="712">
        <f>(WWWW[[#This Row],['#_Constructed latrines_by_WASHAgencies]]+WWWW[[#This Row],['#_Non Cluster partner latrines]])-WWWW[[#This Row],['#_Non-functional latrines]]</f>
        <v>0</v>
      </c>
      <c r="CM66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6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6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5" s="712">
        <f>IF(WWWW[[#This Row],[Location Type 1]]="Village","NA",IF(WWWW[[#This Row],['#_Constructed/Existing latrines in TLS]]*50&gt;WWWW[[#This Row],['#_students at TLS_CFS]],WWWW[[#This Row],['#_students at TLS_CFS]],(WWWW[[#This Row],['#_Constructed/Existing latrines in TLS]]*50)))</f>
        <v>0</v>
      </c>
      <c r="CQ665" s="712">
        <f>ROUND(IF(WWWW[[#This Row],[Location Type 1]]="camp",WWWW[[#This Row],[Total PoP ]]/20,IF(WWWW[[#This Row],[Location Type 1]]="Temporary Location",WWWW[[#This Row],[Total PoP ]]/50,(WWWW[[#This Row],[Total PoP ]]/6))),0)</f>
        <v>4</v>
      </c>
      <c r="CR665" s="712">
        <f>IF(WWWW[[#This Row],[Total required Latrines]]-(WWWW[[#This Row],['#_Constructed latrines_by_WASHAgencies]]+WWWW[[#This Row],['#_Non Cluster partner latrines]])&lt;0,0,WWWW[[#This Row],[Total required Latrines]]-(WWWW[[#This Row],['#_Constructed latrines_by_WASHAgencies]]+WWWW[[#This Row],['#_Non Cluster partner latrines]]))</f>
        <v>4</v>
      </c>
      <c r="CS665" s="714">
        <f>1-WWWW[[#This Row],[% people access to functioning Latrine]]</f>
        <v>1</v>
      </c>
      <c r="CT665" s="713">
        <f>IF(OR(WWWW[[#This Row],['#_Non-functional latrines]]="",WWWW[[#This Row],['#_Non-functional latrines]]=0),0,WWWW[[#This Row],['#_Non-functional latrines]]/(WWWW[[#This Row],['#_Constructed latrines_by_WASHAgencies]]+WWWW[[#This Row],['#_Non Cluster partner latrines]]))</f>
        <v>0</v>
      </c>
      <c r="CU665" s="708">
        <f>IF(500*(WWWW[[#This Row],['#_male hygiene promoters]]+WWWW[[#This Row],['#_female hygiene promoters]])&gt;WWWW[[#This Row],[Total PoP ]],WWWW[[#This Row],[Total PoP ]],500*(WWWW[[#This Row],['#_male hygiene promoters]]+WWWW[[#This Row],['#_female hygiene promoters]]))</f>
        <v>0</v>
      </c>
      <c r="CV66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6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5" s="712">
        <f>IF(WWWW[[#This Row],['# People with access to soap]]&gt;WWWW[[#This Row],['# People with access to Sanity Pads]],WWWW[[#This Row],['# People with access to soap]],WWWW[[#This Row],['# People with access to Sanity Pads]])</f>
        <v>0</v>
      </c>
      <c r="CY66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65" s="714">
        <f>IF(WWWW[[#This Row],[HRP3]]/WWWW[[#This Row],[Total PoP ]]&gt;100%,100%,WWWW[[#This Row],[HRP3]]/WWWW[[#This Row],[Total PoP ]])</f>
        <v>0</v>
      </c>
      <c r="DA665" s="713">
        <f>1-WWWW[[#This Row],[Hygiene Coverage%]]</f>
        <v>1</v>
      </c>
      <c r="DB665" s="710">
        <f>WWWW[[#This Row],['# people reached by regular dedicated hygiene promotion_5]]/WWWW[[#This Row],[Total PoP ]]</f>
        <v>0</v>
      </c>
      <c r="DC665" s="710">
        <f>IF(WWWW[[#This Row],['#_households that received standard amount of soap for this quarter]]/WWWW[[#This Row],[Total HH]]&gt;1,1,WWWW[[#This Row],['#_households that received standard amount of soap for this quarter]]/WWWW[[#This Row],[Total HH]])</f>
        <v>0</v>
      </c>
      <c r="DD665" s="710">
        <f>IF(WWWW[[#This Row],['#_households that received standard amount of sanitary pads for this quarter]]/WWWW[[#This Row],[Total HH]]&gt;1,1,WWWW[[#This Row],['#_households that received standard amount of sanitary pads for this quarter]]/WWWW[[#This Row],[Total HH]])</f>
        <v>0</v>
      </c>
      <c r="DE665" s="712">
        <f>WWWW[[#This Row],['#_Constructed/Existing hand washing stations]]-WWWW[[#This Row],['#_Non-Functional_hand_washing_stations]]</f>
        <v>0</v>
      </c>
      <c r="DF665" s="757">
        <f>IF(WWWW[[#This Row],['# Functional hand washing stations during reporting period]]*20&gt;WWWW[[#This Row],[Total HH]],WWWW[[#This Row],[Total HH]],WWWW[[#This Row],['# Functional hand washing stations during reporting period]]*20)</f>
        <v>0</v>
      </c>
      <c r="DG665" s="708">
        <f>IF(WWWW[[#This Row],[Is sufficient soap available for TLS? (Yes/No)]]="yes",WWWW[[#This Row],['#_Constructed/Existing hand washing stations at TLS]],0)</f>
        <v>0</v>
      </c>
      <c r="DH665" s="759">
        <f>IF(WWWW[[#This Row],['# Functional hand washing stations during reporting period]]*100&gt;WWWW[[#This Row],[Total PoP ]],WWWW[[#This Row],[Total PoP ]],WWWW[[#This Row],['# Functional hand washing stations during reporting period]]*100)</f>
        <v>0</v>
      </c>
      <c r="DI665" s="759" t="str">
        <f>IF(OR(WWWW[[#This Row],['#_students at TLS_CFS]]="",WWWW[[#This Row],['#_students at TLS_CFS]]=0),"No","Yes")</f>
        <v>No</v>
      </c>
      <c r="DJ665" s="711">
        <f>VLOOKUP(WWWW[[#This Row],[Site Name]],SiteDB6[[Site Name]:[CCCM Management]],6,FALSE)</f>
        <v>0</v>
      </c>
      <c r="DK665" s="711" t="str">
        <f>VLOOKUP(WWWW[[#This Row],[Site Name]],SiteDB6[[Site Name]:[CCCM Focal Agency]],7,FALSE)</f>
        <v>uncovered</v>
      </c>
      <c r="DL665" s="711" t="str">
        <f>VLOOKUP(WWWW[[#This Row],[Site Name]],SiteDB6[[Site Name]:[Location Type 1]],9,FALSE)</f>
        <v>Camp</v>
      </c>
      <c r="DM665" s="711" t="str">
        <f>VLOOKUP(WWWW[[#This Row],[Site Name]],SiteDB6[[Site Name]:[Type of Accommodation]],10,FALSE)</f>
        <v>Host Families</v>
      </c>
      <c r="DN665" s="711" t="str">
        <f>VLOOKUP(WWWW[[#This Row],[Site Name]],SiteDB6[[Site Name]:[Ethnic or GCA/NGCA]],11,FALSE)</f>
        <v>GCA</v>
      </c>
      <c r="DO665" s="711">
        <f>VLOOKUP(WWWW[[#This Row],[Site Name]],SiteDB6[[Site Name]:[Lat]],12,FALSE)</f>
        <v>27.311699999999998</v>
      </c>
      <c r="DP665" s="711">
        <f>VLOOKUP(WWWW[[#This Row],[Site Name]],SiteDB6[[Site Name]:[Long]],13,FALSE)</f>
        <v>97.415289999999999</v>
      </c>
      <c r="DQ665" s="711" t="str">
        <f>VLOOKUP(WWWW[[#This Row],[Site Name]],SiteDB6[[Site Name]:[Pcode]],3,FALSE)</f>
        <v>MMR001CMP075</v>
      </c>
      <c r="DR665" s="709" t="str">
        <f t="shared" si="24"/>
        <v>Notcovered</v>
      </c>
      <c r="DS665" s="709"/>
    </row>
    <row r="666" spans="1:123">
      <c r="A666" s="701" t="s">
        <v>2519</v>
      </c>
      <c r="B666" s="701" t="s">
        <v>149</v>
      </c>
      <c r="C666" s="702" t="s">
        <v>149</v>
      </c>
      <c r="D666" s="702" t="s">
        <v>3264</v>
      </c>
      <c r="E666" s="702" t="s">
        <v>39</v>
      </c>
      <c r="F666" s="702" t="s">
        <v>160</v>
      </c>
      <c r="G666" s="711" t="str">
        <f>VLOOKUP(WWWW[[#This Row],[Site Name]],SiteDB6[[Site Name]:[Location Type]],8,FALSE)</f>
        <v>Camp</v>
      </c>
      <c r="H666" s="702" t="s">
        <v>164</v>
      </c>
      <c r="I666" s="705">
        <v>28</v>
      </c>
      <c r="J666" s="705">
        <v>136</v>
      </c>
      <c r="K666" s="593" t="s">
        <v>3265</v>
      </c>
      <c r="L666" s="58" t="s">
        <v>3267</v>
      </c>
      <c r="M666" s="705"/>
      <c r="N666" s="705"/>
      <c r="O666" s="705"/>
      <c r="P666" s="705"/>
      <c r="Q666" s="708" t="s">
        <v>43</v>
      </c>
      <c r="R666" s="705"/>
      <c r="S666" s="705"/>
      <c r="T666" s="807">
        <v>1</v>
      </c>
      <c r="U666" s="705"/>
      <c r="V666" s="705"/>
      <c r="W666" s="705">
        <v>1</v>
      </c>
      <c r="X666" s="705"/>
      <c r="Y666" s="705"/>
      <c r="Z666" s="705"/>
      <c r="AA666" s="705"/>
      <c r="AB666" s="705"/>
      <c r="AC666" s="705"/>
      <c r="AD666" s="705"/>
      <c r="AE666" s="705"/>
      <c r="AF666" s="705"/>
      <c r="AG666" s="705"/>
      <c r="AH666" s="705">
        <v>3</v>
      </c>
      <c r="AI666" s="705"/>
      <c r="AJ666" s="705"/>
      <c r="AK666" s="705"/>
      <c r="AL666" s="705"/>
      <c r="AM666" s="705"/>
      <c r="AN666" s="705"/>
      <c r="AO666" s="709"/>
      <c r="AP666" s="705">
        <v>12</v>
      </c>
      <c r="AQ666" s="705"/>
      <c r="AR666" s="710"/>
      <c r="AS666" s="705"/>
      <c r="AT666" s="705"/>
      <c r="AU666" s="705"/>
      <c r="AV666" s="705"/>
      <c r="AW666" s="705">
        <v>12</v>
      </c>
      <c r="AX666" s="711" t="s">
        <v>43</v>
      </c>
      <c r="AY666" s="709" t="s">
        <v>1200</v>
      </c>
      <c r="AZ666" s="705"/>
      <c r="BA666" s="705"/>
      <c r="BB666" s="705"/>
      <c r="BC666" s="711"/>
      <c r="BD666" s="705"/>
      <c r="BE666" s="705"/>
      <c r="BF666" s="705"/>
      <c r="BG666" s="705">
        <v>2</v>
      </c>
      <c r="BH666" s="705"/>
      <c r="BI666" s="705"/>
      <c r="BJ666" s="705">
        <v>1</v>
      </c>
      <c r="BK666" s="705"/>
      <c r="BL666" s="705"/>
      <c r="BM666" s="711"/>
      <c r="BN666" s="712"/>
      <c r="BO666" s="710"/>
      <c r="BP666" s="711"/>
      <c r="BQ666" s="713" t="str">
        <f>IFERROR(WWWW[[#This Row],['#_Water sources treated]]/WWWW[[#This Row],['#_Water sources tested for contamination]],"no test")</f>
        <v>no test</v>
      </c>
      <c r="BR666" s="710" t="str">
        <f>IFERROR(WWWW[[#This Row],['#_Household received remediation action due to contamination]]/WWWW[[#This Row],['#_Household water samples tested for contamination]],"no test")</f>
        <v>no test</v>
      </c>
      <c r="BS666" s="712" t="str">
        <f>IF(AND(WWWW[[#This Row],[% of water sources treated]]="no test",WWWW[[#This Row],[% Household received corrective actions]]="no test"),"No Test","Tested")</f>
        <v>No Test</v>
      </c>
      <c r="BT666" s="712">
        <f>WWWW[[#This Row],['#_Constructed/existing protected hand dug well]]-WWWW[[#This Row],['#_Non-functional protected hand dug well]]</f>
        <v>1</v>
      </c>
      <c r="BU666" s="712">
        <f>(WWWW[[#This Row],['#_Constructed/Existing tube wells/boreholes/handpumps_WASH_agency]]+WWWW[[#This Row],['#_Non-Cluster partner water tube-wells/boreholes/handpumps]])-WWWW[[#This Row],['#_Non-functional tube wells/boreholes/handpumps]]</f>
        <v>1</v>
      </c>
      <c r="BV666" s="712">
        <f>WWWW[[#This Row],['#_Constructed/Existingwater storage tank with gravity fed reticulation system]]-WWWW[[#This Row],['#_Non-functional storage tank gravity fed reticulation system]]</f>
        <v>0</v>
      </c>
      <c r="BW666" s="712">
        <f>WWWW[[#This Row],['#_Water boating or water trucking]]</f>
        <v>0</v>
      </c>
      <c r="BX666" s="712">
        <f>WWWW[[#This Row],['#_Constructed/Existing water distribution system from river or natural spring]]</f>
        <v>0</v>
      </c>
      <c r="BY66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6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66" s="710">
        <f>IF(WWWW[[#This Row],[Location Type 1]]="Village",WWWW[[#This Row],[Access to safe drinking water for Village]],WWWW[[#This Row],[Access to safe drinking water for Camp]])</f>
        <v>1</v>
      </c>
      <c r="CB666" s="708">
        <f>WWWW[[#This Row],[%Equitable and continuous access to sufficient quantity of safe drinking water]]*WWWW[[#This Row],[Total PoP ]]</f>
        <v>136</v>
      </c>
      <c r="CC666" s="710">
        <f>IF((WWWW[[#This Row],['#_Constructed/Existing protected/fenced ponds]]*250)/WWWW[[#This Row],[Total PoP ]]&gt;1,1,(WWWW[[#This Row],['#_Constructed/Existing protected/fenced ponds]]*250)/WWWW[[#This Row],[Total PoP ]])</f>
        <v>0</v>
      </c>
      <c r="CD666" s="708">
        <f>WWWW[[#This Row],[% Access to unimproved water points]]*WWWW[[#This Row],[Total PoP ]]</f>
        <v>0</v>
      </c>
      <c r="CE66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6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G666" s="708">
        <f>WWWW[[#This Row],[HRP1]]/500</f>
        <v>0.27200000000000002</v>
      </c>
      <c r="CH666" s="714">
        <f>1-WWWW[[#This Row],[% Equitable and continuous access to sufficient quantity of domestic water]]</f>
        <v>0</v>
      </c>
      <c r="CI666" s="708">
        <f>WWWW[[#This Row],[%equitable and continuous access to sufficient quantity of safe drinking and domestic water''s GAP]]*WWWW[[#This Row],[Total PoP ]]</f>
        <v>0</v>
      </c>
      <c r="CJ666" s="712">
        <f>IF(WWWW[[#This Row],[Total required water points]]-WWWW[[#This Row],['#Water points coverage]]&lt;0,0,WWWW[[#This Row],[Total required water points]]-WWWW[[#This Row],['#Water points coverage]])</f>
        <v>0.72799999999999998</v>
      </c>
      <c r="CK666" s="712">
        <f>ROUND(IF(WWWW[[#This Row],[Total PoP ]]&lt;500,1,WWWW[[#This Row],[Total PoP ]]/500),0)</f>
        <v>1</v>
      </c>
      <c r="CL666" s="712">
        <f>(WWWW[[#This Row],['#_Constructed latrines_by_WASHAgencies]]+WWWW[[#This Row],['#_Non Cluster partner latrines]])-WWWW[[#This Row],['#_Non-functional latrines]]</f>
        <v>12</v>
      </c>
      <c r="CM66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136</v>
      </c>
      <c r="CO66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6" s="712">
        <f>IF(WWWW[[#This Row],[Location Type 1]]="Village","NA",IF(WWWW[[#This Row],['#_Constructed/Existing latrines in TLS]]*50&gt;WWWW[[#This Row],['#_students at TLS_CFS]],WWWW[[#This Row],['#_students at TLS_CFS]],(WWWW[[#This Row],['#_Constructed/Existing latrines in TLS]]*50)))</f>
        <v>0</v>
      </c>
      <c r="CQ666" s="712">
        <f>ROUND(IF(WWWW[[#This Row],[Location Type 1]]="camp",WWWW[[#This Row],[Total PoP ]]/20,IF(WWWW[[#This Row],[Location Type 1]]="Temporary Location",WWWW[[#This Row],[Total PoP ]]/50,(WWWW[[#This Row],[Total PoP ]]/6))),0)</f>
        <v>7</v>
      </c>
      <c r="CR666" s="712">
        <f>IF(WWWW[[#This Row],[Total required Latrines]]-(WWWW[[#This Row],['#_Constructed latrines_by_WASHAgencies]]+WWWW[[#This Row],['#_Non Cluster partner latrines]])&lt;0,0,WWWW[[#This Row],[Total required Latrines]]-(WWWW[[#This Row],['#_Constructed latrines_by_WASHAgencies]]+WWWW[[#This Row],['#_Non Cluster partner latrines]]))</f>
        <v>0</v>
      </c>
      <c r="CS666" s="714">
        <f>1-WWWW[[#This Row],[% people access to functioning Latrine]]</f>
        <v>0</v>
      </c>
      <c r="CT666" s="713">
        <f>IF(OR(WWWW[[#This Row],['#_Non-functional latrines]]="",WWWW[[#This Row],['#_Non-functional latrines]]=0),0,WWWW[[#This Row],['#_Non-functional latrines]]/(WWWW[[#This Row],['#_Constructed latrines_by_WASHAgencies]]+WWWW[[#This Row],['#_Non Cluster partner latrines]]))</f>
        <v>0</v>
      </c>
      <c r="CU666" s="708">
        <f>IF(500*(WWWW[[#This Row],['#_male hygiene promoters]]+WWWW[[#This Row],['#_female hygiene promoters]])&gt;WWWW[[#This Row],[Total PoP ]],WWWW[[#This Row],[Total PoP ]],500*(WWWW[[#This Row],['#_male hygiene promoters]]+WWWW[[#This Row],['#_female hygiene promoters]]))</f>
        <v>136</v>
      </c>
      <c r="CV66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6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6" s="712">
        <f>IF(WWWW[[#This Row],['# People with access to soap]]&gt;WWWW[[#This Row],['# People with access to Sanity Pads]],WWWW[[#This Row],['# People with access to soap]],WWWW[[#This Row],['# People with access to Sanity Pads]])</f>
        <v>0</v>
      </c>
      <c r="CY666" s="712">
        <f>IF(WWWW[[#This Row],['# people reached by regular dedicated hygiene promotion_5]]&gt;WWWW[[#This Row],['# People received regular supply of hygiene items_6]],WWWW[[#This Row],['# people reached by regular dedicated hygiene promotion_5]],WWWW[[#This Row],['# People received regular supply of hygiene items_6]])</f>
        <v>136</v>
      </c>
      <c r="CZ666" s="714">
        <f>IF(WWWW[[#This Row],[HRP3]]/WWWW[[#This Row],[Total PoP ]]&gt;100%,100%,WWWW[[#This Row],[HRP3]]/WWWW[[#This Row],[Total PoP ]])</f>
        <v>1</v>
      </c>
      <c r="DA666" s="713">
        <f>1-WWWW[[#This Row],[Hygiene Coverage%]]</f>
        <v>0</v>
      </c>
      <c r="DB666" s="710">
        <f>WWWW[[#This Row],['# people reached by regular dedicated hygiene promotion_5]]/WWWW[[#This Row],[Total PoP ]]</f>
        <v>1</v>
      </c>
      <c r="DC666" s="710">
        <f>IF(WWWW[[#This Row],['#_households that received standard amount of soap for this quarter]]/WWWW[[#This Row],[Total HH]]&gt;1,1,WWWW[[#This Row],['#_households that received standard amount of soap for this quarter]]/WWWW[[#This Row],[Total HH]])</f>
        <v>0</v>
      </c>
      <c r="DD666" s="710">
        <f>IF(WWWW[[#This Row],['#_households that received standard amount of sanitary pads for this quarter]]/WWWW[[#This Row],[Total HH]]&gt;1,1,WWWW[[#This Row],['#_households that received standard amount of sanitary pads for this quarter]]/WWWW[[#This Row],[Total HH]])</f>
        <v>0</v>
      </c>
      <c r="DE666" s="712">
        <f>WWWW[[#This Row],['#_Constructed/Existing hand washing stations]]-WWWW[[#This Row],['#_Non-Functional_hand_washing_stations]]</f>
        <v>0</v>
      </c>
      <c r="DF666" s="757">
        <f>IF(WWWW[[#This Row],['# Functional hand washing stations during reporting period]]*20&gt;WWWW[[#This Row],[Total HH]],WWWW[[#This Row],[Total HH]],WWWW[[#This Row],['# Functional hand washing stations during reporting period]]*20)</f>
        <v>0</v>
      </c>
      <c r="DG666" s="708">
        <f>IF(WWWW[[#This Row],[Is sufficient soap available for TLS? (Yes/No)]]="yes",WWWW[[#This Row],['#_Constructed/Existing hand washing stations at TLS]],0)</f>
        <v>0</v>
      </c>
      <c r="DH666" s="759">
        <f>IF(WWWW[[#This Row],['# Functional hand washing stations during reporting period]]*100&gt;WWWW[[#This Row],[Total PoP ]],WWWW[[#This Row],[Total PoP ]],WWWW[[#This Row],['# Functional hand washing stations during reporting period]]*100)</f>
        <v>0</v>
      </c>
      <c r="DI666" s="759" t="str">
        <f>IF(OR(WWWW[[#This Row],['#_students at TLS_CFS]]="",WWWW[[#This Row],['#_students at TLS_CFS]]=0),"No","Yes")</f>
        <v>No</v>
      </c>
      <c r="DJ666" s="711" t="str">
        <f>VLOOKUP(WWWW[[#This Row],[Site Name]],SiteDB6[[Site Name]:[CCCM Management]],6,FALSE)</f>
        <v>Yes</v>
      </c>
      <c r="DK666" s="711" t="str">
        <f>VLOOKUP(WWWW[[#This Row],[Site Name]],SiteDB6[[Site Name]:[CCCM Focal Agency]],7,FALSE)</f>
        <v>KBC</v>
      </c>
      <c r="DL666" s="711" t="str">
        <f>VLOOKUP(WWWW[[#This Row],[Site Name]],SiteDB6[[Site Name]:[Location Type 1]],9,FALSE)</f>
        <v>Camp</v>
      </c>
      <c r="DM666" s="711" t="str">
        <f>VLOOKUP(WWWW[[#This Row],[Site Name]],SiteDB6[[Site Name]:[Type of Accommodation]],10,FALSE)</f>
        <v>Camp</v>
      </c>
      <c r="DN666" s="711" t="str">
        <f>VLOOKUP(WWWW[[#This Row],[Site Name]],SiteDB6[[Site Name]:[Ethnic or GCA/NGCA]],11,FALSE)</f>
        <v>GCA</v>
      </c>
      <c r="DO666" s="711">
        <f>VLOOKUP(WWWW[[#This Row],[Site Name]],SiteDB6[[Site Name]:[Lat]],12,FALSE)</f>
        <v>25.225000000000001</v>
      </c>
      <c r="DP666" s="711">
        <f>VLOOKUP(WWWW[[#This Row],[Site Name]],SiteDB6[[Site Name]:[Long]],13,FALSE)</f>
        <v>96.793999999999997</v>
      </c>
      <c r="DQ666" s="711" t="str">
        <f>VLOOKUP(WWWW[[#This Row],[Site Name]],SiteDB6[[Site Name]:[Pcode]],3,FALSE)</f>
        <v>MMR001CMP236</v>
      </c>
      <c r="DR666" s="709" t="str">
        <f t="shared" si="24"/>
        <v>Covered</v>
      </c>
      <c r="DS666" s="709"/>
    </row>
    <row r="667" spans="1:123">
      <c r="A667" s="701" t="s">
        <v>2519</v>
      </c>
      <c r="B667" s="701" t="s">
        <v>149</v>
      </c>
      <c r="C667" s="702" t="s">
        <v>149</v>
      </c>
      <c r="D667" s="702" t="s">
        <v>3264</v>
      </c>
      <c r="E667" s="702" t="s">
        <v>39</v>
      </c>
      <c r="F667" s="702" t="s">
        <v>150</v>
      </c>
      <c r="G667" s="711" t="str">
        <f>VLOOKUP(WWWW[[#This Row],[Site Name]],SiteDB6[[Site Name]:[Location Type]],8,FALSE)</f>
        <v>Camp</v>
      </c>
      <c r="H667" s="702" t="s">
        <v>151</v>
      </c>
      <c r="I667" s="705">
        <v>391</v>
      </c>
      <c r="J667" s="705">
        <v>1775</v>
      </c>
      <c r="K667" s="593" t="s">
        <v>3265</v>
      </c>
      <c r="L667" s="58" t="s">
        <v>3267</v>
      </c>
      <c r="M667" s="705"/>
      <c r="N667" s="705"/>
      <c r="O667" s="705"/>
      <c r="P667" s="705"/>
      <c r="Q667" s="708" t="s">
        <v>43</v>
      </c>
      <c r="R667" s="705"/>
      <c r="S667" s="705"/>
      <c r="T667" s="807">
        <v>0</v>
      </c>
      <c r="U667" s="705"/>
      <c r="V667" s="705"/>
      <c r="W667" s="705">
        <v>0</v>
      </c>
      <c r="X667" s="705"/>
      <c r="Y667" s="705"/>
      <c r="Z667" s="705"/>
      <c r="AA667" s="705">
        <v>4</v>
      </c>
      <c r="AB667" s="705"/>
      <c r="AC667" s="705"/>
      <c r="AD667" s="705"/>
      <c r="AE667" s="705"/>
      <c r="AF667" s="705"/>
      <c r="AG667" s="705"/>
      <c r="AH667" s="705">
        <v>0</v>
      </c>
      <c r="AI667" s="705"/>
      <c r="AJ667" s="705"/>
      <c r="AK667" s="705"/>
      <c r="AL667" s="705"/>
      <c r="AM667" s="705"/>
      <c r="AN667" s="705"/>
      <c r="AO667" s="709"/>
      <c r="AP667" s="705">
        <v>391</v>
      </c>
      <c r="AQ667" s="705"/>
      <c r="AR667" s="710"/>
      <c r="AS667" s="705"/>
      <c r="AT667" s="705"/>
      <c r="AU667" s="705"/>
      <c r="AV667" s="705"/>
      <c r="AW667" s="705">
        <v>413</v>
      </c>
      <c r="AX667" s="711" t="s">
        <v>43</v>
      </c>
      <c r="AY667" s="709" t="s">
        <v>145</v>
      </c>
      <c r="AZ667" s="705"/>
      <c r="BA667" s="705"/>
      <c r="BB667" s="705"/>
      <c r="BC667" s="711"/>
      <c r="BD667" s="705"/>
      <c r="BE667" s="705"/>
      <c r="BF667" s="705"/>
      <c r="BG667" s="705">
        <v>9</v>
      </c>
      <c r="BH667" s="705"/>
      <c r="BI667" s="705"/>
      <c r="BJ667" s="705">
        <v>5</v>
      </c>
      <c r="BK667" s="705"/>
      <c r="BL667" s="705"/>
      <c r="BM667" s="711"/>
      <c r="BN667" s="712"/>
      <c r="BO667" s="710"/>
      <c r="BP667" s="711"/>
      <c r="BQ667" s="713" t="str">
        <f>IFERROR(WWWW[[#This Row],['#_Water sources treated]]/WWWW[[#This Row],['#_Water sources tested for contamination]],"no test")</f>
        <v>no test</v>
      </c>
      <c r="BR667" s="710" t="str">
        <f>IFERROR(WWWW[[#This Row],['#_Household received remediation action due to contamination]]/WWWW[[#This Row],['#_Household water samples tested for contamination]],"no test")</f>
        <v>no test</v>
      </c>
      <c r="BS667" s="712" t="str">
        <f>IF(AND(WWWW[[#This Row],[% of water sources treated]]="no test",WWWW[[#This Row],[% Household received corrective actions]]="no test"),"No Test","Tested")</f>
        <v>No Test</v>
      </c>
      <c r="BT667" s="712">
        <f>WWWW[[#This Row],['#_Constructed/existing protected hand dug well]]-WWWW[[#This Row],['#_Non-functional protected hand dug well]]</f>
        <v>0</v>
      </c>
      <c r="BU667" s="712">
        <f>(WWWW[[#This Row],['#_Constructed/Existing tube wells/boreholes/handpumps_WASH_agency]]+WWWW[[#This Row],['#_Non-Cluster partner water tube-wells/boreholes/handpumps]])-WWWW[[#This Row],['#_Non-functional tube wells/boreholes/handpumps]]</f>
        <v>0</v>
      </c>
      <c r="BV667" s="712">
        <f>WWWW[[#This Row],['#_Constructed/Existingwater storage tank with gravity fed reticulation system]]-WWWW[[#This Row],['#_Non-functional storage tank gravity fed reticulation system]]</f>
        <v>4</v>
      </c>
      <c r="BW667" s="712">
        <f>WWWW[[#This Row],['#_Water boating or water trucking]]</f>
        <v>0</v>
      </c>
      <c r="BX667" s="712">
        <f>WWWW[[#This Row],['#_Constructed/Existing water distribution system from river or natural spring]]</f>
        <v>0</v>
      </c>
      <c r="BY66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0.15023474178403756</v>
      </c>
      <c r="BZ66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0.15023474178403756</v>
      </c>
      <c r="CA667" s="710">
        <f>IF(WWWW[[#This Row],[Location Type 1]]="Village",WWWW[[#This Row],[Access to safe drinking water for Village]],WWWW[[#This Row],[Access to safe drinking water for Camp]])</f>
        <v>0.15023474178403756</v>
      </c>
      <c r="CB667" s="708">
        <f>WWWW[[#This Row],[%Equitable and continuous access to sufficient quantity of safe drinking water]]*WWWW[[#This Row],[Total PoP ]]</f>
        <v>266.66666666666669</v>
      </c>
      <c r="CC667" s="710">
        <f>IF((WWWW[[#This Row],['#_Constructed/Existing protected/fenced ponds]]*250)/WWWW[[#This Row],[Total PoP ]]&gt;1,1,(WWWW[[#This Row],['#_Constructed/Existing protected/fenced ponds]]*250)/WWWW[[#This Row],[Total PoP ]])</f>
        <v>0</v>
      </c>
      <c r="CD667" s="708">
        <f>WWWW[[#This Row],[% Access to unimproved water points]]*WWWW[[#This Row],[Total PoP ]]</f>
        <v>0</v>
      </c>
      <c r="CE66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0.15023474178403756</v>
      </c>
      <c r="CF66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266.66666666666669</v>
      </c>
      <c r="CG667" s="708">
        <f>WWWW[[#This Row],[HRP1]]/500</f>
        <v>0.53333333333333333</v>
      </c>
      <c r="CH667" s="714">
        <f>1-WWWW[[#This Row],[% Equitable and continuous access to sufficient quantity of domestic water]]</f>
        <v>0.84976525821596249</v>
      </c>
      <c r="CI667" s="708">
        <f>WWWW[[#This Row],[%equitable and continuous access to sufficient quantity of safe drinking and domestic water''s GAP]]*WWWW[[#This Row],[Total PoP ]]</f>
        <v>1508.3333333333335</v>
      </c>
      <c r="CJ667" s="712">
        <f>IF(WWWW[[#This Row],[Total required water points]]-WWWW[[#This Row],['#Water points coverage]]&lt;0,0,WWWW[[#This Row],[Total required water points]]-WWWW[[#This Row],['#Water points coverage]])</f>
        <v>3.4666666666666668</v>
      </c>
      <c r="CK667" s="712">
        <f>ROUND(IF(WWWW[[#This Row],[Total PoP ]]&lt;500,1,WWWW[[#This Row],[Total PoP ]]/500),0)</f>
        <v>4</v>
      </c>
      <c r="CL667" s="712">
        <f>(WWWW[[#This Row],['#_Constructed latrines_by_WASHAgencies]]+WWWW[[#This Row],['#_Non Cluster partner latrines]])-WWWW[[#This Row],['#_Non-functional latrines]]</f>
        <v>391</v>
      </c>
      <c r="CM66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1775</v>
      </c>
      <c r="CO66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7" s="712">
        <f>IF(WWWW[[#This Row],[Location Type 1]]="Village","NA",IF(WWWW[[#This Row],['#_Constructed/Existing latrines in TLS]]*50&gt;WWWW[[#This Row],['#_students at TLS_CFS]],WWWW[[#This Row],['#_students at TLS_CFS]],(WWWW[[#This Row],['#_Constructed/Existing latrines in TLS]]*50)))</f>
        <v>0</v>
      </c>
      <c r="CQ667" s="712">
        <f>ROUND(IF(WWWW[[#This Row],[Location Type 1]]="camp",WWWW[[#This Row],[Total PoP ]]/20,IF(WWWW[[#This Row],[Location Type 1]]="Temporary Location",WWWW[[#This Row],[Total PoP ]]/50,(WWWW[[#This Row],[Total PoP ]]/6))),0)</f>
        <v>89</v>
      </c>
      <c r="CR667" s="712">
        <f>IF(WWWW[[#This Row],[Total required Latrines]]-(WWWW[[#This Row],['#_Constructed latrines_by_WASHAgencies]]+WWWW[[#This Row],['#_Non Cluster partner latrines]])&lt;0,0,WWWW[[#This Row],[Total required Latrines]]-(WWWW[[#This Row],['#_Constructed latrines_by_WASHAgencies]]+WWWW[[#This Row],['#_Non Cluster partner latrines]]))</f>
        <v>0</v>
      </c>
      <c r="CS667" s="714">
        <f>1-WWWW[[#This Row],[% people access to functioning Latrine]]</f>
        <v>0</v>
      </c>
      <c r="CT667" s="713">
        <f>IF(OR(WWWW[[#This Row],['#_Non-functional latrines]]="",WWWW[[#This Row],['#_Non-functional latrines]]=0),0,WWWW[[#This Row],['#_Non-functional latrines]]/(WWWW[[#This Row],['#_Constructed latrines_by_WASHAgencies]]+WWWW[[#This Row],['#_Non Cluster partner latrines]]))</f>
        <v>0</v>
      </c>
      <c r="CU667" s="708">
        <f>IF(500*(WWWW[[#This Row],['#_male hygiene promoters]]+WWWW[[#This Row],['#_female hygiene promoters]])&gt;WWWW[[#This Row],[Total PoP ]],WWWW[[#This Row],[Total PoP ]],500*(WWWW[[#This Row],['#_male hygiene promoters]]+WWWW[[#This Row],['#_female hygiene promoters]]))</f>
        <v>1775</v>
      </c>
      <c r="CV66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6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67" s="712">
        <f>IF(WWWW[[#This Row],['# People with access to soap]]&gt;WWWW[[#This Row],['# People with access to Sanity Pads]],WWWW[[#This Row],['# People with access to soap]],WWWW[[#This Row],['# People with access to Sanity Pads]])</f>
        <v>0</v>
      </c>
      <c r="CY667" s="712">
        <f>IF(WWWW[[#This Row],['# people reached by regular dedicated hygiene promotion_5]]&gt;WWWW[[#This Row],['# People received regular supply of hygiene items_6]],WWWW[[#This Row],['# people reached by regular dedicated hygiene promotion_5]],WWWW[[#This Row],['# People received regular supply of hygiene items_6]])</f>
        <v>1775</v>
      </c>
      <c r="CZ667" s="714">
        <f>IF(WWWW[[#This Row],[HRP3]]/WWWW[[#This Row],[Total PoP ]]&gt;100%,100%,WWWW[[#This Row],[HRP3]]/WWWW[[#This Row],[Total PoP ]])</f>
        <v>1</v>
      </c>
      <c r="DA667" s="713">
        <f>1-WWWW[[#This Row],[Hygiene Coverage%]]</f>
        <v>0</v>
      </c>
      <c r="DB667" s="710">
        <f>WWWW[[#This Row],['# people reached by regular dedicated hygiene promotion_5]]/WWWW[[#This Row],[Total PoP ]]</f>
        <v>1</v>
      </c>
      <c r="DC667" s="710">
        <f>IF(WWWW[[#This Row],['#_households that received standard amount of soap for this quarter]]/WWWW[[#This Row],[Total HH]]&gt;1,1,WWWW[[#This Row],['#_households that received standard amount of soap for this quarter]]/WWWW[[#This Row],[Total HH]])</f>
        <v>0</v>
      </c>
      <c r="DD667" s="710">
        <f>IF(WWWW[[#This Row],['#_households that received standard amount of sanitary pads for this quarter]]/WWWW[[#This Row],[Total HH]]&gt;1,1,WWWW[[#This Row],['#_households that received standard amount of sanitary pads for this quarter]]/WWWW[[#This Row],[Total HH]])</f>
        <v>0</v>
      </c>
      <c r="DE667" s="712">
        <f>WWWW[[#This Row],['#_Constructed/Existing hand washing stations]]-WWWW[[#This Row],['#_Non-Functional_hand_washing_stations]]</f>
        <v>0</v>
      </c>
      <c r="DF667" s="757">
        <f>IF(WWWW[[#This Row],['# Functional hand washing stations during reporting period]]*20&gt;WWWW[[#This Row],[Total HH]],WWWW[[#This Row],[Total HH]],WWWW[[#This Row],['# Functional hand washing stations during reporting period]]*20)</f>
        <v>0</v>
      </c>
      <c r="DG667" s="708">
        <f>IF(WWWW[[#This Row],[Is sufficient soap available for TLS? (Yes/No)]]="yes",WWWW[[#This Row],['#_Constructed/Existing hand washing stations at TLS]],0)</f>
        <v>0</v>
      </c>
      <c r="DH667" s="759">
        <f>IF(WWWW[[#This Row],['# Functional hand washing stations during reporting period]]*100&gt;WWWW[[#This Row],[Total PoP ]],WWWW[[#This Row],[Total PoP ]],WWWW[[#This Row],['# Functional hand washing stations during reporting period]]*100)</f>
        <v>0</v>
      </c>
      <c r="DI667" s="759" t="str">
        <f>IF(OR(WWWW[[#This Row],['#_students at TLS_CFS]]="",WWWW[[#This Row],['#_students at TLS_CFS]]=0),"No","Yes")</f>
        <v>No</v>
      </c>
      <c r="DJ667" s="711" t="str">
        <f>VLOOKUP(WWWW[[#This Row],[Site Name]],SiteDB6[[Site Name]:[CCCM Management]],6,FALSE)</f>
        <v>Yes</v>
      </c>
      <c r="DK667" s="711" t="str">
        <f>VLOOKUP(WWWW[[#This Row],[Site Name]],SiteDB6[[Site Name]:[CCCM Focal Agency]],7,FALSE)</f>
        <v>KBC-MYT</v>
      </c>
      <c r="DL667" s="711" t="str">
        <f>VLOOKUP(WWWW[[#This Row],[Site Name]],SiteDB6[[Site Name]:[Location Type 1]],9,FALSE)</f>
        <v>Camp</v>
      </c>
      <c r="DM667" s="711" t="str">
        <f>VLOOKUP(WWWW[[#This Row],[Site Name]],SiteDB6[[Site Name]:[Type of Accommodation]],10,FALSE)</f>
        <v>Camp</v>
      </c>
      <c r="DN667" s="711" t="str">
        <f>VLOOKUP(WWWW[[#This Row],[Site Name]],SiteDB6[[Site Name]:[Ethnic or GCA/NGCA]],11,FALSE)</f>
        <v>NGCA</v>
      </c>
      <c r="DO667" s="711">
        <f>VLOOKUP(WWWW[[#This Row],[Site Name]],SiteDB6[[Site Name]:[Lat]],12,FALSE)</f>
        <v>0</v>
      </c>
      <c r="DP667" s="711">
        <f>VLOOKUP(WWWW[[#This Row],[Site Name]],SiteDB6[[Site Name]:[Long]],13,FALSE)</f>
        <v>0</v>
      </c>
      <c r="DQ667" s="711" t="str">
        <f>VLOOKUP(WWWW[[#This Row],[Site Name]],SiteDB6[[Site Name]:[Pcode]],3,FALSE)</f>
        <v>MMR001CMP249</v>
      </c>
      <c r="DR667" s="709" t="str">
        <f t="shared" si="24"/>
        <v>Covered</v>
      </c>
      <c r="DS667" s="709"/>
    </row>
    <row r="668" spans="1:123">
      <c r="A668" s="701" t="s">
        <v>2519</v>
      </c>
      <c r="B668" s="701" t="s">
        <v>200</v>
      </c>
      <c r="C668" s="702" t="s">
        <v>200</v>
      </c>
      <c r="D668" s="702" t="s">
        <v>2960</v>
      </c>
      <c r="E668" s="702" t="s">
        <v>39</v>
      </c>
      <c r="F668" s="702" t="s">
        <v>222</v>
      </c>
      <c r="G668" s="711" t="str">
        <f>VLOOKUP(WWWW[[#This Row],[Site Name]],SiteDB6[[Site Name]:[Location Type]],8,FALSE)</f>
        <v>Camp</v>
      </c>
      <c r="H668" s="702" t="s">
        <v>223</v>
      </c>
      <c r="I668" s="705">
        <v>45</v>
      </c>
      <c r="J668" s="705">
        <v>259</v>
      </c>
      <c r="K668" s="706">
        <v>43466</v>
      </c>
      <c r="L668" s="707">
        <v>43830</v>
      </c>
      <c r="M668" s="705"/>
      <c r="N668" s="705"/>
      <c r="O668" s="705"/>
      <c r="P668" s="705"/>
      <c r="Q668" s="708" t="s">
        <v>43</v>
      </c>
      <c r="R668" s="705">
        <v>1</v>
      </c>
      <c r="S668" s="705">
        <v>2</v>
      </c>
      <c r="T668" s="807"/>
      <c r="U668" s="705"/>
      <c r="V668" s="705"/>
      <c r="W668" s="705"/>
      <c r="X668" s="705">
        <v>2</v>
      </c>
      <c r="Y668" s="705"/>
      <c r="Z668" s="705"/>
      <c r="AA668" s="705"/>
      <c r="AB668" s="705"/>
      <c r="AC668" s="705"/>
      <c r="AD668" s="705"/>
      <c r="AE668" s="705"/>
      <c r="AF668" s="705"/>
      <c r="AG668" s="705"/>
      <c r="AH668" s="705"/>
      <c r="AI668" s="705"/>
      <c r="AJ668" s="705"/>
      <c r="AK668" s="705"/>
      <c r="AL668" s="705"/>
      <c r="AM668" s="705"/>
      <c r="AN668" s="705"/>
      <c r="AO668" s="709"/>
      <c r="AP668" s="705">
        <v>13</v>
      </c>
      <c r="AQ668" s="705"/>
      <c r="AR668" s="710"/>
      <c r="AS668" s="705">
        <v>4</v>
      </c>
      <c r="AT668" s="705"/>
      <c r="AU668" s="705"/>
      <c r="AV668" s="705"/>
      <c r="AW668" s="705"/>
      <c r="AX668" s="711" t="s">
        <v>43</v>
      </c>
      <c r="AY668" s="709" t="s">
        <v>145</v>
      </c>
      <c r="AZ668" s="705"/>
      <c r="BA668" s="705"/>
      <c r="BB668" s="705"/>
      <c r="BC668" s="711"/>
      <c r="BD668" s="705">
        <v>4</v>
      </c>
      <c r="BE668" s="705"/>
      <c r="BF668" s="705"/>
      <c r="BG668" s="705">
        <v>3</v>
      </c>
      <c r="BH668" s="705"/>
      <c r="BI668" s="705"/>
      <c r="BJ668" s="705"/>
      <c r="BK668" s="705">
        <v>35</v>
      </c>
      <c r="BL668" s="705">
        <v>19</v>
      </c>
      <c r="BM668" s="711"/>
      <c r="BN668" s="712"/>
      <c r="BO668" s="710"/>
      <c r="BP668" s="711"/>
      <c r="BQ668" s="713" t="str">
        <f>IFERROR(WWWW[[#This Row],['#_Water sources treated]]/WWWW[[#This Row],['#_Water sources tested for contamination]],"no test")</f>
        <v>no test</v>
      </c>
      <c r="BR668" s="710" t="str">
        <f>IFERROR(WWWW[[#This Row],['#_Household received remediation action due to contamination]]/WWWW[[#This Row],['#_Household water samples tested for contamination]],"no test")</f>
        <v>no test</v>
      </c>
      <c r="BS668" s="712" t="str">
        <f>IF(AND(WWWW[[#This Row],[% of water sources treated]]="no test",WWWW[[#This Row],[% Household received corrective actions]]="no test"),"No Test","Tested")</f>
        <v>No Test</v>
      </c>
      <c r="BT668" s="712">
        <f>WWWW[[#This Row],['#_Constructed/existing protected hand dug well]]-WWWW[[#This Row],['#_Non-functional protected hand dug well]]</f>
        <v>0</v>
      </c>
      <c r="BU668" s="712">
        <f>(WWWW[[#This Row],['#_Constructed/Existing tube wells/boreholes/handpumps_WASH_agency]]+WWWW[[#This Row],['#_Non-Cluster partner water tube-wells/boreholes/handpumps]])-WWWW[[#This Row],['#_Non-functional tube wells/boreholes/handpumps]]</f>
        <v>2</v>
      </c>
      <c r="BV668" s="712">
        <f>WWWW[[#This Row],['#_Constructed/Existingwater storage tank with gravity fed reticulation system]]-WWWW[[#This Row],['#_Non-functional storage tank gravity fed reticulation system]]</f>
        <v>0</v>
      </c>
      <c r="BW668" s="712">
        <f>WWWW[[#This Row],['#_Water boating or water trucking]]</f>
        <v>0</v>
      </c>
      <c r="BX668" s="712">
        <f>WWWW[[#This Row],['#_Constructed/Existing water distribution system from river or natural spring]]</f>
        <v>0</v>
      </c>
      <c r="BY66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6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68" s="710">
        <f>IF(WWWW[[#This Row],[Location Type 1]]="Village",WWWW[[#This Row],[Access to safe drinking water for Village]],WWWW[[#This Row],[Access to safe drinking water for Camp]])</f>
        <v>1</v>
      </c>
      <c r="CB668" s="708">
        <f>WWWW[[#This Row],[%Equitable and continuous access to sufficient quantity of safe drinking water]]*WWWW[[#This Row],[Total PoP ]]</f>
        <v>259</v>
      </c>
      <c r="CC668" s="710">
        <f>IF((WWWW[[#This Row],['#_Constructed/Existing protected/fenced ponds]]*250)/WWWW[[#This Row],[Total PoP ]]&gt;1,1,(WWWW[[#This Row],['#_Constructed/Existing protected/fenced ponds]]*250)/WWWW[[#This Row],[Total PoP ]])</f>
        <v>0</v>
      </c>
      <c r="CD668" s="708">
        <f>WWWW[[#This Row],[% Access to unimproved water points]]*WWWW[[#This Row],[Total PoP ]]</f>
        <v>0</v>
      </c>
      <c r="CE66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6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G668" s="708">
        <f>WWWW[[#This Row],[HRP1]]/500</f>
        <v>0.51800000000000002</v>
      </c>
      <c r="CH668" s="714">
        <f>1-WWWW[[#This Row],[% Equitable and continuous access to sufficient quantity of domestic water]]</f>
        <v>0</v>
      </c>
      <c r="CI668" s="708">
        <f>WWWW[[#This Row],[%equitable and continuous access to sufficient quantity of safe drinking and domestic water''s GAP]]*WWWW[[#This Row],[Total PoP ]]</f>
        <v>0</v>
      </c>
      <c r="CJ668" s="712">
        <f>IF(WWWW[[#This Row],[Total required water points]]-WWWW[[#This Row],['#Water points coverage]]&lt;0,0,WWWW[[#This Row],[Total required water points]]-WWWW[[#This Row],['#Water points coverage]])</f>
        <v>0.48199999999999998</v>
      </c>
      <c r="CK668" s="712">
        <f>ROUND(IF(WWWW[[#This Row],[Total PoP ]]&lt;500,1,WWWW[[#This Row],[Total PoP ]]/500),0)</f>
        <v>1</v>
      </c>
      <c r="CL668" s="712">
        <f>(WWWW[[#This Row],['#_Constructed latrines_by_WASHAgencies]]+WWWW[[#This Row],['#_Non Cluster partner latrines]])-WWWW[[#This Row],['#_Non-functional latrines]]</f>
        <v>9</v>
      </c>
      <c r="CM66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0.69498069498069504</v>
      </c>
      <c r="CN66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66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8" s="712">
        <f>IF(WWWW[[#This Row],[Location Type 1]]="Village","NA",IF(WWWW[[#This Row],['#_Constructed/Existing latrines in TLS]]*50&gt;WWWW[[#This Row],['#_students at TLS_CFS]],WWWW[[#This Row],['#_students at TLS_CFS]],(WWWW[[#This Row],['#_Constructed/Existing latrines in TLS]]*50)))</f>
        <v>0</v>
      </c>
      <c r="CQ668" s="712">
        <f>ROUND(IF(WWWW[[#This Row],[Location Type 1]]="camp",WWWW[[#This Row],[Total PoP ]]/20,IF(WWWW[[#This Row],[Location Type 1]]="Temporary Location",WWWW[[#This Row],[Total PoP ]]/50,(WWWW[[#This Row],[Total PoP ]]/6))),0)</f>
        <v>13</v>
      </c>
      <c r="CR668" s="712">
        <f>IF(WWWW[[#This Row],[Total required Latrines]]-(WWWW[[#This Row],['#_Constructed latrines_by_WASHAgencies]]+WWWW[[#This Row],['#_Non Cluster partner latrines]])&lt;0,0,WWWW[[#This Row],[Total required Latrines]]-(WWWW[[#This Row],['#_Constructed latrines_by_WASHAgencies]]+WWWW[[#This Row],['#_Non Cluster partner latrines]]))</f>
        <v>0</v>
      </c>
      <c r="CS668" s="714">
        <f>1-WWWW[[#This Row],[% people access to functioning Latrine]]</f>
        <v>0.30501930501930496</v>
      </c>
      <c r="CT668" s="713">
        <f>IF(OR(WWWW[[#This Row],['#_Non-functional latrines]]="",WWWW[[#This Row],['#_Non-functional latrines]]=0),0,WWWW[[#This Row],['#_Non-functional latrines]]/(WWWW[[#This Row],['#_Constructed latrines_by_WASHAgencies]]+WWWW[[#This Row],['#_Non Cluster partner latrines]]))</f>
        <v>0.30769230769230771</v>
      </c>
      <c r="CU668" s="708">
        <f>IF(500*(WWWW[[#This Row],['#_male hygiene promoters]]+WWWW[[#This Row],['#_female hygiene promoters]])&gt;WWWW[[#This Row],[Total PoP ]],WWWW[[#This Row],[Total PoP ]],500*(WWWW[[#This Row],['#_male hygiene promoters]]+WWWW[[#This Row],['#_female hygiene promoters]]))</f>
        <v>0</v>
      </c>
      <c r="CV66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CW66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95</v>
      </c>
      <c r="CX668" s="712">
        <f>IF(WWWW[[#This Row],['# People with access to soap]]&gt;WWWW[[#This Row],['# People with access to Sanity Pads]],WWWW[[#This Row],['# People with access to soap]],WWWW[[#This Row],['# People with access to Sanity Pads]])</f>
        <v>175</v>
      </c>
      <c r="CY668" s="712">
        <f>IF(WWWW[[#This Row],['# people reached by regular dedicated hygiene promotion_5]]&gt;WWWW[[#This Row],['# People received regular supply of hygiene items_6]],WWWW[[#This Row],['# people reached by regular dedicated hygiene promotion_5]],WWWW[[#This Row],['# People received regular supply of hygiene items_6]])</f>
        <v>175</v>
      </c>
      <c r="CZ668" s="714">
        <f>IF(WWWW[[#This Row],[HRP3]]/WWWW[[#This Row],[Total PoP ]]&gt;100%,100%,WWWW[[#This Row],[HRP3]]/WWWW[[#This Row],[Total PoP ]])</f>
        <v>0.67567567567567566</v>
      </c>
      <c r="DA668" s="713">
        <f>1-WWWW[[#This Row],[Hygiene Coverage%]]</f>
        <v>0.32432432432432434</v>
      </c>
      <c r="DB668" s="710">
        <f>WWWW[[#This Row],['# people reached by regular dedicated hygiene promotion_5]]/WWWW[[#This Row],[Total PoP ]]</f>
        <v>0</v>
      </c>
      <c r="DC668" s="710">
        <f>IF(WWWW[[#This Row],['#_households that received standard amount of soap for this quarter]]/WWWW[[#This Row],[Total HH]]&gt;1,1,WWWW[[#This Row],['#_households that received standard amount of soap for this quarter]]/WWWW[[#This Row],[Total HH]])</f>
        <v>0.77777777777777779</v>
      </c>
      <c r="DD668" s="710">
        <f>IF(WWWW[[#This Row],['#_households that received standard amount of sanitary pads for this quarter]]/WWWW[[#This Row],[Total HH]]&gt;1,1,WWWW[[#This Row],['#_households that received standard amount of sanitary pads for this quarter]]/WWWW[[#This Row],[Total HH]])</f>
        <v>0.42222222222222222</v>
      </c>
      <c r="DE668" s="712">
        <f>WWWW[[#This Row],['#_Constructed/Existing hand washing stations]]-WWWW[[#This Row],['#_Non-Functional_hand_washing_stations]]</f>
        <v>4</v>
      </c>
      <c r="DF668" s="757">
        <f>IF(WWWW[[#This Row],['# Functional hand washing stations during reporting period]]*20&gt;WWWW[[#This Row],[Total HH]],WWWW[[#This Row],[Total HH]],WWWW[[#This Row],['# Functional hand washing stations during reporting period]]*20)</f>
        <v>45</v>
      </c>
      <c r="DG668" s="708">
        <f>IF(WWWW[[#This Row],[Is sufficient soap available for TLS? (Yes/No)]]="yes",WWWW[[#This Row],['#_Constructed/Existing hand washing stations at TLS]],0)</f>
        <v>0</v>
      </c>
      <c r="DH668" s="759">
        <f>IF(WWWW[[#This Row],['# Functional hand washing stations during reporting period]]*100&gt;WWWW[[#This Row],[Total PoP ]],WWWW[[#This Row],[Total PoP ]],WWWW[[#This Row],['# Functional hand washing stations during reporting period]]*100)</f>
        <v>259</v>
      </c>
      <c r="DI668" s="759" t="str">
        <f>IF(OR(WWWW[[#This Row],['#_students at TLS_CFS]]="",WWWW[[#This Row],['#_students at TLS_CFS]]=0),"No","Yes")</f>
        <v>No</v>
      </c>
      <c r="DJ668" s="711" t="str">
        <f>VLOOKUP(WWWW[[#This Row],[Site Name]],SiteDB6[[Site Name]:[CCCM Management]],6,FALSE)</f>
        <v>Yes</v>
      </c>
      <c r="DK668" s="711" t="str">
        <f>VLOOKUP(WWWW[[#This Row],[Site Name]],SiteDB6[[Site Name]:[CCCM Focal Agency]],7,FALSE)</f>
        <v>KBC-BMO</v>
      </c>
      <c r="DL668" s="711" t="str">
        <f>VLOOKUP(WWWW[[#This Row],[Site Name]],SiteDB6[[Site Name]:[Location Type 1]],9,FALSE)</f>
        <v>Camp</v>
      </c>
      <c r="DM668" s="711" t="str">
        <f>VLOOKUP(WWWW[[#This Row],[Site Name]],SiteDB6[[Site Name]:[Type of Accommodation]],10,FALSE)</f>
        <v>Camp</v>
      </c>
      <c r="DN668" s="711" t="str">
        <f>VLOOKUP(WWWW[[#This Row],[Site Name]],SiteDB6[[Site Name]:[Ethnic or GCA/NGCA]],11,FALSE)</f>
        <v>GCA</v>
      </c>
      <c r="DO668" s="711">
        <f>VLOOKUP(WWWW[[#This Row],[Site Name]],SiteDB6[[Site Name]:[Lat]],12,FALSE)</f>
        <v>24.200361000000001</v>
      </c>
      <c r="DP668" s="711">
        <f>VLOOKUP(WWWW[[#This Row],[Site Name]],SiteDB6[[Site Name]:[Long]],13,FALSE)</f>
        <v>96.807353000000006</v>
      </c>
      <c r="DQ668" s="711" t="str">
        <f>VLOOKUP(WWWW[[#This Row],[Site Name]],SiteDB6[[Site Name]:[Pcode]],3,FALSE)</f>
        <v>MMR001CMP067</v>
      </c>
      <c r="DR668" s="709" t="str">
        <f t="shared" si="24"/>
        <v>Covered</v>
      </c>
      <c r="DS668" s="709"/>
    </row>
    <row r="669" spans="1:123">
      <c r="A669" s="701" t="s">
        <v>2519</v>
      </c>
      <c r="B669" s="701" t="s">
        <v>200</v>
      </c>
      <c r="C669" s="702" t="s">
        <v>200</v>
      </c>
      <c r="D669" s="702" t="s">
        <v>2960</v>
      </c>
      <c r="E669" s="702" t="s">
        <v>39</v>
      </c>
      <c r="F669" s="702" t="s">
        <v>222</v>
      </c>
      <c r="G669" s="711" t="str">
        <f>VLOOKUP(WWWW[[#This Row],[Site Name]],SiteDB6[[Site Name]:[Location Type]],8,FALSE)</f>
        <v>Camp</v>
      </c>
      <c r="H669" s="702" t="s">
        <v>224</v>
      </c>
      <c r="I669" s="705">
        <v>33</v>
      </c>
      <c r="J669" s="705">
        <v>169</v>
      </c>
      <c r="K669" s="706">
        <v>43466</v>
      </c>
      <c r="L669" s="707">
        <v>43830</v>
      </c>
      <c r="M669" s="705"/>
      <c r="N669" s="705"/>
      <c r="O669" s="705"/>
      <c r="P669" s="705"/>
      <c r="Q669" s="708" t="s">
        <v>43</v>
      </c>
      <c r="R669" s="705">
        <v>1</v>
      </c>
      <c r="S669" s="705">
        <v>1</v>
      </c>
      <c r="T669" s="807"/>
      <c r="U669" s="705"/>
      <c r="V669" s="705"/>
      <c r="W669" s="705"/>
      <c r="X669" s="705">
        <v>1</v>
      </c>
      <c r="Y669" s="705"/>
      <c r="Z669" s="705"/>
      <c r="AA669" s="705"/>
      <c r="AB669" s="705"/>
      <c r="AC669" s="705"/>
      <c r="AD669" s="705"/>
      <c r="AE669" s="705"/>
      <c r="AF669" s="705"/>
      <c r="AG669" s="705"/>
      <c r="AH669" s="705"/>
      <c r="AI669" s="705"/>
      <c r="AJ669" s="705"/>
      <c r="AK669" s="705"/>
      <c r="AL669" s="705"/>
      <c r="AM669" s="705"/>
      <c r="AN669" s="705"/>
      <c r="AO669" s="709"/>
      <c r="AP669" s="705">
        <v>9</v>
      </c>
      <c r="AQ669" s="705"/>
      <c r="AR669" s="710"/>
      <c r="AS669" s="705"/>
      <c r="AT669" s="705"/>
      <c r="AU669" s="705"/>
      <c r="AV669" s="705"/>
      <c r="AW669" s="705"/>
      <c r="AX669" s="711" t="s">
        <v>43</v>
      </c>
      <c r="AY669" s="709" t="s">
        <v>145</v>
      </c>
      <c r="AZ669" s="705"/>
      <c r="BA669" s="705"/>
      <c r="BB669" s="705"/>
      <c r="BC669" s="711"/>
      <c r="BD669" s="705">
        <v>0</v>
      </c>
      <c r="BE669" s="705"/>
      <c r="BF669" s="705"/>
      <c r="BG669" s="705">
        <v>2</v>
      </c>
      <c r="BH669" s="705"/>
      <c r="BI669" s="705"/>
      <c r="BJ669" s="705"/>
      <c r="BK669" s="705">
        <v>39</v>
      </c>
      <c r="BL669" s="705">
        <v>16</v>
      </c>
      <c r="BM669" s="711"/>
      <c r="BN669" s="712"/>
      <c r="BO669" s="710"/>
      <c r="BP669" s="711"/>
      <c r="BQ669" s="713" t="str">
        <f>IFERROR(WWWW[[#This Row],['#_Water sources treated]]/WWWW[[#This Row],['#_Water sources tested for contamination]],"no test")</f>
        <v>no test</v>
      </c>
      <c r="BR669" s="710" t="str">
        <f>IFERROR(WWWW[[#This Row],['#_Household received remediation action due to contamination]]/WWWW[[#This Row],['#_Household water samples tested for contamination]],"no test")</f>
        <v>no test</v>
      </c>
      <c r="BS669" s="712" t="str">
        <f>IF(AND(WWWW[[#This Row],[% of water sources treated]]="no test",WWWW[[#This Row],[% Household received corrective actions]]="no test"),"No Test","Tested")</f>
        <v>No Test</v>
      </c>
      <c r="BT669" s="712">
        <f>WWWW[[#This Row],['#_Constructed/existing protected hand dug well]]-WWWW[[#This Row],['#_Non-functional protected hand dug well]]</f>
        <v>0</v>
      </c>
      <c r="BU669" s="712">
        <f>(WWWW[[#This Row],['#_Constructed/Existing tube wells/boreholes/handpumps_WASH_agency]]+WWWW[[#This Row],['#_Non-Cluster partner water tube-wells/boreholes/handpumps]])-WWWW[[#This Row],['#_Non-functional tube wells/boreholes/handpumps]]</f>
        <v>1</v>
      </c>
      <c r="BV669" s="712">
        <f>WWWW[[#This Row],['#_Constructed/Existingwater storage tank with gravity fed reticulation system]]-WWWW[[#This Row],['#_Non-functional storage tank gravity fed reticulation system]]</f>
        <v>0</v>
      </c>
      <c r="BW669" s="712">
        <f>WWWW[[#This Row],['#_Water boating or water trucking]]</f>
        <v>0</v>
      </c>
      <c r="BX669" s="712">
        <f>WWWW[[#This Row],['#_Constructed/Existing water distribution system from river or natural spring]]</f>
        <v>0</v>
      </c>
      <c r="BY66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6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69" s="710">
        <f>IF(WWWW[[#This Row],[Location Type 1]]="Village",WWWW[[#This Row],[Access to safe drinking water for Village]],WWWW[[#This Row],[Access to safe drinking water for Camp]])</f>
        <v>1</v>
      </c>
      <c r="CB669" s="708">
        <f>WWWW[[#This Row],[%Equitable and continuous access to sufficient quantity of safe drinking water]]*WWWW[[#This Row],[Total PoP ]]</f>
        <v>169</v>
      </c>
      <c r="CC669" s="710">
        <f>IF((WWWW[[#This Row],['#_Constructed/Existing protected/fenced ponds]]*250)/WWWW[[#This Row],[Total PoP ]]&gt;1,1,(WWWW[[#This Row],['#_Constructed/Existing protected/fenced ponds]]*250)/WWWW[[#This Row],[Total PoP ]])</f>
        <v>0</v>
      </c>
      <c r="CD669" s="708">
        <f>WWWW[[#This Row],[% Access to unimproved water points]]*WWWW[[#This Row],[Total PoP ]]</f>
        <v>0</v>
      </c>
      <c r="CE66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6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G669" s="708">
        <f>WWWW[[#This Row],[HRP1]]/500</f>
        <v>0.33800000000000002</v>
      </c>
      <c r="CH669" s="714">
        <f>1-WWWW[[#This Row],[% Equitable and continuous access to sufficient quantity of domestic water]]</f>
        <v>0</v>
      </c>
      <c r="CI669" s="708">
        <f>WWWW[[#This Row],[%equitable and continuous access to sufficient quantity of safe drinking and domestic water''s GAP]]*WWWW[[#This Row],[Total PoP ]]</f>
        <v>0</v>
      </c>
      <c r="CJ669" s="712">
        <f>IF(WWWW[[#This Row],[Total required water points]]-WWWW[[#This Row],['#Water points coverage]]&lt;0,0,WWWW[[#This Row],[Total required water points]]-WWWW[[#This Row],['#Water points coverage]])</f>
        <v>0.66199999999999992</v>
      </c>
      <c r="CK669" s="712">
        <f>ROUND(IF(WWWW[[#This Row],[Total PoP ]]&lt;500,1,WWWW[[#This Row],[Total PoP ]]/500),0)</f>
        <v>1</v>
      </c>
      <c r="CL669" s="712">
        <f>(WWWW[[#This Row],['#_Constructed latrines_by_WASHAgencies]]+WWWW[[#This Row],['#_Non Cluster partner latrines]])-WWWW[[#This Row],['#_Non-functional latrines]]</f>
        <v>9</v>
      </c>
      <c r="CM66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6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169</v>
      </c>
      <c r="CO66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69" s="712">
        <f>IF(WWWW[[#This Row],[Location Type 1]]="Village","NA",IF(WWWW[[#This Row],['#_Constructed/Existing latrines in TLS]]*50&gt;WWWW[[#This Row],['#_students at TLS_CFS]],WWWW[[#This Row],['#_students at TLS_CFS]],(WWWW[[#This Row],['#_Constructed/Existing latrines in TLS]]*50)))</f>
        <v>0</v>
      </c>
      <c r="CQ669" s="712">
        <f>ROUND(IF(WWWW[[#This Row],[Location Type 1]]="camp",WWWW[[#This Row],[Total PoP ]]/20,IF(WWWW[[#This Row],[Location Type 1]]="Temporary Location",WWWW[[#This Row],[Total PoP ]]/50,(WWWW[[#This Row],[Total PoP ]]/6))),0)</f>
        <v>8</v>
      </c>
      <c r="CR669" s="712">
        <f>IF(WWWW[[#This Row],[Total required Latrines]]-(WWWW[[#This Row],['#_Constructed latrines_by_WASHAgencies]]+WWWW[[#This Row],['#_Non Cluster partner latrines]])&lt;0,0,WWWW[[#This Row],[Total required Latrines]]-(WWWW[[#This Row],['#_Constructed latrines_by_WASHAgencies]]+WWWW[[#This Row],['#_Non Cluster partner latrines]]))</f>
        <v>0</v>
      </c>
      <c r="CS669" s="714">
        <f>1-WWWW[[#This Row],[% people access to functioning Latrine]]</f>
        <v>0</v>
      </c>
      <c r="CT669" s="713">
        <f>IF(OR(WWWW[[#This Row],['#_Non-functional latrines]]="",WWWW[[#This Row],['#_Non-functional latrines]]=0),0,WWWW[[#This Row],['#_Non-functional latrines]]/(WWWW[[#This Row],['#_Constructed latrines_by_WASHAgencies]]+WWWW[[#This Row],['#_Non Cluster partner latrines]]))</f>
        <v>0</v>
      </c>
      <c r="CU669" s="708">
        <f>IF(500*(WWWW[[#This Row],['#_male hygiene promoters]]+WWWW[[#This Row],['#_female hygiene promoters]])&gt;WWWW[[#This Row],[Total PoP ]],WWWW[[#This Row],[Total PoP ]],500*(WWWW[[#This Row],['#_male hygiene promoters]]+WWWW[[#This Row],['#_female hygiene promoters]]))</f>
        <v>0</v>
      </c>
      <c r="CV66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169</v>
      </c>
      <c r="CW66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80</v>
      </c>
      <c r="CX669" s="712">
        <f>IF(WWWW[[#This Row],['# People with access to soap]]&gt;WWWW[[#This Row],['# People with access to Sanity Pads]],WWWW[[#This Row],['# People with access to soap]],WWWW[[#This Row],['# People with access to Sanity Pads]])</f>
        <v>169</v>
      </c>
      <c r="CY669" s="712">
        <f>IF(WWWW[[#This Row],['# people reached by regular dedicated hygiene promotion_5]]&gt;WWWW[[#This Row],['# People received regular supply of hygiene items_6]],WWWW[[#This Row],['# people reached by regular dedicated hygiene promotion_5]],WWWW[[#This Row],['# People received regular supply of hygiene items_6]])</f>
        <v>169</v>
      </c>
      <c r="CZ669" s="714">
        <f>IF(WWWW[[#This Row],[HRP3]]/WWWW[[#This Row],[Total PoP ]]&gt;100%,100%,WWWW[[#This Row],[HRP3]]/WWWW[[#This Row],[Total PoP ]])</f>
        <v>1</v>
      </c>
      <c r="DA669" s="713">
        <f>1-WWWW[[#This Row],[Hygiene Coverage%]]</f>
        <v>0</v>
      </c>
      <c r="DB669" s="710">
        <f>WWWW[[#This Row],['# people reached by regular dedicated hygiene promotion_5]]/WWWW[[#This Row],[Total PoP ]]</f>
        <v>0</v>
      </c>
      <c r="DC669" s="710">
        <f>IF(WWWW[[#This Row],['#_households that received standard amount of soap for this quarter]]/WWWW[[#This Row],[Total HH]]&gt;1,1,WWWW[[#This Row],['#_households that received standard amount of soap for this quarter]]/WWWW[[#This Row],[Total HH]])</f>
        <v>1</v>
      </c>
      <c r="DD669" s="710">
        <f>IF(WWWW[[#This Row],['#_households that received standard amount of sanitary pads for this quarter]]/WWWW[[#This Row],[Total HH]]&gt;1,1,WWWW[[#This Row],['#_households that received standard amount of sanitary pads for this quarter]]/WWWW[[#This Row],[Total HH]])</f>
        <v>0.48484848484848486</v>
      </c>
      <c r="DE669" s="712">
        <f>WWWW[[#This Row],['#_Constructed/Existing hand washing stations]]-WWWW[[#This Row],['#_Non-Functional_hand_washing_stations]]</f>
        <v>0</v>
      </c>
      <c r="DF669" s="757">
        <f>IF(WWWW[[#This Row],['# Functional hand washing stations during reporting period]]*20&gt;WWWW[[#This Row],[Total HH]],WWWW[[#This Row],[Total HH]],WWWW[[#This Row],['# Functional hand washing stations during reporting period]]*20)</f>
        <v>0</v>
      </c>
      <c r="DG669" s="708">
        <f>IF(WWWW[[#This Row],[Is sufficient soap available for TLS? (Yes/No)]]="yes",WWWW[[#This Row],['#_Constructed/Existing hand washing stations at TLS]],0)</f>
        <v>0</v>
      </c>
      <c r="DH669" s="759">
        <f>IF(WWWW[[#This Row],['# Functional hand washing stations during reporting period]]*100&gt;WWWW[[#This Row],[Total PoP ]],WWWW[[#This Row],[Total PoP ]],WWWW[[#This Row],['# Functional hand washing stations during reporting period]]*100)</f>
        <v>0</v>
      </c>
      <c r="DI669" s="759" t="str">
        <f>IF(OR(WWWW[[#This Row],['#_students at TLS_CFS]]="",WWWW[[#This Row],['#_students at TLS_CFS]]=0),"No","Yes")</f>
        <v>No</v>
      </c>
      <c r="DJ669" s="711" t="str">
        <f>VLOOKUP(WWWW[[#This Row],[Site Name]],SiteDB6[[Site Name]:[CCCM Management]],6,FALSE)</f>
        <v>Yes</v>
      </c>
      <c r="DK669" s="711" t="str">
        <f>VLOOKUP(WWWW[[#This Row],[Site Name]],SiteDB6[[Site Name]:[CCCM Focal Agency]],7,FALSE)</f>
        <v>KMSS-BMO</v>
      </c>
      <c r="DL669" s="711" t="str">
        <f>VLOOKUP(WWWW[[#This Row],[Site Name]],SiteDB6[[Site Name]:[Location Type 1]],9,FALSE)</f>
        <v>Camp</v>
      </c>
      <c r="DM669" s="711" t="str">
        <f>VLOOKUP(WWWW[[#This Row],[Site Name]],SiteDB6[[Site Name]:[Type of Accommodation]],10,FALSE)</f>
        <v>Camp</v>
      </c>
      <c r="DN669" s="711" t="str">
        <f>VLOOKUP(WWWW[[#This Row],[Site Name]],SiteDB6[[Site Name]:[Ethnic or GCA/NGCA]],11,FALSE)</f>
        <v>GCA</v>
      </c>
      <c r="DO669" s="711">
        <f>VLOOKUP(WWWW[[#This Row],[Site Name]],SiteDB6[[Site Name]:[Lat]],12,FALSE)</f>
        <v>24.200367</v>
      </c>
      <c r="DP669" s="711">
        <f>VLOOKUP(WWWW[[#This Row],[Site Name]],SiteDB6[[Site Name]:[Long]],13,FALSE)</f>
        <v>96.807353000000006</v>
      </c>
      <c r="DQ669" s="711" t="str">
        <f>VLOOKUP(WWWW[[#This Row],[Site Name]],SiteDB6[[Site Name]:[Pcode]],3,FALSE)</f>
        <v>MMR001CMP068</v>
      </c>
      <c r="DR669" s="709" t="str">
        <f t="shared" si="24"/>
        <v>Covered</v>
      </c>
      <c r="DS669" s="709"/>
    </row>
    <row r="670" spans="1:123">
      <c r="A670" s="701" t="s">
        <v>2519</v>
      </c>
      <c r="B670" s="701" t="s">
        <v>149</v>
      </c>
      <c r="C670" s="702" t="s">
        <v>149</v>
      </c>
      <c r="D670" s="702" t="s">
        <v>3264</v>
      </c>
      <c r="E670" s="702" t="s">
        <v>39</v>
      </c>
      <c r="F670" s="702" t="s">
        <v>156</v>
      </c>
      <c r="G670" s="711" t="str">
        <f>VLOOKUP(WWWW[[#This Row],[Site Name]],SiteDB6[[Site Name]:[Location Type]],8,FALSE)</f>
        <v>Camp</v>
      </c>
      <c r="H670" s="702" t="s">
        <v>196</v>
      </c>
      <c r="I670" s="705">
        <v>28</v>
      </c>
      <c r="J670" s="705">
        <v>103</v>
      </c>
      <c r="K670" s="553" t="s">
        <v>3265</v>
      </c>
      <c r="L670" s="755" t="s">
        <v>3267</v>
      </c>
      <c r="M670" s="705"/>
      <c r="N670" s="705"/>
      <c r="O670" s="705"/>
      <c r="P670" s="705"/>
      <c r="Q670" s="708" t="s">
        <v>43</v>
      </c>
      <c r="R670" s="705"/>
      <c r="S670" s="705"/>
      <c r="T670" s="807">
        <v>1</v>
      </c>
      <c r="U670" s="705"/>
      <c r="V670" s="705"/>
      <c r="W670" s="705">
        <v>1</v>
      </c>
      <c r="X670" s="705"/>
      <c r="Y670" s="705"/>
      <c r="Z670" s="705"/>
      <c r="AA670" s="705"/>
      <c r="AB670" s="705"/>
      <c r="AC670" s="705"/>
      <c r="AD670" s="705"/>
      <c r="AE670" s="705"/>
      <c r="AF670" s="705"/>
      <c r="AG670" s="705"/>
      <c r="AH670" s="705">
        <v>0</v>
      </c>
      <c r="AI670" s="705"/>
      <c r="AJ670" s="705"/>
      <c r="AK670" s="705"/>
      <c r="AL670" s="705"/>
      <c r="AM670" s="705"/>
      <c r="AN670" s="705"/>
      <c r="AO670" s="709"/>
      <c r="AP670" s="705">
        <v>8</v>
      </c>
      <c r="AQ670" s="705"/>
      <c r="AR670" s="710"/>
      <c r="AS670" s="705"/>
      <c r="AT670" s="705"/>
      <c r="AU670" s="705"/>
      <c r="AV670" s="705"/>
      <c r="AW670" s="705">
        <v>8</v>
      </c>
      <c r="AX670" s="711" t="s">
        <v>43</v>
      </c>
      <c r="AY670" s="709" t="s">
        <v>1200</v>
      </c>
      <c r="AZ670" s="705"/>
      <c r="BA670" s="705"/>
      <c r="BB670" s="705"/>
      <c r="BC670" s="711"/>
      <c r="BD670" s="705"/>
      <c r="BE670" s="705"/>
      <c r="BF670" s="705"/>
      <c r="BG670" s="705">
        <v>2</v>
      </c>
      <c r="BH670" s="705"/>
      <c r="BI670" s="705"/>
      <c r="BJ670" s="705">
        <v>1</v>
      </c>
      <c r="BK670" s="705"/>
      <c r="BL670" s="705"/>
      <c r="BM670" s="711"/>
      <c r="BN670" s="712"/>
      <c r="BO670" s="710"/>
      <c r="BP670" s="711"/>
      <c r="BQ670" s="713" t="str">
        <f>IFERROR(WWWW[[#This Row],['#_Water sources treated]]/WWWW[[#This Row],['#_Water sources tested for contamination]],"no test")</f>
        <v>no test</v>
      </c>
      <c r="BR670" s="710" t="str">
        <f>IFERROR(WWWW[[#This Row],['#_Household received remediation action due to contamination]]/WWWW[[#This Row],['#_Household water samples tested for contamination]],"no test")</f>
        <v>no test</v>
      </c>
      <c r="BS670" s="712" t="str">
        <f>IF(AND(WWWW[[#This Row],[% of water sources treated]]="no test",WWWW[[#This Row],[% Household received corrective actions]]="no test"),"No Test","Tested")</f>
        <v>No Test</v>
      </c>
      <c r="BT670" s="712">
        <f>WWWW[[#This Row],['#_Constructed/existing protected hand dug well]]-WWWW[[#This Row],['#_Non-functional protected hand dug well]]</f>
        <v>1</v>
      </c>
      <c r="BU670" s="712">
        <f>(WWWW[[#This Row],['#_Constructed/Existing tube wells/boreholes/handpumps_WASH_agency]]+WWWW[[#This Row],['#_Non-Cluster partner water tube-wells/boreholes/handpumps]])-WWWW[[#This Row],['#_Non-functional tube wells/boreholes/handpumps]]</f>
        <v>1</v>
      </c>
      <c r="BV670" s="712">
        <f>WWWW[[#This Row],['#_Constructed/Existingwater storage tank with gravity fed reticulation system]]-WWWW[[#This Row],['#_Non-functional storage tank gravity fed reticulation system]]</f>
        <v>0</v>
      </c>
      <c r="BW670" s="712">
        <f>WWWW[[#This Row],['#_Water boating or water trucking]]</f>
        <v>0</v>
      </c>
      <c r="BX670" s="712">
        <f>WWWW[[#This Row],['#_Constructed/Existing water distribution system from river or natural spring]]</f>
        <v>0</v>
      </c>
      <c r="BY67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7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70" s="710">
        <f>IF(WWWW[[#This Row],[Location Type 1]]="Village",WWWW[[#This Row],[Access to safe drinking water for Village]],WWWW[[#This Row],[Access to safe drinking water for Camp]])</f>
        <v>1</v>
      </c>
      <c r="CB670" s="708">
        <f>WWWW[[#This Row],[%Equitable and continuous access to sufficient quantity of safe drinking water]]*WWWW[[#This Row],[Total PoP ]]</f>
        <v>103</v>
      </c>
      <c r="CC670" s="710">
        <f>IF((WWWW[[#This Row],['#_Constructed/Existing protected/fenced ponds]]*250)/WWWW[[#This Row],[Total PoP ]]&gt;1,1,(WWWW[[#This Row],['#_Constructed/Existing protected/fenced ponds]]*250)/WWWW[[#This Row],[Total PoP ]])</f>
        <v>0</v>
      </c>
      <c r="CD670" s="708">
        <f>WWWW[[#This Row],[% Access to unimproved water points]]*WWWW[[#This Row],[Total PoP ]]</f>
        <v>0</v>
      </c>
      <c r="CE67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7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G670" s="708">
        <f>WWWW[[#This Row],[HRP1]]/500</f>
        <v>0.20599999999999999</v>
      </c>
      <c r="CH670" s="714">
        <f>1-WWWW[[#This Row],[% Equitable and continuous access to sufficient quantity of domestic water]]</f>
        <v>0</v>
      </c>
      <c r="CI670" s="708">
        <f>WWWW[[#This Row],[%equitable and continuous access to sufficient quantity of safe drinking and domestic water''s GAP]]*WWWW[[#This Row],[Total PoP ]]</f>
        <v>0</v>
      </c>
      <c r="CJ670" s="712">
        <f>IF(WWWW[[#This Row],[Total required water points]]-WWWW[[#This Row],['#Water points coverage]]&lt;0,0,WWWW[[#This Row],[Total required water points]]-WWWW[[#This Row],['#Water points coverage]])</f>
        <v>0.79400000000000004</v>
      </c>
      <c r="CK670" s="712">
        <f>ROUND(IF(WWWW[[#This Row],[Total PoP ]]&lt;500,1,WWWW[[#This Row],[Total PoP ]]/500),0)</f>
        <v>1</v>
      </c>
      <c r="CL670" s="712">
        <f>(WWWW[[#This Row],['#_Constructed latrines_by_WASHAgencies]]+WWWW[[#This Row],['#_Non Cluster partner latrines]])-WWWW[[#This Row],['#_Non-functional latrines]]</f>
        <v>8</v>
      </c>
      <c r="CM67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7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103</v>
      </c>
      <c r="CO67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0" s="712">
        <f>IF(WWWW[[#This Row],[Location Type 1]]="Village","NA",IF(WWWW[[#This Row],['#_Constructed/Existing latrines in TLS]]*50&gt;WWWW[[#This Row],['#_students at TLS_CFS]],WWWW[[#This Row],['#_students at TLS_CFS]],(WWWW[[#This Row],['#_Constructed/Existing latrines in TLS]]*50)))</f>
        <v>0</v>
      </c>
      <c r="CQ670" s="712">
        <f>ROUND(IF(WWWW[[#This Row],[Location Type 1]]="camp",WWWW[[#This Row],[Total PoP ]]/20,IF(WWWW[[#This Row],[Location Type 1]]="Temporary Location",WWWW[[#This Row],[Total PoP ]]/50,(WWWW[[#This Row],[Total PoP ]]/6))),0)</f>
        <v>5</v>
      </c>
      <c r="CR670" s="712">
        <f>IF(WWWW[[#This Row],[Total required Latrines]]-(WWWW[[#This Row],['#_Constructed latrines_by_WASHAgencies]]+WWWW[[#This Row],['#_Non Cluster partner latrines]])&lt;0,0,WWWW[[#This Row],[Total required Latrines]]-(WWWW[[#This Row],['#_Constructed latrines_by_WASHAgencies]]+WWWW[[#This Row],['#_Non Cluster partner latrines]]))</f>
        <v>0</v>
      </c>
      <c r="CS670" s="714">
        <f>1-WWWW[[#This Row],[% people access to functioning Latrine]]</f>
        <v>0</v>
      </c>
      <c r="CT670" s="713">
        <f>IF(OR(WWWW[[#This Row],['#_Non-functional latrines]]="",WWWW[[#This Row],['#_Non-functional latrines]]=0),0,WWWW[[#This Row],['#_Non-functional latrines]]/(WWWW[[#This Row],['#_Constructed latrines_by_WASHAgencies]]+WWWW[[#This Row],['#_Non Cluster partner latrines]]))</f>
        <v>0</v>
      </c>
      <c r="CU670" s="708">
        <f>IF(500*(WWWW[[#This Row],['#_male hygiene promoters]]+WWWW[[#This Row],['#_female hygiene promoters]])&gt;WWWW[[#This Row],[Total PoP ]],WWWW[[#This Row],[Total PoP ]],500*(WWWW[[#This Row],['#_male hygiene promoters]]+WWWW[[#This Row],['#_female hygiene promoters]]))</f>
        <v>103</v>
      </c>
      <c r="CV67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0" s="712">
        <f>IF(WWWW[[#This Row],['# People with access to soap]]&gt;WWWW[[#This Row],['# People with access to Sanity Pads]],WWWW[[#This Row],['# People with access to soap]],WWWW[[#This Row],['# People with access to Sanity Pads]])</f>
        <v>0</v>
      </c>
      <c r="CY670" s="712">
        <f>IF(WWWW[[#This Row],['# people reached by regular dedicated hygiene promotion_5]]&gt;WWWW[[#This Row],['# People received regular supply of hygiene items_6]],WWWW[[#This Row],['# people reached by regular dedicated hygiene promotion_5]],WWWW[[#This Row],['# People received regular supply of hygiene items_6]])</f>
        <v>103</v>
      </c>
      <c r="CZ670" s="714">
        <f>IF(WWWW[[#This Row],[HRP3]]/WWWW[[#This Row],[Total PoP ]]&gt;100%,100%,WWWW[[#This Row],[HRP3]]/WWWW[[#This Row],[Total PoP ]])</f>
        <v>1</v>
      </c>
      <c r="DA670" s="713">
        <f>1-WWWW[[#This Row],[Hygiene Coverage%]]</f>
        <v>0</v>
      </c>
      <c r="DB670" s="710">
        <f>WWWW[[#This Row],['# people reached by regular dedicated hygiene promotion_5]]/WWWW[[#This Row],[Total PoP ]]</f>
        <v>1</v>
      </c>
      <c r="DC670" s="710">
        <f>IF(WWWW[[#This Row],['#_households that received standard amount of soap for this quarter]]/WWWW[[#This Row],[Total HH]]&gt;1,1,WWWW[[#This Row],['#_households that received standard amount of soap for this quarter]]/WWWW[[#This Row],[Total HH]])</f>
        <v>0</v>
      </c>
      <c r="DD670" s="710">
        <f>IF(WWWW[[#This Row],['#_households that received standard amount of sanitary pads for this quarter]]/WWWW[[#This Row],[Total HH]]&gt;1,1,WWWW[[#This Row],['#_households that received standard amount of sanitary pads for this quarter]]/WWWW[[#This Row],[Total HH]])</f>
        <v>0</v>
      </c>
      <c r="DE670" s="712">
        <f>WWWW[[#This Row],['#_Constructed/Existing hand washing stations]]-WWWW[[#This Row],['#_Non-Functional_hand_washing_stations]]</f>
        <v>0</v>
      </c>
      <c r="DF670" s="757">
        <f>IF(WWWW[[#This Row],['# Functional hand washing stations during reporting period]]*20&gt;WWWW[[#This Row],[Total HH]],WWWW[[#This Row],[Total HH]],WWWW[[#This Row],['# Functional hand washing stations during reporting period]]*20)</f>
        <v>0</v>
      </c>
      <c r="DG670" s="708">
        <f>IF(WWWW[[#This Row],[Is sufficient soap available for TLS? (Yes/No)]]="yes",WWWW[[#This Row],['#_Constructed/Existing hand washing stations at TLS]],0)</f>
        <v>0</v>
      </c>
      <c r="DH670" s="759">
        <f>IF(WWWW[[#This Row],['# Functional hand washing stations during reporting period]]*100&gt;WWWW[[#This Row],[Total PoP ]],WWWW[[#This Row],[Total PoP ]],WWWW[[#This Row],['# Functional hand washing stations during reporting period]]*100)</f>
        <v>0</v>
      </c>
      <c r="DI670" s="759" t="str">
        <f>IF(OR(WWWW[[#This Row],['#_students at TLS_CFS]]="",WWWW[[#This Row],['#_students at TLS_CFS]]=0),"No","Yes")</f>
        <v>No</v>
      </c>
      <c r="DJ670" s="711" t="str">
        <f>VLOOKUP(WWWW[[#This Row],[Site Name]],SiteDB6[[Site Name]:[CCCM Management]],6,FALSE)</f>
        <v>Yes</v>
      </c>
      <c r="DK670" s="711" t="str">
        <f>VLOOKUP(WWWW[[#This Row],[Site Name]],SiteDB6[[Site Name]:[CCCM Focal Agency]],7,FALSE)</f>
        <v>KBC</v>
      </c>
      <c r="DL670" s="711" t="str">
        <f>VLOOKUP(WWWW[[#This Row],[Site Name]],SiteDB6[[Site Name]:[Location Type 1]],9,FALSE)</f>
        <v>Camp</v>
      </c>
      <c r="DM670" s="711" t="str">
        <f>VLOOKUP(WWWW[[#This Row],[Site Name]],SiteDB6[[Site Name]:[Type of Accommodation]],10,FALSE)</f>
        <v>Camp</v>
      </c>
      <c r="DN670" s="711" t="str">
        <f>VLOOKUP(WWWW[[#This Row],[Site Name]],SiteDB6[[Site Name]:[Ethnic or GCA/NGCA]],11,FALSE)</f>
        <v>GCA</v>
      </c>
      <c r="DO670" s="711">
        <f>VLOOKUP(WWWW[[#This Row],[Site Name]],SiteDB6[[Site Name]:[Lat]],12,FALSE)</f>
        <v>25.920006000000001</v>
      </c>
      <c r="DP670" s="711">
        <f>VLOOKUP(WWWW[[#This Row],[Site Name]],SiteDB6[[Site Name]:[Long]],13,FALSE)</f>
        <v>96.662092000000001</v>
      </c>
      <c r="DQ670" s="711" t="str">
        <f>VLOOKUP(WWWW[[#This Row],[Site Name]],SiteDB6[[Site Name]:[Pcode]],3,FALSE)</f>
        <v>MMR001CMP244</v>
      </c>
      <c r="DR670" s="709" t="str">
        <f t="shared" si="24"/>
        <v>Covered</v>
      </c>
      <c r="DS670" s="709"/>
    </row>
    <row r="671" spans="1:123">
      <c r="A671" s="701" t="s">
        <v>2519</v>
      </c>
      <c r="B671" s="701" t="s">
        <v>149</v>
      </c>
      <c r="C671" s="702" t="s">
        <v>149</v>
      </c>
      <c r="D671" s="702" t="s">
        <v>3264</v>
      </c>
      <c r="E671" s="702" t="s">
        <v>39</v>
      </c>
      <c r="F671" s="702" t="s">
        <v>156</v>
      </c>
      <c r="G671" s="711" t="str">
        <f>VLOOKUP(WWWW[[#This Row],[Site Name]],SiteDB6[[Site Name]:[Location Type]],8,FALSE)</f>
        <v>Camp_not registered</v>
      </c>
      <c r="H671" s="702" t="s">
        <v>199</v>
      </c>
      <c r="I671" s="705">
        <v>18</v>
      </c>
      <c r="J671" s="705">
        <v>80</v>
      </c>
      <c r="K671" s="553" t="s">
        <v>3265</v>
      </c>
      <c r="L671" s="755" t="s">
        <v>3267</v>
      </c>
      <c r="M671" s="705"/>
      <c r="N671" s="705"/>
      <c r="O671" s="705"/>
      <c r="P671" s="705"/>
      <c r="Q671" s="708" t="s">
        <v>43</v>
      </c>
      <c r="R671" s="705"/>
      <c r="S671" s="705"/>
      <c r="T671" s="807">
        <v>2</v>
      </c>
      <c r="U671" s="705"/>
      <c r="V671" s="705"/>
      <c r="W671" s="705"/>
      <c r="X671" s="705"/>
      <c r="Y671" s="705"/>
      <c r="Z671" s="705"/>
      <c r="AA671" s="705"/>
      <c r="AB671" s="705"/>
      <c r="AC671" s="705"/>
      <c r="AD671" s="705"/>
      <c r="AE671" s="705"/>
      <c r="AF671" s="705"/>
      <c r="AG671" s="705"/>
      <c r="AH671" s="705">
        <v>0</v>
      </c>
      <c r="AI671" s="705"/>
      <c r="AJ671" s="705"/>
      <c r="AK671" s="705"/>
      <c r="AL671" s="705"/>
      <c r="AM671" s="705"/>
      <c r="AN671" s="705"/>
      <c r="AO671" s="709"/>
      <c r="AP671" s="705">
        <v>4</v>
      </c>
      <c r="AQ671" s="705"/>
      <c r="AR671" s="710"/>
      <c r="AS671" s="705"/>
      <c r="AT671" s="705"/>
      <c r="AU671" s="705"/>
      <c r="AV671" s="705"/>
      <c r="AW671" s="705">
        <v>4</v>
      </c>
      <c r="AX671" s="711" t="s">
        <v>43</v>
      </c>
      <c r="AY671" s="709" t="s">
        <v>145</v>
      </c>
      <c r="AZ671" s="705"/>
      <c r="BA671" s="705"/>
      <c r="BB671" s="705"/>
      <c r="BC671" s="711"/>
      <c r="BD671" s="705"/>
      <c r="BE671" s="705"/>
      <c r="BF671" s="705"/>
      <c r="BG671" s="705">
        <v>1</v>
      </c>
      <c r="BH671" s="705"/>
      <c r="BI671" s="705"/>
      <c r="BJ671" s="705">
        <v>1</v>
      </c>
      <c r="BK671" s="705"/>
      <c r="BL671" s="705"/>
      <c r="BM671" s="711"/>
      <c r="BN671" s="712"/>
      <c r="BO671" s="710"/>
      <c r="BP671" s="711"/>
      <c r="BQ671" s="713" t="str">
        <f>IFERROR(WWWW[[#This Row],['#_Water sources treated]]/WWWW[[#This Row],['#_Water sources tested for contamination]],"no test")</f>
        <v>no test</v>
      </c>
      <c r="BR671" s="710" t="str">
        <f>IFERROR(WWWW[[#This Row],['#_Household received remediation action due to contamination]]/WWWW[[#This Row],['#_Household water samples tested for contamination]],"no test")</f>
        <v>no test</v>
      </c>
      <c r="BS671" s="712" t="str">
        <f>IF(AND(WWWW[[#This Row],[% of water sources treated]]="no test",WWWW[[#This Row],[% Household received corrective actions]]="no test"),"No Test","Tested")</f>
        <v>No Test</v>
      </c>
      <c r="BT671" s="712">
        <f>WWWW[[#This Row],['#_Constructed/existing protected hand dug well]]-WWWW[[#This Row],['#_Non-functional protected hand dug well]]</f>
        <v>2</v>
      </c>
      <c r="BU671" s="712">
        <f>(WWWW[[#This Row],['#_Constructed/Existing tube wells/boreholes/handpumps_WASH_agency]]+WWWW[[#This Row],['#_Non-Cluster partner water tube-wells/boreholes/handpumps]])-WWWW[[#This Row],['#_Non-functional tube wells/boreholes/handpumps]]</f>
        <v>0</v>
      </c>
      <c r="BV671" s="712">
        <f>WWWW[[#This Row],['#_Constructed/Existingwater storage tank with gravity fed reticulation system]]-WWWW[[#This Row],['#_Non-functional storage tank gravity fed reticulation system]]</f>
        <v>0</v>
      </c>
      <c r="BW671" s="712">
        <f>WWWW[[#This Row],['#_Water boating or water trucking]]</f>
        <v>0</v>
      </c>
      <c r="BX671" s="712">
        <f>WWWW[[#This Row],['#_Constructed/Existing water distribution system from river or natural spring]]</f>
        <v>0</v>
      </c>
      <c r="BY67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7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71" s="710">
        <f>IF(WWWW[[#This Row],[Location Type 1]]="Village",WWWW[[#This Row],[Access to safe drinking water for Village]],WWWW[[#This Row],[Access to safe drinking water for Camp]])</f>
        <v>1</v>
      </c>
      <c r="CB671" s="708">
        <f>WWWW[[#This Row],[%Equitable and continuous access to sufficient quantity of safe drinking water]]*WWWW[[#This Row],[Total PoP ]]</f>
        <v>80</v>
      </c>
      <c r="CC671" s="710">
        <f>IF((WWWW[[#This Row],['#_Constructed/Existing protected/fenced ponds]]*250)/WWWW[[#This Row],[Total PoP ]]&gt;1,1,(WWWW[[#This Row],['#_Constructed/Existing protected/fenced ponds]]*250)/WWWW[[#This Row],[Total PoP ]])</f>
        <v>0</v>
      </c>
      <c r="CD671" s="708">
        <f>WWWW[[#This Row],[% Access to unimproved water points]]*WWWW[[#This Row],[Total PoP ]]</f>
        <v>0</v>
      </c>
      <c r="CE67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7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v>
      </c>
      <c r="CG671" s="708">
        <f>WWWW[[#This Row],[HRP1]]/500</f>
        <v>0.16</v>
      </c>
      <c r="CH671" s="714">
        <f>1-WWWW[[#This Row],[% Equitable and continuous access to sufficient quantity of domestic water]]</f>
        <v>0</v>
      </c>
      <c r="CI671" s="708">
        <f>WWWW[[#This Row],[%equitable and continuous access to sufficient quantity of safe drinking and domestic water''s GAP]]*WWWW[[#This Row],[Total PoP ]]</f>
        <v>0</v>
      </c>
      <c r="CJ671" s="712">
        <f>IF(WWWW[[#This Row],[Total required water points]]-WWWW[[#This Row],['#Water points coverage]]&lt;0,0,WWWW[[#This Row],[Total required water points]]-WWWW[[#This Row],['#Water points coverage]])</f>
        <v>0.84</v>
      </c>
      <c r="CK671" s="712">
        <f>ROUND(IF(WWWW[[#This Row],[Total PoP ]]&lt;500,1,WWWW[[#This Row],[Total PoP ]]/500),0)</f>
        <v>1</v>
      </c>
      <c r="CL671" s="712">
        <f>(WWWW[[#This Row],['#_Constructed latrines_by_WASHAgencies]]+WWWW[[#This Row],['#_Non Cluster partner latrines]])-WWWW[[#This Row],['#_Non-functional latrines]]</f>
        <v>4</v>
      </c>
      <c r="CM67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7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67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1" s="712">
        <f>IF(WWWW[[#This Row],[Location Type 1]]="Village","NA",IF(WWWW[[#This Row],['#_Constructed/Existing latrines in TLS]]*50&gt;WWWW[[#This Row],['#_students at TLS_CFS]],WWWW[[#This Row],['#_students at TLS_CFS]],(WWWW[[#This Row],['#_Constructed/Existing latrines in TLS]]*50)))</f>
        <v>0</v>
      </c>
      <c r="CQ671" s="712">
        <f>ROUND(IF(WWWW[[#This Row],[Location Type 1]]="camp",WWWW[[#This Row],[Total PoP ]]/20,IF(WWWW[[#This Row],[Location Type 1]]="Temporary Location",WWWW[[#This Row],[Total PoP ]]/50,(WWWW[[#This Row],[Total PoP ]]/6))),0)</f>
        <v>4</v>
      </c>
      <c r="CR671" s="712">
        <f>IF(WWWW[[#This Row],[Total required Latrines]]-(WWWW[[#This Row],['#_Constructed latrines_by_WASHAgencies]]+WWWW[[#This Row],['#_Non Cluster partner latrines]])&lt;0,0,WWWW[[#This Row],[Total required Latrines]]-(WWWW[[#This Row],['#_Constructed latrines_by_WASHAgencies]]+WWWW[[#This Row],['#_Non Cluster partner latrines]]))</f>
        <v>0</v>
      </c>
      <c r="CS671" s="714">
        <f>1-WWWW[[#This Row],[% people access to functioning Latrine]]</f>
        <v>0</v>
      </c>
      <c r="CT671" s="713">
        <f>IF(OR(WWWW[[#This Row],['#_Non-functional latrines]]="",WWWW[[#This Row],['#_Non-functional latrines]]=0),0,WWWW[[#This Row],['#_Non-functional latrines]]/(WWWW[[#This Row],['#_Constructed latrines_by_WASHAgencies]]+WWWW[[#This Row],['#_Non Cluster partner latrines]]))</f>
        <v>0</v>
      </c>
      <c r="CU671" s="708">
        <f>IF(500*(WWWW[[#This Row],['#_male hygiene promoters]]+WWWW[[#This Row],['#_female hygiene promoters]])&gt;WWWW[[#This Row],[Total PoP ]],WWWW[[#This Row],[Total PoP ]],500*(WWWW[[#This Row],['#_male hygiene promoters]]+WWWW[[#This Row],['#_female hygiene promoters]]))</f>
        <v>80</v>
      </c>
      <c r="CV67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1" s="712">
        <f>IF(WWWW[[#This Row],['# People with access to soap]]&gt;WWWW[[#This Row],['# People with access to Sanity Pads]],WWWW[[#This Row],['# People with access to soap]],WWWW[[#This Row],['# People with access to Sanity Pads]])</f>
        <v>0</v>
      </c>
      <c r="CY671" s="712">
        <f>IF(WWWW[[#This Row],['# people reached by regular dedicated hygiene promotion_5]]&gt;WWWW[[#This Row],['# People received regular supply of hygiene items_6]],WWWW[[#This Row],['# people reached by regular dedicated hygiene promotion_5]],WWWW[[#This Row],['# People received regular supply of hygiene items_6]])</f>
        <v>80</v>
      </c>
      <c r="CZ671" s="714">
        <f>IF(WWWW[[#This Row],[HRP3]]/WWWW[[#This Row],[Total PoP ]]&gt;100%,100%,WWWW[[#This Row],[HRP3]]/WWWW[[#This Row],[Total PoP ]])</f>
        <v>1</v>
      </c>
      <c r="DA671" s="713">
        <f>1-WWWW[[#This Row],[Hygiene Coverage%]]</f>
        <v>0</v>
      </c>
      <c r="DB671" s="710">
        <f>WWWW[[#This Row],['# people reached by regular dedicated hygiene promotion_5]]/WWWW[[#This Row],[Total PoP ]]</f>
        <v>1</v>
      </c>
      <c r="DC671" s="710">
        <f>IF(WWWW[[#This Row],['#_households that received standard amount of soap for this quarter]]/WWWW[[#This Row],[Total HH]]&gt;1,1,WWWW[[#This Row],['#_households that received standard amount of soap for this quarter]]/WWWW[[#This Row],[Total HH]])</f>
        <v>0</v>
      </c>
      <c r="DD671" s="710">
        <f>IF(WWWW[[#This Row],['#_households that received standard amount of sanitary pads for this quarter]]/WWWW[[#This Row],[Total HH]]&gt;1,1,WWWW[[#This Row],['#_households that received standard amount of sanitary pads for this quarter]]/WWWW[[#This Row],[Total HH]])</f>
        <v>0</v>
      </c>
      <c r="DE671" s="712">
        <f>WWWW[[#This Row],['#_Constructed/Existing hand washing stations]]-WWWW[[#This Row],['#_Non-Functional_hand_washing_stations]]</f>
        <v>0</v>
      </c>
      <c r="DF671" s="757">
        <f>IF(WWWW[[#This Row],['# Functional hand washing stations during reporting period]]*20&gt;WWWW[[#This Row],[Total HH]],WWWW[[#This Row],[Total HH]],WWWW[[#This Row],['# Functional hand washing stations during reporting period]]*20)</f>
        <v>0</v>
      </c>
      <c r="DG671" s="708">
        <f>IF(WWWW[[#This Row],[Is sufficient soap available for TLS? (Yes/No)]]="yes",WWWW[[#This Row],['#_Constructed/Existing hand washing stations at TLS]],0)</f>
        <v>0</v>
      </c>
      <c r="DH671" s="759">
        <f>IF(WWWW[[#This Row],['# Functional hand washing stations during reporting period]]*100&gt;WWWW[[#This Row],[Total PoP ]],WWWW[[#This Row],[Total PoP ]],WWWW[[#This Row],['# Functional hand washing stations during reporting period]]*100)</f>
        <v>0</v>
      </c>
      <c r="DI671" s="759" t="str">
        <f>IF(OR(WWWW[[#This Row],['#_students at TLS_CFS]]="",WWWW[[#This Row],['#_students at TLS_CFS]]=0),"No","Yes")</f>
        <v>No</v>
      </c>
      <c r="DJ671" s="711">
        <f>VLOOKUP(WWWW[[#This Row],[Site Name]],SiteDB6[[Site Name]:[CCCM Management]],6,FALSE)</f>
        <v>0</v>
      </c>
      <c r="DK671" s="711">
        <f>VLOOKUP(WWWW[[#This Row],[Site Name]],SiteDB6[[Site Name]:[CCCM Focal Agency]],7,FALSE)</f>
        <v>0</v>
      </c>
      <c r="DL671" s="711" t="str">
        <f>VLOOKUP(WWWW[[#This Row],[Site Name]],SiteDB6[[Site Name]:[Location Type 1]],9,FALSE)</f>
        <v>Camp</v>
      </c>
      <c r="DM671" s="711" t="str">
        <f>VLOOKUP(WWWW[[#This Row],[Site Name]],SiteDB6[[Site Name]:[Type of Accommodation]],10,FALSE)</f>
        <v>Camp</v>
      </c>
      <c r="DN671" s="711" t="str">
        <f>VLOOKUP(WWWW[[#This Row],[Site Name]],SiteDB6[[Site Name]:[Ethnic or GCA/NGCA]],11,FALSE)</f>
        <v>GCA</v>
      </c>
      <c r="DO671" s="711">
        <f>VLOOKUP(WWWW[[#This Row],[Site Name]],SiteDB6[[Site Name]:[Lat]],12,FALSE)</f>
        <v>0</v>
      </c>
      <c r="DP671" s="711">
        <f>VLOOKUP(WWWW[[#This Row],[Site Name]],SiteDB6[[Site Name]:[Long]],13,FALSE)</f>
        <v>0</v>
      </c>
      <c r="DQ671" s="711">
        <f>VLOOKUP(WWWW[[#This Row],[Site Name]],SiteDB6[[Site Name]:[Pcode]],3,FALSE)</f>
        <v>0</v>
      </c>
      <c r="DR671" s="709" t="str">
        <f t="shared" si="24"/>
        <v>Covered</v>
      </c>
      <c r="DS671" s="709"/>
    </row>
    <row r="672" spans="1:123">
      <c r="A672" s="701" t="s">
        <v>2519</v>
      </c>
      <c r="B672" s="701" t="s">
        <v>149</v>
      </c>
      <c r="C672" s="702" t="s">
        <v>149</v>
      </c>
      <c r="D672" s="702" t="s">
        <v>3268</v>
      </c>
      <c r="E672" s="702" t="s">
        <v>39</v>
      </c>
      <c r="F672" s="702" t="s">
        <v>167</v>
      </c>
      <c r="G672" s="711" t="str">
        <f>VLOOKUP(WWWW[[#This Row],[Site Name]],SiteDB6[[Site Name]:[Location Type]],8,FALSE)</f>
        <v>Camp</v>
      </c>
      <c r="H672" s="702" t="s">
        <v>176</v>
      </c>
      <c r="I672" s="705">
        <v>107</v>
      </c>
      <c r="J672" s="705">
        <v>534</v>
      </c>
      <c r="K672" s="593" t="s">
        <v>3276</v>
      </c>
      <c r="L672" s="58" t="s">
        <v>3277</v>
      </c>
      <c r="M672" s="705"/>
      <c r="N672" s="705"/>
      <c r="O672" s="705"/>
      <c r="P672" s="705"/>
      <c r="Q672" s="708" t="s">
        <v>43</v>
      </c>
      <c r="R672" s="705"/>
      <c r="S672" s="705"/>
      <c r="T672" s="807">
        <v>1</v>
      </c>
      <c r="U672" s="705"/>
      <c r="V672" s="705"/>
      <c r="W672" s="705">
        <v>1</v>
      </c>
      <c r="X672" s="705"/>
      <c r="Y672" s="705"/>
      <c r="Z672" s="705"/>
      <c r="AA672" s="705"/>
      <c r="AB672" s="705"/>
      <c r="AC672" s="705"/>
      <c r="AD672" s="705"/>
      <c r="AE672" s="705"/>
      <c r="AF672" s="705"/>
      <c r="AG672" s="705"/>
      <c r="AH672" s="705">
        <v>2</v>
      </c>
      <c r="AI672" s="705"/>
      <c r="AJ672" s="705"/>
      <c r="AK672" s="705"/>
      <c r="AL672" s="705"/>
      <c r="AM672" s="705"/>
      <c r="AN672" s="705"/>
      <c r="AO672" s="709"/>
      <c r="AP672" s="705">
        <v>13</v>
      </c>
      <c r="AQ672" s="705"/>
      <c r="AR672" s="710"/>
      <c r="AS672" s="705"/>
      <c r="AT672" s="705"/>
      <c r="AU672" s="705">
        <v>14</v>
      </c>
      <c r="AV672" s="705"/>
      <c r="AW672" s="705">
        <v>13</v>
      </c>
      <c r="AX672" s="711" t="s">
        <v>43</v>
      </c>
      <c r="AY672" s="709" t="s">
        <v>145</v>
      </c>
      <c r="AZ672" s="705"/>
      <c r="BA672" s="705"/>
      <c r="BB672" s="705"/>
      <c r="BC672" s="711"/>
      <c r="BD672" s="705"/>
      <c r="BE672" s="705"/>
      <c r="BF672" s="705"/>
      <c r="BG672" s="705">
        <v>2</v>
      </c>
      <c r="BH672" s="705"/>
      <c r="BI672" s="705"/>
      <c r="BJ672" s="705">
        <v>2</v>
      </c>
      <c r="BK672" s="705"/>
      <c r="BL672" s="705"/>
      <c r="BM672" s="711"/>
      <c r="BN672" s="712"/>
      <c r="BO672" s="710"/>
      <c r="BP672" s="711"/>
      <c r="BQ672" s="713" t="str">
        <f>IFERROR(WWWW[[#This Row],['#_Water sources treated]]/WWWW[[#This Row],['#_Water sources tested for contamination]],"no test")</f>
        <v>no test</v>
      </c>
      <c r="BR672" s="710" t="str">
        <f>IFERROR(WWWW[[#This Row],['#_Household received remediation action due to contamination]]/WWWW[[#This Row],['#_Household water samples tested for contamination]],"no test")</f>
        <v>no test</v>
      </c>
      <c r="BS672" s="712" t="str">
        <f>IF(AND(WWWW[[#This Row],[% of water sources treated]]="no test",WWWW[[#This Row],[% Household received corrective actions]]="no test"),"No Test","Tested")</f>
        <v>No Test</v>
      </c>
      <c r="BT672" s="712">
        <f>WWWW[[#This Row],['#_Constructed/existing protected hand dug well]]-WWWW[[#This Row],['#_Non-functional protected hand dug well]]</f>
        <v>1</v>
      </c>
      <c r="BU672" s="712">
        <f>(WWWW[[#This Row],['#_Constructed/Existing tube wells/boreholes/handpumps_WASH_agency]]+WWWW[[#This Row],['#_Non-Cluster partner water tube-wells/boreholes/handpumps]])-WWWW[[#This Row],['#_Non-functional tube wells/boreholes/handpumps]]</f>
        <v>1</v>
      </c>
      <c r="BV672" s="712">
        <f>WWWW[[#This Row],['#_Constructed/Existingwater storage tank with gravity fed reticulation system]]-WWWW[[#This Row],['#_Non-functional storage tank gravity fed reticulation system]]</f>
        <v>0</v>
      </c>
      <c r="BW672" s="712">
        <f>WWWW[[#This Row],['#_Water boating or water trucking]]</f>
        <v>0</v>
      </c>
      <c r="BX672" s="712">
        <f>WWWW[[#This Row],['#_Constructed/Existing water distribution system from river or natural spring]]</f>
        <v>0</v>
      </c>
      <c r="BY67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7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0.93632958801498123</v>
      </c>
      <c r="CA672" s="710">
        <f>IF(WWWW[[#This Row],[Location Type 1]]="Village",WWWW[[#This Row],[Access to safe drinking water for Village]],WWWW[[#This Row],[Access to safe drinking water for Camp]])</f>
        <v>1</v>
      </c>
      <c r="CB672" s="708">
        <f>WWWW[[#This Row],[%Equitable and continuous access to sufficient quantity of safe drinking water]]*WWWW[[#This Row],[Total PoP ]]</f>
        <v>534</v>
      </c>
      <c r="CC672" s="710">
        <f>IF((WWWW[[#This Row],['#_Constructed/Existing protected/fenced ponds]]*250)/WWWW[[#This Row],[Total PoP ]]&gt;1,1,(WWWW[[#This Row],['#_Constructed/Existing protected/fenced ponds]]*250)/WWWW[[#This Row],[Total PoP ]])</f>
        <v>0</v>
      </c>
      <c r="CD672" s="708">
        <f>WWWW[[#This Row],[% Access to unimproved water points]]*WWWW[[#This Row],[Total PoP ]]</f>
        <v>0</v>
      </c>
      <c r="CE67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7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534</v>
      </c>
      <c r="CG672" s="708">
        <f>WWWW[[#This Row],[HRP1]]/500</f>
        <v>1.0680000000000001</v>
      </c>
      <c r="CH672" s="714">
        <f>1-WWWW[[#This Row],[% Equitable and continuous access to sufficient quantity of domestic water]]</f>
        <v>0</v>
      </c>
      <c r="CI672" s="708">
        <f>WWWW[[#This Row],[%equitable and continuous access to sufficient quantity of safe drinking and domestic water''s GAP]]*WWWW[[#This Row],[Total PoP ]]</f>
        <v>0</v>
      </c>
      <c r="CJ672" s="712">
        <f>IF(WWWW[[#This Row],[Total required water points]]-WWWW[[#This Row],['#Water points coverage]]&lt;0,0,WWWW[[#This Row],[Total required water points]]-WWWW[[#This Row],['#Water points coverage]])</f>
        <v>0</v>
      </c>
      <c r="CK672" s="712">
        <f>ROUND(IF(WWWW[[#This Row],[Total PoP ]]&lt;500,1,WWWW[[#This Row],[Total PoP ]]/500),0)</f>
        <v>1</v>
      </c>
      <c r="CL672" s="712">
        <f>(WWWW[[#This Row],['#_Constructed latrines_by_WASHAgencies]]+WWWW[[#This Row],['#_Non Cluster partner latrines]])-WWWW[[#This Row],['#_Non-functional latrines]]</f>
        <v>13</v>
      </c>
      <c r="CM67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0.48689138576779029</v>
      </c>
      <c r="CN67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260</v>
      </c>
      <c r="CO67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CP672" s="712">
        <f>IF(WWWW[[#This Row],[Location Type 1]]="Village","NA",IF(WWWW[[#This Row],['#_Constructed/Existing latrines in TLS]]*50&gt;WWWW[[#This Row],['#_students at TLS_CFS]],WWWW[[#This Row],['#_students at TLS_CFS]],(WWWW[[#This Row],['#_Constructed/Existing latrines in TLS]]*50)))</f>
        <v>0</v>
      </c>
      <c r="CQ672" s="712">
        <f>ROUND(IF(WWWW[[#This Row],[Location Type 1]]="camp",WWWW[[#This Row],[Total PoP ]]/20,IF(WWWW[[#This Row],[Location Type 1]]="Temporary Location",WWWW[[#This Row],[Total PoP ]]/50,(WWWW[[#This Row],[Total PoP ]]/6))),0)</f>
        <v>27</v>
      </c>
      <c r="CR672" s="712">
        <f>IF(WWWW[[#This Row],[Total required Latrines]]-(WWWW[[#This Row],['#_Constructed latrines_by_WASHAgencies]]+WWWW[[#This Row],['#_Non Cluster partner latrines]])&lt;0,0,WWWW[[#This Row],[Total required Latrines]]-(WWWW[[#This Row],['#_Constructed latrines_by_WASHAgencies]]+WWWW[[#This Row],['#_Non Cluster partner latrines]]))</f>
        <v>14</v>
      </c>
      <c r="CS672" s="714">
        <f>1-WWWW[[#This Row],[% people access to functioning Latrine]]</f>
        <v>0.51310861423220966</v>
      </c>
      <c r="CT672" s="713">
        <f>IF(OR(WWWW[[#This Row],['#_Non-functional latrines]]="",WWWW[[#This Row],['#_Non-functional latrines]]=0),0,WWWW[[#This Row],['#_Non-functional latrines]]/(WWWW[[#This Row],['#_Constructed latrines_by_WASHAgencies]]+WWWW[[#This Row],['#_Non Cluster partner latrines]]))</f>
        <v>0</v>
      </c>
      <c r="CU672" s="708">
        <f>IF(500*(WWWW[[#This Row],['#_male hygiene promoters]]+WWWW[[#This Row],['#_female hygiene promoters]])&gt;WWWW[[#This Row],[Total PoP ]],WWWW[[#This Row],[Total PoP ]],500*(WWWW[[#This Row],['#_male hygiene promoters]]+WWWW[[#This Row],['#_female hygiene promoters]]))</f>
        <v>534</v>
      </c>
      <c r="CV67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2" s="712">
        <f>IF(WWWW[[#This Row],['# People with access to soap]]&gt;WWWW[[#This Row],['# People with access to Sanity Pads]],WWWW[[#This Row],['# People with access to soap]],WWWW[[#This Row],['# People with access to Sanity Pads]])</f>
        <v>0</v>
      </c>
      <c r="CY672" s="712">
        <f>IF(WWWW[[#This Row],['# people reached by regular dedicated hygiene promotion_5]]&gt;WWWW[[#This Row],['# People received regular supply of hygiene items_6]],WWWW[[#This Row],['# people reached by regular dedicated hygiene promotion_5]],WWWW[[#This Row],['# People received regular supply of hygiene items_6]])</f>
        <v>534</v>
      </c>
      <c r="CZ672" s="714">
        <f>IF(WWWW[[#This Row],[HRP3]]/WWWW[[#This Row],[Total PoP ]]&gt;100%,100%,WWWW[[#This Row],[HRP3]]/WWWW[[#This Row],[Total PoP ]])</f>
        <v>1</v>
      </c>
      <c r="DA672" s="713">
        <f>1-WWWW[[#This Row],[Hygiene Coverage%]]</f>
        <v>0</v>
      </c>
      <c r="DB672" s="710">
        <f>WWWW[[#This Row],['# people reached by regular dedicated hygiene promotion_5]]/WWWW[[#This Row],[Total PoP ]]</f>
        <v>1</v>
      </c>
      <c r="DC672" s="710">
        <f>IF(WWWW[[#This Row],['#_households that received standard amount of soap for this quarter]]/WWWW[[#This Row],[Total HH]]&gt;1,1,WWWW[[#This Row],['#_households that received standard amount of soap for this quarter]]/WWWW[[#This Row],[Total HH]])</f>
        <v>0</v>
      </c>
      <c r="DD672" s="710">
        <f>IF(WWWW[[#This Row],['#_households that received standard amount of sanitary pads for this quarter]]/WWWW[[#This Row],[Total HH]]&gt;1,1,WWWW[[#This Row],['#_households that received standard amount of sanitary pads for this quarter]]/WWWW[[#This Row],[Total HH]])</f>
        <v>0</v>
      </c>
      <c r="DE672" s="712">
        <f>WWWW[[#This Row],['#_Constructed/Existing hand washing stations]]-WWWW[[#This Row],['#_Non-Functional_hand_washing_stations]]</f>
        <v>0</v>
      </c>
      <c r="DF672" s="757">
        <f>IF(WWWW[[#This Row],['# Functional hand washing stations during reporting period]]*20&gt;WWWW[[#This Row],[Total HH]],WWWW[[#This Row],[Total HH]],WWWW[[#This Row],['# Functional hand washing stations during reporting period]]*20)</f>
        <v>0</v>
      </c>
      <c r="DG672" s="708">
        <f>IF(WWWW[[#This Row],[Is sufficient soap available for TLS? (Yes/No)]]="yes",WWWW[[#This Row],['#_Constructed/Existing hand washing stations at TLS]],0)</f>
        <v>0</v>
      </c>
      <c r="DH672" s="759">
        <f>IF(WWWW[[#This Row],['# Functional hand washing stations during reporting period]]*100&gt;WWWW[[#This Row],[Total PoP ]],WWWW[[#This Row],[Total PoP ]],WWWW[[#This Row],['# Functional hand washing stations during reporting period]]*100)</f>
        <v>0</v>
      </c>
      <c r="DI672" s="759" t="str">
        <f>IF(OR(WWWW[[#This Row],['#_students at TLS_CFS]]="",WWWW[[#This Row],['#_students at TLS_CFS]]=0),"No","Yes")</f>
        <v>No</v>
      </c>
      <c r="DJ672" s="711" t="str">
        <f>VLOOKUP(WWWW[[#This Row],[Site Name]],SiteDB6[[Site Name]:[CCCM Management]],6,FALSE)</f>
        <v>Yes</v>
      </c>
      <c r="DK672" s="711" t="str">
        <f>VLOOKUP(WWWW[[#This Row],[Site Name]],SiteDB6[[Site Name]:[CCCM Focal Agency]],7,FALSE)</f>
        <v>KBC-MYT</v>
      </c>
      <c r="DL672" s="711" t="str">
        <f>VLOOKUP(WWWW[[#This Row],[Site Name]],SiteDB6[[Site Name]:[Location Type 1]],9,FALSE)</f>
        <v>Camp</v>
      </c>
      <c r="DM672" s="711" t="str">
        <f>VLOOKUP(WWWW[[#This Row],[Site Name]],SiteDB6[[Site Name]:[Type of Accommodation]],10,FALSE)</f>
        <v>Camp</v>
      </c>
      <c r="DN672" s="711" t="str">
        <f>VLOOKUP(WWWW[[#This Row],[Site Name]],SiteDB6[[Site Name]:[Ethnic or GCA/NGCA]],11,FALSE)</f>
        <v>GCA</v>
      </c>
      <c r="DO672" s="711">
        <f>VLOOKUP(WWWW[[#This Row],[Site Name]],SiteDB6[[Site Name]:[Lat]],12,FALSE)</f>
        <v>25.412313000000001</v>
      </c>
      <c r="DP672" s="711">
        <f>VLOOKUP(WWWW[[#This Row],[Site Name]],SiteDB6[[Site Name]:[Long]],13,FALSE)</f>
        <v>97.399628000000007</v>
      </c>
      <c r="DQ672" s="711" t="str">
        <f>VLOOKUP(WWWW[[#This Row],[Site Name]],SiteDB6[[Site Name]:[Pcode]],3,FALSE)</f>
        <v>MMR001CMP006</v>
      </c>
      <c r="DR672" s="709" t="str">
        <f t="shared" si="24"/>
        <v>Covered</v>
      </c>
      <c r="DS672" s="709"/>
    </row>
    <row r="673" spans="1:123">
      <c r="A673" s="701" t="s">
        <v>2519</v>
      </c>
      <c r="B673" s="701" t="s">
        <v>317</v>
      </c>
      <c r="C673" s="702" t="s">
        <v>317</v>
      </c>
      <c r="D673" s="702"/>
      <c r="E673" s="702" t="s">
        <v>39</v>
      </c>
      <c r="F673" s="702" t="s">
        <v>192</v>
      </c>
      <c r="G673" s="711" t="str">
        <f>VLOOKUP(WWWW[[#This Row],[Site Name]],SiteDB6[[Site Name]:[Location Type]],8,FALSE)</f>
        <v>Camp</v>
      </c>
      <c r="H673" s="702" t="s">
        <v>3034</v>
      </c>
      <c r="I673" s="705">
        <v>29</v>
      </c>
      <c r="J673" s="705">
        <v>140</v>
      </c>
      <c r="K673" s="706"/>
      <c r="L673" s="707"/>
      <c r="M673" s="705"/>
      <c r="N673" s="705"/>
      <c r="O673" s="705"/>
      <c r="P673" s="705"/>
      <c r="Q673" s="708"/>
      <c r="R673" s="705"/>
      <c r="S673" s="705"/>
      <c r="T673" s="807"/>
      <c r="U673" s="705"/>
      <c r="V673" s="705"/>
      <c r="W673" s="705"/>
      <c r="X673" s="705"/>
      <c r="Y673" s="705"/>
      <c r="Z673" s="705"/>
      <c r="AA673" s="705"/>
      <c r="AB673" s="705"/>
      <c r="AC673" s="705"/>
      <c r="AD673" s="705"/>
      <c r="AE673" s="705"/>
      <c r="AF673" s="705"/>
      <c r="AG673" s="705"/>
      <c r="AH673" s="705"/>
      <c r="AI673" s="705"/>
      <c r="AJ673" s="705"/>
      <c r="AK673" s="705"/>
      <c r="AL673" s="705"/>
      <c r="AM673" s="705"/>
      <c r="AN673" s="705"/>
      <c r="AO673" s="709"/>
      <c r="AP673" s="705"/>
      <c r="AQ673" s="705"/>
      <c r="AR673" s="710"/>
      <c r="AS673" s="705"/>
      <c r="AT673" s="705"/>
      <c r="AU673" s="705"/>
      <c r="AV673" s="705"/>
      <c r="AW673" s="705"/>
      <c r="AX673" s="711"/>
      <c r="AY673" s="709"/>
      <c r="AZ673" s="705"/>
      <c r="BA673" s="705"/>
      <c r="BB673" s="705"/>
      <c r="BC673" s="711"/>
      <c r="BD673" s="705"/>
      <c r="BE673" s="705"/>
      <c r="BF673" s="705"/>
      <c r="BG673" s="705"/>
      <c r="BH673" s="705"/>
      <c r="BI673" s="705"/>
      <c r="BJ673" s="705"/>
      <c r="BK673" s="705"/>
      <c r="BL673" s="705"/>
      <c r="BM673" s="711"/>
      <c r="BN673" s="712"/>
      <c r="BO673" s="710"/>
      <c r="BP673" s="711"/>
      <c r="BQ673" s="713" t="str">
        <f>IFERROR(WWWW[[#This Row],['#_Water sources treated]]/WWWW[[#This Row],['#_Water sources tested for contamination]],"no test")</f>
        <v>no test</v>
      </c>
      <c r="BR673" s="710" t="str">
        <f>IFERROR(WWWW[[#This Row],['#_Household received remediation action due to contamination]]/WWWW[[#This Row],['#_Household water samples tested for contamination]],"no test")</f>
        <v>no test</v>
      </c>
      <c r="BS673" s="712" t="str">
        <f>IF(AND(WWWW[[#This Row],[% of water sources treated]]="no test",WWWW[[#This Row],[% Household received corrective actions]]="no test"),"No Test","Tested")</f>
        <v>No Test</v>
      </c>
      <c r="BT673" s="712">
        <f>WWWW[[#This Row],['#_Constructed/existing protected hand dug well]]-WWWW[[#This Row],['#_Non-functional protected hand dug well]]</f>
        <v>0</v>
      </c>
      <c r="BU673" s="712">
        <f>(WWWW[[#This Row],['#_Constructed/Existing tube wells/boreholes/handpumps_WASH_agency]]+WWWW[[#This Row],['#_Non-Cluster partner water tube-wells/boreholes/handpumps]])-WWWW[[#This Row],['#_Non-functional tube wells/boreholes/handpumps]]</f>
        <v>0</v>
      </c>
      <c r="BV673" s="712">
        <f>WWWW[[#This Row],['#_Constructed/Existingwater storage tank with gravity fed reticulation system]]-WWWW[[#This Row],['#_Non-functional storage tank gravity fed reticulation system]]</f>
        <v>0</v>
      </c>
      <c r="BW673" s="712">
        <f>WWWW[[#This Row],['#_Water boating or water trucking]]</f>
        <v>0</v>
      </c>
      <c r="BX673" s="712">
        <f>WWWW[[#This Row],['#_Constructed/Existing water distribution system from river or natural spring]]</f>
        <v>0</v>
      </c>
      <c r="BY67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7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73" s="710">
        <f>IF(WWWW[[#This Row],[Location Type 1]]="Village",WWWW[[#This Row],[Access to safe drinking water for Village]],WWWW[[#This Row],[Access to safe drinking water for Camp]])</f>
        <v>0</v>
      </c>
      <c r="CB673" s="708">
        <f>WWWW[[#This Row],[%Equitable and continuous access to sufficient quantity of safe drinking water]]*WWWW[[#This Row],[Total PoP ]]</f>
        <v>0</v>
      </c>
      <c r="CC673" s="710">
        <f>IF((WWWW[[#This Row],['#_Constructed/Existing protected/fenced ponds]]*250)/WWWW[[#This Row],[Total PoP ]]&gt;1,1,(WWWW[[#This Row],['#_Constructed/Existing protected/fenced ponds]]*250)/WWWW[[#This Row],[Total PoP ]])</f>
        <v>0</v>
      </c>
      <c r="CD673" s="708">
        <f>WWWW[[#This Row],[% Access to unimproved water points]]*WWWW[[#This Row],[Total PoP ]]</f>
        <v>0</v>
      </c>
      <c r="CE67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7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73" s="708">
        <f>WWWW[[#This Row],[HRP1]]/500</f>
        <v>0</v>
      </c>
      <c r="CH673" s="714">
        <f>1-WWWW[[#This Row],[% Equitable and continuous access to sufficient quantity of domestic water]]</f>
        <v>1</v>
      </c>
      <c r="CI673" s="708">
        <f>WWWW[[#This Row],[%equitable and continuous access to sufficient quantity of safe drinking and domestic water''s GAP]]*WWWW[[#This Row],[Total PoP ]]</f>
        <v>140</v>
      </c>
      <c r="CJ673" s="712">
        <f>IF(WWWW[[#This Row],[Total required water points]]-WWWW[[#This Row],['#Water points coverage]]&lt;0,0,WWWW[[#This Row],[Total required water points]]-WWWW[[#This Row],['#Water points coverage]])</f>
        <v>1</v>
      </c>
      <c r="CK673" s="712">
        <f>ROUND(IF(WWWW[[#This Row],[Total PoP ]]&lt;500,1,WWWW[[#This Row],[Total PoP ]]/500),0)</f>
        <v>1</v>
      </c>
      <c r="CL673" s="712">
        <f>(WWWW[[#This Row],['#_Constructed latrines_by_WASHAgencies]]+WWWW[[#This Row],['#_Non Cluster partner latrines]])-WWWW[[#This Row],['#_Non-functional latrines]]</f>
        <v>0</v>
      </c>
      <c r="CM67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7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7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3" s="712">
        <f>IF(WWWW[[#This Row],[Location Type 1]]="Village","NA",IF(WWWW[[#This Row],['#_Constructed/Existing latrines in TLS]]*50&gt;WWWW[[#This Row],['#_students at TLS_CFS]],WWWW[[#This Row],['#_students at TLS_CFS]],(WWWW[[#This Row],['#_Constructed/Existing latrines in TLS]]*50)))</f>
        <v>0</v>
      </c>
      <c r="CQ673" s="712">
        <f>ROUND(IF(WWWW[[#This Row],[Location Type 1]]="camp",WWWW[[#This Row],[Total PoP ]]/20,IF(WWWW[[#This Row],[Location Type 1]]="Temporary Location",WWWW[[#This Row],[Total PoP ]]/50,(WWWW[[#This Row],[Total PoP ]]/6))),0)</f>
        <v>7</v>
      </c>
      <c r="CR673" s="712">
        <f>IF(WWWW[[#This Row],[Total required Latrines]]-(WWWW[[#This Row],['#_Constructed latrines_by_WASHAgencies]]+WWWW[[#This Row],['#_Non Cluster partner latrines]])&lt;0,0,WWWW[[#This Row],[Total required Latrines]]-(WWWW[[#This Row],['#_Constructed latrines_by_WASHAgencies]]+WWWW[[#This Row],['#_Non Cluster partner latrines]]))</f>
        <v>7</v>
      </c>
      <c r="CS673" s="714">
        <f>1-WWWW[[#This Row],[% people access to functioning Latrine]]</f>
        <v>1</v>
      </c>
      <c r="CT673" s="713">
        <f>IF(OR(WWWW[[#This Row],['#_Non-functional latrines]]="",WWWW[[#This Row],['#_Non-functional latrines]]=0),0,WWWW[[#This Row],['#_Non-functional latrines]]/(WWWW[[#This Row],['#_Constructed latrines_by_WASHAgencies]]+WWWW[[#This Row],['#_Non Cluster partner latrines]]))</f>
        <v>0</v>
      </c>
      <c r="CU673" s="708">
        <f>IF(500*(WWWW[[#This Row],['#_male hygiene promoters]]+WWWW[[#This Row],['#_female hygiene promoters]])&gt;WWWW[[#This Row],[Total PoP ]],WWWW[[#This Row],[Total PoP ]],500*(WWWW[[#This Row],['#_male hygiene promoters]]+WWWW[[#This Row],['#_female hygiene promoters]]))</f>
        <v>0</v>
      </c>
      <c r="CV67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3" s="712">
        <f>IF(WWWW[[#This Row],['# People with access to soap]]&gt;WWWW[[#This Row],['# People with access to Sanity Pads]],WWWW[[#This Row],['# People with access to soap]],WWWW[[#This Row],['# People with access to Sanity Pads]])</f>
        <v>0</v>
      </c>
      <c r="CY67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73" s="714">
        <f>IF(WWWW[[#This Row],[HRP3]]/WWWW[[#This Row],[Total PoP ]]&gt;100%,100%,WWWW[[#This Row],[HRP3]]/WWWW[[#This Row],[Total PoP ]])</f>
        <v>0</v>
      </c>
      <c r="DA673" s="713">
        <f>1-WWWW[[#This Row],[Hygiene Coverage%]]</f>
        <v>1</v>
      </c>
      <c r="DB673" s="710">
        <f>WWWW[[#This Row],['# people reached by regular dedicated hygiene promotion_5]]/WWWW[[#This Row],[Total PoP ]]</f>
        <v>0</v>
      </c>
      <c r="DC673" s="710">
        <f>IF(WWWW[[#This Row],['#_households that received standard amount of soap for this quarter]]/WWWW[[#This Row],[Total HH]]&gt;1,1,WWWW[[#This Row],['#_households that received standard amount of soap for this quarter]]/WWWW[[#This Row],[Total HH]])</f>
        <v>0</v>
      </c>
      <c r="DD673" s="710">
        <f>IF(WWWW[[#This Row],['#_households that received standard amount of sanitary pads for this quarter]]/WWWW[[#This Row],[Total HH]]&gt;1,1,WWWW[[#This Row],['#_households that received standard amount of sanitary pads for this quarter]]/WWWW[[#This Row],[Total HH]])</f>
        <v>0</v>
      </c>
      <c r="DE673" s="712">
        <f>WWWW[[#This Row],['#_Constructed/Existing hand washing stations]]-WWWW[[#This Row],['#_Non-Functional_hand_washing_stations]]</f>
        <v>0</v>
      </c>
      <c r="DF673" s="757">
        <f>IF(WWWW[[#This Row],['# Functional hand washing stations during reporting period]]*20&gt;WWWW[[#This Row],[Total HH]],WWWW[[#This Row],[Total HH]],WWWW[[#This Row],['# Functional hand washing stations during reporting period]]*20)</f>
        <v>0</v>
      </c>
      <c r="DG673" s="708">
        <f>IF(WWWW[[#This Row],[Is sufficient soap available for TLS? (Yes/No)]]="yes",WWWW[[#This Row],['#_Constructed/Existing hand washing stations at TLS]],0)</f>
        <v>0</v>
      </c>
      <c r="DH673" s="759">
        <f>IF(WWWW[[#This Row],['# Functional hand washing stations during reporting period]]*100&gt;WWWW[[#This Row],[Total PoP ]],WWWW[[#This Row],[Total PoP ]],WWWW[[#This Row],['# Functional hand washing stations during reporting period]]*100)</f>
        <v>0</v>
      </c>
      <c r="DI673" s="759" t="str">
        <f>IF(OR(WWWW[[#This Row],['#_students at TLS_CFS]]="",WWWW[[#This Row],['#_students at TLS_CFS]]=0),"No","Yes")</f>
        <v>No</v>
      </c>
      <c r="DJ673" s="711">
        <f>VLOOKUP(WWWW[[#This Row],[Site Name]],SiteDB6[[Site Name]:[CCCM Management]],6,FALSE)</f>
        <v>0</v>
      </c>
      <c r="DK673" s="711" t="str">
        <f>VLOOKUP(WWWW[[#This Row],[Site Name]],SiteDB6[[Site Name]:[CCCM Focal Agency]],7,FALSE)</f>
        <v>uncovered</v>
      </c>
      <c r="DL673" s="711" t="str">
        <f>VLOOKUP(WWWW[[#This Row],[Site Name]],SiteDB6[[Site Name]:[Location Type 1]],9,FALSE)</f>
        <v>Camp</v>
      </c>
      <c r="DM673" s="711" t="str">
        <f>VLOOKUP(WWWW[[#This Row],[Site Name]],SiteDB6[[Site Name]:[Type of Accommodation]],10,FALSE)</f>
        <v>Camp like setting</v>
      </c>
      <c r="DN673" s="711" t="str">
        <f>VLOOKUP(WWWW[[#This Row],[Site Name]],SiteDB6[[Site Name]:[Ethnic or GCA/NGCA]],11,FALSE)</f>
        <v>GCA</v>
      </c>
      <c r="DO673" s="711">
        <f>VLOOKUP(WWWW[[#This Row],[Site Name]],SiteDB6[[Site Name]:[Lat]],12,FALSE)</f>
        <v>25.415667500000001</v>
      </c>
      <c r="DP673" s="711">
        <f>VLOOKUP(WWWW[[#This Row],[Site Name]],SiteDB6[[Site Name]:[Long]],13,FALSE)</f>
        <v>97.437782499999997</v>
      </c>
      <c r="DQ673" s="711" t="str">
        <f>VLOOKUP(WWWW[[#This Row],[Site Name]],SiteDB6[[Site Name]:[Pcode]],3,FALSE)</f>
        <v>MMR001CMP272</v>
      </c>
      <c r="DR673" s="709" t="str">
        <f t="shared" si="24"/>
        <v>Notcovered</v>
      </c>
      <c r="DS673" s="709"/>
    </row>
    <row r="674" spans="1:123">
      <c r="A674" s="701" t="s">
        <v>2519</v>
      </c>
      <c r="B674" s="701" t="s">
        <v>317</v>
      </c>
      <c r="C674" s="702" t="s">
        <v>317</v>
      </c>
      <c r="D674" s="702"/>
      <c r="E674" s="702" t="s">
        <v>39</v>
      </c>
      <c r="F674" s="702" t="s">
        <v>192</v>
      </c>
      <c r="G674" s="711" t="str">
        <f>VLOOKUP(WWWW[[#This Row],[Site Name]],SiteDB6[[Site Name]:[Location Type]],8,FALSE)</f>
        <v>Camp</v>
      </c>
      <c r="H674" s="702" t="s">
        <v>192</v>
      </c>
      <c r="I674" s="705">
        <v>5</v>
      </c>
      <c r="J674" s="705">
        <v>32</v>
      </c>
      <c r="K674" s="706"/>
      <c r="L674" s="707"/>
      <c r="M674" s="705"/>
      <c r="N674" s="705"/>
      <c r="O674" s="705"/>
      <c r="P674" s="705"/>
      <c r="Q674" s="708"/>
      <c r="R674" s="705"/>
      <c r="S674" s="705"/>
      <c r="T674" s="807"/>
      <c r="U674" s="705"/>
      <c r="V674" s="705"/>
      <c r="W674" s="705"/>
      <c r="X674" s="705"/>
      <c r="Y674" s="705"/>
      <c r="Z674" s="705"/>
      <c r="AA674" s="705"/>
      <c r="AB674" s="705"/>
      <c r="AC674" s="705"/>
      <c r="AD674" s="705"/>
      <c r="AE674" s="705"/>
      <c r="AF674" s="705"/>
      <c r="AG674" s="705"/>
      <c r="AH674" s="705"/>
      <c r="AI674" s="705"/>
      <c r="AJ674" s="705"/>
      <c r="AK674" s="705"/>
      <c r="AL674" s="705"/>
      <c r="AM674" s="705"/>
      <c r="AN674" s="705"/>
      <c r="AO674" s="709"/>
      <c r="AP674" s="705"/>
      <c r="AQ674" s="705"/>
      <c r="AR674" s="710"/>
      <c r="AS674" s="705"/>
      <c r="AT674" s="705"/>
      <c r="AU674" s="705"/>
      <c r="AV674" s="705"/>
      <c r="AW674" s="705"/>
      <c r="AX674" s="711"/>
      <c r="AY674" s="709"/>
      <c r="AZ674" s="705"/>
      <c r="BA674" s="705"/>
      <c r="BB674" s="705"/>
      <c r="BC674" s="711"/>
      <c r="BD674" s="705"/>
      <c r="BE674" s="705"/>
      <c r="BF674" s="705"/>
      <c r="BG674" s="705"/>
      <c r="BH674" s="705"/>
      <c r="BI674" s="705"/>
      <c r="BJ674" s="705"/>
      <c r="BK674" s="705"/>
      <c r="BL674" s="705"/>
      <c r="BM674" s="711"/>
      <c r="BN674" s="712"/>
      <c r="BO674" s="710"/>
      <c r="BP674" s="711"/>
      <c r="BQ674" s="713" t="str">
        <f>IFERROR(WWWW[[#This Row],['#_Water sources treated]]/WWWW[[#This Row],['#_Water sources tested for contamination]],"no test")</f>
        <v>no test</v>
      </c>
      <c r="BR674" s="710" t="str">
        <f>IFERROR(WWWW[[#This Row],['#_Household received remediation action due to contamination]]/WWWW[[#This Row],['#_Household water samples tested for contamination]],"no test")</f>
        <v>no test</v>
      </c>
      <c r="BS674" s="712" t="str">
        <f>IF(AND(WWWW[[#This Row],[% of water sources treated]]="no test",WWWW[[#This Row],[% Household received corrective actions]]="no test"),"No Test","Tested")</f>
        <v>No Test</v>
      </c>
      <c r="BT674" s="712">
        <f>WWWW[[#This Row],['#_Constructed/existing protected hand dug well]]-WWWW[[#This Row],['#_Non-functional protected hand dug well]]</f>
        <v>0</v>
      </c>
      <c r="BU674" s="712">
        <f>(WWWW[[#This Row],['#_Constructed/Existing tube wells/boreholes/handpumps_WASH_agency]]+WWWW[[#This Row],['#_Non-Cluster partner water tube-wells/boreholes/handpumps]])-WWWW[[#This Row],['#_Non-functional tube wells/boreholes/handpumps]]</f>
        <v>0</v>
      </c>
      <c r="BV674" s="712">
        <f>WWWW[[#This Row],['#_Constructed/Existingwater storage tank with gravity fed reticulation system]]-WWWW[[#This Row],['#_Non-functional storage tank gravity fed reticulation system]]</f>
        <v>0</v>
      </c>
      <c r="BW674" s="712">
        <f>WWWW[[#This Row],['#_Water boating or water trucking]]</f>
        <v>0</v>
      </c>
      <c r="BX674" s="712">
        <f>WWWW[[#This Row],['#_Constructed/Existing water distribution system from river or natural spring]]</f>
        <v>0</v>
      </c>
      <c r="BY67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7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74" s="710">
        <f>IF(WWWW[[#This Row],[Location Type 1]]="Village",WWWW[[#This Row],[Access to safe drinking water for Village]],WWWW[[#This Row],[Access to safe drinking water for Camp]])</f>
        <v>0</v>
      </c>
      <c r="CB674" s="708">
        <f>WWWW[[#This Row],[%Equitable and continuous access to sufficient quantity of safe drinking water]]*WWWW[[#This Row],[Total PoP ]]</f>
        <v>0</v>
      </c>
      <c r="CC674" s="710">
        <f>IF((WWWW[[#This Row],['#_Constructed/Existing protected/fenced ponds]]*250)/WWWW[[#This Row],[Total PoP ]]&gt;1,1,(WWWW[[#This Row],['#_Constructed/Existing protected/fenced ponds]]*250)/WWWW[[#This Row],[Total PoP ]])</f>
        <v>0</v>
      </c>
      <c r="CD674" s="708">
        <f>WWWW[[#This Row],[% Access to unimproved water points]]*WWWW[[#This Row],[Total PoP ]]</f>
        <v>0</v>
      </c>
      <c r="CE67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7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74" s="708">
        <f>WWWW[[#This Row],[HRP1]]/500</f>
        <v>0</v>
      </c>
      <c r="CH674" s="714">
        <f>1-WWWW[[#This Row],[% Equitable and continuous access to sufficient quantity of domestic water]]</f>
        <v>1</v>
      </c>
      <c r="CI674" s="708">
        <f>WWWW[[#This Row],[%equitable and continuous access to sufficient quantity of safe drinking and domestic water''s GAP]]*WWWW[[#This Row],[Total PoP ]]</f>
        <v>32</v>
      </c>
      <c r="CJ674" s="712">
        <f>IF(WWWW[[#This Row],[Total required water points]]-WWWW[[#This Row],['#Water points coverage]]&lt;0,0,WWWW[[#This Row],[Total required water points]]-WWWW[[#This Row],['#Water points coverage]])</f>
        <v>1</v>
      </c>
      <c r="CK674" s="712">
        <f>ROUND(IF(WWWW[[#This Row],[Total PoP ]]&lt;500,1,WWWW[[#This Row],[Total PoP ]]/500),0)</f>
        <v>1</v>
      </c>
      <c r="CL674" s="712">
        <f>(WWWW[[#This Row],['#_Constructed latrines_by_WASHAgencies]]+WWWW[[#This Row],['#_Non Cluster partner latrines]])-WWWW[[#This Row],['#_Non-functional latrines]]</f>
        <v>0</v>
      </c>
      <c r="CM67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7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7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4" s="712">
        <f>IF(WWWW[[#This Row],[Location Type 1]]="Village","NA",IF(WWWW[[#This Row],['#_Constructed/Existing latrines in TLS]]*50&gt;WWWW[[#This Row],['#_students at TLS_CFS]],WWWW[[#This Row],['#_students at TLS_CFS]],(WWWW[[#This Row],['#_Constructed/Existing latrines in TLS]]*50)))</f>
        <v>0</v>
      </c>
      <c r="CQ674" s="712">
        <f>ROUND(IF(WWWW[[#This Row],[Location Type 1]]="camp",WWWW[[#This Row],[Total PoP ]]/20,IF(WWWW[[#This Row],[Location Type 1]]="Temporary Location",WWWW[[#This Row],[Total PoP ]]/50,(WWWW[[#This Row],[Total PoP ]]/6))),0)</f>
        <v>2</v>
      </c>
      <c r="CR674" s="712">
        <f>IF(WWWW[[#This Row],[Total required Latrines]]-(WWWW[[#This Row],['#_Constructed latrines_by_WASHAgencies]]+WWWW[[#This Row],['#_Non Cluster partner latrines]])&lt;0,0,WWWW[[#This Row],[Total required Latrines]]-(WWWW[[#This Row],['#_Constructed latrines_by_WASHAgencies]]+WWWW[[#This Row],['#_Non Cluster partner latrines]]))</f>
        <v>2</v>
      </c>
      <c r="CS674" s="714">
        <f>1-WWWW[[#This Row],[% people access to functioning Latrine]]</f>
        <v>1</v>
      </c>
      <c r="CT674" s="713">
        <f>IF(OR(WWWW[[#This Row],['#_Non-functional latrines]]="",WWWW[[#This Row],['#_Non-functional latrines]]=0),0,WWWW[[#This Row],['#_Non-functional latrines]]/(WWWW[[#This Row],['#_Constructed latrines_by_WASHAgencies]]+WWWW[[#This Row],['#_Non Cluster partner latrines]]))</f>
        <v>0</v>
      </c>
      <c r="CU674" s="708">
        <f>IF(500*(WWWW[[#This Row],['#_male hygiene promoters]]+WWWW[[#This Row],['#_female hygiene promoters]])&gt;WWWW[[#This Row],[Total PoP ]],WWWW[[#This Row],[Total PoP ]],500*(WWWW[[#This Row],['#_male hygiene promoters]]+WWWW[[#This Row],['#_female hygiene promoters]]))</f>
        <v>0</v>
      </c>
      <c r="CV67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4" s="712">
        <f>IF(WWWW[[#This Row],['# People with access to soap]]&gt;WWWW[[#This Row],['# People with access to Sanity Pads]],WWWW[[#This Row],['# People with access to soap]],WWWW[[#This Row],['# People with access to Sanity Pads]])</f>
        <v>0</v>
      </c>
      <c r="CY67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74" s="714">
        <f>IF(WWWW[[#This Row],[HRP3]]/WWWW[[#This Row],[Total PoP ]]&gt;100%,100%,WWWW[[#This Row],[HRP3]]/WWWW[[#This Row],[Total PoP ]])</f>
        <v>0</v>
      </c>
      <c r="DA674" s="713">
        <f>1-WWWW[[#This Row],[Hygiene Coverage%]]</f>
        <v>1</v>
      </c>
      <c r="DB674" s="710">
        <f>WWWW[[#This Row],['# people reached by regular dedicated hygiene promotion_5]]/WWWW[[#This Row],[Total PoP ]]</f>
        <v>0</v>
      </c>
      <c r="DC674" s="710">
        <f>IF(WWWW[[#This Row],['#_households that received standard amount of soap for this quarter]]/WWWW[[#This Row],[Total HH]]&gt;1,1,WWWW[[#This Row],['#_households that received standard amount of soap for this quarter]]/WWWW[[#This Row],[Total HH]])</f>
        <v>0</v>
      </c>
      <c r="DD674" s="710">
        <f>IF(WWWW[[#This Row],['#_households that received standard amount of sanitary pads for this quarter]]/WWWW[[#This Row],[Total HH]]&gt;1,1,WWWW[[#This Row],['#_households that received standard amount of sanitary pads for this quarter]]/WWWW[[#This Row],[Total HH]])</f>
        <v>0</v>
      </c>
      <c r="DE674" s="712">
        <f>WWWW[[#This Row],['#_Constructed/Existing hand washing stations]]-WWWW[[#This Row],['#_Non-Functional_hand_washing_stations]]</f>
        <v>0</v>
      </c>
      <c r="DF674" s="757">
        <f>IF(WWWW[[#This Row],['# Functional hand washing stations during reporting period]]*20&gt;WWWW[[#This Row],[Total HH]],WWWW[[#This Row],[Total HH]],WWWW[[#This Row],['# Functional hand washing stations during reporting period]]*20)</f>
        <v>0</v>
      </c>
      <c r="DG674" s="708">
        <f>IF(WWWW[[#This Row],[Is sufficient soap available for TLS? (Yes/No)]]="yes",WWWW[[#This Row],['#_Constructed/Existing hand washing stations at TLS]],0)</f>
        <v>0</v>
      </c>
      <c r="DH674" s="759">
        <f>IF(WWWW[[#This Row],['# Functional hand washing stations during reporting period]]*100&gt;WWWW[[#This Row],[Total PoP ]],WWWW[[#This Row],[Total PoP ]],WWWW[[#This Row],['# Functional hand washing stations during reporting period]]*100)</f>
        <v>0</v>
      </c>
      <c r="DI674" s="759" t="str">
        <f>IF(OR(WWWW[[#This Row],['#_students at TLS_CFS]]="",WWWW[[#This Row],['#_students at TLS_CFS]]=0),"No","Yes")</f>
        <v>No</v>
      </c>
      <c r="DJ674" s="711">
        <f>VLOOKUP(WWWW[[#This Row],[Site Name]],SiteDB6[[Site Name]:[CCCM Management]],6,FALSE)</f>
        <v>0</v>
      </c>
      <c r="DK674" s="711" t="str">
        <f>VLOOKUP(WWWW[[#This Row],[Site Name]],SiteDB6[[Site Name]:[CCCM Focal Agency]],7,FALSE)</f>
        <v>uncovered</v>
      </c>
      <c r="DL674" s="711" t="str">
        <f>VLOOKUP(WWWW[[#This Row],[Site Name]],SiteDB6[[Site Name]:[Location Type 1]],9,FALSE)</f>
        <v>Camp</v>
      </c>
      <c r="DM674" s="711" t="str">
        <f>VLOOKUP(WWWW[[#This Row],[Site Name]],SiteDB6[[Site Name]:[Type of Accommodation]],10,FALSE)</f>
        <v>Camp like setting</v>
      </c>
      <c r="DN674" s="711" t="str">
        <f>VLOOKUP(WWWW[[#This Row],[Site Name]],SiteDB6[[Site Name]:[Ethnic or GCA/NGCA]],11,FALSE)</f>
        <v>GCA</v>
      </c>
      <c r="DO674" s="711">
        <f>VLOOKUP(WWWW[[#This Row],[Site Name]],SiteDB6[[Site Name]:[Lat]],12,FALSE)</f>
        <v>26.541930000000001</v>
      </c>
      <c r="DP674" s="711">
        <f>VLOOKUP(WWWW[[#This Row],[Site Name]],SiteDB6[[Site Name]:[Long]],13,FALSE)</f>
        <v>97.568836000000005</v>
      </c>
      <c r="DQ674" s="711" t="str">
        <f>VLOOKUP(WWWW[[#This Row],[Site Name]],SiteDB6[[Site Name]:[Pcode]],3,FALSE)</f>
        <v>MMR001CMP206</v>
      </c>
      <c r="DR674" s="709" t="str">
        <f t="shared" si="24"/>
        <v>Notcovered</v>
      </c>
      <c r="DS674" s="709"/>
    </row>
    <row r="675" spans="1:123">
      <c r="A675" s="701" t="s">
        <v>2519</v>
      </c>
      <c r="B675" s="701" t="s">
        <v>38</v>
      </c>
      <c r="C675" s="702" t="s">
        <v>38</v>
      </c>
      <c r="D675" s="584" t="s">
        <v>3336</v>
      </c>
      <c r="E675" s="702" t="s">
        <v>39</v>
      </c>
      <c r="F675" s="702" t="s">
        <v>154</v>
      </c>
      <c r="G675" s="711" t="str">
        <f>VLOOKUP(WWWW[[#This Row],[Site Name]],SiteDB6[[Site Name]:[Location Type]],8,FALSE)</f>
        <v>Camp</v>
      </c>
      <c r="H675" s="702" t="s">
        <v>235</v>
      </c>
      <c r="I675" s="705">
        <v>31</v>
      </c>
      <c r="J675" s="705">
        <v>173</v>
      </c>
      <c r="K675" s="706" t="s">
        <v>3315</v>
      </c>
      <c r="L675" s="707" t="s">
        <v>3316</v>
      </c>
      <c r="M675" s="705">
        <v>66</v>
      </c>
      <c r="N675" s="705"/>
      <c r="O675" s="705"/>
      <c r="P675" s="705"/>
      <c r="Q675" s="708" t="s">
        <v>43</v>
      </c>
      <c r="R675" s="705"/>
      <c r="S675" s="705"/>
      <c r="T675" s="807"/>
      <c r="U675" s="705"/>
      <c r="V675" s="705"/>
      <c r="W675" s="705"/>
      <c r="X675" s="705"/>
      <c r="Y675" s="705"/>
      <c r="Z675" s="705"/>
      <c r="AA675" s="705"/>
      <c r="AB675" s="705"/>
      <c r="AC675" s="705"/>
      <c r="AD675" s="705"/>
      <c r="AE675" s="705"/>
      <c r="AF675" s="705"/>
      <c r="AG675" s="705"/>
      <c r="AH675" s="705"/>
      <c r="AI675" s="705"/>
      <c r="AJ675" s="705"/>
      <c r="AK675" s="705"/>
      <c r="AL675" s="705"/>
      <c r="AM675" s="705"/>
      <c r="AN675" s="705"/>
      <c r="AO675" s="709"/>
      <c r="AP675" s="705">
        <v>10</v>
      </c>
      <c r="AQ675" s="705"/>
      <c r="AR675" s="710"/>
      <c r="AS675" s="705"/>
      <c r="AT675" s="705"/>
      <c r="AU675" s="705"/>
      <c r="AV675" s="705"/>
      <c r="AW675" s="705"/>
      <c r="AX675" s="711" t="s">
        <v>43</v>
      </c>
      <c r="AY675" s="709" t="s">
        <v>145</v>
      </c>
      <c r="AZ675" s="705">
        <v>2</v>
      </c>
      <c r="BA675" s="705"/>
      <c r="BB675" s="705"/>
      <c r="BC675" s="711"/>
      <c r="BD675" s="705"/>
      <c r="BE675" s="705"/>
      <c r="BF675" s="705"/>
      <c r="BG675" s="705"/>
      <c r="BH675" s="705"/>
      <c r="BI675" s="705"/>
      <c r="BJ675" s="705">
        <v>1</v>
      </c>
      <c r="BK675" s="705"/>
      <c r="BL675" s="705"/>
      <c r="BM675" s="711" t="s">
        <v>144</v>
      </c>
      <c r="BN675" s="712"/>
      <c r="BO675" s="710"/>
      <c r="BP675" s="711"/>
      <c r="BQ675" s="713" t="str">
        <f>IFERROR(WWWW[[#This Row],['#_Water sources treated]]/WWWW[[#This Row],['#_Water sources tested for contamination]],"no test")</f>
        <v>no test</v>
      </c>
      <c r="BR675" s="710" t="str">
        <f>IFERROR(WWWW[[#This Row],['#_Household received remediation action due to contamination]]/WWWW[[#This Row],['#_Household water samples tested for contamination]],"no test")</f>
        <v>no test</v>
      </c>
      <c r="BS675" s="712" t="str">
        <f>IF(AND(WWWW[[#This Row],[% of water sources treated]]="no test",WWWW[[#This Row],[% Household received corrective actions]]="no test"),"No Test","Tested")</f>
        <v>No Test</v>
      </c>
      <c r="BT675" s="712">
        <f>WWWW[[#This Row],['#_Constructed/existing protected hand dug well]]-WWWW[[#This Row],['#_Non-functional protected hand dug well]]</f>
        <v>0</v>
      </c>
      <c r="BU675" s="712">
        <f>(WWWW[[#This Row],['#_Constructed/Existing tube wells/boreholes/handpumps_WASH_agency]]+WWWW[[#This Row],['#_Non-Cluster partner water tube-wells/boreholes/handpumps]])-WWWW[[#This Row],['#_Non-functional tube wells/boreholes/handpumps]]</f>
        <v>0</v>
      </c>
      <c r="BV675" s="712">
        <f>WWWW[[#This Row],['#_Constructed/Existingwater storage tank with gravity fed reticulation system]]-WWWW[[#This Row],['#_Non-functional storage tank gravity fed reticulation system]]</f>
        <v>0</v>
      </c>
      <c r="BW675" s="712">
        <f>WWWW[[#This Row],['#_Water boating or water trucking]]</f>
        <v>0</v>
      </c>
      <c r="BX675" s="712">
        <f>WWWW[[#This Row],['#_Constructed/Existing water distribution system from river or natural spring]]</f>
        <v>0</v>
      </c>
      <c r="BY67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7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75" s="710">
        <f>IF(WWWW[[#This Row],[Location Type 1]]="Village",WWWW[[#This Row],[Access to safe drinking water for Village]],WWWW[[#This Row],[Access to safe drinking water for Camp]])</f>
        <v>0</v>
      </c>
      <c r="CB675" s="708">
        <f>WWWW[[#This Row],[%Equitable and continuous access to sufficient quantity of safe drinking water]]*WWWW[[#This Row],[Total PoP ]]</f>
        <v>0</v>
      </c>
      <c r="CC675" s="710">
        <f>IF((WWWW[[#This Row],['#_Constructed/Existing protected/fenced ponds]]*250)/WWWW[[#This Row],[Total PoP ]]&gt;1,1,(WWWW[[#This Row],['#_Constructed/Existing protected/fenced ponds]]*250)/WWWW[[#This Row],[Total PoP ]])</f>
        <v>0</v>
      </c>
      <c r="CD675" s="708">
        <f>WWWW[[#This Row],[% Access to unimproved water points]]*WWWW[[#This Row],[Total PoP ]]</f>
        <v>0</v>
      </c>
      <c r="CE67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7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75" s="708">
        <f>WWWW[[#This Row],[HRP1]]/500</f>
        <v>0</v>
      </c>
      <c r="CH675" s="714">
        <f>1-WWWW[[#This Row],[% Equitable and continuous access to sufficient quantity of domestic water]]</f>
        <v>1</v>
      </c>
      <c r="CI675" s="708">
        <f>WWWW[[#This Row],[%equitable and continuous access to sufficient quantity of safe drinking and domestic water''s GAP]]*WWWW[[#This Row],[Total PoP ]]</f>
        <v>173</v>
      </c>
      <c r="CJ675" s="712">
        <f>IF(WWWW[[#This Row],[Total required water points]]-WWWW[[#This Row],['#Water points coverage]]&lt;0,0,WWWW[[#This Row],[Total required water points]]-WWWW[[#This Row],['#Water points coverage]])</f>
        <v>1</v>
      </c>
      <c r="CK675" s="712">
        <f>ROUND(IF(WWWW[[#This Row],[Total PoP ]]&lt;500,1,WWWW[[#This Row],[Total PoP ]]/500),0)</f>
        <v>1</v>
      </c>
      <c r="CL675" s="712">
        <f>(WWWW[[#This Row],['#_Constructed latrines_by_WASHAgencies]]+WWWW[[#This Row],['#_Non Cluster partner latrines]])-WWWW[[#This Row],['#_Non-functional latrines]]</f>
        <v>10</v>
      </c>
      <c r="CM67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7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173</v>
      </c>
      <c r="CO67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5" s="712">
        <f>IF(WWWW[[#This Row],[Location Type 1]]="Village","NA",IF(WWWW[[#This Row],['#_Constructed/Existing latrines in TLS]]*50&gt;WWWW[[#This Row],['#_students at TLS_CFS]],WWWW[[#This Row],['#_students at TLS_CFS]],(WWWW[[#This Row],['#_Constructed/Existing latrines in TLS]]*50)))</f>
        <v>0</v>
      </c>
      <c r="CQ675" s="712">
        <f>ROUND(IF(WWWW[[#This Row],[Location Type 1]]="camp",WWWW[[#This Row],[Total PoP ]]/20,IF(WWWW[[#This Row],[Location Type 1]]="Temporary Location",WWWW[[#This Row],[Total PoP ]]/50,(WWWW[[#This Row],[Total PoP ]]/6))),0)</f>
        <v>9</v>
      </c>
      <c r="CR675" s="712">
        <f>IF(WWWW[[#This Row],[Total required Latrines]]-(WWWW[[#This Row],['#_Constructed latrines_by_WASHAgencies]]+WWWW[[#This Row],['#_Non Cluster partner latrines]])&lt;0,0,WWWW[[#This Row],[Total required Latrines]]-(WWWW[[#This Row],['#_Constructed latrines_by_WASHAgencies]]+WWWW[[#This Row],['#_Non Cluster partner latrines]]))</f>
        <v>0</v>
      </c>
      <c r="CS675" s="714">
        <f>1-WWWW[[#This Row],[% people access to functioning Latrine]]</f>
        <v>0</v>
      </c>
      <c r="CT675" s="713">
        <f>IF(OR(WWWW[[#This Row],['#_Non-functional latrines]]="",WWWW[[#This Row],['#_Non-functional latrines]]=0),0,WWWW[[#This Row],['#_Non-functional latrines]]/(WWWW[[#This Row],['#_Constructed latrines_by_WASHAgencies]]+WWWW[[#This Row],['#_Non Cluster partner latrines]]))</f>
        <v>0</v>
      </c>
      <c r="CU675" s="708">
        <f>IF(500*(WWWW[[#This Row],['#_male hygiene promoters]]+WWWW[[#This Row],['#_female hygiene promoters]])&gt;WWWW[[#This Row],[Total PoP ]],WWWW[[#This Row],[Total PoP ]],500*(WWWW[[#This Row],['#_male hygiene promoters]]+WWWW[[#This Row],['#_female hygiene promoters]]))</f>
        <v>173</v>
      </c>
      <c r="CV67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5" s="712">
        <f>IF(WWWW[[#This Row],['# People with access to soap]]&gt;WWWW[[#This Row],['# People with access to Sanity Pads]],WWWW[[#This Row],['# People with access to soap]],WWWW[[#This Row],['# People with access to Sanity Pads]])</f>
        <v>0</v>
      </c>
      <c r="CY675" s="712">
        <f>IF(WWWW[[#This Row],['# people reached by regular dedicated hygiene promotion_5]]&gt;WWWW[[#This Row],['# People received regular supply of hygiene items_6]],WWWW[[#This Row],['# people reached by regular dedicated hygiene promotion_5]],WWWW[[#This Row],['# People received regular supply of hygiene items_6]])</f>
        <v>173</v>
      </c>
      <c r="CZ675" s="714">
        <f>IF(WWWW[[#This Row],[HRP3]]/WWWW[[#This Row],[Total PoP ]]&gt;100%,100%,WWWW[[#This Row],[HRP3]]/WWWW[[#This Row],[Total PoP ]])</f>
        <v>1</v>
      </c>
      <c r="DA675" s="713">
        <f>1-WWWW[[#This Row],[Hygiene Coverage%]]</f>
        <v>0</v>
      </c>
      <c r="DB675" s="710">
        <f>WWWW[[#This Row],['# people reached by regular dedicated hygiene promotion_5]]/WWWW[[#This Row],[Total PoP ]]</f>
        <v>1</v>
      </c>
      <c r="DC675" s="710">
        <f>IF(WWWW[[#This Row],['#_households that received standard amount of soap for this quarter]]/WWWW[[#This Row],[Total HH]]&gt;1,1,WWWW[[#This Row],['#_households that received standard amount of soap for this quarter]]/WWWW[[#This Row],[Total HH]])</f>
        <v>0</v>
      </c>
      <c r="DD675" s="710">
        <f>IF(WWWW[[#This Row],['#_households that received standard amount of sanitary pads for this quarter]]/WWWW[[#This Row],[Total HH]]&gt;1,1,WWWW[[#This Row],['#_households that received standard amount of sanitary pads for this quarter]]/WWWW[[#This Row],[Total HH]])</f>
        <v>0</v>
      </c>
      <c r="DE675" s="712">
        <f>WWWW[[#This Row],['#_Constructed/Existing hand washing stations]]-WWWW[[#This Row],['#_Non-Functional_hand_washing_stations]]</f>
        <v>0</v>
      </c>
      <c r="DF675" s="757">
        <f>IF(WWWW[[#This Row],['# Functional hand washing stations during reporting period]]*20&gt;WWWW[[#This Row],[Total HH]],WWWW[[#This Row],[Total HH]],WWWW[[#This Row],['# Functional hand washing stations during reporting period]]*20)</f>
        <v>0</v>
      </c>
      <c r="DG675" s="708">
        <f>IF(WWWW[[#This Row],[Is sufficient soap available for TLS? (Yes/No)]]="yes",WWWW[[#This Row],['#_Constructed/Existing hand washing stations at TLS]],0)</f>
        <v>0</v>
      </c>
      <c r="DH675" s="759">
        <f>IF(WWWW[[#This Row],['# Functional hand washing stations during reporting period]]*100&gt;WWWW[[#This Row],[Total PoP ]],WWWW[[#This Row],[Total PoP ]],WWWW[[#This Row],['# Functional hand washing stations during reporting period]]*100)</f>
        <v>0</v>
      </c>
      <c r="DI675" s="759" t="str">
        <f>IF(OR(WWWW[[#This Row],['#_students at TLS_CFS]]="",WWWW[[#This Row],['#_students at TLS_CFS]]=0),"No","Yes")</f>
        <v>Yes</v>
      </c>
      <c r="DJ675" s="711" t="str">
        <f>VLOOKUP(WWWW[[#This Row],[Site Name]],SiteDB6[[Site Name]:[CCCM Management]],6,FALSE)</f>
        <v>Yes</v>
      </c>
      <c r="DK675" s="711" t="str">
        <f>VLOOKUP(WWWW[[#This Row],[Site Name]],SiteDB6[[Site Name]:[CCCM Focal Agency]],7,FALSE)</f>
        <v>KMSS-MYT</v>
      </c>
      <c r="DL675" s="711" t="str">
        <f>VLOOKUP(WWWW[[#This Row],[Site Name]],SiteDB6[[Site Name]:[Location Type 1]],9,FALSE)</f>
        <v>Camp</v>
      </c>
      <c r="DM675" s="711" t="str">
        <f>VLOOKUP(WWWW[[#This Row],[Site Name]],SiteDB6[[Site Name]:[Type of Accommodation]],10,FALSE)</f>
        <v>Camp</v>
      </c>
      <c r="DN675" s="711" t="str">
        <f>VLOOKUP(WWWW[[#This Row],[Site Name]],SiteDB6[[Site Name]:[Ethnic or GCA/NGCA]],11,FALSE)</f>
        <v>GCA</v>
      </c>
      <c r="DO675" s="711">
        <f>VLOOKUP(WWWW[[#This Row],[Site Name]],SiteDB6[[Site Name]:[Lat]],12,FALSE)</f>
        <v>25.645959999999999</v>
      </c>
      <c r="DP675" s="711">
        <f>VLOOKUP(WWWW[[#This Row],[Site Name]],SiteDB6[[Site Name]:[Long]],13,FALSE)</f>
        <v>98.356260000000006</v>
      </c>
      <c r="DQ675" s="711" t="str">
        <f>VLOOKUP(WWWW[[#This Row],[Site Name]],SiteDB6[[Site Name]:[Pcode]],3,FALSE)</f>
        <v>MMR001CMP225</v>
      </c>
      <c r="DR675" s="709" t="str">
        <f t="shared" ref="DR675:DR682" si="25">IF(C675="none","Notcovered","Covered")</f>
        <v>Covered</v>
      </c>
      <c r="DS675" s="709"/>
    </row>
    <row r="676" spans="1:123">
      <c r="A676" s="701" t="s">
        <v>2519</v>
      </c>
      <c r="B676" s="701" t="s">
        <v>149</v>
      </c>
      <c r="C676" s="702" t="s">
        <v>149</v>
      </c>
      <c r="D676" s="702" t="s">
        <v>3264</v>
      </c>
      <c r="E676" s="702" t="s">
        <v>39</v>
      </c>
      <c r="F676" s="702" t="s">
        <v>150</v>
      </c>
      <c r="G676" s="711" t="str">
        <f>VLOOKUP(WWWW[[#This Row],[Site Name]],SiteDB6[[Site Name]:[Location Type]],8,FALSE)</f>
        <v>Camp</v>
      </c>
      <c r="H676" s="702" t="s">
        <v>190</v>
      </c>
      <c r="I676" s="705">
        <v>179</v>
      </c>
      <c r="J676" s="705">
        <v>958</v>
      </c>
      <c r="K676" s="593" t="s">
        <v>3265</v>
      </c>
      <c r="L676" s="58" t="s">
        <v>3267</v>
      </c>
      <c r="M676" s="705"/>
      <c r="N676" s="705"/>
      <c r="O676" s="705"/>
      <c r="P676" s="705"/>
      <c r="Q676" s="708" t="s">
        <v>43</v>
      </c>
      <c r="R676" s="705"/>
      <c r="S676" s="705"/>
      <c r="T676" s="807">
        <v>0</v>
      </c>
      <c r="U676" s="705"/>
      <c r="V676" s="705"/>
      <c r="W676" s="705">
        <v>0</v>
      </c>
      <c r="X676" s="705"/>
      <c r="Y676" s="705"/>
      <c r="Z676" s="705"/>
      <c r="AA676" s="705">
        <v>1</v>
      </c>
      <c r="AB676" s="705">
        <v>1</v>
      </c>
      <c r="AC676" s="705"/>
      <c r="AD676" s="705"/>
      <c r="AE676" s="705"/>
      <c r="AF676" s="705"/>
      <c r="AG676" s="705"/>
      <c r="AH676" s="705">
        <v>0</v>
      </c>
      <c r="AI676" s="705"/>
      <c r="AJ676" s="705"/>
      <c r="AK676" s="705"/>
      <c r="AL676" s="705"/>
      <c r="AM676" s="705"/>
      <c r="AN676" s="705"/>
      <c r="AO676" s="709"/>
      <c r="AP676" s="705">
        <v>158</v>
      </c>
      <c r="AQ676" s="705"/>
      <c r="AR676" s="710"/>
      <c r="AS676" s="705"/>
      <c r="AT676" s="705"/>
      <c r="AU676" s="705"/>
      <c r="AV676" s="705"/>
      <c r="AW676" s="705">
        <v>158</v>
      </c>
      <c r="AX676" s="711" t="s">
        <v>43</v>
      </c>
      <c r="AY676" s="709" t="s">
        <v>145</v>
      </c>
      <c r="AZ676" s="705"/>
      <c r="BA676" s="705"/>
      <c r="BB676" s="705"/>
      <c r="BC676" s="711"/>
      <c r="BD676" s="705"/>
      <c r="BE676" s="705"/>
      <c r="BF676" s="705"/>
      <c r="BG676" s="705">
        <v>4</v>
      </c>
      <c r="BH676" s="705"/>
      <c r="BI676" s="705"/>
      <c r="BJ676" s="705">
        <v>2</v>
      </c>
      <c r="BK676" s="705"/>
      <c r="BL676" s="705"/>
      <c r="BM676" s="711"/>
      <c r="BN676" s="712"/>
      <c r="BO676" s="710"/>
      <c r="BP676" s="711"/>
      <c r="BQ676" s="713" t="str">
        <f>IFERROR(WWWW[[#This Row],['#_Water sources treated]]/WWWW[[#This Row],['#_Water sources tested for contamination]],"no test")</f>
        <v>no test</v>
      </c>
      <c r="BR676" s="710" t="str">
        <f>IFERROR(WWWW[[#This Row],['#_Household received remediation action due to contamination]]/WWWW[[#This Row],['#_Household water samples tested for contamination]],"no test")</f>
        <v>no test</v>
      </c>
      <c r="BS676" s="712" t="str">
        <f>IF(AND(WWWW[[#This Row],[% of water sources treated]]="no test",WWWW[[#This Row],[% Household received corrective actions]]="no test"),"No Test","Tested")</f>
        <v>No Test</v>
      </c>
      <c r="BT676" s="712">
        <f>WWWW[[#This Row],['#_Constructed/existing protected hand dug well]]-WWWW[[#This Row],['#_Non-functional protected hand dug well]]</f>
        <v>0</v>
      </c>
      <c r="BU676" s="712">
        <f>(WWWW[[#This Row],['#_Constructed/Existing tube wells/boreholes/handpumps_WASH_agency]]+WWWW[[#This Row],['#_Non-Cluster partner water tube-wells/boreholes/handpumps]])-WWWW[[#This Row],['#_Non-functional tube wells/boreholes/handpumps]]</f>
        <v>0</v>
      </c>
      <c r="BV676" s="712">
        <f>WWWW[[#This Row],['#_Constructed/Existingwater storage tank with gravity fed reticulation system]]-WWWW[[#This Row],['#_Non-functional storage tank gravity fed reticulation system]]</f>
        <v>0</v>
      </c>
      <c r="BW676" s="712">
        <f>WWWW[[#This Row],['#_Water boating or water trucking]]</f>
        <v>0</v>
      </c>
      <c r="BX676" s="712">
        <f>WWWW[[#This Row],['#_Constructed/Existing water distribution system from river or natural spring]]</f>
        <v>0</v>
      </c>
      <c r="BY67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7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76" s="710">
        <f>IF(WWWW[[#This Row],[Location Type 1]]="Village",WWWW[[#This Row],[Access to safe drinking water for Village]],WWWW[[#This Row],[Access to safe drinking water for Camp]])</f>
        <v>0</v>
      </c>
      <c r="CB676" s="708">
        <f>WWWW[[#This Row],[%Equitable and continuous access to sufficient quantity of safe drinking water]]*WWWW[[#This Row],[Total PoP ]]</f>
        <v>0</v>
      </c>
      <c r="CC676" s="710">
        <f>IF((WWWW[[#This Row],['#_Constructed/Existing protected/fenced ponds]]*250)/WWWW[[#This Row],[Total PoP ]]&gt;1,1,(WWWW[[#This Row],['#_Constructed/Existing protected/fenced ponds]]*250)/WWWW[[#This Row],[Total PoP ]])</f>
        <v>0</v>
      </c>
      <c r="CD676" s="708">
        <f>WWWW[[#This Row],[% Access to unimproved water points]]*WWWW[[#This Row],[Total PoP ]]</f>
        <v>0</v>
      </c>
      <c r="CE67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7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76" s="708">
        <f>WWWW[[#This Row],[HRP1]]/500</f>
        <v>0</v>
      </c>
      <c r="CH676" s="714">
        <f>1-WWWW[[#This Row],[% Equitable and continuous access to sufficient quantity of domestic water]]</f>
        <v>1</v>
      </c>
      <c r="CI676" s="708">
        <f>WWWW[[#This Row],[%equitable and continuous access to sufficient quantity of safe drinking and domestic water''s GAP]]*WWWW[[#This Row],[Total PoP ]]</f>
        <v>958</v>
      </c>
      <c r="CJ676" s="712">
        <f>IF(WWWW[[#This Row],[Total required water points]]-WWWW[[#This Row],['#Water points coverage]]&lt;0,0,WWWW[[#This Row],[Total required water points]]-WWWW[[#This Row],['#Water points coverage]])</f>
        <v>2</v>
      </c>
      <c r="CK676" s="712">
        <f>ROUND(IF(WWWW[[#This Row],[Total PoP ]]&lt;500,1,WWWW[[#This Row],[Total PoP ]]/500),0)</f>
        <v>2</v>
      </c>
      <c r="CL676" s="712">
        <f>(WWWW[[#This Row],['#_Constructed latrines_by_WASHAgencies]]+WWWW[[#This Row],['#_Non Cluster partner latrines]])-WWWW[[#This Row],['#_Non-functional latrines]]</f>
        <v>158</v>
      </c>
      <c r="CM67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7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958</v>
      </c>
      <c r="CO67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6" s="712">
        <f>IF(WWWW[[#This Row],[Location Type 1]]="Village","NA",IF(WWWW[[#This Row],['#_Constructed/Existing latrines in TLS]]*50&gt;WWWW[[#This Row],['#_students at TLS_CFS]],WWWW[[#This Row],['#_students at TLS_CFS]],(WWWW[[#This Row],['#_Constructed/Existing latrines in TLS]]*50)))</f>
        <v>0</v>
      </c>
      <c r="CQ676" s="712">
        <f>ROUND(IF(WWWW[[#This Row],[Location Type 1]]="camp",WWWW[[#This Row],[Total PoP ]]/20,IF(WWWW[[#This Row],[Location Type 1]]="Temporary Location",WWWW[[#This Row],[Total PoP ]]/50,(WWWW[[#This Row],[Total PoP ]]/6))),0)</f>
        <v>48</v>
      </c>
      <c r="CR676" s="712">
        <f>IF(WWWW[[#This Row],[Total required Latrines]]-(WWWW[[#This Row],['#_Constructed latrines_by_WASHAgencies]]+WWWW[[#This Row],['#_Non Cluster partner latrines]])&lt;0,0,WWWW[[#This Row],[Total required Latrines]]-(WWWW[[#This Row],['#_Constructed latrines_by_WASHAgencies]]+WWWW[[#This Row],['#_Non Cluster partner latrines]]))</f>
        <v>0</v>
      </c>
      <c r="CS676" s="714">
        <f>1-WWWW[[#This Row],[% people access to functioning Latrine]]</f>
        <v>0</v>
      </c>
      <c r="CT676" s="713">
        <f>IF(OR(WWWW[[#This Row],['#_Non-functional latrines]]="",WWWW[[#This Row],['#_Non-functional latrines]]=0),0,WWWW[[#This Row],['#_Non-functional latrines]]/(WWWW[[#This Row],['#_Constructed latrines_by_WASHAgencies]]+WWWW[[#This Row],['#_Non Cluster partner latrines]]))</f>
        <v>0</v>
      </c>
      <c r="CU676" s="708">
        <f>IF(500*(WWWW[[#This Row],['#_male hygiene promoters]]+WWWW[[#This Row],['#_female hygiene promoters]])&gt;WWWW[[#This Row],[Total PoP ]],WWWW[[#This Row],[Total PoP ]],500*(WWWW[[#This Row],['#_male hygiene promoters]]+WWWW[[#This Row],['#_female hygiene promoters]]))</f>
        <v>958</v>
      </c>
      <c r="CV67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6" s="712">
        <f>IF(WWWW[[#This Row],['# People with access to soap]]&gt;WWWW[[#This Row],['# People with access to Sanity Pads]],WWWW[[#This Row],['# People with access to soap]],WWWW[[#This Row],['# People with access to Sanity Pads]])</f>
        <v>0</v>
      </c>
      <c r="CY676" s="712">
        <f>IF(WWWW[[#This Row],['# people reached by regular dedicated hygiene promotion_5]]&gt;WWWW[[#This Row],['# People received regular supply of hygiene items_6]],WWWW[[#This Row],['# people reached by regular dedicated hygiene promotion_5]],WWWW[[#This Row],['# People received regular supply of hygiene items_6]])</f>
        <v>958</v>
      </c>
      <c r="CZ676" s="714">
        <f>IF(WWWW[[#This Row],[HRP3]]/WWWW[[#This Row],[Total PoP ]]&gt;100%,100%,WWWW[[#This Row],[HRP3]]/WWWW[[#This Row],[Total PoP ]])</f>
        <v>1</v>
      </c>
      <c r="DA676" s="713">
        <f>1-WWWW[[#This Row],[Hygiene Coverage%]]</f>
        <v>0</v>
      </c>
      <c r="DB676" s="710">
        <f>WWWW[[#This Row],['# people reached by regular dedicated hygiene promotion_5]]/WWWW[[#This Row],[Total PoP ]]</f>
        <v>1</v>
      </c>
      <c r="DC676" s="710">
        <f>IF(WWWW[[#This Row],['#_households that received standard amount of soap for this quarter]]/WWWW[[#This Row],[Total HH]]&gt;1,1,WWWW[[#This Row],['#_households that received standard amount of soap for this quarter]]/WWWW[[#This Row],[Total HH]])</f>
        <v>0</v>
      </c>
      <c r="DD676" s="710">
        <f>IF(WWWW[[#This Row],['#_households that received standard amount of sanitary pads for this quarter]]/WWWW[[#This Row],[Total HH]]&gt;1,1,WWWW[[#This Row],['#_households that received standard amount of sanitary pads for this quarter]]/WWWW[[#This Row],[Total HH]])</f>
        <v>0</v>
      </c>
      <c r="DE676" s="712">
        <f>WWWW[[#This Row],['#_Constructed/Existing hand washing stations]]-WWWW[[#This Row],['#_Non-Functional_hand_washing_stations]]</f>
        <v>0</v>
      </c>
      <c r="DF676" s="757">
        <f>IF(WWWW[[#This Row],['# Functional hand washing stations during reporting period]]*20&gt;WWWW[[#This Row],[Total HH]],WWWW[[#This Row],[Total HH]],WWWW[[#This Row],['# Functional hand washing stations during reporting period]]*20)</f>
        <v>0</v>
      </c>
      <c r="DG676" s="708">
        <f>IF(WWWW[[#This Row],[Is sufficient soap available for TLS? (Yes/No)]]="yes",WWWW[[#This Row],['#_Constructed/Existing hand washing stations at TLS]],0)</f>
        <v>0</v>
      </c>
      <c r="DH676" s="759">
        <f>IF(WWWW[[#This Row],['# Functional hand washing stations during reporting period]]*100&gt;WWWW[[#This Row],[Total PoP ]],WWWW[[#This Row],[Total PoP ]],WWWW[[#This Row],['# Functional hand washing stations during reporting period]]*100)</f>
        <v>0</v>
      </c>
      <c r="DI676" s="759" t="str">
        <f>IF(OR(WWWW[[#This Row],['#_students at TLS_CFS]]="",WWWW[[#This Row],['#_students at TLS_CFS]]=0),"No","Yes")</f>
        <v>No</v>
      </c>
      <c r="DJ676" s="711" t="str">
        <f>VLOOKUP(WWWW[[#This Row],[Site Name]],SiteDB6[[Site Name]:[CCCM Management]],6,FALSE)</f>
        <v>Yes</v>
      </c>
      <c r="DK676" s="711" t="str">
        <f>VLOOKUP(WWWW[[#This Row],[Site Name]],SiteDB6[[Site Name]:[CCCM Focal Agency]],7,FALSE)</f>
        <v>KBC-MYT</v>
      </c>
      <c r="DL676" s="711" t="str">
        <f>VLOOKUP(WWWW[[#This Row],[Site Name]],SiteDB6[[Site Name]:[Location Type 1]],9,FALSE)</f>
        <v>Camp</v>
      </c>
      <c r="DM676" s="711" t="str">
        <f>VLOOKUP(WWWW[[#This Row],[Site Name]],SiteDB6[[Site Name]:[Type of Accommodation]],10,FALSE)</f>
        <v>Camp</v>
      </c>
      <c r="DN676" s="711" t="str">
        <f>VLOOKUP(WWWW[[#This Row],[Site Name]],SiteDB6[[Site Name]:[Ethnic or GCA/NGCA]],11,FALSE)</f>
        <v>GCA</v>
      </c>
      <c r="DO676" s="711">
        <f>VLOOKUP(WWWW[[#This Row],[Site Name]],SiteDB6[[Site Name]:[Lat]],12,FALSE)</f>
        <v>25.418084</v>
      </c>
      <c r="DP676" s="711">
        <f>VLOOKUP(WWWW[[#This Row],[Site Name]],SiteDB6[[Site Name]:[Long]],13,FALSE)</f>
        <v>98.025662999999994</v>
      </c>
      <c r="DQ676" s="711" t="str">
        <f>VLOOKUP(WWWW[[#This Row],[Site Name]],SiteDB6[[Site Name]:[Pcode]],3,FALSE)</f>
        <v>MMR001CMP041</v>
      </c>
      <c r="DR676" s="709" t="str">
        <f t="shared" si="25"/>
        <v>Covered</v>
      </c>
      <c r="DS676" s="709"/>
    </row>
    <row r="677" spans="1:123">
      <c r="A677" s="701" t="s">
        <v>2519</v>
      </c>
      <c r="B677" s="701" t="s">
        <v>317</v>
      </c>
      <c r="C677" s="702" t="s">
        <v>317</v>
      </c>
      <c r="D677" s="702"/>
      <c r="E677" s="702" t="s">
        <v>39</v>
      </c>
      <c r="F677" s="702" t="s">
        <v>1153</v>
      </c>
      <c r="G677" s="711" t="str">
        <f>VLOOKUP(WWWW[[#This Row],[Site Name]],SiteDB6[[Site Name]:[Location Type]],8,FALSE)</f>
        <v>Camp</v>
      </c>
      <c r="H677" s="702" t="s">
        <v>2315</v>
      </c>
      <c r="I677" s="705">
        <v>31</v>
      </c>
      <c r="J677" s="705">
        <v>129</v>
      </c>
      <c r="K677" s="706"/>
      <c r="L677" s="707"/>
      <c r="M677" s="705"/>
      <c r="N677" s="705"/>
      <c r="O677" s="705"/>
      <c r="P677" s="705"/>
      <c r="Q677" s="708"/>
      <c r="R677" s="705"/>
      <c r="S677" s="705"/>
      <c r="T677" s="807"/>
      <c r="U677" s="705"/>
      <c r="V677" s="705"/>
      <c r="W677" s="705"/>
      <c r="X677" s="705"/>
      <c r="Y677" s="705"/>
      <c r="Z677" s="705"/>
      <c r="AA677" s="705"/>
      <c r="AB677" s="705"/>
      <c r="AC677" s="705"/>
      <c r="AD677" s="705"/>
      <c r="AE677" s="705"/>
      <c r="AF677" s="705"/>
      <c r="AG677" s="705"/>
      <c r="AH677" s="705"/>
      <c r="AI677" s="705"/>
      <c r="AJ677" s="705"/>
      <c r="AK677" s="705"/>
      <c r="AL677" s="705"/>
      <c r="AM677" s="705"/>
      <c r="AN677" s="705"/>
      <c r="AO677" s="709"/>
      <c r="AP677" s="705"/>
      <c r="AQ677" s="705"/>
      <c r="AR677" s="710"/>
      <c r="AS677" s="705"/>
      <c r="AT677" s="705"/>
      <c r="AU677" s="705"/>
      <c r="AV677" s="705"/>
      <c r="AW677" s="705"/>
      <c r="AX677" s="711"/>
      <c r="AY677" s="709"/>
      <c r="AZ677" s="705"/>
      <c r="BA677" s="705"/>
      <c r="BB677" s="705"/>
      <c r="BC677" s="711"/>
      <c r="BD677" s="705"/>
      <c r="BE677" s="705"/>
      <c r="BF677" s="705"/>
      <c r="BG677" s="705"/>
      <c r="BH677" s="705"/>
      <c r="BI677" s="705"/>
      <c r="BJ677" s="705"/>
      <c r="BK677" s="705"/>
      <c r="BL677" s="705"/>
      <c r="BM677" s="711"/>
      <c r="BN677" s="712"/>
      <c r="BO677" s="710"/>
      <c r="BP677" s="711"/>
      <c r="BQ677" s="713" t="str">
        <f>IFERROR(WWWW[[#This Row],['#_Water sources treated]]/WWWW[[#This Row],['#_Water sources tested for contamination]],"no test")</f>
        <v>no test</v>
      </c>
      <c r="BR677" s="710" t="str">
        <f>IFERROR(WWWW[[#This Row],['#_Household received remediation action due to contamination]]/WWWW[[#This Row],['#_Household water samples tested for contamination]],"no test")</f>
        <v>no test</v>
      </c>
      <c r="BS677" s="712" t="str">
        <f>IF(AND(WWWW[[#This Row],[% of water sources treated]]="no test",WWWW[[#This Row],[% Household received corrective actions]]="no test"),"No Test","Tested")</f>
        <v>No Test</v>
      </c>
      <c r="BT677" s="712">
        <f>WWWW[[#This Row],['#_Constructed/existing protected hand dug well]]-WWWW[[#This Row],['#_Non-functional protected hand dug well]]</f>
        <v>0</v>
      </c>
      <c r="BU677" s="712">
        <f>(WWWW[[#This Row],['#_Constructed/Existing tube wells/boreholes/handpumps_WASH_agency]]+WWWW[[#This Row],['#_Non-Cluster partner water tube-wells/boreholes/handpumps]])-WWWW[[#This Row],['#_Non-functional tube wells/boreholes/handpumps]]</f>
        <v>0</v>
      </c>
      <c r="BV677" s="712">
        <f>WWWW[[#This Row],['#_Constructed/Existingwater storage tank with gravity fed reticulation system]]-WWWW[[#This Row],['#_Non-functional storage tank gravity fed reticulation system]]</f>
        <v>0</v>
      </c>
      <c r="BW677" s="712">
        <f>WWWW[[#This Row],['#_Water boating or water trucking]]</f>
        <v>0</v>
      </c>
      <c r="BX677" s="712">
        <f>WWWW[[#This Row],['#_Constructed/Existing water distribution system from river or natural spring]]</f>
        <v>0</v>
      </c>
      <c r="BY67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7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77" s="710">
        <f>IF(WWWW[[#This Row],[Location Type 1]]="Village",WWWW[[#This Row],[Access to safe drinking water for Village]],WWWW[[#This Row],[Access to safe drinking water for Camp]])</f>
        <v>0</v>
      </c>
      <c r="CB677" s="708">
        <f>WWWW[[#This Row],[%Equitable and continuous access to sufficient quantity of safe drinking water]]*WWWW[[#This Row],[Total PoP ]]</f>
        <v>0</v>
      </c>
      <c r="CC677" s="710">
        <f>IF((WWWW[[#This Row],['#_Constructed/Existing protected/fenced ponds]]*250)/WWWW[[#This Row],[Total PoP ]]&gt;1,1,(WWWW[[#This Row],['#_Constructed/Existing protected/fenced ponds]]*250)/WWWW[[#This Row],[Total PoP ]])</f>
        <v>0</v>
      </c>
      <c r="CD677" s="708">
        <f>WWWW[[#This Row],[% Access to unimproved water points]]*WWWW[[#This Row],[Total PoP ]]</f>
        <v>0</v>
      </c>
      <c r="CE67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7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77" s="708">
        <f>WWWW[[#This Row],[HRP1]]/500</f>
        <v>0</v>
      </c>
      <c r="CH677" s="714">
        <f>1-WWWW[[#This Row],[% Equitable and continuous access to sufficient quantity of domestic water]]</f>
        <v>1</v>
      </c>
      <c r="CI677" s="708">
        <f>WWWW[[#This Row],[%equitable and continuous access to sufficient quantity of safe drinking and domestic water''s GAP]]*WWWW[[#This Row],[Total PoP ]]</f>
        <v>129</v>
      </c>
      <c r="CJ677" s="712">
        <f>IF(WWWW[[#This Row],[Total required water points]]-WWWW[[#This Row],['#Water points coverage]]&lt;0,0,WWWW[[#This Row],[Total required water points]]-WWWW[[#This Row],['#Water points coverage]])</f>
        <v>1</v>
      </c>
      <c r="CK677" s="712">
        <f>ROUND(IF(WWWW[[#This Row],[Total PoP ]]&lt;500,1,WWWW[[#This Row],[Total PoP ]]/500),0)</f>
        <v>1</v>
      </c>
      <c r="CL677" s="712">
        <f>(WWWW[[#This Row],['#_Constructed latrines_by_WASHAgencies]]+WWWW[[#This Row],['#_Non Cluster partner latrines]])-WWWW[[#This Row],['#_Non-functional latrines]]</f>
        <v>0</v>
      </c>
      <c r="CM67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7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7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7" s="712">
        <f>IF(WWWW[[#This Row],[Location Type 1]]="Village","NA",IF(WWWW[[#This Row],['#_Constructed/Existing latrines in TLS]]*50&gt;WWWW[[#This Row],['#_students at TLS_CFS]],WWWW[[#This Row],['#_students at TLS_CFS]],(WWWW[[#This Row],['#_Constructed/Existing latrines in TLS]]*50)))</f>
        <v>0</v>
      </c>
      <c r="CQ677" s="712">
        <f>ROUND(IF(WWWW[[#This Row],[Location Type 1]]="camp",WWWW[[#This Row],[Total PoP ]]/20,IF(WWWW[[#This Row],[Location Type 1]]="Temporary Location",WWWW[[#This Row],[Total PoP ]]/50,(WWWW[[#This Row],[Total PoP ]]/6))),0)</f>
        <v>6</v>
      </c>
      <c r="CR677" s="712">
        <f>IF(WWWW[[#This Row],[Total required Latrines]]-(WWWW[[#This Row],['#_Constructed latrines_by_WASHAgencies]]+WWWW[[#This Row],['#_Non Cluster partner latrines]])&lt;0,0,WWWW[[#This Row],[Total required Latrines]]-(WWWW[[#This Row],['#_Constructed latrines_by_WASHAgencies]]+WWWW[[#This Row],['#_Non Cluster partner latrines]]))</f>
        <v>6</v>
      </c>
      <c r="CS677" s="714">
        <f>1-WWWW[[#This Row],[% people access to functioning Latrine]]</f>
        <v>1</v>
      </c>
      <c r="CT677" s="713">
        <f>IF(OR(WWWW[[#This Row],['#_Non-functional latrines]]="",WWWW[[#This Row],['#_Non-functional latrines]]=0),0,WWWW[[#This Row],['#_Non-functional latrines]]/(WWWW[[#This Row],['#_Constructed latrines_by_WASHAgencies]]+WWWW[[#This Row],['#_Non Cluster partner latrines]]))</f>
        <v>0</v>
      </c>
      <c r="CU677" s="708">
        <f>IF(500*(WWWW[[#This Row],['#_male hygiene promoters]]+WWWW[[#This Row],['#_female hygiene promoters]])&gt;WWWW[[#This Row],[Total PoP ]],WWWW[[#This Row],[Total PoP ]],500*(WWWW[[#This Row],['#_male hygiene promoters]]+WWWW[[#This Row],['#_female hygiene promoters]]))</f>
        <v>0</v>
      </c>
      <c r="CV67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7" s="712">
        <f>IF(WWWW[[#This Row],['# People with access to soap]]&gt;WWWW[[#This Row],['# People with access to Sanity Pads]],WWWW[[#This Row],['# People with access to soap]],WWWW[[#This Row],['# People with access to Sanity Pads]])</f>
        <v>0</v>
      </c>
      <c r="CY67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77" s="714">
        <f>IF(WWWW[[#This Row],[HRP3]]/WWWW[[#This Row],[Total PoP ]]&gt;100%,100%,WWWW[[#This Row],[HRP3]]/WWWW[[#This Row],[Total PoP ]])</f>
        <v>0</v>
      </c>
      <c r="DA677" s="713">
        <f>1-WWWW[[#This Row],[Hygiene Coverage%]]</f>
        <v>1</v>
      </c>
      <c r="DB677" s="710">
        <f>WWWW[[#This Row],['# people reached by regular dedicated hygiene promotion_5]]/WWWW[[#This Row],[Total PoP ]]</f>
        <v>0</v>
      </c>
      <c r="DC677" s="710">
        <f>IF(WWWW[[#This Row],['#_households that received standard amount of soap for this quarter]]/WWWW[[#This Row],[Total HH]]&gt;1,1,WWWW[[#This Row],['#_households that received standard amount of soap for this quarter]]/WWWW[[#This Row],[Total HH]])</f>
        <v>0</v>
      </c>
      <c r="DD677" s="710">
        <f>IF(WWWW[[#This Row],['#_households that received standard amount of sanitary pads for this quarter]]/WWWW[[#This Row],[Total HH]]&gt;1,1,WWWW[[#This Row],['#_households that received standard amount of sanitary pads for this quarter]]/WWWW[[#This Row],[Total HH]])</f>
        <v>0</v>
      </c>
      <c r="DE677" s="712">
        <f>WWWW[[#This Row],['#_Constructed/Existing hand washing stations]]-WWWW[[#This Row],['#_Non-Functional_hand_washing_stations]]</f>
        <v>0</v>
      </c>
      <c r="DF677" s="757">
        <f>IF(WWWW[[#This Row],['# Functional hand washing stations during reporting period]]*20&gt;WWWW[[#This Row],[Total HH]],WWWW[[#This Row],[Total HH]],WWWW[[#This Row],['# Functional hand washing stations during reporting period]]*20)</f>
        <v>0</v>
      </c>
      <c r="DG677" s="708">
        <f>IF(WWWW[[#This Row],[Is sufficient soap available for TLS? (Yes/No)]]="yes",WWWW[[#This Row],['#_Constructed/Existing hand washing stations at TLS]],0)</f>
        <v>0</v>
      </c>
      <c r="DH677" s="759">
        <f>IF(WWWW[[#This Row],['# Functional hand washing stations during reporting period]]*100&gt;WWWW[[#This Row],[Total PoP ]],WWWW[[#This Row],[Total PoP ]],WWWW[[#This Row],['# Functional hand washing stations during reporting period]]*100)</f>
        <v>0</v>
      </c>
      <c r="DI677" s="759" t="str">
        <f>IF(OR(WWWW[[#This Row],['#_students at TLS_CFS]]="",WWWW[[#This Row],['#_students at TLS_CFS]]=0),"No","Yes")</f>
        <v>No</v>
      </c>
      <c r="DJ677" s="711" t="str">
        <f>VLOOKUP(WWWW[[#This Row],[Site Name]],SiteDB6[[Site Name]:[CCCM Management]],6,FALSE)</f>
        <v>Yes</v>
      </c>
      <c r="DK677" s="711" t="str">
        <f>VLOOKUP(WWWW[[#This Row],[Site Name]],SiteDB6[[Site Name]:[CCCM Focal Agency]],7,FALSE)</f>
        <v>KMSS-MYT</v>
      </c>
      <c r="DL677" s="711" t="str">
        <f>VLOOKUP(WWWW[[#This Row],[Site Name]],SiteDB6[[Site Name]:[Location Type 1]],9,FALSE)</f>
        <v>Camp</v>
      </c>
      <c r="DM677" s="711" t="str">
        <f>VLOOKUP(WWWW[[#This Row],[Site Name]],SiteDB6[[Site Name]:[Type of Accommodation]],10,FALSE)</f>
        <v>Camp</v>
      </c>
      <c r="DN677" s="711" t="str">
        <f>VLOOKUP(WWWW[[#This Row],[Site Name]],SiteDB6[[Site Name]:[Ethnic or GCA/NGCA]],11,FALSE)</f>
        <v>GCA</v>
      </c>
      <c r="DO677" s="711">
        <f>VLOOKUP(WWWW[[#This Row],[Site Name]],SiteDB6[[Site Name]:[Lat]],12,FALSE)</f>
        <v>0</v>
      </c>
      <c r="DP677" s="711">
        <f>VLOOKUP(WWWW[[#This Row],[Site Name]],SiteDB6[[Site Name]:[Long]],13,FALSE)</f>
        <v>0</v>
      </c>
      <c r="DQ677" s="711" t="str">
        <f>VLOOKUP(WWWW[[#This Row],[Site Name]],SiteDB6[[Site Name]:[Pcode]],3,FALSE)</f>
        <v>MMR001CMP251</v>
      </c>
      <c r="DR677" s="709" t="str">
        <f t="shared" si="25"/>
        <v>Notcovered</v>
      </c>
      <c r="DS677" s="709"/>
    </row>
    <row r="678" spans="1:123">
      <c r="A678" s="701" t="s">
        <v>2519</v>
      </c>
      <c r="B678" s="701" t="s">
        <v>38</v>
      </c>
      <c r="C678" s="702" t="s">
        <v>38</v>
      </c>
      <c r="D678" s="702" t="s">
        <v>722</v>
      </c>
      <c r="E678" s="702" t="s">
        <v>39</v>
      </c>
      <c r="F678" s="702" t="s">
        <v>40</v>
      </c>
      <c r="G678" s="711" t="str">
        <f>VLOOKUP(WWWW[[#This Row],[Site Name]],SiteDB6[[Site Name]:[Location Type]],8,FALSE)</f>
        <v>Camp_not registered</v>
      </c>
      <c r="H678" s="702" t="s">
        <v>147</v>
      </c>
      <c r="I678" s="705">
        <v>22</v>
      </c>
      <c r="J678" s="705">
        <v>122</v>
      </c>
      <c r="K678" s="706"/>
      <c r="L678" s="707">
        <v>43585</v>
      </c>
      <c r="M678" s="705"/>
      <c r="N678" s="705"/>
      <c r="O678" s="705"/>
      <c r="P678" s="705"/>
      <c r="Q678" s="708"/>
      <c r="R678" s="705"/>
      <c r="S678" s="705"/>
      <c r="T678" s="807"/>
      <c r="U678" s="705"/>
      <c r="V678" s="705"/>
      <c r="W678" s="705"/>
      <c r="X678" s="705">
        <v>1</v>
      </c>
      <c r="Y678" s="705"/>
      <c r="Z678" s="705"/>
      <c r="AA678" s="705"/>
      <c r="AB678" s="705"/>
      <c r="AC678" s="705"/>
      <c r="AD678" s="705"/>
      <c r="AE678" s="705"/>
      <c r="AF678" s="705"/>
      <c r="AG678" s="705"/>
      <c r="AH678" s="705"/>
      <c r="AI678" s="705"/>
      <c r="AJ678" s="705"/>
      <c r="AK678" s="705"/>
      <c r="AL678" s="705"/>
      <c r="AM678" s="705"/>
      <c r="AN678" s="705"/>
      <c r="AO678" s="709"/>
      <c r="AP678" s="705">
        <v>6</v>
      </c>
      <c r="AQ678" s="705"/>
      <c r="AR678" s="710"/>
      <c r="AS678" s="705"/>
      <c r="AT678" s="705"/>
      <c r="AU678" s="705"/>
      <c r="AV678" s="705"/>
      <c r="AW678" s="705"/>
      <c r="AX678" s="711" t="s">
        <v>43</v>
      </c>
      <c r="AY678" s="709" t="s">
        <v>145</v>
      </c>
      <c r="AZ678" s="705"/>
      <c r="BA678" s="705"/>
      <c r="BB678" s="705"/>
      <c r="BC678" s="711"/>
      <c r="BD678" s="705">
        <v>2</v>
      </c>
      <c r="BE678" s="705"/>
      <c r="BF678" s="705"/>
      <c r="BG678" s="705">
        <v>2</v>
      </c>
      <c r="BH678" s="705"/>
      <c r="BI678" s="705"/>
      <c r="BJ678" s="705">
        <v>1</v>
      </c>
      <c r="BK678" s="705"/>
      <c r="BL678" s="705"/>
      <c r="BM678" s="711"/>
      <c r="BN678" s="712"/>
      <c r="BO678" s="710"/>
      <c r="BP678" s="711" t="s">
        <v>2962</v>
      </c>
      <c r="BQ678" s="713" t="str">
        <f>IFERROR(WWWW[[#This Row],['#_Water sources treated]]/WWWW[[#This Row],['#_Water sources tested for contamination]],"no test")</f>
        <v>no test</v>
      </c>
      <c r="BR678" s="710" t="str">
        <f>IFERROR(WWWW[[#This Row],['#_Household received remediation action due to contamination]]/WWWW[[#This Row],['#_Household water samples tested for contamination]],"no test")</f>
        <v>no test</v>
      </c>
      <c r="BS678" s="712" t="str">
        <f>IF(AND(WWWW[[#This Row],[% of water sources treated]]="no test",WWWW[[#This Row],[% Household received corrective actions]]="no test"),"No Test","Tested")</f>
        <v>No Test</v>
      </c>
      <c r="BT678" s="712">
        <f>WWWW[[#This Row],['#_Constructed/existing protected hand dug well]]-WWWW[[#This Row],['#_Non-functional protected hand dug well]]</f>
        <v>0</v>
      </c>
      <c r="BU678" s="712">
        <f>(WWWW[[#This Row],['#_Constructed/Existing tube wells/boreholes/handpumps_WASH_agency]]+WWWW[[#This Row],['#_Non-Cluster partner water tube-wells/boreholes/handpumps]])-WWWW[[#This Row],['#_Non-functional tube wells/boreholes/handpumps]]</f>
        <v>1</v>
      </c>
      <c r="BV678" s="712">
        <f>WWWW[[#This Row],['#_Constructed/Existingwater storage tank with gravity fed reticulation system]]-WWWW[[#This Row],['#_Non-functional storage tank gravity fed reticulation system]]</f>
        <v>0</v>
      </c>
      <c r="BW678" s="712">
        <f>WWWW[[#This Row],['#_Water boating or water trucking]]</f>
        <v>0</v>
      </c>
      <c r="BX678" s="712">
        <f>WWWW[[#This Row],['#_Constructed/Existing water distribution system from river or natural spring]]</f>
        <v>0</v>
      </c>
      <c r="BY67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7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78" s="710">
        <f>IF(WWWW[[#This Row],[Location Type 1]]="Village",WWWW[[#This Row],[Access to safe drinking water for Village]],WWWW[[#This Row],[Access to safe drinking water for Camp]])</f>
        <v>1</v>
      </c>
      <c r="CB678" s="708">
        <f>WWWW[[#This Row],[%Equitable and continuous access to sufficient quantity of safe drinking water]]*WWWW[[#This Row],[Total PoP ]]</f>
        <v>122</v>
      </c>
      <c r="CC678" s="710">
        <f>IF((WWWW[[#This Row],['#_Constructed/Existing protected/fenced ponds]]*250)/WWWW[[#This Row],[Total PoP ]]&gt;1,1,(WWWW[[#This Row],['#_Constructed/Existing protected/fenced ponds]]*250)/WWWW[[#This Row],[Total PoP ]])</f>
        <v>0</v>
      </c>
      <c r="CD678" s="708">
        <f>WWWW[[#This Row],[% Access to unimproved water points]]*WWWW[[#This Row],[Total PoP ]]</f>
        <v>0</v>
      </c>
      <c r="CE67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7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v>
      </c>
      <c r="CG678" s="708">
        <f>WWWW[[#This Row],[HRP1]]/500</f>
        <v>0.24399999999999999</v>
      </c>
      <c r="CH678" s="714">
        <f>1-WWWW[[#This Row],[% Equitable and continuous access to sufficient quantity of domestic water]]</f>
        <v>0</v>
      </c>
      <c r="CI678" s="708">
        <f>WWWW[[#This Row],[%equitable and continuous access to sufficient quantity of safe drinking and domestic water''s GAP]]*WWWW[[#This Row],[Total PoP ]]</f>
        <v>0</v>
      </c>
      <c r="CJ678" s="712">
        <f>IF(WWWW[[#This Row],[Total required water points]]-WWWW[[#This Row],['#Water points coverage]]&lt;0,0,WWWW[[#This Row],[Total required water points]]-WWWW[[#This Row],['#Water points coverage]])</f>
        <v>0.75600000000000001</v>
      </c>
      <c r="CK678" s="712">
        <f>ROUND(IF(WWWW[[#This Row],[Total PoP ]]&lt;500,1,WWWW[[#This Row],[Total PoP ]]/500),0)</f>
        <v>1</v>
      </c>
      <c r="CL678" s="712">
        <f>(WWWW[[#This Row],['#_Constructed latrines_by_WASHAgencies]]+WWWW[[#This Row],['#_Non Cluster partner latrines]])-WWWW[[#This Row],['#_Non-functional latrines]]</f>
        <v>6</v>
      </c>
      <c r="CM67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0.98360655737704916</v>
      </c>
      <c r="CN67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120</v>
      </c>
      <c r="CO67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8" s="712">
        <f>IF(WWWW[[#This Row],[Location Type 1]]="Village","NA",IF(WWWW[[#This Row],['#_Constructed/Existing latrines in TLS]]*50&gt;WWWW[[#This Row],['#_students at TLS_CFS]],WWWW[[#This Row],['#_students at TLS_CFS]],(WWWW[[#This Row],['#_Constructed/Existing latrines in TLS]]*50)))</f>
        <v>0</v>
      </c>
      <c r="CQ678" s="712">
        <f>ROUND(IF(WWWW[[#This Row],[Location Type 1]]="camp",WWWW[[#This Row],[Total PoP ]]/20,IF(WWWW[[#This Row],[Location Type 1]]="Temporary Location",WWWW[[#This Row],[Total PoP ]]/50,(WWWW[[#This Row],[Total PoP ]]/6))),0)</f>
        <v>6</v>
      </c>
      <c r="CR678" s="712">
        <f>IF(WWWW[[#This Row],[Total required Latrines]]-(WWWW[[#This Row],['#_Constructed latrines_by_WASHAgencies]]+WWWW[[#This Row],['#_Non Cluster partner latrines]])&lt;0,0,WWWW[[#This Row],[Total required Latrines]]-(WWWW[[#This Row],['#_Constructed latrines_by_WASHAgencies]]+WWWW[[#This Row],['#_Non Cluster partner latrines]]))</f>
        <v>0</v>
      </c>
      <c r="CS678" s="714">
        <f>1-WWWW[[#This Row],[% people access to functioning Latrine]]</f>
        <v>1.6393442622950838E-2</v>
      </c>
      <c r="CT678" s="713">
        <f>IF(OR(WWWW[[#This Row],['#_Non-functional latrines]]="",WWWW[[#This Row],['#_Non-functional latrines]]=0),0,WWWW[[#This Row],['#_Non-functional latrines]]/(WWWW[[#This Row],['#_Constructed latrines_by_WASHAgencies]]+WWWW[[#This Row],['#_Non Cluster partner latrines]]))</f>
        <v>0</v>
      </c>
      <c r="CU678" s="708">
        <f>IF(500*(WWWW[[#This Row],['#_male hygiene promoters]]+WWWW[[#This Row],['#_female hygiene promoters]])&gt;WWWW[[#This Row],[Total PoP ]],WWWW[[#This Row],[Total PoP ]],500*(WWWW[[#This Row],['#_male hygiene promoters]]+WWWW[[#This Row],['#_female hygiene promoters]]))</f>
        <v>122</v>
      </c>
      <c r="CV67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8" s="712">
        <f>IF(WWWW[[#This Row],['# People with access to soap]]&gt;WWWW[[#This Row],['# People with access to Sanity Pads]],WWWW[[#This Row],['# People with access to soap]],WWWW[[#This Row],['# People with access to Sanity Pads]])</f>
        <v>0</v>
      </c>
      <c r="CY678" s="712">
        <f>IF(WWWW[[#This Row],['# people reached by regular dedicated hygiene promotion_5]]&gt;WWWW[[#This Row],['# People received regular supply of hygiene items_6]],WWWW[[#This Row],['# people reached by regular dedicated hygiene promotion_5]],WWWW[[#This Row],['# People received regular supply of hygiene items_6]])</f>
        <v>122</v>
      </c>
      <c r="CZ678" s="714">
        <f>IF(WWWW[[#This Row],[HRP3]]/WWWW[[#This Row],[Total PoP ]]&gt;100%,100%,WWWW[[#This Row],[HRP3]]/WWWW[[#This Row],[Total PoP ]])</f>
        <v>1</v>
      </c>
      <c r="DA678" s="713">
        <f>1-WWWW[[#This Row],[Hygiene Coverage%]]</f>
        <v>0</v>
      </c>
      <c r="DB678" s="710">
        <f>WWWW[[#This Row],['# people reached by regular dedicated hygiene promotion_5]]/WWWW[[#This Row],[Total PoP ]]</f>
        <v>1</v>
      </c>
      <c r="DC678" s="710">
        <f>IF(WWWW[[#This Row],['#_households that received standard amount of soap for this quarter]]/WWWW[[#This Row],[Total HH]]&gt;1,1,WWWW[[#This Row],['#_households that received standard amount of soap for this quarter]]/WWWW[[#This Row],[Total HH]])</f>
        <v>0</v>
      </c>
      <c r="DD678" s="710">
        <f>IF(WWWW[[#This Row],['#_households that received standard amount of sanitary pads for this quarter]]/WWWW[[#This Row],[Total HH]]&gt;1,1,WWWW[[#This Row],['#_households that received standard amount of sanitary pads for this quarter]]/WWWW[[#This Row],[Total HH]])</f>
        <v>0</v>
      </c>
      <c r="DE678" s="712">
        <f>WWWW[[#This Row],['#_Constructed/Existing hand washing stations]]-WWWW[[#This Row],['#_Non-Functional_hand_washing_stations]]</f>
        <v>2</v>
      </c>
      <c r="DF678" s="757">
        <f>IF(WWWW[[#This Row],['# Functional hand washing stations during reporting period]]*20&gt;WWWW[[#This Row],[Total HH]],WWWW[[#This Row],[Total HH]],WWWW[[#This Row],['# Functional hand washing stations during reporting period]]*20)</f>
        <v>22</v>
      </c>
      <c r="DG678" s="708">
        <f>IF(WWWW[[#This Row],[Is sufficient soap available for TLS? (Yes/No)]]="yes",WWWW[[#This Row],['#_Constructed/Existing hand washing stations at TLS]],0)</f>
        <v>0</v>
      </c>
      <c r="DH678" s="759">
        <f>IF(WWWW[[#This Row],['# Functional hand washing stations during reporting period]]*100&gt;WWWW[[#This Row],[Total PoP ]],WWWW[[#This Row],[Total PoP ]],WWWW[[#This Row],['# Functional hand washing stations during reporting period]]*100)</f>
        <v>122</v>
      </c>
      <c r="DI678" s="759" t="str">
        <f>IF(OR(WWWW[[#This Row],['#_students at TLS_CFS]]="",WWWW[[#This Row],['#_students at TLS_CFS]]=0),"No","Yes")</f>
        <v>No</v>
      </c>
      <c r="DJ678" s="711">
        <f>VLOOKUP(WWWW[[#This Row],[Site Name]],SiteDB6[[Site Name]:[CCCM Management]],6,FALSE)</f>
        <v>0</v>
      </c>
      <c r="DK678" s="711">
        <f>VLOOKUP(WWWW[[#This Row],[Site Name]],SiteDB6[[Site Name]:[CCCM Focal Agency]],7,FALSE)</f>
        <v>0</v>
      </c>
      <c r="DL678" s="711" t="str">
        <f>VLOOKUP(WWWW[[#This Row],[Site Name]],SiteDB6[[Site Name]:[Location Type 1]],9,FALSE)</f>
        <v>Camp</v>
      </c>
      <c r="DM678" s="711" t="str">
        <f>VLOOKUP(WWWW[[#This Row],[Site Name]],SiteDB6[[Site Name]:[Type of Accommodation]],10,FALSE)</f>
        <v>Camp</v>
      </c>
      <c r="DN678" s="711" t="str">
        <f>VLOOKUP(WWWW[[#This Row],[Site Name]],SiteDB6[[Site Name]:[Ethnic or GCA/NGCA]],11,FALSE)</f>
        <v>GCA</v>
      </c>
      <c r="DO678" s="711">
        <f>VLOOKUP(WWWW[[#This Row],[Site Name]],SiteDB6[[Site Name]:[Lat]],12,FALSE)</f>
        <v>0</v>
      </c>
      <c r="DP678" s="711">
        <f>VLOOKUP(WWWW[[#This Row],[Site Name]],SiteDB6[[Site Name]:[Long]],13,FALSE)</f>
        <v>0</v>
      </c>
      <c r="DQ678" s="711">
        <f>VLOOKUP(WWWW[[#This Row],[Site Name]],SiteDB6[[Site Name]:[Pcode]],3,FALSE)</f>
        <v>0</v>
      </c>
      <c r="DR678" s="709" t="str">
        <f t="shared" si="25"/>
        <v>Covered</v>
      </c>
      <c r="DS678" s="709"/>
    </row>
    <row r="679" spans="1:123">
      <c r="A679" s="701" t="s">
        <v>2519</v>
      </c>
      <c r="B679" s="701" t="s">
        <v>317</v>
      </c>
      <c r="C679" s="702" t="s">
        <v>317</v>
      </c>
      <c r="D679" s="702"/>
      <c r="E679" s="702" t="s">
        <v>39</v>
      </c>
      <c r="F679" s="702" t="s">
        <v>150</v>
      </c>
      <c r="G679" s="711" t="str">
        <f>VLOOKUP(WWWW[[#This Row],[Site Name]],SiteDB6[[Site Name]:[Location Type]],8,FALSE)</f>
        <v>Camp</v>
      </c>
      <c r="H679" s="702" t="s">
        <v>1057</v>
      </c>
      <c r="I679" s="705">
        <v>62</v>
      </c>
      <c r="J679" s="705">
        <v>410</v>
      </c>
      <c r="K679" s="706"/>
      <c r="L679" s="707"/>
      <c r="M679" s="705"/>
      <c r="N679" s="705"/>
      <c r="O679" s="705"/>
      <c r="P679" s="705"/>
      <c r="Q679" s="708"/>
      <c r="R679" s="705"/>
      <c r="S679" s="705"/>
      <c r="T679" s="807"/>
      <c r="U679" s="705"/>
      <c r="V679" s="705"/>
      <c r="W679" s="705"/>
      <c r="X679" s="705"/>
      <c r="Y679" s="705"/>
      <c r="Z679" s="705"/>
      <c r="AA679" s="705"/>
      <c r="AB679" s="705"/>
      <c r="AC679" s="705"/>
      <c r="AD679" s="705"/>
      <c r="AE679" s="705"/>
      <c r="AF679" s="705"/>
      <c r="AG679" s="705"/>
      <c r="AH679" s="705"/>
      <c r="AI679" s="705"/>
      <c r="AJ679" s="705"/>
      <c r="AK679" s="705"/>
      <c r="AL679" s="705"/>
      <c r="AM679" s="705"/>
      <c r="AN679" s="705"/>
      <c r="AO679" s="709"/>
      <c r="AP679" s="705"/>
      <c r="AQ679" s="705"/>
      <c r="AR679" s="710"/>
      <c r="AS679" s="705"/>
      <c r="AT679" s="705"/>
      <c r="AU679" s="705"/>
      <c r="AV679" s="705"/>
      <c r="AW679" s="705"/>
      <c r="AX679" s="711"/>
      <c r="AY679" s="709"/>
      <c r="AZ679" s="705"/>
      <c r="BA679" s="705"/>
      <c r="BB679" s="705"/>
      <c r="BC679" s="711"/>
      <c r="BD679" s="705"/>
      <c r="BE679" s="705"/>
      <c r="BF679" s="705"/>
      <c r="BG679" s="705"/>
      <c r="BH679" s="705"/>
      <c r="BI679" s="705"/>
      <c r="BJ679" s="705"/>
      <c r="BK679" s="705"/>
      <c r="BL679" s="705"/>
      <c r="BM679" s="711"/>
      <c r="BN679" s="712"/>
      <c r="BO679" s="710"/>
      <c r="BP679" s="711"/>
      <c r="BQ679" s="713" t="str">
        <f>IFERROR(WWWW[[#This Row],['#_Water sources treated]]/WWWW[[#This Row],['#_Water sources tested for contamination]],"no test")</f>
        <v>no test</v>
      </c>
      <c r="BR679" s="710" t="str">
        <f>IFERROR(WWWW[[#This Row],['#_Household received remediation action due to contamination]]/WWWW[[#This Row],['#_Household water samples tested for contamination]],"no test")</f>
        <v>no test</v>
      </c>
      <c r="BS679" s="712" t="str">
        <f>IF(AND(WWWW[[#This Row],[% of water sources treated]]="no test",WWWW[[#This Row],[% Household received corrective actions]]="no test"),"No Test","Tested")</f>
        <v>No Test</v>
      </c>
      <c r="BT679" s="712">
        <f>WWWW[[#This Row],['#_Constructed/existing protected hand dug well]]-WWWW[[#This Row],['#_Non-functional protected hand dug well]]</f>
        <v>0</v>
      </c>
      <c r="BU679" s="712">
        <f>(WWWW[[#This Row],['#_Constructed/Existing tube wells/boreholes/handpumps_WASH_agency]]+WWWW[[#This Row],['#_Non-Cluster partner water tube-wells/boreholes/handpumps]])-WWWW[[#This Row],['#_Non-functional tube wells/boreholes/handpumps]]</f>
        <v>0</v>
      </c>
      <c r="BV679" s="712">
        <f>WWWW[[#This Row],['#_Constructed/Existingwater storage tank with gravity fed reticulation system]]-WWWW[[#This Row],['#_Non-functional storage tank gravity fed reticulation system]]</f>
        <v>0</v>
      </c>
      <c r="BW679" s="712">
        <f>WWWW[[#This Row],['#_Water boating or water trucking]]</f>
        <v>0</v>
      </c>
      <c r="BX679" s="712">
        <f>WWWW[[#This Row],['#_Constructed/Existing water distribution system from river or natural spring]]</f>
        <v>0</v>
      </c>
      <c r="BY67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7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79" s="710">
        <f>IF(WWWW[[#This Row],[Location Type 1]]="Village",WWWW[[#This Row],[Access to safe drinking water for Village]],WWWW[[#This Row],[Access to safe drinking water for Camp]])</f>
        <v>0</v>
      </c>
      <c r="CB679" s="708">
        <f>WWWW[[#This Row],[%Equitable and continuous access to sufficient quantity of safe drinking water]]*WWWW[[#This Row],[Total PoP ]]</f>
        <v>0</v>
      </c>
      <c r="CC679" s="710">
        <f>IF((WWWW[[#This Row],['#_Constructed/Existing protected/fenced ponds]]*250)/WWWW[[#This Row],[Total PoP ]]&gt;1,1,(WWWW[[#This Row],['#_Constructed/Existing protected/fenced ponds]]*250)/WWWW[[#This Row],[Total PoP ]])</f>
        <v>0</v>
      </c>
      <c r="CD679" s="708">
        <f>WWWW[[#This Row],[% Access to unimproved water points]]*WWWW[[#This Row],[Total PoP ]]</f>
        <v>0</v>
      </c>
      <c r="CE67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7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79" s="708">
        <f>WWWW[[#This Row],[HRP1]]/500</f>
        <v>0</v>
      </c>
      <c r="CH679" s="714">
        <f>1-WWWW[[#This Row],[% Equitable and continuous access to sufficient quantity of domestic water]]</f>
        <v>1</v>
      </c>
      <c r="CI679" s="708">
        <f>WWWW[[#This Row],[%equitable and continuous access to sufficient quantity of safe drinking and domestic water''s GAP]]*WWWW[[#This Row],[Total PoP ]]</f>
        <v>410</v>
      </c>
      <c r="CJ679" s="712">
        <f>IF(WWWW[[#This Row],[Total required water points]]-WWWW[[#This Row],['#Water points coverage]]&lt;0,0,WWWW[[#This Row],[Total required water points]]-WWWW[[#This Row],['#Water points coverage]])</f>
        <v>1</v>
      </c>
      <c r="CK679" s="712">
        <f>ROUND(IF(WWWW[[#This Row],[Total PoP ]]&lt;500,1,WWWW[[#This Row],[Total PoP ]]/500),0)</f>
        <v>1</v>
      </c>
      <c r="CL679" s="712">
        <f>(WWWW[[#This Row],['#_Constructed latrines_by_WASHAgencies]]+WWWW[[#This Row],['#_Non Cluster partner latrines]])-WWWW[[#This Row],['#_Non-functional latrines]]</f>
        <v>0</v>
      </c>
      <c r="CM67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7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7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79" s="712">
        <f>IF(WWWW[[#This Row],[Location Type 1]]="Village","NA",IF(WWWW[[#This Row],['#_Constructed/Existing latrines in TLS]]*50&gt;WWWW[[#This Row],['#_students at TLS_CFS]],WWWW[[#This Row],['#_students at TLS_CFS]],(WWWW[[#This Row],['#_Constructed/Existing latrines in TLS]]*50)))</f>
        <v>0</v>
      </c>
      <c r="CQ679" s="712">
        <f>ROUND(IF(WWWW[[#This Row],[Location Type 1]]="camp",WWWW[[#This Row],[Total PoP ]]/20,IF(WWWW[[#This Row],[Location Type 1]]="Temporary Location",WWWW[[#This Row],[Total PoP ]]/50,(WWWW[[#This Row],[Total PoP ]]/6))),0)</f>
        <v>21</v>
      </c>
      <c r="CR679" s="712">
        <f>IF(WWWW[[#This Row],[Total required Latrines]]-(WWWW[[#This Row],['#_Constructed latrines_by_WASHAgencies]]+WWWW[[#This Row],['#_Non Cluster partner latrines]])&lt;0,0,WWWW[[#This Row],[Total required Latrines]]-(WWWW[[#This Row],['#_Constructed latrines_by_WASHAgencies]]+WWWW[[#This Row],['#_Non Cluster partner latrines]]))</f>
        <v>21</v>
      </c>
      <c r="CS679" s="714">
        <f>1-WWWW[[#This Row],[% people access to functioning Latrine]]</f>
        <v>1</v>
      </c>
      <c r="CT679" s="713">
        <f>IF(OR(WWWW[[#This Row],['#_Non-functional latrines]]="",WWWW[[#This Row],['#_Non-functional latrines]]=0),0,WWWW[[#This Row],['#_Non-functional latrines]]/(WWWW[[#This Row],['#_Constructed latrines_by_WASHAgencies]]+WWWW[[#This Row],['#_Non Cluster partner latrines]]))</f>
        <v>0</v>
      </c>
      <c r="CU679" s="708">
        <f>IF(500*(WWWW[[#This Row],['#_male hygiene promoters]]+WWWW[[#This Row],['#_female hygiene promoters]])&gt;WWWW[[#This Row],[Total PoP ]],WWWW[[#This Row],[Total PoP ]],500*(WWWW[[#This Row],['#_male hygiene promoters]]+WWWW[[#This Row],['#_female hygiene promoters]]))</f>
        <v>0</v>
      </c>
      <c r="CV67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7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79" s="712">
        <f>IF(WWWW[[#This Row],['# People with access to soap]]&gt;WWWW[[#This Row],['# People with access to Sanity Pads]],WWWW[[#This Row],['# People with access to soap]],WWWW[[#This Row],['# People with access to Sanity Pads]])</f>
        <v>0</v>
      </c>
      <c r="CY67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79" s="714">
        <f>IF(WWWW[[#This Row],[HRP3]]/WWWW[[#This Row],[Total PoP ]]&gt;100%,100%,WWWW[[#This Row],[HRP3]]/WWWW[[#This Row],[Total PoP ]])</f>
        <v>0</v>
      </c>
      <c r="DA679" s="713">
        <f>1-WWWW[[#This Row],[Hygiene Coverage%]]</f>
        <v>1</v>
      </c>
      <c r="DB679" s="710">
        <f>WWWW[[#This Row],['# people reached by regular dedicated hygiene promotion_5]]/WWWW[[#This Row],[Total PoP ]]</f>
        <v>0</v>
      </c>
      <c r="DC679" s="710">
        <f>IF(WWWW[[#This Row],['#_households that received standard amount of soap for this quarter]]/WWWW[[#This Row],[Total HH]]&gt;1,1,WWWW[[#This Row],['#_households that received standard amount of soap for this quarter]]/WWWW[[#This Row],[Total HH]])</f>
        <v>0</v>
      </c>
      <c r="DD679" s="710">
        <f>IF(WWWW[[#This Row],['#_households that received standard amount of sanitary pads for this quarter]]/WWWW[[#This Row],[Total HH]]&gt;1,1,WWWW[[#This Row],['#_households that received standard amount of sanitary pads for this quarter]]/WWWW[[#This Row],[Total HH]])</f>
        <v>0</v>
      </c>
      <c r="DE679" s="712">
        <f>WWWW[[#This Row],['#_Constructed/Existing hand washing stations]]-WWWW[[#This Row],['#_Non-Functional_hand_washing_stations]]</f>
        <v>0</v>
      </c>
      <c r="DF679" s="757">
        <f>IF(WWWW[[#This Row],['# Functional hand washing stations during reporting period]]*20&gt;WWWW[[#This Row],[Total HH]],WWWW[[#This Row],[Total HH]],WWWW[[#This Row],['# Functional hand washing stations during reporting period]]*20)</f>
        <v>0</v>
      </c>
      <c r="DG679" s="708">
        <f>IF(WWWW[[#This Row],[Is sufficient soap available for TLS? (Yes/No)]]="yes",WWWW[[#This Row],['#_Constructed/Existing hand washing stations at TLS]],0)</f>
        <v>0</v>
      </c>
      <c r="DH679" s="759">
        <f>IF(WWWW[[#This Row],['# Functional hand washing stations during reporting period]]*100&gt;WWWW[[#This Row],[Total PoP ]],WWWW[[#This Row],[Total PoP ]],WWWW[[#This Row],['# Functional hand washing stations during reporting period]]*100)</f>
        <v>0</v>
      </c>
      <c r="DI679" s="759" t="str">
        <f>IF(OR(WWWW[[#This Row],['#_students at TLS_CFS]]="",WWWW[[#This Row],['#_students at TLS_CFS]]=0),"No","Yes")</f>
        <v>No</v>
      </c>
      <c r="DJ679" s="711">
        <f>VLOOKUP(WWWW[[#This Row],[Site Name]],SiteDB6[[Site Name]:[CCCM Management]],6,FALSE)</f>
        <v>0</v>
      </c>
      <c r="DK679" s="711" t="str">
        <f>VLOOKUP(WWWW[[#This Row],[Site Name]],SiteDB6[[Site Name]:[CCCM Focal Agency]],7,FALSE)</f>
        <v>uncovered</v>
      </c>
      <c r="DL679" s="711" t="str">
        <f>VLOOKUP(WWWW[[#This Row],[Site Name]],SiteDB6[[Site Name]:[Location Type 1]],9,FALSE)</f>
        <v>Camp</v>
      </c>
      <c r="DM679" s="711" t="str">
        <f>VLOOKUP(WWWW[[#This Row],[Site Name]],SiteDB6[[Site Name]:[Type of Accommodation]],10,FALSE)</f>
        <v>Camp like setting</v>
      </c>
      <c r="DN679" s="711" t="str">
        <f>VLOOKUP(WWWW[[#This Row],[Site Name]],SiteDB6[[Site Name]:[Ethnic or GCA/NGCA]],11,FALSE)</f>
        <v>GCA</v>
      </c>
      <c r="DO679" s="711">
        <f>VLOOKUP(WWWW[[#This Row],[Site Name]],SiteDB6[[Site Name]:[Lat]],12,FALSE)</f>
        <v>25.305008999999998</v>
      </c>
      <c r="DP679" s="711">
        <f>VLOOKUP(WWWW[[#This Row],[Site Name]],SiteDB6[[Site Name]:[Long]],13,FALSE)</f>
        <v>97.430321000000006</v>
      </c>
      <c r="DQ679" s="711" t="str">
        <f>VLOOKUP(WWWW[[#This Row],[Site Name]],SiteDB6[[Site Name]:[Pcode]],3,FALSE)</f>
        <v>MMR001CMP248</v>
      </c>
      <c r="DR679" s="709" t="str">
        <f t="shared" si="25"/>
        <v>Notcovered</v>
      </c>
      <c r="DS679" s="709"/>
    </row>
    <row r="680" spans="1:123">
      <c r="A680" s="701" t="s">
        <v>2519</v>
      </c>
      <c r="B680" s="701" t="s">
        <v>250</v>
      </c>
      <c r="C680" s="702" t="s">
        <v>250</v>
      </c>
      <c r="D680" s="702" t="s">
        <v>315</v>
      </c>
      <c r="E680" s="702" t="s">
        <v>39</v>
      </c>
      <c r="F680" s="702" t="s">
        <v>167</v>
      </c>
      <c r="G680" s="711" t="str">
        <f>VLOOKUP(WWWW[[#This Row],[Site Name]],SiteDB6[[Site Name]:[Location Type]],8,FALSE)</f>
        <v>Camp</v>
      </c>
      <c r="H680" s="702" t="s">
        <v>273</v>
      </c>
      <c r="I680" s="705">
        <v>24</v>
      </c>
      <c r="J680" s="705">
        <v>111</v>
      </c>
      <c r="K680" s="706">
        <v>43313</v>
      </c>
      <c r="L680" s="707">
        <v>44043</v>
      </c>
      <c r="M680" s="705"/>
      <c r="N680" s="705">
        <v>1</v>
      </c>
      <c r="O680" s="705"/>
      <c r="P680" s="705"/>
      <c r="Q680" s="708" t="s">
        <v>43</v>
      </c>
      <c r="R680" s="705">
        <v>1</v>
      </c>
      <c r="S680" s="705">
        <v>3</v>
      </c>
      <c r="T680" s="807">
        <v>1</v>
      </c>
      <c r="U680" s="705"/>
      <c r="V680" s="705"/>
      <c r="W680" s="705">
        <v>0</v>
      </c>
      <c r="X680" s="705">
        <v>0</v>
      </c>
      <c r="Y680" s="705"/>
      <c r="Z680" s="705"/>
      <c r="AA680" s="705"/>
      <c r="AB680" s="705"/>
      <c r="AC680" s="705"/>
      <c r="AD680" s="705"/>
      <c r="AE680" s="705"/>
      <c r="AF680" s="705"/>
      <c r="AG680" s="705"/>
      <c r="AH680" s="705"/>
      <c r="AI680" s="705"/>
      <c r="AJ680" s="705"/>
      <c r="AK680" s="705"/>
      <c r="AL680" s="705"/>
      <c r="AM680" s="705"/>
      <c r="AN680" s="705"/>
      <c r="AO680" s="709"/>
      <c r="AP680" s="705">
        <v>2</v>
      </c>
      <c r="AQ680" s="705">
        <v>5</v>
      </c>
      <c r="AR680" s="710" t="s">
        <v>3109</v>
      </c>
      <c r="AS680" s="705"/>
      <c r="AT680" s="705"/>
      <c r="AU680" s="705"/>
      <c r="AV680" s="705"/>
      <c r="AW680" s="705"/>
      <c r="AX680" s="711" t="s">
        <v>43</v>
      </c>
      <c r="AY680" s="709" t="s">
        <v>1200</v>
      </c>
      <c r="AZ680" s="705"/>
      <c r="BA680" s="705"/>
      <c r="BB680" s="705"/>
      <c r="BC680" s="711"/>
      <c r="BD680" s="705">
        <v>2</v>
      </c>
      <c r="BE680" s="705"/>
      <c r="BF680" s="705">
        <v>0</v>
      </c>
      <c r="BG680" s="705">
        <v>0</v>
      </c>
      <c r="BH680" s="705"/>
      <c r="BI680" s="705">
        <v>0</v>
      </c>
      <c r="BJ680" s="705">
        <v>0</v>
      </c>
      <c r="BK680" s="705"/>
      <c r="BL680" s="705"/>
      <c r="BM680" s="711" t="s">
        <v>144</v>
      </c>
      <c r="BN680" s="712"/>
      <c r="BO680" s="710">
        <v>0</v>
      </c>
      <c r="BP680" s="711"/>
      <c r="BQ680" s="713" t="str">
        <f>IFERROR(WWWW[[#This Row],['#_Water sources treated]]/WWWW[[#This Row],['#_Water sources tested for contamination]],"no test")</f>
        <v>no test</v>
      </c>
      <c r="BR680" s="710" t="str">
        <f>IFERROR(WWWW[[#This Row],['#_Household received remediation action due to contamination]]/WWWW[[#This Row],['#_Household water samples tested for contamination]],"no test")</f>
        <v>no test</v>
      </c>
      <c r="BS680" s="712" t="str">
        <f>IF(AND(WWWW[[#This Row],[% of water sources treated]]="no test",WWWW[[#This Row],[% Household received corrective actions]]="no test"),"No Test","Tested")</f>
        <v>No Test</v>
      </c>
      <c r="BT680" s="712">
        <f>WWWW[[#This Row],['#_Constructed/existing protected hand dug well]]-WWWW[[#This Row],['#_Non-functional protected hand dug well]]</f>
        <v>1</v>
      </c>
      <c r="BU680" s="712">
        <f>(WWWW[[#This Row],['#_Constructed/Existing tube wells/boreholes/handpumps_WASH_agency]]+WWWW[[#This Row],['#_Non-Cluster partner water tube-wells/boreholes/handpumps]])-WWWW[[#This Row],['#_Non-functional tube wells/boreholes/handpumps]]</f>
        <v>0</v>
      </c>
      <c r="BV680" s="712">
        <f>WWWW[[#This Row],['#_Constructed/Existingwater storage tank with gravity fed reticulation system]]-WWWW[[#This Row],['#_Non-functional storage tank gravity fed reticulation system]]</f>
        <v>0</v>
      </c>
      <c r="BW680" s="712">
        <f>WWWW[[#This Row],['#_Water boating or water trucking]]</f>
        <v>0</v>
      </c>
      <c r="BX680" s="712">
        <f>WWWW[[#This Row],['#_Constructed/Existing water distribution system from river or natural spring]]</f>
        <v>0</v>
      </c>
      <c r="BY68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0" s="710">
        <f>IF(WWWW[[#This Row],[Location Type 1]]="Village",WWWW[[#This Row],[Access to safe drinking water for Village]],WWWW[[#This Row],[Access to safe drinking water for Camp]])</f>
        <v>1</v>
      </c>
      <c r="CB680" s="708">
        <f>WWWW[[#This Row],[%Equitable and continuous access to sufficient quantity of safe drinking water]]*WWWW[[#This Row],[Total PoP ]]</f>
        <v>111</v>
      </c>
      <c r="CC680" s="710">
        <f>IF((WWWW[[#This Row],['#_Constructed/Existing protected/fenced ponds]]*250)/WWWW[[#This Row],[Total PoP ]]&gt;1,1,(WWWW[[#This Row],['#_Constructed/Existing protected/fenced ponds]]*250)/WWWW[[#This Row],[Total PoP ]])</f>
        <v>0</v>
      </c>
      <c r="CD680" s="708">
        <f>WWWW[[#This Row],[% Access to unimproved water points]]*WWWW[[#This Row],[Total PoP ]]</f>
        <v>0</v>
      </c>
      <c r="CE68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G680" s="708">
        <f>WWWW[[#This Row],[HRP1]]/500</f>
        <v>0.222</v>
      </c>
      <c r="CH680" s="714">
        <f>1-WWWW[[#This Row],[% Equitable and continuous access to sufficient quantity of domestic water]]</f>
        <v>0</v>
      </c>
      <c r="CI680" s="708">
        <f>WWWW[[#This Row],[%equitable and continuous access to sufficient quantity of safe drinking and domestic water''s GAP]]*WWWW[[#This Row],[Total PoP ]]</f>
        <v>0</v>
      </c>
      <c r="CJ680" s="712">
        <f>IF(WWWW[[#This Row],[Total required water points]]-WWWW[[#This Row],['#Water points coverage]]&lt;0,0,WWWW[[#This Row],[Total required water points]]-WWWW[[#This Row],['#Water points coverage]])</f>
        <v>0.77800000000000002</v>
      </c>
      <c r="CK680" s="712">
        <f>ROUND(IF(WWWW[[#This Row],[Total PoP ]]&lt;500,1,WWWW[[#This Row],[Total PoP ]]/500),0)</f>
        <v>1</v>
      </c>
      <c r="CL680" s="712">
        <f>(WWWW[[#This Row],['#_Constructed latrines_by_WASHAgencies]]+WWWW[[#This Row],['#_Non Cluster partner latrines]])-WWWW[[#This Row],['#_Non-functional latrines]]</f>
        <v>7</v>
      </c>
      <c r="CM68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8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111</v>
      </c>
      <c r="CO68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0" s="712">
        <f>IF(WWWW[[#This Row],[Location Type 1]]="Village","NA",IF(WWWW[[#This Row],['#_Constructed/Existing latrines in TLS]]*50&gt;WWWW[[#This Row],['#_students at TLS_CFS]],WWWW[[#This Row],['#_students at TLS_CFS]],(WWWW[[#This Row],['#_Constructed/Existing latrines in TLS]]*50)))</f>
        <v>0</v>
      </c>
      <c r="CQ680" s="712">
        <f>ROUND(IF(WWWW[[#This Row],[Location Type 1]]="camp",WWWW[[#This Row],[Total PoP ]]/20,IF(WWWW[[#This Row],[Location Type 1]]="Temporary Location",WWWW[[#This Row],[Total PoP ]]/50,(WWWW[[#This Row],[Total PoP ]]/6))),0)</f>
        <v>6</v>
      </c>
      <c r="CR680" s="712">
        <f>IF(WWWW[[#This Row],[Total required Latrines]]-(WWWW[[#This Row],['#_Constructed latrines_by_WASHAgencies]]+WWWW[[#This Row],['#_Non Cluster partner latrines]])&lt;0,0,WWWW[[#This Row],[Total required Latrines]]-(WWWW[[#This Row],['#_Constructed latrines_by_WASHAgencies]]+WWWW[[#This Row],['#_Non Cluster partner latrines]]))</f>
        <v>0</v>
      </c>
      <c r="CS680" s="714">
        <f>1-WWWW[[#This Row],[% people access to functioning Latrine]]</f>
        <v>0</v>
      </c>
      <c r="CT680" s="713">
        <f>IF(OR(WWWW[[#This Row],['#_Non-functional latrines]]="",WWWW[[#This Row],['#_Non-functional latrines]]=0),0,WWWW[[#This Row],['#_Non-functional latrines]]/(WWWW[[#This Row],['#_Constructed latrines_by_WASHAgencies]]+WWWW[[#This Row],['#_Non Cluster partner latrines]]))</f>
        <v>0</v>
      </c>
      <c r="CU680" s="708">
        <f>IF(500*(WWWW[[#This Row],['#_male hygiene promoters]]+WWWW[[#This Row],['#_female hygiene promoters]])&gt;WWWW[[#This Row],[Total PoP ]],WWWW[[#This Row],[Total PoP ]],500*(WWWW[[#This Row],['#_male hygiene promoters]]+WWWW[[#This Row],['#_female hygiene promoters]]))</f>
        <v>0</v>
      </c>
      <c r="CV68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0" s="712">
        <f>IF(WWWW[[#This Row],['# People with access to soap]]&gt;WWWW[[#This Row],['# People with access to Sanity Pads]],WWWW[[#This Row],['# People with access to soap]],WWWW[[#This Row],['# People with access to Sanity Pads]])</f>
        <v>0</v>
      </c>
      <c r="CY68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80" s="714">
        <f>IF(WWWW[[#This Row],[HRP3]]/WWWW[[#This Row],[Total PoP ]]&gt;100%,100%,WWWW[[#This Row],[HRP3]]/WWWW[[#This Row],[Total PoP ]])</f>
        <v>0</v>
      </c>
      <c r="DA680" s="713">
        <f>1-WWWW[[#This Row],[Hygiene Coverage%]]</f>
        <v>1</v>
      </c>
      <c r="DB680" s="710">
        <f>WWWW[[#This Row],['# people reached by regular dedicated hygiene promotion_5]]/WWWW[[#This Row],[Total PoP ]]</f>
        <v>0</v>
      </c>
      <c r="DC680" s="710">
        <f>IF(WWWW[[#This Row],['#_households that received standard amount of soap for this quarter]]/WWWW[[#This Row],[Total HH]]&gt;1,1,WWWW[[#This Row],['#_households that received standard amount of soap for this quarter]]/WWWW[[#This Row],[Total HH]])</f>
        <v>0</v>
      </c>
      <c r="DD680" s="710">
        <f>IF(WWWW[[#This Row],['#_households that received standard amount of sanitary pads for this quarter]]/WWWW[[#This Row],[Total HH]]&gt;1,1,WWWW[[#This Row],['#_households that received standard amount of sanitary pads for this quarter]]/WWWW[[#This Row],[Total HH]])</f>
        <v>0</v>
      </c>
      <c r="DE680" s="712">
        <f>WWWW[[#This Row],['#_Constructed/Existing hand washing stations]]-WWWW[[#This Row],['#_Non-Functional_hand_washing_stations]]</f>
        <v>2</v>
      </c>
      <c r="DF680" s="757">
        <f>IF(WWWW[[#This Row],['# Functional hand washing stations during reporting period]]*20&gt;WWWW[[#This Row],[Total HH]],WWWW[[#This Row],[Total HH]],WWWW[[#This Row],['# Functional hand washing stations during reporting period]]*20)</f>
        <v>24</v>
      </c>
      <c r="DG680" s="708">
        <f>IF(WWWW[[#This Row],[Is sufficient soap available for TLS? (Yes/No)]]="yes",WWWW[[#This Row],['#_Constructed/Existing hand washing stations at TLS]],0)</f>
        <v>0</v>
      </c>
      <c r="DH680" s="759">
        <f>IF(WWWW[[#This Row],['# Functional hand washing stations during reporting period]]*100&gt;WWWW[[#This Row],[Total PoP ]],WWWW[[#This Row],[Total PoP ]],WWWW[[#This Row],['# Functional hand washing stations during reporting period]]*100)</f>
        <v>111</v>
      </c>
      <c r="DI680" s="759" t="str">
        <f>IF(OR(WWWW[[#This Row],['#_students at TLS_CFS]]="",WWWW[[#This Row],['#_students at TLS_CFS]]=0),"No","Yes")</f>
        <v>No</v>
      </c>
      <c r="DJ680" s="711" t="str">
        <f>VLOOKUP(WWWW[[#This Row],[Site Name]],SiteDB6[[Site Name]:[CCCM Management]],6,FALSE)</f>
        <v>Yes</v>
      </c>
      <c r="DK680" s="711" t="str">
        <f>VLOOKUP(WWWW[[#This Row],[Site Name]],SiteDB6[[Site Name]:[CCCM Focal Agency]],7,FALSE)</f>
        <v>Shalom</v>
      </c>
      <c r="DL680" s="711" t="str">
        <f>VLOOKUP(WWWW[[#This Row],[Site Name]],SiteDB6[[Site Name]:[Location Type 1]],9,FALSE)</f>
        <v>Camp</v>
      </c>
      <c r="DM680" s="711" t="str">
        <f>VLOOKUP(WWWW[[#This Row],[Site Name]],SiteDB6[[Site Name]:[Type of Accommodation]],10,FALSE)</f>
        <v>Camp</v>
      </c>
      <c r="DN680" s="711" t="str">
        <f>VLOOKUP(WWWW[[#This Row],[Site Name]],SiteDB6[[Site Name]:[Ethnic or GCA/NGCA]],11,FALSE)</f>
        <v>GCA</v>
      </c>
      <c r="DO680" s="711">
        <f>VLOOKUP(WWWW[[#This Row],[Site Name]],SiteDB6[[Site Name]:[Lat]],12,FALSE)</f>
        <v>25.423817</v>
      </c>
      <c r="DP680" s="711">
        <f>VLOOKUP(WWWW[[#This Row],[Site Name]],SiteDB6[[Site Name]:[Long]],13,FALSE)</f>
        <v>97.418004999999994</v>
      </c>
      <c r="DQ680" s="711" t="str">
        <f>VLOOKUP(WWWW[[#This Row],[Site Name]],SiteDB6[[Site Name]:[Pcode]],3,FALSE)</f>
        <v>MMR001CMP007</v>
      </c>
      <c r="DR680" s="709" t="str">
        <f t="shared" si="25"/>
        <v>Covered</v>
      </c>
      <c r="DS680" s="709"/>
    </row>
    <row r="681" spans="1:123">
      <c r="A681" s="701" t="s">
        <v>2519</v>
      </c>
      <c r="B681" s="701" t="s">
        <v>149</v>
      </c>
      <c r="C681" s="702" t="s">
        <v>149</v>
      </c>
      <c r="D681" s="702" t="s">
        <v>3268</v>
      </c>
      <c r="E681" s="702" t="s">
        <v>39</v>
      </c>
      <c r="F681" s="702" t="s">
        <v>167</v>
      </c>
      <c r="G681" s="711" t="str">
        <f>VLOOKUP(WWWW[[#This Row],[Site Name]],SiteDB6[[Site Name]:[Location Type]],8,FALSE)</f>
        <v>Camp</v>
      </c>
      <c r="H681" s="702" t="s">
        <v>177</v>
      </c>
      <c r="I681" s="705">
        <v>93</v>
      </c>
      <c r="J681" s="705">
        <v>499</v>
      </c>
      <c r="K681" s="593" t="s">
        <v>3276</v>
      </c>
      <c r="L681" s="58" t="s">
        <v>3277</v>
      </c>
      <c r="M681" s="705"/>
      <c r="N681" s="705"/>
      <c r="O681" s="705"/>
      <c r="P681" s="705"/>
      <c r="Q681" s="708" t="s">
        <v>43</v>
      </c>
      <c r="R681" s="705"/>
      <c r="S681" s="705"/>
      <c r="T681" s="807">
        <v>2</v>
      </c>
      <c r="U681" s="705"/>
      <c r="V681" s="705"/>
      <c r="W681" s="705">
        <v>2</v>
      </c>
      <c r="X681" s="705"/>
      <c r="Y681" s="705"/>
      <c r="Z681" s="705"/>
      <c r="AA681" s="705"/>
      <c r="AB681" s="705"/>
      <c r="AC681" s="705"/>
      <c r="AD681" s="705"/>
      <c r="AE681" s="705"/>
      <c r="AF681" s="705"/>
      <c r="AG681" s="705"/>
      <c r="AH681" s="705">
        <v>2</v>
      </c>
      <c r="AI681" s="705"/>
      <c r="AJ681" s="705"/>
      <c r="AK681" s="705"/>
      <c r="AL681" s="705"/>
      <c r="AM681" s="705"/>
      <c r="AN681" s="705"/>
      <c r="AO681" s="709"/>
      <c r="AP681" s="705">
        <v>17</v>
      </c>
      <c r="AQ681" s="705"/>
      <c r="AR681" s="710"/>
      <c r="AS681" s="705"/>
      <c r="AT681" s="705"/>
      <c r="AU681" s="705"/>
      <c r="AV681" s="705"/>
      <c r="AW681" s="705">
        <v>17</v>
      </c>
      <c r="AX681" s="711" t="s">
        <v>43</v>
      </c>
      <c r="AY681" s="709" t="s">
        <v>145</v>
      </c>
      <c r="AZ681" s="705"/>
      <c r="BA681" s="705"/>
      <c r="BB681" s="705"/>
      <c r="BC681" s="711"/>
      <c r="BD681" s="705"/>
      <c r="BE681" s="705"/>
      <c r="BF681" s="705"/>
      <c r="BG681" s="705">
        <v>2</v>
      </c>
      <c r="BH681" s="705"/>
      <c r="BI681" s="705"/>
      <c r="BJ681" s="705">
        <v>2</v>
      </c>
      <c r="BK681" s="705"/>
      <c r="BL681" s="705"/>
      <c r="BM681" s="711"/>
      <c r="BN681" s="712"/>
      <c r="BO681" s="710"/>
      <c r="BP681" s="711"/>
      <c r="BQ681" s="713" t="str">
        <f>IFERROR(WWWW[[#This Row],['#_Water sources treated]]/WWWW[[#This Row],['#_Water sources tested for contamination]],"no test")</f>
        <v>no test</v>
      </c>
      <c r="BR681" s="710" t="str">
        <f>IFERROR(WWWW[[#This Row],['#_Household received remediation action due to contamination]]/WWWW[[#This Row],['#_Household water samples tested for contamination]],"no test")</f>
        <v>no test</v>
      </c>
      <c r="BS681" s="712" t="str">
        <f>IF(AND(WWWW[[#This Row],[% of water sources treated]]="no test",WWWW[[#This Row],[% Household received corrective actions]]="no test"),"No Test","Tested")</f>
        <v>No Test</v>
      </c>
      <c r="BT681" s="712">
        <f>WWWW[[#This Row],['#_Constructed/existing protected hand dug well]]-WWWW[[#This Row],['#_Non-functional protected hand dug well]]</f>
        <v>2</v>
      </c>
      <c r="BU681" s="712">
        <f>(WWWW[[#This Row],['#_Constructed/Existing tube wells/boreholes/handpumps_WASH_agency]]+WWWW[[#This Row],['#_Non-Cluster partner water tube-wells/boreholes/handpumps]])-WWWW[[#This Row],['#_Non-functional tube wells/boreholes/handpumps]]</f>
        <v>2</v>
      </c>
      <c r="BV681" s="712">
        <f>WWWW[[#This Row],['#_Constructed/Existingwater storage tank with gravity fed reticulation system]]-WWWW[[#This Row],['#_Non-functional storage tank gravity fed reticulation system]]</f>
        <v>0</v>
      </c>
      <c r="BW681" s="712">
        <f>WWWW[[#This Row],['#_Water boating or water trucking]]</f>
        <v>0</v>
      </c>
      <c r="BX681" s="712">
        <f>WWWW[[#This Row],['#_Constructed/Existing water distribution system from river or natural spring]]</f>
        <v>0</v>
      </c>
      <c r="BY68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1" s="710">
        <f>IF(WWWW[[#This Row],[Location Type 1]]="Village",WWWW[[#This Row],[Access to safe drinking water for Village]],WWWW[[#This Row],[Access to safe drinking water for Camp]])</f>
        <v>1</v>
      </c>
      <c r="CB681" s="708">
        <f>WWWW[[#This Row],[%Equitable and continuous access to sufficient quantity of safe drinking water]]*WWWW[[#This Row],[Total PoP ]]</f>
        <v>499</v>
      </c>
      <c r="CC681" s="710">
        <f>IF((WWWW[[#This Row],['#_Constructed/Existing protected/fenced ponds]]*250)/WWWW[[#This Row],[Total PoP ]]&gt;1,1,(WWWW[[#This Row],['#_Constructed/Existing protected/fenced ponds]]*250)/WWWW[[#This Row],[Total PoP ]])</f>
        <v>0</v>
      </c>
      <c r="CD681" s="708">
        <f>WWWW[[#This Row],[% Access to unimproved water points]]*WWWW[[#This Row],[Total PoP ]]</f>
        <v>0</v>
      </c>
      <c r="CE68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G681" s="708">
        <f>WWWW[[#This Row],[HRP1]]/500</f>
        <v>0.998</v>
      </c>
      <c r="CH681" s="714">
        <f>1-WWWW[[#This Row],[% Equitable and continuous access to sufficient quantity of domestic water]]</f>
        <v>0</v>
      </c>
      <c r="CI681" s="708">
        <f>WWWW[[#This Row],[%equitable and continuous access to sufficient quantity of safe drinking and domestic water''s GAP]]*WWWW[[#This Row],[Total PoP ]]</f>
        <v>0</v>
      </c>
      <c r="CJ681" s="712">
        <f>IF(WWWW[[#This Row],[Total required water points]]-WWWW[[#This Row],['#Water points coverage]]&lt;0,0,WWWW[[#This Row],[Total required water points]]-WWWW[[#This Row],['#Water points coverage]])</f>
        <v>2.0000000000000018E-3</v>
      </c>
      <c r="CK681" s="712">
        <f>ROUND(IF(WWWW[[#This Row],[Total PoP ]]&lt;500,1,WWWW[[#This Row],[Total PoP ]]/500),0)</f>
        <v>1</v>
      </c>
      <c r="CL681" s="712">
        <f>(WWWW[[#This Row],['#_Constructed latrines_by_WASHAgencies]]+WWWW[[#This Row],['#_Non Cluster partner latrines]])-WWWW[[#This Row],['#_Non-functional latrines]]</f>
        <v>17</v>
      </c>
      <c r="CM68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0.68136272545090182</v>
      </c>
      <c r="CN68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340</v>
      </c>
      <c r="CO68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1" s="712">
        <f>IF(WWWW[[#This Row],[Location Type 1]]="Village","NA",IF(WWWW[[#This Row],['#_Constructed/Existing latrines in TLS]]*50&gt;WWWW[[#This Row],['#_students at TLS_CFS]],WWWW[[#This Row],['#_students at TLS_CFS]],(WWWW[[#This Row],['#_Constructed/Existing latrines in TLS]]*50)))</f>
        <v>0</v>
      </c>
      <c r="CQ681" s="712">
        <f>ROUND(IF(WWWW[[#This Row],[Location Type 1]]="camp",WWWW[[#This Row],[Total PoP ]]/20,IF(WWWW[[#This Row],[Location Type 1]]="Temporary Location",WWWW[[#This Row],[Total PoP ]]/50,(WWWW[[#This Row],[Total PoP ]]/6))),0)</f>
        <v>25</v>
      </c>
      <c r="CR681" s="712">
        <f>IF(WWWW[[#This Row],[Total required Latrines]]-(WWWW[[#This Row],['#_Constructed latrines_by_WASHAgencies]]+WWWW[[#This Row],['#_Non Cluster partner latrines]])&lt;0,0,WWWW[[#This Row],[Total required Latrines]]-(WWWW[[#This Row],['#_Constructed latrines_by_WASHAgencies]]+WWWW[[#This Row],['#_Non Cluster partner latrines]]))</f>
        <v>8</v>
      </c>
      <c r="CS681" s="714">
        <f>1-WWWW[[#This Row],[% people access to functioning Latrine]]</f>
        <v>0.31863727454909818</v>
      </c>
      <c r="CT681" s="713">
        <f>IF(OR(WWWW[[#This Row],['#_Non-functional latrines]]="",WWWW[[#This Row],['#_Non-functional latrines]]=0),0,WWWW[[#This Row],['#_Non-functional latrines]]/(WWWW[[#This Row],['#_Constructed latrines_by_WASHAgencies]]+WWWW[[#This Row],['#_Non Cluster partner latrines]]))</f>
        <v>0</v>
      </c>
      <c r="CU681" s="708">
        <f>IF(500*(WWWW[[#This Row],['#_male hygiene promoters]]+WWWW[[#This Row],['#_female hygiene promoters]])&gt;WWWW[[#This Row],[Total PoP ]],WWWW[[#This Row],[Total PoP ]],500*(WWWW[[#This Row],['#_male hygiene promoters]]+WWWW[[#This Row],['#_female hygiene promoters]]))</f>
        <v>499</v>
      </c>
      <c r="CV68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1" s="712">
        <f>IF(WWWW[[#This Row],['# People with access to soap]]&gt;WWWW[[#This Row],['# People with access to Sanity Pads]],WWWW[[#This Row],['# People with access to soap]],WWWW[[#This Row],['# People with access to Sanity Pads]])</f>
        <v>0</v>
      </c>
      <c r="CY681" s="712">
        <f>IF(WWWW[[#This Row],['# people reached by regular dedicated hygiene promotion_5]]&gt;WWWW[[#This Row],['# People received regular supply of hygiene items_6]],WWWW[[#This Row],['# people reached by regular dedicated hygiene promotion_5]],WWWW[[#This Row],['# People received regular supply of hygiene items_6]])</f>
        <v>499</v>
      </c>
      <c r="CZ681" s="714">
        <f>IF(WWWW[[#This Row],[HRP3]]/WWWW[[#This Row],[Total PoP ]]&gt;100%,100%,WWWW[[#This Row],[HRP3]]/WWWW[[#This Row],[Total PoP ]])</f>
        <v>1</v>
      </c>
      <c r="DA681" s="713">
        <f>1-WWWW[[#This Row],[Hygiene Coverage%]]</f>
        <v>0</v>
      </c>
      <c r="DB681" s="710">
        <f>WWWW[[#This Row],['# people reached by regular dedicated hygiene promotion_5]]/WWWW[[#This Row],[Total PoP ]]</f>
        <v>1</v>
      </c>
      <c r="DC681" s="710">
        <f>IF(WWWW[[#This Row],['#_households that received standard amount of soap for this quarter]]/WWWW[[#This Row],[Total HH]]&gt;1,1,WWWW[[#This Row],['#_households that received standard amount of soap for this quarter]]/WWWW[[#This Row],[Total HH]])</f>
        <v>0</v>
      </c>
      <c r="DD681" s="710">
        <f>IF(WWWW[[#This Row],['#_households that received standard amount of sanitary pads for this quarter]]/WWWW[[#This Row],[Total HH]]&gt;1,1,WWWW[[#This Row],['#_households that received standard amount of sanitary pads for this quarter]]/WWWW[[#This Row],[Total HH]])</f>
        <v>0</v>
      </c>
      <c r="DE681" s="712">
        <f>WWWW[[#This Row],['#_Constructed/Existing hand washing stations]]-WWWW[[#This Row],['#_Non-Functional_hand_washing_stations]]</f>
        <v>0</v>
      </c>
      <c r="DF681" s="757">
        <f>IF(WWWW[[#This Row],['# Functional hand washing stations during reporting period]]*20&gt;WWWW[[#This Row],[Total HH]],WWWW[[#This Row],[Total HH]],WWWW[[#This Row],['# Functional hand washing stations during reporting period]]*20)</f>
        <v>0</v>
      </c>
      <c r="DG681" s="708">
        <f>IF(WWWW[[#This Row],[Is sufficient soap available for TLS? (Yes/No)]]="yes",WWWW[[#This Row],['#_Constructed/Existing hand washing stations at TLS]],0)</f>
        <v>0</v>
      </c>
      <c r="DH681" s="759">
        <f>IF(WWWW[[#This Row],['# Functional hand washing stations during reporting period]]*100&gt;WWWW[[#This Row],[Total PoP ]],WWWW[[#This Row],[Total PoP ]],WWWW[[#This Row],['# Functional hand washing stations during reporting period]]*100)</f>
        <v>0</v>
      </c>
      <c r="DI681" s="759" t="str">
        <f>IF(OR(WWWW[[#This Row],['#_students at TLS_CFS]]="",WWWW[[#This Row],['#_students at TLS_CFS]]=0),"No","Yes")</f>
        <v>No</v>
      </c>
      <c r="DJ681" s="711" t="str">
        <f>VLOOKUP(WWWW[[#This Row],[Site Name]],SiteDB6[[Site Name]:[CCCM Management]],6,FALSE)</f>
        <v>Yes</v>
      </c>
      <c r="DK681" s="711" t="str">
        <f>VLOOKUP(WWWW[[#This Row],[Site Name]],SiteDB6[[Site Name]:[CCCM Focal Agency]],7,FALSE)</f>
        <v>KBC-MYT</v>
      </c>
      <c r="DL681" s="711" t="str">
        <f>VLOOKUP(WWWW[[#This Row],[Site Name]],SiteDB6[[Site Name]:[Location Type 1]],9,FALSE)</f>
        <v>Camp</v>
      </c>
      <c r="DM681" s="711" t="str">
        <f>VLOOKUP(WWWW[[#This Row],[Site Name]],SiteDB6[[Site Name]:[Type of Accommodation]],10,FALSE)</f>
        <v>Camp</v>
      </c>
      <c r="DN681" s="711" t="str">
        <f>VLOOKUP(WWWW[[#This Row],[Site Name]],SiteDB6[[Site Name]:[Ethnic or GCA/NGCA]],11,FALSE)</f>
        <v>GCA</v>
      </c>
      <c r="DO681" s="711">
        <f>VLOOKUP(WWWW[[#This Row],[Site Name]],SiteDB6[[Site Name]:[Lat]],12,FALSE)</f>
        <v>25.440928</v>
      </c>
      <c r="DP681" s="711">
        <f>VLOOKUP(WWWW[[#This Row],[Site Name]],SiteDB6[[Site Name]:[Long]],13,FALSE)</f>
        <v>97.419403000000003</v>
      </c>
      <c r="DQ681" s="711" t="str">
        <f>VLOOKUP(WWWW[[#This Row],[Site Name]],SiteDB6[[Site Name]:[Pcode]],3,FALSE)</f>
        <v>MMR001CMP009</v>
      </c>
      <c r="DR681" s="709" t="str">
        <f t="shared" si="25"/>
        <v>Covered</v>
      </c>
      <c r="DS681" s="709"/>
    </row>
    <row r="682" spans="1:123">
      <c r="A682" s="701" t="s">
        <v>2519</v>
      </c>
      <c r="B682" s="701" t="s">
        <v>38</v>
      </c>
      <c r="C682" s="702" t="s">
        <v>38</v>
      </c>
      <c r="D682" s="702" t="s">
        <v>722</v>
      </c>
      <c r="E682" s="702" t="s">
        <v>39</v>
      </c>
      <c r="F682" s="702" t="s">
        <v>165</v>
      </c>
      <c r="G682" s="711" t="str">
        <f>VLOOKUP(WWWW[[#This Row],[Site Name]],SiteDB6[[Site Name]:[Location Type]],8,FALSE)</f>
        <v>Camp</v>
      </c>
      <c r="H682" s="702" t="s">
        <v>247</v>
      </c>
      <c r="I682" s="705">
        <v>11</v>
      </c>
      <c r="J682" s="705">
        <v>52</v>
      </c>
      <c r="K682" s="706">
        <v>43466</v>
      </c>
      <c r="L682" s="707" t="s">
        <v>2974</v>
      </c>
      <c r="M682" s="705"/>
      <c r="N682" s="705"/>
      <c r="O682" s="705"/>
      <c r="P682" s="705"/>
      <c r="Q682" s="708" t="s">
        <v>43</v>
      </c>
      <c r="R682" s="705"/>
      <c r="S682" s="705"/>
      <c r="T682" s="807">
        <v>1</v>
      </c>
      <c r="U682" s="705"/>
      <c r="V682" s="705"/>
      <c r="W682" s="705"/>
      <c r="X682" s="705"/>
      <c r="Y682" s="705"/>
      <c r="Z682" s="705"/>
      <c r="AA682" s="705"/>
      <c r="AB682" s="705"/>
      <c r="AC682" s="705"/>
      <c r="AD682" s="705"/>
      <c r="AE682" s="705"/>
      <c r="AF682" s="705"/>
      <c r="AG682" s="705"/>
      <c r="AH682" s="705"/>
      <c r="AI682" s="705"/>
      <c r="AJ682" s="705"/>
      <c r="AK682" s="705"/>
      <c r="AL682" s="705"/>
      <c r="AM682" s="705"/>
      <c r="AN682" s="705"/>
      <c r="AO682" s="709"/>
      <c r="AP682" s="705">
        <v>7</v>
      </c>
      <c r="AQ682" s="705"/>
      <c r="AR682" s="710"/>
      <c r="AS682" s="705"/>
      <c r="AT682" s="705"/>
      <c r="AU682" s="705"/>
      <c r="AV682" s="705"/>
      <c r="AW682" s="705"/>
      <c r="AX682" s="711" t="s">
        <v>43</v>
      </c>
      <c r="AY682" s="709" t="s">
        <v>145</v>
      </c>
      <c r="AZ682" s="705"/>
      <c r="BA682" s="705"/>
      <c r="BB682" s="705"/>
      <c r="BC682" s="711"/>
      <c r="BD682" s="705"/>
      <c r="BE682" s="705"/>
      <c r="BF682" s="705"/>
      <c r="BG682" s="705">
        <v>2</v>
      </c>
      <c r="BH682" s="705"/>
      <c r="BI682" s="705"/>
      <c r="BJ682" s="705">
        <v>1</v>
      </c>
      <c r="BK682" s="705"/>
      <c r="BL682" s="705"/>
      <c r="BM682" s="711"/>
      <c r="BN682" s="712"/>
      <c r="BO682" s="710"/>
      <c r="BP682" s="711"/>
      <c r="BQ682" s="713" t="str">
        <f>IFERROR(WWWW[[#This Row],['#_Water sources treated]]/WWWW[[#This Row],['#_Water sources tested for contamination]],"no test")</f>
        <v>no test</v>
      </c>
      <c r="BR682" s="710" t="str">
        <f>IFERROR(WWWW[[#This Row],['#_Household received remediation action due to contamination]]/WWWW[[#This Row],['#_Household water samples tested for contamination]],"no test")</f>
        <v>no test</v>
      </c>
      <c r="BS682" s="712" t="str">
        <f>IF(AND(WWWW[[#This Row],[% of water sources treated]]="no test",WWWW[[#This Row],[% Household received corrective actions]]="no test"),"No Test","Tested")</f>
        <v>No Test</v>
      </c>
      <c r="BT682" s="712">
        <f>WWWW[[#This Row],['#_Constructed/existing protected hand dug well]]-WWWW[[#This Row],['#_Non-functional protected hand dug well]]</f>
        <v>1</v>
      </c>
      <c r="BU682" s="712">
        <f>(WWWW[[#This Row],['#_Constructed/Existing tube wells/boreholes/handpumps_WASH_agency]]+WWWW[[#This Row],['#_Non-Cluster partner water tube-wells/boreholes/handpumps]])-WWWW[[#This Row],['#_Non-functional tube wells/boreholes/handpumps]]</f>
        <v>0</v>
      </c>
      <c r="BV682" s="712">
        <f>WWWW[[#This Row],['#_Constructed/Existingwater storage tank with gravity fed reticulation system]]-WWWW[[#This Row],['#_Non-functional storage tank gravity fed reticulation system]]</f>
        <v>0</v>
      </c>
      <c r="BW682" s="712">
        <f>WWWW[[#This Row],['#_Water boating or water trucking]]</f>
        <v>0</v>
      </c>
      <c r="BX682" s="712">
        <f>WWWW[[#This Row],['#_Constructed/Existing water distribution system from river or natural spring]]</f>
        <v>0</v>
      </c>
      <c r="BY68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2" s="710">
        <f>IF(WWWW[[#This Row],[Location Type 1]]="Village",WWWW[[#This Row],[Access to safe drinking water for Village]],WWWW[[#This Row],[Access to safe drinking water for Camp]])</f>
        <v>1</v>
      </c>
      <c r="CB682" s="708">
        <f>WWWW[[#This Row],[%Equitable and continuous access to sufficient quantity of safe drinking water]]*WWWW[[#This Row],[Total PoP ]]</f>
        <v>52</v>
      </c>
      <c r="CC682" s="710">
        <f>IF((WWWW[[#This Row],['#_Constructed/Existing protected/fenced ponds]]*250)/WWWW[[#This Row],[Total PoP ]]&gt;1,1,(WWWW[[#This Row],['#_Constructed/Existing protected/fenced ponds]]*250)/WWWW[[#This Row],[Total PoP ]])</f>
        <v>0</v>
      </c>
      <c r="CD682" s="708">
        <f>WWWW[[#This Row],[% Access to unimproved water points]]*WWWW[[#This Row],[Total PoP ]]</f>
        <v>0</v>
      </c>
      <c r="CE68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G682" s="708">
        <f>WWWW[[#This Row],[HRP1]]/500</f>
        <v>0.104</v>
      </c>
      <c r="CH682" s="714">
        <f>1-WWWW[[#This Row],[% Equitable and continuous access to sufficient quantity of domestic water]]</f>
        <v>0</v>
      </c>
      <c r="CI682" s="708">
        <f>WWWW[[#This Row],[%equitable and continuous access to sufficient quantity of safe drinking and domestic water''s GAP]]*WWWW[[#This Row],[Total PoP ]]</f>
        <v>0</v>
      </c>
      <c r="CJ682" s="712">
        <f>IF(WWWW[[#This Row],[Total required water points]]-WWWW[[#This Row],['#Water points coverage]]&lt;0,0,WWWW[[#This Row],[Total required water points]]-WWWW[[#This Row],['#Water points coverage]])</f>
        <v>0.89600000000000002</v>
      </c>
      <c r="CK682" s="712">
        <f>ROUND(IF(WWWW[[#This Row],[Total PoP ]]&lt;500,1,WWWW[[#This Row],[Total PoP ]]/500),0)</f>
        <v>1</v>
      </c>
      <c r="CL682" s="712">
        <f>(WWWW[[#This Row],['#_Constructed latrines_by_WASHAgencies]]+WWWW[[#This Row],['#_Non Cluster partner latrines]])-WWWW[[#This Row],['#_Non-functional latrines]]</f>
        <v>7</v>
      </c>
      <c r="CM68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8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52</v>
      </c>
      <c r="CO68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2" s="712">
        <f>IF(WWWW[[#This Row],[Location Type 1]]="Village","NA",IF(WWWW[[#This Row],['#_Constructed/Existing latrines in TLS]]*50&gt;WWWW[[#This Row],['#_students at TLS_CFS]],WWWW[[#This Row],['#_students at TLS_CFS]],(WWWW[[#This Row],['#_Constructed/Existing latrines in TLS]]*50)))</f>
        <v>0</v>
      </c>
      <c r="CQ682" s="712">
        <f>ROUND(IF(WWWW[[#This Row],[Location Type 1]]="camp",WWWW[[#This Row],[Total PoP ]]/20,IF(WWWW[[#This Row],[Location Type 1]]="Temporary Location",WWWW[[#This Row],[Total PoP ]]/50,(WWWW[[#This Row],[Total PoP ]]/6))),0)</f>
        <v>3</v>
      </c>
      <c r="CR682" s="712">
        <f>IF(WWWW[[#This Row],[Total required Latrines]]-(WWWW[[#This Row],['#_Constructed latrines_by_WASHAgencies]]+WWWW[[#This Row],['#_Non Cluster partner latrines]])&lt;0,0,WWWW[[#This Row],[Total required Latrines]]-(WWWW[[#This Row],['#_Constructed latrines_by_WASHAgencies]]+WWWW[[#This Row],['#_Non Cluster partner latrines]]))</f>
        <v>0</v>
      </c>
      <c r="CS682" s="714">
        <f>1-WWWW[[#This Row],[% people access to functioning Latrine]]</f>
        <v>0</v>
      </c>
      <c r="CT682" s="713">
        <f>IF(OR(WWWW[[#This Row],['#_Non-functional latrines]]="",WWWW[[#This Row],['#_Non-functional latrines]]=0),0,WWWW[[#This Row],['#_Non-functional latrines]]/(WWWW[[#This Row],['#_Constructed latrines_by_WASHAgencies]]+WWWW[[#This Row],['#_Non Cluster partner latrines]]))</f>
        <v>0</v>
      </c>
      <c r="CU682" s="708">
        <f>IF(500*(WWWW[[#This Row],['#_male hygiene promoters]]+WWWW[[#This Row],['#_female hygiene promoters]])&gt;WWWW[[#This Row],[Total PoP ]],WWWW[[#This Row],[Total PoP ]],500*(WWWW[[#This Row],['#_male hygiene promoters]]+WWWW[[#This Row],['#_female hygiene promoters]]))</f>
        <v>52</v>
      </c>
      <c r="CV68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2" s="712">
        <f>IF(WWWW[[#This Row],['# People with access to soap]]&gt;WWWW[[#This Row],['# People with access to Sanity Pads]],WWWW[[#This Row],['# People with access to soap]],WWWW[[#This Row],['# People with access to Sanity Pads]])</f>
        <v>0</v>
      </c>
      <c r="CY682" s="712">
        <f>IF(WWWW[[#This Row],['# people reached by regular dedicated hygiene promotion_5]]&gt;WWWW[[#This Row],['# People received regular supply of hygiene items_6]],WWWW[[#This Row],['# people reached by regular dedicated hygiene promotion_5]],WWWW[[#This Row],['# People received regular supply of hygiene items_6]])</f>
        <v>52</v>
      </c>
      <c r="CZ682" s="714">
        <f>IF(WWWW[[#This Row],[HRP3]]/WWWW[[#This Row],[Total PoP ]]&gt;100%,100%,WWWW[[#This Row],[HRP3]]/WWWW[[#This Row],[Total PoP ]])</f>
        <v>1</v>
      </c>
      <c r="DA682" s="713">
        <f>1-WWWW[[#This Row],[Hygiene Coverage%]]</f>
        <v>0</v>
      </c>
      <c r="DB682" s="710">
        <f>WWWW[[#This Row],['# people reached by regular dedicated hygiene promotion_5]]/WWWW[[#This Row],[Total PoP ]]</f>
        <v>1</v>
      </c>
      <c r="DC682" s="710">
        <f>IF(WWWW[[#This Row],['#_households that received standard amount of soap for this quarter]]/WWWW[[#This Row],[Total HH]]&gt;1,1,WWWW[[#This Row],['#_households that received standard amount of soap for this quarter]]/WWWW[[#This Row],[Total HH]])</f>
        <v>0</v>
      </c>
      <c r="DD682" s="710">
        <f>IF(WWWW[[#This Row],['#_households that received standard amount of sanitary pads for this quarter]]/WWWW[[#This Row],[Total HH]]&gt;1,1,WWWW[[#This Row],['#_households that received standard amount of sanitary pads for this quarter]]/WWWW[[#This Row],[Total HH]])</f>
        <v>0</v>
      </c>
      <c r="DE682" s="712">
        <f>WWWW[[#This Row],['#_Constructed/Existing hand washing stations]]-WWWW[[#This Row],['#_Non-Functional_hand_washing_stations]]</f>
        <v>0</v>
      </c>
      <c r="DF682" s="757">
        <f>IF(WWWW[[#This Row],['# Functional hand washing stations during reporting period]]*20&gt;WWWW[[#This Row],[Total HH]],WWWW[[#This Row],[Total HH]],WWWW[[#This Row],['# Functional hand washing stations during reporting period]]*20)</f>
        <v>0</v>
      </c>
      <c r="DG682" s="708">
        <f>IF(WWWW[[#This Row],[Is sufficient soap available for TLS? (Yes/No)]]="yes",WWWW[[#This Row],['#_Constructed/Existing hand washing stations at TLS]],0)</f>
        <v>0</v>
      </c>
      <c r="DH682" s="759">
        <f>IF(WWWW[[#This Row],['# Functional hand washing stations during reporting period]]*100&gt;WWWW[[#This Row],[Total PoP ]],WWWW[[#This Row],[Total PoP ]],WWWW[[#This Row],['# Functional hand washing stations during reporting period]]*100)</f>
        <v>0</v>
      </c>
      <c r="DI682" s="759" t="str">
        <f>IF(OR(WWWW[[#This Row],['#_students at TLS_CFS]]="",WWWW[[#This Row],['#_students at TLS_CFS]]=0),"No","Yes")</f>
        <v>No</v>
      </c>
      <c r="DJ682" s="711" t="str">
        <f>VLOOKUP(WWWW[[#This Row],[Site Name]],SiteDB6[[Site Name]:[CCCM Management]],6,FALSE)</f>
        <v>Yes</v>
      </c>
      <c r="DK682" s="711" t="str">
        <f>VLOOKUP(WWWW[[#This Row],[Site Name]],SiteDB6[[Site Name]:[CCCM Focal Agency]],7,FALSE)</f>
        <v>KMSS-MYT</v>
      </c>
      <c r="DL682" s="711" t="str">
        <f>VLOOKUP(WWWW[[#This Row],[Site Name]],SiteDB6[[Site Name]:[Location Type 1]],9,FALSE)</f>
        <v>Camp</v>
      </c>
      <c r="DM682" s="711" t="str">
        <f>VLOOKUP(WWWW[[#This Row],[Site Name]],SiteDB6[[Site Name]:[Type of Accommodation]],10,FALSE)</f>
        <v>Camp</v>
      </c>
      <c r="DN682" s="711" t="str">
        <f>VLOOKUP(WWWW[[#This Row],[Site Name]],SiteDB6[[Site Name]:[Ethnic or GCA/NGCA]],11,FALSE)</f>
        <v>GCA</v>
      </c>
      <c r="DO682" s="711">
        <f>VLOOKUP(WWWW[[#This Row],[Site Name]],SiteDB6[[Site Name]:[Lat]],12,FALSE)</f>
        <v>24.764800000000001</v>
      </c>
      <c r="DP682" s="711">
        <f>VLOOKUP(WWWW[[#This Row],[Site Name]],SiteDB6[[Site Name]:[Long]],13,FALSE)</f>
        <v>96.367059999999995</v>
      </c>
      <c r="DQ682" s="711" t="str">
        <f>VLOOKUP(WWWW[[#This Row],[Site Name]],SiteDB6[[Site Name]:[Pcode]],3,FALSE)</f>
        <v>MMR001CMP080</v>
      </c>
      <c r="DR682" s="709" t="str">
        <f t="shared" si="25"/>
        <v>Covered</v>
      </c>
      <c r="DS682" s="709"/>
    </row>
    <row r="683" spans="1:123" ht="20.25">
      <c r="A683" s="701" t="s">
        <v>2519</v>
      </c>
      <c r="B683" s="808" t="s">
        <v>200</v>
      </c>
      <c r="C683" s="584" t="s">
        <v>200</v>
      </c>
      <c r="D683" s="702" t="s">
        <v>3272</v>
      </c>
      <c r="E683" s="702" t="s">
        <v>39</v>
      </c>
      <c r="F683" s="702" t="s">
        <v>150</v>
      </c>
      <c r="G683" s="711" t="str">
        <f>VLOOKUP(WWWW[[#This Row],[Site Name]],SiteDB6[[Site Name]:[Location Type]],8,FALSE)</f>
        <v>Camp</v>
      </c>
      <c r="H683" s="702" t="s">
        <v>229</v>
      </c>
      <c r="I683" s="705">
        <v>1404</v>
      </c>
      <c r="J683" s="705">
        <v>7165</v>
      </c>
      <c r="K683" s="706">
        <v>7165</v>
      </c>
      <c r="L683" s="707">
        <v>43374</v>
      </c>
      <c r="M683" s="705">
        <v>427</v>
      </c>
      <c r="N683" s="705"/>
      <c r="O683" s="705"/>
      <c r="P683" s="705">
        <v>0</v>
      </c>
      <c r="Q683" s="708" t="s">
        <v>43</v>
      </c>
      <c r="R683" s="705">
        <v>3</v>
      </c>
      <c r="S683" s="705">
        <v>2</v>
      </c>
      <c r="T683" s="807"/>
      <c r="U683" s="705"/>
      <c r="V683" s="705"/>
      <c r="W683" s="705"/>
      <c r="X683" s="705"/>
      <c r="Y683" s="705"/>
      <c r="Z683" s="705"/>
      <c r="AA683" s="705">
        <v>3</v>
      </c>
      <c r="AB683" s="705"/>
      <c r="AC683" s="705"/>
      <c r="AD683" s="705"/>
      <c r="AE683" s="705"/>
      <c r="AF683" s="705">
        <v>358250</v>
      </c>
      <c r="AG683" s="705"/>
      <c r="AH683" s="705"/>
      <c r="AI683" s="705">
        <v>1</v>
      </c>
      <c r="AJ683" s="705"/>
      <c r="AK683" s="705"/>
      <c r="AL683" s="705"/>
      <c r="AM683" s="705"/>
      <c r="AN683" s="705">
        <v>3</v>
      </c>
      <c r="AO683" s="826" t="s">
        <v>3275</v>
      </c>
      <c r="AP683" s="705">
        <v>225</v>
      </c>
      <c r="AQ683" s="705"/>
      <c r="AR683" s="710"/>
      <c r="AS683" s="705"/>
      <c r="AT683" s="705">
        <v>17</v>
      </c>
      <c r="AU683" s="705"/>
      <c r="AV683" s="705"/>
      <c r="AW683" s="705"/>
      <c r="AX683" s="711" t="s">
        <v>43</v>
      </c>
      <c r="AY683" s="709" t="s">
        <v>145</v>
      </c>
      <c r="AZ683" s="705">
        <v>2</v>
      </c>
      <c r="BA683" s="705">
        <v>2</v>
      </c>
      <c r="BB683" s="705">
        <v>8</v>
      </c>
      <c r="BC683" s="711"/>
      <c r="BD683" s="705">
        <v>50</v>
      </c>
      <c r="BE683" s="705"/>
      <c r="BF683" s="705"/>
      <c r="BG683" s="705">
        <v>22</v>
      </c>
      <c r="BH683" s="705"/>
      <c r="BI683" s="705"/>
      <c r="BJ683" s="705">
        <v>6</v>
      </c>
      <c r="BK683" s="705"/>
      <c r="BL683" s="705"/>
      <c r="BM683" s="752" t="s">
        <v>43</v>
      </c>
      <c r="BN683" s="712"/>
      <c r="BO683" s="710"/>
      <c r="BP683" s="711"/>
      <c r="BQ683" s="713">
        <f>IFERROR(WWWW[[#This Row],['#_Water sources treated]]/WWWW[[#This Row],['#_Water sources tested for contamination]],"no test")</f>
        <v>0</v>
      </c>
      <c r="BR683" s="710" t="str">
        <f>IFERROR(WWWW[[#This Row],['#_Household received remediation action due to contamination]]/WWWW[[#This Row],['#_Household water samples tested for contamination]],"no test")</f>
        <v>no test</v>
      </c>
      <c r="BS683" s="712" t="str">
        <f>IF(AND(WWWW[[#This Row],[% of water sources treated]]="no test",WWWW[[#This Row],[% Household received corrective actions]]="no test"),"No Test","Tested")</f>
        <v>Tested</v>
      </c>
      <c r="BT683" s="712">
        <f>WWWW[[#This Row],['#_Constructed/existing protected hand dug well]]-WWWW[[#This Row],['#_Non-functional protected hand dug well]]</f>
        <v>0</v>
      </c>
      <c r="BU683" s="712">
        <f>(WWWW[[#This Row],['#_Constructed/Existing tube wells/boreholes/handpumps_WASH_agency]]+WWWW[[#This Row],['#_Non-Cluster partner water tube-wells/boreholes/handpumps]])-WWWW[[#This Row],['#_Non-functional tube wells/boreholes/handpumps]]</f>
        <v>0</v>
      </c>
      <c r="BV683" s="712">
        <f>WWWW[[#This Row],['#_Constructed/Existingwater storage tank with gravity fed reticulation system]]-WWWW[[#This Row],['#_Non-functional storage tank gravity fed reticulation system]]</f>
        <v>3</v>
      </c>
      <c r="BW683" s="712">
        <f>WWWW[[#This Row],['#_Water boating or water trucking]]</f>
        <v>0</v>
      </c>
      <c r="BX683" s="712">
        <f>WWWW[[#This Row],['#_Constructed/Existing water distribution system from river or natural spring]]</f>
        <v>358250</v>
      </c>
      <c r="BY68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3" s="710">
        <f>IF(WWWW[[#This Row],[Location Type 1]]="Village",WWWW[[#This Row],[Access to safe drinking water for Village]],WWWW[[#This Row],[Access to safe drinking water for Camp]])</f>
        <v>1</v>
      </c>
      <c r="CB683" s="708">
        <f>WWWW[[#This Row],[%Equitable and continuous access to sufficient quantity of safe drinking water]]*WWWW[[#This Row],[Total PoP ]]</f>
        <v>7165</v>
      </c>
      <c r="CC683" s="710">
        <f>IF((WWWW[[#This Row],['#_Constructed/Existing protected/fenced ponds]]*250)/WWWW[[#This Row],[Total PoP ]]&gt;1,1,(WWWW[[#This Row],['#_Constructed/Existing protected/fenced ponds]]*250)/WWWW[[#This Row],[Total PoP ]])</f>
        <v>0</v>
      </c>
      <c r="CD683" s="708">
        <f>WWWW[[#This Row],[% Access to unimproved water points]]*WWWW[[#This Row],[Total PoP ]]</f>
        <v>0</v>
      </c>
      <c r="CE68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7165</v>
      </c>
      <c r="CG683" s="708">
        <f>WWWW[[#This Row],[HRP1]]/500</f>
        <v>14.33</v>
      </c>
      <c r="CH683" s="714">
        <f>1-WWWW[[#This Row],[% Equitable and continuous access to sufficient quantity of domestic water]]</f>
        <v>0</v>
      </c>
      <c r="CI683" s="708">
        <f>WWWW[[#This Row],[%equitable and continuous access to sufficient quantity of safe drinking and domestic water''s GAP]]*WWWW[[#This Row],[Total PoP ]]</f>
        <v>0</v>
      </c>
      <c r="CJ683" s="712">
        <f>IF(WWWW[[#This Row],[Total required water points]]-WWWW[[#This Row],['#Water points coverage]]&lt;0,0,WWWW[[#This Row],[Total required water points]]-WWWW[[#This Row],['#Water points coverage]])</f>
        <v>0</v>
      </c>
      <c r="CK683" s="712">
        <f>ROUND(IF(WWWW[[#This Row],[Total PoP ]]&lt;500,1,WWWW[[#This Row],[Total PoP ]]/500),0)</f>
        <v>14</v>
      </c>
      <c r="CL683" s="712">
        <f>(WWWW[[#This Row],['#_Constructed latrines_by_WASHAgencies]]+WWWW[[#This Row],['#_Non Cluster partner latrines]])-WWWW[[#This Row],['#_Non-functional latrines]]</f>
        <v>225</v>
      </c>
      <c r="CM68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0.62805303558967207</v>
      </c>
      <c r="CN68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4500</v>
      </c>
      <c r="CO68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3" s="712">
        <f>IF(WWWW[[#This Row],[Location Type 1]]="Village","NA",IF(WWWW[[#This Row],['#_Constructed/Existing latrines in TLS]]*50&gt;WWWW[[#This Row],['#_students at TLS_CFS]],WWWW[[#This Row],['#_students at TLS_CFS]],(WWWW[[#This Row],['#_Constructed/Existing latrines in TLS]]*50)))</f>
        <v>400</v>
      </c>
      <c r="CQ683" s="712">
        <f>ROUND(IF(WWWW[[#This Row],[Location Type 1]]="camp",WWWW[[#This Row],[Total PoP ]]/20,IF(WWWW[[#This Row],[Location Type 1]]="Temporary Location",WWWW[[#This Row],[Total PoP ]]/50,(WWWW[[#This Row],[Total PoP ]]/6))),0)</f>
        <v>358</v>
      </c>
      <c r="CR683" s="712">
        <f>IF(WWWW[[#This Row],[Total required Latrines]]-(WWWW[[#This Row],['#_Constructed latrines_by_WASHAgencies]]+WWWW[[#This Row],['#_Non Cluster partner latrines]])&lt;0,0,WWWW[[#This Row],[Total required Latrines]]-(WWWW[[#This Row],['#_Constructed latrines_by_WASHAgencies]]+WWWW[[#This Row],['#_Non Cluster partner latrines]]))</f>
        <v>133</v>
      </c>
      <c r="CS683" s="714">
        <f>1-WWWW[[#This Row],[% people access to functioning Latrine]]</f>
        <v>0.37194696441032793</v>
      </c>
      <c r="CT683" s="713">
        <f>IF(OR(WWWW[[#This Row],['#_Non-functional latrines]]="",WWWW[[#This Row],['#_Non-functional latrines]]=0),0,WWWW[[#This Row],['#_Non-functional latrines]]/(WWWW[[#This Row],['#_Constructed latrines_by_WASHAgencies]]+WWWW[[#This Row],['#_Non Cluster partner latrines]]))</f>
        <v>0</v>
      </c>
      <c r="CU683" s="708">
        <f>IF(500*(WWWW[[#This Row],['#_male hygiene promoters]]+WWWW[[#This Row],['#_female hygiene promoters]])&gt;WWWW[[#This Row],[Total PoP ]],WWWW[[#This Row],[Total PoP ]],500*(WWWW[[#This Row],['#_male hygiene promoters]]+WWWW[[#This Row],['#_female hygiene promoters]]))</f>
        <v>3000</v>
      </c>
      <c r="CV68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3" s="712">
        <f>IF(WWWW[[#This Row],['# People with access to soap]]&gt;WWWW[[#This Row],['# People with access to Sanity Pads]],WWWW[[#This Row],['# People with access to soap]],WWWW[[#This Row],['# People with access to Sanity Pads]])</f>
        <v>0</v>
      </c>
      <c r="CY683" s="712">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CZ683" s="714">
        <f>IF(WWWW[[#This Row],[HRP3]]/WWWW[[#This Row],[Total PoP ]]&gt;100%,100%,WWWW[[#This Row],[HRP3]]/WWWW[[#This Row],[Total PoP ]])</f>
        <v>0.41870202372644799</v>
      </c>
      <c r="DA683" s="713">
        <f>1-WWWW[[#This Row],[Hygiene Coverage%]]</f>
        <v>0.58129797627355195</v>
      </c>
      <c r="DB683" s="710">
        <f>WWWW[[#This Row],['# people reached by regular dedicated hygiene promotion_5]]/WWWW[[#This Row],[Total PoP ]]</f>
        <v>0.41870202372644799</v>
      </c>
      <c r="DC683" s="710">
        <f>IF(WWWW[[#This Row],['#_households that received standard amount of soap for this quarter]]/WWWW[[#This Row],[Total HH]]&gt;1,1,WWWW[[#This Row],['#_households that received standard amount of soap for this quarter]]/WWWW[[#This Row],[Total HH]])</f>
        <v>0</v>
      </c>
      <c r="DD683" s="710">
        <f>IF(WWWW[[#This Row],['#_households that received standard amount of sanitary pads for this quarter]]/WWWW[[#This Row],[Total HH]]&gt;1,1,WWWW[[#This Row],['#_households that received standard amount of sanitary pads for this quarter]]/WWWW[[#This Row],[Total HH]])</f>
        <v>0</v>
      </c>
      <c r="DE683" s="712">
        <f>WWWW[[#This Row],['#_Constructed/Existing hand washing stations]]-WWWW[[#This Row],['#_Non-Functional_hand_washing_stations]]</f>
        <v>50</v>
      </c>
      <c r="DF683" s="757">
        <f>IF(WWWW[[#This Row],['# Functional hand washing stations during reporting period]]*20&gt;WWWW[[#This Row],[Total HH]],WWWW[[#This Row],[Total HH]],WWWW[[#This Row],['# Functional hand washing stations during reporting period]]*20)</f>
        <v>1000</v>
      </c>
      <c r="DG683" s="708">
        <f>IF(WWWW[[#This Row],[Is sufficient soap available for TLS? (Yes/No)]]="yes",WWWW[[#This Row],['#_Constructed/Existing hand washing stations at TLS]],0)</f>
        <v>0</v>
      </c>
      <c r="DH683" s="759">
        <f>IF(WWWW[[#This Row],['# Functional hand washing stations during reporting period]]*100&gt;WWWW[[#This Row],[Total PoP ]],WWWW[[#This Row],[Total PoP ]],WWWW[[#This Row],['# Functional hand washing stations during reporting period]]*100)</f>
        <v>5000</v>
      </c>
      <c r="DI683" s="759" t="str">
        <f>IF(OR(WWWW[[#This Row],['#_students at TLS_CFS]]="",WWWW[[#This Row],['#_students at TLS_CFS]]=0),"No","Yes")</f>
        <v>Yes</v>
      </c>
      <c r="DJ683" s="711" t="str">
        <f>VLOOKUP(WWWW[[#This Row],[Site Name]],SiteDB6[[Site Name]:[CCCM Management]],6,FALSE)</f>
        <v>Yes</v>
      </c>
      <c r="DK683" s="711" t="str">
        <f>VLOOKUP(WWWW[[#This Row],[Site Name]],SiteDB6[[Site Name]:[CCCM Focal Agency]],7,FALSE)</f>
        <v>KMSS-MYT</v>
      </c>
      <c r="DL683" s="711" t="str">
        <f>VLOOKUP(WWWW[[#This Row],[Site Name]],SiteDB6[[Site Name]:[Location Type 1]],9,FALSE)</f>
        <v>Camp</v>
      </c>
      <c r="DM683" s="711" t="str">
        <f>VLOOKUP(WWWW[[#This Row],[Site Name]],SiteDB6[[Site Name]:[Type of Accommodation]],10,FALSE)</f>
        <v>Camp</v>
      </c>
      <c r="DN683" s="711" t="str">
        <f>VLOOKUP(WWWW[[#This Row],[Site Name]],SiteDB6[[Site Name]:[Ethnic or GCA/NGCA]],11,FALSE)</f>
        <v>NGCA</v>
      </c>
      <c r="DO683" s="711">
        <f>VLOOKUP(WWWW[[#This Row],[Site Name]],SiteDB6[[Site Name]:[Lat]],12,FALSE)</f>
        <v>24.755253</v>
      </c>
      <c r="DP683" s="711">
        <f>VLOOKUP(WWWW[[#This Row],[Site Name]],SiteDB6[[Site Name]:[Long]],13,FALSE)</f>
        <v>97.546893999999995</v>
      </c>
      <c r="DQ683" s="711" t="str">
        <f>VLOOKUP(WWWW[[#This Row],[Site Name]],SiteDB6[[Site Name]:[Pcode]],3,FALSE)</f>
        <v>MMR001CMP116</v>
      </c>
      <c r="DR683" s="709" t="str">
        <f t="shared" ref="DR683:DR701" si="26">IF(C683="none","Notcovered","Covered")</f>
        <v>Covered</v>
      </c>
      <c r="DS683" s="709"/>
    </row>
    <row r="684" spans="1:123">
      <c r="A684" s="701" t="s">
        <v>2519</v>
      </c>
      <c r="B684" s="701" t="s">
        <v>250</v>
      </c>
      <c r="C684" s="702" t="s">
        <v>250</v>
      </c>
      <c r="D684" s="702" t="s">
        <v>315</v>
      </c>
      <c r="E684" s="702" t="s">
        <v>39</v>
      </c>
      <c r="F684" s="702" t="s">
        <v>167</v>
      </c>
      <c r="G684" s="711" t="str">
        <f>VLOOKUP(WWWW[[#This Row],[Site Name]],SiteDB6[[Site Name]:[Location Type]],8,FALSE)</f>
        <v>Camp</v>
      </c>
      <c r="H684" s="702" t="s">
        <v>274</v>
      </c>
      <c r="I684" s="705">
        <v>54</v>
      </c>
      <c r="J684" s="705">
        <v>253</v>
      </c>
      <c r="K684" s="706">
        <v>43313</v>
      </c>
      <c r="L684" s="707">
        <v>44043</v>
      </c>
      <c r="M684" s="705"/>
      <c r="N684" s="705">
        <v>1</v>
      </c>
      <c r="O684" s="705"/>
      <c r="P684" s="705"/>
      <c r="Q684" s="708" t="s">
        <v>43</v>
      </c>
      <c r="R684" s="705">
        <v>2</v>
      </c>
      <c r="S684" s="705">
        <v>3</v>
      </c>
      <c r="T684" s="807">
        <v>1</v>
      </c>
      <c r="U684" s="705"/>
      <c r="V684" s="705"/>
      <c r="W684" s="705">
        <v>4</v>
      </c>
      <c r="X684" s="705">
        <v>0</v>
      </c>
      <c r="Y684" s="705"/>
      <c r="Z684" s="705"/>
      <c r="AA684" s="705"/>
      <c r="AB684" s="705"/>
      <c r="AC684" s="705"/>
      <c r="AD684" s="705"/>
      <c r="AE684" s="705"/>
      <c r="AF684" s="705"/>
      <c r="AG684" s="705"/>
      <c r="AH684" s="705"/>
      <c r="AI684" s="705"/>
      <c r="AJ684" s="705"/>
      <c r="AK684" s="705"/>
      <c r="AL684" s="705"/>
      <c r="AM684" s="705"/>
      <c r="AN684" s="705"/>
      <c r="AO684" s="709"/>
      <c r="AP684" s="705">
        <v>18</v>
      </c>
      <c r="AQ684" s="705">
        <v>0</v>
      </c>
      <c r="AR684" s="710"/>
      <c r="AS684" s="705"/>
      <c r="AT684" s="705"/>
      <c r="AU684" s="705"/>
      <c r="AV684" s="705"/>
      <c r="AW684" s="705"/>
      <c r="AX684" s="711" t="s">
        <v>43</v>
      </c>
      <c r="AY684" s="709" t="s">
        <v>145</v>
      </c>
      <c r="AZ684" s="705"/>
      <c r="BA684" s="705">
        <v>1</v>
      </c>
      <c r="BB684" s="705"/>
      <c r="BC684" s="711"/>
      <c r="BD684" s="705">
        <v>3</v>
      </c>
      <c r="BE684" s="705"/>
      <c r="BF684" s="705"/>
      <c r="BG684" s="705">
        <v>4</v>
      </c>
      <c r="BH684" s="705"/>
      <c r="BI684" s="705">
        <v>2</v>
      </c>
      <c r="BJ684" s="705">
        <v>3</v>
      </c>
      <c r="BK684" s="705"/>
      <c r="BL684" s="705"/>
      <c r="BM684" s="711" t="s">
        <v>144</v>
      </c>
      <c r="BN684" s="712"/>
      <c r="BO684" s="710">
        <v>0</v>
      </c>
      <c r="BP684" s="711"/>
      <c r="BQ684" s="713" t="str">
        <f>IFERROR(WWWW[[#This Row],['#_Water sources treated]]/WWWW[[#This Row],['#_Water sources tested for contamination]],"no test")</f>
        <v>no test</v>
      </c>
      <c r="BR684" s="710" t="str">
        <f>IFERROR(WWWW[[#This Row],['#_Household received remediation action due to contamination]]/WWWW[[#This Row],['#_Household water samples tested for contamination]],"no test")</f>
        <v>no test</v>
      </c>
      <c r="BS684" s="712" t="str">
        <f>IF(AND(WWWW[[#This Row],[% of water sources treated]]="no test",WWWW[[#This Row],[% Household received corrective actions]]="no test"),"No Test","Tested")</f>
        <v>No Test</v>
      </c>
      <c r="BT684" s="712">
        <f>WWWW[[#This Row],['#_Constructed/existing protected hand dug well]]-WWWW[[#This Row],['#_Non-functional protected hand dug well]]</f>
        <v>1</v>
      </c>
      <c r="BU684" s="712">
        <f>(WWWW[[#This Row],['#_Constructed/Existing tube wells/boreholes/handpumps_WASH_agency]]+WWWW[[#This Row],['#_Non-Cluster partner water tube-wells/boreholes/handpumps]])-WWWW[[#This Row],['#_Non-functional tube wells/boreholes/handpumps]]</f>
        <v>4</v>
      </c>
      <c r="BV684" s="712">
        <f>WWWW[[#This Row],['#_Constructed/Existingwater storage tank with gravity fed reticulation system]]-WWWW[[#This Row],['#_Non-functional storage tank gravity fed reticulation system]]</f>
        <v>0</v>
      </c>
      <c r="BW684" s="712">
        <f>WWWW[[#This Row],['#_Water boating or water trucking]]</f>
        <v>0</v>
      </c>
      <c r="BX684" s="712">
        <f>WWWW[[#This Row],['#_Constructed/Existing water distribution system from river or natural spring]]</f>
        <v>0</v>
      </c>
      <c r="BY68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4" s="710">
        <f>IF(WWWW[[#This Row],[Location Type 1]]="Village",WWWW[[#This Row],[Access to safe drinking water for Village]],WWWW[[#This Row],[Access to safe drinking water for Camp]])</f>
        <v>1</v>
      </c>
      <c r="CB684" s="708">
        <f>WWWW[[#This Row],[%Equitable and continuous access to sufficient quantity of safe drinking water]]*WWWW[[#This Row],[Total PoP ]]</f>
        <v>253</v>
      </c>
      <c r="CC684" s="710">
        <f>IF((WWWW[[#This Row],['#_Constructed/Existing protected/fenced ponds]]*250)/WWWW[[#This Row],[Total PoP ]]&gt;1,1,(WWWW[[#This Row],['#_Constructed/Existing protected/fenced ponds]]*250)/WWWW[[#This Row],[Total PoP ]])</f>
        <v>0</v>
      </c>
      <c r="CD684" s="708">
        <f>WWWW[[#This Row],[% Access to unimproved water points]]*WWWW[[#This Row],[Total PoP ]]</f>
        <v>0</v>
      </c>
      <c r="CE68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G684" s="708">
        <f>WWWW[[#This Row],[HRP1]]/500</f>
        <v>0.50600000000000001</v>
      </c>
      <c r="CH684" s="714">
        <f>1-WWWW[[#This Row],[% Equitable and continuous access to sufficient quantity of domestic water]]</f>
        <v>0</v>
      </c>
      <c r="CI684" s="708">
        <f>WWWW[[#This Row],[%equitable and continuous access to sufficient quantity of safe drinking and domestic water''s GAP]]*WWWW[[#This Row],[Total PoP ]]</f>
        <v>0</v>
      </c>
      <c r="CJ684" s="712">
        <f>IF(WWWW[[#This Row],[Total required water points]]-WWWW[[#This Row],['#Water points coverage]]&lt;0,0,WWWW[[#This Row],[Total required water points]]-WWWW[[#This Row],['#Water points coverage]])</f>
        <v>0.49399999999999999</v>
      </c>
      <c r="CK684" s="712">
        <f>ROUND(IF(WWWW[[#This Row],[Total PoP ]]&lt;500,1,WWWW[[#This Row],[Total PoP ]]/500),0)</f>
        <v>1</v>
      </c>
      <c r="CL684" s="712">
        <f>(WWWW[[#This Row],['#_Constructed latrines_by_WASHAgencies]]+WWWW[[#This Row],['#_Non Cluster partner latrines]])-WWWW[[#This Row],['#_Non-functional latrines]]</f>
        <v>18</v>
      </c>
      <c r="CM68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8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253</v>
      </c>
      <c r="CO68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4" s="712">
        <f>IF(WWWW[[#This Row],[Location Type 1]]="Village","NA",IF(WWWW[[#This Row],['#_Constructed/Existing latrines in TLS]]*50&gt;WWWW[[#This Row],['#_students at TLS_CFS]],WWWW[[#This Row],['#_students at TLS_CFS]],(WWWW[[#This Row],['#_Constructed/Existing latrines in TLS]]*50)))</f>
        <v>0</v>
      </c>
      <c r="CQ684" s="712">
        <f>ROUND(IF(WWWW[[#This Row],[Location Type 1]]="camp",WWWW[[#This Row],[Total PoP ]]/20,IF(WWWW[[#This Row],[Location Type 1]]="Temporary Location",WWWW[[#This Row],[Total PoP ]]/50,(WWWW[[#This Row],[Total PoP ]]/6))),0)</f>
        <v>13</v>
      </c>
      <c r="CR684" s="712">
        <f>IF(WWWW[[#This Row],[Total required Latrines]]-(WWWW[[#This Row],['#_Constructed latrines_by_WASHAgencies]]+WWWW[[#This Row],['#_Non Cluster partner latrines]])&lt;0,0,WWWW[[#This Row],[Total required Latrines]]-(WWWW[[#This Row],['#_Constructed latrines_by_WASHAgencies]]+WWWW[[#This Row],['#_Non Cluster partner latrines]]))</f>
        <v>0</v>
      </c>
      <c r="CS684" s="714">
        <f>1-WWWW[[#This Row],[% people access to functioning Latrine]]</f>
        <v>0</v>
      </c>
      <c r="CT684" s="713">
        <f>IF(OR(WWWW[[#This Row],['#_Non-functional latrines]]="",WWWW[[#This Row],['#_Non-functional latrines]]=0),0,WWWW[[#This Row],['#_Non-functional latrines]]/(WWWW[[#This Row],['#_Constructed latrines_by_WASHAgencies]]+WWWW[[#This Row],['#_Non Cluster partner latrines]]))</f>
        <v>0</v>
      </c>
      <c r="CU684" s="708">
        <f>IF(500*(WWWW[[#This Row],['#_male hygiene promoters]]+WWWW[[#This Row],['#_female hygiene promoters]])&gt;WWWW[[#This Row],[Total PoP ]],WWWW[[#This Row],[Total PoP ]],500*(WWWW[[#This Row],['#_male hygiene promoters]]+WWWW[[#This Row],['#_female hygiene promoters]]))</f>
        <v>253</v>
      </c>
      <c r="CV68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4" s="712">
        <f>IF(WWWW[[#This Row],['# People with access to soap]]&gt;WWWW[[#This Row],['# People with access to Sanity Pads]],WWWW[[#This Row],['# People with access to soap]],WWWW[[#This Row],['# People with access to Sanity Pads]])</f>
        <v>0</v>
      </c>
      <c r="CY684" s="712">
        <f>IF(WWWW[[#This Row],['# people reached by regular dedicated hygiene promotion_5]]&gt;WWWW[[#This Row],['# People received regular supply of hygiene items_6]],WWWW[[#This Row],['# people reached by regular dedicated hygiene promotion_5]],WWWW[[#This Row],['# People received regular supply of hygiene items_6]])</f>
        <v>253</v>
      </c>
      <c r="CZ684" s="714">
        <f>IF(WWWW[[#This Row],[HRP3]]/WWWW[[#This Row],[Total PoP ]]&gt;100%,100%,WWWW[[#This Row],[HRP3]]/WWWW[[#This Row],[Total PoP ]])</f>
        <v>1</v>
      </c>
      <c r="DA684" s="713">
        <f>1-WWWW[[#This Row],[Hygiene Coverage%]]</f>
        <v>0</v>
      </c>
      <c r="DB684" s="710">
        <f>WWWW[[#This Row],['# people reached by regular dedicated hygiene promotion_5]]/WWWW[[#This Row],[Total PoP ]]</f>
        <v>1</v>
      </c>
      <c r="DC684" s="710">
        <f>IF(WWWW[[#This Row],['#_households that received standard amount of soap for this quarter]]/WWWW[[#This Row],[Total HH]]&gt;1,1,WWWW[[#This Row],['#_households that received standard amount of soap for this quarter]]/WWWW[[#This Row],[Total HH]])</f>
        <v>0</v>
      </c>
      <c r="DD684" s="710">
        <f>IF(WWWW[[#This Row],['#_households that received standard amount of sanitary pads for this quarter]]/WWWW[[#This Row],[Total HH]]&gt;1,1,WWWW[[#This Row],['#_households that received standard amount of sanitary pads for this quarter]]/WWWW[[#This Row],[Total HH]])</f>
        <v>0</v>
      </c>
      <c r="DE684" s="712">
        <f>WWWW[[#This Row],['#_Constructed/Existing hand washing stations]]-WWWW[[#This Row],['#_Non-Functional_hand_washing_stations]]</f>
        <v>3</v>
      </c>
      <c r="DF684" s="757">
        <f>IF(WWWW[[#This Row],['# Functional hand washing stations during reporting period]]*20&gt;WWWW[[#This Row],[Total HH]],WWWW[[#This Row],[Total HH]],WWWW[[#This Row],['# Functional hand washing stations during reporting period]]*20)</f>
        <v>54</v>
      </c>
      <c r="DG684" s="708">
        <f>IF(WWWW[[#This Row],[Is sufficient soap available for TLS? (Yes/No)]]="yes",WWWW[[#This Row],['#_Constructed/Existing hand washing stations at TLS]],0)</f>
        <v>0</v>
      </c>
      <c r="DH684" s="759">
        <f>IF(WWWW[[#This Row],['# Functional hand washing stations during reporting period]]*100&gt;WWWW[[#This Row],[Total PoP ]],WWWW[[#This Row],[Total PoP ]],WWWW[[#This Row],['# Functional hand washing stations during reporting period]]*100)</f>
        <v>253</v>
      </c>
      <c r="DI684" s="759" t="str">
        <f>IF(OR(WWWW[[#This Row],['#_students at TLS_CFS]]="",WWWW[[#This Row],['#_students at TLS_CFS]]=0),"No","Yes")</f>
        <v>No</v>
      </c>
      <c r="DJ684" s="711" t="str">
        <f>VLOOKUP(WWWW[[#This Row],[Site Name]],SiteDB6[[Site Name]:[CCCM Management]],6,FALSE)</f>
        <v>Yes</v>
      </c>
      <c r="DK684" s="711" t="str">
        <f>VLOOKUP(WWWW[[#This Row],[Site Name]],SiteDB6[[Site Name]:[CCCM Focal Agency]],7,FALSE)</f>
        <v>Shalom</v>
      </c>
      <c r="DL684" s="711" t="str">
        <f>VLOOKUP(WWWW[[#This Row],[Site Name]],SiteDB6[[Site Name]:[Location Type 1]],9,FALSE)</f>
        <v>Camp</v>
      </c>
      <c r="DM684" s="711" t="str">
        <f>VLOOKUP(WWWW[[#This Row],[Site Name]],SiteDB6[[Site Name]:[Type of Accommodation]],10,FALSE)</f>
        <v>Camp</v>
      </c>
      <c r="DN684" s="711" t="str">
        <f>VLOOKUP(WWWW[[#This Row],[Site Name]],SiteDB6[[Site Name]:[Ethnic or GCA/NGCA]],11,FALSE)</f>
        <v>GCA</v>
      </c>
      <c r="DO684" s="711">
        <f>VLOOKUP(WWWW[[#This Row],[Site Name]],SiteDB6[[Site Name]:[Lat]],12,FALSE)</f>
        <v>25.423209</v>
      </c>
      <c r="DP684" s="711">
        <f>VLOOKUP(WWWW[[#This Row],[Site Name]],SiteDB6[[Site Name]:[Long]],13,FALSE)</f>
        <v>97.379987</v>
      </c>
      <c r="DQ684" s="711" t="str">
        <f>VLOOKUP(WWWW[[#This Row],[Site Name]],SiteDB6[[Site Name]:[Pcode]],3,FALSE)</f>
        <v>MMR001CMP023</v>
      </c>
      <c r="DR684" s="709" t="str">
        <f t="shared" si="26"/>
        <v>Covered</v>
      </c>
      <c r="DS684" s="709"/>
    </row>
    <row r="685" spans="1:123">
      <c r="A685" s="701" t="s">
        <v>2519</v>
      </c>
      <c r="B685" s="701" t="s">
        <v>317</v>
      </c>
      <c r="C685" s="702" t="s">
        <v>317</v>
      </c>
      <c r="D685" s="702"/>
      <c r="E685" s="702" t="s">
        <v>39</v>
      </c>
      <c r="F685" s="702" t="s">
        <v>1153</v>
      </c>
      <c r="G685" s="711" t="str">
        <f>VLOOKUP(WWWW[[#This Row],[Site Name]],SiteDB6[[Site Name]:[Location Type]],8,FALSE)</f>
        <v>Camp</v>
      </c>
      <c r="H685" s="702" t="s">
        <v>1155</v>
      </c>
      <c r="I685" s="705">
        <v>36</v>
      </c>
      <c r="J685" s="705">
        <v>152</v>
      </c>
      <c r="K685" s="706"/>
      <c r="L685" s="707"/>
      <c r="M685" s="705"/>
      <c r="N685" s="705"/>
      <c r="O685" s="705"/>
      <c r="P685" s="705"/>
      <c r="Q685" s="708"/>
      <c r="R685" s="705"/>
      <c r="S685" s="705"/>
      <c r="T685" s="807"/>
      <c r="U685" s="705"/>
      <c r="V685" s="705"/>
      <c r="W685" s="705"/>
      <c r="X685" s="705"/>
      <c r="Y685" s="705"/>
      <c r="Z685" s="705"/>
      <c r="AA685" s="705"/>
      <c r="AB685" s="705"/>
      <c r="AC685" s="705"/>
      <c r="AD685" s="705"/>
      <c r="AE685" s="705"/>
      <c r="AF685" s="705"/>
      <c r="AG685" s="705"/>
      <c r="AH685" s="705"/>
      <c r="AI685" s="705"/>
      <c r="AJ685" s="705"/>
      <c r="AK685" s="705"/>
      <c r="AL685" s="705"/>
      <c r="AM685" s="705"/>
      <c r="AN685" s="705"/>
      <c r="AO685" s="709"/>
      <c r="AP685" s="705"/>
      <c r="AQ685" s="705"/>
      <c r="AR685" s="710"/>
      <c r="AS685" s="705"/>
      <c r="AT685" s="705"/>
      <c r="AU685" s="705"/>
      <c r="AV685" s="705"/>
      <c r="AW685" s="705"/>
      <c r="AX685" s="711"/>
      <c r="AY685" s="709"/>
      <c r="AZ685" s="705"/>
      <c r="BA685" s="705"/>
      <c r="BB685" s="705"/>
      <c r="BC685" s="711"/>
      <c r="BD685" s="705"/>
      <c r="BE685" s="705"/>
      <c r="BF685" s="705"/>
      <c r="BG685" s="705"/>
      <c r="BH685" s="705"/>
      <c r="BI685" s="705"/>
      <c r="BJ685" s="705"/>
      <c r="BK685" s="705"/>
      <c r="BL685" s="705"/>
      <c r="BM685" s="711"/>
      <c r="BN685" s="712"/>
      <c r="BO685" s="710"/>
      <c r="BP685" s="711"/>
      <c r="BQ685" s="713" t="str">
        <f>IFERROR(WWWW[[#This Row],['#_Water sources treated]]/WWWW[[#This Row],['#_Water sources tested for contamination]],"no test")</f>
        <v>no test</v>
      </c>
      <c r="BR685" s="710" t="str">
        <f>IFERROR(WWWW[[#This Row],['#_Household received remediation action due to contamination]]/WWWW[[#This Row],['#_Household water samples tested for contamination]],"no test")</f>
        <v>no test</v>
      </c>
      <c r="BS685" s="712" t="str">
        <f>IF(AND(WWWW[[#This Row],[% of water sources treated]]="no test",WWWW[[#This Row],[% Household received corrective actions]]="no test"),"No Test","Tested")</f>
        <v>No Test</v>
      </c>
      <c r="BT685" s="712">
        <f>WWWW[[#This Row],['#_Constructed/existing protected hand dug well]]-WWWW[[#This Row],['#_Non-functional protected hand dug well]]</f>
        <v>0</v>
      </c>
      <c r="BU685" s="712">
        <f>(WWWW[[#This Row],['#_Constructed/Existing tube wells/boreholes/handpumps_WASH_agency]]+WWWW[[#This Row],['#_Non-Cluster partner water tube-wells/boreholes/handpumps]])-WWWW[[#This Row],['#_Non-functional tube wells/boreholes/handpumps]]</f>
        <v>0</v>
      </c>
      <c r="BV685" s="712">
        <f>WWWW[[#This Row],['#_Constructed/Existingwater storage tank with gravity fed reticulation system]]-WWWW[[#This Row],['#_Non-functional storage tank gravity fed reticulation system]]</f>
        <v>0</v>
      </c>
      <c r="BW685" s="712">
        <f>WWWW[[#This Row],['#_Water boating or water trucking]]</f>
        <v>0</v>
      </c>
      <c r="BX685" s="712">
        <f>WWWW[[#This Row],['#_Constructed/Existing water distribution system from river or natural spring]]</f>
        <v>0</v>
      </c>
      <c r="BY68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8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85" s="710">
        <f>IF(WWWW[[#This Row],[Location Type 1]]="Village",WWWW[[#This Row],[Access to safe drinking water for Village]],WWWW[[#This Row],[Access to safe drinking water for Camp]])</f>
        <v>0</v>
      </c>
      <c r="CB685" s="708">
        <f>WWWW[[#This Row],[%Equitable and continuous access to sufficient quantity of safe drinking water]]*WWWW[[#This Row],[Total PoP ]]</f>
        <v>0</v>
      </c>
      <c r="CC685" s="710">
        <f>IF((WWWW[[#This Row],['#_Constructed/Existing protected/fenced ponds]]*250)/WWWW[[#This Row],[Total PoP ]]&gt;1,1,(WWWW[[#This Row],['#_Constructed/Existing protected/fenced ponds]]*250)/WWWW[[#This Row],[Total PoP ]])</f>
        <v>0</v>
      </c>
      <c r="CD685" s="708">
        <f>WWWW[[#This Row],[% Access to unimproved water points]]*WWWW[[#This Row],[Total PoP ]]</f>
        <v>0</v>
      </c>
      <c r="CE68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8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85" s="708">
        <f>WWWW[[#This Row],[HRP1]]/500</f>
        <v>0</v>
      </c>
      <c r="CH685" s="714">
        <f>1-WWWW[[#This Row],[% Equitable and continuous access to sufficient quantity of domestic water]]</f>
        <v>1</v>
      </c>
      <c r="CI685" s="708">
        <f>WWWW[[#This Row],[%equitable and continuous access to sufficient quantity of safe drinking and domestic water''s GAP]]*WWWW[[#This Row],[Total PoP ]]</f>
        <v>152</v>
      </c>
      <c r="CJ685" s="712">
        <f>IF(WWWW[[#This Row],[Total required water points]]-WWWW[[#This Row],['#Water points coverage]]&lt;0,0,WWWW[[#This Row],[Total required water points]]-WWWW[[#This Row],['#Water points coverage]])</f>
        <v>1</v>
      </c>
      <c r="CK685" s="712">
        <f>ROUND(IF(WWWW[[#This Row],[Total PoP ]]&lt;500,1,WWWW[[#This Row],[Total PoP ]]/500),0)</f>
        <v>1</v>
      </c>
      <c r="CL685" s="712">
        <f>(WWWW[[#This Row],['#_Constructed latrines_by_WASHAgencies]]+WWWW[[#This Row],['#_Non Cluster partner latrines]])-WWWW[[#This Row],['#_Non-functional latrines]]</f>
        <v>0</v>
      </c>
      <c r="CM68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8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8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5" s="712">
        <f>IF(WWWW[[#This Row],[Location Type 1]]="Village","NA",IF(WWWW[[#This Row],['#_Constructed/Existing latrines in TLS]]*50&gt;WWWW[[#This Row],['#_students at TLS_CFS]],WWWW[[#This Row],['#_students at TLS_CFS]],(WWWW[[#This Row],['#_Constructed/Existing latrines in TLS]]*50)))</f>
        <v>0</v>
      </c>
      <c r="CQ685" s="712">
        <f>ROUND(IF(WWWW[[#This Row],[Location Type 1]]="camp",WWWW[[#This Row],[Total PoP ]]/20,IF(WWWW[[#This Row],[Location Type 1]]="Temporary Location",WWWW[[#This Row],[Total PoP ]]/50,(WWWW[[#This Row],[Total PoP ]]/6))),0)</f>
        <v>8</v>
      </c>
      <c r="CR685" s="712">
        <f>IF(WWWW[[#This Row],[Total required Latrines]]-(WWWW[[#This Row],['#_Constructed latrines_by_WASHAgencies]]+WWWW[[#This Row],['#_Non Cluster partner latrines]])&lt;0,0,WWWW[[#This Row],[Total required Latrines]]-(WWWW[[#This Row],['#_Constructed latrines_by_WASHAgencies]]+WWWW[[#This Row],['#_Non Cluster partner latrines]]))</f>
        <v>8</v>
      </c>
      <c r="CS685" s="714">
        <f>1-WWWW[[#This Row],[% people access to functioning Latrine]]</f>
        <v>1</v>
      </c>
      <c r="CT685" s="713">
        <f>IF(OR(WWWW[[#This Row],['#_Non-functional latrines]]="",WWWW[[#This Row],['#_Non-functional latrines]]=0),0,WWWW[[#This Row],['#_Non-functional latrines]]/(WWWW[[#This Row],['#_Constructed latrines_by_WASHAgencies]]+WWWW[[#This Row],['#_Non Cluster partner latrines]]))</f>
        <v>0</v>
      </c>
      <c r="CU685" s="708">
        <f>IF(500*(WWWW[[#This Row],['#_male hygiene promoters]]+WWWW[[#This Row],['#_female hygiene promoters]])&gt;WWWW[[#This Row],[Total PoP ]],WWWW[[#This Row],[Total PoP ]],500*(WWWW[[#This Row],['#_male hygiene promoters]]+WWWW[[#This Row],['#_female hygiene promoters]]))</f>
        <v>0</v>
      </c>
      <c r="CV68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5" s="712">
        <f>IF(WWWW[[#This Row],['# People with access to soap]]&gt;WWWW[[#This Row],['# People with access to Sanity Pads]],WWWW[[#This Row],['# People with access to soap]],WWWW[[#This Row],['# People with access to Sanity Pads]])</f>
        <v>0</v>
      </c>
      <c r="CY68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85" s="714">
        <f>IF(WWWW[[#This Row],[HRP3]]/WWWW[[#This Row],[Total PoP ]]&gt;100%,100%,WWWW[[#This Row],[HRP3]]/WWWW[[#This Row],[Total PoP ]])</f>
        <v>0</v>
      </c>
      <c r="DA685" s="713">
        <f>1-WWWW[[#This Row],[Hygiene Coverage%]]</f>
        <v>1</v>
      </c>
      <c r="DB685" s="710">
        <f>WWWW[[#This Row],['# people reached by regular dedicated hygiene promotion_5]]/WWWW[[#This Row],[Total PoP ]]</f>
        <v>0</v>
      </c>
      <c r="DC685" s="710">
        <f>IF(WWWW[[#This Row],['#_households that received standard amount of soap for this quarter]]/WWWW[[#This Row],[Total HH]]&gt;1,1,WWWW[[#This Row],['#_households that received standard amount of soap for this quarter]]/WWWW[[#This Row],[Total HH]])</f>
        <v>0</v>
      </c>
      <c r="DD685" s="710">
        <f>IF(WWWW[[#This Row],['#_households that received standard amount of sanitary pads for this quarter]]/WWWW[[#This Row],[Total HH]]&gt;1,1,WWWW[[#This Row],['#_households that received standard amount of sanitary pads for this quarter]]/WWWW[[#This Row],[Total HH]])</f>
        <v>0</v>
      </c>
      <c r="DE685" s="712">
        <f>WWWW[[#This Row],['#_Constructed/Existing hand washing stations]]-WWWW[[#This Row],['#_Non-Functional_hand_washing_stations]]</f>
        <v>0</v>
      </c>
      <c r="DF685" s="757">
        <f>IF(WWWW[[#This Row],['# Functional hand washing stations during reporting period]]*20&gt;WWWW[[#This Row],[Total HH]],WWWW[[#This Row],[Total HH]],WWWW[[#This Row],['# Functional hand washing stations during reporting period]]*20)</f>
        <v>0</v>
      </c>
      <c r="DG685" s="708">
        <f>IF(WWWW[[#This Row],[Is sufficient soap available for TLS? (Yes/No)]]="yes",WWWW[[#This Row],['#_Constructed/Existing hand washing stations at TLS]],0)</f>
        <v>0</v>
      </c>
      <c r="DH685" s="759">
        <f>IF(WWWW[[#This Row],['# Functional hand washing stations during reporting period]]*100&gt;WWWW[[#This Row],[Total PoP ]],WWWW[[#This Row],[Total PoP ]],WWWW[[#This Row],['# Functional hand washing stations during reporting period]]*100)</f>
        <v>0</v>
      </c>
      <c r="DI685" s="759" t="str">
        <f>IF(OR(WWWW[[#This Row],['#_students at TLS_CFS]]="",WWWW[[#This Row],['#_students at TLS_CFS]]=0),"No","Yes")</f>
        <v>No</v>
      </c>
      <c r="DJ685" s="711" t="str">
        <f>VLOOKUP(WWWW[[#This Row],[Site Name]],SiteDB6[[Site Name]:[CCCM Management]],6,FALSE)</f>
        <v>Yes</v>
      </c>
      <c r="DK685" s="711" t="str">
        <f>VLOOKUP(WWWW[[#This Row],[Site Name]],SiteDB6[[Site Name]:[CCCM Focal Agency]],7,FALSE)</f>
        <v>KMSS-MYT</v>
      </c>
      <c r="DL685" s="711" t="str">
        <f>VLOOKUP(WWWW[[#This Row],[Site Name]],SiteDB6[[Site Name]:[Location Type 1]],9,FALSE)</f>
        <v>Camp</v>
      </c>
      <c r="DM685" s="711" t="str">
        <f>VLOOKUP(WWWW[[#This Row],[Site Name]],SiteDB6[[Site Name]:[Type of Accommodation]],10,FALSE)</f>
        <v>Camp</v>
      </c>
      <c r="DN685" s="711" t="str">
        <f>VLOOKUP(WWWW[[#This Row],[Site Name]],SiteDB6[[Site Name]:[Ethnic or GCA/NGCA]],11,FALSE)</f>
        <v>GCA</v>
      </c>
      <c r="DO685" s="711">
        <f>VLOOKUP(WWWW[[#This Row],[Site Name]],SiteDB6[[Site Name]:[Lat]],12,FALSE)</f>
        <v>0</v>
      </c>
      <c r="DP685" s="711">
        <f>VLOOKUP(WWWW[[#This Row],[Site Name]],SiteDB6[[Site Name]:[Long]],13,FALSE)</f>
        <v>0</v>
      </c>
      <c r="DQ685" s="711" t="str">
        <f>VLOOKUP(WWWW[[#This Row],[Site Name]],SiteDB6[[Site Name]:[Pcode]],3,FALSE)</f>
        <v>MMR001CMP254</v>
      </c>
      <c r="DR685" s="709" t="str">
        <f t="shared" si="26"/>
        <v>Notcovered</v>
      </c>
      <c r="DS685" s="709"/>
    </row>
    <row r="686" spans="1:123">
      <c r="A686" s="701" t="s">
        <v>2519</v>
      </c>
      <c r="B686" s="701" t="s">
        <v>149</v>
      </c>
      <c r="C686" s="702" t="s">
        <v>149</v>
      </c>
      <c r="D686" s="702" t="s">
        <v>3268</v>
      </c>
      <c r="E686" s="702" t="s">
        <v>39</v>
      </c>
      <c r="F686" s="702" t="s">
        <v>167</v>
      </c>
      <c r="G686" s="711" t="str">
        <f>VLOOKUP(WWWW[[#This Row],[Site Name]],SiteDB6[[Site Name]:[Location Type]],8,FALSE)</f>
        <v>Camp</v>
      </c>
      <c r="H686" s="702" t="s">
        <v>178</v>
      </c>
      <c r="I686" s="705">
        <v>69</v>
      </c>
      <c r="J686" s="705">
        <v>351</v>
      </c>
      <c r="K686" s="593" t="s">
        <v>3276</v>
      </c>
      <c r="L686" s="58" t="s">
        <v>3277</v>
      </c>
      <c r="M686" s="705"/>
      <c r="N686" s="705"/>
      <c r="O686" s="705"/>
      <c r="P686" s="705"/>
      <c r="Q686" s="708" t="s">
        <v>43</v>
      </c>
      <c r="R686" s="705"/>
      <c r="S686" s="705"/>
      <c r="T686" s="807">
        <v>0</v>
      </c>
      <c r="U686" s="705"/>
      <c r="V686" s="705"/>
      <c r="W686" s="705">
        <v>2</v>
      </c>
      <c r="X686" s="705"/>
      <c r="Y686" s="705"/>
      <c r="Z686" s="705"/>
      <c r="AA686" s="705"/>
      <c r="AB686" s="705"/>
      <c r="AC686" s="705"/>
      <c r="AD686" s="705"/>
      <c r="AE686" s="705"/>
      <c r="AF686" s="705"/>
      <c r="AG686" s="705"/>
      <c r="AH686" s="705">
        <v>2</v>
      </c>
      <c r="AI686" s="705"/>
      <c r="AJ686" s="705"/>
      <c r="AK686" s="705"/>
      <c r="AL686" s="705"/>
      <c r="AM686" s="705"/>
      <c r="AN686" s="705"/>
      <c r="AO686" s="709"/>
      <c r="AP686" s="705">
        <v>11</v>
      </c>
      <c r="AQ686" s="705"/>
      <c r="AR686" s="710"/>
      <c r="AS686" s="705"/>
      <c r="AT686" s="705"/>
      <c r="AU686" s="705">
        <v>60</v>
      </c>
      <c r="AV686" s="705"/>
      <c r="AW686" s="705">
        <v>11</v>
      </c>
      <c r="AX686" s="711" t="s">
        <v>43</v>
      </c>
      <c r="AY686" s="709" t="s">
        <v>145</v>
      </c>
      <c r="AZ686" s="705"/>
      <c r="BA686" s="705"/>
      <c r="BB686" s="705"/>
      <c r="BC686" s="711"/>
      <c r="BD686" s="705"/>
      <c r="BE686" s="705"/>
      <c r="BF686" s="705"/>
      <c r="BG686" s="705">
        <v>2</v>
      </c>
      <c r="BH686" s="705"/>
      <c r="BI686" s="705"/>
      <c r="BJ686" s="705">
        <v>1</v>
      </c>
      <c r="BK686" s="705"/>
      <c r="BL686" s="705"/>
      <c r="BM686" s="711"/>
      <c r="BN686" s="712"/>
      <c r="BO686" s="710"/>
      <c r="BP686" s="711"/>
      <c r="BQ686" s="713" t="str">
        <f>IFERROR(WWWW[[#This Row],['#_Water sources treated]]/WWWW[[#This Row],['#_Water sources tested for contamination]],"no test")</f>
        <v>no test</v>
      </c>
      <c r="BR686" s="710" t="str">
        <f>IFERROR(WWWW[[#This Row],['#_Household received remediation action due to contamination]]/WWWW[[#This Row],['#_Household water samples tested for contamination]],"no test")</f>
        <v>no test</v>
      </c>
      <c r="BS686" s="712" t="str">
        <f>IF(AND(WWWW[[#This Row],[% of water sources treated]]="no test",WWWW[[#This Row],[% Household received corrective actions]]="no test"),"No Test","Tested")</f>
        <v>No Test</v>
      </c>
      <c r="BT686" s="712">
        <f>WWWW[[#This Row],['#_Constructed/existing protected hand dug well]]-WWWW[[#This Row],['#_Non-functional protected hand dug well]]</f>
        <v>0</v>
      </c>
      <c r="BU686" s="712">
        <f>(WWWW[[#This Row],['#_Constructed/Existing tube wells/boreholes/handpumps_WASH_agency]]+WWWW[[#This Row],['#_Non-Cluster partner water tube-wells/boreholes/handpumps]])-WWWW[[#This Row],['#_Non-functional tube wells/boreholes/handpumps]]</f>
        <v>2</v>
      </c>
      <c r="BV686" s="712">
        <f>WWWW[[#This Row],['#_Constructed/Existingwater storage tank with gravity fed reticulation system]]-WWWW[[#This Row],['#_Non-functional storage tank gravity fed reticulation system]]</f>
        <v>0</v>
      </c>
      <c r="BW686" s="712">
        <f>WWWW[[#This Row],['#_Water boating or water trucking]]</f>
        <v>0</v>
      </c>
      <c r="BX686" s="712">
        <f>WWWW[[#This Row],['#_Constructed/Existing water distribution system from river or natural spring]]</f>
        <v>0</v>
      </c>
      <c r="BY68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6" s="710">
        <f>IF(WWWW[[#This Row],[Location Type 1]]="Village",WWWW[[#This Row],[Access to safe drinking water for Village]],WWWW[[#This Row],[Access to safe drinking water for Camp]])</f>
        <v>1</v>
      </c>
      <c r="CB686" s="708">
        <f>WWWW[[#This Row],[%Equitable and continuous access to sufficient quantity of safe drinking water]]*WWWW[[#This Row],[Total PoP ]]</f>
        <v>351</v>
      </c>
      <c r="CC686" s="710">
        <f>IF((WWWW[[#This Row],['#_Constructed/Existing protected/fenced ponds]]*250)/WWWW[[#This Row],[Total PoP ]]&gt;1,1,(WWWW[[#This Row],['#_Constructed/Existing protected/fenced ponds]]*250)/WWWW[[#This Row],[Total PoP ]])</f>
        <v>0</v>
      </c>
      <c r="CD686" s="708">
        <f>WWWW[[#This Row],[% Access to unimproved water points]]*WWWW[[#This Row],[Total PoP ]]</f>
        <v>0</v>
      </c>
      <c r="CE68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G686" s="708">
        <f>WWWW[[#This Row],[HRP1]]/500</f>
        <v>0.70199999999999996</v>
      </c>
      <c r="CH686" s="714">
        <f>1-WWWW[[#This Row],[% Equitable and continuous access to sufficient quantity of domestic water]]</f>
        <v>0</v>
      </c>
      <c r="CI686" s="708">
        <f>WWWW[[#This Row],[%equitable and continuous access to sufficient quantity of safe drinking and domestic water''s GAP]]*WWWW[[#This Row],[Total PoP ]]</f>
        <v>0</v>
      </c>
      <c r="CJ686" s="712">
        <f>IF(WWWW[[#This Row],[Total required water points]]-WWWW[[#This Row],['#Water points coverage]]&lt;0,0,WWWW[[#This Row],[Total required water points]]-WWWW[[#This Row],['#Water points coverage]])</f>
        <v>0.29800000000000004</v>
      </c>
      <c r="CK686" s="712">
        <f>ROUND(IF(WWWW[[#This Row],[Total PoP ]]&lt;500,1,WWWW[[#This Row],[Total PoP ]]/500),0)</f>
        <v>1</v>
      </c>
      <c r="CL686" s="712">
        <f>(WWWW[[#This Row],['#_Constructed latrines_by_WASHAgencies]]+WWWW[[#This Row],['#_Non Cluster partner latrines]])-WWWW[[#This Row],['#_Non-functional latrines]]</f>
        <v>11</v>
      </c>
      <c r="CM68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0.62678062678062674</v>
      </c>
      <c r="CN68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220</v>
      </c>
      <c r="CO68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351</v>
      </c>
      <c r="CP686" s="712">
        <f>IF(WWWW[[#This Row],[Location Type 1]]="Village","NA",IF(WWWW[[#This Row],['#_Constructed/Existing latrines in TLS]]*50&gt;WWWW[[#This Row],['#_students at TLS_CFS]],WWWW[[#This Row],['#_students at TLS_CFS]],(WWWW[[#This Row],['#_Constructed/Existing latrines in TLS]]*50)))</f>
        <v>0</v>
      </c>
      <c r="CQ686" s="712">
        <f>ROUND(IF(WWWW[[#This Row],[Location Type 1]]="camp",WWWW[[#This Row],[Total PoP ]]/20,IF(WWWW[[#This Row],[Location Type 1]]="Temporary Location",WWWW[[#This Row],[Total PoP ]]/50,(WWWW[[#This Row],[Total PoP ]]/6))),0)</f>
        <v>18</v>
      </c>
      <c r="CR686" s="712">
        <f>IF(WWWW[[#This Row],[Total required Latrines]]-(WWWW[[#This Row],['#_Constructed latrines_by_WASHAgencies]]+WWWW[[#This Row],['#_Non Cluster partner latrines]])&lt;0,0,WWWW[[#This Row],[Total required Latrines]]-(WWWW[[#This Row],['#_Constructed latrines_by_WASHAgencies]]+WWWW[[#This Row],['#_Non Cluster partner latrines]]))</f>
        <v>7</v>
      </c>
      <c r="CS686" s="714">
        <f>1-WWWW[[#This Row],[% people access to functioning Latrine]]</f>
        <v>0.37321937321937326</v>
      </c>
      <c r="CT686" s="713">
        <f>IF(OR(WWWW[[#This Row],['#_Non-functional latrines]]="",WWWW[[#This Row],['#_Non-functional latrines]]=0),0,WWWW[[#This Row],['#_Non-functional latrines]]/(WWWW[[#This Row],['#_Constructed latrines_by_WASHAgencies]]+WWWW[[#This Row],['#_Non Cluster partner latrines]]))</f>
        <v>0</v>
      </c>
      <c r="CU686" s="708">
        <f>IF(500*(WWWW[[#This Row],['#_male hygiene promoters]]+WWWW[[#This Row],['#_female hygiene promoters]])&gt;WWWW[[#This Row],[Total PoP ]],WWWW[[#This Row],[Total PoP ]],500*(WWWW[[#This Row],['#_male hygiene promoters]]+WWWW[[#This Row],['#_female hygiene promoters]]))</f>
        <v>351</v>
      </c>
      <c r="CV68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6" s="712">
        <f>IF(WWWW[[#This Row],['# People with access to soap]]&gt;WWWW[[#This Row],['# People with access to Sanity Pads]],WWWW[[#This Row],['# People with access to soap]],WWWW[[#This Row],['# People with access to Sanity Pads]])</f>
        <v>0</v>
      </c>
      <c r="CY686" s="712">
        <f>IF(WWWW[[#This Row],['# people reached by regular dedicated hygiene promotion_5]]&gt;WWWW[[#This Row],['# People received regular supply of hygiene items_6]],WWWW[[#This Row],['# people reached by regular dedicated hygiene promotion_5]],WWWW[[#This Row],['# People received regular supply of hygiene items_6]])</f>
        <v>351</v>
      </c>
      <c r="CZ686" s="714">
        <f>IF(WWWW[[#This Row],[HRP3]]/WWWW[[#This Row],[Total PoP ]]&gt;100%,100%,WWWW[[#This Row],[HRP3]]/WWWW[[#This Row],[Total PoP ]])</f>
        <v>1</v>
      </c>
      <c r="DA686" s="713">
        <f>1-WWWW[[#This Row],[Hygiene Coverage%]]</f>
        <v>0</v>
      </c>
      <c r="DB686" s="710">
        <f>WWWW[[#This Row],['# people reached by regular dedicated hygiene promotion_5]]/WWWW[[#This Row],[Total PoP ]]</f>
        <v>1</v>
      </c>
      <c r="DC686" s="710">
        <f>IF(WWWW[[#This Row],['#_households that received standard amount of soap for this quarter]]/WWWW[[#This Row],[Total HH]]&gt;1,1,WWWW[[#This Row],['#_households that received standard amount of soap for this quarter]]/WWWW[[#This Row],[Total HH]])</f>
        <v>0</v>
      </c>
      <c r="DD686" s="710">
        <f>IF(WWWW[[#This Row],['#_households that received standard amount of sanitary pads for this quarter]]/WWWW[[#This Row],[Total HH]]&gt;1,1,WWWW[[#This Row],['#_households that received standard amount of sanitary pads for this quarter]]/WWWW[[#This Row],[Total HH]])</f>
        <v>0</v>
      </c>
      <c r="DE686" s="712">
        <f>WWWW[[#This Row],['#_Constructed/Existing hand washing stations]]-WWWW[[#This Row],['#_Non-Functional_hand_washing_stations]]</f>
        <v>0</v>
      </c>
      <c r="DF686" s="757">
        <f>IF(WWWW[[#This Row],['# Functional hand washing stations during reporting period]]*20&gt;WWWW[[#This Row],[Total HH]],WWWW[[#This Row],[Total HH]],WWWW[[#This Row],['# Functional hand washing stations during reporting period]]*20)</f>
        <v>0</v>
      </c>
      <c r="DG686" s="708">
        <f>IF(WWWW[[#This Row],[Is sufficient soap available for TLS? (Yes/No)]]="yes",WWWW[[#This Row],['#_Constructed/Existing hand washing stations at TLS]],0)</f>
        <v>0</v>
      </c>
      <c r="DH686" s="759">
        <f>IF(WWWW[[#This Row],['# Functional hand washing stations during reporting period]]*100&gt;WWWW[[#This Row],[Total PoP ]],WWWW[[#This Row],[Total PoP ]],WWWW[[#This Row],['# Functional hand washing stations during reporting period]]*100)</f>
        <v>0</v>
      </c>
      <c r="DI686" s="759" t="str">
        <f>IF(OR(WWWW[[#This Row],['#_students at TLS_CFS]]="",WWWW[[#This Row],['#_students at TLS_CFS]]=0),"No","Yes")</f>
        <v>No</v>
      </c>
      <c r="DJ686" s="711" t="str">
        <f>VLOOKUP(WWWW[[#This Row],[Site Name]],SiteDB6[[Site Name]:[CCCM Management]],6,FALSE)</f>
        <v>Yes</v>
      </c>
      <c r="DK686" s="711" t="str">
        <f>VLOOKUP(WWWW[[#This Row],[Site Name]],SiteDB6[[Site Name]:[CCCM Focal Agency]],7,FALSE)</f>
        <v>KBC-MYT</v>
      </c>
      <c r="DL686" s="711" t="str">
        <f>VLOOKUP(WWWW[[#This Row],[Site Name]],SiteDB6[[Site Name]:[Location Type 1]],9,FALSE)</f>
        <v>Camp</v>
      </c>
      <c r="DM686" s="711" t="str">
        <f>VLOOKUP(WWWW[[#This Row],[Site Name]],SiteDB6[[Site Name]:[Type of Accommodation]],10,FALSE)</f>
        <v>Camp</v>
      </c>
      <c r="DN686" s="711" t="str">
        <f>VLOOKUP(WWWW[[#This Row],[Site Name]],SiteDB6[[Site Name]:[Ethnic or GCA/NGCA]],11,FALSE)</f>
        <v>GCA</v>
      </c>
      <c r="DO686" s="711">
        <f>VLOOKUP(WWWW[[#This Row],[Site Name]],SiteDB6[[Site Name]:[Lat]],12,FALSE)</f>
        <v>25.415482000000001</v>
      </c>
      <c r="DP686" s="711">
        <f>VLOOKUP(WWWW[[#This Row],[Site Name]],SiteDB6[[Site Name]:[Long]],13,FALSE)</f>
        <v>97.386718999999999</v>
      </c>
      <c r="DQ686" s="711" t="str">
        <f>VLOOKUP(WWWW[[#This Row],[Site Name]],SiteDB6[[Site Name]:[Pcode]],3,FALSE)</f>
        <v>MMR001CMP001</v>
      </c>
      <c r="DR686" s="709" t="str">
        <f t="shared" si="26"/>
        <v>Covered</v>
      </c>
      <c r="DS686" s="709"/>
    </row>
    <row r="687" spans="1:123">
      <c r="A687" s="701" t="s">
        <v>2519</v>
      </c>
      <c r="B687" s="701" t="s">
        <v>149</v>
      </c>
      <c r="C687" s="702" t="s">
        <v>149</v>
      </c>
      <c r="D687" s="702" t="s">
        <v>3268</v>
      </c>
      <c r="E687" s="702" t="s">
        <v>39</v>
      </c>
      <c r="F687" s="702" t="s">
        <v>167</v>
      </c>
      <c r="G687" s="711" t="str">
        <f>VLOOKUP(WWWW[[#This Row],[Site Name]],SiteDB6[[Site Name]:[Location Type]],8,FALSE)</f>
        <v>Camp</v>
      </c>
      <c r="H687" s="702" t="s">
        <v>179</v>
      </c>
      <c r="I687" s="705">
        <v>30</v>
      </c>
      <c r="J687" s="705">
        <v>165</v>
      </c>
      <c r="K687" s="593" t="s">
        <v>3276</v>
      </c>
      <c r="L687" s="58" t="s">
        <v>3277</v>
      </c>
      <c r="M687" s="705"/>
      <c r="N687" s="705"/>
      <c r="O687" s="705"/>
      <c r="P687" s="705"/>
      <c r="Q687" s="708" t="s">
        <v>43</v>
      </c>
      <c r="R687" s="705"/>
      <c r="S687" s="705"/>
      <c r="T687" s="807">
        <v>0</v>
      </c>
      <c r="U687" s="705"/>
      <c r="V687" s="705"/>
      <c r="W687" s="705">
        <v>2</v>
      </c>
      <c r="X687" s="705"/>
      <c r="Y687" s="705"/>
      <c r="Z687" s="705"/>
      <c r="AA687" s="705"/>
      <c r="AB687" s="705"/>
      <c r="AC687" s="705"/>
      <c r="AD687" s="705"/>
      <c r="AE687" s="705"/>
      <c r="AF687" s="705"/>
      <c r="AG687" s="705"/>
      <c r="AH687" s="705">
        <v>3</v>
      </c>
      <c r="AI687" s="705"/>
      <c r="AJ687" s="705"/>
      <c r="AK687" s="705"/>
      <c r="AL687" s="705"/>
      <c r="AM687" s="705"/>
      <c r="AN687" s="705"/>
      <c r="AO687" s="709"/>
      <c r="AP687" s="705">
        <v>5</v>
      </c>
      <c r="AQ687" s="705"/>
      <c r="AR687" s="710"/>
      <c r="AS687" s="705"/>
      <c r="AT687" s="705"/>
      <c r="AU687" s="705">
        <v>24</v>
      </c>
      <c r="AV687" s="705"/>
      <c r="AW687" s="705">
        <v>5</v>
      </c>
      <c r="AX687" s="711" t="s">
        <v>43</v>
      </c>
      <c r="AY687" s="709" t="s">
        <v>145</v>
      </c>
      <c r="AZ687" s="705"/>
      <c r="BA687" s="705"/>
      <c r="BB687" s="705"/>
      <c r="BC687" s="711"/>
      <c r="BD687" s="705"/>
      <c r="BE687" s="705"/>
      <c r="BF687" s="705"/>
      <c r="BG687" s="705">
        <v>2</v>
      </c>
      <c r="BH687" s="705"/>
      <c r="BI687" s="705"/>
      <c r="BJ687" s="705">
        <v>1</v>
      </c>
      <c r="BK687" s="705"/>
      <c r="BL687" s="705"/>
      <c r="BM687" s="711"/>
      <c r="BN687" s="712"/>
      <c r="BO687" s="710"/>
      <c r="BP687" s="711"/>
      <c r="BQ687" s="713" t="str">
        <f>IFERROR(WWWW[[#This Row],['#_Water sources treated]]/WWWW[[#This Row],['#_Water sources tested for contamination]],"no test")</f>
        <v>no test</v>
      </c>
      <c r="BR687" s="710" t="str">
        <f>IFERROR(WWWW[[#This Row],['#_Household received remediation action due to contamination]]/WWWW[[#This Row],['#_Household water samples tested for contamination]],"no test")</f>
        <v>no test</v>
      </c>
      <c r="BS687" s="712" t="str">
        <f>IF(AND(WWWW[[#This Row],[% of water sources treated]]="no test",WWWW[[#This Row],[% Household received corrective actions]]="no test"),"No Test","Tested")</f>
        <v>No Test</v>
      </c>
      <c r="BT687" s="712">
        <f>WWWW[[#This Row],['#_Constructed/existing protected hand dug well]]-WWWW[[#This Row],['#_Non-functional protected hand dug well]]</f>
        <v>0</v>
      </c>
      <c r="BU687" s="712">
        <f>(WWWW[[#This Row],['#_Constructed/Existing tube wells/boreholes/handpumps_WASH_agency]]+WWWW[[#This Row],['#_Non-Cluster partner water tube-wells/boreholes/handpumps]])-WWWW[[#This Row],['#_Non-functional tube wells/boreholes/handpumps]]</f>
        <v>2</v>
      </c>
      <c r="BV687" s="712">
        <f>WWWW[[#This Row],['#_Constructed/Existingwater storage tank with gravity fed reticulation system]]-WWWW[[#This Row],['#_Non-functional storage tank gravity fed reticulation system]]</f>
        <v>0</v>
      </c>
      <c r="BW687" s="712">
        <f>WWWW[[#This Row],['#_Water boating or water trucking]]</f>
        <v>0</v>
      </c>
      <c r="BX687" s="712">
        <f>WWWW[[#This Row],['#_Constructed/Existing water distribution system from river or natural spring]]</f>
        <v>0</v>
      </c>
      <c r="BY68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7" s="710">
        <f>IF(WWWW[[#This Row],[Location Type 1]]="Village",WWWW[[#This Row],[Access to safe drinking water for Village]],WWWW[[#This Row],[Access to safe drinking water for Camp]])</f>
        <v>1</v>
      </c>
      <c r="CB687" s="708">
        <f>WWWW[[#This Row],[%Equitable and continuous access to sufficient quantity of safe drinking water]]*WWWW[[#This Row],[Total PoP ]]</f>
        <v>165</v>
      </c>
      <c r="CC687" s="710">
        <f>IF((WWWW[[#This Row],['#_Constructed/Existing protected/fenced ponds]]*250)/WWWW[[#This Row],[Total PoP ]]&gt;1,1,(WWWW[[#This Row],['#_Constructed/Existing protected/fenced ponds]]*250)/WWWW[[#This Row],[Total PoP ]])</f>
        <v>0</v>
      </c>
      <c r="CD687" s="708">
        <f>WWWW[[#This Row],[% Access to unimproved water points]]*WWWW[[#This Row],[Total PoP ]]</f>
        <v>0</v>
      </c>
      <c r="CE68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G687" s="708">
        <f>WWWW[[#This Row],[HRP1]]/500</f>
        <v>0.33</v>
      </c>
      <c r="CH687" s="714">
        <f>1-WWWW[[#This Row],[% Equitable and continuous access to sufficient quantity of domestic water]]</f>
        <v>0</v>
      </c>
      <c r="CI687" s="708">
        <f>WWWW[[#This Row],[%equitable and continuous access to sufficient quantity of safe drinking and domestic water''s GAP]]*WWWW[[#This Row],[Total PoP ]]</f>
        <v>0</v>
      </c>
      <c r="CJ687" s="712">
        <f>IF(WWWW[[#This Row],[Total required water points]]-WWWW[[#This Row],['#Water points coverage]]&lt;0,0,WWWW[[#This Row],[Total required water points]]-WWWW[[#This Row],['#Water points coverage]])</f>
        <v>0.66999999999999993</v>
      </c>
      <c r="CK687" s="712">
        <f>ROUND(IF(WWWW[[#This Row],[Total PoP ]]&lt;500,1,WWWW[[#This Row],[Total PoP ]]/500),0)</f>
        <v>1</v>
      </c>
      <c r="CL687" s="712">
        <f>(WWWW[[#This Row],['#_Constructed latrines_by_WASHAgencies]]+WWWW[[#This Row],['#_Non Cluster partner latrines]])-WWWW[[#This Row],['#_Non-functional latrines]]</f>
        <v>5</v>
      </c>
      <c r="CM68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0.60606060606060608</v>
      </c>
      <c r="CN68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v>
      </c>
      <c r="CO68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165</v>
      </c>
      <c r="CP687" s="712">
        <f>IF(WWWW[[#This Row],[Location Type 1]]="Village","NA",IF(WWWW[[#This Row],['#_Constructed/Existing latrines in TLS]]*50&gt;WWWW[[#This Row],['#_students at TLS_CFS]],WWWW[[#This Row],['#_students at TLS_CFS]],(WWWW[[#This Row],['#_Constructed/Existing latrines in TLS]]*50)))</f>
        <v>0</v>
      </c>
      <c r="CQ687" s="712">
        <f>ROUND(IF(WWWW[[#This Row],[Location Type 1]]="camp",WWWW[[#This Row],[Total PoP ]]/20,IF(WWWW[[#This Row],[Location Type 1]]="Temporary Location",WWWW[[#This Row],[Total PoP ]]/50,(WWWW[[#This Row],[Total PoP ]]/6))),0)</f>
        <v>8</v>
      </c>
      <c r="CR687" s="712">
        <f>IF(WWWW[[#This Row],[Total required Latrines]]-(WWWW[[#This Row],['#_Constructed latrines_by_WASHAgencies]]+WWWW[[#This Row],['#_Non Cluster partner latrines]])&lt;0,0,WWWW[[#This Row],[Total required Latrines]]-(WWWW[[#This Row],['#_Constructed latrines_by_WASHAgencies]]+WWWW[[#This Row],['#_Non Cluster partner latrines]]))</f>
        <v>3</v>
      </c>
      <c r="CS687" s="714">
        <f>1-WWWW[[#This Row],[% people access to functioning Latrine]]</f>
        <v>0.39393939393939392</v>
      </c>
      <c r="CT687" s="713">
        <f>IF(OR(WWWW[[#This Row],['#_Non-functional latrines]]="",WWWW[[#This Row],['#_Non-functional latrines]]=0),0,WWWW[[#This Row],['#_Non-functional latrines]]/(WWWW[[#This Row],['#_Constructed latrines_by_WASHAgencies]]+WWWW[[#This Row],['#_Non Cluster partner latrines]]))</f>
        <v>0</v>
      </c>
      <c r="CU687" s="708">
        <f>IF(500*(WWWW[[#This Row],['#_male hygiene promoters]]+WWWW[[#This Row],['#_female hygiene promoters]])&gt;WWWW[[#This Row],[Total PoP ]],WWWW[[#This Row],[Total PoP ]],500*(WWWW[[#This Row],['#_male hygiene promoters]]+WWWW[[#This Row],['#_female hygiene promoters]]))</f>
        <v>165</v>
      </c>
      <c r="CV68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7" s="712">
        <f>IF(WWWW[[#This Row],['# People with access to soap]]&gt;WWWW[[#This Row],['# People with access to Sanity Pads]],WWWW[[#This Row],['# People with access to soap]],WWWW[[#This Row],['# People with access to Sanity Pads]])</f>
        <v>0</v>
      </c>
      <c r="CY687" s="712">
        <f>IF(WWWW[[#This Row],['# people reached by regular dedicated hygiene promotion_5]]&gt;WWWW[[#This Row],['# People received regular supply of hygiene items_6]],WWWW[[#This Row],['# people reached by regular dedicated hygiene promotion_5]],WWWW[[#This Row],['# People received regular supply of hygiene items_6]])</f>
        <v>165</v>
      </c>
      <c r="CZ687" s="714">
        <f>IF(WWWW[[#This Row],[HRP3]]/WWWW[[#This Row],[Total PoP ]]&gt;100%,100%,WWWW[[#This Row],[HRP3]]/WWWW[[#This Row],[Total PoP ]])</f>
        <v>1</v>
      </c>
      <c r="DA687" s="713">
        <f>1-WWWW[[#This Row],[Hygiene Coverage%]]</f>
        <v>0</v>
      </c>
      <c r="DB687" s="710">
        <f>WWWW[[#This Row],['# people reached by regular dedicated hygiene promotion_5]]/WWWW[[#This Row],[Total PoP ]]</f>
        <v>1</v>
      </c>
      <c r="DC687" s="710">
        <f>IF(WWWW[[#This Row],['#_households that received standard amount of soap for this quarter]]/WWWW[[#This Row],[Total HH]]&gt;1,1,WWWW[[#This Row],['#_households that received standard amount of soap for this quarter]]/WWWW[[#This Row],[Total HH]])</f>
        <v>0</v>
      </c>
      <c r="DD687" s="710">
        <f>IF(WWWW[[#This Row],['#_households that received standard amount of sanitary pads for this quarter]]/WWWW[[#This Row],[Total HH]]&gt;1,1,WWWW[[#This Row],['#_households that received standard amount of sanitary pads for this quarter]]/WWWW[[#This Row],[Total HH]])</f>
        <v>0</v>
      </c>
      <c r="DE687" s="712">
        <f>WWWW[[#This Row],['#_Constructed/Existing hand washing stations]]-WWWW[[#This Row],['#_Non-Functional_hand_washing_stations]]</f>
        <v>0</v>
      </c>
      <c r="DF687" s="757">
        <f>IF(WWWW[[#This Row],['# Functional hand washing stations during reporting period]]*20&gt;WWWW[[#This Row],[Total HH]],WWWW[[#This Row],[Total HH]],WWWW[[#This Row],['# Functional hand washing stations during reporting period]]*20)</f>
        <v>0</v>
      </c>
      <c r="DG687" s="708">
        <f>IF(WWWW[[#This Row],[Is sufficient soap available for TLS? (Yes/No)]]="yes",WWWW[[#This Row],['#_Constructed/Existing hand washing stations at TLS]],0)</f>
        <v>0</v>
      </c>
      <c r="DH687" s="759">
        <f>IF(WWWW[[#This Row],['# Functional hand washing stations during reporting period]]*100&gt;WWWW[[#This Row],[Total PoP ]],WWWW[[#This Row],[Total PoP ]],WWWW[[#This Row],['# Functional hand washing stations during reporting period]]*100)</f>
        <v>0</v>
      </c>
      <c r="DI687" s="759" t="str">
        <f>IF(OR(WWWW[[#This Row],['#_students at TLS_CFS]]="",WWWW[[#This Row],['#_students at TLS_CFS]]=0),"No","Yes")</f>
        <v>No</v>
      </c>
      <c r="DJ687" s="711" t="str">
        <f>VLOOKUP(WWWW[[#This Row],[Site Name]],SiteDB6[[Site Name]:[CCCM Management]],6,FALSE)</f>
        <v>Yes</v>
      </c>
      <c r="DK687" s="711" t="str">
        <f>VLOOKUP(WWWW[[#This Row],[Site Name]],SiteDB6[[Site Name]:[CCCM Focal Agency]],7,FALSE)</f>
        <v>KBC-MYT</v>
      </c>
      <c r="DL687" s="711" t="str">
        <f>VLOOKUP(WWWW[[#This Row],[Site Name]],SiteDB6[[Site Name]:[Location Type 1]],9,FALSE)</f>
        <v>Camp</v>
      </c>
      <c r="DM687" s="711" t="str">
        <f>VLOOKUP(WWWW[[#This Row],[Site Name]],SiteDB6[[Site Name]:[Type of Accommodation]],10,FALSE)</f>
        <v>Camp</v>
      </c>
      <c r="DN687" s="711" t="str">
        <f>VLOOKUP(WWWW[[#This Row],[Site Name]],SiteDB6[[Site Name]:[Ethnic or GCA/NGCA]],11,FALSE)</f>
        <v>GCA</v>
      </c>
      <c r="DO687" s="711">
        <f>VLOOKUP(WWWW[[#This Row],[Site Name]],SiteDB6[[Site Name]:[Lat]],12,FALSE)</f>
        <v>25.404752999999999</v>
      </c>
      <c r="DP687" s="711">
        <f>VLOOKUP(WWWW[[#This Row],[Site Name]],SiteDB6[[Site Name]:[Long]],13,FALSE)</f>
        <v>97.377662999999998</v>
      </c>
      <c r="DQ687" s="711" t="str">
        <f>VLOOKUP(WWWW[[#This Row],[Site Name]],SiteDB6[[Site Name]:[Pcode]],3,FALSE)</f>
        <v>MMR001CMP003</v>
      </c>
      <c r="DR687" s="709" t="str">
        <f t="shared" si="26"/>
        <v>Covered</v>
      </c>
      <c r="DS687" s="709"/>
    </row>
    <row r="688" spans="1:123">
      <c r="A688" s="701" t="s">
        <v>2519</v>
      </c>
      <c r="B688" s="701" t="s">
        <v>250</v>
      </c>
      <c r="C688" s="702" t="s">
        <v>250</v>
      </c>
      <c r="D688" s="702" t="s">
        <v>315</v>
      </c>
      <c r="E688" s="702" t="s">
        <v>39</v>
      </c>
      <c r="F688" s="702" t="s">
        <v>167</v>
      </c>
      <c r="G688" s="711" t="str">
        <f>VLOOKUP(WWWW[[#This Row],[Site Name]],SiteDB6[[Site Name]:[Location Type]],8,FALSE)</f>
        <v>Camp</v>
      </c>
      <c r="H688" s="702" t="s">
        <v>275</v>
      </c>
      <c r="I688" s="705">
        <v>16</v>
      </c>
      <c r="J688" s="705">
        <v>77</v>
      </c>
      <c r="K688" s="706">
        <v>43313</v>
      </c>
      <c r="L688" s="707">
        <v>44043</v>
      </c>
      <c r="M688" s="705"/>
      <c r="N688" s="705">
        <v>1</v>
      </c>
      <c r="O688" s="705"/>
      <c r="P688" s="705"/>
      <c r="Q688" s="708" t="s">
        <v>43</v>
      </c>
      <c r="R688" s="705">
        <v>0</v>
      </c>
      <c r="S688" s="705">
        <v>3</v>
      </c>
      <c r="T688" s="807">
        <v>1</v>
      </c>
      <c r="U688" s="705"/>
      <c r="V688" s="705"/>
      <c r="W688" s="705">
        <v>3</v>
      </c>
      <c r="X688" s="705">
        <v>3</v>
      </c>
      <c r="Y688" s="705"/>
      <c r="Z688" s="705"/>
      <c r="AA688" s="705"/>
      <c r="AB688" s="705"/>
      <c r="AC688" s="705"/>
      <c r="AD688" s="705"/>
      <c r="AE688" s="705"/>
      <c r="AF688" s="705"/>
      <c r="AG688" s="705"/>
      <c r="AH688" s="705">
        <v>0</v>
      </c>
      <c r="AI688" s="705"/>
      <c r="AJ688" s="705"/>
      <c r="AK688" s="705"/>
      <c r="AL688" s="705"/>
      <c r="AM688" s="705"/>
      <c r="AN688" s="705"/>
      <c r="AO688" s="709"/>
      <c r="AP688" s="705">
        <v>7</v>
      </c>
      <c r="AQ688" s="705">
        <v>4</v>
      </c>
      <c r="AR688" s="710" t="s">
        <v>3109</v>
      </c>
      <c r="AS688" s="705"/>
      <c r="AT688" s="705"/>
      <c r="AU688" s="705"/>
      <c r="AV688" s="705"/>
      <c r="AW688" s="705"/>
      <c r="AX688" s="711" t="s">
        <v>43</v>
      </c>
      <c r="AY688" s="709" t="s">
        <v>1200</v>
      </c>
      <c r="AZ688" s="705"/>
      <c r="BA688" s="705"/>
      <c r="BB688" s="705"/>
      <c r="BC688" s="711"/>
      <c r="BD688" s="705">
        <v>2</v>
      </c>
      <c r="BE688" s="705"/>
      <c r="BF688" s="705">
        <v>0</v>
      </c>
      <c r="BG688" s="705">
        <v>2</v>
      </c>
      <c r="BH688" s="705"/>
      <c r="BI688" s="705">
        <v>0</v>
      </c>
      <c r="BJ688" s="705">
        <v>0</v>
      </c>
      <c r="BK688" s="705"/>
      <c r="BL688" s="705"/>
      <c r="BM688" s="711" t="s">
        <v>144</v>
      </c>
      <c r="BN688" s="712"/>
      <c r="BO688" s="710">
        <v>0</v>
      </c>
      <c r="BP688" s="711"/>
      <c r="BQ688" s="713" t="str">
        <f>IFERROR(WWWW[[#This Row],['#_Water sources treated]]/WWWW[[#This Row],['#_Water sources tested for contamination]],"no test")</f>
        <v>no test</v>
      </c>
      <c r="BR688" s="710" t="str">
        <f>IFERROR(WWWW[[#This Row],['#_Household received remediation action due to contamination]]/WWWW[[#This Row],['#_Household water samples tested for contamination]],"no test")</f>
        <v>no test</v>
      </c>
      <c r="BS688" s="712" t="str">
        <f>IF(AND(WWWW[[#This Row],[% of water sources treated]]="no test",WWWW[[#This Row],[% Household received corrective actions]]="no test"),"No Test","Tested")</f>
        <v>No Test</v>
      </c>
      <c r="BT688" s="712">
        <f>WWWW[[#This Row],['#_Constructed/existing protected hand dug well]]-WWWW[[#This Row],['#_Non-functional protected hand dug well]]</f>
        <v>1</v>
      </c>
      <c r="BU688" s="712">
        <f>(WWWW[[#This Row],['#_Constructed/Existing tube wells/boreholes/handpumps_WASH_agency]]+WWWW[[#This Row],['#_Non-Cluster partner water tube-wells/boreholes/handpumps]])-WWWW[[#This Row],['#_Non-functional tube wells/boreholes/handpumps]]</f>
        <v>6</v>
      </c>
      <c r="BV688" s="712">
        <f>WWWW[[#This Row],['#_Constructed/Existingwater storage tank with gravity fed reticulation system]]-WWWW[[#This Row],['#_Non-functional storage tank gravity fed reticulation system]]</f>
        <v>0</v>
      </c>
      <c r="BW688" s="712">
        <f>WWWW[[#This Row],['#_Water boating or water trucking]]</f>
        <v>0</v>
      </c>
      <c r="BX688" s="712">
        <f>WWWW[[#This Row],['#_Constructed/Existing water distribution system from river or natural spring]]</f>
        <v>0</v>
      </c>
      <c r="BY68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8" s="710">
        <f>IF(WWWW[[#This Row],[Location Type 1]]="Village",WWWW[[#This Row],[Access to safe drinking water for Village]],WWWW[[#This Row],[Access to safe drinking water for Camp]])</f>
        <v>1</v>
      </c>
      <c r="CB688" s="708">
        <f>WWWW[[#This Row],[%Equitable and continuous access to sufficient quantity of safe drinking water]]*WWWW[[#This Row],[Total PoP ]]</f>
        <v>77</v>
      </c>
      <c r="CC688" s="710">
        <f>IF((WWWW[[#This Row],['#_Constructed/Existing protected/fenced ponds]]*250)/WWWW[[#This Row],[Total PoP ]]&gt;1,1,(WWWW[[#This Row],['#_Constructed/Existing protected/fenced ponds]]*250)/WWWW[[#This Row],[Total PoP ]])</f>
        <v>0</v>
      </c>
      <c r="CD688" s="708">
        <f>WWWW[[#This Row],[% Access to unimproved water points]]*WWWW[[#This Row],[Total PoP ]]</f>
        <v>0</v>
      </c>
      <c r="CE68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G688" s="708">
        <f>WWWW[[#This Row],[HRP1]]/500</f>
        <v>0.154</v>
      </c>
      <c r="CH688" s="714">
        <f>1-WWWW[[#This Row],[% Equitable and continuous access to sufficient quantity of domestic water]]</f>
        <v>0</v>
      </c>
      <c r="CI688" s="708">
        <f>WWWW[[#This Row],[%equitable and continuous access to sufficient quantity of safe drinking and domestic water''s GAP]]*WWWW[[#This Row],[Total PoP ]]</f>
        <v>0</v>
      </c>
      <c r="CJ688" s="712">
        <f>IF(WWWW[[#This Row],[Total required water points]]-WWWW[[#This Row],['#Water points coverage]]&lt;0,0,WWWW[[#This Row],[Total required water points]]-WWWW[[#This Row],['#Water points coverage]])</f>
        <v>0.84599999999999997</v>
      </c>
      <c r="CK688" s="712">
        <f>ROUND(IF(WWWW[[#This Row],[Total PoP ]]&lt;500,1,WWWW[[#This Row],[Total PoP ]]/500),0)</f>
        <v>1</v>
      </c>
      <c r="CL688" s="712">
        <f>(WWWW[[#This Row],['#_Constructed latrines_by_WASHAgencies]]+WWWW[[#This Row],['#_Non Cluster partner latrines]])-WWWW[[#This Row],['#_Non-functional latrines]]</f>
        <v>11</v>
      </c>
      <c r="CM68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8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v>
      </c>
      <c r="CO68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88" s="712">
        <f>IF(WWWW[[#This Row],[Location Type 1]]="Village","NA",IF(WWWW[[#This Row],['#_Constructed/Existing latrines in TLS]]*50&gt;WWWW[[#This Row],['#_students at TLS_CFS]],WWWW[[#This Row],['#_students at TLS_CFS]],(WWWW[[#This Row],['#_Constructed/Existing latrines in TLS]]*50)))</f>
        <v>0</v>
      </c>
      <c r="CQ688" s="712">
        <f>ROUND(IF(WWWW[[#This Row],[Location Type 1]]="camp",WWWW[[#This Row],[Total PoP ]]/20,IF(WWWW[[#This Row],[Location Type 1]]="Temporary Location",WWWW[[#This Row],[Total PoP ]]/50,(WWWW[[#This Row],[Total PoP ]]/6))),0)</f>
        <v>4</v>
      </c>
      <c r="CR688" s="712">
        <f>IF(WWWW[[#This Row],[Total required Latrines]]-(WWWW[[#This Row],['#_Constructed latrines_by_WASHAgencies]]+WWWW[[#This Row],['#_Non Cluster partner latrines]])&lt;0,0,WWWW[[#This Row],[Total required Latrines]]-(WWWW[[#This Row],['#_Constructed latrines_by_WASHAgencies]]+WWWW[[#This Row],['#_Non Cluster partner latrines]]))</f>
        <v>0</v>
      </c>
      <c r="CS688" s="714">
        <f>1-WWWW[[#This Row],[% people access to functioning Latrine]]</f>
        <v>0</v>
      </c>
      <c r="CT688" s="713">
        <f>IF(OR(WWWW[[#This Row],['#_Non-functional latrines]]="",WWWW[[#This Row],['#_Non-functional latrines]]=0),0,WWWW[[#This Row],['#_Non-functional latrines]]/(WWWW[[#This Row],['#_Constructed latrines_by_WASHAgencies]]+WWWW[[#This Row],['#_Non Cluster partner latrines]]))</f>
        <v>0</v>
      </c>
      <c r="CU688" s="708">
        <f>IF(500*(WWWW[[#This Row],['#_male hygiene promoters]]+WWWW[[#This Row],['#_female hygiene promoters]])&gt;WWWW[[#This Row],[Total PoP ]],WWWW[[#This Row],[Total PoP ]],500*(WWWW[[#This Row],['#_male hygiene promoters]]+WWWW[[#This Row],['#_female hygiene promoters]]))</f>
        <v>0</v>
      </c>
      <c r="CV68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8" s="712">
        <f>IF(WWWW[[#This Row],['# People with access to soap]]&gt;WWWW[[#This Row],['# People with access to Sanity Pads]],WWWW[[#This Row],['# People with access to soap]],WWWW[[#This Row],['# People with access to Sanity Pads]])</f>
        <v>0</v>
      </c>
      <c r="CY688"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88" s="714">
        <f>IF(WWWW[[#This Row],[HRP3]]/WWWW[[#This Row],[Total PoP ]]&gt;100%,100%,WWWW[[#This Row],[HRP3]]/WWWW[[#This Row],[Total PoP ]])</f>
        <v>0</v>
      </c>
      <c r="DA688" s="713">
        <f>1-WWWW[[#This Row],[Hygiene Coverage%]]</f>
        <v>1</v>
      </c>
      <c r="DB688" s="710">
        <f>WWWW[[#This Row],['# people reached by regular dedicated hygiene promotion_5]]/WWWW[[#This Row],[Total PoP ]]</f>
        <v>0</v>
      </c>
      <c r="DC688" s="710">
        <f>IF(WWWW[[#This Row],['#_households that received standard amount of soap for this quarter]]/WWWW[[#This Row],[Total HH]]&gt;1,1,WWWW[[#This Row],['#_households that received standard amount of soap for this quarter]]/WWWW[[#This Row],[Total HH]])</f>
        <v>0</v>
      </c>
      <c r="DD688" s="710">
        <f>IF(WWWW[[#This Row],['#_households that received standard amount of sanitary pads for this quarter]]/WWWW[[#This Row],[Total HH]]&gt;1,1,WWWW[[#This Row],['#_households that received standard amount of sanitary pads for this quarter]]/WWWW[[#This Row],[Total HH]])</f>
        <v>0</v>
      </c>
      <c r="DE688" s="712">
        <f>WWWW[[#This Row],['#_Constructed/Existing hand washing stations]]-WWWW[[#This Row],['#_Non-Functional_hand_washing_stations]]</f>
        <v>2</v>
      </c>
      <c r="DF688" s="757">
        <f>IF(WWWW[[#This Row],['# Functional hand washing stations during reporting period]]*20&gt;WWWW[[#This Row],[Total HH]],WWWW[[#This Row],[Total HH]],WWWW[[#This Row],['# Functional hand washing stations during reporting period]]*20)</f>
        <v>16</v>
      </c>
      <c r="DG688" s="708">
        <f>IF(WWWW[[#This Row],[Is sufficient soap available for TLS? (Yes/No)]]="yes",WWWW[[#This Row],['#_Constructed/Existing hand washing stations at TLS]],0)</f>
        <v>0</v>
      </c>
      <c r="DH688" s="759">
        <f>IF(WWWW[[#This Row],['# Functional hand washing stations during reporting period]]*100&gt;WWWW[[#This Row],[Total PoP ]],WWWW[[#This Row],[Total PoP ]],WWWW[[#This Row],['# Functional hand washing stations during reporting period]]*100)</f>
        <v>77</v>
      </c>
      <c r="DI688" s="759" t="str">
        <f>IF(OR(WWWW[[#This Row],['#_students at TLS_CFS]]="",WWWW[[#This Row],['#_students at TLS_CFS]]=0),"No","Yes")</f>
        <v>No</v>
      </c>
      <c r="DJ688" s="711" t="str">
        <f>VLOOKUP(WWWW[[#This Row],[Site Name]],SiteDB6[[Site Name]:[CCCM Management]],6,FALSE)</f>
        <v>Yes</v>
      </c>
      <c r="DK688" s="711" t="str">
        <f>VLOOKUP(WWWW[[#This Row],[Site Name]],SiteDB6[[Site Name]:[CCCM Focal Agency]],7,FALSE)</f>
        <v>Shalom</v>
      </c>
      <c r="DL688" s="711" t="str">
        <f>VLOOKUP(WWWW[[#This Row],[Site Name]],SiteDB6[[Site Name]:[Location Type 1]],9,FALSE)</f>
        <v>Camp</v>
      </c>
      <c r="DM688" s="711" t="str">
        <f>VLOOKUP(WWWW[[#This Row],[Site Name]],SiteDB6[[Site Name]:[Type of Accommodation]],10,FALSE)</f>
        <v>Camp</v>
      </c>
      <c r="DN688" s="711" t="str">
        <f>VLOOKUP(WWWW[[#This Row],[Site Name]],SiteDB6[[Site Name]:[Ethnic or GCA/NGCA]],11,FALSE)</f>
        <v>GCA</v>
      </c>
      <c r="DO688" s="711">
        <f>VLOOKUP(WWWW[[#This Row],[Site Name]],SiteDB6[[Site Name]:[Lat]],12,FALSE)</f>
        <v>25.417733999999999</v>
      </c>
      <c r="DP688" s="711">
        <f>VLOOKUP(WWWW[[#This Row],[Site Name]],SiteDB6[[Site Name]:[Long]],13,FALSE)</f>
        <v>97.389778000000007</v>
      </c>
      <c r="DQ688" s="711" t="str">
        <f>VLOOKUP(WWWW[[#This Row],[Site Name]],SiteDB6[[Site Name]:[Pcode]],3,FALSE)</f>
        <v>MMR001CMP004</v>
      </c>
      <c r="DR688" s="709" t="str">
        <f t="shared" si="26"/>
        <v>Covered</v>
      </c>
      <c r="DS688" s="709"/>
    </row>
    <row r="689" spans="1:123">
      <c r="A689" s="701" t="s">
        <v>2519</v>
      </c>
      <c r="B689" s="701" t="s">
        <v>149</v>
      </c>
      <c r="C689" s="702" t="s">
        <v>149</v>
      </c>
      <c r="D689" s="702" t="s">
        <v>3268</v>
      </c>
      <c r="E689" s="702" t="s">
        <v>39</v>
      </c>
      <c r="F689" s="702" t="s">
        <v>167</v>
      </c>
      <c r="G689" s="711" t="str">
        <f>VLOOKUP(WWWW[[#This Row],[Site Name]],SiteDB6[[Site Name]:[Location Type]],8,FALSE)</f>
        <v>Camp</v>
      </c>
      <c r="H689" s="702" t="s">
        <v>180</v>
      </c>
      <c r="I689" s="705">
        <v>43</v>
      </c>
      <c r="J689" s="705">
        <v>219</v>
      </c>
      <c r="K689" s="593" t="s">
        <v>3276</v>
      </c>
      <c r="L689" s="58" t="s">
        <v>3277</v>
      </c>
      <c r="M689" s="705"/>
      <c r="N689" s="705"/>
      <c r="O689" s="705"/>
      <c r="P689" s="705"/>
      <c r="Q689" s="708" t="s">
        <v>43</v>
      </c>
      <c r="R689" s="705"/>
      <c r="S689" s="705"/>
      <c r="T689" s="807">
        <v>0</v>
      </c>
      <c r="U689" s="705"/>
      <c r="V689" s="705"/>
      <c r="W689" s="705">
        <v>2</v>
      </c>
      <c r="X689" s="705"/>
      <c r="Y689" s="705"/>
      <c r="Z689" s="705"/>
      <c r="AA689" s="705"/>
      <c r="AB689" s="705"/>
      <c r="AC689" s="705"/>
      <c r="AD689" s="705"/>
      <c r="AE689" s="705"/>
      <c r="AF689" s="705"/>
      <c r="AG689" s="705"/>
      <c r="AH689" s="705">
        <v>3</v>
      </c>
      <c r="AI689" s="705"/>
      <c r="AJ689" s="705"/>
      <c r="AK689" s="705"/>
      <c r="AL689" s="705"/>
      <c r="AM689" s="705"/>
      <c r="AN689" s="705"/>
      <c r="AO689" s="709"/>
      <c r="AP689" s="705">
        <v>13</v>
      </c>
      <c r="AQ689" s="705"/>
      <c r="AR689" s="710"/>
      <c r="AS689" s="705"/>
      <c r="AT689" s="705"/>
      <c r="AU689" s="705">
        <v>7</v>
      </c>
      <c r="AV689" s="705"/>
      <c r="AW689" s="705">
        <v>13</v>
      </c>
      <c r="AX689" s="711" t="s">
        <v>43</v>
      </c>
      <c r="AY689" s="709" t="s">
        <v>145</v>
      </c>
      <c r="AZ689" s="705"/>
      <c r="BA689" s="705"/>
      <c r="BB689" s="705"/>
      <c r="BC689" s="711"/>
      <c r="BD689" s="705"/>
      <c r="BE689" s="705"/>
      <c r="BF689" s="705"/>
      <c r="BG689" s="705">
        <v>3</v>
      </c>
      <c r="BH689" s="705"/>
      <c r="BI689" s="705"/>
      <c r="BJ689" s="705">
        <v>1</v>
      </c>
      <c r="BK689" s="705"/>
      <c r="BL689" s="705"/>
      <c r="BM689" s="711"/>
      <c r="BN689" s="712"/>
      <c r="BO689" s="710"/>
      <c r="BP689" s="711"/>
      <c r="BQ689" s="713" t="str">
        <f>IFERROR(WWWW[[#This Row],['#_Water sources treated]]/WWWW[[#This Row],['#_Water sources tested for contamination]],"no test")</f>
        <v>no test</v>
      </c>
      <c r="BR689" s="710" t="str">
        <f>IFERROR(WWWW[[#This Row],['#_Household received remediation action due to contamination]]/WWWW[[#This Row],['#_Household water samples tested for contamination]],"no test")</f>
        <v>no test</v>
      </c>
      <c r="BS689" s="712" t="str">
        <f>IF(AND(WWWW[[#This Row],[% of water sources treated]]="no test",WWWW[[#This Row],[% Household received corrective actions]]="no test"),"No Test","Tested")</f>
        <v>No Test</v>
      </c>
      <c r="BT689" s="712">
        <f>WWWW[[#This Row],['#_Constructed/existing protected hand dug well]]-WWWW[[#This Row],['#_Non-functional protected hand dug well]]</f>
        <v>0</v>
      </c>
      <c r="BU689" s="712">
        <f>(WWWW[[#This Row],['#_Constructed/Existing tube wells/boreholes/handpumps_WASH_agency]]+WWWW[[#This Row],['#_Non-Cluster partner water tube-wells/boreholes/handpumps]])-WWWW[[#This Row],['#_Non-functional tube wells/boreholes/handpumps]]</f>
        <v>2</v>
      </c>
      <c r="BV689" s="712">
        <f>WWWW[[#This Row],['#_Constructed/Existingwater storage tank with gravity fed reticulation system]]-WWWW[[#This Row],['#_Non-functional storage tank gravity fed reticulation system]]</f>
        <v>0</v>
      </c>
      <c r="BW689" s="712">
        <f>WWWW[[#This Row],['#_Water boating or water trucking]]</f>
        <v>0</v>
      </c>
      <c r="BX689" s="712">
        <f>WWWW[[#This Row],['#_Constructed/Existing water distribution system from river or natural spring]]</f>
        <v>0</v>
      </c>
      <c r="BY68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8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89" s="710">
        <f>IF(WWWW[[#This Row],[Location Type 1]]="Village",WWWW[[#This Row],[Access to safe drinking water for Village]],WWWW[[#This Row],[Access to safe drinking water for Camp]])</f>
        <v>1</v>
      </c>
      <c r="CB689" s="708">
        <f>WWWW[[#This Row],[%Equitable and continuous access to sufficient quantity of safe drinking water]]*WWWW[[#This Row],[Total PoP ]]</f>
        <v>219</v>
      </c>
      <c r="CC689" s="710">
        <f>IF((WWWW[[#This Row],['#_Constructed/Existing protected/fenced ponds]]*250)/WWWW[[#This Row],[Total PoP ]]&gt;1,1,(WWWW[[#This Row],['#_Constructed/Existing protected/fenced ponds]]*250)/WWWW[[#This Row],[Total PoP ]])</f>
        <v>0</v>
      </c>
      <c r="CD689" s="708">
        <f>WWWW[[#This Row],[% Access to unimproved water points]]*WWWW[[#This Row],[Total PoP ]]</f>
        <v>0</v>
      </c>
      <c r="CE68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8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G689" s="708">
        <f>WWWW[[#This Row],[HRP1]]/500</f>
        <v>0.438</v>
      </c>
      <c r="CH689" s="714">
        <f>1-WWWW[[#This Row],[% Equitable and continuous access to sufficient quantity of domestic water]]</f>
        <v>0</v>
      </c>
      <c r="CI689" s="708">
        <f>WWWW[[#This Row],[%equitable and continuous access to sufficient quantity of safe drinking and domestic water''s GAP]]*WWWW[[#This Row],[Total PoP ]]</f>
        <v>0</v>
      </c>
      <c r="CJ689" s="712">
        <f>IF(WWWW[[#This Row],[Total required water points]]-WWWW[[#This Row],['#Water points coverage]]&lt;0,0,WWWW[[#This Row],[Total required water points]]-WWWW[[#This Row],['#Water points coverage]])</f>
        <v>0.56200000000000006</v>
      </c>
      <c r="CK689" s="712">
        <f>ROUND(IF(WWWW[[#This Row],[Total PoP ]]&lt;500,1,WWWW[[#This Row],[Total PoP ]]/500),0)</f>
        <v>1</v>
      </c>
      <c r="CL689" s="712">
        <f>(WWWW[[#This Row],['#_Constructed latrines_by_WASHAgencies]]+WWWW[[#This Row],['#_Non Cluster partner latrines]])-WWWW[[#This Row],['#_Non-functional latrines]]</f>
        <v>13</v>
      </c>
      <c r="CM68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8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219</v>
      </c>
      <c r="CO68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689" s="712">
        <f>IF(WWWW[[#This Row],[Location Type 1]]="Village","NA",IF(WWWW[[#This Row],['#_Constructed/Existing latrines in TLS]]*50&gt;WWWW[[#This Row],['#_students at TLS_CFS]],WWWW[[#This Row],['#_students at TLS_CFS]],(WWWW[[#This Row],['#_Constructed/Existing latrines in TLS]]*50)))</f>
        <v>0</v>
      </c>
      <c r="CQ689" s="712">
        <f>ROUND(IF(WWWW[[#This Row],[Location Type 1]]="camp",WWWW[[#This Row],[Total PoP ]]/20,IF(WWWW[[#This Row],[Location Type 1]]="Temporary Location",WWWW[[#This Row],[Total PoP ]]/50,(WWWW[[#This Row],[Total PoP ]]/6))),0)</f>
        <v>11</v>
      </c>
      <c r="CR689" s="712">
        <f>IF(WWWW[[#This Row],[Total required Latrines]]-(WWWW[[#This Row],['#_Constructed latrines_by_WASHAgencies]]+WWWW[[#This Row],['#_Non Cluster partner latrines]])&lt;0,0,WWWW[[#This Row],[Total required Latrines]]-(WWWW[[#This Row],['#_Constructed latrines_by_WASHAgencies]]+WWWW[[#This Row],['#_Non Cluster partner latrines]]))</f>
        <v>0</v>
      </c>
      <c r="CS689" s="714">
        <f>1-WWWW[[#This Row],[% people access to functioning Latrine]]</f>
        <v>0</v>
      </c>
      <c r="CT689" s="713">
        <f>IF(OR(WWWW[[#This Row],['#_Non-functional latrines]]="",WWWW[[#This Row],['#_Non-functional latrines]]=0),0,WWWW[[#This Row],['#_Non-functional latrines]]/(WWWW[[#This Row],['#_Constructed latrines_by_WASHAgencies]]+WWWW[[#This Row],['#_Non Cluster partner latrines]]))</f>
        <v>0</v>
      </c>
      <c r="CU689" s="708">
        <f>IF(500*(WWWW[[#This Row],['#_male hygiene promoters]]+WWWW[[#This Row],['#_female hygiene promoters]])&gt;WWWW[[#This Row],[Total PoP ]],WWWW[[#This Row],[Total PoP ]],500*(WWWW[[#This Row],['#_male hygiene promoters]]+WWWW[[#This Row],['#_female hygiene promoters]]))</f>
        <v>219</v>
      </c>
      <c r="CV68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8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89" s="712">
        <f>IF(WWWW[[#This Row],['# People with access to soap]]&gt;WWWW[[#This Row],['# People with access to Sanity Pads]],WWWW[[#This Row],['# People with access to soap]],WWWW[[#This Row],['# People with access to Sanity Pads]])</f>
        <v>0</v>
      </c>
      <c r="CY689" s="712">
        <f>IF(WWWW[[#This Row],['# people reached by regular dedicated hygiene promotion_5]]&gt;WWWW[[#This Row],['# People received regular supply of hygiene items_6]],WWWW[[#This Row],['# people reached by regular dedicated hygiene promotion_5]],WWWW[[#This Row],['# People received regular supply of hygiene items_6]])</f>
        <v>219</v>
      </c>
      <c r="CZ689" s="714">
        <f>IF(WWWW[[#This Row],[HRP3]]/WWWW[[#This Row],[Total PoP ]]&gt;100%,100%,WWWW[[#This Row],[HRP3]]/WWWW[[#This Row],[Total PoP ]])</f>
        <v>1</v>
      </c>
      <c r="DA689" s="713">
        <f>1-WWWW[[#This Row],[Hygiene Coverage%]]</f>
        <v>0</v>
      </c>
      <c r="DB689" s="710">
        <f>WWWW[[#This Row],['# people reached by regular dedicated hygiene promotion_5]]/WWWW[[#This Row],[Total PoP ]]</f>
        <v>1</v>
      </c>
      <c r="DC689" s="710">
        <f>IF(WWWW[[#This Row],['#_households that received standard amount of soap for this quarter]]/WWWW[[#This Row],[Total HH]]&gt;1,1,WWWW[[#This Row],['#_households that received standard amount of soap for this quarter]]/WWWW[[#This Row],[Total HH]])</f>
        <v>0</v>
      </c>
      <c r="DD689" s="710">
        <f>IF(WWWW[[#This Row],['#_households that received standard amount of sanitary pads for this quarter]]/WWWW[[#This Row],[Total HH]]&gt;1,1,WWWW[[#This Row],['#_households that received standard amount of sanitary pads for this quarter]]/WWWW[[#This Row],[Total HH]])</f>
        <v>0</v>
      </c>
      <c r="DE689" s="712">
        <f>WWWW[[#This Row],['#_Constructed/Existing hand washing stations]]-WWWW[[#This Row],['#_Non-Functional_hand_washing_stations]]</f>
        <v>0</v>
      </c>
      <c r="DF689" s="757">
        <f>IF(WWWW[[#This Row],['# Functional hand washing stations during reporting period]]*20&gt;WWWW[[#This Row],[Total HH]],WWWW[[#This Row],[Total HH]],WWWW[[#This Row],['# Functional hand washing stations during reporting period]]*20)</f>
        <v>0</v>
      </c>
      <c r="DG689" s="708">
        <f>IF(WWWW[[#This Row],[Is sufficient soap available for TLS? (Yes/No)]]="yes",WWWW[[#This Row],['#_Constructed/Existing hand washing stations at TLS]],0)</f>
        <v>0</v>
      </c>
      <c r="DH689" s="759">
        <f>IF(WWWW[[#This Row],['# Functional hand washing stations during reporting period]]*100&gt;WWWW[[#This Row],[Total PoP ]],WWWW[[#This Row],[Total PoP ]],WWWW[[#This Row],['# Functional hand washing stations during reporting period]]*100)</f>
        <v>0</v>
      </c>
      <c r="DI689" s="759" t="str">
        <f>IF(OR(WWWW[[#This Row],['#_students at TLS_CFS]]="",WWWW[[#This Row],['#_students at TLS_CFS]]=0),"No","Yes")</f>
        <v>No</v>
      </c>
      <c r="DJ689" s="711" t="str">
        <f>VLOOKUP(WWWW[[#This Row],[Site Name]],SiteDB6[[Site Name]:[CCCM Management]],6,FALSE)</f>
        <v>Yes</v>
      </c>
      <c r="DK689" s="711" t="str">
        <f>VLOOKUP(WWWW[[#This Row],[Site Name]],SiteDB6[[Site Name]:[CCCM Focal Agency]],7,FALSE)</f>
        <v>KBC-MYT</v>
      </c>
      <c r="DL689" s="711" t="str">
        <f>VLOOKUP(WWWW[[#This Row],[Site Name]],SiteDB6[[Site Name]:[Location Type 1]],9,FALSE)</f>
        <v>Camp</v>
      </c>
      <c r="DM689" s="711" t="str">
        <f>VLOOKUP(WWWW[[#This Row],[Site Name]],SiteDB6[[Site Name]:[Type of Accommodation]],10,FALSE)</f>
        <v>Camp</v>
      </c>
      <c r="DN689" s="711" t="str">
        <f>VLOOKUP(WWWW[[#This Row],[Site Name]],SiteDB6[[Site Name]:[Ethnic or GCA/NGCA]],11,FALSE)</f>
        <v>GCA</v>
      </c>
      <c r="DO689" s="711">
        <f>VLOOKUP(WWWW[[#This Row],[Site Name]],SiteDB6[[Site Name]:[Lat]],12,FALSE)</f>
        <v>25.404015000000001</v>
      </c>
      <c r="DP689" s="711">
        <f>VLOOKUP(WWWW[[#This Row],[Site Name]],SiteDB6[[Site Name]:[Long]],13,FALSE)</f>
        <v>97.382192000000003</v>
      </c>
      <c r="DQ689" s="711" t="str">
        <f>VLOOKUP(WWWW[[#This Row],[Site Name]],SiteDB6[[Site Name]:[Pcode]],3,FALSE)</f>
        <v>MMR001CMP005</v>
      </c>
      <c r="DR689" s="709" t="str">
        <f t="shared" si="26"/>
        <v>Covered</v>
      </c>
      <c r="DS689" s="709"/>
    </row>
    <row r="690" spans="1:123">
      <c r="A690" s="701" t="s">
        <v>2519</v>
      </c>
      <c r="B690" s="701" t="s">
        <v>317</v>
      </c>
      <c r="C690" s="702" t="s">
        <v>317</v>
      </c>
      <c r="D690" s="702"/>
      <c r="E690" s="702" t="s">
        <v>39</v>
      </c>
      <c r="F690" s="702" t="s">
        <v>1153</v>
      </c>
      <c r="G690" s="711" t="str">
        <f>VLOOKUP(WWWW[[#This Row],[Site Name]],SiteDB6[[Site Name]:[Location Type]],8,FALSE)</f>
        <v>Camp</v>
      </c>
      <c r="H690" s="702" t="s">
        <v>2195</v>
      </c>
      <c r="I690" s="705">
        <v>127</v>
      </c>
      <c r="J690" s="705">
        <v>450</v>
      </c>
      <c r="K690" s="706"/>
      <c r="L690" s="707"/>
      <c r="M690" s="705"/>
      <c r="N690" s="705"/>
      <c r="O690" s="705"/>
      <c r="P690" s="705"/>
      <c r="Q690" s="708"/>
      <c r="R690" s="705"/>
      <c r="S690" s="705"/>
      <c r="T690" s="807"/>
      <c r="U690" s="705"/>
      <c r="V690" s="705"/>
      <c r="W690" s="705"/>
      <c r="X690" s="705"/>
      <c r="Y690" s="705"/>
      <c r="Z690" s="705"/>
      <c r="AA690" s="705"/>
      <c r="AB690" s="705"/>
      <c r="AC690" s="705"/>
      <c r="AD690" s="705"/>
      <c r="AE690" s="705"/>
      <c r="AF690" s="705"/>
      <c r="AG690" s="705"/>
      <c r="AH690" s="705"/>
      <c r="AI690" s="705"/>
      <c r="AJ690" s="705"/>
      <c r="AK690" s="705"/>
      <c r="AL690" s="705"/>
      <c r="AM690" s="705"/>
      <c r="AN690" s="705"/>
      <c r="AO690" s="709"/>
      <c r="AP690" s="705"/>
      <c r="AQ690" s="705"/>
      <c r="AR690" s="710"/>
      <c r="AS690" s="705"/>
      <c r="AT690" s="705"/>
      <c r="AU690" s="705"/>
      <c r="AV690" s="705"/>
      <c r="AW690" s="705"/>
      <c r="AX690" s="711"/>
      <c r="AY690" s="709"/>
      <c r="AZ690" s="705"/>
      <c r="BA690" s="705"/>
      <c r="BB690" s="705"/>
      <c r="BC690" s="711"/>
      <c r="BD690" s="705"/>
      <c r="BE690" s="705"/>
      <c r="BF690" s="705"/>
      <c r="BG690" s="705"/>
      <c r="BH690" s="705"/>
      <c r="BI690" s="705"/>
      <c r="BJ690" s="705"/>
      <c r="BK690" s="705"/>
      <c r="BL690" s="705"/>
      <c r="BM690" s="711"/>
      <c r="BN690" s="712"/>
      <c r="BO690" s="710"/>
      <c r="BP690" s="711"/>
      <c r="BQ690" s="713" t="str">
        <f>IFERROR(WWWW[[#This Row],['#_Water sources treated]]/WWWW[[#This Row],['#_Water sources tested for contamination]],"no test")</f>
        <v>no test</v>
      </c>
      <c r="BR690" s="710" t="str">
        <f>IFERROR(WWWW[[#This Row],['#_Household received remediation action due to contamination]]/WWWW[[#This Row],['#_Household water samples tested for contamination]],"no test")</f>
        <v>no test</v>
      </c>
      <c r="BS690" s="712" t="str">
        <f>IF(AND(WWWW[[#This Row],[% of water sources treated]]="no test",WWWW[[#This Row],[% Household received corrective actions]]="no test"),"No Test","Tested")</f>
        <v>No Test</v>
      </c>
      <c r="BT690" s="712">
        <f>WWWW[[#This Row],['#_Constructed/existing protected hand dug well]]-WWWW[[#This Row],['#_Non-functional protected hand dug well]]</f>
        <v>0</v>
      </c>
      <c r="BU690" s="712">
        <f>(WWWW[[#This Row],['#_Constructed/Existing tube wells/boreholes/handpumps_WASH_agency]]+WWWW[[#This Row],['#_Non-Cluster partner water tube-wells/boreholes/handpumps]])-WWWW[[#This Row],['#_Non-functional tube wells/boreholes/handpumps]]</f>
        <v>0</v>
      </c>
      <c r="BV690" s="712">
        <f>WWWW[[#This Row],['#_Constructed/Existingwater storage tank with gravity fed reticulation system]]-WWWW[[#This Row],['#_Non-functional storage tank gravity fed reticulation system]]</f>
        <v>0</v>
      </c>
      <c r="BW690" s="712">
        <f>WWWW[[#This Row],['#_Water boating or water trucking]]</f>
        <v>0</v>
      </c>
      <c r="BX690" s="712">
        <f>WWWW[[#This Row],['#_Constructed/Existing water distribution system from river or natural spring]]</f>
        <v>0</v>
      </c>
      <c r="BY69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9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90" s="710">
        <f>IF(WWWW[[#This Row],[Location Type 1]]="Village",WWWW[[#This Row],[Access to safe drinking water for Village]],WWWW[[#This Row],[Access to safe drinking water for Camp]])</f>
        <v>0</v>
      </c>
      <c r="CB690" s="708">
        <f>WWWW[[#This Row],[%Equitable and continuous access to sufficient quantity of safe drinking water]]*WWWW[[#This Row],[Total PoP ]]</f>
        <v>0</v>
      </c>
      <c r="CC690" s="710">
        <f>IF((WWWW[[#This Row],['#_Constructed/Existing protected/fenced ponds]]*250)/WWWW[[#This Row],[Total PoP ]]&gt;1,1,(WWWW[[#This Row],['#_Constructed/Existing protected/fenced ponds]]*250)/WWWW[[#This Row],[Total PoP ]])</f>
        <v>0</v>
      </c>
      <c r="CD690" s="708">
        <f>WWWW[[#This Row],[% Access to unimproved water points]]*WWWW[[#This Row],[Total PoP ]]</f>
        <v>0</v>
      </c>
      <c r="CE69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9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90" s="708">
        <f>WWWW[[#This Row],[HRP1]]/500</f>
        <v>0</v>
      </c>
      <c r="CH690" s="714">
        <f>1-WWWW[[#This Row],[% Equitable and continuous access to sufficient quantity of domestic water]]</f>
        <v>1</v>
      </c>
      <c r="CI690" s="708">
        <f>WWWW[[#This Row],[%equitable and continuous access to sufficient quantity of safe drinking and domestic water''s GAP]]*WWWW[[#This Row],[Total PoP ]]</f>
        <v>450</v>
      </c>
      <c r="CJ690" s="712">
        <f>IF(WWWW[[#This Row],[Total required water points]]-WWWW[[#This Row],['#Water points coverage]]&lt;0,0,WWWW[[#This Row],[Total required water points]]-WWWW[[#This Row],['#Water points coverage]])</f>
        <v>1</v>
      </c>
      <c r="CK690" s="712">
        <f>ROUND(IF(WWWW[[#This Row],[Total PoP ]]&lt;500,1,WWWW[[#This Row],[Total PoP ]]/500),0)</f>
        <v>1</v>
      </c>
      <c r="CL690" s="712">
        <f>(WWWW[[#This Row],['#_Constructed latrines_by_WASHAgencies]]+WWWW[[#This Row],['#_Non Cluster partner latrines]])-WWWW[[#This Row],['#_Non-functional latrines]]</f>
        <v>0</v>
      </c>
      <c r="CM69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9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9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0" s="712">
        <f>IF(WWWW[[#This Row],[Location Type 1]]="Village","NA",IF(WWWW[[#This Row],['#_Constructed/Existing latrines in TLS]]*50&gt;WWWW[[#This Row],['#_students at TLS_CFS]],WWWW[[#This Row],['#_students at TLS_CFS]],(WWWW[[#This Row],['#_Constructed/Existing latrines in TLS]]*50)))</f>
        <v>0</v>
      </c>
      <c r="CQ690" s="712">
        <f>ROUND(IF(WWWW[[#This Row],[Location Type 1]]="camp",WWWW[[#This Row],[Total PoP ]]/20,IF(WWWW[[#This Row],[Location Type 1]]="Temporary Location",WWWW[[#This Row],[Total PoP ]]/50,(WWWW[[#This Row],[Total PoP ]]/6))),0)</f>
        <v>23</v>
      </c>
      <c r="CR690" s="712">
        <f>IF(WWWW[[#This Row],[Total required Latrines]]-(WWWW[[#This Row],['#_Constructed latrines_by_WASHAgencies]]+WWWW[[#This Row],['#_Non Cluster partner latrines]])&lt;0,0,WWWW[[#This Row],[Total required Latrines]]-(WWWW[[#This Row],['#_Constructed latrines_by_WASHAgencies]]+WWWW[[#This Row],['#_Non Cluster partner latrines]]))</f>
        <v>23</v>
      </c>
      <c r="CS690" s="714">
        <f>1-WWWW[[#This Row],[% people access to functioning Latrine]]</f>
        <v>1</v>
      </c>
      <c r="CT690" s="713">
        <f>IF(OR(WWWW[[#This Row],['#_Non-functional latrines]]="",WWWW[[#This Row],['#_Non-functional latrines]]=0),0,WWWW[[#This Row],['#_Non-functional latrines]]/(WWWW[[#This Row],['#_Constructed latrines_by_WASHAgencies]]+WWWW[[#This Row],['#_Non Cluster partner latrines]]))</f>
        <v>0</v>
      </c>
      <c r="CU690" s="708">
        <f>IF(500*(WWWW[[#This Row],['#_male hygiene promoters]]+WWWW[[#This Row],['#_female hygiene promoters]])&gt;WWWW[[#This Row],[Total PoP ]],WWWW[[#This Row],[Total PoP ]],500*(WWWW[[#This Row],['#_male hygiene promoters]]+WWWW[[#This Row],['#_female hygiene promoters]]))</f>
        <v>0</v>
      </c>
      <c r="CV69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0" s="712">
        <f>IF(WWWW[[#This Row],['# People with access to soap]]&gt;WWWW[[#This Row],['# People with access to Sanity Pads]],WWWW[[#This Row],['# People with access to soap]],WWWW[[#This Row],['# People with access to Sanity Pads]])</f>
        <v>0</v>
      </c>
      <c r="CY69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90" s="714">
        <f>IF(WWWW[[#This Row],[HRP3]]/WWWW[[#This Row],[Total PoP ]]&gt;100%,100%,WWWW[[#This Row],[HRP3]]/WWWW[[#This Row],[Total PoP ]])</f>
        <v>0</v>
      </c>
      <c r="DA690" s="713">
        <f>1-WWWW[[#This Row],[Hygiene Coverage%]]</f>
        <v>1</v>
      </c>
      <c r="DB690" s="710">
        <f>WWWW[[#This Row],['# people reached by regular dedicated hygiene promotion_5]]/WWWW[[#This Row],[Total PoP ]]</f>
        <v>0</v>
      </c>
      <c r="DC690" s="710">
        <f>IF(WWWW[[#This Row],['#_households that received standard amount of soap for this quarter]]/WWWW[[#This Row],[Total HH]]&gt;1,1,WWWW[[#This Row],['#_households that received standard amount of soap for this quarter]]/WWWW[[#This Row],[Total HH]])</f>
        <v>0</v>
      </c>
      <c r="DD690" s="710">
        <f>IF(WWWW[[#This Row],['#_households that received standard amount of sanitary pads for this quarter]]/WWWW[[#This Row],[Total HH]]&gt;1,1,WWWW[[#This Row],['#_households that received standard amount of sanitary pads for this quarter]]/WWWW[[#This Row],[Total HH]])</f>
        <v>0</v>
      </c>
      <c r="DE690" s="712">
        <f>WWWW[[#This Row],['#_Constructed/Existing hand washing stations]]-WWWW[[#This Row],['#_Non-Functional_hand_washing_stations]]</f>
        <v>0</v>
      </c>
      <c r="DF690" s="757">
        <f>IF(WWWW[[#This Row],['# Functional hand washing stations during reporting period]]*20&gt;WWWW[[#This Row],[Total HH]],WWWW[[#This Row],[Total HH]],WWWW[[#This Row],['# Functional hand washing stations during reporting period]]*20)</f>
        <v>0</v>
      </c>
      <c r="DG690" s="708">
        <f>IF(WWWW[[#This Row],[Is sufficient soap available for TLS? (Yes/No)]]="yes",WWWW[[#This Row],['#_Constructed/Existing hand washing stations at TLS]],0)</f>
        <v>0</v>
      </c>
      <c r="DH690" s="759">
        <f>IF(WWWW[[#This Row],['# Functional hand washing stations during reporting period]]*100&gt;WWWW[[#This Row],[Total PoP ]],WWWW[[#This Row],[Total PoP ]],WWWW[[#This Row],['# Functional hand washing stations during reporting period]]*100)</f>
        <v>0</v>
      </c>
      <c r="DI690" s="759" t="str">
        <f>IF(OR(WWWW[[#This Row],['#_students at TLS_CFS]]="",WWWW[[#This Row],['#_students at TLS_CFS]]=0),"No","Yes")</f>
        <v>No</v>
      </c>
      <c r="DJ690" s="711" t="str">
        <f>VLOOKUP(WWWW[[#This Row],[Site Name]],SiteDB6[[Site Name]:[CCCM Management]],6,FALSE)</f>
        <v>Yes</v>
      </c>
      <c r="DK690" s="711" t="str">
        <f>VLOOKUP(WWWW[[#This Row],[Site Name]],SiteDB6[[Site Name]:[CCCM Focal Agency]],7,FALSE)</f>
        <v>KBC-MYT</v>
      </c>
      <c r="DL690" s="711" t="str">
        <f>VLOOKUP(WWWW[[#This Row],[Site Name]],SiteDB6[[Site Name]:[Location Type 1]],9,FALSE)</f>
        <v>Camp</v>
      </c>
      <c r="DM690" s="711" t="str">
        <f>VLOOKUP(WWWW[[#This Row],[Site Name]],SiteDB6[[Site Name]:[Type of Accommodation]],10,FALSE)</f>
        <v>Camp</v>
      </c>
      <c r="DN690" s="711" t="str">
        <f>VLOOKUP(WWWW[[#This Row],[Site Name]],SiteDB6[[Site Name]:[Ethnic or GCA/NGCA]],11,FALSE)</f>
        <v>GCA</v>
      </c>
      <c r="DO690" s="711">
        <f>VLOOKUP(WWWW[[#This Row],[Site Name]],SiteDB6[[Site Name]:[Lat]],12,FALSE)</f>
        <v>0</v>
      </c>
      <c r="DP690" s="711">
        <f>VLOOKUP(WWWW[[#This Row],[Site Name]],SiteDB6[[Site Name]:[Long]],13,FALSE)</f>
        <v>0</v>
      </c>
      <c r="DQ690" s="711" t="str">
        <f>VLOOKUP(WWWW[[#This Row],[Site Name]],SiteDB6[[Site Name]:[Pcode]],3,FALSE)</f>
        <v>MMR001CMP253</v>
      </c>
      <c r="DR690" s="709" t="str">
        <f t="shared" si="26"/>
        <v>Notcovered</v>
      </c>
      <c r="DS690" s="709"/>
    </row>
    <row r="691" spans="1:123">
      <c r="A691" s="701" t="s">
        <v>2519</v>
      </c>
      <c r="B691" s="701" t="s">
        <v>250</v>
      </c>
      <c r="C691" s="702" t="s">
        <v>250</v>
      </c>
      <c r="D691" s="702" t="s">
        <v>315</v>
      </c>
      <c r="E691" s="702" t="s">
        <v>39</v>
      </c>
      <c r="F691" s="702" t="s">
        <v>150</v>
      </c>
      <c r="G691" s="711" t="str">
        <f>VLOOKUP(WWWW[[#This Row],[Site Name]],SiteDB6[[Site Name]:[Location Type]],8,FALSE)</f>
        <v>Camp</v>
      </c>
      <c r="H691" s="702" t="s">
        <v>282</v>
      </c>
      <c r="I691" s="705">
        <v>45</v>
      </c>
      <c r="J691" s="705">
        <v>186</v>
      </c>
      <c r="K691" s="706">
        <v>43313</v>
      </c>
      <c r="L691" s="707">
        <v>44043</v>
      </c>
      <c r="M691" s="705"/>
      <c r="N691" s="705">
        <v>1</v>
      </c>
      <c r="O691" s="705">
        <v>0</v>
      </c>
      <c r="P691" s="705">
        <v>0</v>
      </c>
      <c r="Q691" s="708" t="s">
        <v>43</v>
      </c>
      <c r="R691" s="705">
        <v>0</v>
      </c>
      <c r="S691" s="705">
        <v>5</v>
      </c>
      <c r="T691" s="807">
        <v>1</v>
      </c>
      <c r="U691" s="705"/>
      <c r="V691" s="705"/>
      <c r="W691" s="705">
        <v>0</v>
      </c>
      <c r="X691" s="705">
        <v>1</v>
      </c>
      <c r="Y691" s="705"/>
      <c r="Z691" s="705"/>
      <c r="AA691" s="705">
        <v>0</v>
      </c>
      <c r="AB691" s="705"/>
      <c r="AC691" s="705"/>
      <c r="AD691" s="705">
        <v>0</v>
      </c>
      <c r="AE691" s="705">
        <v>0</v>
      </c>
      <c r="AF691" s="705">
        <v>0</v>
      </c>
      <c r="AG691" s="705">
        <v>0</v>
      </c>
      <c r="AH691" s="705">
        <v>0</v>
      </c>
      <c r="AI691" s="705"/>
      <c r="AJ691" s="705"/>
      <c r="AK691" s="705"/>
      <c r="AL691" s="705"/>
      <c r="AM691" s="705">
        <v>0</v>
      </c>
      <c r="AN691" s="705">
        <v>0</v>
      </c>
      <c r="AO691" s="709"/>
      <c r="AP691" s="705">
        <v>0</v>
      </c>
      <c r="AQ691" s="705">
        <v>7</v>
      </c>
      <c r="AR691" s="710" t="s">
        <v>3113</v>
      </c>
      <c r="AS691" s="705"/>
      <c r="AT691" s="705"/>
      <c r="AU691" s="705"/>
      <c r="AV691" s="705"/>
      <c r="AW691" s="705">
        <v>0</v>
      </c>
      <c r="AX691" s="711" t="s">
        <v>43</v>
      </c>
      <c r="AY691" s="709" t="s">
        <v>145</v>
      </c>
      <c r="AZ691" s="705">
        <v>0</v>
      </c>
      <c r="BA691" s="705">
        <v>0</v>
      </c>
      <c r="BB691" s="705">
        <v>0</v>
      </c>
      <c r="BC691" s="711"/>
      <c r="BD691" s="705">
        <v>2</v>
      </c>
      <c r="BE691" s="705"/>
      <c r="BF691" s="705">
        <v>0</v>
      </c>
      <c r="BG691" s="705">
        <v>2</v>
      </c>
      <c r="BH691" s="705"/>
      <c r="BI691" s="705">
        <v>0</v>
      </c>
      <c r="BJ691" s="705">
        <v>0</v>
      </c>
      <c r="BK691" s="705"/>
      <c r="BL691" s="705"/>
      <c r="BM691" s="711" t="s">
        <v>144</v>
      </c>
      <c r="BN691" s="712"/>
      <c r="BO691" s="710">
        <v>0</v>
      </c>
      <c r="BP691" s="711"/>
      <c r="BQ691" s="713" t="str">
        <f>IFERROR(WWWW[[#This Row],['#_Water sources treated]]/WWWW[[#This Row],['#_Water sources tested for contamination]],"no test")</f>
        <v>no test</v>
      </c>
      <c r="BR691" s="710" t="str">
        <f>IFERROR(WWWW[[#This Row],['#_Household received remediation action due to contamination]]/WWWW[[#This Row],['#_Household water samples tested for contamination]],"no test")</f>
        <v>no test</v>
      </c>
      <c r="BS691" s="712" t="str">
        <f>IF(AND(WWWW[[#This Row],[% of water sources treated]]="no test",WWWW[[#This Row],[% Household received corrective actions]]="no test"),"No Test","Tested")</f>
        <v>No Test</v>
      </c>
      <c r="BT691" s="712">
        <f>WWWW[[#This Row],['#_Constructed/existing protected hand dug well]]-WWWW[[#This Row],['#_Non-functional protected hand dug well]]</f>
        <v>1</v>
      </c>
      <c r="BU691" s="712">
        <f>(WWWW[[#This Row],['#_Constructed/Existing tube wells/boreholes/handpumps_WASH_agency]]+WWWW[[#This Row],['#_Non-Cluster partner water tube-wells/boreholes/handpumps]])-WWWW[[#This Row],['#_Non-functional tube wells/boreholes/handpumps]]</f>
        <v>1</v>
      </c>
      <c r="BV691" s="712">
        <f>WWWW[[#This Row],['#_Constructed/Existingwater storage tank with gravity fed reticulation system]]-WWWW[[#This Row],['#_Non-functional storage tank gravity fed reticulation system]]</f>
        <v>0</v>
      </c>
      <c r="BW691" s="712">
        <f>WWWW[[#This Row],['#_Water boating or water trucking]]</f>
        <v>0</v>
      </c>
      <c r="BX691" s="712">
        <f>WWWW[[#This Row],['#_Constructed/Existing water distribution system from river or natural spring]]</f>
        <v>0</v>
      </c>
      <c r="BY69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9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91" s="710">
        <f>IF(WWWW[[#This Row],[Location Type 1]]="Village",WWWW[[#This Row],[Access to safe drinking water for Village]],WWWW[[#This Row],[Access to safe drinking water for Camp]])</f>
        <v>1</v>
      </c>
      <c r="CB691" s="708">
        <f>WWWW[[#This Row],[%Equitable and continuous access to sufficient quantity of safe drinking water]]*WWWW[[#This Row],[Total PoP ]]</f>
        <v>186</v>
      </c>
      <c r="CC691" s="710">
        <f>IF((WWWW[[#This Row],['#_Constructed/Existing protected/fenced ponds]]*250)/WWWW[[#This Row],[Total PoP ]]&gt;1,1,(WWWW[[#This Row],['#_Constructed/Existing protected/fenced ponds]]*250)/WWWW[[#This Row],[Total PoP ]])</f>
        <v>0</v>
      </c>
      <c r="CD691" s="708">
        <f>WWWW[[#This Row],[% Access to unimproved water points]]*WWWW[[#This Row],[Total PoP ]]</f>
        <v>0</v>
      </c>
      <c r="CE69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9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G691" s="708">
        <f>WWWW[[#This Row],[HRP1]]/500</f>
        <v>0.372</v>
      </c>
      <c r="CH691" s="714">
        <f>1-WWWW[[#This Row],[% Equitable and continuous access to sufficient quantity of domestic water]]</f>
        <v>0</v>
      </c>
      <c r="CI691" s="708">
        <f>WWWW[[#This Row],[%equitable and continuous access to sufficient quantity of safe drinking and domestic water''s GAP]]*WWWW[[#This Row],[Total PoP ]]</f>
        <v>0</v>
      </c>
      <c r="CJ691" s="712">
        <f>IF(WWWW[[#This Row],[Total required water points]]-WWWW[[#This Row],['#Water points coverage]]&lt;0,0,WWWW[[#This Row],[Total required water points]]-WWWW[[#This Row],['#Water points coverage]])</f>
        <v>0.628</v>
      </c>
      <c r="CK691" s="712">
        <f>ROUND(IF(WWWW[[#This Row],[Total PoP ]]&lt;500,1,WWWW[[#This Row],[Total PoP ]]/500),0)</f>
        <v>1</v>
      </c>
      <c r="CL691" s="712">
        <f>(WWWW[[#This Row],['#_Constructed latrines_by_WASHAgencies]]+WWWW[[#This Row],['#_Non Cluster partner latrines]])-WWWW[[#This Row],['#_Non-functional latrines]]</f>
        <v>7</v>
      </c>
      <c r="CM69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0.75268817204301075</v>
      </c>
      <c r="CN69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69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1" s="712">
        <f>IF(WWWW[[#This Row],[Location Type 1]]="Village","NA",IF(WWWW[[#This Row],['#_Constructed/Existing latrines in TLS]]*50&gt;WWWW[[#This Row],['#_students at TLS_CFS]],WWWW[[#This Row],['#_students at TLS_CFS]],(WWWW[[#This Row],['#_Constructed/Existing latrines in TLS]]*50)))</f>
        <v>0</v>
      </c>
      <c r="CQ691" s="712">
        <f>ROUND(IF(WWWW[[#This Row],[Location Type 1]]="camp",WWWW[[#This Row],[Total PoP ]]/20,IF(WWWW[[#This Row],[Location Type 1]]="Temporary Location",WWWW[[#This Row],[Total PoP ]]/50,(WWWW[[#This Row],[Total PoP ]]/6))),0)</f>
        <v>9</v>
      </c>
      <c r="CR691" s="712">
        <f>IF(WWWW[[#This Row],[Total required Latrines]]-(WWWW[[#This Row],['#_Constructed latrines_by_WASHAgencies]]+WWWW[[#This Row],['#_Non Cluster partner latrines]])&lt;0,0,WWWW[[#This Row],[Total required Latrines]]-(WWWW[[#This Row],['#_Constructed latrines_by_WASHAgencies]]+WWWW[[#This Row],['#_Non Cluster partner latrines]]))</f>
        <v>2</v>
      </c>
      <c r="CS691" s="714">
        <f>1-WWWW[[#This Row],[% people access to functioning Latrine]]</f>
        <v>0.24731182795698925</v>
      </c>
      <c r="CT691" s="713">
        <f>IF(OR(WWWW[[#This Row],['#_Non-functional latrines]]="",WWWW[[#This Row],['#_Non-functional latrines]]=0),0,WWWW[[#This Row],['#_Non-functional latrines]]/(WWWW[[#This Row],['#_Constructed latrines_by_WASHAgencies]]+WWWW[[#This Row],['#_Non Cluster partner latrines]]))</f>
        <v>0</v>
      </c>
      <c r="CU691" s="708">
        <f>IF(500*(WWWW[[#This Row],['#_male hygiene promoters]]+WWWW[[#This Row],['#_female hygiene promoters]])&gt;WWWW[[#This Row],[Total PoP ]],WWWW[[#This Row],[Total PoP ]],500*(WWWW[[#This Row],['#_male hygiene promoters]]+WWWW[[#This Row],['#_female hygiene promoters]]))</f>
        <v>0</v>
      </c>
      <c r="CV69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1" s="712">
        <f>IF(WWWW[[#This Row],['# People with access to soap]]&gt;WWWW[[#This Row],['# People with access to Sanity Pads]],WWWW[[#This Row],['# People with access to soap]],WWWW[[#This Row],['# People with access to Sanity Pads]])</f>
        <v>0</v>
      </c>
      <c r="CY691"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91" s="714">
        <f>IF(WWWW[[#This Row],[HRP3]]/WWWW[[#This Row],[Total PoP ]]&gt;100%,100%,WWWW[[#This Row],[HRP3]]/WWWW[[#This Row],[Total PoP ]])</f>
        <v>0</v>
      </c>
      <c r="DA691" s="713">
        <f>1-WWWW[[#This Row],[Hygiene Coverage%]]</f>
        <v>1</v>
      </c>
      <c r="DB691" s="710">
        <f>WWWW[[#This Row],['# people reached by regular dedicated hygiene promotion_5]]/WWWW[[#This Row],[Total PoP ]]</f>
        <v>0</v>
      </c>
      <c r="DC691" s="710">
        <f>IF(WWWW[[#This Row],['#_households that received standard amount of soap for this quarter]]/WWWW[[#This Row],[Total HH]]&gt;1,1,WWWW[[#This Row],['#_households that received standard amount of soap for this quarter]]/WWWW[[#This Row],[Total HH]])</f>
        <v>0</v>
      </c>
      <c r="DD691" s="710">
        <f>IF(WWWW[[#This Row],['#_households that received standard amount of sanitary pads for this quarter]]/WWWW[[#This Row],[Total HH]]&gt;1,1,WWWW[[#This Row],['#_households that received standard amount of sanitary pads for this quarter]]/WWWW[[#This Row],[Total HH]])</f>
        <v>0</v>
      </c>
      <c r="DE691" s="712">
        <f>WWWW[[#This Row],['#_Constructed/Existing hand washing stations]]-WWWW[[#This Row],['#_Non-Functional_hand_washing_stations]]</f>
        <v>2</v>
      </c>
      <c r="DF691" s="757">
        <f>IF(WWWW[[#This Row],['# Functional hand washing stations during reporting period]]*20&gt;WWWW[[#This Row],[Total HH]],WWWW[[#This Row],[Total HH]],WWWW[[#This Row],['# Functional hand washing stations during reporting period]]*20)</f>
        <v>40</v>
      </c>
      <c r="DG691" s="708">
        <f>IF(WWWW[[#This Row],[Is sufficient soap available for TLS? (Yes/No)]]="yes",WWWW[[#This Row],['#_Constructed/Existing hand washing stations at TLS]],0)</f>
        <v>0</v>
      </c>
      <c r="DH691" s="759">
        <f>IF(WWWW[[#This Row],['# Functional hand washing stations during reporting period]]*100&gt;WWWW[[#This Row],[Total PoP ]],WWWW[[#This Row],[Total PoP ]],WWWW[[#This Row],['# Functional hand washing stations during reporting period]]*100)</f>
        <v>186</v>
      </c>
      <c r="DI691" s="759" t="str">
        <f>IF(OR(WWWW[[#This Row],['#_students at TLS_CFS]]="",WWWW[[#This Row],['#_students at TLS_CFS]]=0),"No","Yes")</f>
        <v>No</v>
      </c>
      <c r="DJ691" s="711" t="str">
        <f>VLOOKUP(WWWW[[#This Row],[Site Name]],SiteDB6[[Site Name]:[CCCM Management]],6,FALSE)</f>
        <v>Yes</v>
      </c>
      <c r="DK691" s="711" t="str">
        <f>VLOOKUP(WWWW[[#This Row],[Site Name]],SiteDB6[[Site Name]:[CCCM Focal Agency]],7,FALSE)</f>
        <v>Shalom</v>
      </c>
      <c r="DL691" s="711" t="str">
        <f>VLOOKUP(WWWW[[#This Row],[Site Name]],SiteDB6[[Site Name]:[Location Type 1]],9,FALSE)</f>
        <v>Camp</v>
      </c>
      <c r="DM691" s="711" t="str">
        <f>VLOOKUP(WWWW[[#This Row],[Site Name]],SiteDB6[[Site Name]:[Type of Accommodation]],10,FALSE)</f>
        <v>Camp</v>
      </c>
      <c r="DN691" s="711" t="str">
        <f>VLOOKUP(WWWW[[#This Row],[Site Name]],SiteDB6[[Site Name]:[Ethnic or GCA/NGCA]],11,FALSE)</f>
        <v>GCA</v>
      </c>
      <c r="DO691" s="711">
        <f>VLOOKUP(WWWW[[#This Row],[Site Name]],SiteDB6[[Site Name]:[Lat]],12,FALSE)</f>
        <v>25.333683333333301</v>
      </c>
      <c r="DP691" s="711">
        <f>VLOOKUP(WWWW[[#This Row],[Site Name]],SiteDB6[[Site Name]:[Long]],13,FALSE)</f>
        <v>97.428251153846105</v>
      </c>
      <c r="DQ691" s="711" t="str">
        <f>VLOOKUP(WWWW[[#This Row],[Site Name]],SiteDB6[[Site Name]:[Pcode]],3,FALSE)</f>
        <v>MMR001CMP037</v>
      </c>
      <c r="DR691" s="709" t="str">
        <f t="shared" si="26"/>
        <v>Covered</v>
      </c>
      <c r="DS691" s="709"/>
    </row>
    <row r="692" spans="1:123">
      <c r="A692" s="701" t="s">
        <v>2519</v>
      </c>
      <c r="B692" s="701" t="s">
        <v>149</v>
      </c>
      <c r="C692" s="702" t="s">
        <v>149</v>
      </c>
      <c r="D692" s="702" t="s">
        <v>3264</v>
      </c>
      <c r="E692" s="702" t="s">
        <v>39</v>
      </c>
      <c r="F692" s="702" t="s">
        <v>167</v>
      </c>
      <c r="G692" s="711" t="str">
        <f>VLOOKUP(WWWW[[#This Row],[Site Name]],SiteDB6[[Site Name]:[Location Type]],8,FALSE)</f>
        <v>Camp</v>
      </c>
      <c r="H692" s="702" t="s">
        <v>2017</v>
      </c>
      <c r="I692" s="705">
        <v>18</v>
      </c>
      <c r="J692" s="705">
        <v>87</v>
      </c>
      <c r="K692" s="593" t="s">
        <v>3265</v>
      </c>
      <c r="L692" s="58" t="s">
        <v>3267</v>
      </c>
      <c r="M692" s="705"/>
      <c r="N692" s="705"/>
      <c r="O692" s="705"/>
      <c r="P692" s="705"/>
      <c r="Q692" s="708" t="s">
        <v>43</v>
      </c>
      <c r="R692" s="705"/>
      <c r="S692" s="705"/>
      <c r="T692" s="807">
        <v>0</v>
      </c>
      <c r="U692" s="705"/>
      <c r="V692" s="705"/>
      <c r="W692" s="705">
        <v>0</v>
      </c>
      <c r="X692" s="705"/>
      <c r="Y692" s="705"/>
      <c r="Z692" s="705"/>
      <c r="AA692" s="705">
        <v>1</v>
      </c>
      <c r="AB692" s="705"/>
      <c r="AC692" s="705"/>
      <c r="AD692" s="705"/>
      <c r="AE692" s="705"/>
      <c r="AF692" s="705"/>
      <c r="AG692" s="705"/>
      <c r="AH692" s="705">
        <v>0</v>
      </c>
      <c r="AI692" s="705"/>
      <c r="AJ692" s="705"/>
      <c r="AK692" s="705"/>
      <c r="AL692" s="705"/>
      <c r="AM692" s="705"/>
      <c r="AN692" s="705"/>
      <c r="AO692" s="709"/>
      <c r="AP692" s="705">
        <v>10</v>
      </c>
      <c r="AQ692" s="705"/>
      <c r="AR692" s="710"/>
      <c r="AS692" s="705"/>
      <c r="AT692" s="705"/>
      <c r="AU692" s="705"/>
      <c r="AV692" s="705"/>
      <c r="AW692" s="705">
        <v>10</v>
      </c>
      <c r="AX692" s="711" t="s">
        <v>43</v>
      </c>
      <c r="AY692" s="709" t="s">
        <v>145</v>
      </c>
      <c r="AZ692" s="705"/>
      <c r="BA692" s="705"/>
      <c r="BB692" s="705"/>
      <c r="BC692" s="711"/>
      <c r="BD692" s="705"/>
      <c r="BE692" s="705"/>
      <c r="BF692" s="705"/>
      <c r="BG692" s="705">
        <v>0</v>
      </c>
      <c r="BH692" s="705"/>
      <c r="BI692" s="705"/>
      <c r="BJ692" s="705">
        <v>1</v>
      </c>
      <c r="BK692" s="705"/>
      <c r="BL692" s="705"/>
      <c r="BM692" s="711"/>
      <c r="BN692" s="712"/>
      <c r="BO692" s="710"/>
      <c r="BP692" s="711"/>
      <c r="BQ692" s="713" t="str">
        <f>IFERROR(WWWW[[#This Row],['#_Water sources treated]]/WWWW[[#This Row],['#_Water sources tested for contamination]],"no test")</f>
        <v>no test</v>
      </c>
      <c r="BR692" s="710" t="str">
        <f>IFERROR(WWWW[[#This Row],['#_Household received remediation action due to contamination]]/WWWW[[#This Row],['#_Household water samples tested for contamination]],"no test")</f>
        <v>no test</v>
      </c>
      <c r="BS692" s="712" t="str">
        <f>IF(AND(WWWW[[#This Row],[% of water sources treated]]="no test",WWWW[[#This Row],[% Household received corrective actions]]="no test"),"No Test","Tested")</f>
        <v>No Test</v>
      </c>
      <c r="BT692" s="712">
        <f>WWWW[[#This Row],['#_Constructed/existing protected hand dug well]]-WWWW[[#This Row],['#_Non-functional protected hand dug well]]</f>
        <v>0</v>
      </c>
      <c r="BU692" s="712">
        <f>(WWWW[[#This Row],['#_Constructed/Existing tube wells/boreholes/handpumps_WASH_agency]]+WWWW[[#This Row],['#_Non-Cluster partner water tube-wells/boreholes/handpumps]])-WWWW[[#This Row],['#_Non-functional tube wells/boreholes/handpumps]]</f>
        <v>0</v>
      </c>
      <c r="BV692" s="712">
        <f>WWWW[[#This Row],['#_Constructed/Existingwater storage tank with gravity fed reticulation system]]-WWWW[[#This Row],['#_Non-functional storage tank gravity fed reticulation system]]</f>
        <v>1</v>
      </c>
      <c r="BW692" s="712">
        <f>WWWW[[#This Row],['#_Water boating or water trucking]]</f>
        <v>0</v>
      </c>
      <c r="BX692" s="712">
        <f>WWWW[[#This Row],['#_Constructed/Existing water distribution system from river or natural spring]]</f>
        <v>0</v>
      </c>
      <c r="BY69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0.76628352490421459</v>
      </c>
      <c r="BZ69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0.76628352490421459</v>
      </c>
      <c r="CA692" s="710">
        <f>IF(WWWW[[#This Row],[Location Type 1]]="Village",WWWW[[#This Row],[Access to safe drinking water for Village]],WWWW[[#This Row],[Access to safe drinking water for Camp]])</f>
        <v>0.76628352490421459</v>
      </c>
      <c r="CB692" s="708">
        <f>WWWW[[#This Row],[%Equitable and continuous access to sufficient quantity of safe drinking water]]*WWWW[[#This Row],[Total PoP ]]</f>
        <v>66.666666666666671</v>
      </c>
      <c r="CC692" s="710">
        <f>IF((WWWW[[#This Row],['#_Constructed/Existing protected/fenced ponds]]*250)/WWWW[[#This Row],[Total PoP ]]&gt;1,1,(WWWW[[#This Row],['#_Constructed/Existing protected/fenced ponds]]*250)/WWWW[[#This Row],[Total PoP ]])</f>
        <v>0</v>
      </c>
      <c r="CD692" s="708">
        <f>WWWW[[#This Row],[% Access to unimproved water points]]*WWWW[[#This Row],[Total PoP ]]</f>
        <v>0</v>
      </c>
      <c r="CE69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0.76628352490421459</v>
      </c>
      <c r="CF69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692" s="708">
        <f>WWWW[[#This Row],[HRP1]]/500</f>
        <v>0.13333333333333333</v>
      </c>
      <c r="CH692" s="714">
        <f>1-WWWW[[#This Row],[% Equitable and continuous access to sufficient quantity of domestic water]]</f>
        <v>0.23371647509578541</v>
      </c>
      <c r="CI692" s="708">
        <f>WWWW[[#This Row],[%equitable and continuous access to sufficient quantity of safe drinking and domestic water''s GAP]]*WWWW[[#This Row],[Total PoP ]]</f>
        <v>20.333333333333332</v>
      </c>
      <c r="CJ692" s="712">
        <f>IF(WWWW[[#This Row],[Total required water points]]-WWWW[[#This Row],['#Water points coverage]]&lt;0,0,WWWW[[#This Row],[Total required water points]]-WWWW[[#This Row],['#Water points coverage]])</f>
        <v>0.8666666666666667</v>
      </c>
      <c r="CK692" s="712">
        <f>ROUND(IF(WWWW[[#This Row],[Total PoP ]]&lt;500,1,WWWW[[#This Row],[Total PoP ]]/500),0)</f>
        <v>1</v>
      </c>
      <c r="CL692" s="712">
        <f>(WWWW[[#This Row],['#_Constructed latrines_by_WASHAgencies]]+WWWW[[#This Row],['#_Non Cluster partner latrines]])-WWWW[[#This Row],['#_Non-functional latrines]]</f>
        <v>10</v>
      </c>
      <c r="CM69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9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87</v>
      </c>
      <c r="CO69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2" s="712">
        <f>IF(WWWW[[#This Row],[Location Type 1]]="Village","NA",IF(WWWW[[#This Row],['#_Constructed/Existing latrines in TLS]]*50&gt;WWWW[[#This Row],['#_students at TLS_CFS]],WWWW[[#This Row],['#_students at TLS_CFS]],(WWWW[[#This Row],['#_Constructed/Existing latrines in TLS]]*50)))</f>
        <v>0</v>
      </c>
      <c r="CQ692" s="712">
        <f>ROUND(IF(WWWW[[#This Row],[Location Type 1]]="camp",WWWW[[#This Row],[Total PoP ]]/20,IF(WWWW[[#This Row],[Location Type 1]]="Temporary Location",WWWW[[#This Row],[Total PoP ]]/50,(WWWW[[#This Row],[Total PoP ]]/6))),0)</f>
        <v>4</v>
      </c>
      <c r="CR692" s="712">
        <f>IF(WWWW[[#This Row],[Total required Latrines]]-(WWWW[[#This Row],['#_Constructed latrines_by_WASHAgencies]]+WWWW[[#This Row],['#_Non Cluster partner latrines]])&lt;0,0,WWWW[[#This Row],[Total required Latrines]]-(WWWW[[#This Row],['#_Constructed latrines_by_WASHAgencies]]+WWWW[[#This Row],['#_Non Cluster partner latrines]]))</f>
        <v>0</v>
      </c>
      <c r="CS692" s="714">
        <f>1-WWWW[[#This Row],[% people access to functioning Latrine]]</f>
        <v>0</v>
      </c>
      <c r="CT692" s="713">
        <f>IF(OR(WWWW[[#This Row],['#_Non-functional latrines]]="",WWWW[[#This Row],['#_Non-functional latrines]]=0),0,WWWW[[#This Row],['#_Non-functional latrines]]/(WWWW[[#This Row],['#_Constructed latrines_by_WASHAgencies]]+WWWW[[#This Row],['#_Non Cluster partner latrines]]))</f>
        <v>0</v>
      </c>
      <c r="CU692" s="708">
        <f>IF(500*(WWWW[[#This Row],['#_male hygiene promoters]]+WWWW[[#This Row],['#_female hygiene promoters]])&gt;WWWW[[#This Row],[Total PoP ]],WWWW[[#This Row],[Total PoP ]],500*(WWWW[[#This Row],['#_male hygiene promoters]]+WWWW[[#This Row],['#_female hygiene promoters]]))</f>
        <v>87</v>
      </c>
      <c r="CV69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2" s="712">
        <f>IF(WWWW[[#This Row],['# People with access to soap]]&gt;WWWW[[#This Row],['# People with access to Sanity Pads]],WWWW[[#This Row],['# People with access to soap]],WWWW[[#This Row],['# People with access to Sanity Pads]])</f>
        <v>0</v>
      </c>
      <c r="CY692" s="712">
        <f>IF(WWWW[[#This Row],['# people reached by regular dedicated hygiene promotion_5]]&gt;WWWW[[#This Row],['# People received regular supply of hygiene items_6]],WWWW[[#This Row],['# people reached by regular dedicated hygiene promotion_5]],WWWW[[#This Row],['# People received regular supply of hygiene items_6]])</f>
        <v>87</v>
      </c>
      <c r="CZ692" s="714">
        <f>IF(WWWW[[#This Row],[HRP3]]/WWWW[[#This Row],[Total PoP ]]&gt;100%,100%,WWWW[[#This Row],[HRP3]]/WWWW[[#This Row],[Total PoP ]])</f>
        <v>1</v>
      </c>
      <c r="DA692" s="713">
        <f>1-WWWW[[#This Row],[Hygiene Coverage%]]</f>
        <v>0</v>
      </c>
      <c r="DB692" s="710">
        <f>WWWW[[#This Row],['# people reached by regular dedicated hygiene promotion_5]]/WWWW[[#This Row],[Total PoP ]]</f>
        <v>1</v>
      </c>
      <c r="DC692" s="710">
        <f>IF(WWWW[[#This Row],['#_households that received standard amount of soap for this quarter]]/WWWW[[#This Row],[Total HH]]&gt;1,1,WWWW[[#This Row],['#_households that received standard amount of soap for this quarter]]/WWWW[[#This Row],[Total HH]])</f>
        <v>0</v>
      </c>
      <c r="DD692" s="710">
        <f>IF(WWWW[[#This Row],['#_households that received standard amount of sanitary pads for this quarter]]/WWWW[[#This Row],[Total HH]]&gt;1,1,WWWW[[#This Row],['#_households that received standard amount of sanitary pads for this quarter]]/WWWW[[#This Row],[Total HH]])</f>
        <v>0</v>
      </c>
      <c r="DE692" s="712">
        <f>WWWW[[#This Row],['#_Constructed/Existing hand washing stations]]-WWWW[[#This Row],['#_Non-Functional_hand_washing_stations]]</f>
        <v>0</v>
      </c>
      <c r="DF692" s="757">
        <f>IF(WWWW[[#This Row],['# Functional hand washing stations during reporting period]]*20&gt;WWWW[[#This Row],[Total HH]],WWWW[[#This Row],[Total HH]],WWWW[[#This Row],['# Functional hand washing stations during reporting period]]*20)</f>
        <v>0</v>
      </c>
      <c r="DG692" s="708">
        <f>IF(WWWW[[#This Row],[Is sufficient soap available for TLS? (Yes/No)]]="yes",WWWW[[#This Row],['#_Constructed/Existing hand washing stations at TLS]],0)</f>
        <v>0</v>
      </c>
      <c r="DH692" s="759">
        <f>IF(WWWW[[#This Row],['# Functional hand washing stations during reporting period]]*100&gt;WWWW[[#This Row],[Total PoP ]],WWWW[[#This Row],[Total PoP ]],WWWW[[#This Row],['# Functional hand washing stations during reporting period]]*100)</f>
        <v>0</v>
      </c>
      <c r="DI692" s="759" t="str">
        <f>IF(OR(WWWW[[#This Row],['#_students at TLS_CFS]]="",WWWW[[#This Row],['#_students at TLS_CFS]]=0),"No","Yes")</f>
        <v>No</v>
      </c>
      <c r="DJ692" s="711">
        <f>VLOOKUP(WWWW[[#This Row],[Site Name]],SiteDB6[[Site Name]:[CCCM Management]],6,FALSE)</f>
        <v>0</v>
      </c>
      <c r="DK692" s="711" t="str">
        <f>VLOOKUP(WWWW[[#This Row],[Site Name]],SiteDB6[[Site Name]:[CCCM Focal Agency]],7,FALSE)</f>
        <v>uncovered</v>
      </c>
      <c r="DL692" s="711" t="str">
        <f>VLOOKUP(WWWW[[#This Row],[Site Name]],SiteDB6[[Site Name]:[Location Type 1]],9,FALSE)</f>
        <v>Camp</v>
      </c>
      <c r="DM692" s="711" t="str">
        <f>VLOOKUP(WWWW[[#This Row],[Site Name]],SiteDB6[[Site Name]:[Type of Accommodation]],10,FALSE)</f>
        <v>Camp like setting</v>
      </c>
      <c r="DN692" s="711" t="str">
        <f>VLOOKUP(WWWW[[#This Row],[Site Name]],SiteDB6[[Site Name]:[Ethnic or GCA/NGCA]],11,FALSE)</f>
        <v>GCA</v>
      </c>
      <c r="DO692" s="711">
        <f>VLOOKUP(WWWW[[#This Row],[Site Name]],SiteDB6[[Site Name]:[Lat]],12,FALSE)</f>
        <v>0</v>
      </c>
      <c r="DP692" s="711">
        <f>VLOOKUP(WWWW[[#This Row],[Site Name]],SiteDB6[[Site Name]:[Long]],13,FALSE)</f>
        <v>0</v>
      </c>
      <c r="DQ692" s="711" t="str">
        <f>VLOOKUP(WWWW[[#This Row],[Site Name]],SiteDB6[[Site Name]:[Pcode]],3,FALSE)</f>
        <v>MMR001CMP267</v>
      </c>
      <c r="DR692" s="709" t="str">
        <f t="shared" si="26"/>
        <v>Covered</v>
      </c>
      <c r="DS692" s="709"/>
    </row>
    <row r="693" spans="1:123">
      <c r="A693" s="701" t="s">
        <v>2519</v>
      </c>
      <c r="B693" s="701" t="s">
        <v>250</v>
      </c>
      <c r="C693" s="702" t="s">
        <v>250</v>
      </c>
      <c r="D693" s="702" t="s">
        <v>315</v>
      </c>
      <c r="E693" s="702" t="s">
        <v>39</v>
      </c>
      <c r="F693" s="702" t="s">
        <v>150</v>
      </c>
      <c r="G693" s="711" t="str">
        <f>VLOOKUP(WWWW[[#This Row],[Site Name]],SiteDB6[[Site Name]:[Location Type]],8,FALSE)</f>
        <v>Camp</v>
      </c>
      <c r="H693" s="702" t="s">
        <v>283</v>
      </c>
      <c r="I693" s="705">
        <v>66</v>
      </c>
      <c r="J693" s="705">
        <v>263</v>
      </c>
      <c r="K693" s="706">
        <v>43313</v>
      </c>
      <c r="L693" s="707">
        <v>44043</v>
      </c>
      <c r="M693" s="705"/>
      <c r="N693" s="705">
        <v>1</v>
      </c>
      <c r="O693" s="705">
        <v>0</v>
      </c>
      <c r="P693" s="705">
        <v>0</v>
      </c>
      <c r="Q693" s="708" t="s">
        <v>43</v>
      </c>
      <c r="R693" s="705">
        <v>3</v>
      </c>
      <c r="S693" s="705">
        <v>2</v>
      </c>
      <c r="T693" s="807">
        <v>3</v>
      </c>
      <c r="U693" s="705"/>
      <c r="V693" s="705"/>
      <c r="W693" s="705">
        <v>1</v>
      </c>
      <c r="X693" s="705">
        <v>3</v>
      </c>
      <c r="Y693" s="705"/>
      <c r="Z693" s="705"/>
      <c r="AA693" s="705">
        <v>0</v>
      </c>
      <c r="AB693" s="705"/>
      <c r="AC693" s="705"/>
      <c r="AD693" s="705">
        <v>0</v>
      </c>
      <c r="AE693" s="705">
        <v>0</v>
      </c>
      <c r="AF693" s="705">
        <v>0</v>
      </c>
      <c r="AG693" s="705">
        <v>0</v>
      </c>
      <c r="AH693" s="705">
        <v>0</v>
      </c>
      <c r="AI693" s="705"/>
      <c r="AJ693" s="705"/>
      <c r="AK693" s="705"/>
      <c r="AL693" s="705"/>
      <c r="AM693" s="705">
        <v>0</v>
      </c>
      <c r="AN693" s="705">
        <v>0</v>
      </c>
      <c r="AO693" s="709"/>
      <c r="AP693" s="705">
        <v>0</v>
      </c>
      <c r="AQ693" s="705">
        <v>7</v>
      </c>
      <c r="AR693" s="710">
        <v>0</v>
      </c>
      <c r="AS693" s="705"/>
      <c r="AT693" s="705"/>
      <c r="AU693" s="705"/>
      <c r="AV693" s="705"/>
      <c r="AW693" s="705">
        <v>0</v>
      </c>
      <c r="AX693" s="711" t="s">
        <v>43</v>
      </c>
      <c r="AY693" s="709" t="s">
        <v>145</v>
      </c>
      <c r="AZ693" s="705">
        <v>0</v>
      </c>
      <c r="BA693" s="705">
        <v>0</v>
      </c>
      <c r="BB693" s="705">
        <v>0</v>
      </c>
      <c r="BC693" s="711"/>
      <c r="BD693" s="705">
        <v>2</v>
      </c>
      <c r="BE693" s="705"/>
      <c r="BF693" s="705">
        <v>0</v>
      </c>
      <c r="BG693" s="705">
        <v>4</v>
      </c>
      <c r="BH693" s="705"/>
      <c r="BI693" s="705">
        <v>0</v>
      </c>
      <c r="BJ693" s="705">
        <v>0</v>
      </c>
      <c r="BK693" s="705"/>
      <c r="BL693" s="705"/>
      <c r="BM693" s="711" t="s">
        <v>144</v>
      </c>
      <c r="BN693" s="712"/>
      <c r="BO693" s="710">
        <v>0</v>
      </c>
      <c r="BP693" s="711"/>
      <c r="BQ693" s="713" t="str">
        <f>IFERROR(WWWW[[#This Row],['#_Water sources treated]]/WWWW[[#This Row],['#_Water sources tested for contamination]],"no test")</f>
        <v>no test</v>
      </c>
      <c r="BR693" s="710" t="str">
        <f>IFERROR(WWWW[[#This Row],['#_Household received remediation action due to contamination]]/WWWW[[#This Row],['#_Household water samples tested for contamination]],"no test")</f>
        <v>no test</v>
      </c>
      <c r="BS693" s="712" t="str">
        <f>IF(AND(WWWW[[#This Row],[% of water sources treated]]="no test",WWWW[[#This Row],[% Household received corrective actions]]="no test"),"No Test","Tested")</f>
        <v>No Test</v>
      </c>
      <c r="BT693" s="712">
        <f>WWWW[[#This Row],['#_Constructed/existing protected hand dug well]]-WWWW[[#This Row],['#_Non-functional protected hand dug well]]</f>
        <v>3</v>
      </c>
      <c r="BU693" s="712">
        <f>(WWWW[[#This Row],['#_Constructed/Existing tube wells/boreholes/handpumps_WASH_agency]]+WWWW[[#This Row],['#_Non-Cluster partner water tube-wells/boreholes/handpumps]])-WWWW[[#This Row],['#_Non-functional tube wells/boreholes/handpumps]]</f>
        <v>4</v>
      </c>
      <c r="BV693" s="712">
        <f>WWWW[[#This Row],['#_Constructed/Existingwater storage tank with gravity fed reticulation system]]-WWWW[[#This Row],['#_Non-functional storage tank gravity fed reticulation system]]</f>
        <v>0</v>
      </c>
      <c r="BW693" s="712">
        <f>WWWW[[#This Row],['#_Water boating or water trucking]]</f>
        <v>0</v>
      </c>
      <c r="BX693" s="712">
        <f>WWWW[[#This Row],['#_Constructed/Existing water distribution system from river or natural spring]]</f>
        <v>0</v>
      </c>
      <c r="BY69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9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93" s="710">
        <f>IF(WWWW[[#This Row],[Location Type 1]]="Village",WWWW[[#This Row],[Access to safe drinking water for Village]],WWWW[[#This Row],[Access to safe drinking water for Camp]])</f>
        <v>1</v>
      </c>
      <c r="CB693" s="708">
        <f>WWWW[[#This Row],[%Equitable and continuous access to sufficient quantity of safe drinking water]]*WWWW[[#This Row],[Total PoP ]]</f>
        <v>263</v>
      </c>
      <c r="CC693" s="710">
        <f>IF((WWWW[[#This Row],['#_Constructed/Existing protected/fenced ponds]]*250)/WWWW[[#This Row],[Total PoP ]]&gt;1,1,(WWWW[[#This Row],['#_Constructed/Existing protected/fenced ponds]]*250)/WWWW[[#This Row],[Total PoP ]])</f>
        <v>0</v>
      </c>
      <c r="CD693" s="708">
        <f>WWWW[[#This Row],[% Access to unimproved water points]]*WWWW[[#This Row],[Total PoP ]]</f>
        <v>0</v>
      </c>
      <c r="CE69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9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G693" s="708">
        <f>WWWW[[#This Row],[HRP1]]/500</f>
        <v>0.52600000000000002</v>
      </c>
      <c r="CH693" s="714">
        <f>1-WWWW[[#This Row],[% Equitable and continuous access to sufficient quantity of domestic water]]</f>
        <v>0</v>
      </c>
      <c r="CI693" s="708">
        <f>WWWW[[#This Row],[%equitable and continuous access to sufficient quantity of safe drinking and domestic water''s GAP]]*WWWW[[#This Row],[Total PoP ]]</f>
        <v>0</v>
      </c>
      <c r="CJ693" s="712">
        <f>IF(WWWW[[#This Row],[Total required water points]]-WWWW[[#This Row],['#Water points coverage]]&lt;0,0,WWWW[[#This Row],[Total required water points]]-WWWW[[#This Row],['#Water points coverage]])</f>
        <v>0.47399999999999998</v>
      </c>
      <c r="CK693" s="712">
        <f>ROUND(IF(WWWW[[#This Row],[Total PoP ]]&lt;500,1,WWWW[[#This Row],[Total PoP ]]/500),0)</f>
        <v>1</v>
      </c>
      <c r="CL693" s="712">
        <f>(WWWW[[#This Row],['#_Constructed latrines_by_WASHAgencies]]+WWWW[[#This Row],['#_Non Cluster partner latrines]])-WWWW[[#This Row],['#_Non-functional latrines]]</f>
        <v>7</v>
      </c>
      <c r="CM69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0.53231939163498099</v>
      </c>
      <c r="CN69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140</v>
      </c>
      <c r="CO69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3" s="712">
        <f>IF(WWWW[[#This Row],[Location Type 1]]="Village","NA",IF(WWWW[[#This Row],['#_Constructed/Existing latrines in TLS]]*50&gt;WWWW[[#This Row],['#_students at TLS_CFS]],WWWW[[#This Row],['#_students at TLS_CFS]],(WWWW[[#This Row],['#_Constructed/Existing latrines in TLS]]*50)))</f>
        <v>0</v>
      </c>
      <c r="CQ693" s="712">
        <f>ROUND(IF(WWWW[[#This Row],[Location Type 1]]="camp",WWWW[[#This Row],[Total PoP ]]/20,IF(WWWW[[#This Row],[Location Type 1]]="Temporary Location",WWWW[[#This Row],[Total PoP ]]/50,(WWWW[[#This Row],[Total PoP ]]/6))),0)</f>
        <v>13</v>
      </c>
      <c r="CR693" s="712">
        <f>IF(WWWW[[#This Row],[Total required Latrines]]-(WWWW[[#This Row],['#_Constructed latrines_by_WASHAgencies]]+WWWW[[#This Row],['#_Non Cluster partner latrines]])&lt;0,0,WWWW[[#This Row],[Total required Latrines]]-(WWWW[[#This Row],['#_Constructed latrines_by_WASHAgencies]]+WWWW[[#This Row],['#_Non Cluster partner latrines]]))</f>
        <v>6</v>
      </c>
      <c r="CS693" s="714">
        <f>1-WWWW[[#This Row],[% people access to functioning Latrine]]</f>
        <v>0.46768060836501901</v>
      </c>
      <c r="CT693" s="713">
        <f>IF(OR(WWWW[[#This Row],['#_Non-functional latrines]]="",WWWW[[#This Row],['#_Non-functional latrines]]=0),0,WWWW[[#This Row],['#_Non-functional latrines]]/(WWWW[[#This Row],['#_Constructed latrines_by_WASHAgencies]]+WWWW[[#This Row],['#_Non Cluster partner latrines]]))</f>
        <v>0</v>
      </c>
      <c r="CU693" s="708">
        <f>IF(500*(WWWW[[#This Row],['#_male hygiene promoters]]+WWWW[[#This Row],['#_female hygiene promoters]])&gt;WWWW[[#This Row],[Total PoP ]],WWWW[[#This Row],[Total PoP ]],500*(WWWW[[#This Row],['#_male hygiene promoters]]+WWWW[[#This Row],['#_female hygiene promoters]]))</f>
        <v>0</v>
      </c>
      <c r="CV69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3" s="712">
        <f>IF(WWWW[[#This Row],['# People with access to soap]]&gt;WWWW[[#This Row],['# People with access to Sanity Pads]],WWWW[[#This Row],['# People with access to soap]],WWWW[[#This Row],['# People with access to Sanity Pads]])</f>
        <v>0</v>
      </c>
      <c r="CY69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93" s="714">
        <f>IF(WWWW[[#This Row],[HRP3]]/WWWW[[#This Row],[Total PoP ]]&gt;100%,100%,WWWW[[#This Row],[HRP3]]/WWWW[[#This Row],[Total PoP ]])</f>
        <v>0</v>
      </c>
      <c r="DA693" s="713">
        <f>1-WWWW[[#This Row],[Hygiene Coverage%]]</f>
        <v>1</v>
      </c>
      <c r="DB693" s="710">
        <f>WWWW[[#This Row],['# people reached by regular dedicated hygiene promotion_5]]/WWWW[[#This Row],[Total PoP ]]</f>
        <v>0</v>
      </c>
      <c r="DC693" s="710">
        <f>IF(WWWW[[#This Row],['#_households that received standard amount of soap for this quarter]]/WWWW[[#This Row],[Total HH]]&gt;1,1,WWWW[[#This Row],['#_households that received standard amount of soap for this quarter]]/WWWW[[#This Row],[Total HH]])</f>
        <v>0</v>
      </c>
      <c r="DD693" s="710">
        <f>IF(WWWW[[#This Row],['#_households that received standard amount of sanitary pads for this quarter]]/WWWW[[#This Row],[Total HH]]&gt;1,1,WWWW[[#This Row],['#_households that received standard amount of sanitary pads for this quarter]]/WWWW[[#This Row],[Total HH]])</f>
        <v>0</v>
      </c>
      <c r="DE693" s="712">
        <f>WWWW[[#This Row],['#_Constructed/Existing hand washing stations]]-WWWW[[#This Row],['#_Non-Functional_hand_washing_stations]]</f>
        <v>2</v>
      </c>
      <c r="DF693" s="757">
        <f>IF(WWWW[[#This Row],['# Functional hand washing stations during reporting period]]*20&gt;WWWW[[#This Row],[Total HH]],WWWW[[#This Row],[Total HH]],WWWW[[#This Row],['# Functional hand washing stations during reporting period]]*20)</f>
        <v>40</v>
      </c>
      <c r="DG693" s="708">
        <f>IF(WWWW[[#This Row],[Is sufficient soap available for TLS? (Yes/No)]]="yes",WWWW[[#This Row],['#_Constructed/Existing hand washing stations at TLS]],0)</f>
        <v>0</v>
      </c>
      <c r="DH693" s="759">
        <f>IF(WWWW[[#This Row],['# Functional hand washing stations during reporting period]]*100&gt;WWWW[[#This Row],[Total PoP ]],WWWW[[#This Row],[Total PoP ]],WWWW[[#This Row],['# Functional hand washing stations during reporting period]]*100)</f>
        <v>200</v>
      </c>
      <c r="DI693" s="759" t="str">
        <f>IF(OR(WWWW[[#This Row],['#_students at TLS_CFS]]="",WWWW[[#This Row],['#_students at TLS_CFS]]=0),"No","Yes")</f>
        <v>No</v>
      </c>
      <c r="DJ693" s="711" t="str">
        <f>VLOOKUP(WWWW[[#This Row],[Site Name]],SiteDB6[[Site Name]:[CCCM Management]],6,FALSE)</f>
        <v>Yes</v>
      </c>
      <c r="DK693" s="711" t="str">
        <f>VLOOKUP(WWWW[[#This Row],[Site Name]],SiteDB6[[Site Name]:[CCCM Focal Agency]],7,FALSE)</f>
        <v>Shalom</v>
      </c>
      <c r="DL693" s="711" t="str">
        <f>VLOOKUP(WWWW[[#This Row],[Site Name]],SiteDB6[[Site Name]:[Location Type 1]],9,FALSE)</f>
        <v>Camp</v>
      </c>
      <c r="DM693" s="711" t="str">
        <f>VLOOKUP(WWWW[[#This Row],[Site Name]],SiteDB6[[Site Name]:[Type of Accommodation]],10,FALSE)</f>
        <v>Camp</v>
      </c>
      <c r="DN693" s="711" t="str">
        <f>VLOOKUP(WWWW[[#This Row],[Site Name]],SiteDB6[[Site Name]:[Ethnic or GCA/NGCA]],11,FALSE)</f>
        <v>GCA</v>
      </c>
      <c r="DO693" s="711">
        <f>VLOOKUP(WWWW[[#This Row],[Site Name]],SiteDB6[[Site Name]:[Lat]],12,FALSE)</f>
        <v>25.351250396825399</v>
      </c>
      <c r="DP693" s="711">
        <f>VLOOKUP(WWWW[[#This Row],[Site Name]],SiteDB6[[Site Name]:[Long]],13,FALSE)</f>
        <v>97.444283730158702</v>
      </c>
      <c r="DQ693" s="711" t="str">
        <f>VLOOKUP(WWWW[[#This Row],[Site Name]],SiteDB6[[Site Name]:[Pcode]],3,FALSE)</f>
        <v>MMR001CMP038</v>
      </c>
      <c r="DR693" s="709" t="str">
        <f t="shared" si="26"/>
        <v>Covered</v>
      </c>
      <c r="DS693" s="709"/>
    </row>
    <row r="694" spans="1:123">
      <c r="A694" s="701" t="s">
        <v>2519</v>
      </c>
      <c r="B694" s="701" t="s">
        <v>317</v>
      </c>
      <c r="C694" s="702" t="s">
        <v>317</v>
      </c>
      <c r="D694" s="702"/>
      <c r="E694" s="702" t="s">
        <v>39</v>
      </c>
      <c r="F694" s="702" t="s">
        <v>150</v>
      </c>
      <c r="G694" s="711" t="str">
        <f>VLOOKUP(WWWW[[#This Row],[Site Name]],SiteDB6[[Site Name]:[Location Type]],8,FALSE)</f>
        <v>Camp</v>
      </c>
      <c r="H694" s="702" t="s">
        <v>1064</v>
      </c>
      <c r="I694" s="705">
        <v>80</v>
      </c>
      <c r="J694" s="705">
        <v>449</v>
      </c>
      <c r="K694" s="706"/>
      <c r="L694" s="707"/>
      <c r="M694" s="705"/>
      <c r="N694" s="705"/>
      <c r="O694" s="705"/>
      <c r="P694" s="705"/>
      <c r="Q694" s="708"/>
      <c r="R694" s="705"/>
      <c r="S694" s="705"/>
      <c r="T694" s="807"/>
      <c r="U694" s="705"/>
      <c r="V694" s="705"/>
      <c r="W694" s="705"/>
      <c r="X694" s="705"/>
      <c r="Y694" s="705"/>
      <c r="Z694" s="705"/>
      <c r="AA694" s="705"/>
      <c r="AB694" s="705"/>
      <c r="AC694" s="705"/>
      <c r="AD694" s="705"/>
      <c r="AE694" s="705"/>
      <c r="AF694" s="705"/>
      <c r="AG694" s="705"/>
      <c r="AH694" s="705"/>
      <c r="AI694" s="705"/>
      <c r="AJ694" s="705"/>
      <c r="AK694" s="705"/>
      <c r="AL694" s="705"/>
      <c r="AM694" s="705"/>
      <c r="AN694" s="705"/>
      <c r="AO694" s="709"/>
      <c r="AP694" s="705"/>
      <c r="AQ694" s="705"/>
      <c r="AR694" s="710"/>
      <c r="AS694" s="705"/>
      <c r="AT694" s="705"/>
      <c r="AU694" s="705"/>
      <c r="AV694" s="705"/>
      <c r="AW694" s="705"/>
      <c r="AX694" s="711"/>
      <c r="AY694" s="709"/>
      <c r="AZ694" s="705"/>
      <c r="BA694" s="705"/>
      <c r="BB694" s="705"/>
      <c r="BC694" s="711"/>
      <c r="BD694" s="705"/>
      <c r="BE694" s="705"/>
      <c r="BF694" s="705"/>
      <c r="BG694" s="705"/>
      <c r="BH694" s="705"/>
      <c r="BI694" s="705"/>
      <c r="BJ694" s="705"/>
      <c r="BK694" s="705"/>
      <c r="BL694" s="705"/>
      <c r="BM694" s="711"/>
      <c r="BN694" s="712"/>
      <c r="BO694" s="710"/>
      <c r="BP694" s="711"/>
      <c r="BQ694" s="713" t="str">
        <f>IFERROR(WWWW[[#This Row],['#_Water sources treated]]/WWWW[[#This Row],['#_Water sources tested for contamination]],"no test")</f>
        <v>no test</v>
      </c>
      <c r="BR694" s="710" t="str">
        <f>IFERROR(WWWW[[#This Row],['#_Household received remediation action due to contamination]]/WWWW[[#This Row],['#_Household water samples tested for contamination]],"no test")</f>
        <v>no test</v>
      </c>
      <c r="BS694" s="712" t="str">
        <f>IF(AND(WWWW[[#This Row],[% of water sources treated]]="no test",WWWW[[#This Row],[% Household received corrective actions]]="no test"),"No Test","Tested")</f>
        <v>No Test</v>
      </c>
      <c r="BT694" s="712">
        <f>WWWW[[#This Row],['#_Constructed/existing protected hand dug well]]-WWWW[[#This Row],['#_Non-functional protected hand dug well]]</f>
        <v>0</v>
      </c>
      <c r="BU694" s="712">
        <f>(WWWW[[#This Row],['#_Constructed/Existing tube wells/boreholes/handpumps_WASH_agency]]+WWWW[[#This Row],['#_Non-Cluster partner water tube-wells/boreholes/handpumps]])-WWWW[[#This Row],['#_Non-functional tube wells/boreholes/handpumps]]</f>
        <v>0</v>
      </c>
      <c r="BV694" s="712">
        <f>WWWW[[#This Row],['#_Constructed/Existingwater storage tank with gravity fed reticulation system]]-WWWW[[#This Row],['#_Non-functional storage tank gravity fed reticulation system]]</f>
        <v>0</v>
      </c>
      <c r="BW694" s="712">
        <f>WWWW[[#This Row],['#_Water boating or water trucking]]</f>
        <v>0</v>
      </c>
      <c r="BX694" s="712">
        <f>WWWW[[#This Row],['#_Constructed/Existing water distribution system from river or natural spring]]</f>
        <v>0</v>
      </c>
      <c r="BY69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9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94" s="710">
        <f>IF(WWWW[[#This Row],[Location Type 1]]="Village",WWWW[[#This Row],[Access to safe drinking water for Village]],WWWW[[#This Row],[Access to safe drinking water for Camp]])</f>
        <v>0</v>
      </c>
      <c r="CB694" s="708">
        <f>WWWW[[#This Row],[%Equitable and continuous access to sufficient quantity of safe drinking water]]*WWWW[[#This Row],[Total PoP ]]</f>
        <v>0</v>
      </c>
      <c r="CC694" s="710">
        <f>IF((WWWW[[#This Row],['#_Constructed/Existing protected/fenced ponds]]*250)/WWWW[[#This Row],[Total PoP ]]&gt;1,1,(WWWW[[#This Row],['#_Constructed/Existing protected/fenced ponds]]*250)/WWWW[[#This Row],[Total PoP ]])</f>
        <v>0</v>
      </c>
      <c r="CD694" s="708">
        <f>WWWW[[#This Row],[% Access to unimproved water points]]*WWWW[[#This Row],[Total PoP ]]</f>
        <v>0</v>
      </c>
      <c r="CE69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9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94" s="708">
        <f>WWWW[[#This Row],[HRP1]]/500</f>
        <v>0</v>
      </c>
      <c r="CH694" s="714">
        <f>1-WWWW[[#This Row],[% Equitable and continuous access to sufficient quantity of domestic water]]</f>
        <v>1</v>
      </c>
      <c r="CI694" s="708">
        <f>WWWW[[#This Row],[%equitable and continuous access to sufficient quantity of safe drinking and domestic water''s GAP]]*WWWW[[#This Row],[Total PoP ]]</f>
        <v>449</v>
      </c>
      <c r="CJ694" s="712">
        <f>IF(WWWW[[#This Row],[Total required water points]]-WWWW[[#This Row],['#Water points coverage]]&lt;0,0,WWWW[[#This Row],[Total required water points]]-WWWW[[#This Row],['#Water points coverage]])</f>
        <v>1</v>
      </c>
      <c r="CK694" s="712">
        <f>ROUND(IF(WWWW[[#This Row],[Total PoP ]]&lt;500,1,WWWW[[#This Row],[Total PoP ]]/500),0)</f>
        <v>1</v>
      </c>
      <c r="CL694" s="712">
        <f>(WWWW[[#This Row],['#_Constructed latrines_by_WASHAgencies]]+WWWW[[#This Row],['#_Non Cluster partner latrines]])-WWWW[[#This Row],['#_Non-functional latrines]]</f>
        <v>0</v>
      </c>
      <c r="CM69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9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9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4" s="712">
        <f>IF(WWWW[[#This Row],[Location Type 1]]="Village","NA",IF(WWWW[[#This Row],['#_Constructed/Existing latrines in TLS]]*50&gt;WWWW[[#This Row],['#_students at TLS_CFS]],WWWW[[#This Row],['#_students at TLS_CFS]],(WWWW[[#This Row],['#_Constructed/Existing latrines in TLS]]*50)))</f>
        <v>0</v>
      </c>
      <c r="CQ694" s="712">
        <f>ROUND(IF(WWWW[[#This Row],[Location Type 1]]="camp",WWWW[[#This Row],[Total PoP ]]/20,IF(WWWW[[#This Row],[Location Type 1]]="Temporary Location",WWWW[[#This Row],[Total PoP ]]/50,(WWWW[[#This Row],[Total PoP ]]/6))),0)</f>
        <v>22</v>
      </c>
      <c r="CR694" s="712">
        <f>IF(WWWW[[#This Row],[Total required Latrines]]-(WWWW[[#This Row],['#_Constructed latrines_by_WASHAgencies]]+WWWW[[#This Row],['#_Non Cluster partner latrines]])&lt;0,0,WWWW[[#This Row],[Total required Latrines]]-(WWWW[[#This Row],['#_Constructed latrines_by_WASHAgencies]]+WWWW[[#This Row],['#_Non Cluster partner latrines]]))</f>
        <v>22</v>
      </c>
      <c r="CS694" s="714">
        <f>1-WWWW[[#This Row],[% people access to functioning Latrine]]</f>
        <v>1</v>
      </c>
      <c r="CT694" s="713">
        <f>IF(OR(WWWW[[#This Row],['#_Non-functional latrines]]="",WWWW[[#This Row],['#_Non-functional latrines]]=0),0,WWWW[[#This Row],['#_Non-functional latrines]]/(WWWW[[#This Row],['#_Constructed latrines_by_WASHAgencies]]+WWWW[[#This Row],['#_Non Cluster partner latrines]]))</f>
        <v>0</v>
      </c>
      <c r="CU694" s="708">
        <f>IF(500*(WWWW[[#This Row],['#_male hygiene promoters]]+WWWW[[#This Row],['#_female hygiene promoters]])&gt;WWWW[[#This Row],[Total PoP ]],WWWW[[#This Row],[Total PoP ]],500*(WWWW[[#This Row],['#_male hygiene promoters]]+WWWW[[#This Row],['#_female hygiene promoters]]))</f>
        <v>0</v>
      </c>
      <c r="CV69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4" s="712">
        <f>IF(WWWW[[#This Row],['# People with access to soap]]&gt;WWWW[[#This Row],['# People with access to Sanity Pads]],WWWW[[#This Row],['# People with access to soap]],WWWW[[#This Row],['# People with access to Sanity Pads]])</f>
        <v>0</v>
      </c>
      <c r="CY694"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94" s="714">
        <f>IF(WWWW[[#This Row],[HRP3]]/WWWW[[#This Row],[Total PoP ]]&gt;100%,100%,WWWW[[#This Row],[HRP3]]/WWWW[[#This Row],[Total PoP ]])</f>
        <v>0</v>
      </c>
      <c r="DA694" s="713">
        <f>1-WWWW[[#This Row],[Hygiene Coverage%]]</f>
        <v>1</v>
      </c>
      <c r="DB694" s="710">
        <f>WWWW[[#This Row],['# people reached by regular dedicated hygiene promotion_5]]/WWWW[[#This Row],[Total PoP ]]</f>
        <v>0</v>
      </c>
      <c r="DC694" s="710">
        <f>IF(WWWW[[#This Row],['#_households that received standard amount of soap for this quarter]]/WWWW[[#This Row],[Total HH]]&gt;1,1,WWWW[[#This Row],['#_households that received standard amount of soap for this quarter]]/WWWW[[#This Row],[Total HH]])</f>
        <v>0</v>
      </c>
      <c r="DD694" s="710">
        <f>IF(WWWW[[#This Row],['#_households that received standard amount of sanitary pads for this quarter]]/WWWW[[#This Row],[Total HH]]&gt;1,1,WWWW[[#This Row],['#_households that received standard amount of sanitary pads for this quarter]]/WWWW[[#This Row],[Total HH]])</f>
        <v>0</v>
      </c>
      <c r="DE694" s="712">
        <f>WWWW[[#This Row],['#_Constructed/Existing hand washing stations]]-WWWW[[#This Row],['#_Non-Functional_hand_washing_stations]]</f>
        <v>0</v>
      </c>
      <c r="DF694" s="757">
        <f>IF(WWWW[[#This Row],['# Functional hand washing stations during reporting period]]*20&gt;WWWW[[#This Row],[Total HH]],WWWW[[#This Row],[Total HH]],WWWW[[#This Row],['# Functional hand washing stations during reporting period]]*20)</f>
        <v>0</v>
      </c>
      <c r="DG694" s="708">
        <f>IF(WWWW[[#This Row],[Is sufficient soap available for TLS? (Yes/No)]]="yes",WWWW[[#This Row],['#_Constructed/Existing hand washing stations at TLS]],0)</f>
        <v>0</v>
      </c>
      <c r="DH694" s="759">
        <f>IF(WWWW[[#This Row],['# Functional hand washing stations during reporting period]]*100&gt;WWWW[[#This Row],[Total PoP ]],WWWW[[#This Row],[Total PoP ]],WWWW[[#This Row],['# Functional hand washing stations during reporting period]]*100)</f>
        <v>0</v>
      </c>
      <c r="DI694" s="759" t="str">
        <f>IF(OR(WWWW[[#This Row],['#_students at TLS_CFS]]="",WWWW[[#This Row],['#_students at TLS_CFS]]=0),"No","Yes")</f>
        <v>No</v>
      </c>
      <c r="DJ694" s="711">
        <f>VLOOKUP(WWWW[[#This Row],[Site Name]],SiteDB6[[Site Name]:[CCCM Management]],6,FALSE)</f>
        <v>0</v>
      </c>
      <c r="DK694" s="711" t="str">
        <f>VLOOKUP(WWWW[[#This Row],[Site Name]],SiteDB6[[Site Name]:[CCCM Focal Agency]],7,FALSE)</f>
        <v>uncovered</v>
      </c>
      <c r="DL694" s="711" t="str">
        <f>VLOOKUP(WWWW[[#This Row],[Site Name]],SiteDB6[[Site Name]:[Location Type 1]],9,FALSE)</f>
        <v>Camp</v>
      </c>
      <c r="DM694" s="711" t="str">
        <f>VLOOKUP(WWWW[[#This Row],[Site Name]],SiteDB6[[Site Name]:[Type of Accommodation]],10,FALSE)</f>
        <v>Camp like setting</v>
      </c>
      <c r="DN694" s="711" t="str">
        <f>VLOOKUP(WWWW[[#This Row],[Site Name]],SiteDB6[[Site Name]:[Ethnic or GCA/NGCA]],11,FALSE)</f>
        <v>GCA</v>
      </c>
      <c r="DO694" s="711">
        <f>VLOOKUP(WWWW[[#This Row],[Site Name]],SiteDB6[[Site Name]:[Lat]],12,FALSE)</f>
        <v>0</v>
      </c>
      <c r="DP694" s="711">
        <f>VLOOKUP(WWWW[[#This Row],[Site Name]],SiteDB6[[Site Name]:[Long]],13,FALSE)</f>
        <v>0</v>
      </c>
      <c r="DQ694" s="711" t="str">
        <f>VLOOKUP(WWWW[[#This Row],[Site Name]],SiteDB6[[Site Name]:[Pcode]],3,FALSE)</f>
        <v>MMR001CMP258</v>
      </c>
      <c r="DR694" s="709" t="str">
        <f t="shared" si="26"/>
        <v>Notcovered</v>
      </c>
      <c r="DS694" s="709"/>
    </row>
    <row r="695" spans="1:123">
      <c r="A695" s="701" t="s">
        <v>2519</v>
      </c>
      <c r="B695" s="701" t="s">
        <v>149</v>
      </c>
      <c r="C695" s="702" t="s">
        <v>149</v>
      </c>
      <c r="D695" s="702" t="s">
        <v>3268</v>
      </c>
      <c r="E695" s="702" t="s">
        <v>39</v>
      </c>
      <c r="F695" s="702" t="s">
        <v>167</v>
      </c>
      <c r="G695" s="711" t="str">
        <f>VLOOKUP(WWWW[[#This Row],[Site Name]],SiteDB6[[Site Name]:[Location Type]],8,FALSE)</f>
        <v>Camp</v>
      </c>
      <c r="H695" s="702" t="s">
        <v>2194</v>
      </c>
      <c r="I695" s="705">
        <v>169</v>
      </c>
      <c r="J695" s="705">
        <v>724</v>
      </c>
      <c r="K695" s="593" t="s">
        <v>3276</v>
      </c>
      <c r="L695" s="58" t="s">
        <v>3277</v>
      </c>
      <c r="M695" s="705"/>
      <c r="N695" s="705"/>
      <c r="O695" s="705"/>
      <c r="P695" s="705"/>
      <c r="Q695" s="708" t="s">
        <v>43</v>
      </c>
      <c r="R695" s="705"/>
      <c r="S695" s="705"/>
      <c r="T695" s="807">
        <v>1</v>
      </c>
      <c r="U695" s="705"/>
      <c r="V695" s="705"/>
      <c r="W695" s="705">
        <v>3</v>
      </c>
      <c r="X695" s="705"/>
      <c r="Y695" s="705"/>
      <c r="Z695" s="705"/>
      <c r="AA695" s="705"/>
      <c r="AB695" s="705"/>
      <c r="AC695" s="705"/>
      <c r="AD695" s="705">
        <v>900</v>
      </c>
      <c r="AE695" s="705"/>
      <c r="AF695" s="705"/>
      <c r="AG695" s="705"/>
      <c r="AH695" s="705">
        <v>4</v>
      </c>
      <c r="AI695" s="705"/>
      <c r="AJ695" s="705"/>
      <c r="AK695" s="705"/>
      <c r="AL695" s="705"/>
      <c r="AM695" s="705"/>
      <c r="AN695" s="705"/>
      <c r="AO695" s="709"/>
      <c r="AP695" s="705">
        <v>28</v>
      </c>
      <c r="AQ695" s="705"/>
      <c r="AR695" s="710"/>
      <c r="AS695" s="705"/>
      <c r="AT695" s="705"/>
      <c r="AU695" s="705">
        <v>7</v>
      </c>
      <c r="AV695" s="705"/>
      <c r="AW695" s="705">
        <v>10</v>
      </c>
      <c r="AX695" s="711" t="s">
        <v>43</v>
      </c>
      <c r="AY695" s="709" t="s">
        <v>145</v>
      </c>
      <c r="AZ695" s="705"/>
      <c r="BA695" s="705"/>
      <c r="BB695" s="705"/>
      <c r="BC695" s="711"/>
      <c r="BD695" s="705"/>
      <c r="BE695" s="705"/>
      <c r="BF695" s="705"/>
      <c r="BG695" s="705">
        <v>0</v>
      </c>
      <c r="BH695" s="705"/>
      <c r="BI695" s="705"/>
      <c r="BJ695" s="705">
        <v>2</v>
      </c>
      <c r="BK695" s="705"/>
      <c r="BL695" s="705"/>
      <c r="BM695" s="711"/>
      <c r="BN695" s="712"/>
      <c r="BO695" s="710"/>
      <c r="BP695" s="711"/>
      <c r="BQ695" s="713" t="str">
        <f>IFERROR(WWWW[[#This Row],['#_Water sources treated]]/WWWW[[#This Row],['#_Water sources tested for contamination]],"no test")</f>
        <v>no test</v>
      </c>
      <c r="BR695" s="710" t="str">
        <f>IFERROR(WWWW[[#This Row],['#_Household received remediation action due to contamination]]/WWWW[[#This Row],['#_Household water samples tested for contamination]],"no test")</f>
        <v>no test</v>
      </c>
      <c r="BS695" s="712" t="str">
        <f>IF(AND(WWWW[[#This Row],[% of water sources treated]]="no test",WWWW[[#This Row],[% Household received corrective actions]]="no test"),"No Test","Tested")</f>
        <v>No Test</v>
      </c>
      <c r="BT695" s="712">
        <f>WWWW[[#This Row],['#_Constructed/existing protected hand dug well]]-WWWW[[#This Row],['#_Non-functional protected hand dug well]]</f>
        <v>1</v>
      </c>
      <c r="BU695" s="712">
        <f>(WWWW[[#This Row],['#_Constructed/Existing tube wells/boreholes/handpumps_WASH_agency]]+WWWW[[#This Row],['#_Non-Cluster partner water tube-wells/boreholes/handpumps]])-WWWW[[#This Row],['#_Non-functional tube wells/boreholes/handpumps]]</f>
        <v>3</v>
      </c>
      <c r="BV695" s="712">
        <f>WWWW[[#This Row],['#_Constructed/Existingwater storage tank with gravity fed reticulation system]]-WWWW[[#This Row],['#_Non-functional storage tank gravity fed reticulation system]]</f>
        <v>0</v>
      </c>
      <c r="BW695" s="712">
        <f>WWWW[[#This Row],['#_Water boating or water trucking]]</f>
        <v>900</v>
      </c>
      <c r="BX695" s="712">
        <f>WWWW[[#This Row],['#_Constructed/Existing water distribution system from river or natural spring]]</f>
        <v>0</v>
      </c>
      <c r="BY69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9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695" s="710">
        <f>IF(WWWW[[#This Row],[Location Type 1]]="Village",WWWW[[#This Row],[Access to safe drinking water for Village]],WWWW[[#This Row],[Access to safe drinking water for Camp]])</f>
        <v>1</v>
      </c>
      <c r="CB695" s="708">
        <f>WWWW[[#This Row],[%Equitable and continuous access to sufficient quantity of safe drinking water]]*WWWW[[#This Row],[Total PoP ]]</f>
        <v>724</v>
      </c>
      <c r="CC695" s="710">
        <f>IF((WWWW[[#This Row],['#_Constructed/Existing protected/fenced ponds]]*250)/WWWW[[#This Row],[Total PoP ]]&gt;1,1,(WWWW[[#This Row],['#_Constructed/Existing protected/fenced ponds]]*250)/WWWW[[#This Row],[Total PoP ]])</f>
        <v>0</v>
      </c>
      <c r="CD695" s="708">
        <f>WWWW[[#This Row],[% Access to unimproved water points]]*WWWW[[#This Row],[Total PoP ]]</f>
        <v>0</v>
      </c>
      <c r="CE69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9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724</v>
      </c>
      <c r="CG695" s="708">
        <f>WWWW[[#This Row],[HRP1]]/500</f>
        <v>1.448</v>
      </c>
      <c r="CH695" s="714">
        <f>1-WWWW[[#This Row],[% Equitable and continuous access to sufficient quantity of domestic water]]</f>
        <v>0</v>
      </c>
      <c r="CI695" s="708">
        <f>WWWW[[#This Row],[%equitable and continuous access to sufficient quantity of safe drinking and domestic water''s GAP]]*WWWW[[#This Row],[Total PoP ]]</f>
        <v>0</v>
      </c>
      <c r="CJ695" s="712">
        <f>IF(WWWW[[#This Row],[Total required water points]]-WWWW[[#This Row],['#Water points coverage]]&lt;0,0,WWWW[[#This Row],[Total required water points]]-WWWW[[#This Row],['#Water points coverage]])</f>
        <v>0</v>
      </c>
      <c r="CK695" s="712">
        <f>ROUND(IF(WWWW[[#This Row],[Total PoP ]]&lt;500,1,WWWW[[#This Row],[Total PoP ]]/500),0)</f>
        <v>1</v>
      </c>
      <c r="CL695" s="712">
        <f>(WWWW[[#This Row],['#_Constructed latrines_by_WASHAgencies]]+WWWW[[#This Row],['#_Non Cluster partner latrines]])-WWWW[[#This Row],['#_Non-functional latrines]]</f>
        <v>28</v>
      </c>
      <c r="CM69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0.77348066298342544</v>
      </c>
      <c r="CN69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560</v>
      </c>
      <c r="CO69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CP695" s="712">
        <f>IF(WWWW[[#This Row],[Location Type 1]]="Village","NA",IF(WWWW[[#This Row],['#_Constructed/Existing latrines in TLS]]*50&gt;WWWW[[#This Row],['#_students at TLS_CFS]],WWWW[[#This Row],['#_students at TLS_CFS]],(WWWW[[#This Row],['#_Constructed/Existing latrines in TLS]]*50)))</f>
        <v>0</v>
      </c>
      <c r="CQ695" s="712">
        <f>ROUND(IF(WWWW[[#This Row],[Location Type 1]]="camp",WWWW[[#This Row],[Total PoP ]]/20,IF(WWWW[[#This Row],[Location Type 1]]="Temporary Location",WWWW[[#This Row],[Total PoP ]]/50,(WWWW[[#This Row],[Total PoP ]]/6))),0)</f>
        <v>36</v>
      </c>
      <c r="CR695" s="712">
        <f>IF(WWWW[[#This Row],[Total required Latrines]]-(WWWW[[#This Row],['#_Constructed latrines_by_WASHAgencies]]+WWWW[[#This Row],['#_Non Cluster partner latrines]])&lt;0,0,WWWW[[#This Row],[Total required Latrines]]-(WWWW[[#This Row],['#_Constructed latrines_by_WASHAgencies]]+WWWW[[#This Row],['#_Non Cluster partner latrines]]))</f>
        <v>8</v>
      </c>
      <c r="CS695" s="714">
        <f>1-WWWW[[#This Row],[% people access to functioning Latrine]]</f>
        <v>0.22651933701657456</v>
      </c>
      <c r="CT695" s="713">
        <f>IF(OR(WWWW[[#This Row],['#_Non-functional latrines]]="",WWWW[[#This Row],['#_Non-functional latrines]]=0),0,WWWW[[#This Row],['#_Non-functional latrines]]/(WWWW[[#This Row],['#_Constructed latrines_by_WASHAgencies]]+WWWW[[#This Row],['#_Non Cluster partner latrines]]))</f>
        <v>0</v>
      </c>
      <c r="CU695" s="708">
        <f>IF(500*(WWWW[[#This Row],['#_male hygiene promoters]]+WWWW[[#This Row],['#_female hygiene promoters]])&gt;WWWW[[#This Row],[Total PoP ]],WWWW[[#This Row],[Total PoP ]],500*(WWWW[[#This Row],['#_male hygiene promoters]]+WWWW[[#This Row],['#_female hygiene promoters]]))</f>
        <v>724</v>
      </c>
      <c r="CV69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5" s="712">
        <f>IF(WWWW[[#This Row],['# People with access to soap]]&gt;WWWW[[#This Row],['# People with access to Sanity Pads]],WWWW[[#This Row],['# People with access to soap]],WWWW[[#This Row],['# People with access to Sanity Pads]])</f>
        <v>0</v>
      </c>
      <c r="CY695" s="712">
        <f>IF(WWWW[[#This Row],['# people reached by regular dedicated hygiene promotion_5]]&gt;WWWW[[#This Row],['# People received regular supply of hygiene items_6]],WWWW[[#This Row],['# people reached by regular dedicated hygiene promotion_5]],WWWW[[#This Row],['# People received regular supply of hygiene items_6]])</f>
        <v>724</v>
      </c>
      <c r="CZ695" s="714">
        <f>IF(WWWW[[#This Row],[HRP3]]/WWWW[[#This Row],[Total PoP ]]&gt;100%,100%,WWWW[[#This Row],[HRP3]]/WWWW[[#This Row],[Total PoP ]])</f>
        <v>1</v>
      </c>
      <c r="DA695" s="713">
        <f>1-WWWW[[#This Row],[Hygiene Coverage%]]</f>
        <v>0</v>
      </c>
      <c r="DB695" s="710">
        <f>WWWW[[#This Row],['# people reached by regular dedicated hygiene promotion_5]]/WWWW[[#This Row],[Total PoP ]]</f>
        <v>1</v>
      </c>
      <c r="DC695" s="710">
        <f>IF(WWWW[[#This Row],['#_households that received standard amount of soap for this quarter]]/WWWW[[#This Row],[Total HH]]&gt;1,1,WWWW[[#This Row],['#_households that received standard amount of soap for this quarter]]/WWWW[[#This Row],[Total HH]])</f>
        <v>0</v>
      </c>
      <c r="DD695" s="710">
        <f>IF(WWWW[[#This Row],['#_households that received standard amount of sanitary pads for this quarter]]/WWWW[[#This Row],[Total HH]]&gt;1,1,WWWW[[#This Row],['#_households that received standard amount of sanitary pads for this quarter]]/WWWW[[#This Row],[Total HH]])</f>
        <v>0</v>
      </c>
      <c r="DE695" s="712">
        <f>WWWW[[#This Row],['#_Constructed/Existing hand washing stations]]-WWWW[[#This Row],['#_Non-Functional_hand_washing_stations]]</f>
        <v>0</v>
      </c>
      <c r="DF695" s="757">
        <f>IF(WWWW[[#This Row],['# Functional hand washing stations during reporting period]]*20&gt;WWWW[[#This Row],[Total HH]],WWWW[[#This Row],[Total HH]],WWWW[[#This Row],['# Functional hand washing stations during reporting period]]*20)</f>
        <v>0</v>
      </c>
      <c r="DG695" s="708">
        <f>IF(WWWW[[#This Row],[Is sufficient soap available for TLS? (Yes/No)]]="yes",WWWW[[#This Row],['#_Constructed/Existing hand washing stations at TLS]],0)</f>
        <v>0</v>
      </c>
      <c r="DH695" s="759">
        <f>IF(WWWW[[#This Row],['# Functional hand washing stations during reporting period]]*100&gt;WWWW[[#This Row],[Total PoP ]],WWWW[[#This Row],[Total PoP ]],WWWW[[#This Row],['# Functional hand washing stations during reporting period]]*100)</f>
        <v>0</v>
      </c>
      <c r="DI695" s="759" t="str">
        <f>IF(OR(WWWW[[#This Row],['#_students at TLS_CFS]]="",WWWW[[#This Row],['#_students at TLS_CFS]]=0),"No","Yes")</f>
        <v>No</v>
      </c>
      <c r="DJ695" s="711" t="str">
        <f>VLOOKUP(WWWW[[#This Row],[Site Name]],SiteDB6[[Site Name]:[CCCM Management]],6,FALSE)</f>
        <v>Yes</v>
      </c>
      <c r="DK695" s="711" t="str">
        <f>VLOOKUP(WWWW[[#This Row],[Site Name]],SiteDB6[[Site Name]:[CCCM Focal Agency]],7,FALSE)</f>
        <v>KBC-MYT</v>
      </c>
      <c r="DL695" s="711" t="str">
        <f>VLOOKUP(WWWW[[#This Row],[Site Name]],SiteDB6[[Site Name]:[Location Type 1]],9,FALSE)</f>
        <v>Camp</v>
      </c>
      <c r="DM695" s="711" t="str">
        <f>VLOOKUP(WWWW[[#This Row],[Site Name]],SiteDB6[[Site Name]:[Type of Accommodation]],10,FALSE)</f>
        <v>Camp</v>
      </c>
      <c r="DN695" s="711" t="str">
        <f>VLOOKUP(WWWW[[#This Row],[Site Name]],SiteDB6[[Site Name]:[Ethnic or GCA/NGCA]],11,FALSE)</f>
        <v>GCA</v>
      </c>
      <c r="DO695" s="711">
        <f>VLOOKUP(WWWW[[#This Row],[Site Name]],SiteDB6[[Site Name]:[Lat]],12,FALSE)</f>
        <v>25.480989999999998</v>
      </c>
      <c r="DP695" s="711">
        <f>VLOOKUP(WWWW[[#This Row],[Site Name]],SiteDB6[[Site Name]:[Long]],13,FALSE)</f>
        <v>97.431079999999994</v>
      </c>
      <c r="DQ695" s="711" t="str">
        <f>VLOOKUP(WWWW[[#This Row],[Site Name]],SiteDB6[[Site Name]:[Pcode]],3,FALSE)</f>
        <v>MMR001CMP263</v>
      </c>
      <c r="DR695" s="709" t="str">
        <f t="shared" si="26"/>
        <v>Covered</v>
      </c>
      <c r="DS695" s="709"/>
    </row>
    <row r="696" spans="1:123">
      <c r="A696" s="701" t="s">
        <v>2519</v>
      </c>
      <c r="B696" s="701" t="s">
        <v>149</v>
      </c>
      <c r="C696" s="702" t="s">
        <v>149</v>
      </c>
      <c r="D696" s="702" t="s">
        <v>3268</v>
      </c>
      <c r="E696" s="702" t="s">
        <v>39</v>
      </c>
      <c r="F696" s="702" t="s">
        <v>150</v>
      </c>
      <c r="G696" s="711" t="str">
        <f>VLOOKUP(WWWW[[#This Row],[Site Name]],SiteDB6[[Site Name]:[Location Type]],8,FALSE)</f>
        <v>Camp</v>
      </c>
      <c r="H696" s="702" t="s">
        <v>2191</v>
      </c>
      <c r="I696" s="705">
        <v>79</v>
      </c>
      <c r="J696" s="705">
        <v>356</v>
      </c>
      <c r="K696" s="593" t="s">
        <v>3276</v>
      </c>
      <c r="L696" s="58" t="s">
        <v>3277</v>
      </c>
      <c r="M696" s="705"/>
      <c r="N696" s="705"/>
      <c r="O696" s="705"/>
      <c r="P696" s="705"/>
      <c r="Q696" s="708" t="s">
        <v>43</v>
      </c>
      <c r="R696" s="705"/>
      <c r="S696" s="705"/>
      <c r="T696" s="807">
        <v>0</v>
      </c>
      <c r="U696" s="705"/>
      <c r="V696" s="705"/>
      <c r="W696" s="705">
        <v>1</v>
      </c>
      <c r="X696" s="705"/>
      <c r="Y696" s="705"/>
      <c r="Z696" s="705"/>
      <c r="AA696" s="705"/>
      <c r="AB696" s="705"/>
      <c r="AC696" s="705"/>
      <c r="AD696" s="705"/>
      <c r="AE696" s="705"/>
      <c r="AF696" s="705"/>
      <c r="AG696" s="705"/>
      <c r="AH696" s="705">
        <v>3</v>
      </c>
      <c r="AI696" s="705"/>
      <c r="AJ696" s="705"/>
      <c r="AK696" s="705"/>
      <c r="AL696" s="705"/>
      <c r="AM696" s="705"/>
      <c r="AN696" s="705"/>
      <c r="AO696" s="709"/>
      <c r="AP696" s="705">
        <v>8</v>
      </c>
      <c r="AQ696" s="705"/>
      <c r="AR696" s="710"/>
      <c r="AS696" s="705"/>
      <c r="AT696" s="705"/>
      <c r="AU696" s="705">
        <v>2</v>
      </c>
      <c r="AV696" s="705"/>
      <c r="AW696" s="705">
        <v>6</v>
      </c>
      <c r="AX696" s="711" t="s">
        <v>43</v>
      </c>
      <c r="AY696" s="709" t="s">
        <v>145</v>
      </c>
      <c r="AZ696" s="705"/>
      <c r="BA696" s="705"/>
      <c r="BB696" s="705"/>
      <c r="BC696" s="711"/>
      <c r="BD696" s="705"/>
      <c r="BE696" s="705"/>
      <c r="BF696" s="705"/>
      <c r="BG696" s="705">
        <v>0</v>
      </c>
      <c r="BH696" s="705"/>
      <c r="BI696" s="705"/>
      <c r="BJ696" s="705">
        <v>1</v>
      </c>
      <c r="BK696" s="705"/>
      <c r="BL696" s="705"/>
      <c r="BM696" s="711"/>
      <c r="BN696" s="712"/>
      <c r="BO696" s="710"/>
      <c r="BP696" s="711"/>
      <c r="BQ696" s="713" t="str">
        <f>IFERROR(WWWW[[#This Row],['#_Water sources treated]]/WWWW[[#This Row],['#_Water sources tested for contamination]],"no test")</f>
        <v>no test</v>
      </c>
      <c r="BR696" s="710" t="str">
        <f>IFERROR(WWWW[[#This Row],['#_Household received remediation action due to contamination]]/WWWW[[#This Row],['#_Household water samples tested for contamination]],"no test")</f>
        <v>no test</v>
      </c>
      <c r="BS696" s="712" t="str">
        <f>IF(AND(WWWW[[#This Row],[% of water sources treated]]="no test",WWWW[[#This Row],[% Household received corrective actions]]="no test"),"No Test","Tested")</f>
        <v>No Test</v>
      </c>
      <c r="BT696" s="712">
        <f>WWWW[[#This Row],['#_Constructed/existing protected hand dug well]]-WWWW[[#This Row],['#_Non-functional protected hand dug well]]</f>
        <v>0</v>
      </c>
      <c r="BU696" s="712">
        <f>(WWWW[[#This Row],['#_Constructed/Existing tube wells/boreholes/handpumps_WASH_agency]]+WWWW[[#This Row],['#_Non-Cluster partner water tube-wells/boreholes/handpumps]])-WWWW[[#This Row],['#_Non-functional tube wells/boreholes/handpumps]]</f>
        <v>1</v>
      </c>
      <c r="BV696" s="712">
        <f>WWWW[[#This Row],['#_Constructed/Existingwater storage tank with gravity fed reticulation system]]-WWWW[[#This Row],['#_Non-functional storage tank gravity fed reticulation system]]</f>
        <v>0</v>
      </c>
      <c r="BW696" s="712">
        <f>WWWW[[#This Row],['#_Water boating or water trucking]]</f>
        <v>0</v>
      </c>
      <c r="BX696" s="712">
        <f>WWWW[[#This Row],['#_Constructed/Existing water distribution system from river or natural spring]]</f>
        <v>0</v>
      </c>
      <c r="BY69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69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0.702247191011236</v>
      </c>
      <c r="CA696" s="710">
        <f>IF(WWWW[[#This Row],[Location Type 1]]="Village",WWWW[[#This Row],[Access to safe drinking water for Village]],WWWW[[#This Row],[Access to safe drinking water for Camp]])</f>
        <v>1</v>
      </c>
      <c r="CB696" s="708">
        <f>WWWW[[#This Row],[%Equitable and continuous access to sufficient quantity of safe drinking water]]*WWWW[[#This Row],[Total PoP ]]</f>
        <v>356</v>
      </c>
      <c r="CC696" s="710">
        <f>IF((WWWW[[#This Row],['#_Constructed/Existing protected/fenced ponds]]*250)/WWWW[[#This Row],[Total PoP ]]&gt;1,1,(WWWW[[#This Row],['#_Constructed/Existing protected/fenced ponds]]*250)/WWWW[[#This Row],[Total PoP ]])</f>
        <v>0</v>
      </c>
      <c r="CD696" s="708">
        <f>WWWW[[#This Row],[% Access to unimproved water points]]*WWWW[[#This Row],[Total PoP ]]</f>
        <v>0</v>
      </c>
      <c r="CE69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9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356</v>
      </c>
      <c r="CG696" s="708">
        <f>WWWW[[#This Row],[HRP1]]/500</f>
        <v>0.71199999999999997</v>
      </c>
      <c r="CH696" s="714">
        <f>1-WWWW[[#This Row],[% Equitable and continuous access to sufficient quantity of domestic water]]</f>
        <v>0</v>
      </c>
      <c r="CI696" s="708">
        <f>WWWW[[#This Row],[%equitable and continuous access to sufficient quantity of safe drinking and domestic water''s GAP]]*WWWW[[#This Row],[Total PoP ]]</f>
        <v>0</v>
      </c>
      <c r="CJ696" s="712">
        <f>IF(WWWW[[#This Row],[Total required water points]]-WWWW[[#This Row],['#Water points coverage]]&lt;0,0,WWWW[[#This Row],[Total required water points]]-WWWW[[#This Row],['#Water points coverage]])</f>
        <v>0.28800000000000003</v>
      </c>
      <c r="CK696" s="712">
        <f>ROUND(IF(WWWW[[#This Row],[Total PoP ]]&lt;500,1,WWWW[[#This Row],[Total PoP ]]/500),0)</f>
        <v>1</v>
      </c>
      <c r="CL696" s="712">
        <f>(WWWW[[#This Row],['#_Constructed latrines_by_WASHAgencies]]+WWWW[[#This Row],['#_Non Cluster partner latrines]])-WWWW[[#This Row],['#_Non-functional latrines]]</f>
        <v>8</v>
      </c>
      <c r="CM69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0.449438202247191</v>
      </c>
      <c r="CN69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69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CP696" s="712">
        <f>IF(WWWW[[#This Row],[Location Type 1]]="Village","NA",IF(WWWW[[#This Row],['#_Constructed/Existing latrines in TLS]]*50&gt;WWWW[[#This Row],['#_students at TLS_CFS]],WWWW[[#This Row],['#_students at TLS_CFS]],(WWWW[[#This Row],['#_Constructed/Existing latrines in TLS]]*50)))</f>
        <v>0</v>
      </c>
      <c r="CQ696" s="712">
        <f>ROUND(IF(WWWW[[#This Row],[Location Type 1]]="camp",WWWW[[#This Row],[Total PoP ]]/20,IF(WWWW[[#This Row],[Location Type 1]]="Temporary Location",WWWW[[#This Row],[Total PoP ]]/50,(WWWW[[#This Row],[Total PoP ]]/6))),0)</f>
        <v>18</v>
      </c>
      <c r="CR696" s="712">
        <f>IF(WWWW[[#This Row],[Total required Latrines]]-(WWWW[[#This Row],['#_Constructed latrines_by_WASHAgencies]]+WWWW[[#This Row],['#_Non Cluster partner latrines]])&lt;0,0,WWWW[[#This Row],[Total required Latrines]]-(WWWW[[#This Row],['#_Constructed latrines_by_WASHAgencies]]+WWWW[[#This Row],['#_Non Cluster partner latrines]]))</f>
        <v>10</v>
      </c>
      <c r="CS696" s="714">
        <f>1-WWWW[[#This Row],[% people access to functioning Latrine]]</f>
        <v>0.550561797752809</v>
      </c>
      <c r="CT696" s="713">
        <f>IF(OR(WWWW[[#This Row],['#_Non-functional latrines]]="",WWWW[[#This Row],['#_Non-functional latrines]]=0),0,WWWW[[#This Row],['#_Non-functional latrines]]/(WWWW[[#This Row],['#_Constructed latrines_by_WASHAgencies]]+WWWW[[#This Row],['#_Non Cluster partner latrines]]))</f>
        <v>0</v>
      </c>
      <c r="CU696" s="708">
        <f>IF(500*(WWWW[[#This Row],['#_male hygiene promoters]]+WWWW[[#This Row],['#_female hygiene promoters]])&gt;WWWW[[#This Row],[Total PoP ]],WWWW[[#This Row],[Total PoP ]],500*(WWWW[[#This Row],['#_male hygiene promoters]]+WWWW[[#This Row],['#_female hygiene promoters]]))</f>
        <v>356</v>
      </c>
      <c r="CV69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6" s="712">
        <f>IF(WWWW[[#This Row],['# People with access to soap]]&gt;WWWW[[#This Row],['# People with access to Sanity Pads]],WWWW[[#This Row],['# People with access to soap]],WWWW[[#This Row],['# People with access to Sanity Pads]])</f>
        <v>0</v>
      </c>
      <c r="CY696" s="712">
        <f>IF(WWWW[[#This Row],['# people reached by regular dedicated hygiene promotion_5]]&gt;WWWW[[#This Row],['# People received regular supply of hygiene items_6]],WWWW[[#This Row],['# people reached by regular dedicated hygiene promotion_5]],WWWW[[#This Row],['# People received regular supply of hygiene items_6]])</f>
        <v>356</v>
      </c>
      <c r="CZ696" s="714">
        <f>IF(WWWW[[#This Row],[HRP3]]/WWWW[[#This Row],[Total PoP ]]&gt;100%,100%,WWWW[[#This Row],[HRP3]]/WWWW[[#This Row],[Total PoP ]])</f>
        <v>1</v>
      </c>
      <c r="DA696" s="713">
        <f>1-WWWW[[#This Row],[Hygiene Coverage%]]</f>
        <v>0</v>
      </c>
      <c r="DB696" s="710">
        <f>WWWW[[#This Row],['# people reached by regular dedicated hygiene promotion_5]]/WWWW[[#This Row],[Total PoP ]]</f>
        <v>1</v>
      </c>
      <c r="DC696" s="710">
        <f>IF(WWWW[[#This Row],['#_households that received standard amount of soap for this quarter]]/WWWW[[#This Row],[Total HH]]&gt;1,1,WWWW[[#This Row],['#_households that received standard amount of soap for this quarter]]/WWWW[[#This Row],[Total HH]])</f>
        <v>0</v>
      </c>
      <c r="DD696" s="710">
        <f>IF(WWWW[[#This Row],['#_households that received standard amount of sanitary pads for this quarter]]/WWWW[[#This Row],[Total HH]]&gt;1,1,WWWW[[#This Row],['#_households that received standard amount of sanitary pads for this quarter]]/WWWW[[#This Row],[Total HH]])</f>
        <v>0</v>
      </c>
      <c r="DE696" s="712">
        <f>WWWW[[#This Row],['#_Constructed/Existing hand washing stations]]-WWWW[[#This Row],['#_Non-Functional_hand_washing_stations]]</f>
        <v>0</v>
      </c>
      <c r="DF696" s="757">
        <f>IF(WWWW[[#This Row],['# Functional hand washing stations during reporting period]]*20&gt;WWWW[[#This Row],[Total HH]],WWWW[[#This Row],[Total HH]],WWWW[[#This Row],['# Functional hand washing stations during reporting period]]*20)</f>
        <v>0</v>
      </c>
      <c r="DG696" s="708">
        <f>IF(WWWW[[#This Row],[Is sufficient soap available for TLS? (Yes/No)]]="yes",WWWW[[#This Row],['#_Constructed/Existing hand washing stations at TLS]],0)</f>
        <v>0</v>
      </c>
      <c r="DH696" s="759">
        <f>IF(WWWW[[#This Row],['# Functional hand washing stations during reporting period]]*100&gt;WWWW[[#This Row],[Total PoP ]],WWWW[[#This Row],[Total PoP ]],WWWW[[#This Row],['# Functional hand washing stations during reporting period]]*100)</f>
        <v>0</v>
      </c>
      <c r="DI696" s="759" t="str">
        <f>IF(OR(WWWW[[#This Row],['#_students at TLS_CFS]]="",WWWW[[#This Row],['#_students at TLS_CFS]]=0),"No","Yes")</f>
        <v>No</v>
      </c>
      <c r="DJ696" s="711" t="str">
        <f>VLOOKUP(WWWW[[#This Row],[Site Name]],SiteDB6[[Site Name]:[CCCM Management]],6,FALSE)</f>
        <v>Yes</v>
      </c>
      <c r="DK696" s="711" t="str">
        <f>VLOOKUP(WWWW[[#This Row],[Site Name]],SiteDB6[[Site Name]:[CCCM Focal Agency]],7,FALSE)</f>
        <v>KBC-MYT</v>
      </c>
      <c r="DL696" s="711" t="str">
        <f>VLOOKUP(WWWW[[#This Row],[Site Name]],SiteDB6[[Site Name]:[Location Type 1]],9,FALSE)</f>
        <v>Camp</v>
      </c>
      <c r="DM696" s="711" t="str">
        <f>VLOOKUP(WWWW[[#This Row],[Site Name]],SiteDB6[[Site Name]:[Type of Accommodation]],10,FALSE)</f>
        <v>Camp</v>
      </c>
      <c r="DN696" s="711" t="str">
        <f>VLOOKUP(WWWW[[#This Row],[Site Name]],SiteDB6[[Site Name]:[Ethnic or GCA/NGCA]],11,FALSE)</f>
        <v>GCA</v>
      </c>
      <c r="DO696" s="711">
        <f>VLOOKUP(WWWW[[#This Row],[Site Name]],SiteDB6[[Site Name]:[Lat]],12,FALSE)</f>
        <v>0</v>
      </c>
      <c r="DP696" s="711">
        <f>VLOOKUP(WWWW[[#This Row],[Site Name]],SiteDB6[[Site Name]:[Long]],13,FALSE)</f>
        <v>0</v>
      </c>
      <c r="DQ696" s="711" t="str">
        <f>VLOOKUP(WWWW[[#This Row],[Site Name]],SiteDB6[[Site Name]:[Pcode]],3,FALSE)</f>
        <v>MMR001CMP269</v>
      </c>
      <c r="DR696" s="709" t="str">
        <f t="shared" si="26"/>
        <v>Covered</v>
      </c>
      <c r="DS696" s="709"/>
    </row>
    <row r="697" spans="1:123">
      <c r="A697" s="701" t="s">
        <v>2519</v>
      </c>
      <c r="B697" s="701" t="s">
        <v>250</v>
      </c>
      <c r="C697" s="702" t="s">
        <v>250</v>
      </c>
      <c r="D697" s="702" t="s">
        <v>315</v>
      </c>
      <c r="E697" s="702" t="s">
        <v>39</v>
      </c>
      <c r="F697" s="702" t="s">
        <v>156</v>
      </c>
      <c r="G697" s="711" t="str">
        <f>VLOOKUP(WWWW[[#This Row],[Site Name]],SiteDB6[[Site Name]:[Location Type]],8,FALSE)</f>
        <v>Camp</v>
      </c>
      <c r="H697" s="702" t="s">
        <v>269</v>
      </c>
      <c r="I697" s="705">
        <v>32</v>
      </c>
      <c r="J697" s="705">
        <v>172</v>
      </c>
      <c r="K697" s="706">
        <v>43313</v>
      </c>
      <c r="L697" s="707">
        <v>44043</v>
      </c>
      <c r="M697" s="705"/>
      <c r="N697" s="705">
        <v>1</v>
      </c>
      <c r="O697" s="705">
        <v>0</v>
      </c>
      <c r="P697" s="705">
        <v>0</v>
      </c>
      <c r="Q697" s="708" t="s">
        <v>43</v>
      </c>
      <c r="R697" s="705">
        <v>4</v>
      </c>
      <c r="S697" s="705">
        <v>1</v>
      </c>
      <c r="T697" s="807">
        <v>0</v>
      </c>
      <c r="U697" s="705"/>
      <c r="V697" s="705"/>
      <c r="W697" s="705">
        <v>0</v>
      </c>
      <c r="X697" s="705">
        <v>0</v>
      </c>
      <c r="Y697" s="705"/>
      <c r="Z697" s="705"/>
      <c r="AA697" s="705">
        <v>1</v>
      </c>
      <c r="AB697" s="705"/>
      <c r="AC697" s="705"/>
      <c r="AD697" s="705">
        <v>0</v>
      </c>
      <c r="AE697" s="705">
        <v>1</v>
      </c>
      <c r="AF697" s="705">
        <v>1</v>
      </c>
      <c r="AG697" s="705">
        <v>0</v>
      </c>
      <c r="AH697" s="705">
        <v>1</v>
      </c>
      <c r="AI697" s="705"/>
      <c r="AJ697" s="705"/>
      <c r="AK697" s="705"/>
      <c r="AL697" s="705"/>
      <c r="AM697" s="705">
        <v>0</v>
      </c>
      <c r="AN697" s="705">
        <v>0</v>
      </c>
      <c r="AO697" s="709"/>
      <c r="AP697" s="705">
        <v>10</v>
      </c>
      <c r="AQ697" s="705">
        <v>1</v>
      </c>
      <c r="AR697" s="710" t="s">
        <v>250</v>
      </c>
      <c r="AS697" s="705"/>
      <c r="AT697" s="705"/>
      <c r="AU697" s="705"/>
      <c r="AV697" s="705"/>
      <c r="AW697" s="705">
        <v>0</v>
      </c>
      <c r="AX697" s="711" t="s">
        <v>43</v>
      </c>
      <c r="AY697" s="709" t="s">
        <v>144</v>
      </c>
      <c r="AZ697" s="705">
        <v>0</v>
      </c>
      <c r="BA697" s="705">
        <v>0</v>
      </c>
      <c r="BB697" s="705">
        <v>0</v>
      </c>
      <c r="BC697" s="711"/>
      <c r="BD697" s="705">
        <v>2</v>
      </c>
      <c r="BE697" s="705"/>
      <c r="BF697" s="705">
        <v>2</v>
      </c>
      <c r="BG697" s="705">
        <v>0</v>
      </c>
      <c r="BH697" s="705"/>
      <c r="BI697" s="705">
        <v>1</v>
      </c>
      <c r="BJ697" s="705">
        <v>0</v>
      </c>
      <c r="BK697" s="705"/>
      <c r="BL697" s="705"/>
      <c r="BM697" s="711" t="s">
        <v>144</v>
      </c>
      <c r="BN697" s="712"/>
      <c r="BO697" s="710">
        <v>0.05</v>
      </c>
      <c r="BP697" s="711"/>
      <c r="BQ697" s="713" t="str">
        <f>IFERROR(WWWW[[#This Row],['#_Water sources treated]]/WWWW[[#This Row],['#_Water sources tested for contamination]],"no test")</f>
        <v>no test</v>
      </c>
      <c r="BR697" s="710" t="str">
        <f>IFERROR(WWWW[[#This Row],['#_Household received remediation action due to contamination]]/WWWW[[#This Row],['#_Household water samples tested for contamination]],"no test")</f>
        <v>no test</v>
      </c>
      <c r="BS697" s="712" t="str">
        <f>IF(AND(WWWW[[#This Row],[% of water sources treated]]="no test",WWWW[[#This Row],[% Household received corrective actions]]="no test"),"No Test","Tested")</f>
        <v>No Test</v>
      </c>
      <c r="BT697" s="712">
        <f>WWWW[[#This Row],['#_Constructed/existing protected hand dug well]]-WWWW[[#This Row],['#_Non-functional protected hand dug well]]</f>
        <v>0</v>
      </c>
      <c r="BU697" s="712">
        <f>(WWWW[[#This Row],['#_Constructed/Existing tube wells/boreholes/handpumps_WASH_agency]]+WWWW[[#This Row],['#_Non-Cluster partner water tube-wells/boreholes/handpumps]])-WWWW[[#This Row],['#_Non-functional tube wells/boreholes/handpumps]]</f>
        <v>0</v>
      </c>
      <c r="BV697" s="712">
        <f>WWWW[[#This Row],['#_Constructed/Existingwater storage tank with gravity fed reticulation system]]-WWWW[[#This Row],['#_Non-functional storage tank gravity fed reticulation system]]</f>
        <v>1</v>
      </c>
      <c r="BW697" s="712">
        <f>WWWW[[#This Row],['#_Water boating or water trucking]]</f>
        <v>0</v>
      </c>
      <c r="BX697" s="712">
        <f>WWWW[[#This Row],['#_Constructed/Existing water distribution system from river or natural spring]]</f>
        <v>1</v>
      </c>
      <c r="BY69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0.38798449612403102</v>
      </c>
      <c r="BZ69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0.38798449612403102</v>
      </c>
      <c r="CA697" s="710">
        <f>IF(WWWW[[#This Row],[Location Type 1]]="Village",WWWW[[#This Row],[Access to safe drinking water for Village]],WWWW[[#This Row],[Access to safe drinking water for Camp]])</f>
        <v>0.38798449612403102</v>
      </c>
      <c r="CB697" s="708">
        <f>WWWW[[#This Row],[%Equitable and continuous access to sufficient quantity of safe drinking water]]*WWWW[[#This Row],[Total PoP ]]</f>
        <v>66.733333333333334</v>
      </c>
      <c r="CC697" s="710">
        <f>IF((WWWW[[#This Row],['#_Constructed/Existing protected/fenced ponds]]*250)/WWWW[[#This Row],[Total PoP ]]&gt;1,1,(WWWW[[#This Row],['#_Constructed/Existing protected/fenced ponds]]*250)/WWWW[[#This Row],[Total PoP ]])</f>
        <v>1</v>
      </c>
      <c r="CD697" s="708">
        <f>WWWW[[#This Row],[% Access to unimproved water points]]*WWWW[[#This Row],[Total PoP ]]</f>
        <v>172</v>
      </c>
      <c r="CE69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69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CG697" s="708">
        <f>WWWW[[#This Row],[HRP1]]/500</f>
        <v>0.34399999999999997</v>
      </c>
      <c r="CH697" s="714">
        <f>1-WWWW[[#This Row],[% Equitable and continuous access to sufficient quantity of domestic water]]</f>
        <v>0</v>
      </c>
      <c r="CI697" s="708">
        <f>WWWW[[#This Row],[%equitable and continuous access to sufficient quantity of safe drinking and domestic water''s GAP]]*WWWW[[#This Row],[Total PoP ]]</f>
        <v>0</v>
      </c>
      <c r="CJ697" s="712">
        <f>IF(WWWW[[#This Row],[Total required water points]]-WWWW[[#This Row],['#Water points coverage]]&lt;0,0,WWWW[[#This Row],[Total required water points]]-WWWW[[#This Row],['#Water points coverage]])</f>
        <v>0.65600000000000003</v>
      </c>
      <c r="CK697" s="712">
        <f>ROUND(IF(WWWW[[#This Row],[Total PoP ]]&lt;500,1,WWWW[[#This Row],[Total PoP ]]/500),0)</f>
        <v>1</v>
      </c>
      <c r="CL697" s="712">
        <f>(WWWW[[#This Row],['#_Constructed latrines_by_WASHAgencies]]+WWWW[[#This Row],['#_Non Cluster partner latrines]])-WWWW[[#This Row],['#_Non-functional latrines]]</f>
        <v>11</v>
      </c>
      <c r="CM69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9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172</v>
      </c>
      <c r="CO69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7" s="712">
        <f>IF(WWWW[[#This Row],[Location Type 1]]="Village","NA",IF(WWWW[[#This Row],['#_Constructed/Existing latrines in TLS]]*50&gt;WWWW[[#This Row],['#_students at TLS_CFS]],WWWW[[#This Row],['#_students at TLS_CFS]],(WWWW[[#This Row],['#_Constructed/Existing latrines in TLS]]*50)))</f>
        <v>0</v>
      </c>
      <c r="CQ697" s="712">
        <f>ROUND(IF(WWWW[[#This Row],[Location Type 1]]="camp",WWWW[[#This Row],[Total PoP ]]/20,IF(WWWW[[#This Row],[Location Type 1]]="Temporary Location",WWWW[[#This Row],[Total PoP ]]/50,(WWWW[[#This Row],[Total PoP ]]/6))),0)</f>
        <v>9</v>
      </c>
      <c r="CR697" s="712">
        <f>IF(WWWW[[#This Row],[Total required Latrines]]-(WWWW[[#This Row],['#_Constructed latrines_by_WASHAgencies]]+WWWW[[#This Row],['#_Non Cluster partner latrines]])&lt;0,0,WWWW[[#This Row],[Total required Latrines]]-(WWWW[[#This Row],['#_Constructed latrines_by_WASHAgencies]]+WWWW[[#This Row],['#_Non Cluster partner latrines]]))</f>
        <v>0</v>
      </c>
      <c r="CS697" s="714">
        <f>1-WWWW[[#This Row],[% people access to functioning Latrine]]</f>
        <v>0</v>
      </c>
      <c r="CT697" s="713">
        <f>IF(OR(WWWW[[#This Row],['#_Non-functional latrines]]="",WWWW[[#This Row],['#_Non-functional latrines]]=0),0,WWWW[[#This Row],['#_Non-functional latrines]]/(WWWW[[#This Row],['#_Constructed latrines_by_WASHAgencies]]+WWWW[[#This Row],['#_Non Cluster partner latrines]]))</f>
        <v>0</v>
      </c>
      <c r="CU697" s="708">
        <f>IF(500*(WWWW[[#This Row],['#_male hygiene promoters]]+WWWW[[#This Row],['#_female hygiene promoters]])&gt;WWWW[[#This Row],[Total PoP ]],WWWW[[#This Row],[Total PoP ]],500*(WWWW[[#This Row],['#_male hygiene promoters]]+WWWW[[#This Row],['#_female hygiene promoters]]))</f>
        <v>172</v>
      </c>
      <c r="CV69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7" s="712">
        <f>IF(WWWW[[#This Row],['# People with access to soap]]&gt;WWWW[[#This Row],['# People with access to Sanity Pads]],WWWW[[#This Row],['# People with access to soap]],WWWW[[#This Row],['# People with access to Sanity Pads]])</f>
        <v>0</v>
      </c>
      <c r="CY697" s="712">
        <f>IF(WWWW[[#This Row],['# people reached by regular dedicated hygiene promotion_5]]&gt;WWWW[[#This Row],['# People received regular supply of hygiene items_6]],WWWW[[#This Row],['# people reached by regular dedicated hygiene promotion_5]],WWWW[[#This Row],['# People received regular supply of hygiene items_6]])</f>
        <v>172</v>
      </c>
      <c r="CZ697" s="714">
        <f>IF(WWWW[[#This Row],[HRP3]]/WWWW[[#This Row],[Total PoP ]]&gt;100%,100%,WWWW[[#This Row],[HRP3]]/WWWW[[#This Row],[Total PoP ]])</f>
        <v>1</v>
      </c>
      <c r="DA697" s="713">
        <f>1-WWWW[[#This Row],[Hygiene Coverage%]]</f>
        <v>0</v>
      </c>
      <c r="DB697" s="710">
        <f>WWWW[[#This Row],['# people reached by regular dedicated hygiene promotion_5]]/WWWW[[#This Row],[Total PoP ]]</f>
        <v>1</v>
      </c>
      <c r="DC697" s="710">
        <f>IF(WWWW[[#This Row],['#_households that received standard amount of soap for this quarter]]/WWWW[[#This Row],[Total HH]]&gt;1,1,WWWW[[#This Row],['#_households that received standard amount of soap for this quarter]]/WWWW[[#This Row],[Total HH]])</f>
        <v>0</v>
      </c>
      <c r="DD697" s="710">
        <f>IF(WWWW[[#This Row],['#_households that received standard amount of sanitary pads for this quarter]]/WWWW[[#This Row],[Total HH]]&gt;1,1,WWWW[[#This Row],['#_households that received standard amount of sanitary pads for this quarter]]/WWWW[[#This Row],[Total HH]])</f>
        <v>0</v>
      </c>
      <c r="DE697" s="712">
        <f>WWWW[[#This Row],['#_Constructed/Existing hand washing stations]]-WWWW[[#This Row],['#_Non-Functional_hand_washing_stations]]</f>
        <v>2</v>
      </c>
      <c r="DF697" s="757">
        <f>IF(WWWW[[#This Row],['# Functional hand washing stations during reporting period]]*20&gt;WWWW[[#This Row],[Total HH]],WWWW[[#This Row],[Total HH]],WWWW[[#This Row],['# Functional hand washing stations during reporting period]]*20)</f>
        <v>32</v>
      </c>
      <c r="DG697" s="708">
        <f>IF(WWWW[[#This Row],[Is sufficient soap available for TLS? (Yes/No)]]="yes",WWWW[[#This Row],['#_Constructed/Existing hand washing stations at TLS]],0)</f>
        <v>0</v>
      </c>
      <c r="DH697" s="759">
        <f>IF(WWWW[[#This Row],['# Functional hand washing stations during reporting period]]*100&gt;WWWW[[#This Row],[Total PoP ]],WWWW[[#This Row],[Total PoP ]],WWWW[[#This Row],['# Functional hand washing stations during reporting period]]*100)</f>
        <v>172</v>
      </c>
      <c r="DI697" s="759" t="str">
        <f>IF(OR(WWWW[[#This Row],['#_students at TLS_CFS]]="",WWWW[[#This Row],['#_students at TLS_CFS]]=0),"No","Yes")</f>
        <v>No</v>
      </c>
      <c r="DJ697" s="711" t="str">
        <f>VLOOKUP(WWWW[[#This Row],[Site Name]],SiteDB6[[Site Name]:[CCCM Management]],6,FALSE)</f>
        <v>Yes</v>
      </c>
      <c r="DK697" s="711" t="str">
        <f>VLOOKUP(WWWW[[#This Row],[Site Name]],SiteDB6[[Site Name]:[CCCM Focal Agency]],7,FALSE)</f>
        <v>KBC</v>
      </c>
      <c r="DL697" s="711" t="str">
        <f>VLOOKUP(WWWW[[#This Row],[Site Name]],SiteDB6[[Site Name]:[Location Type 1]],9,FALSE)</f>
        <v>Camp</v>
      </c>
      <c r="DM697" s="711" t="str">
        <f>VLOOKUP(WWWW[[#This Row],[Site Name]],SiteDB6[[Site Name]:[Type of Accommodation]],10,FALSE)</f>
        <v>Camp</v>
      </c>
      <c r="DN697" s="711" t="str">
        <f>VLOOKUP(WWWW[[#This Row],[Site Name]],SiteDB6[[Site Name]:[Ethnic or GCA/NGCA]],11,FALSE)</f>
        <v>GCA</v>
      </c>
      <c r="DO697" s="711">
        <f>VLOOKUP(WWWW[[#This Row],[Site Name]],SiteDB6[[Site Name]:[Lat]],12,FALSE)</f>
        <v>25.577559999999998</v>
      </c>
      <c r="DP697" s="711">
        <f>VLOOKUP(WWWW[[#This Row],[Site Name]],SiteDB6[[Site Name]:[Long]],13,FALSE)</f>
        <v>96.286680000000004</v>
      </c>
      <c r="DQ697" s="711" t="str">
        <f>VLOOKUP(WWWW[[#This Row],[Site Name]],SiteDB6[[Site Name]:[Pcode]],3,FALSE)</f>
        <v>MMR001CMP184</v>
      </c>
      <c r="DR697" s="709" t="str">
        <f t="shared" si="26"/>
        <v>Covered</v>
      </c>
      <c r="DS697" s="709"/>
    </row>
    <row r="698" spans="1:123">
      <c r="A698" s="701" t="s">
        <v>2519</v>
      </c>
      <c r="B698" s="701" t="s">
        <v>250</v>
      </c>
      <c r="C698" s="702" t="s">
        <v>250</v>
      </c>
      <c r="D698" s="702" t="s">
        <v>315</v>
      </c>
      <c r="E698" s="702" t="s">
        <v>39</v>
      </c>
      <c r="F698" s="702" t="s">
        <v>156</v>
      </c>
      <c r="G698" s="711" t="str">
        <f>VLOOKUP(WWWW[[#This Row],[Site Name]],SiteDB6[[Site Name]:[Location Type]],8,FALSE)</f>
        <v>Camp</v>
      </c>
      <c r="H698" s="702" t="s">
        <v>270</v>
      </c>
      <c r="I698" s="705">
        <v>15</v>
      </c>
      <c r="J698" s="705">
        <v>67</v>
      </c>
      <c r="K698" s="706">
        <v>43313</v>
      </c>
      <c r="L698" s="707">
        <v>44043</v>
      </c>
      <c r="M698" s="705"/>
      <c r="N698" s="705">
        <v>1</v>
      </c>
      <c r="O698" s="705">
        <v>0</v>
      </c>
      <c r="P698" s="705">
        <v>0</v>
      </c>
      <c r="Q698" s="708" t="s">
        <v>43</v>
      </c>
      <c r="R698" s="705">
        <v>2</v>
      </c>
      <c r="S698" s="705">
        <v>2</v>
      </c>
      <c r="T698" s="807">
        <v>0</v>
      </c>
      <c r="U698" s="705"/>
      <c r="V698" s="705"/>
      <c r="W698" s="705">
        <v>0</v>
      </c>
      <c r="X698" s="705">
        <v>0</v>
      </c>
      <c r="Y698" s="705"/>
      <c r="Z698" s="705"/>
      <c r="AA698" s="705">
        <v>0</v>
      </c>
      <c r="AB698" s="705"/>
      <c r="AC698" s="705"/>
      <c r="AD698" s="705">
        <v>0</v>
      </c>
      <c r="AE698" s="705">
        <v>0</v>
      </c>
      <c r="AF698" s="705">
        <v>0</v>
      </c>
      <c r="AG698" s="705">
        <v>0</v>
      </c>
      <c r="AH698" s="705">
        <v>0</v>
      </c>
      <c r="AI698" s="705"/>
      <c r="AJ698" s="705"/>
      <c r="AK698" s="705"/>
      <c r="AL698" s="705"/>
      <c r="AM698" s="705">
        <v>0</v>
      </c>
      <c r="AN698" s="705">
        <v>0</v>
      </c>
      <c r="AO698" s="709"/>
      <c r="AP698" s="705">
        <v>4</v>
      </c>
      <c r="AQ698" s="705">
        <v>1</v>
      </c>
      <c r="AR698" s="710" t="s">
        <v>3110</v>
      </c>
      <c r="AS698" s="705"/>
      <c r="AT698" s="705"/>
      <c r="AU698" s="705"/>
      <c r="AV698" s="705"/>
      <c r="AW698" s="705">
        <v>0</v>
      </c>
      <c r="AX698" s="711" t="s">
        <v>43</v>
      </c>
      <c r="AY698" s="709" t="s">
        <v>144</v>
      </c>
      <c r="AZ698" s="705">
        <v>0</v>
      </c>
      <c r="BA698" s="705">
        <v>0</v>
      </c>
      <c r="BB698" s="705">
        <v>0</v>
      </c>
      <c r="BC698" s="711"/>
      <c r="BD698" s="705">
        <v>0</v>
      </c>
      <c r="BE698" s="705"/>
      <c r="BF698" s="705">
        <v>0</v>
      </c>
      <c r="BG698" s="705">
        <v>2</v>
      </c>
      <c r="BH698" s="705"/>
      <c r="BI698" s="705">
        <v>2</v>
      </c>
      <c r="BJ698" s="705">
        <v>0</v>
      </c>
      <c r="BK698" s="705"/>
      <c r="BL698" s="705"/>
      <c r="BM698" s="711" t="s">
        <v>144</v>
      </c>
      <c r="BN698" s="712"/>
      <c r="BO698" s="710">
        <v>0.65</v>
      </c>
      <c r="BP698" s="711"/>
      <c r="BQ698" s="713" t="str">
        <f>IFERROR(WWWW[[#This Row],['#_Water sources treated]]/WWWW[[#This Row],['#_Water sources tested for contamination]],"no test")</f>
        <v>no test</v>
      </c>
      <c r="BR698" s="710" t="str">
        <f>IFERROR(WWWW[[#This Row],['#_Household received remediation action due to contamination]]/WWWW[[#This Row],['#_Household water samples tested for contamination]],"no test")</f>
        <v>no test</v>
      </c>
      <c r="BS698" s="712" t="str">
        <f>IF(AND(WWWW[[#This Row],[% of water sources treated]]="no test",WWWW[[#This Row],[% Household received corrective actions]]="no test"),"No Test","Tested")</f>
        <v>No Test</v>
      </c>
      <c r="BT698" s="712">
        <f>WWWW[[#This Row],['#_Constructed/existing protected hand dug well]]-WWWW[[#This Row],['#_Non-functional protected hand dug well]]</f>
        <v>0</v>
      </c>
      <c r="BU698" s="712">
        <f>(WWWW[[#This Row],['#_Constructed/Existing tube wells/boreholes/handpumps_WASH_agency]]+WWWW[[#This Row],['#_Non-Cluster partner water tube-wells/boreholes/handpumps]])-WWWW[[#This Row],['#_Non-functional tube wells/boreholes/handpumps]]</f>
        <v>0</v>
      </c>
      <c r="BV698" s="712">
        <f>WWWW[[#This Row],['#_Constructed/Existingwater storage tank with gravity fed reticulation system]]-WWWW[[#This Row],['#_Non-functional storage tank gravity fed reticulation system]]</f>
        <v>0</v>
      </c>
      <c r="BW698" s="712">
        <f>WWWW[[#This Row],['#_Water boating or water trucking]]</f>
        <v>0</v>
      </c>
      <c r="BX698" s="712">
        <f>WWWW[[#This Row],['#_Constructed/Existing water distribution system from river or natural spring]]</f>
        <v>0</v>
      </c>
      <c r="BY69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9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98" s="710">
        <f>IF(WWWW[[#This Row],[Location Type 1]]="Village",WWWW[[#This Row],[Access to safe drinking water for Village]],WWWW[[#This Row],[Access to safe drinking water for Camp]])</f>
        <v>0</v>
      </c>
      <c r="CB698" s="708">
        <f>WWWW[[#This Row],[%Equitable and continuous access to sufficient quantity of safe drinking water]]*WWWW[[#This Row],[Total PoP ]]</f>
        <v>0</v>
      </c>
      <c r="CC698" s="710">
        <f>IF((WWWW[[#This Row],['#_Constructed/Existing protected/fenced ponds]]*250)/WWWW[[#This Row],[Total PoP ]]&gt;1,1,(WWWW[[#This Row],['#_Constructed/Existing protected/fenced ponds]]*250)/WWWW[[#This Row],[Total PoP ]])</f>
        <v>0</v>
      </c>
      <c r="CD698" s="708">
        <f>WWWW[[#This Row],[% Access to unimproved water points]]*WWWW[[#This Row],[Total PoP ]]</f>
        <v>0</v>
      </c>
      <c r="CE69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9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98" s="708">
        <f>WWWW[[#This Row],[HRP1]]/500</f>
        <v>0</v>
      </c>
      <c r="CH698" s="714">
        <f>1-WWWW[[#This Row],[% Equitable and continuous access to sufficient quantity of domestic water]]</f>
        <v>1</v>
      </c>
      <c r="CI698" s="708">
        <f>WWWW[[#This Row],[%equitable and continuous access to sufficient quantity of safe drinking and domestic water''s GAP]]*WWWW[[#This Row],[Total PoP ]]</f>
        <v>67</v>
      </c>
      <c r="CJ698" s="712">
        <f>IF(WWWW[[#This Row],[Total required water points]]-WWWW[[#This Row],['#Water points coverage]]&lt;0,0,WWWW[[#This Row],[Total required water points]]-WWWW[[#This Row],['#Water points coverage]])</f>
        <v>1</v>
      </c>
      <c r="CK698" s="712">
        <f>ROUND(IF(WWWW[[#This Row],[Total PoP ]]&lt;500,1,WWWW[[#This Row],[Total PoP ]]/500),0)</f>
        <v>1</v>
      </c>
      <c r="CL698" s="712">
        <f>(WWWW[[#This Row],['#_Constructed latrines_by_WASHAgencies]]+WWWW[[#This Row],['#_Non Cluster partner latrines]])-WWWW[[#This Row],['#_Non-functional latrines]]</f>
        <v>5</v>
      </c>
      <c r="CM69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69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67</v>
      </c>
      <c r="CO69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8" s="712">
        <f>IF(WWWW[[#This Row],[Location Type 1]]="Village","NA",IF(WWWW[[#This Row],['#_Constructed/Existing latrines in TLS]]*50&gt;WWWW[[#This Row],['#_students at TLS_CFS]],WWWW[[#This Row],['#_students at TLS_CFS]],(WWWW[[#This Row],['#_Constructed/Existing latrines in TLS]]*50)))</f>
        <v>0</v>
      </c>
      <c r="CQ698" s="712">
        <f>ROUND(IF(WWWW[[#This Row],[Location Type 1]]="camp",WWWW[[#This Row],[Total PoP ]]/20,IF(WWWW[[#This Row],[Location Type 1]]="Temporary Location",WWWW[[#This Row],[Total PoP ]]/50,(WWWW[[#This Row],[Total PoP ]]/6))),0)</f>
        <v>3</v>
      </c>
      <c r="CR698" s="712">
        <f>IF(WWWW[[#This Row],[Total required Latrines]]-(WWWW[[#This Row],['#_Constructed latrines_by_WASHAgencies]]+WWWW[[#This Row],['#_Non Cluster partner latrines]])&lt;0,0,WWWW[[#This Row],[Total required Latrines]]-(WWWW[[#This Row],['#_Constructed latrines_by_WASHAgencies]]+WWWW[[#This Row],['#_Non Cluster partner latrines]]))</f>
        <v>0</v>
      </c>
      <c r="CS698" s="714">
        <f>1-WWWW[[#This Row],[% people access to functioning Latrine]]</f>
        <v>0</v>
      </c>
      <c r="CT698" s="713">
        <f>IF(OR(WWWW[[#This Row],['#_Non-functional latrines]]="",WWWW[[#This Row],['#_Non-functional latrines]]=0),0,WWWW[[#This Row],['#_Non-functional latrines]]/(WWWW[[#This Row],['#_Constructed latrines_by_WASHAgencies]]+WWWW[[#This Row],['#_Non Cluster partner latrines]]))</f>
        <v>0</v>
      </c>
      <c r="CU698" s="708">
        <f>IF(500*(WWWW[[#This Row],['#_male hygiene promoters]]+WWWW[[#This Row],['#_female hygiene promoters]])&gt;WWWW[[#This Row],[Total PoP ]],WWWW[[#This Row],[Total PoP ]],500*(WWWW[[#This Row],['#_male hygiene promoters]]+WWWW[[#This Row],['#_female hygiene promoters]]))</f>
        <v>67</v>
      </c>
      <c r="CV69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8" s="712">
        <f>IF(WWWW[[#This Row],['# People with access to soap]]&gt;WWWW[[#This Row],['# People with access to Sanity Pads]],WWWW[[#This Row],['# People with access to soap]],WWWW[[#This Row],['# People with access to Sanity Pads]])</f>
        <v>0</v>
      </c>
      <c r="CY698" s="712">
        <f>IF(WWWW[[#This Row],['# people reached by regular dedicated hygiene promotion_5]]&gt;WWWW[[#This Row],['# People received regular supply of hygiene items_6]],WWWW[[#This Row],['# people reached by regular dedicated hygiene promotion_5]],WWWW[[#This Row],['# People received regular supply of hygiene items_6]])</f>
        <v>67</v>
      </c>
      <c r="CZ698" s="714">
        <f>IF(WWWW[[#This Row],[HRP3]]/WWWW[[#This Row],[Total PoP ]]&gt;100%,100%,WWWW[[#This Row],[HRP3]]/WWWW[[#This Row],[Total PoP ]])</f>
        <v>1</v>
      </c>
      <c r="DA698" s="713">
        <f>1-WWWW[[#This Row],[Hygiene Coverage%]]</f>
        <v>0</v>
      </c>
      <c r="DB698" s="710">
        <f>WWWW[[#This Row],['# people reached by regular dedicated hygiene promotion_5]]/WWWW[[#This Row],[Total PoP ]]</f>
        <v>1</v>
      </c>
      <c r="DC698" s="710">
        <f>IF(WWWW[[#This Row],['#_households that received standard amount of soap for this quarter]]/WWWW[[#This Row],[Total HH]]&gt;1,1,WWWW[[#This Row],['#_households that received standard amount of soap for this quarter]]/WWWW[[#This Row],[Total HH]])</f>
        <v>0</v>
      </c>
      <c r="DD698" s="710">
        <f>IF(WWWW[[#This Row],['#_households that received standard amount of sanitary pads for this quarter]]/WWWW[[#This Row],[Total HH]]&gt;1,1,WWWW[[#This Row],['#_households that received standard amount of sanitary pads for this quarter]]/WWWW[[#This Row],[Total HH]])</f>
        <v>0</v>
      </c>
      <c r="DE698" s="712">
        <f>WWWW[[#This Row],['#_Constructed/Existing hand washing stations]]-WWWW[[#This Row],['#_Non-Functional_hand_washing_stations]]</f>
        <v>0</v>
      </c>
      <c r="DF698" s="757">
        <f>IF(WWWW[[#This Row],['# Functional hand washing stations during reporting period]]*20&gt;WWWW[[#This Row],[Total HH]],WWWW[[#This Row],[Total HH]],WWWW[[#This Row],['# Functional hand washing stations during reporting period]]*20)</f>
        <v>0</v>
      </c>
      <c r="DG698" s="708">
        <f>IF(WWWW[[#This Row],[Is sufficient soap available for TLS? (Yes/No)]]="yes",WWWW[[#This Row],['#_Constructed/Existing hand washing stations at TLS]],0)</f>
        <v>0</v>
      </c>
      <c r="DH698" s="759">
        <f>IF(WWWW[[#This Row],['# Functional hand washing stations during reporting period]]*100&gt;WWWW[[#This Row],[Total PoP ]],WWWW[[#This Row],[Total PoP ]],WWWW[[#This Row],['# Functional hand washing stations during reporting period]]*100)</f>
        <v>0</v>
      </c>
      <c r="DI698" s="759" t="str">
        <f>IF(OR(WWWW[[#This Row],['#_students at TLS_CFS]]="",WWWW[[#This Row],['#_students at TLS_CFS]]=0),"No","Yes")</f>
        <v>No</v>
      </c>
      <c r="DJ698" s="711" t="str">
        <f>VLOOKUP(WWWW[[#This Row],[Site Name]],SiteDB6[[Site Name]:[CCCM Management]],6,FALSE)</f>
        <v>Yes</v>
      </c>
      <c r="DK698" s="711" t="str">
        <f>VLOOKUP(WWWW[[#This Row],[Site Name]],SiteDB6[[Site Name]:[CCCM Focal Agency]],7,FALSE)</f>
        <v>KBC</v>
      </c>
      <c r="DL698" s="711" t="str">
        <f>VLOOKUP(WWWW[[#This Row],[Site Name]],SiteDB6[[Site Name]:[Location Type 1]],9,FALSE)</f>
        <v>Camp</v>
      </c>
      <c r="DM698" s="711" t="str">
        <f>VLOOKUP(WWWW[[#This Row],[Site Name]],SiteDB6[[Site Name]:[Type of Accommodation]],10,FALSE)</f>
        <v>Camp</v>
      </c>
      <c r="DN698" s="711" t="str">
        <f>VLOOKUP(WWWW[[#This Row],[Site Name]],SiteDB6[[Site Name]:[Ethnic or GCA/NGCA]],11,FALSE)</f>
        <v>GCA</v>
      </c>
      <c r="DO698" s="711">
        <f>VLOOKUP(WWWW[[#This Row],[Site Name]],SiteDB6[[Site Name]:[Lat]],12,FALSE)</f>
        <v>25.599250000000001</v>
      </c>
      <c r="DP698" s="711">
        <f>VLOOKUP(WWWW[[#This Row],[Site Name]],SiteDB6[[Site Name]:[Long]],13,FALSE)</f>
        <v>96.306910999999999</v>
      </c>
      <c r="DQ698" s="711" t="str">
        <f>VLOOKUP(WWWW[[#This Row],[Site Name]],SiteDB6[[Site Name]:[Pcode]],3,FALSE)</f>
        <v>MMR001CMP105</v>
      </c>
      <c r="DR698" s="709" t="str">
        <f t="shared" si="26"/>
        <v>Covered</v>
      </c>
      <c r="DS698" s="709"/>
    </row>
    <row r="699" spans="1:123">
      <c r="A699" s="701" t="s">
        <v>2519</v>
      </c>
      <c r="B699" s="701" t="s">
        <v>200</v>
      </c>
      <c r="C699" s="702" t="s">
        <v>200</v>
      </c>
      <c r="D699" s="702" t="s">
        <v>226</v>
      </c>
      <c r="E699" s="702" t="s">
        <v>39</v>
      </c>
      <c r="F699" s="702" t="s">
        <v>150</v>
      </c>
      <c r="G699" s="711" t="str">
        <f>VLOOKUP(WWWW[[#This Row],[Site Name]],SiteDB6[[Site Name]:[Location Type]],8,FALSE)</f>
        <v>Camp_not registered</v>
      </c>
      <c r="H699" s="702" t="s">
        <v>231</v>
      </c>
      <c r="I699" s="705">
        <v>134</v>
      </c>
      <c r="J699" s="705">
        <v>709</v>
      </c>
      <c r="K699" s="706"/>
      <c r="L699" s="707">
        <v>43281</v>
      </c>
      <c r="M699" s="705"/>
      <c r="N699" s="705"/>
      <c r="O699" s="705"/>
      <c r="P699" s="705"/>
      <c r="Q699" s="708"/>
      <c r="R699" s="705"/>
      <c r="S699" s="705"/>
      <c r="T699" s="807"/>
      <c r="U699" s="705"/>
      <c r="V699" s="705"/>
      <c r="W699" s="705"/>
      <c r="X699" s="705"/>
      <c r="Y699" s="705"/>
      <c r="Z699" s="705"/>
      <c r="AA699" s="705"/>
      <c r="AB699" s="705"/>
      <c r="AC699" s="705"/>
      <c r="AD699" s="705"/>
      <c r="AE699" s="705"/>
      <c r="AF699" s="705"/>
      <c r="AG699" s="705"/>
      <c r="AH699" s="705"/>
      <c r="AI699" s="705"/>
      <c r="AJ699" s="705"/>
      <c r="AK699" s="705"/>
      <c r="AL699" s="705"/>
      <c r="AM699" s="705"/>
      <c r="AN699" s="705"/>
      <c r="AO699" s="709"/>
      <c r="AP699" s="705"/>
      <c r="AQ699" s="705"/>
      <c r="AR699" s="710"/>
      <c r="AS699" s="705"/>
      <c r="AT699" s="705"/>
      <c r="AU699" s="705"/>
      <c r="AV699" s="705"/>
      <c r="AW699" s="705"/>
      <c r="AX699" s="711" t="s">
        <v>43</v>
      </c>
      <c r="AY699" s="709" t="s">
        <v>1200</v>
      </c>
      <c r="AZ699" s="705"/>
      <c r="BA699" s="705"/>
      <c r="BB699" s="705"/>
      <c r="BC699" s="711"/>
      <c r="BD699" s="705"/>
      <c r="BE699" s="705"/>
      <c r="BF699" s="705"/>
      <c r="BG699" s="705"/>
      <c r="BH699" s="705"/>
      <c r="BI699" s="705"/>
      <c r="BJ699" s="705"/>
      <c r="BK699" s="705"/>
      <c r="BL699" s="705"/>
      <c r="BM699" s="711"/>
      <c r="BN699" s="712"/>
      <c r="BO699" s="710"/>
      <c r="BP699" s="711"/>
      <c r="BQ699" s="713" t="str">
        <f>IFERROR(WWWW[[#This Row],['#_Water sources treated]]/WWWW[[#This Row],['#_Water sources tested for contamination]],"no test")</f>
        <v>no test</v>
      </c>
      <c r="BR699" s="710" t="str">
        <f>IFERROR(WWWW[[#This Row],['#_Household received remediation action due to contamination]]/WWWW[[#This Row],['#_Household water samples tested for contamination]],"no test")</f>
        <v>no test</v>
      </c>
      <c r="BS699" s="712" t="str">
        <f>IF(AND(WWWW[[#This Row],[% of water sources treated]]="no test",WWWW[[#This Row],[% Household received corrective actions]]="no test"),"No Test","Tested")</f>
        <v>No Test</v>
      </c>
      <c r="BT699" s="712">
        <f>WWWW[[#This Row],['#_Constructed/existing protected hand dug well]]-WWWW[[#This Row],['#_Non-functional protected hand dug well]]</f>
        <v>0</v>
      </c>
      <c r="BU699" s="712">
        <f>(WWWW[[#This Row],['#_Constructed/Existing tube wells/boreholes/handpumps_WASH_agency]]+WWWW[[#This Row],['#_Non-Cluster partner water tube-wells/boreholes/handpumps]])-WWWW[[#This Row],['#_Non-functional tube wells/boreholes/handpumps]]</f>
        <v>0</v>
      </c>
      <c r="BV699" s="712">
        <f>WWWW[[#This Row],['#_Constructed/Existingwater storage tank with gravity fed reticulation system]]-WWWW[[#This Row],['#_Non-functional storage tank gravity fed reticulation system]]</f>
        <v>0</v>
      </c>
      <c r="BW699" s="712">
        <f>WWWW[[#This Row],['#_Water boating or water trucking]]</f>
        <v>0</v>
      </c>
      <c r="BX699" s="712">
        <f>WWWW[[#This Row],['#_Constructed/Existing water distribution system from river or natural spring]]</f>
        <v>0</v>
      </c>
      <c r="BY69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69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699" s="710">
        <f>IF(WWWW[[#This Row],[Location Type 1]]="Village",WWWW[[#This Row],[Access to safe drinking water for Village]],WWWW[[#This Row],[Access to safe drinking water for Camp]])</f>
        <v>0</v>
      </c>
      <c r="CB699" s="708">
        <f>WWWW[[#This Row],[%Equitable and continuous access to sufficient quantity of safe drinking water]]*WWWW[[#This Row],[Total PoP ]]</f>
        <v>0</v>
      </c>
      <c r="CC699" s="710">
        <f>IF((WWWW[[#This Row],['#_Constructed/Existing protected/fenced ponds]]*250)/WWWW[[#This Row],[Total PoP ]]&gt;1,1,(WWWW[[#This Row],['#_Constructed/Existing protected/fenced ponds]]*250)/WWWW[[#This Row],[Total PoP ]])</f>
        <v>0</v>
      </c>
      <c r="CD699" s="708">
        <f>WWWW[[#This Row],[% Access to unimproved water points]]*WWWW[[#This Row],[Total PoP ]]</f>
        <v>0</v>
      </c>
      <c r="CE69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69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699" s="708">
        <f>WWWW[[#This Row],[HRP1]]/500</f>
        <v>0</v>
      </c>
      <c r="CH699" s="714">
        <f>1-WWWW[[#This Row],[% Equitable and continuous access to sufficient quantity of domestic water]]</f>
        <v>1</v>
      </c>
      <c r="CI699" s="708">
        <f>WWWW[[#This Row],[%equitable and continuous access to sufficient quantity of safe drinking and domestic water''s GAP]]*WWWW[[#This Row],[Total PoP ]]</f>
        <v>709</v>
      </c>
      <c r="CJ699" s="712">
        <f>IF(WWWW[[#This Row],[Total required water points]]-WWWW[[#This Row],['#Water points coverage]]&lt;0,0,WWWW[[#This Row],[Total required water points]]-WWWW[[#This Row],['#Water points coverage]])</f>
        <v>1</v>
      </c>
      <c r="CK699" s="712">
        <f>ROUND(IF(WWWW[[#This Row],[Total PoP ]]&lt;500,1,WWWW[[#This Row],[Total PoP ]]/500),0)</f>
        <v>1</v>
      </c>
      <c r="CL699" s="712">
        <f>(WWWW[[#This Row],['#_Constructed latrines_by_WASHAgencies]]+WWWW[[#This Row],['#_Non Cluster partner latrines]])-WWWW[[#This Row],['#_Non-functional latrines]]</f>
        <v>0</v>
      </c>
      <c r="CM69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69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69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699" s="712">
        <f>IF(WWWW[[#This Row],[Location Type 1]]="Village","NA",IF(WWWW[[#This Row],['#_Constructed/Existing latrines in TLS]]*50&gt;WWWW[[#This Row],['#_students at TLS_CFS]],WWWW[[#This Row],['#_students at TLS_CFS]],(WWWW[[#This Row],['#_Constructed/Existing latrines in TLS]]*50)))</f>
        <v>0</v>
      </c>
      <c r="CQ699" s="712">
        <f>ROUND(IF(WWWW[[#This Row],[Location Type 1]]="camp",WWWW[[#This Row],[Total PoP ]]/20,IF(WWWW[[#This Row],[Location Type 1]]="Temporary Location",WWWW[[#This Row],[Total PoP ]]/50,(WWWW[[#This Row],[Total PoP ]]/6))),0)</f>
        <v>35</v>
      </c>
      <c r="CR699" s="712">
        <f>IF(WWWW[[#This Row],[Total required Latrines]]-(WWWW[[#This Row],['#_Constructed latrines_by_WASHAgencies]]+WWWW[[#This Row],['#_Non Cluster partner latrines]])&lt;0,0,WWWW[[#This Row],[Total required Latrines]]-(WWWW[[#This Row],['#_Constructed latrines_by_WASHAgencies]]+WWWW[[#This Row],['#_Non Cluster partner latrines]]))</f>
        <v>35</v>
      </c>
      <c r="CS699" s="714">
        <f>1-WWWW[[#This Row],[% people access to functioning Latrine]]</f>
        <v>1</v>
      </c>
      <c r="CT699" s="713">
        <f>IF(OR(WWWW[[#This Row],['#_Non-functional latrines]]="",WWWW[[#This Row],['#_Non-functional latrines]]=0),0,WWWW[[#This Row],['#_Non-functional latrines]]/(WWWW[[#This Row],['#_Constructed latrines_by_WASHAgencies]]+WWWW[[#This Row],['#_Non Cluster partner latrines]]))</f>
        <v>0</v>
      </c>
      <c r="CU699" s="708">
        <f>IF(500*(WWWW[[#This Row],['#_male hygiene promoters]]+WWWW[[#This Row],['#_female hygiene promoters]])&gt;WWWW[[#This Row],[Total PoP ]],WWWW[[#This Row],[Total PoP ]],500*(WWWW[[#This Row],['#_male hygiene promoters]]+WWWW[[#This Row],['#_female hygiene promoters]]))</f>
        <v>0</v>
      </c>
      <c r="CV69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69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699" s="712">
        <f>IF(WWWW[[#This Row],['# People with access to soap]]&gt;WWWW[[#This Row],['# People with access to Sanity Pads]],WWWW[[#This Row],['# People with access to soap]],WWWW[[#This Row],['# People with access to Sanity Pads]])</f>
        <v>0</v>
      </c>
      <c r="CY699"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699" s="714">
        <f>IF(WWWW[[#This Row],[HRP3]]/WWWW[[#This Row],[Total PoP ]]&gt;100%,100%,WWWW[[#This Row],[HRP3]]/WWWW[[#This Row],[Total PoP ]])</f>
        <v>0</v>
      </c>
      <c r="DA699" s="713">
        <f>1-WWWW[[#This Row],[Hygiene Coverage%]]</f>
        <v>1</v>
      </c>
      <c r="DB699" s="710">
        <f>WWWW[[#This Row],['# people reached by regular dedicated hygiene promotion_5]]/WWWW[[#This Row],[Total PoP ]]</f>
        <v>0</v>
      </c>
      <c r="DC699" s="710">
        <f>IF(WWWW[[#This Row],['#_households that received standard amount of soap for this quarter]]/WWWW[[#This Row],[Total HH]]&gt;1,1,WWWW[[#This Row],['#_households that received standard amount of soap for this quarter]]/WWWW[[#This Row],[Total HH]])</f>
        <v>0</v>
      </c>
      <c r="DD699" s="710">
        <f>IF(WWWW[[#This Row],['#_households that received standard amount of sanitary pads for this quarter]]/WWWW[[#This Row],[Total HH]]&gt;1,1,WWWW[[#This Row],['#_households that received standard amount of sanitary pads for this quarter]]/WWWW[[#This Row],[Total HH]])</f>
        <v>0</v>
      </c>
      <c r="DE699" s="712">
        <f>WWWW[[#This Row],['#_Constructed/Existing hand washing stations]]-WWWW[[#This Row],['#_Non-Functional_hand_washing_stations]]</f>
        <v>0</v>
      </c>
      <c r="DF699" s="757">
        <f>IF(WWWW[[#This Row],['# Functional hand washing stations during reporting period]]*20&gt;WWWW[[#This Row],[Total HH]],WWWW[[#This Row],[Total HH]],WWWW[[#This Row],['# Functional hand washing stations during reporting period]]*20)</f>
        <v>0</v>
      </c>
      <c r="DG699" s="708">
        <f>IF(WWWW[[#This Row],[Is sufficient soap available for TLS? (Yes/No)]]="yes",WWWW[[#This Row],['#_Constructed/Existing hand washing stations at TLS]],0)</f>
        <v>0</v>
      </c>
      <c r="DH699" s="759">
        <f>IF(WWWW[[#This Row],['# Functional hand washing stations during reporting period]]*100&gt;WWWW[[#This Row],[Total PoP ]],WWWW[[#This Row],[Total PoP ]],WWWW[[#This Row],['# Functional hand washing stations during reporting period]]*100)</f>
        <v>0</v>
      </c>
      <c r="DI699" s="759" t="str">
        <f>IF(OR(WWWW[[#This Row],['#_students at TLS_CFS]]="",WWWW[[#This Row],['#_students at TLS_CFS]]=0),"No","Yes")</f>
        <v>No</v>
      </c>
      <c r="DJ699" s="711">
        <f>VLOOKUP(WWWW[[#This Row],[Site Name]],SiteDB6[[Site Name]:[CCCM Management]],6,FALSE)</f>
        <v>0</v>
      </c>
      <c r="DK699" s="711">
        <f>VLOOKUP(WWWW[[#This Row],[Site Name]],SiteDB6[[Site Name]:[CCCM Focal Agency]],7,FALSE)</f>
        <v>0</v>
      </c>
      <c r="DL699" s="711" t="str">
        <f>VLOOKUP(WWWW[[#This Row],[Site Name]],SiteDB6[[Site Name]:[Location Type 1]],9,FALSE)</f>
        <v>Camp</v>
      </c>
      <c r="DM699" s="711" t="str">
        <f>VLOOKUP(WWWW[[#This Row],[Site Name]],SiteDB6[[Site Name]:[Type of Accommodation]],10,FALSE)</f>
        <v>CAMP</v>
      </c>
      <c r="DN699" s="711" t="str">
        <f>VLOOKUP(WWWW[[#This Row],[Site Name]],SiteDB6[[Site Name]:[Ethnic or GCA/NGCA]],11,FALSE)</f>
        <v>NGCA</v>
      </c>
      <c r="DO699" s="711">
        <f>VLOOKUP(WWWW[[#This Row],[Site Name]],SiteDB6[[Site Name]:[Lat]],12,FALSE)</f>
        <v>0</v>
      </c>
      <c r="DP699" s="711">
        <f>VLOOKUP(WWWW[[#This Row],[Site Name]],SiteDB6[[Site Name]:[Long]],13,FALSE)</f>
        <v>0</v>
      </c>
      <c r="DQ699" s="711">
        <f>VLOOKUP(WWWW[[#This Row],[Site Name]],SiteDB6[[Site Name]:[Pcode]],3,FALSE)</f>
        <v>0</v>
      </c>
      <c r="DR699" s="709" t="str">
        <f t="shared" si="26"/>
        <v>Covered</v>
      </c>
      <c r="DS699" s="709"/>
    </row>
    <row r="700" spans="1:123">
      <c r="A700" s="701" t="s">
        <v>2519</v>
      </c>
      <c r="B700" s="701" t="s">
        <v>200</v>
      </c>
      <c r="C700" s="702" t="s">
        <v>200</v>
      </c>
      <c r="D700" s="702" t="s">
        <v>226</v>
      </c>
      <c r="E700" s="702" t="s">
        <v>39</v>
      </c>
      <c r="F700" s="702" t="s">
        <v>150</v>
      </c>
      <c r="G700" s="711" t="str">
        <f>VLOOKUP(WWWW[[#This Row],[Site Name]],SiteDB6[[Site Name]:[Location Type]],8,FALSE)</f>
        <v>Camp_not registered</v>
      </c>
      <c r="H700" s="702" t="s">
        <v>230</v>
      </c>
      <c r="I700" s="705">
        <v>546</v>
      </c>
      <c r="J700" s="705">
        <v>2550</v>
      </c>
      <c r="K700" s="706"/>
      <c r="L700" s="707">
        <v>43281</v>
      </c>
      <c r="M700" s="705"/>
      <c r="N700" s="705"/>
      <c r="O700" s="705"/>
      <c r="P700" s="705"/>
      <c r="Q700" s="708"/>
      <c r="R700" s="705"/>
      <c r="S700" s="705"/>
      <c r="T700" s="807"/>
      <c r="U700" s="705"/>
      <c r="V700" s="705"/>
      <c r="W700" s="705"/>
      <c r="X700" s="705"/>
      <c r="Y700" s="705"/>
      <c r="Z700" s="705"/>
      <c r="AA700" s="705"/>
      <c r="AB700" s="705"/>
      <c r="AC700" s="705"/>
      <c r="AD700" s="705"/>
      <c r="AE700" s="705"/>
      <c r="AF700" s="705"/>
      <c r="AG700" s="705"/>
      <c r="AH700" s="705"/>
      <c r="AI700" s="705"/>
      <c r="AJ700" s="705"/>
      <c r="AK700" s="705"/>
      <c r="AL700" s="705"/>
      <c r="AM700" s="705"/>
      <c r="AN700" s="705"/>
      <c r="AO700" s="709"/>
      <c r="AP700" s="705"/>
      <c r="AQ700" s="705"/>
      <c r="AR700" s="710"/>
      <c r="AS700" s="705"/>
      <c r="AT700" s="705"/>
      <c r="AU700" s="705"/>
      <c r="AV700" s="705"/>
      <c r="AW700" s="705"/>
      <c r="AX700" s="711" t="s">
        <v>144</v>
      </c>
      <c r="AY700" s="709" t="s">
        <v>144</v>
      </c>
      <c r="AZ700" s="705"/>
      <c r="BA700" s="705"/>
      <c r="BB700" s="705"/>
      <c r="BC700" s="711"/>
      <c r="BD700" s="705"/>
      <c r="BE700" s="705"/>
      <c r="BF700" s="705"/>
      <c r="BG700" s="705"/>
      <c r="BH700" s="705"/>
      <c r="BI700" s="705"/>
      <c r="BJ700" s="705"/>
      <c r="BK700" s="705"/>
      <c r="BL700" s="705"/>
      <c r="BM700" s="711"/>
      <c r="BN700" s="712"/>
      <c r="BO700" s="710"/>
      <c r="BP700" s="711"/>
      <c r="BQ700" s="713" t="str">
        <f>IFERROR(WWWW[[#This Row],['#_Water sources treated]]/WWWW[[#This Row],['#_Water sources tested for contamination]],"no test")</f>
        <v>no test</v>
      </c>
      <c r="BR700" s="710" t="str">
        <f>IFERROR(WWWW[[#This Row],['#_Household received remediation action due to contamination]]/WWWW[[#This Row],['#_Household water samples tested for contamination]],"no test")</f>
        <v>no test</v>
      </c>
      <c r="BS700" s="712" t="str">
        <f>IF(AND(WWWW[[#This Row],[% of water sources treated]]="no test",WWWW[[#This Row],[% Household received corrective actions]]="no test"),"No Test","Tested")</f>
        <v>No Test</v>
      </c>
      <c r="BT700" s="712">
        <f>WWWW[[#This Row],['#_Constructed/existing protected hand dug well]]-WWWW[[#This Row],['#_Non-functional protected hand dug well]]</f>
        <v>0</v>
      </c>
      <c r="BU700" s="712">
        <f>(WWWW[[#This Row],['#_Constructed/Existing tube wells/boreholes/handpumps_WASH_agency]]+WWWW[[#This Row],['#_Non-Cluster partner water tube-wells/boreholes/handpumps]])-WWWW[[#This Row],['#_Non-functional tube wells/boreholes/handpumps]]</f>
        <v>0</v>
      </c>
      <c r="BV700" s="712">
        <f>WWWW[[#This Row],['#_Constructed/Existingwater storage tank with gravity fed reticulation system]]-WWWW[[#This Row],['#_Non-functional storage tank gravity fed reticulation system]]</f>
        <v>0</v>
      </c>
      <c r="BW700" s="712">
        <f>WWWW[[#This Row],['#_Water boating or water trucking]]</f>
        <v>0</v>
      </c>
      <c r="BX700" s="712">
        <f>WWWW[[#This Row],['#_Constructed/Existing water distribution system from river or natural spring]]</f>
        <v>0</v>
      </c>
      <c r="BY70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0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00" s="710">
        <f>IF(WWWW[[#This Row],[Location Type 1]]="Village",WWWW[[#This Row],[Access to safe drinking water for Village]],WWWW[[#This Row],[Access to safe drinking water for Camp]])</f>
        <v>0</v>
      </c>
      <c r="CB700" s="708">
        <f>WWWW[[#This Row],[%Equitable and continuous access to sufficient quantity of safe drinking water]]*WWWW[[#This Row],[Total PoP ]]</f>
        <v>0</v>
      </c>
      <c r="CC700" s="710">
        <f>IF((WWWW[[#This Row],['#_Constructed/Existing protected/fenced ponds]]*250)/WWWW[[#This Row],[Total PoP ]]&gt;1,1,(WWWW[[#This Row],['#_Constructed/Existing protected/fenced ponds]]*250)/WWWW[[#This Row],[Total PoP ]])</f>
        <v>0</v>
      </c>
      <c r="CD700" s="708">
        <f>WWWW[[#This Row],[% Access to unimproved water points]]*WWWW[[#This Row],[Total PoP ]]</f>
        <v>0</v>
      </c>
      <c r="CE70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0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00" s="708">
        <f>WWWW[[#This Row],[HRP1]]/500</f>
        <v>0</v>
      </c>
      <c r="CH700" s="714">
        <f>1-WWWW[[#This Row],[% Equitable and continuous access to sufficient quantity of domestic water]]</f>
        <v>1</v>
      </c>
      <c r="CI700" s="708">
        <f>WWWW[[#This Row],[%equitable and continuous access to sufficient quantity of safe drinking and domestic water''s GAP]]*WWWW[[#This Row],[Total PoP ]]</f>
        <v>2550</v>
      </c>
      <c r="CJ700" s="712">
        <f>IF(WWWW[[#This Row],[Total required water points]]-WWWW[[#This Row],['#Water points coverage]]&lt;0,0,WWWW[[#This Row],[Total required water points]]-WWWW[[#This Row],['#Water points coverage]])</f>
        <v>5</v>
      </c>
      <c r="CK700" s="712">
        <f>ROUND(IF(WWWW[[#This Row],[Total PoP ]]&lt;500,1,WWWW[[#This Row],[Total PoP ]]/500),0)</f>
        <v>5</v>
      </c>
      <c r="CL700" s="712">
        <f>(WWWW[[#This Row],['#_Constructed latrines_by_WASHAgencies]]+WWWW[[#This Row],['#_Non Cluster partner latrines]])-WWWW[[#This Row],['#_Non-functional latrines]]</f>
        <v>0</v>
      </c>
      <c r="CM70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0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0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0" s="712">
        <f>IF(WWWW[[#This Row],[Location Type 1]]="Village","NA",IF(WWWW[[#This Row],['#_Constructed/Existing latrines in TLS]]*50&gt;WWWW[[#This Row],['#_students at TLS_CFS]],WWWW[[#This Row],['#_students at TLS_CFS]],(WWWW[[#This Row],['#_Constructed/Existing latrines in TLS]]*50)))</f>
        <v>0</v>
      </c>
      <c r="CQ700" s="712">
        <f>ROUND(IF(WWWW[[#This Row],[Location Type 1]]="camp",WWWW[[#This Row],[Total PoP ]]/20,IF(WWWW[[#This Row],[Location Type 1]]="Temporary Location",WWWW[[#This Row],[Total PoP ]]/50,(WWWW[[#This Row],[Total PoP ]]/6))),0)</f>
        <v>128</v>
      </c>
      <c r="CR700" s="712">
        <f>IF(WWWW[[#This Row],[Total required Latrines]]-(WWWW[[#This Row],['#_Constructed latrines_by_WASHAgencies]]+WWWW[[#This Row],['#_Non Cluster partner latrines]])&lt;0,0,WWWW[[#This Row],[Total required Latrines]]-(WWWW[[#This Row],['#_Constructed latrines_by_WASHAgencies]]+WWWW[[#This Row],['#_Non Cluster partner latrines]]))</f>
        <v>128</v>
      </c>
      <c r="CS700" s="714">
        <f>1-WWWW[[#This Row],[% people access to functioning Latrine]]</f>
        <v>1</v>
      </c>
      <c r="CT700" s="713">
        <f>IF(OR(WWWW[[#This Row],['#_Non-functional latrines]]="",WWWW[[#This Row],['#_Non-functional latrines]]=0),0,WWWW[[#This Row],['#_Non-functional latrines]]/(WWWW[[#This Row],['#_Constructed latrines_by_WASHAgencies]]+WWWW[[#This Row],['#_Non Cluster partner latrines]]))</f>
        <v>0</v>
      </c>
      <c r="CU700" s="708">
        <f>IF(500*(WWWW[[#This Row],['#_male hygiene promoters]]+WWWW[[#This Row],['#_female hygiene promoters]])&gt;WWWW[[#This Row],[Total PoP ]],WWWW[[#This Row],[Total PoP ]],500*(WWWW[[#This Row],['#_male hygiene promoters]]+WWWW[[#This Row],['#_female hygiene promoters]]))</f>
        <v>0</v>
      </c>
      <c r="CV70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0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0" s="712">
        <f>IF(WWWW[[#This Row],['# People with access to soap]]&gt;WWWW[[#This Row],['# People with access to Sanity Pads]],WWWW[[#This Row],['# People with access to soap]],WWWW[[#This Row],['# People with access to Sanity Pads]])</f>
        <v>0</v>
      </c>
      <c r="CY70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00" s="714">
        <f>IF(WWWW[[#This Row],[HRP3]]/WWWW[[#This Row],[Total PoP ]]&gt;100%,100%,WWWW[[#This Row],[HRP3]]/WWWW[[#This Row],[Total PoP ]])</f>
        <v>0</v>
      </c>
      <c r="DA700" s="713">
        <f>1-WWWW[[#This Row],[Hygiene Coverage%]]</f>
        <v>1</v>
      </c>
      <c r="DB700" s="710">
        <f>WWWW[[#This Row],['# people reached by regular dedicated hygiene promotion_5]]/WWWW[[#This Row],[Total PoP ]]</f>
        <v>0</v>
      </c>
      <c r="DC700" s="710">
        <f>IF(WWWW[[#This Row],['#_households that received standard amount of soap for this quarter]]/WWWW[[#This Row],[Total HH]]&gt;1,1,WWWW[[#This Row],['#_households that received standard amount of soap for this quarter]]/WWWW[[#This Row],[Total HH]])</f>
        <v>0</v>
      </c>
      <c r="DD700" s="710">
        <f>IF(WWWW[[#This Row],['#_households that received standard amount of sanitary pads for this quarter]]/WWWW[[#This Row],[Total HH]]&gt;1,1,WWWW[[#This Row],['#_households that received standard amount of sanitary pads for this quarter]]/WWWW[[#This Row],[Total HH]])</f>
        <v>0</v>
      </c>
      <c r="DE700" s="712">
        <f>WWWW[[#This Row],['#_Constructed/Existing hand washing stations]]-WWWW[[#This Row],['#_Non-Functional_hand_washing_stations]]</f>
        <v>0</v>
      </c>
      <c r="DF700" s="757">
        <f>IF(WWWW[[#This Row],['# Functional hand washing stations during reporting period]]*20&gt;WWWW[[#This Row],[Total HH]],WWWW[[#This Row],[Total HH]],WWWW[[#This Row],['# Functional hand washing stations during reporting period]]*20)</f>
        <v>0</v>
      </c>
      <c r="DG700" s="708">
        <f>IF(WWWW[[#This Row],[Is sufficient soap available for TLS? (Yes/No)]]="yes",WWWW[[#This Row],['#_Constructed/Existing hand washing stations at TLS]],0)</f>
        <v>0</v>
      </c>
      <c r="DH700" s="759">
        <f>IF(WWWW[[#This Row],['# Functional hand washing stations during reporting period]]*100&gt;WWWW[[#This Row],[Total PoP ]],WWWW[[#This Row],[Total PoP ]],WWWW[[#This Row],['# Functional hand washing stations during reporting period]]*100)</f>
        <v>0</v>
      </c>
      <c r="DI700" s="759" t="str">
        <f>IF(OR(WWWW[[#This Row],['#_students at TLS_CFS]]="",WWWW[[#This Row],['#_students at TLS_CFS]]=0),"No","Yes")</f>
        <v>No</v>
      </c>
      <c r="DJ700" s="711">
        <f>VLOOKUP(WWWW[[#This Row],[Site Name]],SiteDB6[[Site Name]:[CCCM Management]],6,FALSE)</f>
        <v>0</v>
      </c>
      <c r="DK700" s="711">
        <f>VLOOKUP(WWWW[[#This Row],[Site Name]],SiteDB6[[Site Name]:[CCCM Focal Agency]],7,FALSE)</f>
        <v>0</v>
      </c>
      <c r="DL700" s="711" t="str">
        <f>VLOOKUP(WWWW[[#This Row],[Site Name]],SiteDB6[[Site Name]:[Location Type 1]],9,FALSE)</f>
        <v>Camp</v>
      </c>
      <c r="DM700" s="711" t="str">
        <f>VLOOKUP(WWWW[[#This Row],[Site Name]],SiteDB6[[Site Name]:[Type of Accommodation]],10,FALSE)</f>
        <v>Host Families</v>
      </c>
      <c r="DN700" s="711" t="str">
        <f>VLOOKUP(WWWW[[#This Row],[Site Name]],SiteDB6[[Site Name]:[Ethnic or GCA/NGCA]],11,FALSE)</f>
        <v>NGCA</v>
      </c>
      <c r="DO700" s="711">
        <f>VLOOKUP(WWWW[[#This Row],[Site Name]],SiteDB6[[Site Name]:[Lat]],12,FALSE)</f>
        <v>0</v>
      </c>
      <c r="DP700" s="711">
        <f>VLOOKUP(WWWW[[#This Row],[Site Name]],SiteDB6[[Site Name]:[Long]],13,FALSE)</f>
        <v>0</v>
      </c>
      <c r="DQ700" s="711">
        <f>VLOOKUP(WWWW[[#This Row],[Site Name]],SiteDB6[[Site Name]:[Pcode]],3,FALSE)</f>
        <v>0</v>
      </c>
      <c r="DR700" s="709" t="str">
        <f t="shared" si="26"/>
        <v>Covered</v>
      </c>
      <c r="DS700" s="709"/>
    </row>
    <row r="701" spans="1:123">
      <c r="A701" s="701" t="s">
        <v>2519</v>
      </c>
      <c r="B701" s="701" t="s">
        <v>200</v>
      </c>
      <c r="C701" s="702" t="s">
        <v>200</v>
      </c>
      <c r="D701" s="702" t="s">
        <v>2960</v>
      </c>
      <c r="E701" s="702" t="s">
        <v>39</v>
      </c>
      <c r="F701" s="702" t="s">
        <v>203</v>
      </c>
      <c r="G701" s="711" t="str">
        <f>VLOOKUP(WWWW[[#This Row],[Site Name]],SiteDB6[[Site Name]:[Location Type]],8,FALSE)</f>
        <v>Camp</v>
      </c>
      <c r="H701" s="702" t="s">
        <v>212</v>
      </c>
      <c r="I701" s="705">
        <v>10</v>
      </c>
      <c r="J701" s="705">
        <v>59</v>
      </c>
      <c r="K701" s="706">
        <v>43466</v>
      </c>
      <c r="L701" s="707">
        <v>43830</v>
      </c>
      <c r="M701" s="705"/>
      <c r="N701" s="705"/>
      <c r="O701" s="705"/>
      <c r="P701" s="705"/>
      <c r="Q701" s="708" t="s">
        <v>144</v>
      </c>
      <c r="R701" s="705"/>
      <c r="S701" s="705"/>
      <c r="T701" s="807"/>
      <c r="U701" s="705"/>
      <c r="V701" s="705"/>
      <c r="W701" s="705"/>
      <c r="X701" s="705">
        <v>1</v>
      </c>
      <c r="Y701" s="705"/>
      <c r="Z701" s="705"/>
      <c r="AA701" s="705"/>
      <c r="AB701" s="705"/>
      <c r="AC701" s="705"/>
      <c r="AD701" s="705"/>
      <c r="AE701" s="705"/>
      <c r="AF701" s="705"/>
      <c r="AG701" s="705"/>
      <c r="AH701" s="705"/>
      <c r="AI701" s="705"/>
      <c r="AJ701" s="705"/>
      <c r="AK701" s="705"/>
      <c r="AL701" s="705"/>
      <c r="AM701" s="705"/>
      <c r="AN701" s="705"/>
      <c r="AO701" s="709"/>
      <c r="AP701" s="705">
        <v>10</v>
      </c>
      <c r="AQ701" s="705"/>
      <c r="AR701" s="710"/>
      <c r="AS701" s="705"/>
      <c r="AT701" s="705"/>
      <c r="AU701" s="705"/>
      <c r="AV701" s="705"/>
      <c r="AW701" s="705"/>
      <c r="AX701" s="711" t="s">
        <v>43</v>
      </c>
      <c r="AY701" s="709" t="s">
        <v>145</v>
      </c>
      <c r="AZ701" s="705"/>
      <c r="BA701" s="705"/>
      <c r="BB701" s="705"/>
      <c r="BC701" s="711"/>
      <c r="BD701" s="705">
        <v>1</v>
      </c>
      <c r="BE701" s="705"/>
      <c r="BF701" s="705"/>
      <c r="BG701" s="705">
        <v>2</v>
      </c>
      <c r="BH701" s="705"/>
      <c r="BI701" s="705"/>
      <c r="BJ701" s="705"/>
      <c r="BK701" s="705">
        <v>10</v>
      </c>
      <c r="BL701" s="705">
        <v>1</v>
      </c>
      <c r="BM701" s="711"/>
      <c r="BN701" s="712"/>
      <c r="BO701" s="710"/>
      <c r="BP701" s="711"/>
      <c r="BQ701" s="713" t="str">
        <f>IFERROR(WWWW[[#This Row],['#_Water sources treated]]/WWWW[[#This Row],['#_Water sources tested for contamination]],"no test")</f>
        <v>no test</v>
      </c>
      <c r="BR701" s="710" t="str">
        <f>IFERROR(WWWW[[#This Row],['#_Household received remediation action due to contamination]]/WWWW[[#This Row],['#_Household water samples tested for contamination]],"no test")</f>
        <v>no test</v>
      </c>
      <c r="BS701" s="712" t="str">
        <f>IF(AND(WWWW[[#This Row],[% of water sources treated]]="no test",WWWW[[#This Row],[% Household received corrective actions]]="no test"),"No Test","Tested")</f>
        <v>No Test</v>
      </c>
      <c r="BT701" s="712">
        <f>WWWW[[#This Row],['#_Constructed/existing protected hand dug well]]-WWWW[[#This Row],['#_Non-functional protected hand dug well]]</f>
        <v>0</v>
      </c>
      <c r="BU701" s="712">
        <f>(WWWW[[#This Row],['#_Constructed/Existing tube wells/boreholes/handpumps_WASH_agency]]+WWWW[[#This Row],['#_Non-Cluster partner water tube-wells/boreholes/handpumps]])-WWWW[[#This Row],['#_Non-functional tube wells/boreholes/handpumps]]</f>
        <v>1</v>
      </c>
      <c r="BV701" s="712">
        <f>WWWW[[#This Row],['#_Constructed/Existingwater storage tank with gravity fed reticulation system]]-WWWW[[#This Row],['#_Non-functional storage tank gravity fed reticulation system]]</f>
        <v>0</v>
      </c>
      <c r="BW701" s="712">
        <f>WWWW[[#This Row],['#_Water boating or water trucking]]</f>
        <v>0</v>
      </c>
      <c r="BX701" s="712">
        <f>WWWW[[#This Row],['#_Constructed/Existing water distribution system from river or natural spring]]</f>
        <v>0</v>
      </c>
      <c r="BY70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0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01" s="710">
        <f>IF(WWWW[[#This Row],[Location Type 1]]="Village",WWWW[[#This Row],[Access to safe drinking water for Village]],WWWW[[#This Row],[Access to safe drinking water for Camp]])</f>
        <v>1</v>
      </c>
      <c r="CB701" s="708">
        <f>WWWW[[#This Row],[%Equitable and continuous access to sufficient quantity of safe drinking water]]*WWWW[[#This Row],[Total PoP ]]</f>
        <v>59</v>
      </c>
      <c r="CC701" s="710">
        <f>IF((WWWW[[#This Row],['#_Constructed/Existing protected/fenced ponds]]*250)/WWWW[[#This Row],[Total PoP ]]&gt;1,1,(WWWW[[#This Row],['#_Constructed/Existing protected/fenced ponds]]*250)/WWWW[[#This Row],[Total PoP ]])</f>
        <v>0</v>
      </c>
      <c r="CD701" s="708">
        <f>WWWW[[#This Row],[% Access to unimproved water points]]*WWWW[[#This Row],[Total PoP ]]</f>
        <v>0</v>
      </c>
      <c r="CE70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0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v>
      </c>
      <c r="CG701" s="708">
        <f>WWWW[[#This Row],[HRP1]]/500</f>
        <v>0.11799999999999999</v>
      </c>
      <c r="CH701" s="714">
        <f>1-WWWW[[#This Row],[% Equitable and continuous access to sufficient quantity of domestic water]]</f>
        <v>0</v>
      </c>
      <c r="CI701" s="708">
        <f>WWWW[[#This Row],[%equitable and continuous access to sufficient quantity of safe drinking and domestic water''s GAP]]*WWWW[[#This Row],[Total PoP ]]</f>
        <v>0</v>
      </c>
      <c r="CJ701" s="712">
        <f>IF(WWWW[[#This Row],[Total required water points]]-WWWW[[#This Row],['#Water points coverage]]&lt;0,0,WWWW[[#This Row],[Total required water points]]-WWWW[[#This Row],['#Water points coverage]])</f>
        <v>0.88200000000000001</v>
      </c>
      <c r="CK701" s="712">
        <f>ROUND(IF(WWWW[[#This Row],[Total PoP ]]&lt;500,1,WWWW[[#This Row],[Total PoP ]]/500),0)</f>
        <v>1</v>
      </c>
      <c r="CL701" s="712">
        <f>(WWWW[[#This Row],['#_Constructed latrines_by_WASHAgencies]]+WWWW[[#This Row],['#_Non Cluster partner latrines]])-WWWW[[#This Row],['#_Non-functional latrines]]</f>
        <v>10</v>
      </c>
      <c r="CM70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0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59</v>
      </c>
      <c r="CO70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1" s="712">
        <f>IF(WWWW[[#This Row],[Location Type 1]]="Village","NA",IF(WWWW[[#This Row],['#_Constructed/Existing latrines in TLS]]*50&gt;WWWW[[#This Row],['#_students at TLS_CFS]],WWWW[[#This Row],['#_students at TLS_CFS]],(WWWW[[#This Row],['#_Constructed/Existing latrines in TLS]]*50)))</f>
        <v>0</v>
      </c>
      <c r="CQ701" s="712">
        <f>ROUND(IF(WWWW[[#This Row],[Location Type 1]]="camp",WWWW[[#This Row],[Total PoP ]]/20,IF(WWWW[[#This Row],[Location Type 1]]="Temporary Location",WWWW[[#This Row],[Total PoP ]]/50,(WWWW[[#This Row],[Total PoP ]]/6))),0)</f>
        <v>3</v>
      </c>
      <c r="CR701" s="712">
        <f>IF(WWWW[[#This Row],[Total required Latrines]]-(WWWW[[#This Row],['#_Constructed latrines_by_WASHAgencies]]+WWWW[[#This Row],['#_Non Cluster partner latrines]])&lt;0,0,WWWW[[#This Row],[Total required Latrines]]-(WWWW[[#This Row],['#_Constructed latrines_by_WASHAgencies]]+WWWW[[#This Row],['#_Non Cluster partner latrines]]))</f>
        <v>0</v>
      </c>
      <c r="CS701" s="714">
        <f>1-WWWW[[#This Row],[% people access to functioning Latrine]]</f>
        <v>0</v>
      </c>
      <c r="CT701" s="713">
        <f>IF(OR(WWWW[[#This Row],['#_Non-functional latrines]]="",WWWW[[#This Row],['#_Non-functional latrines]]=0),0,WWWW[[#This Row],['#_Non-functional latrines]]/(WWWW[[#This Row],['#_Constructed latrines_by_WASHAgencies]]+WWWW[[#This Row],['#_Non Cluster partner latrines]]))</f>
        <v>0</v>
      </c>
      <c r="CU701" s="708">
        <f>IF(500*(WWWW[[#This Row],['#_male hygiene promoters]]+WWWW[[#This Row],['#_female hygiene promoters]])&gt;WWWW[[#This Row],[Total PoP ]],WWWW[[#This Row],[Total PoP ]],500*(WWWW[[#This Row],['#_male hygiene promoters]]+WWWW[[#This Row],['#_female hygiene promoters]]))</f>
        <v>0</v>
      </c>
      <c r="CV70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v>
      </c>
      <c r="CW70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v>
      </c>
      <c r="CX701" s="712">
        <f>IF(WWWW[[#This Row],['# People with access to soap]]&gt;WWWW[[#This Row],['# People with access to Sanity Pads]],WWWW[[#This Row],['# People with access to soap]],WWWW[[#This Row],['# People with access to Sanity Pads]])</f>
        <v>59</v>
      </c>
      <c r="CY701" s="712">
        <f>IF(WWWW[[#This Row],['# people reached by regular dedicated hygiene promotion_5]]&gt;WWWW[[#This Row],['# People received regular supply of hygiene items_6]],WWWW[[#This Row],['# people reached by regular dedicated hygiene promotion_5]],WWWW[[#This Row],['# People received regular supply of hygiene items_6]])</f>
        <v>59</v>
      </c>
      <c r="CZ701" s="714">
        <f>IF(WWWW[[#This Row],[HRP3]]/WWWW[[#This Row],[Total PoP ]]&gt;100%,100%,WWWW[[#This Row],[HRP3]]/WWWW[[#This Row],[Total PoP ]])</f>
        <v>1</v>
      </c>
      <c r="DA701" s="713">
        <f>1-WWWW[[#This Row],[Hygiene Coverage%]]</f>
        <v>0</v>
      </c>
      <c r="DB701" s="710">
        <f>WWWW[[#This Row],['# people reached by regular dedicated hygiene promotion_5]]/WWWW[[#This Row],[Total PoP ]]</f>
        <v>0</v>
      </c>
      <c r="DC701" s="710">
        <f>IF(WWWW[[#This Row],['#_households that received standard amount of soap for this quarter]]/WWWW[[#This Row],[Total HH]]&gt;1,1,WWWW[[#This Row],['#_households that received standard amount of soap for this quarter]]/WWWW[[#This Row],[Total HH]])</f>
        <v>1</v>
      </c>
      <c r="DD701" s="710">
        <f>IF(WWWW[[#This Row],['#_households that received standard amount of sanitary pads for this quarter]]/WWWW[[#This Row],[Total HH]]&gt;1,1,WWWW[[#This Row],['#_households that received standard amount of sanitary pads for this quarter]]/WWWW[[#This Row],[Total HH]])</f>
        <v>0.1</v>
      </c>
      <c r="DE701" s="712">
        <f>WWWW[[#This Row],['#_Constructed/Existing hand washing stations]]-WWWW[[#This Row],['#_Non-Functional_hand_washing_stations]]</f>
        <v>1</v>
      </c>
      <c r="DF701" s="757">
        <f>IF(WWWW[[#This Row],['# Functional hand washing stations during reporting period]]*20&gt;WWWW[[#This Row],[Total HH]],WWWW[[#This Row],[Total HH]],WWWW[[#This Row],['# Functional hand washing stations during reporting period]]*20)</f>
        <v>10</v>
      </c>
      <c r="DG701" s="708">
        <f>IF(WWWW[[#This Row],[Is sufficient soap available for TLS? (Yes/No)]]="yes",WWWW[[#This Row],['#_Constructed/Existing hand washing stations at TLS]],0)</f>
        <v>0</v>
      </c>
      <c r="DH701" s="759">
        <f>IF(WWWW[[#This Row],['# Functional hand washing stations during reporting period]]*100&gt;WWWW[[#This Row],[Total PoP ]],WWWW[[#This Row],[Total PoP ]],WWWW[[#This Row],['# Functional hand washing stations during reporting period]]*100)</f>
        <v>59</v>
      </c>
      <c r="DI701" s="759" t="str">
        <f>IF(OR(WWWW[[#This Row],['#_students at TLS_CFS]]="",WWWW[[#This Row],['#_students at TLS_CFS]]=0),"No","Yes")</f>
        <v>No</v>
      </c>
      <c r="DJ701" s="711" t="str">
        <f>VLOOKUP(WWWW[[#This Row],[Site Name]],SiteDB6[[Site Name]:[CCCM Management]],6,FALSE)</f>
        <v>Yes</v>
      </c>
      <c r="DK701" s="711" t="str">
        <f>VLOOKUP(WWWW[[#This Row],[Site Name]],SiteDB6[[Site Name]:[CCCM Focal Agency]],7,FALSE)</f>
        <v>Shalom</v>
      </c>
      <c r="DL701" s="711" t="str">
        <f>VLOOKUP(WWWW[[#This Row],[Site Name]],SiteDB6[[Site Name]:[Location Type 1]],9,FALSE)</f>
        <v>Camp</v>
      </c>
      <c r="DM701" s="711" t="str">
        <f>VLOOKUP(WWWW[[#This Row],[Site Name]],SiteDB6[[Site Name]:[Type of Accommodation]],10,FALSE)</f>
        <v>Closed Camp</v>
      </c>
      <c r="DN701" s="711" t="str">
        <f>VLOOKUP(WWWW[[#This Row],[Site Name]],SiteDB6[[Site Name]:[Ethnic or GCA/NGCA]],11,FALSE)</f>
        <v>GCA</v>
      </c>
      <c r="DO701" s="711">
        <f>VLOOKUP(WWWW[[#This Row],[Site Name]],SiteDB6[[Site Name]:[Lat]],12,FALSE)</f>
        <v>24.24953</v>
      </c>
      <c r="DP701" s="711">
        <f>VLOOKUP(WWWW[[#This Row],[Site Name]],SiteDB6[[Site Name]:[Long]],13,FALSE)</f>
        <v>97.240639999999999</v>
      </c>
      <c r="DQ701" s="711" t="str">
        <f>VLOOKUP(WWWW[[#This Row],[Site Name]],SiteDB6[[Site Name]:[Pcode]],3,FALSE)</f>
        <v>MMR001CMP053</v>
      </c>
      <c r="DR701" s="709" t="str">
        <f t="shared" si="26"/>
        <v>Covered</v>
      </c>
      <c r="DS701" s="709"/>
    </row>
    <row r="702" spans="1:123">
      <c r="A702" s="701" t="s">
        <v>2519</v>
      </c>
      <c r="B702" s="701" t="s">
        <v>305</v>
      </c>
      <c r="C702" s="702" t="s">
        <v>305</v>
      </c>
      <c r="D702" s="702" t="s">
        <v>3297</v>
      </c>
      <c r="E702" s="702" t="s">
        <v>716</v>
      </c>
      <c r="F702" s="702" t="s">
        <v>757</v>
      </c>
      <c r="G702" s="711" t="str">
        <f>VLOOKUP(WWWW[[#This Row],[Site Name]],SiteDB6[[Site Name]:[Location Type]],8,FALSE)</f>
        <v>New Temporary Site</v>
      </c>
      <c r="H702" s="702" t="s">
        <v>2993</v>
      </c>
      <c r="I702" s="705">
        <v>133</v>
      </c>
      <c r="J702" s="705">
        <v>373</v>
      </c>
      <c r="K702" s="706">
        <v>43100</v>
      </c>
      <c r="L702" s="707">
        <v>43799</v>
      </c>
      <c r="M702" s="705"/>
      <c r="N702" s="705"/>
      <c r="O702" s="705"/>
      <c r="P702" s="705"/>
      <c r="Q702" s="708"/>
      <c r="R702" s="705"/>
      <c r="S702" s="705"/>
      <c r="T702" s="807"/>
      <c r="U702" s="705"/>
      <c r="V702" s="705"/>
      <c r="W702" s="705"/>
      <c r="X702" s="705"/>
      <c r="Y702" s="705"/>
      <c r="Z702" s="705"/>
      <c r="AA702" s="705"/>
      <c r="AB702" s="705"/>
      <c r="AC702" s="705"/>
      <c r="AD702" s="705"/>
      <c r="AE702" s="705"/>
      <c r="AF702" s="705"/>
      <c r="AG702" s="705"/>
      <c r="AH702" s="705"/>
      <c r="AI702" s="705"/>
      <c r="AJ702" s="705"/>
      <c r="AK702" s="705"/>
      <c r="AL702" s="705"/>
      <c r="AM702" s="705"/>
      <c r="AN702" s="705"/>
      <c r="AO702" s="709"/>
      <c r="AP702" s="705"/>
      <c r="AQ702" s="705"/>
      <c r="AR702" s="710"/>
      <c r="AS702" s="705"/>
      <c r="AT702" s="705"/>
      <c r="AU702" s="705"/>
      <c r="AV702" s="705"/>
      <c r="AW702" s="705"/>
      <c r="AX702" s="752" t="s">
        <v>148</v>
      </c>
      <c r="AY702" s="782" t="s">
        <v>148</v>
      </c>
      <c r="AZ702" s="705"/>
      <c r="BA702" s="705"/>
      <c r="BB702" s="705"/>
      <c r="BC702" s="711"/>
      <c r="BD702" s="705"/>
      <c r="BE702" s="705"/>
      <c r="BF702" s="705"/>
      <c r="BG702" s="705">
        <v>1</v>
      </c>
      <c r="BH702" s="705"/>
      <c r="BI702" s="705"/>
      <c r="BJ702" s="705"/>
      <c r="BK702" s="705"/>
      <c r="BL702" s="705"/>
      <c r="BM702" s="711"/>
      <c r="BN702" s="712"/>
      <c r="BO702" s="710"/>
      <c r="BP702" s="711"/>
      <c r="BQ702" s="713" t="str">
        <f>IFERROR(WWWW[[#This Row],['#_Water sources treated]]/WWWW[[#This Row],['#_Water sources tested for contamination]],"no test")</f>
        <v>no test</v>
      </c>
      <c r="BR702" s="710" t="str">
        <f>IFERROR(WWWW[[#This Row],['#_Household received remediation action due to contamination]]/WWWW[[#This Row],['#_Household water samples tested for contamination]],"no test")</f>
        <v>no test</v>
      </c>
      <c r="BS702" s="712" t="str">
        <f>IF(AND(WWWW[[#This Row],[% of water sources treated]]="no test",WWWW[[#This Row],[% Household received corrective actions]]="no test"),"No Test","Tested")</f>
        <v>No Test</v>
      </c>
      <c r="BT702" s="712">
        <f>WWWW[[#This Row],['#_Constructed/existing protected hand dug well]]-WWWW[[#This Row],['#_Non-functional protected hand dug well]]</f>
        <v>0</v>
      </c>
      <c r="BU702" s="712">
        <f>(WWWW[[#This Row],['#_Constructed/Existing tube wells/boreholes/handpumps_WASH_agency]]+WWWW[[#This Row],['#_Non-Cluster partner water tube-wells/boreholes/handpumps]])-WWWW[[#This Row],['#_Non-functional tube wells/boreholes/handpumps]]</f>
        <v>0</v>
      </c>
      <c r="BV702" s="712">
        <f>WWWW[[#This Row],['#_Constructed/Existingwater storage tank with gravity fed reticulation system]]-WWWW[[#This Row],['#_Non-functional storage tank gravity fed reticulation system]]</f>
        <v>0</v>
      </c>
      <c r="BW702" s="712">
        <f>WWWW[[#This Row],['#_Water boating or water trucking]]</f>
        <v>0</v>
      </c>
      <c r="BX702" s="712">
        <f>WWWW[[#This Row],['#_Constructed/Existing water distribution system from river or natural spring]]</f>
        <v>0</v>
      </c>
      <c r="BY70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0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02" s="710">
        <f>IF(WWWW[[#This Row],[Location Type 1]]="Village",WWWW[[#This Row],[Access to safe drinking water for Village]],WWWW[[#This Row],[Access to safe drinking water for Camp]])</f>
        <v>0</v>
      </c>
      <c r="CB702" s="708">
        <f>WWWW[[#This Row],[%Equitable and continuous access to sufficient quantity of safe drinking water]]*WWWW[[#This Row],[Total PoP ]]</f>
        <v>0</v>
      </c>
      <c r="CC702" s="710">
        <f>IF((WWWW[[#This Row],['#_Constructed/Existing protected/fenced ponds]]*250)/WWWW[[#This Row],[Total PoP ]]&gt;1,1,(WWWW[[#This Row],['#_Constructed/Existing protected/fenced ponds]]*250)/WWWW[[#This Row],[Total PoP ]])</f>
        <v>0</v>
      </c>
      <c r="CD702" s="708">
        <f>WWWW[[#This Row],[% Access to unimproved water points]]*WWWW[[#This Row],[Total PoP ]]</f>
        <v>0</v>
      </c>
      <c r="CE70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0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02" s="708">
        <f>WWWW[[#This Row],[HRP1]]/500</f>
        <v>0</v>
      </c>
      <c r="CH702" s="714">
        <f>1-WWWW[[#This Row],[% Equitable and continuous access to sufficient quantity of domestic water]]</f>
        <v>1</v>
      </c>
      <c r="CI702" s="708">
        <f>WWWW[[#This Row],[%equitable and continuous access to sufficient quantity of safe drinking and domestic water''s GAP]]*WWWW[[#This Row],[Total PoP ]]</f>
        <v>373</v>
      </c>
      <c r="CJ702" s="712">
        <f>IF(WWWW[[#This Row],[Total required water points]]-WWWW[[#This Row],['#Water points coverage]]&lt;0,0,WWWW[[#This Row],[Total required water points]]-WWWW[[#This Row],['#Water points coverage]])</f>
        <v>1</v>
      </c>
      <c r="CK702" s="712">
        <f>ROUND(IF(WWWW[[#This Row],[Total PoP ]]&lt;500,1,WWWW[[#This Row],[Total PoP ]]/500),0)</f>
        <v>1</v>
      </c>
      <c r="CL702" s="712">
        <f>(WWWW[[#This Row],['#_Constructed latrines_by_WASHAgencies]]+WWWW[[#This Row],['#_Non Cluster partner latrines]])-WWWW[[#This Row],['#_Non-functional latrines]]</f>
        <v>0</v>
      </c>
      <c r="CM70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0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0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2" s="712">
        <f>IF(WWWW[[#This Row],[Location Type 1]]="Village","NA",IF(WWWW[[#This Row],['#_Constructed/Existing latrines in TLS]]*50&gt;WWWW[[#This Row],['#_students at TLS_CFS]],WWWW[[#This Row],['#_students at TLS_CFS]],(WWWW[[#This Row],['#_Constructed/Existing latrines in TLS]]*50)))</f>
        <v>0</v>
      </c>
      <c r="CQ702" s="712">
        <f>ROUND(IF(WWWW[[#This Row],[Location Type 1]]="camp",WWWW[[#This Row],[Total PoP ]]/20,IF(WWWW[[#This Row],[Location Type 1]]="Temporary Location",WWWW[[#This Row],[Total PoP ]]/50,(WWWW[[#This Row],[Total PoP ]]/6))),0)</f>
        <v>7</v>
      </c>
      <c r="CR702" s="712">
        <f>IF(WWWW[[#This Row],[Total required Latrines]]-(WWWW[[#This Row],['#_Constructed latrines_by_WASHAgencies]]+WWWW[[#This Row],['#_Non Cluster partner latrines]])&lt;0,0,WWWW[[#This Row],[Total required Latrines]]-(WWWW[[#This Row],['#_Constructed latrines_by_WASHAgencies]]+WWWW[[#This Row],['#_Non Cluster partner latrines]]))</f>
        <v>7</v>
      </c>
      <c r="CS702" s="714">
        <f>1-WWWW[[#This Row],[% people access to functioning Latrine]]</f>
        <v>1</v>
      </c>
      <c r="CT702" s="713">
        <f>IF(OR(WWWW[[#This Row],['#_Non-functional latrines]]="",WWWW[[#This Row],['#_Non-functional latrines]]=0),0,WWWW[[#This Row],['#_Non-functional latrines]]/(WWWW[[#This Row],['#_Constructed latrines_by_WASHAgencies]]+WWWW[[#This Row],['#_Non Cluster partner latrines]]))</f>
        <v>0</v>
      </c>
      <c r="CU702" s="708">
        <f>IF(500*(WWWW[[#This Row],['#_male hygiene promoters]]+WWWW[[#This Row],['#_female hygiene promoters]])&gt;WWWW[[#This Row],[Total PoP ]],WWWW[[#This Row],[Total PoP ]],500*(WWWW[[#This Row],['#_male hygiene promoters]]+WWWW[[#This Row],['#_female hygiene promoters]]))</f>
        <v>0</v>
      </c>
      <c r="CV70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0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2" s="712">
        <f>IF(WWWW[[#This Row],['# People with access to soap]]&gt;WWWW[[#This Row],['# People with access to Sanity Pads]],WWWW[[#This Row],['# People with access to soap]],WWWW[[#This Row],['# People with access to Sanity Pads]])</f>
        <v>0</v>
      </c>
      <c r="CY702"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02" s="714">
        <f>IF(WWWW[[#This Row],[HRP3]]/WWWW[[#This Row],[Total PoP ]]&gt;100%,100%,WWWW[[#This Row],[HRP3]]/WWWW[[#This Row],[Total PoP ]])</f>
        <v>0</v>
      </c>
      <c r="DA702" s="713">
        <f>1-WWWW[[#This Row],[Hygiene Coverage%]]</f>
        <v>1</v>
      </c>
      <c r="DB702" s="710">
        <f>WWWW[[#This Row],['# people reached by regular dedicated hygiene promotion_5]]/WWWW[[#This Row],[Total PoP ]]</f>
        <v>0</v>
      </c>
      <c r="DC702" s="710">
        <f>IF(WWWW[[#This Row],['#_households that received standard amount of soap for this quarter]]/WWWW[[#This Row],[Total HH]]&gt;1,1,WWWW[[#This Row],['#_households that received standard amount of soap for this quarter]]/WWWW[[#This Row],[Total HH]])</f>
        <v>0</v>
      </c>
      <c r="DD702" s="710">
        <f>IF(WWWW[[#This Row],['#_households that received standard amount of sanitary pads for this quarter]]/WWWW[[#This Row],[Total HH]]&gt;1,1,WWWW[[#This Row],['#_households that received standard amount of sanitary pads for this quarter]]/WWWW[[#This Row],[Total HH]])</f>
        <v>0</v>
      </c>
      <c r="DE702" s="712">
        <f>WWWW[[#This Row],['#_Constructed/Existing hand washing stations]]-WWWW[[#This Row],['#_Non-Functional_hand_washing_stations]]</f>
        <v>0</v>
      </c>
      <c r="DF702" s="757">
        <f>IF(WWWW[[#This Row],['# Functional hand washing stations during reporting period]]*20&gt;WWWW[[#This Row],[Total HH]],WWWW[[#This Row],[Total HH]],WWWW[[#This Row],['# Functional hand washing stations during reporting period]]*20)</f>
        <v>0</v>
      </c>
      <c r="DG702" s="708">
        <f>IF(WWWW[[#This Row],[Is sufficient soap available for TLS? (Yes/No)]]="yes",WWWW[[#This Row],['#_Constructed/Existing hand washing stations at TLS]],0)</f>
        <v>0</v>
      </c>
      <c r="DH702" s="759">
        <f>IF(WWWW[[#This Row],['# Functional hand washing stations during reporting period]]*100&gt;WWWW[[#This Row],[Total PoP ]],WWWW[[#This Row],[Total PoP ]],WWWW[[#This Row],['# Functional hand washing stations during reporting period]]*100)</f>
        <v>0</v>
      </c>
      <c r="DI702" s="759" t="str">
        <f>IF(OR(WWWW[[#This Row],['#_students at TLS_CFS]]="",WWWW[[#This Row],['#_students at TLS_CFS]]=0),"No","Yes")</f>
        <v>No</v>
      </c>
      <c r="DJ702" s="711">
        <f>VLOOKUP(WWWW[[#This Row],[Site Name]],SiteDB6[[Site Name]:[CCCM Management]],6,FALSE)</f>
        <v>0</v>
      </c>
      <c r="DK702" s="711">
        <f>VLOOKUP(WWWW[[#This Row],[Site Name]],SiteDB6[[Site Name]:[CCCM Focal Agency]],7,FALSE)</f>
        <v>0</v>
      </c>
      <c r="DL702" s="711" t="str">
        <f>VLOOKUP(WWWW[[#This Row],[Site Name]],SiteDB6[[Site Name]:[Location Type 1]],9,FALSE)</f>
        <v>Temporary location</v>
      </c>
      <c r="DM702" s="711" t="str">
        <f>VLOOKUP(WWWW[[#This Row],[Site Name]],SiteDB6[[Site Name]:[Type of Accommodation]],10,FALSE)</f>
        <v>Temporary location</v>
      </c>
      <c r="DN702" s="711" t="str">
        <f>VLOOKUP(WWWW[[#This Row],[Site Name]],SiteDB6[[Site Name]:[Ethnic or GCA/NGCA]],11,FALSE)</f>
        <v>GCA</v>
      </c>
      <c r="DO702" s="711">
        <f>VLOOKUP(WWWW[[#This Row],[Site Name]],SiteDB6[[Site Name]:[Lat]],12,FALSE)</f>
        <v>0</v>
      </c>
      <c r="DP702" s="711">
        <f>VLOOKUP(WWWW[[#This Row],[Site Name]],SiteDB6[[Site Name]:[Long]],13,FALSE)</f>
        <v>0</v>
      </c>
      <c r="DQ702" s="711">
        <f>VLOOKUP(WWWW[[#This Row],[Site Name]],SiteDB6[[Site Name]:[Pcode]],3,FALSE)</f>
        <v>0</v>
      </c>
      <c r="DR702" s="709" t="str">
        <f t="shared" ref="DR702:DR747" si="27">IF(C702="none","Notcovered","Covered")</f>
        <v>Covered</v>
      </c>
      <c r="DS702" s="709"/>
    </row>
    <row r="703" spans="1:123">
      <c r="A703" s="701" t="s">
        <v>2519</v>
      </c>
      <c r="B703" s="702" t="s">
        <v>3278</v>
      </c>
      <c r="C703" s="702" t="s">
        <v>3278</v>
      </c>
      <c r="D703" s="702" t="s">
        <v>722</v>
      </c>
      <c r="E703" s="702" t="s">
        <v>716</v>
      </c>
      <c r="F703" s="702" t="s">
        <v>1274</v>
      </c>
      <c r="G703" s="711" t="str">
        <f>VLOOKUP(WWWW[[#This Row],[Site Name]],SiteDB6[[Site Name]:[Location Type]],8,FALSE)</f>
        <v>Village</v>
      </c>
      <c r="H703" s="903" t="s">
        <v>3281</v>
      </c>
      <c r="I703" s="829">
        <v>104</v>
      </c>
      <c r="J703" s="829">
        <v>569</v>
      </c>
      <c r="K703" s="706"/>
      <c r="L703" s="830">
        <v>44196</v>
      </c>
      <c r="M703" s="705"/>
      <c r="N703" s="705"/>
      <c r="O703" s="705"/>
      <c r="P703" s="705"/>
      <c r="Q703" s="708" t="s">
        <v>43</v>
      </c>
      <c r="R703" s="705">
        <v>5</v>
      </c>
      <c r="S703" s="705">
        <v>1</v>
      </c>
      <c r="T703" s="807"/>
      <c r="U703" s="705"/>
      <c r="V703" s="705"/>
      <c r="W703" s="705"/>
      <c r="X703" s="705"/>
      <c r="Y703" s="705"/>
      <c r="Z703" s="705"/>
      <c r="AA703" s="705">
        <v>1</v>
      </c>
      <c r="AB703" s="705"/>
      <c r="AC703" s="705"/>
      <c r="AD703" s="705"/>
      <c r="AE703" s="705">
        <v>1</v>
      </c>
      <c r="AF703" s="705"/>
      <c r="AG703" s="705">
        <v>1</v>
      </c>
      <c r="AH703" s="705">
        <v>1</v>
      </c>
      <c r="AI703" s="705"/>
      <c r="AJ703" s="705"/>
      <c r="AK703" s="705"/>
      <c r="AL703" s="705"/>
      <c r="AM703" s="705"/>
      <c r="AN703" s="705"/>
      <c r="AO703" s="705" t="s">
        <v>3337</v>
      </c>
      <c r="AP703" s="705"/>
      <c r="AQ703" s="705">
        <v>70</v>
      </c>
      <c r="AR703" s="710"/>
      <c r="AS703" s="705"/>
      <c r="AT703" s="705"/>
      <c r="AU703" s="705"/>
      <c r="AV703" s="705"/>
      <c r="AW703" s="705"/>
      <c r="AX703" s="711" t="s">
        <v>144</v>
      </c>
      <c r="AY703" s="709" t="s">
        <v>43</v>
      </c>
      <c r="AZ703" s="705"/>
      <c r="BA703" s="705"/>
      <c r="BB703" s="705"/>
      <c r="BC703" s="711" t="s">
        <v>3339</v>
      </c>
      <c r="BD703" s="705"/>
      <c r="BE703" s="705"/>
      <c r="BF703" s="705">
        <v>70</v>
      </c>
      <c r="BG703" s="705">
        <v>0</v>
      </c>
      <c r="BH703" s="705"/>
      <c r="BI703" s="705">
        <v>5</v>
      </c>
      <c r="BJ703" s="705">
        <v>1</v>
      </c>
      <c r="BK703" s="705"/>
      <c r="BL703" s="705"/>
      <c r="BM703" s="711"/>
      <c r="BN703" s="712"/>
      <c r="BO703" s="710"/>
      <c r="BP703" s="711"/>
      <c r="BQ703" s="713" t="str">
        <f>IFERROR(WWWW[[#This Row],['#_Water sources treated]]/WWWW[[#This Row],['#_Water sources tested for contamination]],"no test")</f>
        <v>no test</v>
      </c>
      <c r="BR703" s="710" t="str">
        <f>IFERROR(WWWW[[#This Row],['#_Household received remediation action due to contamination]]/WWWW[[#This Row],['#_Household water samples tested for contamination]],"no test")</f>
        <v>no test</v>
      </c>
      <c r="BS703" s="712" t="str">
        <f>IF(AND(WWWW[[#This Row],[% of water sources treated]]="no test",WWWW[[#This Row],[% Household received corrective actions]]="no test"),"No Test","Tested")</f>
        <v>No Test</v>
      </c>
      <c r="BT703" s="712">
        <f>WWWW[[#This Row],['#_Constructed/existing protected hand dug well]]-WWWW[[#This Row],['#_Non-functional protected hand dug well]]</f>
        <v>0</v>
      </c>
      <c r="BU703" s="712">
        <f>(WWWW[[#This Row],['#_Constructed/Existing tube wells/boreholes/handpumps_WASH_agency]]+WWWW[[#This Row],['#_Non-Cluster partner water tube-wells/boreholes/handpumps]])-WWWW[[#This Row],['#_Non-functional tube wells/boreholes/handpumps]]</f>
        <v>0</v>
      </c>
      <c r="BV703" s="712">
        <f>WWWW[[#This Row],['#_Constructed/Existingwater storage tank with gravity fed reticulation system]]-WWWW[[#This Row],['#_Non-functional storage tank gravity fed reticulation system]]</f>
        <v>1</v>
      </c>
      <c r="BW703" s="712">
        <f>WWWW[[#This Row],['#_Water boating or water trucking]]</f>
        <v>0</v>
      </c>
      <c r="BX703" s="712">
        <f>WWWW[[#This Row],['#_Constructed/Existing water distribution system from river or natural spring]]</f>
        <v>0</v>
      </c>
      <c r="BY70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0.11716461628588168</v>
      </c>
      <c r="BZ70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0.11716461628588168</v>
      </c>
      <c r="CA703" s="710">
        <f>IF(WWWW[[#This Row],[Location Type 1]]="Village",WWWW[[#This Row],[Access to safe drinking water for Village]],WWWW[[#This Row],[Access to safe drinking water for Camp]])</f>
        <v>0.11716461628588168</v>
      </c>
      <c r="CB703" s="708">
        <f>WWWW[[#This Row],[%Equitable and continuous access to sufficient quantity of safe drinking water]]*WWWW[[#This Row],[Total PoP ]]</f>
        <v>66.666666666666671</v>
      </c>
      <c r="CC703" s="710">
        <f>IF((WWWW[[#This Row],['#_Constructed/Existing protected/fenced ponds]]*250)/WWWW[[#This Row],[Total PoP ]]&gt;1,1,(WWWW[[#This Row],['#_Constructed/Existing protected/fenced ponds]]*250)/WWWW[[#This Row],[Total PoP ]])</f>
        <v>0.43936731107205623</v>
      </c>
      <c r="CD703" s="708">
        <f>WWWW[[#This Row],[% Access to unimproved water points]]*WWWW[[#This Row],[Total PoP ]]</f>
        <v>250</v>
      </c>
      <c r="CE70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0.55653192735793788</v>
      </c>
      <c r="CF70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316.66666666666669</v>
      </c>
      <c r="CG703" s="708">
        <f>WWWW[[#This Row],[HRP1]]/500</f>
        <v>0.63333333333333341</v>
      </c>
      <c r="CH703" s="714">
        <f>1-WWWW[[#This Row],[% Equitable and continuous access to sufficient quantity of domestic water]]</f>
        <v>0.44346807264206212</v>
      </c>
      <c r="CI703" s="708">
        <f>WWWW[[#This Row],[%equitable and continuous access to sufficient quantity of safe drinking and domestic water''s GAP]]*WWWW[[#This Row],[Total PoP ]]</f>
        <v>252.33333333333334</v>
      </c>
      <c r="CJ703" s="712">
        <f>IF(WWWW[[#This Row],[Total required water points]]-WWWW[[#This Row],['#Water points coverage]]&lt;0,0,WWWW[[#This Row],[Total required water points]]-WWWW[[#This Row],['#Water points coverage]])</f>
        <v>0.36666666666666659</v>
      </c>
      <c r="CK703" s="712">
        <f>ROUND(IF(WWWW[[#This Row],[Total PoP ]]&lt;500,1,WWWW[[#This Row],[Total PoP ]]/500),0)</f>
        <v>1</v>
      </c>
      <c r="CL703" s="712">
        <f>(WWWW[[#This Row],['#_Constructed latrines_by_WASHAgencies]]+WWWW[[#This Row],['#_Non Cluster partner latrines]])-WWWW[[#This Row],['#_Non-functional latrines]]</f>
        <v>70</v>
      </c>
      <c r="CM70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0.73813708260105448</v>
      </c>
      <c r="CN70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420</v>
      </c>
      <c r="CO703"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703" s="712" t="str">
        <f>IF(WWWW[[#This Row],[Location Type 1]]="Village","NA",IF(WWWW[[#This Row],['#_Constructed/Existing latrines in TLS]]*50&gt;WWWW[[#This Row],['#_students at TLS_CFS]],WWWW[[#This Row],['#_students at TLS_CFS]],(WWWW[[#This Row],['#_Constructed/Existing latrines in TLS]]*50)))</f>
        <v>NA</v>
      </c>
      <c r="CQ703" s="712">
        <f>ROUND(IF(WWWW[[#This Row],[Location Type 1]]="camp",WWWW[[#This Row],[Total PoP ]]/20,IF(WWWW[[#This Row],[Location Type 1]]="Temporary Location",WWWW[[#This Row],[Total PoP ]]/50,(WWWW[[#This Row],[Total PoP ]]/6))),0)</f>
        <v>95</v>
      </c>
      <c r="CR703" s="712">
        <f>IF(WWWW[[#This Row],[Total required Latrines]]-(WWWW[[#This Row],['#_Constructed latrines_by_WASHAgencies]]+WWWW[[#This Row],['#_Non Cluster partner latrines]])&lt;0,0,WWWW[[#This Row],[Total required Latrines]]-(WWWW[[#This Row],['#_Constructed latrines_by_WASHAgencies]]+WWWW[[#This Row],['#_Non Cluster partner latrines]]))</f>
        <v>25</v>
      </c>
      <c r="CS703" s="714">
        <f>1-WWWW[[#This Row],[% people access to functioning Latrine]]</f>
        <v>0.26186291739894552</v>
      </c>
      <c r="CT703" s="713">
        <f>IF(OR(WWWW[[#This Row],['#_Non-functional latrines]]="",WWWW[[#This Row],['#_Non-functional latrines]]=0),0,WWWW[[#This Row],['#_Non-functional latrines]]/(WWWW[[#This Row],['#_Constructed latrines_by_WASHAgencies]]+WWWW[[#This Row],['#_Non Cluster partner latrines]]))</f>
        <v>0</v>
      </c>
      <c r="CU703" s="708">
        <f>IF(500*(WWWW[[#This Row],['#_male hygiene promoters]]+WWWW[[#This Row],['#_female hygiene promoters]])&gt;WWWW[[#This Row],[Total PoP ]],WWWW[[#This Row],[Total PoP ]],500*(WWWW[[#This Row],['#_male hygiene promoters]]+WWWW[[#This Row],['#_female hygiene promoters]]))</f>
        <v>569</v>
      </c>
      <c r="CV70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0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3" s="712">
        <f>IF(WWWW[[#This Row],['# People with access to soap]]&gt;WWWW[[#This Row],['# People with access to Sanity Pads]],WWWW[[#This Row],['# People with access to soap]],WWWW[[#This Row],['# People with access to Sanity Pads]])</f>
        <v>0</v>
      </c>
      <c r="CY703" s="712">
        <f>IF(WWWW[[#This Row],['# people reached by regular dedicated hygiene promotion_5]]&gt;WWWW[[#This Row],['# People received regular supply of hygiene items_6]],WWWW[[#This Row],['# people reached by regular dedicated hygiene promotion_5]],WWWW[[#This Row],['# People received regular supply of hygiene items_6]])</f>
        <v>569</v>
      </c>
      <c r="CZ703" s="714">
        <f>IF(WWWW[[#This Row],[HRP3]]/WWWW[[#This Row],[Total PoP ]]&gt;100%,100%,WWWW[[#This Row],[HRP3]]/WWWW[[#This Row],[Total PoP ]])</f>
        <v>1</v>
      </c>
      <c r="DA703" s="713">
        <f>1-WWWW[[#This Row],[Hygiene Coverage%]]</f>
        <v>0</v>
      </c>
      <c r="DB703" s="710">
        <f>WWWW[[#This Row],['# people reached by regular dedicated hygiene promotion_5]]/WWWW[[#This Row],[Total PoP ]]</f>
        <v>1</v>
      </c>
      <c r="DC703" s="710">
        <f>IF(WWWW[[#This Row],['#_households that received standard amount of soap for this quarter]]/WWWW[[#This Row],[Total HH]]&gt;1,1,WWWW[[#This Row],['#_households that received standard amount of soap for this quarter]]/WWWW[[#This Row],[Total HH]])</f>
        <v>0</v>
      </c>
      <c r="DD703" s="710">
        <f>IF(WWWW[[#This Row],['#_households that received standard amount of sanitary pads for this quarter]]/WWWW[[#This Row],[Total HH]]&gt;1,1,WWWW[[#This Row],['#_households that received standard amount of sanitary pads for this quarter]]/WWWW[[#This Row],[Total HH]])</f>
        <v>0</v>
      </c>
      <c r="DE703" s="712">
        <f>WWWW[[#This Row],['#_Constructed/Existing hand washing stations]]-WWWW[[#This Row],['#_Non-Functional_hand_washing_stations]]</f>
        <v>0</v>
      </c>
      <c r="DF703" s="757">
        <f>IF(WWWW[[#This Row],['# Functional hand washing stations during reporting period]]*20&gt;WWWW[[#This Row],[Total HH]],WWWW[[#This Row],[Total HH]],WWWW[[#This Row],['# Functional hand washing stations during reporting period]]*20)</f>
        <v>0</v>
      </c>
      <c r="DG703" s="708">
        <f>IF(WWWW[[#This Row],[Is sufficient soap available for TLS? (Yes/No)]]="yes",WWWW[[#This Row],['#_Constructed/Existing hand washing stations at TLS]],0)</f>
        <v>0</v>
      </c>
      <c r="DH703" s="759">
        <f>IF(WWWW[[#This Row],['# Functional hand washing stations during reporting period]]*100&gt;WWWW[[#This Row],[Total PoP ]],WWWW[[#This Row],[Total PoP ]],WWWW[[#This Row],['# Functional hand washing stations during reporting period]]*100)</f>
        <v>0</v>
      </c>
      <c r="DI703" s="759" t="str">
        <f>IF(OR(WWWW[[#This Row],['#_students at TLS_CFS]]="",WWWW[[#This Row],['#_students at TLS_CFS]]=0),"No","Yes")</f>
        <v>No</v>
      </c>
      <c r="DJ703" s="711">
        <f>VLOOKUP(WWWW[[#This Row],[Site Name]],SiteDB6[[Site Name]:[CCCM Management]],6,FALSE)</f>
        <v>0</v>
      </c>
      <c r="DK703" s="711">
        <f>VLOOKUP(WWWW[[#This Row],[Site Name]],SiteDB6[[Site Name]:[CCCM Focal Agency]],7,FALSE)</f>
        <v>0</v>
      </c>
      <c r="DL703" s="711" t="str">
        <f>VLOOKUP(WWWW[[#This Row],[Site Name]],SiteDB6[[Site Name]:[Location Type 1]],9,FALSE)</f>
        <v>Village</v>
      </c>
      <c r="DM703" s="711" t="str">
        <f>VLOOKUP(WWWW[[#This Row],[Site Name]],SiteDB6[[Site Name]:[Type of Accommodation]],10,FALSE)</f>
        <v>Village</v>
      </c>
      <c r="DN703" s="711" t="str">
        <f>VLOOKUP(WWWW[[#This Row],[Site Name]],SiteDB6[[Site Name]:[Ethnic or GCA/NGCA]],11,FALSE)</f>
        <v>GCA</v>
      </c>
      <c r="DO703" s="711">
        <f>VLOOKUP(WWWW[[#This Row],[Site Name]],SiteDB6[[Site Name]:[Lat]],12,FALSE)</f>
        <v>0</v>
      </c>
      <c r="DP703" s="711">
        <f>VLOOKUP(WWWW[[#This Row],[Site Name]],SiteDB6[[Site Name]:[Long]],13,FALSE)</f>
        <v>0</v>
      </c>
      <c r="DQ703" s="711">
        <f>VLOOKUP(WWWW[[#This Row],[Site Name]],SiteDB6[[Site Name]:[Pcode]],3,FALSE)</f>
        <v>0</v>
      </c>
      <c r="DR703" s="709" t="str">
        <f t="shared" si="27"/>
        <v>Covered</v>
      </c>
      <c r="DS703" s="709"/>
    </row>
    <row r="704" spans="1:123">
      <c r="A704" s="701" t="s">
        <v>2519</v>
      </c>
      <c r="B704" s="584" t="s">
        <v>200</v>
      </c>
      <c r="C704" s="584" t="s">
        <v>200</v>
      </c>
      <c r="D704" s="702" t="s">
        <v>3308</v>
      </c>
      <c r="E704" s="702" t="s">
        <v>716</v>
      </c>
      <c r="F704" s="702" t="s">
        <v>1272</v>
      </c>
      <c r="G704" s="711" t="str">
        <f>VLOOKUP(WWWW[[#This Row],[Site Name]],SiteDB6[[Site Name]:[Location Type]],8,FALSE)</f>
        <v>Camp_not registered</v>
      </c>
      <c r="H704" s="702" t="s">
        <v>3262</v>
      </c>
      <c r="I704" s="705">
        <v>23</v>
      </c>
      <c r="J704" s="705">
        <v>95</v>
      </c>
      <c r="K704" s="593" t="s">
        <v>3310</v>
      </c>
      <c r="L704" s="58" t="s">
        <v>3309</v>
      </c>
      <c r="M704" s="705">
        <v>30</v>
      </c>
      <c r="N704" s="705"/>
      <c r="O704" s="705"/>
      <c r="P704" s="705"/>
      <c r="Q704" s="708" t="s">
        <v>43</v>
      </c>
      <c r="R704" s="705">
        <v>5</v>
      </c>
      <c r="S704" s="705">
        <v>1</v>
      </c>
      <c r="T704" s="807"/>
      <c r="U704" s="705"/>
      <c r="V704" s="705"/>
      <c r="W704" s="705"/>
      <c r="X704" s="705"/>
      <c r="Y704" s="705"/>
      <c r="Z704" s="705"/>
      <c r="AA704" s="705"/>
      <c r="AB704" s="705"/>
      <c r="AC704" s="705"/>
      <c r="AD704" s="705"/>
      <c r="AE704" s="705"/>
      <c r="AF704" s="705"/>
      <c r="AG704" s="705"/>
      <c r="AH704" s="705"/>
      <c r="AI704" s="705"/>
      <c r="AJ704" s="705"/>
      <c r="AK704" s="705"/>
      <c r="AL704" s="705"/>
      <c r="AM704" s="705"/>
      <c r="AN704" s="705"/>
      <c r="AO704" s="705"/>
      <c r="AP704" s="705">
        <v>23</v>
      </c>
      <c r="AQ704" s="705"/>
      <c r="AR704" s="710"/>
      <c r="AS704" s="705"/>
      <c r="AT704" s="705"/>
      <c r="AU704" s="705"/>
      <c r="AV704" s="705"/>
      <c r="AW704" s="705"/>
      <c r="AX704" s="752" t="s">
        <v>148</v>
      </c>
      <c r="AY704" s="782" t="s">
        <v>148</v>
      </c>
      <c r="AZ704" s="705"/>
      <c r="BA704" s="705"/>
      <c r="BB704" s="705"/>
      <c r="BC704" s="711"/>
      <c r="BD704" s="705"/>
      <c r="BE704" s="705"/>
      <c r="BF704" s="705"/>
      <c r="BG704" s="705"/>
      <c r="BH704" s="705"/>
      <c r="BI704" s="705"/>
      <c r="BJ704" s="705"/>
      <c r="BK704" s="705">
        <v>23</v>
      </c>
      <c r="BL704" s="705">
        <v>23</v>
      </c>
      <c r="BM704" s="711"/>
      <c r="BN704" s="712"/>
      <c r="BO704" s="710"/>
      <c r="BP704" s="711"/>
      <c r="BQ704" s="713" t="str">
        <f>IFERROR(WWWW[[#This Row],['#_Water sources treated]]/WWWW[[#This Row],['#_Water sources tested for contamination]],"no test")</f>
        <v>no test</v>
      </c>
      <c r="BR704" s="710" t="str">
        <f>IFERROR(WWWW[[#This Row],['#_Household received remediation action due to contamination]]/WWWW[[#This Row],['#_Household water samples tested for contamination]],"no test")</f>
        <v>no test</v>
      </c>
      <c r="BS704" s="712" t="str">
        <f>IF(AND(WWWW[[#This Row],[% of water sources treated]]="no test",WWWW[[#This Row],[% Household received corrective actions]]="no test"),"No Test","Tested")</f>
        <v>No Test</v>
      </c>
      <c r="BT704" s="712">
        <f>WWWW[[#This Row],['#_Constructed/existing protected hand dug well]]-WWWW[[#This Row],['#_Non-functional protected hand dug well]]</f>
        <v>0</v>
      </c>
      <c r="BU704" s="712">
        <f>(WWWW[[#This Row],['#_Constructed/Existing tube wells/boreholes/handpumps_WASH_agency]]+WWWW[[#This Row],['#_Non-Cluster partner water tube-wells/boreholes/handpumps]])-WWWW[[#This Row],['#_Non-functional tube wells/boreholes/handpumps]]</f>
        <v>0</v>
      </c>
      <c r="BV704" s="712">
        <f>WWWW[[#This Row],['#_Constructed/Existingwater storage tank with gravity fed reticulation system]]-WWWW[[#This Row],['#_Non-functional storage tank gravity fed reticulation system]]</f>
        <v>0</v>
      </c>
      <c r="BW704" s="712">
        <f>WWWW[[#This Row],['#_Water boating or water trucking]]</f>
        <v>0</v>
      </c>
      <c r="BX704" s="712">
        <f>WWWW[[#This Row],['#_Constructed/Existing water distribution system from river or natural spring]]</f>
        <v>0</v>
      </c>
      <c r="BY70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0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04" s="710">
        <f>IF(WWWW[[#This Row],[Location Type 1]]="Village",WWWW[[#This Row],[Access to safe drinking water for Village]],WWWW[[#This Row],[Access to safe drinking water for Camp]])</f>
        <v>0</v>
      </c>
      <c r="CB704" s="708">
        <f>WWWW[[#This Row],[%Equitable and continuous access to sufficient quantity of safe drinking water]]*WWWW[[#This Row],[Total PoP ]]</f>
        <v>0</v>
      </c>
      <c r="CC704" s="710">
        <f>IF((WWWW[[#This Row],['#_Constructed/Existing protected/fenced ponds]]*250)/WWWW[[#This Row],[Total PoP ]]&gt;1,1,(WWWW[[#This Row],['#_Constructed/Existing protected/fenced ponds]]*250)/WWWW[[#This Row],[Total PoP ]])</f>
        <v>0</v>
      </c>
      <c r="CD704" s="708">
        <f>WWWW[[#This Row],[% Access to unimproved water points]]*WWWW[[#This Row],[Total PoP ]]</f>
        <v>0</v>
      </c>
      <c r="CE70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0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04" s="708">
        <f>WWWW[[#This Row],[HRP1]]/500</f>
        <v>0</v>
      </c>
      <c r="CH704" s="714">
        <f>1-WWWW[[#This Row],[% Equitable and continuous access to sufficient quantity of domestic water]]</f>
        <v>1</v>
      </c>
      <c r="CI704" s="708">
        <f>WWWW[[#This Row],[%equitable and continuous access to sufficient quantity of safe drinking and domestic water''s GAP]]*WWWW[[#This Row],[Total PoP ]]</f>
        <v>95</v>
      </c>
      <c r="CJ704" s="712">
        <f>IF(WWWW[[#This Row],[Total required water points]]-WWWW[[#This Row],['#Water points coverage]]&lt;0,0,WWWW[[#This Row],[Total required water points]]-WWWW[[#This Row],['#Water points coverage]])</f>
        <v>1</v>
      </c>
      <c r="CK704" s="712">
        <f>ROUND(IF(WWWW[[#This Row],[Total PoP ]]&lt;500,1,WWWW[[#This Row],[Total PoP ]]/500),0)</f>
        <v>1</v>
      </c>
      <c r="CL704" s="712">
        <f>(WWWW[[#This Row],['#_Constructed latrines_by_WASHAgencies]]+WWWW[[#This Row],['#_Non Cluster partner latrines]])-WWWW[[#This Row],['#_Non-functional latrines]]</f>
        <v>23</v>
      </c>
      <c r="CM70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0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95</v>
      </c>
      <c r="CO70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4" s="712">
        <f>IF(WWWW[[#This Row],[Location Type 1]]="Village","NA",IF(WWWW[[#This Row],['#_Constructed/Existing latrines in TLS]]*50&gt;WWWW[[#This Row],['#_students at TLS_CFS]],WWWW[[#This Row],['#_students at TLS_CFS]],(WWWW[[#This Row],['#_Constructed/Existing latrines in TLS]]*50)))</f>
        <v>0</v>
      </c>
      <c r="CQ704" s="712">
        <f>ROUND(IF(WWWW[[#This Row],[Location Type 1]]="camp",WWWW[[#This Row],[Total PoP ]]/20,IF(WWWW[[#This Row],[Location Type 1]]="Temporary Location",WWWW[[#This Row],[Total PoP ]]/50,(WWWW[[#This Row],[Total PoP ]]/6))),0)</f>
        <v>5</v>
      </c>
      <c r="CR704" s="712">
        <f>IF(WWWW[[#This Row],[Total required Latrines]]-(WWWW[[#This Row],['#_Constructed latrines_by_WASHAgencies]]+WWWW[[#This Row],['#_Non Cluster partner latrines]])&lt;0,0,WWWW[[#This Row],[Total required Latrines]]-(WWWW[[#This Row],['#_Constructed latrines_by_WASHAgencies]]+WWWW[[#This Row],['#_Non Cluster partner latrines]]))</f>
        <v>0</v>
      </c>
      <c r="CS704" s="714">
        <f>1-WWWW[[#This Row],[% people access to functioning Latrine]]</f>
        <v>0</v>
      </c>
      <c r="CT704" s="713">
        <f>IF(OR(WWWW[[#This Row],['#_Non-functional latrines]]="",WWWW[[#This Row],['#_Non-functional latrines]]=0),0,WWWW[[#This Row],['#_Non-functional latrines]]/(WWWW[[#This Row],['#_Constructed latrines_by_WASHAgencies]]+WWWW[[#This Row],['#_Non Cluster partner latrines]]))</f>
        <v>0</v>
      </c>
      <c r="CU704" s="708">
        <f>IF(500*(WWWW[[#This Row],['#_male hygiene promoters]]+WWWW[[#This Row],['#_female hygiene promoters]])&gt;WWWW[[#This Row],[Total PoP ]],WWWW[[#This Row],[Total PoP ]],500*(WWWW[[#This Row],['#_male hygiene promoters]]+WWWW[[#This Row],['#_female hygiene promoters]]))</f>
        <v>0</v>
      </c>
      <c r="CV70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CW70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95</v>
      </c>
      <c r="CX704" s="712">
        <f>IF(WWWW[[#This Row],['# People with access to soap]]&gt;WWWW[[#This Row],['# People with access to Sanity Pads]],WWWW[[#This Row],['# People with access to soap]],WWWW[[#This Row],['# People with access to Sanity Pads]])</f>
        <v>95</v>
      </c>
      <c r="CY704" s="712">
        <f>IF(WWWW[[#This Row],['# people reached by regular dedicated hygiene promotion_5]]&gt;WWWW[[#This Row],['# People received regular supply of hygiene items_6]],WWWW[[#This Row],['# people reached by regular dedicated hygiene promotion_5]],WWWW[[#This Row],['# People received regular supply of hygiene items_6]])</f>
        <v>95</v>
      </c>
      <c r="CZ704" s="714">
        <f>IF(WWWW[[#This Row],[HRP3]]/WWWW[[#This Row],[Total PoP ]]&gt;100%,100%,WWWW[[#This Row],[HRP3]]/WWWW[[#This Row],[Total PoP ]])</f>
        <v>1</v>
      </c>
      <c r="DA704" s="713">
        <f>1-WWWW[[#This Row],[Hygiene Coverage%]]</f>
        <v>0</v>
      </c>
      <c r="DB704" s="710">
        <f>WWWW[[#This Row],['# people reached by regular dedicated hygiene promotion_5]]/WWWW[[#This Row],[Total PoP ]]</f>
        <v>0</v>
      </c>
      <c r="DC704" s="710">
        <f>IF(WWWW[[#This Row],['#_households that received standard amount of soap for this quarter]]/WWWW[[#This Row],[Total HH]]&gt;1,1,WWWW[[#This Row],['#_households that received standard amount of soap for this quarter]]/WWWW[[#This Row],[Total HH]])</f>
        <v>1</v>
      </c>
      <c r="DD704" s="710">
        <f>IF(WWWW[[#This Row],['#_households that received standard amount of sanitary pads for this quarter]]/WWWW[[#This Row],[Total HH]]&gt;1,1,WWWW[[#This Row],['#_households that received standard amount of sanitary pads for this quarter]]/WWWW[[#This Row],[Total HH]])</f>
        <v>1</v>
      </c>
      <c r="DE704" s="712">
        <f>WWWW[[#This Row],['#_Constructed/Existing hand washing stations]]-WWWW[[#This Row],['#_Non-Functional_hand_washing_stations]]</f>
        <v>0</v>
      </c>
      <c r="DF704" s="757">
        <f>IF(WWWW[[#This Row],['# Functional hand washing stations during reporting period]]*20&gt;WWWW[[#This Row],[Total HH]],WWWW[[#This Row],[Total HH]],WWWW[[#This Row],['# Functional hand washing stations during reporting period]]*20)</f>
        <v>0</v>
      </c>
      <c r="DG704" s="708">
        <f>IF(WWWW[[#This Row],[Is sufficient soap available for TLS? (Yes/No)]]="yes",WWWW[[#This Row],['#_Constructed/Existing hand washing stations at TLS]],0)</f>
        <v>0</v>
      </c>
      <c r="DH704" s="759">
        <f>IF(WWWW[[#This Row],['# Functional hand washing stations during reporting period]]*100&gt;WWWW[[#This Row],[Total PoP ]],WWWW[[#This Row],[Total PoP ]],WWWW[[#This Row],['# Functional hand washing stations during reporting period]]*100)</f>
        <v>0</v>
      </c>
      <c r="DI704" s="759" t="str">
        <f>IF(OR(WWWW[[#This Row],['#_students at TLS_CFS]]="",WWWW[[#This Row],['#_students at TLS_CFS]]=0),"No","Yes")</f>
        <v>Yes</v>
      </c>
      <c r="DJ704" s="711">
        <f>VLOOKUP(WWWW[[#This Row],[Site Name]],SiteDB6[[Site Name]:[CCCM Management]],6,FALSE)</f>
        <v>0</v>
      </c>
      <c r="DK704" s="711">
        <f>VLOOKUP(WWWW[[#This Row],[Site Name]],SiteDB6[[Site Name]:[CCCM Focal Agency]],7,FALSE)</f>
        <v>0</v>
      </c>
      <c r="DL704" s="711" t="str">
        <f>VLOOKUP(WWWW[[#This Row],[Site Name]],SiteDB6[[Site Name]:[Location Type 1]],9,FALSE)</f>
        <v>Camp</v>
      </c>
      <c r="DM704" s="711" t="str">
        <f>VLOOKUP(WWWW[[#This Row],[Site Name]],SiteDB6[[Site Name]:[Type of Accommodation]],10,FALSE)</f>
        <v>Camp like setting</v>
      </c>
      <c r="DN704" s="711" t="str">
        <f>VLOOKUP(WWWW[[#This Row],[Site Name]],SiteDB6[[Site Name]:[Ethnic or GCA/NGCA]],11,FALSE)</f>
        <v>GCA</v>
      </c>
      <c r="DO704" s="711">
        <f>VLOOKUP(WWWW[[#This Row],[Site Name]],SiteDB6[[Site Name]:[Lat]],12,FALSE)</f>
        <v>0</v>
      </c>
      <c r="DP704" s="711">
        <f>VLOOKUP(WWWW[[#This Row],[Site Name]],SiteDB6[[Site Name]:[Long]],13,FALSE)</f>
        <v>0</v>
      </c>
      <c r="DQ704" s="711">
        <f>VLOOKUP(WWWW[[#This Row],[Site Name]],SiteDB6[[Site Name]:[Pcode]],3,FALSE)</f>
        <v>0</v>
      </c>
      <c r="DR704" s="709" t="str">
        <f t="shared" si="27"/>
        <v>Covered</v>
      </c>
      <c r="DS704" s="709"/>
    </row>
    <row r="705" spans="1:123">
      <c r="A705" s="701" t="s">
        <v>2519</v>
      </c>
      <c r="B705" s="701" t="s">
        <v>200</v>
      </c>
      <c r="C705" s="702" t="s">
        <v>200</v>
      </c>
      <c r="D705" s="702" t="s">
        <v>249</v>
      </c>
      <c r="E705" s="702" t="s">
        <v>716</v>
      </c>
      <c r="F705" s="702" t="s">
        <v>720</v>
      </c>
      <c r="G705" s="711" t="str">
        <f>VLOOKUP(WWWW[[#This Row],[Site Name]],SiteDB6[[Site Name]:[Location Type]],8,FALSE)</f>
        <v>Camp</v>
      </c>
      <c r="H705" s="702" t="s">
        <v>2318</v>
      </c>
      <c r="I705" s="705">
        <v>71</v>
      </c>
      <c r="J705" s="705">
        <v>496</v>
      </c>
      <c r="K705" s="706">
        <v>43497</v>
      </c>
      <c r="L705" s="707">
        <v>43861</v>
      </c>
      <c r="M705" s="705">
        <v>43</v>
      </c>
      <c r="N705" s="705"/>
      <c r="O705" s="705"/>
      <c r="P705" s="705"/>
      <c r="Q705" s="708" t="s">
        <v>43</v>
      </c>
      <c r="R705" s="705">
        <v>5</v>
      </c>
      <c r="S705" s="705">
        <v>1</v>
      </c>
      <c r="T705" s="807"/>
      <c r="U705" s="705"/>
      <c r="V705" s="705"/>
      <c r="W705" s="705"/>
      <c r="X705" s="705"/>
      <c r="Y705" s="705"/>
      <c r="Z705" s="705"/>
      <c r="AA705" s="705"/>
      <c r="AB705" s="705"/>
      <c r="AC705" s="705"/>
      <c r="AD705" s="705"/>
      <c r="AE705" s="705"/>
      <c r="AF705" s="705"/>
      <c r="AG705" s="705"/>
      <c r="AH705" s="705"/>
      <c r="AI705" s="705"/>
      <c r="AJ705" s="705"/>
      <c r="AK705" s="705"/>
      <c r="AL705" s="705"/>
      <c r="AM705" s="705"/>
      <c r="AN705" s="705"/>
      <c r="AO705" s="705"/>
      <c r="AP705" s="705"/>
      <c r="AQ705" s="705"/>
      <c r="AR705" s="710"/>
      <c r="AS705" s="705"/>
      <c r="AT705" s="705"/>
      <c r="AU705" s="705"/>
      <c r="AV705" s="705"/>
      <c r="AW705" s="705"/>
      <c r="AX705" s="752" t="s">
        <v>148</v>
      </c>
      <c r="AY705" s="782" t="s">
        <v>148</v>
      </c>
      <c r="AZ705" s="705"/>
      <c r="BA705" s="705"/>
      <c r="BB705" s="705"/>
      <c r="BC705" s="711"/>
      <c r="BD705" s="705"/>
      <c r="BE705" s="705"/>
      <c r="BF705" s="705"/>
      <c r="BG705" s="705"/>
      <c r="BH705" s="705"/>
      <c r="BI705" s="705"/>
      <c r="BJ705" s="705">
        <v>1</v>
      </c>
      <c r="BK705" s="705">
        <v>71</v>
      </c>
      <c r="BL705" s="705">
        <v>71</v>
      </c>
      <c r="BM705" s="711"/>
      <c r="BN705" s="712"/>
      <c r="BO705" s="710"/>
      <c r="BP705" s="711"/>
      <c r="BQ705" s="713" t="str">
        <f>IFERROR(WWWW[[#This Row],['#_Water sources treated]]/WWWW[[#This Row],['#_Water sources tested for contamination]],"no test")</f>
        <v>no test</v>
      </c>
      <c r="BR705" s="710" t="str">
        <f>IFERROR(WWWW[[#This Row],['#_Household received remediation action due to contamination]]/WWWW[[#This Row],['#_Household water samples tested for contamination]],"no test")</f>
        <v>no test</v>
      </c>
      <c r="BS705" s="712" t="str">
        <f>IF(AND(WWWW[[#This Row],[% of water sources treated]]="no test",WWWW[[#This Row],[% Household received corrective actions]]="no test"),"No Test","Tested")</f>
        <v>No Test</v>
      </c>
      <c r="BT705" s="712">
        <f>WWWW[[#This Row],['#_Constructed/existing protected hand dug well]]-WWWW[[#This Row],['#_Non-functional protected hand dug well]]</f>
        <v>0</v>
      </c>
      <c r="BU705" s="712">
        <f>(WWWW[[#This Row],['#_Constructed/Existing tube wells/boreholes/handpumps_WASH_agency]]+WWWW[[#This Row],['#_Non-Cluster partner water tube-wells/boreholes/handpumps]])-WWWW[[#This Row],['#_Non-functional tube wells/boreholes/handpumps]]</f>
        <v>0</v>
      </c>
      <c r="BV705" s="712">
        <f>WWWW[[#This Row],['#_Constructed/Existingwater storage tank with gravity fed reticulation system]]-WWWW[[#This Row],['#_Non-functional storage tank gravity fed reticulation system]]</f>
        <v>0</v>
      </c>
      <c r="BW705" s="712">
        <f>WWWW[[#This Row],['#_Water boating or water trucking]]</f>
        <v>0</v>
      </c>
      <c r="BX705" s="712">
        <f>WWWW[[#This Row],['#_Constructed/Existing water distribution system from river or natural spring]]</f>
        <v>0</v>
      </c>
      <c r="BY70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0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05" s="710">
        <f>IF(WWWW[[#This Row],[Location Type 1]]="Village",WWWW[[#This Row],[Access to safe drinking water for Village]],WWWW[[#This Row],[Access to safe drinking water for Camp]])</f>
        <v>0</v>
      </c>
      <c r="CB705" s="708">
        <f>WWWW[[#This Row],[%Equitable and continuous access to sufficient quantity of safe drinking water]]*WWWW[[#This Row],[Total PoP ]]</f>
        <v>0</v>
      </c>
      <c r="CC705" s="710">
        <f>IF((WWWW[[#This Row],['#_Constructed/Existing protected/fenced ponds]]*250)/WWWW[[#This Row],[Total PoP ]]&gt;1,1,(WWWW[[#This Row],['#_Constructed/Existing protected/fenced ponds]]*250)/WWWW[[#This Row],[Total PoP ]])</f>
        <v>0</v>
      </c>
      <c r="CD705" s="708">
        <f>WWWW[[#This Row],[% Access to unimproved water points]]*WWWW[[#This Row],[Total PoP ]]</f>
        <v>0</v>
      </c>
      <c r="CE70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0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05" s="708">
        <f>WWWW[[#This Row],[HRP1]]/500</f>
        <v>0</v>
      </c>
      <c r="CH705" s="714">
        <f>1-WWWW[[#This Row],[% Equitable and continuous access to sufficient quantity of domestic water]]</f>
        <v>1</v>
      </c>
      <c r="CI705" s="708">
        <f>WWWW[[#This Row],[%equitable and continuous access to sufficient quantity of safe drinking and domestic water''s GAP]]*WWWW[[#This Row],[Total PoP ]]</f>
        <v>496</v>
      </c>
      <c r="CJ705" s="712">
        <f>IF(WWWW[[#This Row],[Total required water points]]-WWWW[[#This Row],['#Water points coverage]]&lt;0,0,WWWW[[#This Row],[Total required water points]]-WWWW[[#This Row],['#Water points coverage]])</f>
        <v>1</v>
      </c>
      <c r="CK705" s="712">
        <f>ROUND(IF(WWWW[[#This Row],[Total PoP ]]&lt;500,1,WWWW[[#This Row],[Total PoP ]]/500),0)</f>
        <v>1</v>
      </c>
      <c r="CL705" s="712">
        <f>(WWWW[[#This Row],['#_Constructed latrines_by_WASHAgencies]]+WWWW[[#This Row],['#_Non Cluster partner latrines]])-WWWW[[#This Row],['#_Non-functional latrines]]</f>
        <v>0</v>
      </c>
      <c r="CM70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0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0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5" s="712">
        <f>IF(WWWW[[#This Row],[Location Type 1]]="Village","NA",IF(WWWW[[#This Row],['#_Constructed/Existing latrines in TLS]]*50&gt;WWWW[[#This Row],['#_students at TLS_CFS]],WWWW[[#This Row],['#_students at TLS_CFS]],(WWWW[[#This Row],['#_Constructed/Existing latrines in TLS]]*50)))</f>
        <v>0</v>
      </c>
      <c r="CQ705" s="712">
        <f>ROUND(IF(WWWW[[#This Row],[Location Type 1]]="camp",WWWW[[#This Row],[Total PoP ]]/20,IF(WWWW[[#This Row],[Location Type 1]]="Temporary Location",WWWW[[#This Row],[Total PoP ]]/50,(WWWW[[#This Row],[Total PoP ]]/6))),0)</f>
        <v>25</v>
      </c>
      <c r="CR705" s="712">
        <f>IF(WWWW[[#This Row],[Total required Latrines]]-(WWWW[[#This Row],['#_Constructed latrines_by_WASHAgencies]]+WWWW[[#This Row],['#_Non Cluster partner latrines]])&lt;0,0,WWWW[[#This Row],[Total required Latrines]]-(WWWW[[#This Row],['#_Constructed latrines_by_WASHAgencies]]+WWWW[[#This Row],['#_Non Cluster partner latrines]]))</f>
        <v>25</v>
      </c>
      <c r="CS705" s="714">
        <f>1-WWWW[[#This Row],[% people access to functioning Latrine]]</f>
        <v>1</v>
      </c>
      <c r="CT705" s="713">
        <f>IF(OR(WWWW[[#This Row],['#_Non-functional latrines]]="",WWWW[[#This Row],['#_Non-functional latrines]]=0),0,WWWW[[#This Row],['#_Non-functional latrines]]/(WWWW[[#This Row],['#_Constructed latrines_by_WASHAgencies]]+WWWW[[#This Row],['#_Non Cluster partner latrines]]))</f>
        <v>0</v>
      </c>
      <c r="CU705" s="708">
        <f>IF(500*(WWWW[[#This Row],['#_male hygiene promoters]]+WWWW[[#This Row],['#_female hygiene promoters]])&gt;WWWW[[#This Row],[Total PoP ]],WWWW[[#This Row],[Total PoP ]],500*(WWWW[[#This Row],['#_male hygiene promoters]]+WWWW[[#This Row],['#_female hygiene promoters]]))</f>
        <v>496</v>
      </c>
      <c r="CV70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496</v>
      </c>
      <c r="CW70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496</v>
      </c>
      <c r="CX705" s="712">
        <f>IF(WWWW[[#This Row],['# People with access to soap]]&gt;WWWW[[#This Row],['# People with access to Sanity Pads]],WWWW[[#This Row],['# People with access to soap]],WWWW[[#This Row],['# People with access to Sanity Pads]])</f>
        <v>496</v>
      </c>
      <c r="CY705" s="712">
        <f>IF(WWWW[[#This Row],['# people reached by regular dedicated hygiene promotion_5]]&gt;WWWW[[#This Row],['# People received regular supply of hygiene items_6]],WWWW[[#This Row],['# people reached by regular dedicated hygiene promotion_5]],WWWW[[#This Row],['# People received regular supply of hygiene items_6]])</f>
        <v>496</v>
      </c>
      <c r="CZ705" s="714">
        <f>IF(WWWW[[#This Row],[HRP3]]/WWWW[[#This Row],[Total PoP ]]&gt;100%,100%,WWWW[[#This Row],[HRP3]]/WWWW[[#This Row],[Total PoP ]])</f>
        <v>1</v>
      </c>
      <c r="DA705" s="713">
        <f>1-WWWW[[#This Row],[Hygiene Coverage%]]</f>
        <v>0</v>
      </c>
      <c r="DB705" s="710">
        <f>WWWW[[#This Row],['# people reached by regular dedicated hygiene promotion_5]]/WWWW[[#This Row],[Total PoP ]]</f>
        <v>1</v>
      </c>
      <c r="DC705" s="710">
        <f>IF(WWWW[[#This Row],['#_households that received standard amount of soap for this quarter]]/WWWW[[#This Row],[Total HH]]&gt;1,1,WWWW[[#This Row],['#_households that received standard amount of soap for this quarter]]/WWWW[[#This Row],[Total HH]])</f>
        <v>1</v>
      </c>
      <c r="DD705" s="710">
        <f>IF(WWWW[[#This Row],['#_households that received standard amount of sanitary pads for this quarter]]/WWWW[[#This Row],[Total HH]]&gt;1,1,WWWW[[#This Row],['#_households that received standard amount of sanitary pads for this quarter]]/WWWW[[#This Row],[Total HH]])</f>
        <v>1</v>
      </c>
      <c r="DE705" s="712">
        <f>WWWW[[#This Row],['#_Constructed/Existing hand washing stations]]-WWWW[[#This Row],['#_Non-Functional_hand_washing_stations]]</f>
        <v>0</v>
      </c>
      <c r="DF705" s="757">
        <f>IF(WWWW[[#This Row],['# Functional hand washing stations during reporting period]]*20&gt;WWWW[[#This Row],[Total HH]],WWWW[[#This Row],[Total HH]],WWWW[[#This Row],['# Functional hand washing stations during reporting period]]*20)</f>
        <v>0</v>
      </c>
      <c r="DG705" s="708">
        <f>IF(WWWW[[#This Row],[Is sufficient soap available for TLS? (Yes/No)]]="yes",WWWW[[#This Row],['#_Constructed/Existing hand washing stations at TLS]],0)</f>
        <v>0</v>
      </c>
      <c r="DH705" s="759">
        <f>IF(WWWW[[#This Row],['# Functional hand washing stations during reporting period]]*100&gt;WWWW[[#This Row],[Total PoP ]],WWWW[[#This Row],[Total PoP ]],WWWW[[#This Row],['# Functional hand washing stations during reporting period]]*100)</f>
        <v>0</v>
      </c>
      <c r="DI705" s="759" t="str">
        <f>IF(OR(WWWW[[#This Row],['#_students at TLS_CFS]]="",WWWW[[#This Row],['#_students at TLS_CFS]]=0),"No","Yes")</f>
        <v>Yes</v>
      </c>
      <c r="DJ705" s="711">
        <f>VLOOKUP(WWWW[[#This Row],[Site Name]],SiteDB6[[Site Name]:[CCCM Management]],6,FALSE)</f>
        <v>0</v>
      </c>
      <c r="DK705" s="711" t="str">
        <f>VLOOKUP(WWWW[[#This Row],[Site Name]],SiteDB6[[Site Name]:[CCCM Focal Agency]],7,FALSE)</f>
        <v>uncovered</v>
      </c>
      <c r="DL705" s="711" t="str">
        <f>VLOOKUP(WWWW[[#This Row],[Site Name]],SiteDB6[[Site Name]:[Location Type 1]],9,FALSE)</f>
        <v>Camp</v>
      </c>
      <c r="DM705" s="711" t="str">
        <f>VLOOKUP(WWWW[[#This Row],[Site Name]],SiteDB6[[Site Name]:[Type of Accommodation]],10,FALSE)</f>
        <v>Camp like setting</v>
      </c>
      <c r="DN705" s="711" t="str">
        <f>VLOOKUP(WWWW[[#This Row],[Site Name]],SiteDB6[[Site Name]:[Ethnic or GCA/NGCA]],11,FALSE)</f>
        <v>GCA</v>
      </c>
      <c r="DO705" s="711">
        <f>VLOOKUP(WWWW[[#This Row],[Site Name]],SiteDB6[[Site Name]:[Lat]],12,FALSE)</f>
        <v>0</v>
      </c>
      <c r="DP705" s="711">
        <f>VLOOKUP(WWWW[[#This Row],[Site Name]],SiteDB6[[Site Name]:[Long]],13,FALSE)</f>
        <v>0</v>
      </c>
      <c r="DQ705" s="711" t="str">
        <f>VLOOKUP(WWWW[[#This Row],[Site Name]],SiteDB6[[Site Name]:[Pcode]],3,FALSE)</f>
        <v>MMR015CMP212</v>
      </c>
      <c r="DR705" s="709" t="str">
        <f t="shared" si="27"/>
        <v>Covered</v>
      </c>
      <c r="DS705" s="709"/>
    </row>
    <row r="706" spans="1:123">
      <c r="A706" s="701" t="s">
        <v>2519</v>
      </c>
      <c r="B706" s="808" t="s">
        <v>305</v>
      </c>
      <c r="C706" s="808" t="s">
        <v>305</v>
      </c>
      <c r="D706" s="584" t="s">
        <v>2967</v>
      </c>
      <c r="E706" s="702" t="s">
        <v>716</v>
      </c>
      <c r="F706" s="702" t="s">
        <v>726</v>
      </c>
      <c r="G706" s="711" t="str">
        <f>VLOOKUP(WWWW[[#This Row],[Site Name]],SiteDB6[[Site Name]:[Location Type]],8,FALSE)</f>
        <v>Camp</v>
      </c>
      <c r="H706" s="702" t="s">
        <v>756</v>
      </c>
      <c r="I706" s="705">
        <v>136</v>
      </c>
      <c r="J706" s="705">
        <v>553</v>
      </c>
      <c r="K706" s="706">
        <v>43070</v>
      </c>
      <c r="L706" s="707">
        <v>43799</v>
      </c>
      <c r="M706" s="705"/>
      <c r="N706" s="705"/>
      <c r="O706" s="705"/>
      <c r="P706" s="705"/>
      <c r="Q706" s="708" t="s">
        <v>43</v>
      </c>
      <c r="R706" s="705">
        <v>5</v>
      </c>
      <c r="S706" s="705">
        <v>1</v>
      </c>
      <c r="T706" s="807">
        <v>0</v>
      </c>
      <c r="U706" s="705"/>
      <c r="V706" s="705"/>
      <c r="W706" s="705">
        <v>0</v>
      </c>
      <c r="X706" s="705">
        <v>0</v>
      </c>
      <c r="Y706" s="705"/>
      <c r="Z706" s="705"/>
      <c r="AA706" s="705">
        <v>20</v>
      </c>
      <c r="AB706" s="705"/>
      <c r="AC706" s="705"/>
      <c r="AD706" s="705">
        <v>0</v>
      </c>
      <c r="AE706" s="705"/>
      <c r="AF706" s="705">
        <v>0</v>
      </c>
      <c r="AG706" s="705">
        <v>1</v>
      </c>
      <c r="AH706" s="705">
        <v>1</v>
      </c>
      <c r="AI706" s="705">
        <v>1</v>
      </c>
      <c r="AJ706" s="705"/>
      <c r="AK706" s="705"/>
      <c r="AL706" s="705"/>
      <c r="AM706" s="705"/>
      <c r="AN706" s="705"/>
      <c r="AO706" s="705"/>
      <c r="AP706" s="705">
        <v>40</v>
      </c>
      <c r="AQ706" s="705">
        <v>0</v>
      </c>
      <c r="AR706" s="710"/>
      <c r="AS706" s="705"/>
      <c r="AT706" s="705"/>
      <c r="AU706" s="705"/>
      <c r="AV706" s="705"/>
      <c r="AW706" s="705"/>
      <c r="AX706" s="711" t="s">
        <v>144</v>
      </c>
      <c r="AY706" s="709" t="s">
        <v>1200</v>
      </c>
      <c r="AZ706" s="705">
        <v>0</v>
      </c>
      <c r="BA706" s="705">
        <v>0</v>
      </c>
      <c r="BB706" s="705"/>
      <c r="BC706" s="711"/>
      <c r="BD706" s="705">
        <v>2</v>
      </c>
      <c r="BE706" s="705"/>
      <c r="BF706" s="705">
        <v>0</v>
      </c>
      <c r="BG706" s="705">
        <v>6</v>
      </c>
      <c r="BH706" s="705"/>
      <c r="BI706" s="705">
        <v>0</v>
      </c>
      <c r="BJ706" s="705">
        <v>2</v>
      </c>
      <c r="BK706" s="705"/>
      <c r="BL706" s="705"/>
      <c r="BM706" s="711"/>
      <c r="BN706" s="712"/>
      <c r="BO706" s="710">
        <v>0.5</v>
      </c>
      <c r="BP706" s="711"/>
      <c r="BQ706" s="713">
        <f>IFERROR(WWWW[[#This Row],['#_Water sources treated]]/WWWW[[#This Row],['#_Water sources tested for contamination]],"no test")</f>
        <v>0</v>
      </c>
      <c r="BR706" s="710" t="str">
        <f>IFERROR(WWWW[[#This Row],['#_Household received remediation action due to contamination]]/WWWW[[#This Row],['#_Household water samples tested for contamination]],"no test")</f>
        <v>no test</v>
      </c>
      <c r="BS706" s="712" t="str">
        <f>IF(AND(WWWW[[#This Row],[% of water sources treated]]="no test",WWWW[[#This Row],[% Household received corrective actions]]="no test"),"No Test","Tested")</f>
        <v>Tested</v>
      </c>
      <c r="BT706" s="712">
        <f>WWWW[[#This Row],['#_Constructed/existing protected hand dug well]]-WWWW[[#This Row],['#_Non-functional protected hand dug well]]</f>
        <v>0</v>
      </c>
      <c r="BU706" s="712">
        <f>(WWWW[[#This Row],['#_Constructed/Existing tube wells/boreholes/handpumps_WASH_agency]]+WWWW[[#This Row],['#_Non-Cluster partner water tube-wells/boreholes/handpumps]])-WWWW[[#This Row],['#_Non-functional tube wells/boreholes/handpumps]]</f>
        <v>0</v>
      </c>
      <c r="BV706" s="712">
        <f>WWWW[[#This Row],['#_Constructed/Existingwater storage tank with gravity fed reticulation system]]-WWWW[[#This Row],['#_Non-functional storage tank gravity fed reticulation system]]</f>
        <v>20</v>
      </c>
      <c r="BW706" s="712">
        <f>WWWW[[#This Row],['#_Water boating or water trucking]]</f>
        <v>0</v>
      </c>
      <c r="BX706" s="712">
        <f>WWWW[[#This Row],['#_Constructed/Existing water distribution system from river or natural spring]]</f>
        <v>0</v>
      </c>
      <c r="BY70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0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06" s="710">
        <f>IF(WWWW[[#This Row],[Location Type 1]]="Village",WWWW[[#This Row],[Access to safe drinking water for Village]],WWWW[[#This Row],[Access to safe drinking water for Camp]])</f>
        <v>1</v>
      </c>
      <c r="CB706" s="708">
        <f>WWWW[[#This Row],[%Equitable and continuous access to sufficient quantity of safe drinking water]]*WWWW[[#This Row],[Total PoP ]]</f>
        <v>553</v>
      </c>
      <c r="CC706" s="710">
        <f>IF((WWWW[[#This Row],['#_Constructed/Existing protected/fenced ponds]]*250)/WWWW[[#This Row],[Total PoP ]]&gt;1,1,(WWWW[[#This Row],['#_Constructed/Existing protected/fenced ponds]]*250)/WWWW[[#This Row],[Total PoP ]])</f>
        <v>0</v>
      </c>
      <c r="CD706" s="708">
        <f>WWWW[[#This Row],[% Access to unimproved water points]]*WWWW[[#This Row],[Total PoP ]]</f>
        <v>0</v>
      </c>
      <c r="CE70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0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553</v>
      </c>
      <c r="CG706" s="708">
        <f>WWWW[[#This Row],[HRP1]]/500</f>
        <v>1.1060000000000001</v>
      </c>
      <c r="CH706" s="714">
        <f>1-WWWW[[#This Row],[% Equitable and continuous access to sufficient quantity of domestic water]]</f>
        <v>0</v>
      </c>
      <c r="CI706" s="708">
        <f>WWWW[[#This Row],[%equitable and continuous access to sufficient quantity of safe drinking and domestic water''s GAP]]*WWWW[[#This Row],[Total PoP ]]</f>
        <v>0</v>
      </c>
      <c r="CJ706" s="712">
        <f>IF(WWWW[[#This Row],[Total required water points]]-WWWW[[#This Row],['#Water points coverage]]&lt;0,0,WWWW[[#This Row],[Total required water points]]-WWWW[[#This Row],['#Water points coverage]])</f>
        <v>0</v>
      </c>
      <c r="CK706" s="712">
        <f>ROUND(IF(WWWW[[#This Row],[Total PoP ]]&lt;500,1,WWWW[[#This Row],[Total PoP ]]/500),0)</f>
        <v>1</v>
      </c>
      <c r="CL706" s="712">
        <f>(WWWW[[#This Row],['#_Constructed latrines_by_WASHAgencies]]+WWWW[[#This Row],['#_Non Cluster partner latrines]])-WWWW[[#This Row],['#_Non-functional latrines]]</f>
        <v>40</v>
      </c>
      <c r="CM70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0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553</v>
      </c>
      <c r="CO70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6" s="712">
        <f>IF(WWWW[[#This Row],[Location Type 1]]="Village","NA",IF(WWWW[[#This Row],['#_Constructed/Existing latrines in TLS]]*50&gt;WWWW[[#This Row],['#_students at TLS_CFS]],WWWW[[#This Row],['#_students at TLS_CFS]],(WWWW[[#This Row],['#_Constructed/Existing latrines in TLS]]*50)))</f>
        <v>0</v>
      </c>
      <c r="CQ706" s="712">
        <f>ROUND(IF(WWWW[[#This Row],[Location Type 1]]="camp",WWWW[[#This Row],[Total PoP ]]/20,IF(WWWW[[#This Row],[Location Type 1]]="Temporary Location",WWWW[[#This Row],[Total PoP ]]/50,(WWWW[[#This Row],[Total PoP ]]/6))),0)</f>
        <v>28</v>
      </c>
      <c r="CR706" s="712">
        <f>IF(WWWW[[#This Row],[Total required Latrines]]-(WWWW[[#This Row],['#_Constructed latrines_by_WASHAgencies]]+WWWW[[#This Row],['#_Non Cluster partner latrines]])&lt;0,0,WWWW[[#This Row],[Total required Latrines]]-(WWWW[[#This Row],['#_Constructed latrines_by_WASHAgencies]]+WWWW[[#This Row],['#_Non Cluster partner latrines]]))</f>
        <v>0</v>
      </c>
      <c r="CS706" s="714">
        <f>1-WWWW[[#This Row],[% people access to functioning Latrine]]</f>
        <v>0</v>
      </c>
      <c r="CT706" s="713">
        <f>IF(OR(WWWW[[#This Row],['#_Non-functional latrines]]="",WWWW[[#This Row],['#_Non-functional latrines]]=0),0,WWWW[[#This Row],['#_Non-functional latrines]]/(WWWW[[#This Row],['#_Constructed latrines_by_WASHAgencies]]+WWWW[[#This Row],['#_Non Cluster partner latrines]]))</f>
        <v>0</v>
      </c>
      <c r="CU706" s="708">
        <f>IF(500*(WWWW[[#This Row],['#_male hygiene promoters]]+WWWW[[#This Row],['#_female hygiene promoters]])&gt;WWWW[[#This Row],[Total PoP ]],WWWW[[#This Row],[Total PoP ]],500*(WWWW[[#This Row],['#_male hygiene promoters]]+WWWW[[#This Row],['#_female hygiene promoters]]))</f>
        <v>553</v>
      </c>
      <c r="CV70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0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6" s="712">
        <f>IF(WWWW[[#This Row],['# People with access to soap]]&gt;WWWW[[#This Row],['# People with access to Sanity Pads]],WWWW[[#This Row],['# People with access to soap]],WWWW[[#This Row],['# People with access to Sanity Pads]])</f>
        <v>0</v>
      </c>
      <c r="CY706" s="712">
        <f>IF(WWWW[[#This Row],['# people reached by regular dedicated hygiene promotion_5]]&gt;WWWW[[#This Row],['# People received regular supply of hygiene items_6]],WWWW[[#This Row],['# people reached by regular dedicated hygiene promotion_5]],WWWW[[#This Row],['# People received regular supply of hygiene items_6]])</f>
        <v>553</v>
      </c>
      <c r="CZ706" s="714">
        <f>IF(WWWW[[#This Row],[HRP3]]/WWWW[[#This Row],[Total PoP ]]&gt;100%,100%,WWWW[[#This Row],[HRP3]]/WWWW[[#This Row],[Total PoP ]])</f>
        <v>1</v>
      </c>
      <c r="DA706" s="713">
        <f>1-WWWW[[#This Row],[Hygiene Coverage%]]</f>
        <v>0</v>
      </c>
      <c r="DB706" s="710">
        <f>WWWW[[#This Row],['# people reached by regular dedicated hygiene promotion_5]]/WWWW[[#This Row],[Total PoP ]]</f>
        <v>1</v>
      </c>
      <c r="DC706" s="710">
        <f>IF(WWWW[[#This Row],['#_households that received standard amount of soap for this quarter]]/WWWW[[#This Row],[Total HH]]&gt;1,1,WWWW[[#This Row],['#_households that received standard amount of soap for this quarter]]/WWWW[[#This Row],[Total HH]])</f>
        <v>0</v>
      </c>
      <c r="DD706" s="710">
        <f>IF(WWWW[[#This Row],['#_households that received standard amount of sanitary pads for this quarter]]/WWWW[[#This Row],[Total HH]]&gt;1,1,WWWW[[#This Row],['#_households that received standard amount of sanitary pads for this quarter]]/WWWW[[#This Row],[Total HH]])</f>
        <v>0</v>
      </c>
      <c r="DE706" s="712">
        <f>WWWW[[#This Row],['#_Constructed/Existing hand washing stations]]-WWWW[[#This Row],['#_Non-Functional_hand_washing_stations]]</f>
        <v>2</v>
      </c>
      <c r="DF706" s="757">
        <f>IF(WWWW[[#This Row],['# Functional hand washing stations during reporting period]]*20&gt;WWWW[[#This Row],[Total HH]],WWWW[[#This Row],[Total HH]],WWWW[[#This Row],['# Functional hand washing stations during reporting period]]*20)</f>
        <v>40</v>
      </c>
      <c r="DG706" s="708">
        <f>IF(WWWW[[#This Row],[Is sufficient soap available for TLS? (Yes/No)]]="yes",WWWW[[#This Row],['#_Constructed/Existing hand washing stations at TLS]],0)</f>
        <v>0</v>
      </c>
      <c r="DH706" s="759">
        <f>IF(WWWW[[#This Row],['# Functional hand washing stations during reporting period]]*100&gt;WWWW[[#This Row],[Total PoP ]],WWWW[[#This Row],[Total PoP ]],WWWW[[#This Row],['# Functional hand washing stations during reporting period]]*100)</f>
        <v>200</v>
      </c>
      <c r="DI706" s="759" t="str">
        <f>IF(OR(WWWW[[#This Row],['#_students at TLS_CFS]]="",WWWW[[#This Row],['#_students at TLS_CFS]]=0),"No","Yes")</f>
        <v>No</v>
      </c>
      <c r="DJ706" s="711" t="str">
        <f>VLOOKUP(WWWW[[#This Row],[Site Name]],SiteDB6[[Site Name]:[CCCM Management]],6,FALSE)</f>
        <v>Yes</v>
      </c>
      <c r="DK706" s="711" t="str">
        <f>VLOOKUP(WWWW[[#This Row],[Site Name]],SiteDB6[[Site Name]:[CCCM Focal Agency]],7,FALSE)</f>
        <v>KBC-NSS</v>
      </c>
      <c r="DL706" s="711" t="str">
        <f>VLOOKUP(WWWW[[#This Row],[Site Name]],SiteDB6[[Site Name]:[Location Type 1]],9,FALSE)</f>
        <v>Camp</v>
      </c>
      <c r="DM706" s="711" t="str">
        <f>VLOOKUP(WWWW[[#This Row],[Site Name]],SiteDB6[[Site Name]:[Type of Accommodation]],10,FALSE)</f>
        <v>Camp</v>
      </c>
      <c r="DN706" s="711" t="str">
        <f>VLOOKUP(WWWW[[#This Row],[Site Name]],SiteDB6[[Site Name]:[Ethnic or GCA/NGCA]],11,FALSE)</f>
        <v>GCA</v>
      </c>
      <c r="DO706" s="711">
        <f>VLOOKUP(WWWW[[#This Row],[Site Name]],SiteDB6[[Site Name]:[Lat]],12,FALSE)</f>
        <v>24.08738</v>
      </c>
      <c r="DP706" s="711">
        <f>VLOOKUP(WWWW[[#This Row],[Site Name]],SiteDB6[[Site Name]:[Long]],13,FALSE)</f>
        <v>98.115809999999996</v>
      </c>
      <c r="DQ706" s="711" t="str">
        <f>VLOOKUP(WWWW[[#This Row],[Site Name]],SiteDB6[[Site Name]:[Pcode]],3,FALSE)</f>
        <v>MMR015CMP247</v>
      </c>
      <c r="DR706" s="709" t="str">
        <f t="shared" si="27"/>
        <v>Covered</v>
      </c>
      <c r="DS706" s="709"/>
    </row>
    <row r="707" spans="1:123">
      <c r="A707" s="701" t="s">
        <v>2519</v>
      </c>
      <c r="B707" s="808" t="s">
        <v>200</v>
      </c>
      <c r="C707" s="808" t="s">
        <v>200</v>
      </c>
      <c r="D707" s="702" t="s">
        <v>3311</v>
      </c>
      <c r="E707" s="702" t="s">
        <v>716</v>
      </c>
      <c r="F707" s="702" t="s">
        <v>726</v>
      </c>
      <c r="G707" s="711" t="str">
        <f>VLOOKUP(WWWW[[#This Row],[Site Name]],SiteDB6[[Site Name]:[Location Type]],8,FALSE)</f>
        <v>Camp</v>
      </c>
      <c r="H707" s="702" t="s">
        <v>760</v>
      </c>
      <c r="I707" s="705">
        <v>154</v>
      </c>
      <c r="J707" s="705">
        <v>779</v>
      </c>
      <c r="K707" s="706"/>
      <c r="L707" s="707">
        <v>44104</v>
      </c>
      <c r="M707" s="705"/>
      <c r="N707" s="705"/>
      <c r="O707" s="705"/>
      <c r="P707" s="705"/>
      <c r="Q707" s="708" t="s">
        <v>43</v>
      </c>
      <c r="R707" s="705"/>
      <c r="S707" s="705"/>
      <c r="T707" s="807"/>
      <c r="U707" s="705"/>
      <c r="V707" s="705"/>
      <c r="W707" s="705"/>
      <c r="X707" s="705"/>
      <c r="Y707" s="705"/>
      <c r="Z707" s="705"/>
      <c r="AA707" s="705"/>
      <c r="AB707" s="705"/>
      <c r="AC707" s="705"/>
      <c r="AD707" s="705"/>
      <c r="AE707" s="705"/>
      <c r="AF707" s="705"/>
      <c r="AG707" s="705"/>
      <c r="AH707" s="705"/>
      <c r="AI707" s="705"/>
      <c r="AJ707" s="705"/>
      <c r="AK707" s="705"/>
      <c r="AL707" s="705"/>
      <c r="AM707" s="705"/>
      <c r="AN707" s="705"/>
      <c r="AO707" s="705"/>
      <c r="AP707" s="705">
        <v>60</v>
      </c>
      <c r="AQ707" s="705"/>
      <c r="AR707" s="710"/>
      <c r="AS707" s="705"/>
      <c r="AT707" s="705"/>
      <c r="AU707" s="705"/>
      <c r="AV707" s="705"/>
      <c r="AW707" s="705"/>
      <c r="AX707" s="711" t="s">
        <v>43</v>
      </c>
      <c r="AY707" s="709" t="s">
        <v>145</v>
      </c>
      <c r="AZ707" s="705"/>
      <c r="BA707" s="705"/>
      <c r="BB707" s="705"/>
      <c r="BC707" s="711"/>
      <c r="BD707" s="705"/>
      <c r="BE707" s="705"/>
      <c r="BF707" s="705"/>
      <c r="BG707" s="705">
        <v>11</v>
      </c>
      <c r="BH707" s="705"/>
      <c r="BI707" s="705"/>
      <c r="BJ707" s="705"/>
      <c r="BK707" s="705"/>
      <c r="BL707" s="705"/>
      <c r="BM707" s="711"/>
      <c r="BN707" s="712"/>
      <c r="BO707" s="710"/>
      <c r="BP707" s="711"/>
      <c r="BQ707" s="713" t="str">
        <f>IFERROR(WWWW[[#This Row],['#_Water sources treated]]/WWWW[[#This Row],['#_Water sources tested for contamination]],"no test")</f>
        <v>no test</v>
      </c>
      <c r="BR707" s="710" t="str">
        <f>IFERROR(WWWW[[#This Row],['#_Household received remediation action due to contamination]]/WWWW[[#This Row],['#_Household water samples tested for contamination]],"no test")</f>
        <v>no test</v>
      </c>
      <c r="BS707" s="712" t="str">
        <f>IF(AND(WWWW[[#This Row],[% of water sources treated]]="no test",WWWW[[#This Row],[% Household received corrective actions]]="no test"),"No Test","Tested")</f>
        <v>No Test</v>
      </c>
      <c r="BT707" s="712">
        <f>WWWW[[#This Row],['#_Constructed/existing protected hand dug well]]-WWWW[[#This Row],['#_Non-functional protected hand dug well]]</f>
        <v>0</v>
      </c>
      <c r="BU707" s="712">
        <f>(WWWW[[#This Row],['#_Constructed/Existing tube wells/boreholes/handpumps_WASH_agency]]+WWWW[[#This Row],['#_Non-Cluster partner water tube-wells/boreholes/handpumps]])-WWWW[[#This Row],['#_Non-functional tube wells/boreholes/handpumps]]</f>
        <v>0</v>
      </c>
      <c r="BV707" s="712">
        <f>WWWW[[#This Row],['#_Constructed/Existingwater storage tank with gravity fed reticulation system]]-WWWW[[#This Row],['#_Non-functional storage tank gravity fed reticulation system]]</f>
        <v>0</v>
      </c>
      <c r="BW707" s="712">
        <f>WWWW[[#This Row],['#_Water boating or water trucking]]</f>
        <v>0</v>
      </c>
      <c r="BX707" s="712">
        <f>WWWW[[#This Row],['#_Constructed/Existing water distribution system from river or natural spring]]</f>
        <v>0</v>
      </c>
      <c r="BY70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0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07" s="710">
        <f>IF(WWWW[[#This Row],[Location Type 1]]="Village",WWWW[[#This Row],[Access to safe drinking water for Village]],WWWW[[#This Row],[Access to safe drinking water for Camp]])</f>
        <v>0</v>
      </c>
      <c r="CB707" s="708">
        <f>WWWW[[#This Row],[%Equitable and continuous access to sufficient quantity of safe drinking water]]*WWWW[[#This Row],[Total PoP ]]</f>
        <v>0</v>
      </c>
      <c r="CC707" s="710">
        <f>IF((WWWW[[#This Row],['#_Constructed/Existing protected/fenced ponds]]*250)/WWWW[[#This Row],[Total PoP ]]&gt;1,1,(WWWW[[#This Row],['#_Constructed/Existing protected/fenced ponds]]*250)/WWWW[[#This Row],[Total PoP ]])</f>
        <v>0</v>
      </c>
      <c r="CD707" s="708">
        <f>WWWW[[#This Row],[% Access to unimproved water points]]*WWWW[[#This Row],[Total PoP ]]</f>
        <v>0</v>
      </c>
      <c r="CE70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0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07" s="708">
        <f>WWWW[[#This Row],[HRP1]]/500</f>
        <v>0</v>
      </c>
      <c r="CH707" s="714">
        <f>1-WWWW[[#This Row],[% Equitable and continuous access to sufficient quantity of domestic water]]</f>
        <v>1</v>
      </c>
      <c r="CI707" s="708">
        <f>WWWW[[#This Row],[%equitable and continuous access to sufficient quantity of safe drinking and domestic water''s GAP]]*WWWW[[#This Row],[Total PoP ]]</f>
        <v>779</v>
      </c>
      <c r="CJ707" s="712">
        <f>IF(WWWW[[#This Row],[Total required water points]]-WWWW[[#This Row],['#Water points coverage]]&lt;0,0,WWWW[[#This Row],[Total required water points]]-WWWW[[#This Row],['#Water points coverage]])</f>
        <v>2</v>
      </c>
      <c r="CK707" s="712">
        <f>ROUND(IF(WWWW[[#This Row],[Total PoP ]]&lt;500,1,WWWW[[#This Row],[Total PoP ]]/500),0)</f>
        <v>2</v>
      </c>
      <c r="CL707" s="712">
        <f>(WWWW[[#This Row],['#_Constructed latrines_by_WASHAgencies]]+WWWW[[#This Row],['#_Non Cluster partner latrines]])-WWWW[[#This Row],['#_Non-functional latrines]]</f>
        <v>60</v>
      </c>
      <c r="CM70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0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779</v>
      </c>
      <c r="CO70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7" s="712">
        <f>IF(WWWW[[#This Row],[Location Type 1]]="Village","NA",IF(WWWW[[#This Row],['#_Constructed/Existing latrines in TLS]]*50&gt;WWWW[[#This Row],['#_students at TLS_CFS]],WWWW[[#This Row],['#_students at TLS_CFS]],(WWWW[[#This Row],['#_Constructed/Existing latrines in TLS]]*50)))</f>
        <v>0</v>
      </c>
      <c r="CQ707" s="712">
        <f>ROUND(IF(WWWW[[#This Row],[Location Type 1]]="camp",WWWW[[#This Row],[Total PoP ]]/20,IF(WWWW[[#This Row],[Location Type 1]]="Temporary Location",WWWW[[#This Row],[Total PoP ]]/50,(WWWW[[#This Row],[Total PoP ]]/6))),0)</f>
        <v>39</v>
      </c>
      <c r="CR707" s="712">
        <f>IF(WWWW[[#This Row],[Total required Latrines]]-(WWWW[[#This Row],['#_Constructed latrines_by_WASHAgencies]]+WWWW[[#This Row],['#_Non Cluster partner latrines]])&lt;0,0,WWWW[[#This Row],[Total required Latrines]]-(WWWW[[#This Row],['#_Constructed latrines_by_WASHAgencies]]+WWWW[[#This Row],['#_Non Cluster partner latrines]]))</f>
        <v>0</v>
      </c>
      <c r="CS707" s="714">
        <f>1-WWWW[[#This Row],[% people access to functioning Latrine]]</f>
        <v>0</v>
      </c>
      <c r="CT707" s="713">
        <f>IF(OR(WWWW[[#This Row],['#_Non-functional latrines]]="",WWWW[[#This Row],['#_Non-functional latrines]]=0),0,WWWW[[#This Row],['#_Non-functional latrines]]/(WWWW[[#This Row],['#_Constructed latrines_by_WASHAgencies]]+WWWW[[#This Row],['#_Non Cluster partner latrines]]))</f>
        <v>0</v>
      </c>
      <c r="CU707" s="708">
        <f>IF(500*(WWWW[[#This Row],['#_male hygiene promoters]]+WWWW[[#This Row],['#_female hygiene promoters]])&gt;WWWW[[#This Row],[Total PoP ]],WWWW[[#This Row],[Total PoP ]],500*(WWWW[[#This Row],['#_male hygiene promoters]]+WWWW[[#This Row],['#_female hygiene promoters]]))</f>
        <v>0</v>
      </c>
      <c r="CV70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0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7" s="712">
        <f>IF(WWWW[[#This Row],['# People with access to soap]]&gt;WWWW[[#This Row],['# People with access to Sanity Pads]],WWWW[[#This Row],['# People with access to soap]],WWWW[[#This Row],['# People with access to Sanity Pads]])</f>
        <v>0</v>
      </c>
      <c r="CY70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07" s="714">
        <f>IF(WWWW[[#This Row],[HRP3]]/WWWW[[#This Row],[Total PoP ]]&gt;100%,100%,WWWW[[#This Row],[HRP3]]/WWWW[[#This Row],[Total PoP ]])</f>
        <v>0</v>
      </c>
      <c r="DA707" s="713">
        <f>1-WWWW[[#This Row],[Hygiene Coverage%]]</f>
        <v>1</v>
      </c>
      <c r="DB707" s="710">
        <f>WWWW[[#This Row],['# people reached by regular dedicated hygiene promotion_5]]/WWWW[[#This Row],[Total PoP ]]</f>
        <v>0</v>
      </c>
      <c r="DC707" s="710">
        <f>IF(WWWW[[#This Row],['#_households that received standard amount of soap for this quarter]]/WWWW[[#This Row],[Total HH]]&gt;1,1,WWWW[[#This Row],['#_households that received standard amount of soap for this quarter]]/WWWW[[#This Row],[Total HH]])</f>
        <v>0</v>
      </c>
      <c r="DD707" s="710">
        <f>IF(WWWW[[#This Row],['#_households that received standard amount of sanitary pads for this quarter]]/WWWW[[#This Row],[Total HH]]&gt;1,1,WWWW[[#This Row],['#_households that received standard amount of sanitary pads for this quarter]]/WWWW[[#This Row],[Total HH]])</f>
        <v>0</v>
      </c>
      <c r="DE707" s="712">
        <f>WWWW[[#This Row],['#_Constructed/Existing hand washing stations]]-WWWW[[#This Row],['#_Non-Functional_hand_washing_stations]]</f>
        <v>0</v>
      </c>
      <c r="DF707" s="757">
        <f>IF(WWWW[[#This Row],['# Functional hand washing stations during reporting period]]*20&gt;WWWW[[#This Row],[Total HH]],WWWW[[#This Row],[Total HH]],WWWW[[#This Row],['# Functional hand washing stations during reporting period]]*20)</f>
        <v>0</v>
      </c>
      <c r="DG707" s="708">
        <f>IF(WWWW[[#This Row],[Is sufficient soap available for TLS? (Yes/No)]]="yes",WWWW[[#This Row],['#_Constructed/Existing hand washing stations at TLS]],0)</f>
        <v>0</v>
      </c>
      <c r="DH707" s="759">
        <f>IF(WWWW[[#This Row],['# Functional hand washing stations during reporting period]]*100&gt;WWWW[[#This Row],[Total PoP ]],WWWW[[#This Row],[Total PoP ]],WWWW[[#This Row],['# Functional hand washing stations during reporting period]]*100)</f>
        <v>0</v>
      </c>
      <c r="DI707" s="759" t="str">
        <f>IF(OR(WWWW[[#This Row],['#_students at TLS_CFS]]="",WWWW[[#This Row],['#_students at TLS_CFS]]=0),"No","Yes")</f>
        <v>No</v>
      </c>
      <c r="DJ707" s="711">
        <f>VLOOKUP(WWWW[[#This Row],[Site Name]],SiteDB6[[Site Name]:[CCCM Management]],6,FALSE)</f>
        <v>0</v>
      </c>
      <c r="DK707" s="711">
        <f>VLOOKUP(WWWW[[#This Row],[Site Name]],SiteDB6[[Site Name]:[CCCM Focal Agency]],7,FALSE)</f>
        <v>0</v>
      </c>
      <c r="DL707" s="711" t="str">
        <f>VLOOKUP(WWWW[[#This Row],[Site Name]],SiteDB6[[Site Name]:[Location Type 1]],9,FALSE)</f>
        <v>Camp</v>
      </c>
      <c r="DM707" s="711" t="str">
        <f>VLOOKUP(WWWW[[#This Row],[Site Name]],SiteDB6[[Site Name]:[Type of Accommodation]],10,FALSE)</f>
        <v>Closed Camp</v>
      </c>
      <c r="DN707" s="711" t="str">
        <f>VLOOKUP(WWWW[[#This Row],[Site Name]],SiteDB6[[Site Name]:[Ethnic or GCA/NGCA]],11,FALSE)</f>
        <v>GCA</v>
      </c>
      <c r="DO707" s="711">
        <f>VLOOKUP(WWWW[[#This Row],[Site Name]],SiteDB6[[Site Name]:[Lat]],12,FALSE)</f>
        <v>24.08738</v>
      </c>
      <c r="DP707" s="711">
        <f>VLOOKUP(WWWW[[#This Row],[Site Name]],SiteDB6[[Site Name]:[Long]],13,FALSE)</f>
        <v>98.115809999999996</v>
      </c>
      <c r="DQ707" s="711" t="str">
        <f>VLOOKUP(WWWW[[#This Row],[Site Name]],SiteDB6[[Site Name]:[Pcode]],3,FALSE)</f>
        <v>MMR015CMP022</v>
      </c>
      <c r="DR707" s="709" t="str">
        <f t="shared" si="27"/>
        <v>Covered</v>
      </c>
      <c r="DS707" s="709"/>
    </row>
    <row r="708" spans="1:123">
      <c r="A708" s="701" t="s">
        <v>2519</v>
      </c>
      <c r="B708" s="808" t="s">
        <v>1957</v>
      </c>
      <c r="C708" s="808" t="s">
        <v>1957</v>
      </c>
      <c r="D708" s="702" t="s">
        <v>2970</v>
      </c>
      <c r="E708" s="702" t="s">
        <v>716</v>
      </c>
      <c r="F708" s="702" t="s">
        <v>720</v>
      </c>
      <c r="G708" s="711" t="str">
        <f>VLOOKUP(WWWW[[#This Row],[Site Name]],SiteDB6[[Site Name]:[Location Type]],8,FALSE)</f>
        <v>Camp</v>
      </c>
      <c r="H708" s="702" t="s">
        <v>2324</v>
      </c>
      <c r="I708" s="705">
        <v>32</v>
      </c>
      <c r="J708" s="705">
        <v>154</v>
      </c>
      <c r="K708" s="593" t="s">
        <v>3304</v>
      </c>
      <c r="L708" s="58" t="s">
        <v>3306</v>
      </c>
      <c r="M708" s="705">
        <v>23</v>
      </c>
      <c r="N708" s="705"/>
      <c r="O708" s="705"/>
      <c r="P708" s="705"/>
      <c r="Q708" s="708" t="s">
        <v>43</v>
      </c>
      <c r="R708" s="705">
        <v>4</v>
      </c>
      <c r="S708" s="705">
        <v>5</v>
      </c>
      <c r="T708" s="807">
        <v>0</v>
      </c>
      <c r="U708" s="705"/>
      <c r="V708" s="705"/>
      <c r="W708" s="705">
        <v>0</v>
      </c>
      <c r="X708" s="705">
        <v>0</v>
      </c>
      <c r="Y708" s="705"/>
      <c r="Z708" s="705"/>
      <c r="AA708" s="705">
        <v>54</v>
      </c>
      <c r="AB708" s="705"/>
      <c r="AC708" s="705"/>
      <c r="AD708" s="705">
        <v>0</v>
      </c>
      <c r="AE708" s="705"/>
      <c r="AF708" s="705">
        <v>0</v>
      </c>
      <c r="AG708" s="705">
        <v>1</v>
      </c>
      <c r="AH708" s="705"/>
      <c r="AI708" s="705">
        <v>1</v>
      </c>
      <c r="AJ708" s="705"/>
      <c r="AK708" s="705"/>
      <c r="AL708" s="705"/>
      <c r="AM708" s="705"/>
      <c r="AN708" s="705"/>
      <c r="AO708" s="705"/>
      <c r="AP708" s="705">
        <v>32</v>
      </c>
      <c r="AQ708" s="705">
        <v>0</v>
      </c>
      <c r="AR708" s="710"/>
      <c r="AS708" s="705"/>
      <c r="AT708" s="705"/>
      <c r="AU708" s="705"/>
      <c r="AV708" s="705"/>
      <c r="AW708" s="705"/>
      <c r="AX708" s="711" t="s">
        <v>144</v>
      </c>
      <c r="AY708" s="709" t="s">
        <v>145</v>
      </c>
      <c r="AZ708" s="705">
        <v>0</v>
      </c>
      <c r="BA708" s="705">
        <v>0</v>
      </c>
      <c r="BB708" s="705"/>
      <c r="BC708" s="711"/>
      <c r="BD708" s="705">
        <v>0</v>
      </c>
      <c r="BE708" s="705"/>
      <c r="BF708" s="705">
        <v>0</v>
      </c>
      <c r="BG708" s="705">
        <v>0</v>
      </c>
      <c r="BH708" s="705"/>
      <c r="BI708" s="705">
        <v>0</v>
      </c>
      <c r="BJ708" s="705">
        <v>2</v>
      </c>
      <c r="BK708" s="705">
        <v>30</v>
      </c>
      <c r="BL708" s="705">
        <v>30</v>
      </c>
      <c r="BM708" s="711"/>
      <c r="BN708" s="712"/>
      <c r="BO708" s="710">
        <v>0.5</v>
      </c>
      <c r="BP708" s="711"/>
      <c r="BQ708" s="713">
        <f>IFERROR(WWWW[[#This Row],['#_Water sources treated]]/WWWW[[#This Row],['#_Water sources tested for contamination]],"no test")</f>
        <v>0</v>
      </c>
      <c r="BR708" s="710" t="str">
        <f>IFERROR(WWWW[[#This Row],['#_Household received remediation action due to contamination]]/WWWW[[#This Row],['#_Household water samples tested for contamination]],"no test")</f>
        <v>no test</v>
      </c>
      <c r="BS708" s="712" t="str">
        <f>IF(AND(WWWW[[#This Row],[% of water sources treated]]="no test",WWWW[[#This Row],[% Household received corrective actions]]="no test"),"No Test","Tested")</f>
        <v>Tested</v>
      </c>
      <c r="BT708" s="712">
        <f>WWWW[[#This Row],['#_Constructed/existing protected hand dug well]]-WWWW[[#This Row],['#_Non-functional protected hand dug well]]</f>
        <v>0</v>
      </c>
      <c r="BU708" s="712">
        <f>(WWWW[[#This Row],['#_Constructed/Existing tube wells/boreholes/handpumps_WASH_agency]]+WWWW[[#This Row],['#_Non-Cluster partner water tube-wells/boreholes/handpumps]])-WWWW[[#This Row],['#_Non-functional tube wells/boreholes/handpumps]]</f>
        <v>0</v>
      </c>
      <c r="BV708" s="712">
        <f>WWWW[[#This Row],['#_Constructed/Existingwater storage tank with gravity fed reticulation system]]-WWWW[[#This Row],['#_Non-functional storage tank gravity fed reticulation system]]</f>
        <v>54</v>
      </c>
      <c r="BW708" s="712">
        <f>WWWW[[#This Row],['#_Water boating or water trucking]]</f>
        <v>0</v>
      </c>
      <c r="BX708" s="712">
        <f>WWWW[[#This Row],['#_Constructed/Existing water distribution system from river or natural spring]]</f>
        <v>0</v>
      </c>
      <c r="BY70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0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08" s="710">
        <f>IF(WWWW[[#This Row],[Location Type 1]]="Village",WWWW[[#This Row],[Access to safe drinking water for Village]],WWWW[[#This Row],[Access to safe drinking water for Camp]])</f>
        <v>1</v>
      </c>
      <c r="CB708" s="708">
        <f>WWWW[[#This Row],[%Equitable and continuous access to sufficient quantity of safe drinking water]]*WWWW[[#This Row],[Total PoP ]]</f>
        <v>154</v>
      </c>
      <c r="CC708" s="710">
        <f>IF((WWWW[[#This Row],['#_Constructed/Existing protected/fenced ponds]]*250)/WWWW[[#This Row],[Total PoP ]]&gt;1,1,(WWWW[[#This Row],['#_Constructed/Existing protected/fenced ponds]]*250)/WWWW[[#This Row],[Total PoP ]])</f>
        <v>0</v>
      </c>
      <c r="CD708" s="708">
        <f>WWWW[[#This Row],[% Access to unimproved water points]]*WWWW[[#This Row],[Total PoP ]]</f>
        <v>0</v>
      </c>
      <c r="CE70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0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154</v>
      </c>
      <c r="CG708" s="708">
        <f>WWWW[[#This Row],[HRP1]]/500</f>
        <v>0.308</v>
      </c>
      <c r="CH708" s="714">
        <f>1-WWWW[[#This Row],[% Equitable and continuous access to sufficient quantity of domestic water]]</f>
        <v>0</v>
      </c>
      <c r="CI708" s="708">
        <f>WWWW[[#This Row],[%equitable and continuous access to sufficient quantity of safe drinking and domestic water''s GAP]]*WWWW[[#This Row],[Total PoP ]]</f>
        <v>0</v>
      </c>
      <c r="CJ708" s="712">
        <f>IF(WWWW[[#This Row],[Total required water points]]-WWWW[[#This Row],['#Water points coverage]]&lt;0,0,WWWW[[#This Row],[Total required water points]]-WWWW[[#This Row],['#Water points coverage]])</f>
        <v>0.69199999999999995</v>
      </c>
      <c r="CK708" s="712">
        <f>ROUND(IF(WWWW[[#This Row],[Total PoP ]]&lt;500,1,WWWW[[#This Row],[Total PoP ]]/500),0)</f>
        <v>1</v>
      </c>
      <c r="CL708" s="712">
        <f>(WWWW[[#This Row],['#_Constructed latrines_by_WASHAgencies]]+WWWW[[#This Row],['#_Non Cluster partner latrines]])-WWWW[[#This Row],['#_Non-functional latrines]]</f>
        <v>32</v>
      </c>
      <c r="CM70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0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154</v>
      </c>
      <c r="CO70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8" s="712">
        <f>IF(WWWW[[#This Row],[Location Type 1]]="Village","NA",IF(WWWW[[#This Row],['#_Constructed/Existing latrines in TLS]]*50&gt;WWWW[[#This Row],['#_students at TLS_CFS]],WWWW[[#This Row],['#_students at TLS_CFS]],(WWWW[[#This Row],['#_Constructed/Existing latrines in TLS]]*50)))</f>
        <v>0</v>
      </c>
      <c r="CQ708" s="712">
        <f>ROUND(IF(WWWW[[#This Row],[Location Type 1]]="camp",WWWW[[#This Row],[Total PoP ]]/20,IF(WWWW[[#This Row],[Location Type 1]]="Temporary Location",WWWW[[#This Row],[Total PoP ]]/50,(WWWW[[#This Row],[Total PoP ]]/6))),0)</f>
        <v>8</v>
      </c>
      <c r="CR708" s="712">
        <f>IF(WWWW[[#This Row],[Total required Latrines]]-(WWWW[[#This Row],['#_Constructed latrines_by_WASHAgencies]]+WWWW[[#This Row],['#_Non Cluster partner latrines]])&lt;0,0,WWWW[[#This Row],[Total required Latrines]]-(WWWW[[#This Row],['#_Constructed latrines_by_WASHAgencies]]+WWWW[[#This Row],['#_Non Cluster partner latrines]]))</f>
        <v>0</v>
      </c>
      <c r="CS708" s="714">
        <f>1-WWWW[[#This Row],[% people access to functioning Latrine]]</f>
        <v>0</v>
      </c>
      <c r="CT708" s="713">
        <f>IF(OR(WWWW[[#This Row],['#_Non-functional latrines]]="",WWWW[[#This Row],['#_Non-functional latrines]]=0),0,WWWW[[#This Row],['#_Non-functional latrines]]/(WWWW[[#This Row],['#_Constructed latrines_by_WASHAgencies]]+WWWW[[#This Row],['#_Non Cluster partner latrines]]))</f>
        <v>0</v>
      </c>
      <c r="CU708" s="708">
        <f>IF(500*(WWWW[[#This Row],['#_male hygiene promoters]]+WWWW[[#This Row],['#_female hygiene promoters]])&gt;WWWW[[#This Row],[Total PoP ]],WWWW[[#This Row],[Total PoP ]],500*(WWWW[[#This Row],['#_male hygiene promoters]]+WWWW[[#This Row],['#_female hygiene promoters]]))</f>
        <v>154</v>
      </c>
      <c r="CV70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70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150</v>
      </c>
      <c r="CX708" s="712">
        <f>IF(WWWW[[#This Row],['# People with access to soap]]&gt;WWWW[[#This Row],['# People with access to Sanity Pads]],WWWW[[#This Row],['# People with access to soap]],WWWW[[#This Row],['# People with access to Sanity Pads]])</f>
        <v>150</v>
      </c>
      <c r="CY708" s="712">
        <f>IF(WWWW[[#This Row],['# people reached by regular dedicated hygiene promotion_5]]&gt;WWWW[[#This Row],['# People received regular supply of hygiene items_6]],WWWW[[#This Row],['# people reached by regular dedicated hygiene promotion_5]],WWWW[[#This Row],['# People received regular supply of hygiene items_6]])</f>
        <v>154</v>
      </c>
      <c r="CZ708" s="714">
        <f>IF(WWWW[[#This Row],[HRP3]]/WWWW[[#This Row],[Total PoP ]]&gt;100%,100%,WWWW[[#This Row],[HRP3]]/WWWW[[#This Row],[Total PoP ]])</f>
        <v>1</v>
      </c>
      <c r="DA708" s="713">
        <f>1-WWWW[[#This Row],[Hygiene Coverage%]]</f>
        <v>0</v>
      </c>
      <c r="DB708" s="710">
        <f>WWWW[[#This Row],['# people reached by regular dedicated hygiene promotion_5]]/WWWW[[#This Row],[Total PoP ]]</f>
        <v>1</v>
      </c>
      <c r="DC708" s="710">
        <f>IF(WWWW[[#This Row],['#_households that received standard amount of soap for this quarter]]/WWWW[[#This Row],[Total HH]]&gt;1,1,WWWW[[#This Row],['#_households that received standard amount of soap for this quarter]]/WWWW[[#This Row],[Total HH]])</f>
        <v>0.9375</v>
      </c>
      <c r="DD708" s="710">
        <f>IF(WWWW[[#This Row],['#_households that received standard amount of sanitary pads for this quarter]]/WWWW[[#This Row],[Total HH]]&gt;1,1,WWWW[[#This Row],['#_households that received standard amount of sanitary pads for this quarter]]/WWWW[[#This Row],[Total HH]])</f>
        <v>0.9375</v>
      </c>
      <c r="DE708" s="712">
        <f>WWWW[[#This Row],['#_Constructed/Existing hand washing stations]]-WWWW[[#This Row],['#_Non-Functional_hand_washing_stations]]</f>
        <v>0</v>
      </c>
      <c r="DF708" s="757">
        <f>IF(WWWW[[#This Row],['# Functional hand washing stations during reporting period]]*20&gt;WWWW[[#This Row],[Total HH]],WWWW[[#This Row],[Total HH]],WWWW[[#This Row],['# Functional hand washing stations during reporting period]]*20)</f>
        <v>0</v>
      </c>
      <c r="DG708" s="708">
        <f>IF(WWWW[[#This Row],[Is sufficient soap available for TLS? (Yes/No)]]="yes",WWWW[[#This Row],['#_Constructed/Existing hand washing stations at TLS]],0)</f>
        <v>0</v>
      </c>
      <c r="DH708" s="759">
        <f>IF(WWWW[[#This Row],['# Functional hand washing stations during reporting period]]*100&gt;WWWW[[#This Row],[Total PoP ]],WWWW[[#This Row],[Total PoP ]],WWWW[[#This Row],['# Functional hand washing stations during reporting period]]*100)</f>
        <v>0</v>
      </c>
      <c r="DI708" s="759" t="str">
        <f>IF(OR(WWWW[[#This Row],['#_students at TLS_CFS]]="",WWWW[[#This Row],['#_students at TLS_CFS]]=0),"No","Yes")</f>
        <v>Yes</v>
      </c>
      <c r="DJ708" s="711" t="str">
        <f>VLOOKUP(WWWW[[#This Row],[Site Name]],SiteDB6[[Site Name]:[CCCM Management]],6,FALSE)</f>
        <v>Yes</v>
      </c>
      <c r="DK708" s="711" t="str">
        <f>VLOOKUP(WWWW[[#This Row],[Site Name]],SiteDB6[[Site Name]:[CCCM Focal Agency]],7,FALSE)</f>
        <v>KMSS-LSO</v>
      </c>
      <c r="DL708" s="711" t="str">
        <f>VLOOKUP(WWWW[[#This Row],[Site Name]],SiteDB6[[Site Name]:[Location Type 1]],9,FALSE)</f>
        <v>Camp</v>
      </c>
      <c r="DM708" s="711" t="str">
        <f>VLOOKUP(WWWW[[#This Row],[Site Name]],SiteDB6[[Site Name]:[Type of Accommodation]],10,FALSE)</f>
        <v>Camp</v>
      </c>
      <c r="DN708" s="711" t="str">
        <f>VLOOKUP(WWWW[[#This Row],[Site Name]],SiteDB6[[Site Name]:[Ethnic or GCA/NGCA]],11,FALSE)</f>
        <v>GCA</v>
      </c>
      <c r="DO708" s="711">
        <f>VLOOKUP(WWWW[[#This Row],[Site Name]],SiteDB6[[Site Name]:[Lat]],12,FALSE)</f>
        <v>0</v>
      </c>
      <c r="DP708" s="711">
        <f>VLOOKUP(WWWW[[#This Row],[Site Name]],SiteDB6[[Site Name]:[Long]],13,FALSE)</f>
        <v>0</v>
      </c>
      <c r="DQ708" s="711" t="str">
        <f>VLOOKUP(WWWW[[#This Row],[Site Name]],SiteDB6[[Site Name]:[Pcode]],3,FALSE)</f>
        <v>MMR015CMP250</v>
      </c>
      <c r="DR708" s="709" t="str">
        <f t="shared" si="27"/>
        <v>Covered</v>
      </c>
      <c r="DS708" s="709"/>
    </row>
    <row r="709" spans="1:123">
      <c r="A709" s="701" t="s">
        <v>2519</v>
      </c>
      <c r="B709" s="808" t="s">
        <v>305</v>
      </c>
      <c r="C709" s="584" t="s">
        <v>305</v>
      </c>
      <c r="D709" s="584" t="s">
        <v>2967</v>
      </c>
      <c r="E709" s="702" t="s">
        <v>716</v>
      </c>
      <c r="F709" s="702" t="s">
        <v>720</v>
      </c>
      <c r="G709" s="711" t="str">
        <f>VLOOKUP(WWWW[[#This Row],[Site Name]],SiteDB6[[Site Name]:[Location Type]],8,FALSE)</f>
        <v>Camp</v>
      </c>
      <c r="H709" s="702" t="s">
        <v>741</v>
      </c>
      <c r="I709" s="705">
        <v>86</v>
      </c>
      <c r="J709" s="705">
        <v>496</v>
      </c>
      <c r="K709" s="706">
        <v>43070</v>
      </c>
      <c r="L709" s="707">
        <v>43799</v>
      </c>
      <c r="M709" s="705"/>
      <c r="N709" s="705"/>
      <c r="O709" s="705"/>
      <c r="P709" s="705"/>
      <c r="Q709" s="708" t="s">
        <v>43</v>
      </c>
      <c r="R709" s="705">
        <v>8</v>
      </c>
      <c r="S709" s="705">
        <v>1</v>
      </c>
      <c r="T709" s="807">
        <v>0</v>
      </c>
      <c r="U709" s="705"/>
      <c r="V709" s="705"/>
      <c r="W709" s="705">
        <v>0</v>
      </c>
      <c r="X709" s="705">
        <v>0</v>
      </c>
      <c r="Y709" s="705"/>
      <c r="Z709" s="705"/>
      <c r="AA709" s="705">
        <v>21</v>
      </c>
      <c r="AB709" s="705"/>
      <c r="AC709" s="705"/>
      <c r="AD709" s="705">
        <v>0</v>
      </c>
      <c r="AE709" s="705"/>
      <c r="AF709" s="705">
        <v>0</v>
      </c>
      <c r="AG709" s="705">
        <v>1</v>
      </c>
      <c r="AH709" s="705"/>
      <c r="AI709" s="705"/>
      <c r="AJ709" s="705"/>
      <c r="AK709" s="705"/>
      <c r="AL709" s="705"/>
      <c r="AM709" s="705"/>
      <c r="AN709" s="705"/>
      <c r="AO709" s="705"/>
      <c r="AP709" s="705">
        <v>86</v>
      </c>
      <c r="AQ709" s="705">
        <v>0</v>
      </c>
      <c r="AR709" s="710"/>
      <c r="AS709" s="705"/>
      <c r="AT709" s="705"/>
      <c r="AU709" s="705"/>
      <c r="AV709" s="705"/>
      <c r="AW709" s="705"/>
      <c r="AX709" s="711" t="s">
        <v>144</v>
      </c>
      <c r="AY709" s="709" t="s">
        <v>144</v>
      </c>
      <c r="AZ709" s="705">
        <v>0</v>
      </c>
      <c r="BA709" s="705">
        <v>0</v>
      </c>
      <c r="BB709" s="705"/>
      <c r="BC709" s="711"/>
      <c r="BD709" s="705">
        <v>0</v>
      </c>
      <c r="BE709" s="705"/>
      <c r="BF709" s="705">
        <v>0</v>
      </c>
      <c r="BG709" s="705">
        <v>0</v>
      </c>
      <c r="BH709" s="705"/>
      <c r="BI709" s="705">
        <v>0</v>
      </c>
      <c r="BJ709" s="705">
        <v>1</v>
      </c>
      <c r="BK709" s="705">
        <v>68.8</v>
      </c>
      <c r="BL709" s="705"/>
      <c r="BM709" s="711"/>
      <c r="BN709" s="712"/>
      <c r="BO709" s="710">
        <v>0.5</v>
      </c>
      <c r="BP709" s="711"/>
      <c r="BQ709" s="713" t="str">
        <f>IFERROR(WWWW[[#This Row],['#_Water sources treated]]/WWWW[[#This Row],['#_Water sources tested for contamination]],"no test")</f>
        <v>no test</v>
      </c>
      <c r="BR709" s="710" t="str">
        <f>IFERROR(WWWW[[#This Row],['#_Household received remediation action due to contamination]]/WWWW[[#This Row],['#_Household water samples tested for contamination]],"no test")</f>
        <v>no test</v>
      </c>
      <c r="BS709" s="712" t="str">
        <f>IF(AND(WWWW[[#This Row],[% of water sources treated]]="no test",WWWW[[#This Row],[% Household received corrective actions]]="no test"),"No Test","Tested")</f>
        <v>No Test</v>
      </c>
      <c r="BT709" s="712">
        <f>WWWW[[#This Row],['#_Constructed/existing protected hand dug well]]-WWWW[[#This Row],['#_Non-functional protected hand dug well]]</f>
        <v>0</v>
      </c>
      <c r="BU709" s="712">
        <f>(WWWW[[#This Row],['#_Constructed/Existing tube wells/boreholes/handpumps_WASH_agency]]+WWWW[[#This Row],['#_Non-Cluster partner water tube-wells/boreholes/handpumps]])-WWWW[[#This Row],['#_Non-functional tube wells/boreholes/handpumps]]</f>
        <v>0</v>
      </c>
      <c r="BV709" s="712">
        <f>WWWW[[#This Row],['#_Constructed/Existingwater storage tank with gravity fed reticulation system]]-WWWW[[#This Row],['#_Non-functional storage tank gravity fed reticulation system]]</f>
        <v>21</v>
      </c>
      <c r="BW709" s="712">
        <f>WWWW[[#This Row],['#_Water boating or water trucking]]</f>
        <v>0</v>
      </c>
      <c r="BX709" s="712">
        <f>WWWW[[#This Row],['#_Constructed/Existing water distribution system from river or natural spring]]</f>
        <v>0</v>
      </c>
      <c r="BY70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0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09" s="710">
        <f>IF(WWWW[[#This Row],[Location Type 1]]="Village",WWWW[[#This Row],[Access to safe drinking water for Village]],WWWW[[#This Row],[Access to safe drinking water for Camp]])</f>
        <v>1</v>
      </c>
      <c r="CB709" s="708">
        <f>WWWW[[#This Row],[%Equitable and continuous access to sufficient quantity of safe drinking water]]*WWWW[[#This Row],[Total PoP ]]</f>
        <v>496</v>
      </c>
      <c r="CC709" s="710">
        <f>IF((WWWW[[#This Row],['#_Constructed/Existing protected/fenced ponds]]*250)/WWWW[[#This Row],[Total PoP ]]&gt;1,1,(WWWW[[#This Row],['#_Constructed/Existing protected/fenced ponds]]*250)/WWWW[[#This Row],[Total PoP ]])</f>
        <v>0</v>
      </c>
      <c r="CD709" s="708">
        <f>WWWW[[#This Row],[% Access to unimproved water points]]*WWWW[[#This Row],[Total PoP ]]</f>
        <v>0</v>
      </c>
      <c r="CE70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0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496</v>
      </c>
      <c r="CG709" s="708">
        <f>WWWW[[#This Row],[HRP1]]/500</f>
        <v>0.99199999999999999</v>
      </c>
      <c r="CH709" s="714">
        <f>1-WWWW[[#This Row],[% Equitable and continuous access to sufficient quantity of domestic water]]</f>
        <v>0</v>
      </c>
      <c r="CI709" s="708">
        <f>WWWW[[#This Row],[%equitable and continuous access to sufficient quantity of safe drinking and domestic water''s GAP]]*WWWW[[#This Row],[Total PoP ]]</f>
        <v>0</v>
      </c>
      <c r="CJ709" s="712">
        <f>IF(WWWW[[#This Row],[Total required water points]]-WWWW[[#This Row],['#Water points coverage]]&lt;0,0,WWWW[[#This Row],[Total required water points]]-WWWW[[#This Row],['#Water points coverage]])</f>
        <v>8.0000000000000071E-3</v>
      </c>
      <c r="CK709" s="712">
        <f>ROUND(IF(WWWW[[#This Row],[Total PoP ]]&lt;500,1,WWWW[[#This Row],[Total PoP ]]/500),0)</f>
        <v>1</v>
      </c>
      <c r="CL709" s="712">
        <f>(WWWW[[#This Row],['#_Constructed latrines_by_WASHAgencies]]+WWWW[[#This Row],['#_Non Cluster partner latrines]])-WWWW[[#This Row],['#_Non-functional latrines]]</f>
        <v>86</v>
      </c>
      <c r="CM70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0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496</v>
      </c>
      <c r="CO70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09" s="712">
        <f>IF(WWWW[[#This Row],[Location Type 1]]="Village","NA",IF(WWWW[[#This Row],['#_Constructed/Existing latrines in TLS]]*50&gt;WWWW[[#This Row],['#_students at TLS_CFS]],WWWW[[#This Row],['#_students at TLS_CFS]],(WWWW[[#This Row],['#_Constructed/Existing latrines in TLS]]*50)))</f>
        <v>0</v>
      </c>
      <c r="CQ709" s="712">
        <f>ROUND(IF(WWWW[[#This Row],[Location Type 1]]="camp",WWWW[[#This Row],[Total PoP ]]/20,IF(WWWW[[#This Row],[Location Type 1]]="Temporary Location",WWWW[[#This Row],[Total PoP ]]/50,(WWWW[[#This Row],[Total PoP ]]/6))),0)</f>
        <v>83</v>
      </c>
      <c r="CR709" s="712">
        <f>IF(WWWW[[#This Row],[Total required Latrines]]-(WWWW[[#This Row],['#_Constructed latrines_by_WASHAgencies]]+WWWW[[#This Row],['#_Non Cluster partner latrines]])&lt;0,0,WWWW[[#This Row],[Total required Latrines]]-(WWWW[[#This Row],['#_Constructed latrines_by_WASHAgencies]]+WWWW[[#This Row],['#_Non Cluster partner latrines]]))</f>
        <v>0</v>
      </c>
      <c r="CS709" s="714">
        <f>1-WWWW[[#This Row],[% people access to functioning Latrine]]</f>
        <v>0</v>
      </c>
      <c r="CT709" s="713">
        <f>IF(OR(WWWW[[#This Row],['#_Non-functional latrines]]="",WWWW[[#This Row],['#_Non-functional latrines]]=0),0,WWWW[[#This Row],['#_Non-functional latrines]]/(WWWW[[#This Row],['#_Constructed latrines_by_WASHAgencies]]+WWWW[[#This Row],['#_Non Cluster partner latrines]]))</f>
        <v>0</v>
      </c>
      <c r="CU709" s="708">
        <f>IF(500*(WWWW[[#This Row],['#_male hygiene promoters]]+WWWW[[#This Row],['#_female hygiene promoters]])&gt;WWWW[[#This Row],[Total PoP ]],WWWW[[#This Row],[Total PoP ]],500*(WWWW[[#This Row],['#_male hygiene promoters]]+WWWW[[#This Row],['#_female hygiene promoters]]))</f>
        <v>496</v>
      </c>
      <c r="CV70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344</v>
      </c>
      <c r="CW70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09" s="712">
        <f>IF(WWWW[[#This Row],['# People with access to soap]]&gt;WWWW[[#This Row],['# People with access to Sanity Pads]],WWWW[[#This Row],['# People with access to soap]],WWWW[[#This Row],['# People with access to Sanity Pads]])</f>
        <v>344</v>
      </c>
      <c r="CY709" s="712">
        <f>IF(WWWW[[#This Row],['# people reached by regular dedicated hygiene promotion_5]]&gt;WWWW[[#This Row],['# People received regular supply of hygiene items_6]],WWWW[[#This Row],['# people reached by regular dedicated hygiene promotion_5]],WWWW[[#This Row],['# People received regular supply of hygiene items_6]])</f>
        <v>496</v>
      </c>
      <c r="CZ709" s="714">
        <f>IF(WWWW[[#This Row],[HRP3]]/WWWW[[#This Row],[Total PoP ]]&gt;100%,100%,WWWW[[#This Row],[HRP3]]/WWWW[[#This Row],[Total PoP ]])</f>
        <v>1</v>
      </c>
      <c r="DA709" s="713">
        <f>1-WWWW[[#This Row],[Hygiene Coverage%]]</f>
        <v>0</v>
      </c>
      <c r="DB709" s="710">
        <f>WWWW[[#This Row],['# people reached by regular dedicated hygiene promotion_5]]/WWWW[[#This Row],[Total PoP ]]</f>
        <v>1</v>
      </c>
      <c r="DC709" s="710">
        <f>IF(WWWW[[#This Row],['#_households that received standard amount of soap for this quarter]]/WWWW[[#This Row],[Total HH]]&gt;1,1,WWWW[[#This Row],['#_households that received standard amount of soap for this quarter]]/WWWW[[#This Row],[Total HH]])</f>
        <v>0.79999999999999993</v>
      </c>
      <c r="DD709" s="710">
        <f>IF(WWWW[[#This Row],['#_households that received standard amount of sanitary pads for this quarter]]/WWWW[[#This Row],[Total HH]]&gt;1,1,WWWW[[#This Row],['#_households that received standard amount of sanitary pads for this quarter]]/WWWW[[#This Row],[Total HH]])</f>
        <v>0</v>
      </c>
      <c r="DE709" s="712">
        <f>WWWW[[#This Row],['#_Constructed/Existing hand washing stations]]-WWWW[[#This Row],['#_Non-Functional_hand_washing_stations]]</f>
        <v>0</v>
      </c>
      <c r="DF709" s="757">
        <f>IF(WWWW[[#This Row],['# Functional hand washing stations during reporting period]]*20&gt;WWWW[[#This Row],[Total HH]],WWWW[[#This Row],[Total HH]],WWWW[[#This Row],['# Functional hand washing stations during reporting period]]*20)</f>
        <v>0</v>
      </c>
      <c r="DG709" s="708">
        <f>IF(WWWW[[#This Row],[Is sufficient soap available for TLS? (Yes/No)]]="yes",WWWW[[#This Row],['#_Constructed/Existing hand washing stations at TLS]],0)</f>
        <v>0</v>
      </c>
      <c r="DH709" s="759">
        <f>IF(WWWW[[#This Row],['# Functional hand washing stations during reporting period]]*100&gt;WWWW[[#This Row],[Total PoP ]],WWWW[[#This Row],[Total PoP ]],WWWW[[#This Row],['# Functional hand washing stations during reporting period]]*100)</f>
        <v>0</v>
      </c>
      <c r="DI709" s="759" t="str">
        <f>IF(OR(WWWW[[#This Row],['#_students at TLS_CFS]]="",WWWW[[#This Row],['#_students at TLS_CFS]]=0),"No","Yes")</f>
        <v>No</v>
      </c>
      <c r="DJ709" s="711" t="str">
        <f>VLOOKUP(WWWW[[#This Row],[Site Name]],SiteDB6[[Site Name]:[CCCM Management]],6,FALSE)</f>
        <v>Yes</v>
      </c>
      <c r="DK709" s="711" t="str">
        <f>VLOOKUP(WWWW[[#This Row],[Site Name]],SiteDB6[[Site Name]:[CCCM Focal Agency]],7,FALSE)</f>
        <v>KBC</v>
      </c>
      <c r="DL709" s="711" t="str">
        <f>VLOOKUP(WWWW[[#This Row],[Site Name]],SiteDB6[[Site Name]:[Location Type 1]],9,FALSE)</f>
        <v>Village Type Camp</v>
      </c>
      <c r="DM709" s="711" t="str">
        <f>VLOOKUP(WWWW[[#This Row],[Site Name]],SiteDB6[[Site Name]:[Type of Accommodation]],10,FALSE)</f>
        <v>Closed Camp</v>
      </c>
      <c r="DN709" s="711" t="str">
        <f>VLOOKUP(WWWW[[#This Row],[Site Name]],SiteDB6[[Site Name]:[Ethnic or GCA/NGCA]],11,FALSE)</f>
        <v>GCA</v>
      </c>
      <c r="DO709" s="711">
        <f>VLOOKUP(WWWW[[#This Row],[Site Name]],SiteDB6[[Site Name]:[Lat]],12,FALSE)</f>
        <v>23.4008</v>
      </c>
      <c r="DP709" s="711">
        <f>VLOOKUP(WWWW[[#This Row],[Site Name]],SiteDB6[[Site Name]:[Long]],13,FALSE)</f>
        <v>97.848529999999997</v>
      </c>
      <c r="DQ709" s="711" t="str">
        <f>VLOOKUP(WWWW[[#This Row],[Site Name]],SiteDB6[[Site Name]:[Pcode]],3,FALSE)</f>
        <v>MMR015CMP015</v>
      </c>
      <c r="DR709" s="709" t="str">
        <f t="shared" si="27"/>
        <v>Covered</v>
      </c>
      <c r="DS709" s="709"/>
    </row>
    <row r="710" spans="1:123">
      <c r="A710" s="701" t="s">
        <v>2519</v>
      </c>
      <c r="B710" s="701" t="s">
        <v>1957</v>
      </c>
      <c r="C710" s="702" t="s">
        <v>1957</v>
      </c>
      <c r="D710" s="584" t="s">
        <v>3302</v>
      </c>
      <c r="E710" s="702" t="s">
        <v>716</v>
      </c>
      <c r="F710" s="702" t="s">
        <v>720</v>
      </c>
      <c r="G710" s="711" t="str">
        <f>VLOOKUP(WWWW[[#This Row],[Site Name]],SiteDB6[[Site Name]:[Location Type]],8,FALSE)</f>
        <v>Camp</v>
      </c>
      <c r="H710" s="702" t="s">
        <v>742</v>
      </c>
      <c r="I710" s="705">
        <v>52</v>
      </c>
      <c r="J710" s="705">
        <v>259</v>
      </c>
      <c r="K710" s="593" t="s">
        <v>3305</v>
      </c>
      <c r="L710" s="58" t="s">
        <v>3307</v>
      </c>
      <c r="M710" s="705">
        <v>155</v>
      </c>
      <c r="N710" s="705"/>
      <c r="O710" s="705"/>
      <c r="P710" s="705"/>
      <c r="Q710" s="708" t="s">
        <v>43</v>
      </c>
      <c r="R710" s="705">
        <v>3</v>
      </c>
      <c r="S710" s="705">
        <v>3</v>
      </c>
      <c r="T710" s="807"/>
      <c r="U710" s="705"/>
      <c r="V710" s="705"/>
      <c r="W710" s="705">
        <v>1</v>
      </c>
      <c r="X710" s="705">
        <v>2</v>
      </c>
      <c r="Y710" s="705"/>
      <c r="Z710" s="705">
        <v>1</v>
      </c>
      <c r="AA710" s="705">
        <v>15</v>
      </c>
      <c r="AB710" s="705"/>
      <c r="AC710" s="705"/>
      <c r="AD710" s="705"/>
      <c r="AE710" s="705"/>
      <c r="AF710" s="705"/>
      <c r="AG710" s="705"/>
      <c r="AH710" s="705"/>
      <c r="AI710" s="705">
        <v>1</v>
      </c>
      <c r="AJ710" s="705"/>
      <c r="AK710" s="705">
        <v>15</v>
      </c>
      <c r="AL710" s="705"/>
      <c r="AM710" s="705"/>
      <c r="AN710" s="705"/>
      <c r="AO710" s="705"/>
      <c r="AP710" s="705">
        <v>12</v>
      </c>
      <c r="AQ710" s="705"/>
      <c r="AR710" s="710"/>
      <c r="AS710" s="705"/>
      <c r="AT710" s="705"/>
      <c r="AU710" s="705"/>
      <c r="AV710" s="705"/>
      <c r="AW710" s="705"/>
      <c r="AX710" s="711" t="s">
        <v>43</v>
      </c>
      <c r="AY710" s="709" t="s">
        <v>144</v>
      </c>
      <c r="AZ710" s="705"/>
      <c r="BA710" s="705"/>
      <c r="BB710" s="705">
        <v>1</v>
      </c>
      <c r="BC710" s="711"/>
      <c r="BD710" s="705"/>
      <c r="BE710" s="705"/>
      <c r="BF710" s="705"/>
      <c r="BG710" s="705">
        <v>2</v>
      </c>
      <c r="BH710" s="705"/>
      <c r="BI710" s="705"/>
      <c r="BJ710" s="705">
        <v>1</v>
      </c>
      <c r="BK710" s="705">
        <f>42+53</f>
        <v>95</v>
      </c>
      <c r="BL710" s="705">
        <v>53</v>
      </c>
      <c r="BM710" s="752" t="s">
        <v>43</v>
      </c>
      <c r="BN710" s="712"/>
      <c r="BO710" s="710">
        <v>0.5</v>
      </c>
      <c r="BP710" s="711"/>
      <c r="BQ710" s="713">
        <f>IFERROR(WWWW[[#This Row],['#_Water sources treated]]/WWWW[[#This Row],['#_Water sources tested for contamination]],"no test")</f>
        <v>0</v>
      </c>
      <c r="BR710" s="710">
        <f>IFERROR(WWWW[[#This Row],['#_Household received remediation action due to contamination]]/WWWW[[#This Row],['#_Household water samples tested for contamination]],"no test")</f>
        <v>0</v>
      </c>
      <c r="BS710" s="712" t="str">
        <f>IF(AND(WWWW[[#This Row],[% of water sources treated]]="no test",WWWW[[#This Row],[% Household received corrective actions]]="no test"),"No Test","Tested")</f>
        <v>Tested</v>
      </c>
      <c r="BT710" s="712">
        <f>WWWW[[#This Row],['#_Constructed/existing protected hand dug well]]-WWWW[[#This Row],['#_Non-functional protected hand dug well]]</f>
        <v>0</v>
      </c>
      <c r="BU710" s="712">
        <f>(WWWW[[#This Row],['#_Constructed/Existing tube wells/boreholes/handpumps_WASH_agency]]+WWWW[[#This Row],['#_Non-Cluster partner water tube-wells/boreholes/handpumps]])-WWWW[[#This Row],['#_Non-functional tube wells/boreholes/handpumps]]</f>
        <v>3</v>
      </c>
      <c r="BV710" s="712">
        <f>WWWW[[#This Row],['#_Constructed/Existingwater storage tank with gravity fed reticulation system]]-WWWW[[#This Row],['#_Non-functional storage tank gravity fed reticulation system]]</f>
        <v>15</v>
      </c>
      <c r="BW710" s="712">
        <f>WWWW[[#This Row],['#_Water boating or water trucking]]</f>
        <v>0</v>
      </c>
      <c r="BX710" s="712">
        <f>WWWW[[#This Row],['#_Constructed/Existing water distribution system from river or natural spring]]</f>
        <v>0</v>
      </c>
      <c r="BY71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1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10" s="710">
        <f>IF(WWWW[[#This Row],[Location Type 1]]="Village",WWWW[[#This Row],[Access to safe drinking water for Village]],WWWW[[#This Row],[Access to safe drinking water for Camp]])</f>
        <v>1</v>
      </c>
      <c r="CB710" s="708">
        <f>WWWW[[#This Row],[%Equitable and continuous access to sufficient quantity of safe drinking water]]*WWWW[[#This Row],[Total PoP ]]</f>
        <v>259</v>
      </c>
      <c r="CC710" s="710">
        <f>IF((WWWW[[#This Row],['#_Constructed/Existing protected/fenced ponds]]*250)/WWWW[[#This Row],[Total PoP ]]&gt;1,1,(WWWW[[#This Row],['#_Constructed/Existing protected/fenced ponds]]*250)/WWWW[[#This Row],[Total PoP ]])</f>
        <v>0</v>
      </c>
      <c r="CD710" s="708">
        <f>WWWW[[#This Row],[% Access to unimproved water points]]*WWWW[[#This Row],[Total PoP ]]</f>
        <v>0</v>
      </c>
      <c r="CE71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1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G710" s="708">
        <f>WWWW[[#This Row],[HRP1]]/500</f>
        <v>0.51800000000000002</v>
      </c>
      <c r="CH710" s="714">
        <f>1-WWWW[[#This Row],[% Equitable and continuous access to sufficient quantity of domestic water]]</f>
        <v>0</v>
      </c>
      <c r="CI710" s="708">
        <f>WWWW[[#This Row],[%equitable and continuous access to sufficient quantity of safe drinking and domestic water''s GAP]]*WWWW[[#This Row],[Total PoP ]]</f>
        <v>0</v>
      </c>
      <c r="CJ710" s="712">
        <f>IF(WWWW[[#This Row],[Total required water points]]-WWWW[[#This Row],['#Water points coverage]]&lt;0,0,WWWW[[#This Row],[Total required water points]]-WWWW[[#This Row],['#Water points coverage]])</f>
        <v>0.48199999999999998</v>
      </c>
      <c r="CK710" s="712">
        <f>ROUND(IF(WWWW[[#This Row],[Total PoP ]]&lt;500,1,WWWW[[#This Row],[Total PoP ]]/500),0)</f>
        <v>1</v>
      </c>
      <c r="CL710" s="712">
        <f>(WWWW[[#This Row],['#_Constructed latrines_by_WASHAgencies]]+WWWW[[#This Row],['#_Non Cluster partner latrines]])-WWWW[[#This Row],['#_Non-functional latrines]]</f>
        <v>12</v>
      </c>
      <c r="CM71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0.92664092664092668</v>
      </c>
      <c r="CN71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240</v>
      </c>
      <c r="CO71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0" s="712">
        <f>IF(WWWW[[#This Row],[Location Type 1]]="Village","NA",IF(WWWW[[#This Row],['#_Constructed/Existing latrines in TLS]]*50&gt;WWWW[[#This Row],['#_students at TLS_CFS]],WWWW[[#This Row],['#_students at TLS_CFS]],(WWWW[[#This Row],['#_Constructed/Existing latrines in TLS]]*50)))</f>
        <v>50</v>
      </c>
      <c r="CQ710" s="712">
        <f>ROUND(IF(WWWW[[#This Row],[Location Type 1]]="camp",WWWW[[#This Row],[Total PoP ]]/20,IF(WWWW[[#This Row],[Location Type 1]]="Temporary Location",WWWW[[#This Row],[Total PoP ]]/50,(WWWW[[#This Row],[Total PoP ]]/6))),0)</f>
        <v>13</v>
      </c>
      <c r="CR710" s="712">
        <f>IF(WWWW[[#This Row],[Total required Latrines]]-(WWWW[[#This Row],['#_Constructed latrines_by_WASHAgencies]]+WWWW[[#This Row],['#_Non Cluster partner latrines]])&lt;0,0,WWWW[[#This Row],[Total required Latrines]]-(WWWW[[#This Row],['#_Constructed latrines_by_WASHAgencies]]+WWWW[[#This Row],['#_Non Cluster partner latrines]]))</f>
        <v>1</v>
      </c>
      <c r="CS710" s="714">
        <f>1-WWWW[[#This Row],[% people access to functioning Latrine]]</f>
        <v>7.3359073359073323E-2</v>
      </c>
      <c r="CT710" s="713">
        <f>IF(OR(WWWW[[#This Row],['#_Non-functional latrines]]="",WWWW[[#This Row],['#_Non-functional latrines]]=0),0,WWWW[[#This Row],['#_Non-functional latrines]]/(WWWW[[#This Row],['#_Constructed latrines_by_WASHAgencies]]+WWWW[[#This Row],['#_Non Cluster partner latrines]]))</f>
        <v>0</v>
      </c>
      <c r="CU710" s="708">
        <f>IF(500*(WWWW[[#This Row],['#_male hygiene promoters]]+WWWW[[#This Row],['#_female hygiene promoters]])&gt;WWWW[[#This Row],[Total PoP ]],WWWW[[#This Row],[Total PoP ]],500*(WWWW[[#This Row],['#_male hygiene promoters]]+WWWW[[#This Row],['#_female hygiene promoters]]))</f>
        <v>259</v>
      </c>
      <c r="CV71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259</v>
      </c>
      <c r="CW71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259</v>
      </c>
      <c r="CX710" s="712">
        <f>IF(WWWW[[#This Row],['# People with access to soap]]&gt;WWWW[[#This Row],['# People with access to Sanity Pads]],WWWW[[#This Row],['# People with access to soap]],WWWW[[#This Row],['# People with access to Sanity Pads]])</f>
        <v>259</v>
      </c>
      <c r="CY710" s="712">
        <f>IF(WWWW[[#This Row],['# people reached by regular dedicated hygiene promotion_5]]&gt;WWWW[[#This Row],['# People received regular supply of hygiene items_6]],WWWW[[#This Row],['# people reached by regular dedicated hygiene promotion_5]],WWWW[[#This Row],['# People received regular supply of hygiene items_6]])</f>
        <v>259</v>
      </c>
      <c r="CZ710" s="714">
        <f>IF(WWWW[[#This Row],[HRP3]]/WWWW[[#This Row],[Total PoP ]]&gt;100%,100%,WWWW[[#This Row],[HRP3]]/WWWW[[#This Row],[Total PoP ]])</f>
        <v>1</v>
      </c>
      <c r="DA710" s="713">
        <f>1-WWWW[[#This Row],[Hygiene Coverage%]]</f>
        <v>0</v>
      </c>
      <c r="DB710" s="710">
        <f>WWWW[[#This Row],['# people reached by regular dedicated hygiene promotion_5]]/WWWW[[#This Row],[Total PoP ]]</f>
        <v>1</v>
      </c>
      <c r="DC710" s="710">
        <f>IF(WWWW[[#This Row],['#_households that received standard amount of soap for this quarter]]/WWWW[[#This Row],[Total HH]]&gt;1,1,WWWW[[#This Row],['#_households that received standard amount of soap for this quarter]]/WWWW[[#This Row],[Total HH]])</f>
        <v>1</v>
      </c>
      <c r="DD710" s="710">
        <f>IF(WWWW[[#This Row],['#_households that received standard amount of sanitary pads for this quarter]]/WWWW[[#This Row],[Total HH]]&gt;1,1,WWWW[[#This Row],['#_households that received standard amount of sanitary pads for this quarter]]/WWWW[[#This Row],[Total HH]])</f>
        <v>1</v>
      </c>
      <c r="DE710" s="712">
        <f>WWWW[[#This Row],['#_Constructed/Existing hand washing stations]]-WWWW[[#This Row],['#_Non-Functional_hand_washing_stations]]</f>
        <v>0</v>
      </c>
      <c r="DF710" s="757">
        <f>IF(WWWW[[#This Row],['# Functional hand washing stations during reporting period]]*20&gt;WWWW[[#This Row],[Total HH]],WWWW[[#This Row],[Total HH]],WWWW[[#This Row],['# Functional hand washing stations during reporting period]]*20)</f>
        <v>0</v>
      </c>
      <c r="DG710" s="708">
        <f>IF(WWWW[[#This Row],[Is sufficient soap available for TLS? (Yes/No)]]="yes",WWWW[[#This Row],['#_Constructed/Existing hand washing stations at TLS]],0)</f>
        <v>0</v>
      </c>
      <c r="DH710" s="759">
        <f>IF(WWWW[[#This Row],['# Functional hand washing stations during reporting period]]*100&gt;WWWW[[#This Row],[Total PoP ]],WWWW[[#This Row],[Total PoP ]],WWWW[[#This Row],['# Functional hand washing stations during reporting period]]*100)</f>
        <v>0</v>
      </c>
      <c r="DI710" s="759" t="str">
        <f>IF(OR(WWWW[[#This Row],['#_students at TLS_CFS]]="",WWWW[[#This Row],['#_students at TLS_CFS]]=0),"No","Yes")</f>
        <v>Yes</v>
      </c>
      <c r="DJ710" s="711" t="str">
        <f>VLOOKUP(WWWW[[#This Row],[Site Name]],SiteDB6[[Site Name]:[CCCM Management]],6,FALSE)</f>
        <v>Yes</v>
      </c>
      <c r="DK710" s="711" t="str">
        <f>VLOOKUP(WWWW[[#This Row],[Site Name]],SiteDB6[[Site Name]:[CCCM Focal Agency]],7,FALSE)</f>
        <v>KBC-NSS</v>
      </c>
      <c r="DL710" s="711" t="str">
        <f>VLOOKUP(WWWW[[#This Row],[Site Name]],SiteDB6[[Site Name]:[Location Type 1]],9,FALSE)</f>
        <v>Camp</v>
      </c>
      <c r="DM710" s="711" t="str">
        <f>VLOOKUP(WWWW[[#This Row],[Site Name]],SiteDB6[[Site Name]:[Type of Accommodation]],10,FALSE)</f>
        <v>Camp</v>
      </c>
      <c r="DN710" s="711" t="str">
        <f>VLOOKUP(WWWW[[#This Row],[Site Name]],SiteDB6[[Site Name]:[Ethnic or GCA/NGCA]],11,FALSE)</f>
        <v>GCA</v>
      </c>
      <c r="DO710" s="711">
        <f>VLOOKUP(WWWW[[#This Row],[Site Name]],SiteDB6[[Site Name]:[Lat]],12,FALSE)</f>
        <v>23.450914000000001</v>
      </c>
      <c r="DP710" s="711">
        <f>VLOOKUP(WWWW[[#This Row],[Site Name]],SiteDB6[[Site Name]:[Long]],13,FALSE)</f>
        <v>97.926813999999993</v>
      </c>
      <c r="DQ710" s="711" t="str">
        <f>VLOOKUP(WWWW[[#This Row],[Site Name]],SiteDB6[[Site Name]:[Pcode]],3,FALSE)</f>
        <v>MMR015CMP016</v>
      </c>
      <c r="DR710" s="709" t="str">
        <f t="shared" si="27"/>
        <v>Covered</v>
      </c>
      <c r="DS710" s="709"/>
    </row>
    <row r="711" spans="1:123">
      <c r="A711" s="701" t="s">
        <v>2519</v>
      </c>
      <c r="B711" s="701" t="s">
        <v>1957</v>
      </c>
      <c r="C711" s="702" t="s">
        <v>1957</v>
      </c>
      <c r="D711" s="584" t="s">
        <v>3303</v>
      </c>
      <c r="E711" s="702" t="s">
        <v>716</v>
      </c>
      <c r="F711" s="702" t="s">
        <v>720</v>
      </c>
      <c r="G711" s="711" t="str">
        <f>VLOOKUP(WWWW[[#This Row],[Site Name]],SiteDB6[[Site Name]:[Location Type]],8,FALSE)</f>
        <v>Camp</v>
      </c>
      <c r="H711" s="702" t="s">
        <v>747</v>
      </c>
      <c r="I711" s="705">
        <v>35</v>
      </c>
      <c r="J711" s="705">
        <v>156</v>
      </c>
      <c r="K711" s="593" t="s">
        <v>3300</v>
      </c>
      <c r="L711" s="58" t="s">
        <v>3301</v>
      </c>
      <c r="M711" s="705">
        <v>58</v>
      </c>
      <c r="N711" s="705"/>
      <c r="O711" s="705"/>
      <c r="P711" s="705"/>
      <c r="Q711" s="708" t="s">
        <v>43</v>
      </c>
      <c r="R711" s="705">
        <v>4</v>
      </c>
      <c r="S711" s="705">
        <v>5</v>
      </c>
      <c r="T711" s="807">
        <v>1</v>
      </c>
      <c r="U711" s="705"/>
      <c r="V711" s="705"/>
      <c r="W711" s="705">
        <v>1</v>
      </c>
      <c r="X711" s="705"/>
      <c r="Y711" s="705"/>
      <c r="Z711" s="705">
        <v>1</v>
      </c>
      <c r="AA711" s="705">
        <v>7</v>
      </c>
      <c r="AB711" s="705"/>
      <c r="AC711" s="705"/>
      <c r="AD711" s="705"/>
      <c r="AE711" s="705"/>
      <c r="AF711" s="705"/>
      <c r="AG711" s="705">
        <v>1</v>
      </c>
      <c r="AH711" s="705"/>
      <c r="AI711" s="705">
        <v>1</v>
      </c>
      <c r="AJ711" s="705"/>
      <c r="AK711" s="705">
        <v>15</v>
      </c>
      <c r="AL711" s="705"/>
      <c r="AM711" s="705"/>
      <c r="AN711" s="705"/>
      <c r="AO711" s="705"/>
      <c r="AP711" s="705">
        <v>12</v>
      </c>
      <c r="AQ711" s="705"/>
      <c r="AR711" s="710"/>
      <c r="AS711" s="705"/>
      <c r="AT711" s="705"/>
      <c r="AU711" s="705"/>
      <c r="AV711" s="705"/>
      <c r="AW711" s="705"/>
      <c r="AX711" s="711" t="s">
        <v>43</v>
      </c>
      <c r="AY711" s="709" t="s">
        <v>145</v>
      </c>
      <c r="AZ711" s="705"/>
      <c r="BA711" s="705"/>
      <c r="BB711" s="705"/>
      <c r="BC711" s="711"/>
      <c r="BD711" s="705">
        <v>2</v>
      </c>
      <c r="BE711" s="705"/>
      <c r="BF711" s="705"/>
      <c r="BG711" s="705">
        <v>2</v>
      </c>
      <c r="BH711" s="705"/>
      <c r="BI711" s="705"/>
      <c r="BJ711" s="705">
        <v>1</v>
      </c>
      <c r="BK711" s="705">
        <f>28+34</f>
        <v>62</v>
      </c>
      <c r="BL711" s="705">
        <v>34</v>
      </c>
      <c r="BM711" s="711"/>
      <c r="BN711" s="712">
        <v>3</v>
      </c>
      <c r="BO711" s="710">
        <v>1</v>
      </c>
      <c r="BP711" s="711"/>
      <c r="BQ711" s="713">
        <f>IFERROR(WWWW[[#This Row],['#_Water sources treated]]/WWWW[[#This Row],['#_Water sources tested for contamination]],"no test")</f>
        <v>0</v>
      </c>
      <c r="BR711" s="710">
        <f>IFERROR(WWWW[[#This Row],['#_Household received remediation action due to contamination]]/WWWW[[#This Row],['#_Household water samples tested for contamination]],"no test")</f>
        <v>0</v>
      </c>
      <c r="BS711" s="712" t="str">
        <f>IF(AND(WWWW[[#This Row],[% of water sources treated]]="no test",WWWW[[#This Row],[% Household received corrective actions]]="no test"),"No Test","Tested")</f>
        <v>Tested</v>
      </c>
      <c r="BT711" s="712">
        <f>WWWW[[#This Row],['#_Constructed/existing protected hand dug well]]-WWWW[[#This Row],['#_Non-functional protected hand dug well]]</f>
        <v>1</v>
      </c>
      <c r="BU711" s="712">
        <f>(WWWW[[#This Row],['#_Constructed/Existing tube wells/boreholes/handpumps_WASH_agency]]+WWWW[[#This Row],['#_Non-Cluster partner water tube-wells/boreholes/handpumps]])-WWWW[[#This Row],['#_Non-functional tube wells/boreholes/handpumps]]</f>
        <v>1</v>
      </c>
      <c r="BV711" s="712">
        <f>WWWW[[#This Row],['#_Constructed/Existingwater storage tank with gravity fed reticulation system]]-WWWW[[#This Row],['#_Non-functional storage tank gravity fed reticulation system]]</f>
        <v>7</v>
      </c>
      <c r="BW711" s="712">
        <f>WWWW[[#This Row],['#_Water boating or water trucking]]</f>
        <v>0</v>
      </c>
      <c r="BX711" s="712">
        <f>WWWW[[#This Row],['#_Constructed/Existing water distribution system from river or natural spring]]</f>
        <v>0</v>
      </c>
      <c r="BY71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1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11" s="710">
        <f>IF(WWWW[[#This Row],[Location Type 1]]="Village",WWWW[[#This Row],[Access to safe drinking water for Village]],WWWW[[#This Row],[Access to safe drinking water for Camp]])</f>
        <v>1</v>
      </c>
      <c r="CB711" s="708">
        <f>WWWW[[#This Row],[%Equitable and continuous access to sufficient quantity of safe drinking water]]*WWWW[[#This Row],[Total PoP ]]</f>
        <v>156</v>
      </c>
      <c r="CC711" s="710">
        <f>IF((WWWW[[#This Row],['#_Constructed/Existing protected/fenced ponds]]*250)/WWWW[[#This Row],[Total PoP ]]&gt;1,1,(WWWW[[#This Row],['#_Constructed/Existing protected/fenced ponds]]*250)/WWWW[[#This Row],[Total PoP ]])</f>
        <v>0</v>
      </c>
      <c r="CD711" s="708">
        <f>WWWW[[#This Row],[% Access to unimproved water points]]*WWWW[[#This Row],[Total PoP ]]</f>
        <v>0</v>
      </c>
      <c r="CE71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1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156</v>
      </c>
      <c r="CG711" s="708">
        <f>WWWW[[#This Row],[HRP1]]/500</f>
        <v>0.312</v>
      </c>
      <c r="CH711" s="714">
        <f>1-WWWW[[#This Row],[% Equitable and continuous access to sufficient quantity of domestic water]]</f>
        <v>0</v>
      </c>
      <c r="CI711" s="708">
        <f>WWWW[[#This Row],[%equitable and continuous access to sufficient quantity of safe drinking and domestic water''s GAP]]*WWWW[[#This Row],[Total PoP ]]</f>
        <v>0</v>
      </c>
      <c r="CJ711" s="712">
        <f>IF(WWWW[[#This Row],[Total required water points]]-WWWW[[#This Row],['#Water points coverage]]&lt;0,0,WWWW[[#This Row],[Total required water points]]-WWWW[[#This Row],['#Water points coverage]])</f>
        <v>0.68799999999999994</v>
      </c>
      <c r="CK711" s="712">
        <f>ROUND(IF(WWWW[[#This Row],[Total PoP ]]&lt;500,1,WWWW[[#This Row],[Total PoP ]]/500),0)</f>
        <v>1</v>
      </c>
      <c r="CL711" s="712">
        <f>(WWWW[[#This Row],['#_Constructed latrines_by_WASHAgencies]]+WWWW[[#This Row],['#_Non Cluster partner latrines]])-WWWW[[#This Row],['#_Non-functional latrines]]</f>
        <v>12</v>
      </c>
      <c r="CM71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1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156</v>
      </c>
      <c r="CO71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1" s="712">
        <f>IF(WWWW[[#This Row],[Location Type 1]]="Village","NA",IF(WWWW[[#This Row],['#_Constructed/Existing latrines in TLS]]*50&gt;WWWW[[#This Row],['#_students at TLS_CFS]],WWWW[[#This Row],['#_students at TLS_CFS]],(WWWW[[#This Row],['#_Constructed/Existing latrines in TLS]]*50)))</f>
        <v>0</v>
      </c>
      <c r="CQ711" s="712">
        <f>ROUND(IF(WWWW[[#This Row],[Location Type 1]]="camp",WWWW[[#This Row],[Total PoP ]]/20,IF(WWWW[[#This Row],[Location Type 1]]="Temporary Location",WWWW[[#This Row],[Total PoP ]]/50,(WWWW[[#This Row],[Total PoP ]]/6))),0)</f>
        <v>8</v>
      </c>
      <c r="CR711" s="712">
        <f>IF(WWWW[[#This Row],[Total required Latrines]]-(WWWW[[#This Row],['#_Constructed latrines_by_WASHAgencies]]+WWWW[[#This Row],['#_Non Cluster partner latrines]])&lt;0,0,WWWW[[#This Row],[Total required Latrines]]-(WWWW[[#This Row],['#_Constructed latrines_by_WASHAgencies]]+WWWW[[#This Row],['#_Non Cluster partner latrines]]))</f>
        <v>0</v>
      </c>
      <c r="CS711" s="714">
        <f>1-WWWW[[#This Row],[% people access to functioning Latrine]]</f>
        <v>0</v>
      </c>
      <c r="CT711" s="713">
        <f>IF(OR(WWWW[[#This Row],['#_Non-functional latrines]]="",WWWW[[#This Row],['#_Non-functional latrines]]=0),0,WWWW[[#This Row],['#_Non-functional latrines]]/(WWWW[[#This Row],['#_Constructed latrines_by_WASHAgencies]]+WWWW[[#This Row],['#_Non Cluster partner latrines]]))</f>
        <v>0</v>
      </c>
      <c r="CU711" s="708">
        <f>IF(500*(WWWW[[#This Row],['#_male hygiene promoters]]+WWWW[[#This Row],['#_female hygiene promoters]])&gt;WWWW[[#This Row],[Total PoP ]],WWWW[[#This Row],[Total PoP ]],500*(WWWW[[#This Row],['#_male hygiene promoters]]+WWWW[[#This Row],['#_female hygiene promoters]]))</f>
        <v>156</v>
      </c>
      <c r="CV71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156</v>
      </c>
      <c r="CW71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156</v>
      </c>
      <c r="CX711" s="712">
        <f>IF(WWWW[[#This Row],['# People with access to soap]]&gt;WWWW[[#This Row],['# People with access to Sanity Pads]],WWWW[[#This Row],['# People with access to soap]],WWWW[[#This Row],['# People with access to Sanity Pads]])</f>
        <v>156</v>
      </c>
      <c r="CY711" s="712">
        <f>IF(WWWW[[#This Row],['# people reached by regular dedicated hygiene promotion_5]]&gt;WWWW[[#This Row],['# People received regular supply of hygiene items_6]],WWWW[[#This Row],['# people reached by regular dedicated hygiene promotion_5]],WWWW[[#This Row],['# People received regular supply of hygiene items_6]])</f>
        <v>156</v>
      </c>
      <c r="CZ711" s="714">
        <f>IF(WWWW[[#This Row],[HRP3]]/WWWW[[#This Row],[Total PoP ]]&gt;100%,100%,WWWW[[#This Row],[HRP3]]/WWWW[[#This Row],[Total PoP ]])</f>
        <v>1</v>
      </c>
      <c r="DA711" s="713">
        <f>1-WWWW[[#This Row],[Hygiene Coverage%]]</f>
        <v>0</v>
      </c>
      <c r="DB711" s="710">
        <f>WWWW[[#This Row],['# people reached by regular dedicated hygiene promotion_5]]/WWWW[[#This Row],[Total PoP ]]</f>
        <v>1</v>
      </c>
      <c r="DC711" s="710">
        <f>IF(WWWW[[#This Row],['#_households that received standard amount of soap for this quarter]]/WWWW[[#This Row],[Total HH]]&gt;1,1,WWWW[[#This Row],['#_households that received standard amount of soap for this quarter]]/WWWW[[#This Row],[Total HH]])</f>
        <v>1</v>
      </c>
      <c r="DD711" s="710">
        <f>IF(WWWW[[#This Row],['#_households that received standard amount of sanitary pads for this quarter]]/WWWW[[#This Row],[Total HH]]&gt;1,1,WWWW[[#This Row],['#_households that received standard amount of sanitary pads for this quarter]]/WWWW[[#This Row],[Total HH]])</f>
        <v>0.97142857142857142</v>
      </c>
      <c r="DE711" s="712">
        <f>WWWW[[#This Row],['#_Constructed/Existing hand washing stations]]-WWWW[[#This Row],['#_Non-Functional_hand_washing_stations]]</f>
        <v>2</v>
      </c>
      <c r="DF711" s="757">
        <f>IF(WWWW[[#This Row],['# Functional hand washing stations during reporting period]]*20&gt;WWWW[[#This Row],[Total HH]],WWWW[[#This Row],[Total HH]],WWWW[[#This Row],['# Functional hand washing stations during reporting period]]*20)</f>
        <v>35</v>
      </c>
      <c r="DG711" s="708">
        <f>IF(WWWW[[#This Row],[Is sufficient soap available for TLS? (Yes/No)]]="yes",WWWW[[#This Row],['#_Constructed/Existing hand washing stations at TLS]],0)</f>
        <v>0</v>
      </c>
      <c r="DH711" s="759">
        <f>IF(WWWW[[#This Row],['# Functional hand washing stations during reporting period]]*100&gt;WWWW[[#This Row],[Total PoP ]],WWWW[[#This Row],[Total PoP ]],WWWW[[#This Row],['# Functional hand washing stations during reporting period]]*100)</f>
        <v>156</v>
      </c>
      <c r="DI711" s="759" t="str">
        <f>IF(OR(WWWW[[#This Row],['#_students at TLS_CFS]]="",WWWW[[#This Row],['#_students at TLS_CFS]]=0),"No","Yes")</f>
        <v>Yes</v>
      </c>
      <c r="DJ711" s="711" t="str">
        <f>VLOOKUP(WWWW[[#This Row],[Site Name]],SiteDB6[[Site Name]:[CCCM Management]],6,FALSE)</f>
        <v>Yes</v>
      </c>
      <c r="DK711" s="711" t="str">
        <f>VLOOKUP(WWWW[[#This Row],[Site Name]],SiteDB6[[Site Name]:[CCCM Focal Agency]],7,FALSE)</f>
        <v>KBC-NSS</v>
      </c>
      <c r="DL711" s="711" t="str">
        <f>VLOOKUP(WWWW[[#This Row],[Site Name]],SiteDB6[[Site Name]:[Location Type 1]],9,FALSE)</f>
        <v>Camp</v>
      </c>
      <c r="DM711" s="711" t="str">
        <f>VLOOKUP(WWWW[[#This Row],[Site Name]],SiteDB6[[Site Name]:[Type of Accommodation]],10,FALSE)</f>
        <v>Camp</v>
      </c>
      <c r="DN711" s="711" t="str">
        <f>VLOOKUP(WWWW[[#This Row],[Site Name]],SiteDB6[[Site Name]:[Ethnic or GCA/NGCA]],11,FALSE)</f>
        <v>GCA</v>
      </c>
      <c r="DO711" s="711">
        <f>VLOOKUP(WWWW[[#This Row],[Site Name]],SiteDB6[[Site Name]:[Lat]],12,FALSE)</f>
        <v>23.460349999999998</v>
      </c>
      <c r="DP711" s="711">
        <f>VLOOKUP(WWWW[[#This Row],[Site Name]],SiteDB6[[Site Name]:[Long]],13,FALSE)</f>
        <v>97.947360000000003</v>
      </c>
      <c r="DQ711" s="711" t="str">
        <f>VLOOKUP(WWWW[[#This Row],[Site Name]],SiteDB6[[Site Name]:[Pcode]],3,FALSE)</f>
        <v>MMR015CMP245</v>
      </c>
      <c r="DR711" s="709" t="str">
        <f t="shared" si="27"/>
        <v>Covered</v>
      </c>
      <c r="DS711" s="709"/>
    </row>
    <row r="712" spans="1:123">
      <c r="A712" s="701" t="s">
        <v>2519</v>
      </c>
      <c r="B712" s="701" t="s">
        <v>1957</v>
      </c>
      <c r="C712" s="702" t="s">
        <v>1957</v>
      </c>
      <c r="D712" s="584" t="s">
        <v>3302</v>
      </c>
      <c r="E712" s="702" t="s">
        <v>716</v>
      </c>
      <c r="F712" s="702" t="s">
        <v>720</v>
      </c>
      <c r="G712" s="711" t="str">
        <f>VLOOKUP(WWWW[[#This Row],[Site Name]],SiteDB6[[Site Name]:[Location Type]],8,FALSE)</f>
        <v>Camp</v>
      </c>
      <c r="H712" s="702" t="s">
        <v>721</v>
      </c>
      <c r="I712" s="705">
        <v>30</v>
      </c>
      <c r="J712" s="705">
        <v>138</v>
      </c>
      <c r="K712" s="593" t="s">
        <v>3305</v>
      </c>
      <c r="L712" s="58" t="s">
        <v>3307</v>
      </c>
      <c r="M712" s="705"/>
      <c r="N712" s="705"/>
      <c r="O712" s="705"/>
      <c r="P712" s="705"/>
      <c r="Q712" s="708" t="s">
        <v>43</v>
      </c>
      <c r="R712" s="705">
        <v>3</v>
      </c>
      <c r="S712" s="705">
        <v>2</v>
      </c>
      <c r="T712" s="807"/>
      <c r="U712" s="705"/>
      <c r="V712" s="705"/>
      <c r="W712" s="705"/>
      <c r="X712" s="705"/>
      <c r="Y712" s="705"/>
      <c r="Z712" s="705"/>
      <c r="AA712" s="705">
        <v>11</v>
      </c>
      <c r="AB712" s="705"/>
      <c r="AC712" s="705"/>
      <c r="AD712" s="705"/>
      <c r="AE712" s="705"/>
      <c r="AF712" s="705"/>
      <c r="AG712" s="705"/>
      <c r="AH712" s="705"/>
      <c r="AI712" s="705">
        <v>1</v>
      </c>
      <c r="AJ712" s="705"/>
      <c r="AK712" s="705">
        <v>15</v>
      </c>
      <c r="AL712" s="705"/>
      <c r="AM712" s="705"/>
      <c r="AN712" s="705"/>
      <c r="AO712" s="705"/>
      <c r="AP712" s="705">
        <v>25</v>
      </c>
      <c r="AQ712" s="705"/>
      <c r="AR712" s="710"/>
      <c r="AS712" s="705"/>
      <c r="AT712" s="705"/>
      <c r="AU712" s="705"/>
      <c r="AV712" s="705"/>
      <c r="AW712" s="705"/>
      <c r="AX712" s="711" t="s">
        <v>43</v>
      </c>
      <c r="AY712" s="782" t="s">
        <v>144</v>
      </c>
      <c r="AZ712" s="705"/>
      <c r="BA712" s="705"/>
      <c r="BB712" s="705"/>
      <c r="BC712" s="711"/>
      <c r="BD712" s="705"/>
      <c r="BE712" s="705"/>
      <c r="BF712" s="705"/>
      <c r="BG712" s="705"/>
      <c r="BH712" s="705"/>
      <c r="BI712" s="705"/>
      <c r="BJ712" s="705"/>
      <c r="BK712" s="705">
        <f>20+25</f>
        <v>45</v>
      </c>
      <c r="BL712" s="705">
        <v>26</v>
      </c>
      <c r="BM712" s="711"/>
      <c r="BN712" s="712"/>
      <c r="BO712" s="710">
        <v>0.5</v>
      </c>
      <c r="BP712" s="711"/>
      <c r="BQ712" s="713">
        <f>IFERROR(WWWW[[#This Row],['#_Water sources treated]]/WWWW[[#This Row],['#_Water sources tested for contamination]],"no test")</f>
        <v>0</v>
      </c>
      <c r="BR712" s="710">
        <f>IFERROR(WWWW[[#This Row],['#_Household received remediation action due to contamination]]/WWWW[[#This Row],['#_Household water samples tested for contamination]],"no test")</f>
        <v>0</v>
      </c>
      <c r="BS712" s="712" t="str">
        <f>IF(AND(WWWW[[#This Row],[% of water sources treated]]="no test",WWWW[[#This Row],[% Household received corrective actions]]="no test"),"No Test","Tested")</f>
        <v>Tested</v>
      </c>
      <c r="BT712" s="712">
        <f>WWWW[[#This Row],['#_Constructed/existing protected hand dug well]]-WWWW[[#This Row],['#_Non-functional protected hand dug well]]</f>
        <v>0</v>
      </c>
      <c r="BU712" s="712">
        <f>(WWWW[[#This Row],['#_Constructed/Existing tube wells/boreholes/handpumps_WASH_agency]]+WWWW[[#This Row],['#_Non-Cluster partner water tube-wells/boreholes/handpumps]])-WWWW[[#This Row],['#_Non-functional tube wells/boreholes/handpumps]]</f>
        <v>0</v>
      </c>
      <c r="BV712" s="712">
        <f>WWWW[[#This Row],['#_Constructed/Existingwater storage tank with gravity fed reticulation system]]-WWWW[[#This Row],['#_Non-functional storage tank gravity fed reticulation system]]</f>
        <v>11</v>
      </c>
      <c r="BW712" s="712">
        <f>WWWW[[#This Row],['#_Water boating or water trucking]]</f>
        <v>0</v>
      </c>
      <c r="BX712" s="712">
        <f>WWWW[[#This Row],['#_Constructed/Existing water distribution system from river or natural spring]]</f>
        <v>0</v>
      </c>
      <c r="BY71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1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12" s="710">
        <f>IF(WWWW[[#This Row],[Location Type 1]]="Village",WWWW[[#This Row],[Access to safe drinking water for Village]],WWWW[[#This Row],[Access to safe drinking water for Camp]])</f>
        <v>1</v>
      </c>
      <c r="CB712" s="708">
        <f>WWWW[[#This Row],[%Equitable and continuous access to sufficient quantity of safe drinking water]]*WWWW[[#This Row],[Total PoP ]]</f>
        <v>138</v>
      </c>
      <c r="CC712" s="710">
        <f>IF((WWWW[[#This Row],['#_Constructed/Existing protected/fenced ponds]]*250)/WWWW[[#This Row],[Total PoP ]]&gt;1,1,(WWWW[[#This Row],['#_Constructed/Existing protected/fenced ponds]]*250)/WWWW[[#This Row],[Total PoP ]])</f>
        <v>0</v>
      </c>
      <c r="CD712" s="708">
        <f>WWWW[[#This Row],[% Access to unimproved water points]]*WWWW[[#This Row],[Total PoP ]]</f>
        <v>0</v>
      </c>
      <c r="CE71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1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138</v>
      </c>
      <c r="CG712" s="708">
        <f>WWWW[[#This Row],[HRP1]]/500</f>
        <v>0.27600000000000002</v>
      </c>
      <c r="CH712" s="714">
        <f>1-WWWW[[#This Row],[% Equitable and continuous access to sufficient quantity of domestic water]]</f>
        <v>0</v>
      </c>
      <c r="CI712" s="708">
        <f>WWWW[[#This Row],[%equitable and continuous access to sufficient quantity of safe drinking and domestic water''s GAP]]*WWWW[[#This Row],[Total PoP ]]</f>
        <v>0</v>
      </c>
      <c r="CJ712" s="712">
        <f>IF(WWWW[[#This Row],[Total required water points]]-WWWW[[#This Row],['#Water points coverage]]&lt;0,0,WWWW[[#This Row],[Total required water points]]-WWWW[[#This Row],['#Water points coverage]])</f>
        <v>0.72399999999999998</v>
      </c>
      <c r="CK712" s="712">
        <f>ROUND(IF(WWWW[[#This Row],[Total PoP ]]&lt;500,1,WWWW[[#This Row],[Total PoP ]]/500),0)</f>
        <v>1</v>
      </c>
      <c r="CL712" s="712">
        <f>(WWWW[[#This Row],['#_Constructed latrines_by_WASHAgencies]]+WWWW[[#This Row],['#_Non Cluster partner latrines]])-WWWW[[#This Row],['#_Non-functional latrines]]</f>
        <v>25</v>
      </c>
      <c r="CM71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1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138</v>
      </c>
      <c r="CO71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2" s="712">
        <f>IF(WWWW[[#This Row],[Location Type 1]]="Village","NA",IF(WWWW[[#This Row],['#_Constructed/Existing latrines in TLS]]*50&gt;WWWW[[#This Row],['#_students at TLS_CFS]],WWWW[[#This Row],['#_students at TLS_CFS]],(WWWW[[#This Row],['#_Constructed/Existing latrines in TLS]]*50)))</f>
        <v>0</v>
      </c>
      <c r="CQ712" s="712">
        <f>ROUND(IF(WWWW[[#This Row],[Location Type 1]]="camp",WWWW[[#This Row],[Total PoP ]]/20,IF(WWWW[[#This Row],[Location Type 1]]="Temporary Location",WWWW[[#This Row],[Total PoP ]]/50,(WWWW[[#This Row],[Total PoP ]]/6))),0)</f>
        <v>7</v>
      </c>
      <c r="CR712" s="712">
        <f>IF(WWWW[[#This Row],[Total required Latrines]]-(WWWW[[#This Row],['#_Constructed latrines_by_WASHAgencies]]+WWWW[[#This Row],['#_Non Cluster partner latrines]])&lt;0,0,WWWW[[#This Row],[Total required Latrines]]-(WWWW[[#This Row],['#_Constructed latrines_by_WASHAgencies]]+WWWW[[#This Row],['#_Non Cluster partner latrines]]))</f>
        <v>0</v>
      </c>
      <c r="CS712" s="714">
        <f>1-WWWW[[#This Row],[% people access to functioning Latrine]]</f>
        <v>0</v>
      </c>
      <c r="CT712" s="713">
        <f>IF(OR(WWWW[[#This Row],['#_Non-functional latrines]]="",WWWW[[#This Row],['#_Non-functional latrines]]=0),0,WWWW[[#This Row],['#_Non-functional latrines]]/(WWWW[[#This Row],['#_Constructed latrines_by_WASHAgencies]]+WWWW[[#This Row],['#_Non Cluster partner latrines]]))</f>
        <v>0</v>
      </c>
      <c r="CU712" s="708">
        <f>IF(500*(WWWW[[#This Row],['#_male hygiene promoters]]+WWWW[[#This Row],['#_female hygiene promoters]])&gt;WWWW[[#This Row],[Total PoP ]],WWWW[[#This Row],[Total PoP ]],500*(WWWW[[#This Row],['#_male hygiene promoters]]+WWWW[[#This Row],['#_female hygiene promoters]]))</f>
        <v>0</v>
      </c>
      <c r="CV71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138</v>
      </c>
      <c r="CW71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130</v>
      </c>
      <c r="CX712" s="712">
        <f>IF(WWWW[[#This Row],['# People with access to soap]]&gt;WWWW[[#This Row],['# People with access to Sanity Pads]],WWWW[[#This Row],['# People with access to soap]],WWWW[[#This Row],['# People with access to Sanity Pads]])</f>
        <v>138</v>
      </c>
      <c r="CY712" s="712">
        <f>IF(WWWW[[#This Row],['# people reached by regular dedicated hygiene promotion_5]]&gt;WWWW[[#This Row],['# People received regular supply of hygiene items_6]],WWWW[[#This Row],['# people reached by regular dedicated hygiene promotion_5]],WWWW[[#This Row],['# People received regular supply of hygiene items_6]])</f>
        <v>138</v>
      </c>
      <c r="CZ712" s="714">
        <f>IF(WWWW[[#This Row],[HRP3]]/WWWW[[#This Row],[Total PoP ]]&gt;100%,100%,WWWW[[#This Row],[HRP3]]/WWWW[[#This Row],[Total PoP ]])</f>
        <v>1</v>
      </c>
      <c r="DA712" s="713">
        <f>1-WWWW[[#This Row],[Hygiene Coverage%]]</f>
        <v>0</v>
      </c>
      <c r="DB712" s="710">
        <f>WWWW[[#This Row],['# people reached by regular dedicated hygiene promotion_5]]/WWWW[[#This Row],[Total PoP ]]</f>
        <v>0</v>
      </c>
      <c r="DC712" s="710">
        <f>IF(WWWW[[#This Row],['#_households that received standard amount of soap for this quarter]]/WWWW[[#This Row],[Total HH]]&gt;1,1,WWWW[[#This Row],['#_households that received standard amount of soap for this quarter]]/WWWW[[#This Row],[Total HH]])</f>
        <v>1</v>
      </c>
      <c r="DD712" s="710">
        <f>IF(WWWW[[#This Row],['#_households that received standard amount of sanitary pads for this quarter]]/WWWW[[#This Row],[Total HH]]&gt;1,1,WWWW[[#This Row],['#_households that received standard amount of sanitary pads for this quarter]]/WWWW[[#This Row],[Total HH]])</f>
        <v>0.8666666666666667</v>
      </c>
      <c r="DE712" s="712">
        <f>WWWW[[#This Row],['#_Constructed/Existing hand washing stations]]-WWWW[[#This Row],['#_Non-Functional_hand_washing_stations]]</f>
        <v>0</v>
      </c>
      <c r="DF712" s="757">
        <f>IF(WWWW[[#This Row],['# Functional hand washing stations during reporting period]]*20&gt;WWWW[[#This Row],[Total HH]],WWWW[[#This Row],[Total HH]],WWWW[[#This Row],['# Functional hand washing stations during reporting period]]*20)</f>
        <v>0</v>
      </c>
      <c r="DG712" s="708">
        <f>IF(WWWW[[#This Row],[Is sufficient soap available for TLS? (Yes/No)]]="yes",WWWW[[#This Row],['#_Constructed/Existing hand washing stations at TLS]],0)</f>
        <v>0</v>
      </c>
      <c r="DH712" s="759">
        <f>IF(WWWW[[#This Row],['# Functional hand washing stations during reporting period]]*100&gt;WWWW[[#This Row],[Total PoP ]],WWWW[[#This Row],[Total PoP ]],WWWW[[#This Row],['# Functional hand washing stations during reporting period]]*100)</f>
        <v>0</v>
      </c>
      <c r="DI712" s="759" t="str">
        <f>IF(OR(WWWW[[#This Row],['#_students at TLS_CFS]]="",WWWW[[#This Row],['#_students at TLS_CFS]]=0),"No","Yes")</f>
        <v>No</v>
      </c>
      <c r="DJ712" s="711" t="str">
        <f>VLOOKUP(WWWW[[#This Row],[Site Name]],SiteDB6[[Site Name]:[CCCM Management]],6,FALSE)</f>
        <v>Yes</v>
      </c>
      <c r="DK712" s="711" t="str">
        <f>VLOOKUP(WWWW[[#This Row],[Site Name]],SiteDB6[[Site Name]:[CCCM Focal Agency]],7,FALSE)</f>
        <v>KMSS-LSO</v>
      </c>
      <c r="DL712" s="711" t="str">
        <f>VLOOKUP(WWWW[[#This Row],[Site Name]],SiteDB6[[Site Name]:[Location Type 1]],9,FALSE)</f>
        <v>Camp</v>
      </c>
      <c r="DM712" s="711" t="str">
        <f>VLOOKUP(WWWW[[#This Row],[Site Name]],SiteDB6[[Site Name]:[Type of Accommodation]],10,FALSE)</f>
        <v>Camp</v>
      </c>
      <c r="DN712" s="711" t="str">
        <f>VLOOKUP(WWWW[[#This Row],[Site Name]],SiteDB6[[Site Name]:[Ethnic or GCA/NGCA]],11,FALSE)</f>
        <v>GCA</v>
      </c>
      <c r="DO712" s="711">
        <f>VLOOKUP(WWWW[[#This Row],[Site Name]],SiteDB6[[Site Name]:[Lat]],12,FALSE)</f>
        <v>23.460349999999998</v>
      </c>
      <c r="DP712" s="711">
        <f>VLOOKUP(WWWW[[#This Row],[Site Name]],SiteDB6[[Site Name]:[Long]],13,FALSE)</f>
        <v>97.947360000000003</v>
      </c>
      <c r="DQ712" s="711" t="str">
        <f>VLOOKUP(WWWW[[#This Row],[Site Name]],SiteDB6[[Site Name]:[Pcode]],3,FALSE)</f>
        <v>MMR015CMP017</v>
      </c>
      <c r="DR712" s="709" t="str">
        <f t="shared" si="27"/>
        <v>Covered</v>
      </c>
      <c r="DS712" s="709"/>
    </row>
    <row r="713" spans="1:123">
      <c r="A713" s="701" t="s">
        <v>2519</v>
      </c>
      <c r="B713" s="701" t="s">
        <v>317</v>
      </c>
      <c r="C713" s="702" t="s">
        <v>317</v>
      </c>
      <c r="D713" s="702"/>
      <c r="E713" s="702" t="s">
        <v>716</v>
      </c>
      <c r="F713" s="702" t="s">
        <v>757</v>
      </c>
      <c r="G713" s="711" t="str">
        <f>VLOOKUP(WWWW[[#This Row],[Site Name]],SiteDB6[[Site Name]:[Location Type]],8,FALSE)</f>
        <v>Camp</v>
      </c>
      <c r="H713" s="711" t="s">
        <v>758</v>
      </c>
      <c r="I713" s="705">
        <v>37</v>
      </c>
      <c r="J713" s="705">
        <v>120</v>
      </c>
      <c r="K713" s="706"/>
      <c r="L713" s="707"/>
      <c r="M713" s="705"/>
      <c r="N713" s="705"/>
      <c r="O713" s="705"/>
      <c r="P713" s="705"/>
      <c r="Q713" s="708"/>
      <c r="R713" s="705"/>
      <c r="S713" s="705"/>
      <c r="T713" s="807"/>
      <c r="U713" s="705"/>
      <c r="V713" s="705"/>
      <c r="W713" s="705"/>
      <c r="X713" s="705"/>
      <c r="Y713" s="705"/>
      <c r="Z713" s="705"/>
      <c r="AA713" s="705"/>
      <c r="AB713" s="705"/>
      <c r="AC713" s="705"/>
      <c r="AD713" s="705"/>
      <c r="AE713" s="705"/>
      <c r="AF713" s="705"/>
      <c r="AG713" s="705"/>
      <c r="AH713" s="705"/>
      <c r="AI713" s="705"/>
      <c r="AJ713" s="705"/>
      <c r="AK713" s="705"/>
      <c r="AL713" s="705"/>
      <c r="AM713" s="705"/>
      <c r="AN713" s="705"/>
      <c r="AO713" s="705"/>
      <c r="AP713" s="705"/>
      <c r="AQ713" s="705"/>
      <c r="AR713" s="710"/>
      <c r="AS713" s="705"/>
      <c r="AT713" s="705"/>
      <c r="AU713" s="705"/>
      <c r="AV713" s="705"/>
      <c r="AW713" s="705"/>
      <c r="AX713" s="711"/>
      <c r="AY713" s="709"/>
      <c r="AZ713" s="705"/>
      <c r="BA713" s="705"/>
      <c r="BB713" s="705"/>
      <c r="BC713" s="711"/>
      <c r="BD713" s="705"/>
      <c r="BE713" s="705"/>
      <c r="BF713" s="705"/>
      <c r="BG713" s="705"/>
      <c r="BH713" s="705"/>
      <c r="BI713" s="705"/>
      <c r="BJ713" s="705"/>
      <c r="BK713" s="705"/>
      <c r="BL713" s="705"/>
      <c r="BM713" s="711"/>
      <c r="BN713" s="712"/>
      <c r="BO713" s="710"/>
      <c r="BP713" s="711"/>
      <c r="BQ713" s="713" t="str">
        <f>IFERROR(WWWW[[#This Row],['#_Water sources treated]]/WWWW[[#This Row],['#_Water sources tested for contamination]],"no test")</f>
        <v>no test</v>
      </c>
      <c r="BR713" s="710" t="str">
        <f>IFERROR(WWWW[[#This Row],['#_Household received remediation action due to contamination]]/WWWW[[#This Row],['#_Household water samples tested for contamination]],"no test")</f>
        <v>no test</v>
      </c>
      <c r="BS713" s="712" t="str">
        <f>IF(AND(WWWW[[#This Row],[% of water sources treated]]="no test",WWWW[[#This Row],[% Household received corrective actions]]="no test"),"No Test","Tested")</f>
        <v>No Test</v>
      </c>
      <c r="BT713" s="712">
        <f>WWWW[[#This Row],['#_Constructed/existing protected hand dug well]]-WWWW[[#This Row],['#_Non-functional protected hand dug well]]</f>
        <v>0</v>
      </c>
      <c r="BU713" s="712">
        <f>(WWWW[[#This Row],['#_Constructed/Existing tube wells/boreholes/handpumps_WASH_agency]]+WWWW[[#This Row],['#_Non-Cluster partner water tube-wells/boreholes/handpumps]])-WWWW[[#This Row],['#_Non-functional tube wells/boreholes/handpumps]]</f>
        <v>0</v>
      </c>
      <c r="BV713" s="712">
        <f>WWWW[[#This Row],['#_Constructed/Existingwater storage tank with gravity fed reticulation system]]-WWWW[[#This Row],['#_Non-functional storage tank gravity fed reticulation system]]</f>
        <v>0</v>
      </c>
      <c r="BW713" s="712">
        <f>WWWW[[#This Row],['#_Water boating or water trucking]]</f>
        <v>0</v>
      </c>
      <c r="BX713" s="712">
        <f>WWWW[[#This Row],['#_Constructed/Existing water distribution system from river or natural spring]]</f>
        <v>0</v>
      </c>
      <c r="BY71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1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13" s="710">
        <f>IF(WWWW[[#This Row],[Location Type 1]]="Village",WWWW[[#This Row],[Access to safe drinking water for Village]],WWWW[[#This Row],[Access to safe drinking water for Camp]])</f>
        <v>0</v>
      </c>
      <c r="CB713" s="708">
        <f>WWWW[[#This Row],[%Equitable and continuous access to sufficient quantity of safe drinking water]]*WWWW[[#This Row],[Total PoP ]]</f>
        <v>0</v>
      </c>
      <c r="CC713" s="710">
        <f>IF((WWWW[[#This Row],['#_Constructed/Existing protected/fenced ponds]]*250)/WWWW[[#This Row],[Total PoP ]]&gt;1,1,(WWWW[[#This Row],['#_Constructed/Existing protected/fenced ponds]]*250)/WWWW[[#This Row],[Total PoP ]])</f>
        <v>0</v>
      </c>
      <c r="CD713" s="708">
        <f>WWWW[[#This Row],[% Access to unimproved water points]]*WWWW[[#This Row],[Total PoP ]]</f>
        <v>0</v>
      </c>
      <c r="CE71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1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13" s="708">
        <f>WWWW[[#This Row],[HRP1]]/500</f>
        <v>0</v>
      </c>
      <c r="CH713" s="714">
        <f>1-WWWW[[#This Row],[% Equitable and continuous access to sufficient quantity of domestic water]]</f>
        <v>1</v>
      </c>
      <c r="CI713" s="708">
        <f>WWWW[[#This Row],[%equitable and continuous access to sufficient quantity of safe drinking and domestic water''s GAP]]*WWWW[[#This Row],[Total PoP ]]</f>
        <v>120</v>
      </c>
      <c r="CJ713" s="712">
        <f>IF(WWWW[[#This Row],[Total required water points]]-WWWW[[#This Row],['#Water points coverage]]&lt;0,0,WWWW[[#This Row],[Total required water points]]-WWWW[[#This Row],['#Water points coverage]])</f>
        <v>1</v>
      </c>
      <c r="CK713" s="712">
        <f>ROUND(IF(WWWW[[#This Row],[Total PoP ]]&lt;500,1,WWWW[[#This Row],[Total PoP ]]/500),0)</f>
        <v>1</v>
      </c>
      <c r="CL713" s="712">
        <f>(WWWW[[#This Row],['#_Constructed latrines_by_WASHAgencies]]+WWWW[[#This Row],['#_Non Cluster partner latrines]])-WWWW[[#This Row],['#_Non-functional latrines]]</f>
        <v>0</v>
      </c>
      <c r="CM71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1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1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3" s="712">
        <f>IF(WWWW[[#This Row],[Location Type 1]]="Village","NA",IF(WWWW[[#This Row],['#_Constructed/Existing latrines in TLS]]*50&gt;WWWW[[#This Row],['#_students at TLS_CFS]],WWWW[[#This Row],['#_students at TLS_CFS]],(WWWW[[#This Row],['#_Constructed/Existing latrines in TLS]]*50)))</f>
        <v>0</v>
      </c>
      <c r="CQ713" s="712">
        <f>ROUND(IF(WWWW[[#This Row],[Location Type 1]]="camp",WWWW[[#This Row],[Total PoP ]]/20,IF(WWWW[[#This Row],[Location Type 1]]="Temporary Location",WWWW[[#This Row],[Total PoP ]]/50,(WWWW[[#This Row],[Total PoP ]]/6))),0)</f>
        <v>6</v>
      </c>
      <c r="CR713" s="712">
        <f>IF(WWWW[[#This Row],[Total required Latrines]]-(WWWW[[#This Row],['#_Constructed latrines_by_WASHAgencies]]+WWWW[[#This Row],['#_Non Cluster partner latrines]])&lt;0,0,WWWW[[#This Row],[Total required Latrines]]-(WWWW[[#This Row],['#_Constructed latrines_by_WASHAgencies]]+WWWW[[#This Row],['#_Non Cluster partner latrines]]))</f>
        <v>6</v>
      </c>
      <c r="CS713" s="714">
        <f>1-WWWW[[#This Row],[% people access to functioning Latrine]]</f>
        <v>1</v>
      </c>
      <c r="CT713" s="713">
        <f>IF(OR(WWWW[[#This Row],['#_Non-functional latrines]]="",WWWW[[#This Row],['#_Non-functional latrines]]=0),0,WWWW[[#This Row],['#_Non-functional latrines]]/(WWWW[[#This Row],['#_Constructed latrines_by_WASHAgencies]]+WWWW[[#This Row],['#_Non Cluster partner latrines]]))</f>
        <v>0</v>
      </c>
      <c r="CU713" s="708">
        <f>IF(500*(WWWW[[#This Row],['#_male hygiene promoters]]+WWWW[[#This Row],['#_female hygiene promoters]])&gt;WWWW[[#This Row],[Total PoP ]],WWWW[[#This Row],[Total PoP ]],500*(WWWW[[#This Row],['#_male hygiene promoters]]+WWWW[[#This Row],['#_female hygiene promoters]]))</f>
        <v>0</v>
      </c>
      <c r="CV71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1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13" s="712">
        <f>IF(WWWW[[#This Row],['# People with access to soap]]&gt;WWWW[[#This Row],['# People with access to Sanity Pads]],WWWW[[#This Row],['# People with access to soap]],WWWW[[#This Row],['# People with access to Sanity Pads]])</f>
        <v>0</v>
      </c>
      <c r="CY713"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13" s="714">
        <f>IF(WWWW[[#This Row],[HRP3]]/WWWW[[#This Row],[Total PoP ]]&gt;100%,100%,WWWW[[#This Row],[HRP3]]/WWWW[[#This Row],[Total PoP ]])</f>
        <v>0</v>
      </c>
      <c r="DA713" s="713">
        <f>1-WWWW[[#This Row],[Hygiene Coverage%]]</f>
        <v>1</v>
      </c>
      <c r="DB713" s="710">
        <f>WWWW[[#This Row],['# people reached by regular dedicated hygiene promotion_5]]/WWWW[[#This Row],[Total PoP ]]</f>
        <v>0</v>
      </c>
      <c r="DC713" s="710">
        <f>IF(WWWW[[#This Row],['#_households that received standard amount of soap for this quarter]]/WWWW[[#This Row],[Total HH]]&gt;1,1,WWWW[[#This Row],['#_households that received standard amount of soap for this quarter]]/WWWW[[#This Row],[Total HH]])</f>
        <v>0</v>
      </c>
      <c r="DD713" s="710">
        <f>IF(WWWW[[#This Row],['#_households that received standard amount of sanitary pads for this quarter]]/WWWW[[#This Row],[Total HH]]&gt;1,1,WWWW[[#This Row],['#_households that received standard amount of sanitary pads for this quarter]]/WWWW[[#This Row],[Total HH]])</f>
        <v>0</v>
      </c>
      <c r="DE713" s="712">
        <f>WWWW[[#This Row],['#_Constructed/Existing hand washing stations]]-WWWW[[#This Row],['#_Non-Functional_hand_washing_stations]]</f>
        <v>0</v>
      </c>
      <c r="DF713" s="757">
        <f>IF(WWWW[[#This Row],['# Functional hand washing stations during reporting period]]*20&gt;WWWW[[#This Row],[Total HH]],WWWW[[#This Row],[Total HH]],WWWW[[#This Row],['# Functional hand washing stations during reporting period]]*20)</f>
        <v>0</v>
      </c>
      <c r="DG713" s="708">
        <f>IF(WWWW[[#This Row],[Is sufficient soap available for TLS? (Yes/No)]]="yes",WWWW[[#This Row],['#_Constructed/Existing hand washing stations at TLS]],0)</f>
        <v>0</v>
      </c>
      <c r="DH713" s="759">
        <f>IF(WWWW[[#This Row],['# Functional hand washing stations during reporting period]]*100&gt;WWWW[[#This Row],[Total PoP ]],WWWW[[#This Row],[Total PoP ]],WWWW[[#This Row],['# Functional hand washing stations during reporting period]]*100)</f>
        <v>0</v>
      </c>
      <c r="DI713" s="759" t="str">
        <f>IF(OR(WWWW[[#This Row],['#_students at TLS_CFS]]="",WWWW[[#This Row],['#_students at TLS_CFS]]=0),"No","Yes")</f>
        <v>No</v>
      </c>
      <c r="DJ713" s="711">
        <f>VLOOKUP(WWWW[[#This Row],[Site Name]],SiteDB6[[Site Name]:[CCCM Management]],6,FALSE)</f>
        <v>0</v>
      </c>
      <c r="DK713" s="711" t="str">
        <f>VLOOKUP(WWWW[[#This Row],[Site Name]],SiteDB6[[Site Name]:[CCCM Focal Agency]],7,FALSE)</f>
        <v>uncovered</v>
      </c>
      <c r="DL713" s="711" t="str">
        <f>VLOOKUP(WWWW[[#This Row],[Site Name]],SiteDB6[[Site Name]:[Location Type 1]],9,FALSE)</f>
        <v>Camp</v>
      </c>
      <c r="DM713" s="711" t="str">
        <f>VLOOKUP(WWWW[[#This Row],[Site Name]],SiteDB6[[Site Name]:[Type of Accommodation]],10,FALSE)</f>
        <v>Camp like setting</v>
      </c>
      <c r="DN713" s="711" t="str">
        <f>VLOOKUP(WWWW[[#This Row],[Site Name]],SiteDB6[[Site Name]:[Ethnic or GCA/NGCA]],11,FALSE)</f>
        <v>GCA</v>
      </c>
      <c r="DO713" s="711">
        <f>VLOOKUP(WWWW[[#This Row],[Site Name]],SiteDB6[[Site Name]:[Lat]],12,FALSE)</f>
        <v>22.677008000000001</v>
      </c>
      <c r="DP713" s="711">
        <f>VLOOKUP(WWWW[[#This Row],[Site Name]],SiteDB6[[Site Name]:[Long]],13,FALSE)</f>
        <v>97.314762999999999</v>
      </c>
      <c r="DQ713" s="711" t="str">
        <f>VLOOKUP(WWWW[[#This Row],[Site Name]],SiteDB6[[Site Name]:[Pcode]],3,FALSE)</f>
        <v>MMR015CMP244</v>
      </c>
      <c r="DR713" s="709" t="str">
        <f t="shared" si="27"/>
        <v>Notcovered</v>
      </c>
      <c r="DS713" s="709"/>
    </row>
    <row r="714" spans="1:123">
      <c r="A714" s="701" t="s">
        <v>2519</v>
      </c>
      <c r="B714" s="808" t="s">
        <v>1957</v>
      </c>
      <c r="C714" s="808" t="s">
        <v>1957</v>
      </c>
      <c r="D714" s="584" t="s">
        <v>3312</v>
      </c>
      <c r="E714" s="702" t="s">
        <v>716</v>
      </c>
      <c r="F714" s="702" t="s">
        <v>737</v>
      </c>
      <c r="G714" s="711" t="str">
        <f>VLOOKUP(WWWW[[#This Row],[Site Name]],SiteDB6[[Site Name]:[Location Type]],8,FALSE)</f>
        <v>Camp</v>
      </c>
      <c r="H714" s="702" t="s">
        <v>744</v>
      </c>
      <c r="I714" s="705">
        <v>38</v>
      </c>
      <c r="J714" s="705">
        <v>267</v>
      </c>
      <c r="K714" s="593" t="s">
        <v>3305</v>
      </c>
      <c r="L714" s="58" t="s">
        <v>3313</v>
      </c>
      <c r="M714" s="705">
        <v>68</v>
      </c>
      <c r="N714" s="705"/>
      <c r="O714" s="705"/>
      <c r="P714" s="705"/>
      <c r="Q714" s="708" t="s">
        <v>43</v>
      </c>
      <c r="R714" s="705">
        <v>4</v>
      </c>
      <c r="S714" s="705">
        <v>3</v>
      </c>
      <c r="T714" s="807"/>
      <c r="U714" s="705"/>
      <c r="V714" s="705"/>
      <c r="W714" s="705"/>
      <c r="X714" s="705"/>
      <c r="Y714" s="705"/>
      <c r="Z714" s="705"/>
      <c r="AA714" s="705">
        <v>20</v>
      </c>
      <c r="AB714" s="705"/>
      <c r="AC714" s="705"/>
      <c r="AD714" s="705"/>
      <c r="AE714" s="705"/>
      <c r="AF714" s="705"/>
      <c r="AG714" s="705">
        <v>1</v>
      </c>
      <c r="AH714" s="705"/>
      <c r="AI714" s="705">
        <v>1</v>
      </c>
      <c r="AJ714" s="705"/>
      <c r="AK714" s="705">
        <v>15</v>
      </c>
      <c r="AL714" s="705"/>
      <c r="AM714" s="705"/>
      <c r="AN714" s="705"/>
      <c r="AO714" s="705"/>
      <c r="AP714" s="705">
        <v>16</v>
      </c>
      <c r="AQ714" s="705"/>
      <c r="AR714" s="710"/>
      <c r="AS714" s="705">
        <v>6</v>
      </c>
      <c r="AT714" s="705"/>
      <c r="AU714" s="705"/>
      <c r="AV714" s="705"/>
      <c r="AW714" s="705"/>
      <c r="AX714" s="711" t="s">
        <v>43</v>
      </c>
      <c r="AY714" s="782" t="s">
        <v>145</v>
      </c>
      <c r="AZ714" s="705"/>
      <c r="BA714" s="705"/>
      <c r="BB714" s="705"/>
      <c r="BC714" s="711"/>
      <c r="BD714" s="705">
        <v>8</v>
      </c>
      <c r="BE714" s="705">
        <v>5</v>
      </c>
      <c r="BF714" s="705"/>
      <c r="BG714" s="705">
        <v>2</v>
      </c>
      <c r="BH714" s="705">
        <v>1</v>
      </c>
      <c r="BI714" s="705"/>
      <c r="BJ714" s="705">
        <v>2</v>
      </c>
      <c r="BK714" s="705">
        <f>30+62</f>
        <v>92</v>
      </c>
      <c r="BL714" s="705">
        <v>62</v>
      </c>
      <c r="BM714" s="711"/>
      <c r="BN714" s="712"/>
      <c r="BO714" s="710">
        <v>0.5</v>
      </c>
      <c r="BP714" s="711"/>
      <c r="BQ714" s="713">
        <f>IFERROR(WWWW[[#This Row],['#_Water sources treated]]/WWWW[[#This Row],['#_Water sources tested for contamination]],"no test")</f>
        <v>0</v>
      </c>
      <c r="BR714" s="710">
        <f>IFERROR(WWWW[[#This Row],['#_Household received remediation action due to contamination]]/WWWW[[#This Row],['#_Household water samples tested for contamination]],"no test")</f>
        <v>0</v>
      </c>
      <c r="BS714" s="712" t="str">
        <f>IF(AND(WWWW[[#This Row],[% of water sources treated]]="no test",WWWW[[#This Row],[% Household received corrective actions]]="no test"),"No Test","Tested")</f>
        <v>Tested</v>
      </c>
      <c r="BT714" s="712">
        <f>WWWW[[#This Row],['#_Constructed/existing protected hand dug well]]-WWWW[[#This Row],['#_Non-functional protected hand dug well]]</f>
        <v>0</v>
      </c>
      <c r="BU714" s="712">
        <f>(WWWW[[#This Row],['#_Constructed/Existing tube wells/boreholes/handpumps_WASH_agency]]+WWWW[[#This Row],['#_Non-Cluster partner water tube-wells/boreholes/handpumps]])-WWWW[[#This Row],['#_Non-functional tube wells/boreholes/handpumps]]</f>
        <v>0</v>
      </c>
      <c r="BV714" s="712">
        <f>WWWW[[#This Row],['#_Constructed/Existingwater storage tank with gravity fed reticulation system]]-WWWW[[#This Row],['#_Non-functional storage tank gravity fed reticulation system]]</f>
        <v>20</v>
      </c>
      <c r="BW714" s="712">
        <f>WWWW[[#This Row],['#_Water boating or water trucking]]</f>
        <v>0</v>
      </c>
      <c r="BX714" s="712">
        <f>WWWW[[#This Row],['#_Constructed/Existing water distribution system from river or natural spring]]</f>
        <v>0</v>
      </c>
      <c r="BY71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1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14" s="710">
        <f>IF(WWWW[[#This Row],[Location Type 1]]="Village",WWWW[[#This Row],[Access to safe drinking water for Village]],WWWW[[#This Row],[Access to safe drinking water for Camp]])</f>
        <v>1</v>
      </c>
      <c r="CB714" s="708">
        <f>WWWW[[#This Row],[%Equitable and continuous access to sufficient quantity of safe drinking water]]*WWWW[[#This Row],[Total PoP ]]</f>
        <v>267</v>
      </c>
      <c r="CC714" s="710">
        <f>IF((WWWW[[#This Row],['#_Constructed/Existing protected/fenced ponds]]*250)/WWWW[[#This Row],[Total PoP ]]&gt;1,1,(WWWW[[#This Row],['#_Constructed/Existing protected/fenced ponds]]*250)/WWWW[[#This Row],[Total PoP ]])</f>
        <v>0</v>
      </c>
      <c r="CD714" s="708">
        <f>WWWW[[#This Row],[% Access to unimproved water points]]*WWWW[[#This Row],[Total PoP ]]</f>
        <v>0</v>
      </c>
      <c r="CE71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1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G714" s="708">
        <f>WWWW[[#This Row],[HRP1]]/500</f>
        <v>0.53400000000000003</v>
      </c>
      <c r="CH714" s="714">
        <f>1-WWWW[[#This Row],[% Equitable and continuous access to sufficient quantity of domestic water]]</f>
        <v>0</v>
      </c>
      <c r="CI714" s="708">
        <f>WWWW[[#This Row],[%equitable and continuous access to sufficient quantity of safe drinking and domestic water''s GAP]]*WWWW[[#This Row],[Total PoP ]]</f>
        <v>0</v>
      </c>
      <c r="CJ714" s="712">
        <f>IF(WWWW[[#This Row],[Total required water points]]-WWWW[[#This Row],['#Water points coverage]]&lt;0,0,WWWW[[#This Row],[Total required water points]]-WWWW[[#This Row],['#Water points coverage]])</f>
        <v>0.46599999999999997</v>
      </c>
      <c r="CK714" s="712">
        <f>ROUND(IF(WWWW[[#This Row],[Total PoP ]]&lt;500,1,WWWW[[#This Row],[Total PoP ]]/500),0)</f>
        <v>1</v>
      </c>
      <c r="CL714" s="712">
        <f>(WWWW[[#This Row],['#_Constructed latrines_by_WASHAgencies]]+WWWW[[#This Row],['#_Non Cluster partner latrines]])-WWWW[[#This Row],['#_Non-functional latrines]]</f>
        <v>10</v>
      </c>
      <c r="CM71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0.74906367041198507</v>
      </c>
      <c r="CN71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71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4" s="712">
        <f>IF(WWWW[[#This Row],[Location Type 1]]="Village","NA",IF(WWWW[[#This Row],['#_Constructed/Existing latrines in TLS]]*50&gt;WWWW[[#This Row],['#_students at TLS_CFS]],WWWW[[#This Row],['#_students at TLS_CFS]],(WWWW[[#This Row],['#_Constructed/Existing latrines in TLS]]*50)))</f>
        <v>0</v>
      </c>
      <c r="CQ714" s="712">
        <f>ROUND(IF(WWWW[[#This Row],[Location Type 1]]="camp",WWWW[[#This Row],[Total PoP ]]/20,IF(WWWW[[#This Row],[Location Type 1]]="Temporary Location",WWWW[[#This Row],[Total PoP ]]/50,(WWWW[[#This Row],[Total PoP ]]/6))),0)</f>
        <v>13</v>
      </c>
      <c r="CR714" s="712">
        <f>IF(WWWW[[#This Row],[Total required Latrines]]-(WWWW[[#This Row],['#_Constructed latrines_by_WASHAgencies]]+WWWW[[#This Row],['#_Non Cluster partner latrines]])&lt;0,0,WWWW[[#This Row],[Total required Latrines]]-(WWWW[[#This Row],['#_Constructed latrines_by_WASHAgencies]]+WWWW[[#This Row],['#_Non Cluster partner latrines]]))</f>
        <v>0</v>
      </c>
      <c r="CS714" s="714">
        <f>1-WWWW[[#This Row],[% people access to functioning Latrine]]</f>
        <v>0.25093632958801493</v>
      </c>
      <c r="CT714" s="713">
        <f>IF(OR(WWWW[[#This Row],['#_Non-functional latrines]]="",WWWW[[#This Row],['#_Non-functional latrines]]=0),0,WWWW[[#This Row],['#_Non-functional latrines]]/(WWWW[[#This Row],['#_Constructed latrines_by_WASHAgencies]]+WWWW[[#This Row],['#_Non Cluster partner latrines]]))</f>
        <v>0.375</v>
      </c>
      <c r="CU714" s="708">
        <f>IF(500*(WWWW[[#This Row],['#_male hygiene promoters]]+WWWW[[#This Row],['#_female hygiene promoters]])&gt;WWWW[[#This Row],[Total PoP ]],WWWW[[#This Row],[Total PoP ]],500*(WWWW[[#This Row],['#_male hygiene promoters]]+WWWW[[#This Row],['#_female hygiene promoters]]))</f>
        <v>267</v>
      </c>
      <c r="CV71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267</v>
      </c>
      <c r="CW71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267</v>
      </c>
      <c r="CX714" s="712">
        <f>IF(WWWW[[#This Row],['# People with access to soap]]&gt;WWWW[[#This Row],['# People with access to Sanity Pads]],WWWW[[#This Row],['# People with access to soap]],WWWW[[#This Row],['# People with access to Sanity Pads]])</f>
        <v>267</v>
      </c>
      <c r="CY714" s="712">
        <f>IF(WWWW[[#This Row],['# people reached by regular dedicated hygiene promotion_5]]&gt;WWWW[[#This Row],['# People received regular supply of hygiene items_6]],WWWW[[#This Row],['# people reached by regular dedicated hygiene promotion_5]],WWWW[[#This Row],['# People received regular supply of hygiene items_6]])</f>
        <v>267</v>
      </c>
      <c r="CZ714" s="714">
        <f>IF(WWWW[[#This Row],[HRP3]]/WWWW[[#This Row],[Total PoP ]]&gt;100%,100%,WWWW[[#This Row],[HRP3]]/WWWW[[#This Row],[Total PoP ]])</f>
        <v>1</v>
      </c>
      <c r="DA714" s="713">
        <f>1-WWWW[[#This Row],[Hygiene Coverage%]]</f>
        <v>0</v>
      </c>
      <c r="DB714" s="710">
        <f>WWWW[[#This Row],['# people reached by regular dedicated hygiene promotion_5]]/WWWW[[#This Row],[Total PoP ]]</f>
        <v>1</v>
      </c>
      <c r="DC714" s="710">
        <f>IF(WWWW[[#This Row],['#_households that received standard amount of soap for this quarter]]/WWWW[[#This Row],[Total HH]]&gt;1,1,WWWW[[#This Row],['#_households that received standard amount of soap for this quarter]]/WWWW[[#This Row],[Total HH]])</f>
        <v>1</v>
      </c>
      <c r="DD714" s="710">
        <f>IF(WWWW[[#This Row],['#_households that received standard amount of sanitary pads for this quarter]]/WWWW[[#This Row],[Total HH]]&gt;1,1,WWWW[[#This Row],['#_households that received standard amount of sanitary pads for this quarter]]/WWWW[[#This Row],[Total HH]])</f>
        <v>1</v>
      </c>
      <c r="DE714" s="712">
        <f>WWWW[[#This Row],['#_Constructed/Existing hand washing stations]]-WWWW[[#This Row],['#_Non-Functional_hand_washing_stations]]</f>
        <v>3</v>
      </c>
      <c r="DF714" s="757">
        <f>IF(WWWW[[#This Row],['# Functional hand washing stations during reporting period]]*20&gt;WWWW[[#This Row],[Total HH]],WWWW[[#This Row],[Total HH]],WWWW[[#This Row],['# Functional hand washing stations during reporting period]]*20)</f>
        <v>38</v>
      </c>
      <c r="DG714" s="708">
        <f>IF(WWWW[[#This Row],[Is sufficient soap available for TLS? (Yes/No)]]="yes",WWWW[[#This Row],['#_Constructed/Existing hand washing stations at TLS]],0)</f>
        <v>0</v>
      </c>
      <c r="DH714" s="759">
        <f>IF(WWWW[[#This Row],['# Functional hand washing stations during reporting period]]*100&gt;WWWW[[#This Row],[Total PoP ]],WWWW[[#This Row],[Total PoP ]],WWWW[[#This Row],['# Functional hand washing stations during reporting period]]*100)</f>
        <v>267</v>
      </c>
      <c r="DI714" s="759" t="str">
        <f>IF(OR(WWWW[[#This Row],['#_students at TLS_CFS]]="",WWWW[[#This Row],['#_students at TLS_CFS]]=0),"No","Yes")</f>
        <v>Yes</v>
      </c>
      <c r="DJ714" s="711" t="str">
        <f>VLOOKUP(WWWW[[#This Row],[Site Name]],SiteDB6[[Site Name]:[CCCM Management]],6,FALSE)</f>
        <v>Yes</v>
      </c>
      <c r="DK714" s="711" t="str">
        <f>VLOOKUP(WWWW[[#This Row],[Site Name]],SiteDB6[[Site Name]:[CCCM Focal Agency]],7,FALSE)</f>
        <v>KMSS-LSO</v>
      </c>
      <c r="DL714" s="711" t="str">
        <f>VLOOKUP(WWWW[[#This Row],[Site Name]],SiteDB6[[Site Name]:[Location Type 1]],9,FALSE)</f>
        <v>Camp</v>
      </c>
      <c r="DM714" s="711" t="str">
        <f>VLOOKUP(WWWW[[#This Row],[Site Name]],SiteDB6[[Site Name]:[Type of Accommodation]],10,FALSE)</f>
        <v>Camp</v>
      </c>
      <c r="DN714" s="711" t="str">
        <f>VLOOKUP(WWWW[[#This Row],[Site Name]],SiteDB6[[Site Name]:[Ethnic or GCA/NGCA]],11,FALSE)</f>
        <v>GCA</v>
      </c>
      <c r="DO714" s="711">
        <f>VLOOKUP(WWWW[[#This Row],[Site Name]],SiteDB6[[Site Name]:[Lat]],12,FALSE)</f>
        <v>23.099304</v>
      </c>
      <c r="DP714" s="711">
        <f>VLOOKUP(WWWW[[#This Row],[Site Name]],SiteDB6[[Site Name]:[Long]],13,FALSE)</f>
        <v>97.400671000000003</v>
      </c>
      <c r="DQ714" s="711" t="str">
        <f>VLOOKUP(WWWW[[#This Row],[Site Name]],SiteDB6[[Site Name]:[Pcode]],3,FALSE)</f>
        <v>MMR015CMP248</v>
      </c>
      <c r="DR714" s="709" t="str">
        <f t="shared" si="27"/>
        <v>Covered</v>
      </c>
      <c r="DS714" s="709"/>
    </row>
    <row r="715" spans="1:123">
      <c r="A715" s="701" t="s">
        <v>2519</v>
      </c>
      <c r="B715" s="702" t="s">
        <v>3278</v>
      </c>
      <c r="C715" s="702" t="s">
        <v>3278</v>
      </c>
      <c r="D715" s="702" t="s">
        <v>722</v>
      </c>
      <c r="E715" s="702" t="s">
        <v>716</v>
      </c>
      <c r="F715" s="702" t="s">
        <v>1274</v>
      </c>
      <c r="G715" s="711" t="str">
        <f>VLOOKUP(WWWW[[#This Row],[Site Name]],SiteDB6[[Site Name]:[Location Type]],8,FALSE)</f>
        <v>Village</v>
      </c>
      <c r="H715" s="904" t="s">
        <v>3279</v>
      </c>
      <c r="I715" s="829">
        <v>472</v>
      </c>
      <c r="J715" s="829">
        <v>2624</v>
      </c>
      <c r="K715" s="706"/>
      <c r="L715" s="830">
        <v>44196</v>
      </c>
      <c r="M715" s="705"/>
      <c r="N715" s="705"/>
      <c r="O715" s="705"/>
      <c r="P715" s="705"/>
      <c r="Q715" s="708" t="s">
        <v>43</v>
      </c>
      <c r="R715" s="705">
        <v>4</v>
      </c>
      <c r="S715" s="705">
        <v>2</v>
      </c>
      <c r="T715" s="807"/>
      <c r="U715" s="705"/>
      <c r="V715" s="705"/>
      <c r="W715" s="705"/>
      <c r="X715" s="705"/>
      <c r="Y715" s="705"/>
      <c r="Z715" s="705"/>
      <c r="AA715" s="705">
        <v>1</v>
      </c>
      <c r="AB715" s="705"/>
      <c r="AC715" s="705"/>
      <c r="AD715" s="705"/>
      <c r="AE715" s="705">
        <v>1</v>
      </c>
      <c r="AF715" s="705"/>
      <c r="AG715" s="705">
        <v>1</v>
      </c>
      <c r="AH715" s="705">
        <v>2</v>
      </c>
      <c r="AI715" s="705"/>
      <c r="AJ715" s="705"/>
      <c r="AK715" s="705"/>
      <c r="AL715" s="705"/>
      <c r="AM715" s="705"/>
      <c r="AN715" s="705"/>
      <c r="AO715" s="705" t="s">
        <v>3338</v>
      </c>
      <c r="AP715" s="705"/>
      <c r="AQ715" s="705">
        <v>340</v>
      </c>
      <c r="AR715" s="710"/>
      <c r="AS715" s="705"/>
      <c r="AT715" s="705"/>
      <c r="AU715" s="705"/>
      <c r="AV715" s="705"/>
      <c r="AW715" s="705"/>
      <c r="AX715" s="711" t="s">
        <v>144</v>
      </c>
      <c r="AY715" s="709" t="s">
        <v>43</v>
      </c>
      <c r="AZ715" s="705"/>
      <c r="BA715" s="705"/>
      <c r="BB715" s="705"/>
      <c r="BC715" s="711" t="s">
        <v>3339</v>
      </c>
      <c r="BD715" s="705"/>
      <c r="BE715" s="705"/>
      <c r="BF715" s="705">
        <v>340</v>
      </c>
      <c r="BG715" s="705">
        <v>0</v>
      </c>
      <c r="BH715" s="705"/>
      <c r="BI715" s="705">
        <v>4</v>
      </c>
      <c r="BJ715" s="705">
        <v>2</v>
      </c>
      <c r="BK715" s="705"/>
      <c r="BL715" s="705"/>
      <c r="BM715" s="711"/>
      <c r="BN715" s="712"/>
      <c r="BO715" s="710"/>
      <c r="BP715" s="711"/>
      <c r="BQ715" s="713" t="str">
        <f>IFERROR(WWWW[[#This Row],['#_Water sources treated]]/WWWW[[#This Row],['#_Water sources tested for contamination]],"no test")</f>
        <v>no test</v>
      </c>
      <c r="BR715" s="710" t="str">
        <f>IFERROR(WWWW[[#This Row],['#_Household received remediation action due to contamination]]/WWWW[[#This Row],['#_Household water samples tested for contamination]],"no test")</f>
        <v>no test</v>
      </c>
      <c r="BS715" s="712" t="str">
        <f>IF(AND(WWWW[[#This Row],[% of water sources treated]]="no test",WWWW[[#This Row],[% Household received corrective actions]]="no test"),"No Test","Tested")</f>
        <v>No Test</v>
      </c>
      <c r="BT715" s="712">
        <f>WWWW[[#This Row],['#_Constructed/existing protected hand dug well]]-WWWW[[#This Row],['#_Non-functional protected hand dug well]]</f>
        <v>0</v>
      </c>
      <c r="BU715" s="712">
        <f>(WWWW[[#This Row],['#_Constructed/Existing tube wells/boreholes/handpumps_WASH_agency]]+WWWW[[#This Row],['#_Non-Cluster partner water tube-wells/boreholes/handpumps]])-WWWW[[#This Row],['#_Non-functional tube wells/boreholes/handpumps]]</f>
        <v>0</v>
      </c>
      <c r="BV715" s="712">
        <f>WWWW[[#This Row],['#_Constructed/Existingwater storage tank with gravity fed reticulation system]]-WWWW[[#This Row],['#_Non-functional storage tank gravity fed reticulation system]]</f>
        <v>1</v>
      </c>
      <c r="BW715" s="712">
        <f>WWWW[[#This Row],['#_Water boating or water trucking]]</f>
        <v>0</v>
      </c>
      <c r="BX715" s="712">
        <f>WWWW[[#This Row],['#_Constructed/Existing water distribution system from river or natural spring]]</f>
        <v>0</v>
      </c>
      <c r="BY71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2.5406504065040653E-2</v>
      </c>
      <c r="BZ71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2.5406504065040653E-2</v>
      </c>
      <c r="CA715" s="710">
        <f>IF(WWWW[[#This Row],[Location Type 1]]="Village",WWWW[[#This Row],[Access to safe drinking water for Village]],WWWW[[#This Row],[Access to safe drinking water for Camp]])</f>
        <v>2.5406504065040653E-2</v>
      </c>
      <c r="CB715" s="708">
        <f>WWWW[[#This Row],[%Equitable and continuous access to sufficient quantity of safe drinking water]]*WWWW[[#This Row],[Total PoP ]]</f>
        <v>66.666666666666671</v>
      </c>
      <c r="CC715" s="710">
        <f>IF((WWWW[[#This Row],['#_Constructed/Existing protected/fenced ponds]]*250)/WWWW[[#This Row],[Total PoP ]]&gt;1,1,(WWWW[[#This Row],['#_Constructed/Existing protected/fenced ponds]]*250)/WWWW[[#This Row],[Total PoP ]])</f>
        <v>9.527439024390244E-2</v>
      </c>
      <c r="CD715" s="708">
        <f>WWWW[[#This Row],[% Access to unimproved water points]]*WWWW[[#This Row],[Total PoP ]]</f>
        <v>250</v>
      </c>
      <c r="CE71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0.12068089430894309</v>
      </c>
      <c r="CF71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316.66666666666669</v>
      </c>
      <c r="CG715" s="708">
        <f>WWWW[[#This Row],[HRP1]]/500</f>
        <v>0.63333333333333341</v>
      </c>
      <c r="CH715" s="714">
        <f>1-WWWW[[#This Row],[% Equitable and continuous access to sufficient quantity of domestic water]]</f>
        <v>0.87931910569105687</v>
      </c>
      <c r="CI715" s="708">
        <f>WWWW[[#This Row],[%equitable and continuous access to sufficient quantity of safe drinking and domestic water''s GAP]]*WWWW[[#This Row],[Total PoP ]]</f>
        <v>2307.333333333333</v>
      </c>
      <c r="CJ715" s="712">
        <f>IF(WWWW[[#This Row],[Total required water points]]-WWWW[[#This Row],['#Water points coverage]]&lt;0,0,WWWW[[#This Row],[Total required water points]]-WWWW[[#This Row],['#Water points coverage]])</f>
        <v>4.3666666666666663</v>
      </c>
      <c r="CK715" s="712">
        <f>ROUND(IF(WWWW[[#This Row],[Total PoP ]]&lt;500,1,WWWW[[#This Row],[Total PoP ]]/500),0)</f>
        <v>5</v>
      </c>
      <c r="CL715" s="712">
        <f>(WWWW[[#This Row],['#_Constructed latrines_by_WASHAgencies]]+WWWW[[#This Row],['#_Non Cluster partner latrines]])-WWWW[[#This Row],['#_Non-functional latrines]]</f>
        <v>340</v>
      </c>
      <c r="CM71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0.77743902439024393</v>
      </c>
      <c r="CN71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2040</v>
      </c>
      <c r="CO715"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715" s="712" t="str">
        <f>IF(WWWW[[#This Row],[Location Type 1]]="Village","NA",IF(WWWW[[#This Row],['#_Constructed/Existing latrines in TLS]]*50&gt;WWWW[[#This Row],['#_students at TLS_CFS]],WWWW[[#This Row],['#_students at TLS_CFS]],(WWWW[[#This Row],['#_Constructed/Existing latrines in TLS]]*50)))</f>
        <v>NA</v>
      </c>
      <c r="CQ715" s="712">
        <f>ROUND(IF(WWWW[[#This Row],[Location Type 1]]="camp",WWWW[[#This Row],[Total PoP ]]/20,IF(WWWW[[#This Row],[Location Type 1]]="Temporary Location",WWWW[[#This Row],[Total PoP ]]/50,(WWWW[[#This Row],[Total PoP ]]/6))),0)</f>
        <v>437</v>
      </c>
      <c r="CR715" s="712">
        <f>IF(WWWW[[#This Row],[Total required Latrines]]-(WWWW[[#This Row],['#_Constructed latrines_by_WASHAgencies]]+WWWW[[#This Row],['#_Non Cluster partner latrines]])&lt;0,0,WWWW[[#This Row],[Total required Latrines]]-(WWWW[[#This Row],['#_Constructed latrines_by_WASHAgencies]]+WWWW[[#This Row],['#_Non Cluster partner latrines]]))</f>
        <v>97</v>
      </c>
      <c r="CS715" s="714">
        <f>1-WWWW[[#This Row],[% people access to functioning Latrine]]</f>
        <v>0.22256097560975607</v>
      </c>
      <c r="CT715" s="713">
        <f>IF(OR(WWWW[[#This Row],['#_Non-functional latrines]]="",WWWW[[#This Row],['#_Non-functional latrines]]=0),0,WWWW[[#This Row],['#_Non-functional latrines]]/(WWWW[[#This Row],['#_Constructed latrines_by_WASHAgencies]]+WWWW[[#This Row],['#_Non Cluster partner latrines]]))</f>
        <v>0</v>
      </c>
      <c r="CU715" s="708">
        <f>IF(500*(WWWW[[#This Row],['#_male hygiene promoters]]+WWWW[[#This Row],['#_female hygiene promoters]])&gt;WWWW[[#This Row],[Total PoP ]],WWWW[[#This Row],[Total PoP ]],500*(WWWW[[#This Row],['#_male hygiene promoters]]+WWWW[[#This Row],['#_female hygiene promoters]]))</f>
        <v>2624</v>
      </c>
      <c r="CV71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1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15" s="712">
        <f>IF(WWWW[[#This Row],['# People with access to soap]]&gt;WWWW[[#This Row],['# People with access to Sanity Pads]],WWWW[[#This Row],['# People with access to soap]],WWWW[[#This Row],['# People with access to Sanity Pads]])</f>
        <v>0</v>
      </c>
      <c r="CY715" s="712">
        <f>IF(WWWW[[#This Row],['# people reached by regular dedicated hygiene promotion_5]]&gt;WWWW[[#This Row],['# People received regular supply of hygiene items_6]],WWWW[[#This Row],['# people reached by regular dedicated hygiene promotion_5]],WWWW[[#This Row],['# People received regular supply of hygiene items_6]])</f>
        <v>2624</v>
      </c>
      <c r="CZ715" s="714">
        <f>IF(WWWW[[#This Row],[HRP3]]/WWWW[[#This Row],[Total PoP ]]&gt;100%,100%,WWWW[[#This Row],[HRP3]]/WWWW[[#This Row],[Total PoP ]])</f>
        <v>1</v>
      </c>
      <c r="DA715" s="713">
        <f>1-WWWW[[#This Row],[Hygiene Coverage%]]</f>
        <v>0</v>
      </c>
      <c r="DB715" s="710">
        <f>WWWW[[#This Row],['# people reached by regular dedicated hygiene promotion_5]]/WWWW[[#This Row],[Total PoP ]]</f>
        <v>1</v>
      </c>
      <c r="DC715" s="710">
        <f>IF(WWWW[[#This Row],['#_households that received standard amount of soap for this quarter]]/WWWW[[#This Row],[Total HH]]&gt;1,1,WWWW[[#This Row],['#_households that received standard amount of soap for this quarter]]/WWWW[[#This Row],[Total HH]])</f>
        <v>0</v>
      </c>
      <c r="DD715" s="710">
        <f>IF(WWWW[[#This Row],['#_households that received standard amount of sanitary pads for this quarter]]/WWWW[[#This Row],[Total HH]]&gt;1,1,WWWW[[#This Row],['#_households that received standard amount of sanitary pads for this quarter]]/WWWW[[#This Row],[Total HH]])</f>
        <v>0</v>
      </c>
      <c r="DE715" s="712">
        <f>WWWW[[#This Row],['#_Constructed/Existing hand washing stations]]-WWWW[[#This Row],['#_Non-Functional_hand_washing_stations]]</f>
        <v>0</v>
      </c>
      <c r="DF715" s="757">
        <f>IF(WWWW[[#This Row],['# Functional hand washing stations during reporting period]]*20&gt;WWWW[[#This Row],[Total HH]],WWWW[[#This Row],[Total HH]],WWWW[[#This Row],['# Functional hand washing stations during reporting period]]*20)</f>
        <v>0</v>
      </c>
      <c r="DG715" s="708">
        <f>IF(WWWW[[#This Row],[Is sufficient soap available for TLS? (Yes/No)]]="yes",WWWW[[#This Row],['#_Constructed/Existing hand washing stations at TLS]],0)</f>
        <v>0</v>
      </c>
      <c r="DH715" s="759">
        <f>IF(WWWW[[#This Row],['# Functional hand washing stations during reporting period]]*100&gt;WWWW[[#This Row],[Total PoP ]],WWWW[[#This Row],[Total PoP ]],WWWW[[#This Row],['# Functional hand washing stations during reporting period]]*100)</f>
        <v>0</v>
      </c>
      <c r="DI715" s="759" t="str">
        <f>IF(OR(WWWW[[#This Row],['#_students at TLS_CFS]]="",WWWW[[#This Row],['#_students at TLS_CFS]]=0),"No","Yes")</f>
        <v>No</v>
      </c>
      <c r="DJ715" s="711">
        <f>VLOOKUP(WWWW[[#This Row],[Site Name]],SiteDB6[[Site Name]:[CCCM Management]],6,FALSE)</f>
        <v>0</v>
      </c>
      <c r="DK715" s="711">
        <f>VLOOKUP(WWWW[[#This Row],[Site Name]],SiteDB6[[Site Name]:[CCCM Focal Agency]],7,FALSE)</f>
        <v>0</v>
      </c>
      <c r="DL715" s="711" t="str">
        <f>VLOOKUP(WWWW[[#This Row],[Site Name]],SiteDB6[[Site Name]:[Location Type 1]],9,FALSE)</f>
        <v>Village</v>
      </c>
      <c r="DM715" s="711" t="str">
        <f>VLOOKUP(WWWW[[#This Row],[Site Name]],SiteDB6[[Site Name]:[Type of Accommodation]],10,FALSE)</f>
        <v>Village</v>
      </c>
      <c r="DN715" s="711" t="str">
        <f>VLOOKUP(WWWW[[#This Row],[Site Name]],SiteDB6[[Site Name]:[Ethnic or GCA/NGCA]],11,FALSE)</f>
        <v>GCA</v>
      </c>
      <c r="DO715" s="711">
        <f>VLOOKUP(WWWW[[#This Row],[Site Name]],SiteDB6[[Site Name]:[Lat]],12,FALSE)</f>
        <v>0</v>
      </c>
      <c r="DP715" s="711">
        <f>VLOOKUP(WWWW[[#This Row],[Site Name]],SiteDB6[[Site Name]:[Long]],13,FALSE)</f>
        <v>0</v>
      </c>
      <c r="DQ715" s="711">
        <f>VLOOKUP(WWWW[[#This Row],[Site Name]],SiteDB6[[Site Name]:[Pcode]],3,FALSE)</f>
        <v>0</v>
      </c>
      <c r="DR715" s="709" t="str">
        <f t="shared" si="27"/>
        <v>Covered</v>
      </c>
      <c r="DS715" s="709"/>
    </row>
    <row r="716" spans="1:123">
      <c r="A716" s="701" t="s">
        <v>2519</v>
      </c>
      <c r="B716" s="702" t="s">
        <v>3278</v>
      </c>
      <c r="C716" s="702" t="s">
        <v>3278</v>
      </c>
      <c r="D716" s="702" t="s">
        <v>722</v>
      </c>
      <c r="E716" s="702" t="s">
        <v>716</v>
      </c>
      <c r="F716" s="702" t="s">
        <v>1274</v>
      </c>
      <c r="G716" s="711" t="str">
        <f>VLOOKUP(WWWW[[#This Row],[Site Name]],SiteDB6[[Site Name]:[Location Type]],8,FALSE)</f>
        <v>Village</v>
      </c>
      <c r="H716" s="903" t="s">
        <v>3280</v>
      </c>
      <c r="I716" s="829">
        <v>147</v>
      </c>
      <c r="J716" s="829">
        <v>719</v>
      </c>
      <c r="K716" s="706"/>
      <c r="L716" s="830">
        <v>44196</v>
      </c>
      <c r="M716" s="705"/>
      <c r="N716" s="705"/>
      <c r="O716" s="705"/>
      <c r="P716" s="705"/>
      <c r="Q716" s="708" t="s">
        <v>43</v>
      </c>
      <c r="R716" s="705">
        <v>5</v>
      </c>
      <c r="S716" s="705">
        <v>2</v>
      </c>
      <c r="T716" s="807"/>
      <c r="U716" s="705"/>
      <c r="V716" s="705"/>
      <c r="W716" s="705"/>
      <c r="X716" s="705"/>
      <c r="Y716" s="705"/>
      <c r="Z716" s="705"/>
      <c r="AA716" s="705">
        <v>1</v>
      </c>
      <c r="AB716" s="705"/>
      <c r="AC716" s="705"/>
      <c r="AD716" s="705"/>
      <c r="AE716" s="705">
        <v>0</v>
      </c>
      <c r="AF716" s="705"/>
      <c r="AG716" s="705">
        <v>1</v>
      </c>
      <c r="AH716" s="705">
        <v>1</v>
      </c>
      <c r="AI716" s="705"/>
      <c r="AJ716" s="705"/>
      <c r="AK716" s="705"/>
      <c r="AL716" s="705"/>
      <c r="AM716" s="705"/>
      <c r="AN716" s="705"/>
      <c r="AO716" s="705" t="s">
        <v>3337</v>
      </c>
      <c r="AP716" s="705"/>
      <c r="AQ716" s="705">
        <v>120</v>
      </c>
      <c r="AR716" s="710"/>
      <c r="AS716" s="705"/>
      <c r="AT716" s="705"/>
      <c r="AU716" s="705"/>
      <c r="AV716" s="705"/>
      <c r="AW716" s="705"/>
      <c r="AX716" s="711" t="s">
        <v>144</v>
      </c>
      <c r="AY716" s="709" t="s">
        <v>43</v>
      </c>
      <c r="AZ716" s="705"/>
      <c r="BA716" s="705"/>
      <c r="BB716" s="705"/>
      <c r="BC716" s="711" t="s">
        <v>3339</v>
      </c>
      <c r="BD716" s="705"/>
      <c r="BE716" s="705"/>
      <c r="BF716" s="705">
        <v>120</v>
      </c>
      <c r="BG716" s="705">
        <v>0</v>
      </c>
      <c r="BH716" s="705"/>
      <c r="BI716" s="705">
        <v>5</v>
      </c>
      <c r="BJ716" s="705">
        <v>2</v>
      </c>
      <c r="BK716" s="705"/>
      <c r="BL716" s="705"/>
      <c r="BM716" s="711"/>
      <c r="BN716" s="712"/>
      <c r="BO716" s="710"/>
      <c r="BP716" s="711"/>
      <c r="BQ716" s="713" t="str">
        <f>IFERROR(WWWW[[#This Row],['#_Water sources treated]]/WWWW[[#This Row],['#_Water sources tested for contamination]],"no test")</f>
        <v>no test</v>
      </c>
      <c r="BR716" s="710" t="str">
        <f>IFERROR(WWWW[[#This Row],['#_Household received remediation action due to contamination]]/WWWW[[#This Row],['#_Household water samples tested for contamination]],"no test")</f>
        <v>no test</v>
      </c>
      <c r="BS716" s="712" t="str">
        <f>IF(AND(WWWW[[#This Row],[% of water sources treated]]="no test",WWWW[[#This Row],[% Household received corrective actions]]="no test"),"No Test","Tested")</f>
        <v>No Test</v>
      </c>
      <c r="BT716" s="712">
        <f>WWWW[[#This Row],['#_Constructed/existing protected hand dug well]]-WWWW[[#This Row],['#_Non-functional protected hand dug well]]</f>
        <v>0</v>
      </c>
      <c r="BU716" s="712">
        <f>(WWWW[[#This Row],['#_Constructed/Existing tube wells/boreholes/handpumps_WASH_agency]]+WWWW[[#This Row],['#_Non-Cluster partner water tube-wells/boreholes/handpumps]])-WWWW[[#This Row],['#_Non-functional tube wells/boreholes/handpumps]]</f>
        <v>0</v>
      </c>
      <c r="BV716" s="712">
        <f>WWWW[[#This Row],['#_Constructed/Existingwater storage tank with gravity fed reticulation system]]-WWWW[[#This Row],['#_Non-functional storage tank gravity fed reticulation system]]</f>
        <v>1</v>
      </c>
      <c r="BW716" s="712">
        <f>WWWW[[#This Row],['#_Water boating or water trucking]]</f>
        <v>0</v>
      </c>
      <c r="BX716" s="712">
        <f>WWWW[[#This Row],['#_Constructed/Existing water distribution system from river or natural spring]]</f>
        <v>0</v>
      </c>
      <c r="BY71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9.2721372276309694E-2</v>
      </c>
      <c r="BZ71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9.2721372276309694E-2</v>
      </c>
      <c r="CA716" s="710">
        <f>IF(WWWW[[#This Row],[Location Type 1]]="Village",WWWW[[#This Row],[Access to safe drinking water for Village]],WWWW[[#This Row],[Access to safe drinking water for Camp]])</f>
        <v>9.2721372276309694E-2</v>
      </c>
      <c r="CB716" s="708">
        <f>WWWW[[#This Row],[%Equitable and continuous access to sufficient quantity of safe drinking water]]*WWWW[[#This Row],[Total PoP ]]</f>
        <v>66.666666666666671</v>
      </c>
      <c r="CC716" s="710">
        <f>IF((WWWW[[#This Row],['#_Constructed/Existing protected/fenced ponds]]*250)/WWWW[[#This Row],[Total PoP ]]&gt;1,1,(WWWW[[#This Row],['#_Constructed/Existing protected/fenced ponds]]*250)/WWWW[[#This Row],[Total PoP ]])</f>
        <v>0</v>
      </c>
      <c r="CD716" s="708">
        <f>WWWW[[#This Row],[% Access to unimproved water points]]*WWWW[[#This Row],[Total PoP ]]</f>
        <v>0</v>
      </c>
      <c r="CE71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9.2721372276309694E-2</v>
      </c>
      <c r="CF71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716" s="708">
        <f>WWWW[[#This Row],[HRP1]]/500</f>
        <v>0.13333333333333333</v>
      </c>
      <c r="CH716" s="714">
        <f>1-WWWW[[#This Row],[% Equitable and continuous access to sufficient quantity of domestic water]]</f>
        <v>0.90727862772369028</v>
      </c>
      <c r="CI716" s="708">
        <f>WWWW[[#This Row],[%equitable and continuous access to sufficient quantity of safe drinking and domestic water''s GAP]]*WWWW[[#This Row],[Total PoP ]]</f>
        <v>652.33333333333326</v>
      </c>
      <c r="CJ716" s="712">
        <f>IF(WWWW[[#This Row],[Total required water points]]-WWWW[[#This Row],['#Water points coverage]]&lt;0,0,WWWW[[#This Row],[Total required water points]]-WWWW[[#This Row],['#Water points coverage]])</f>
        <v>0.8666666666666667</v>
      </c>
      <c r="CK716" s="712">
        <f>ROUND(IF(WWWW[[#This Row],[Total PoP ]]&lt;500,1,WWWW[[#This Row],[Total PoP ]]/500),0)</f>
        <v>1</v>
      </c>
      <c r="CL716" s="712">
        <f>(WWWW[[#This Row],['#_Constructed latrines_by_WASHAgencies]]+WWWW[[#This Row],['#_Non Cluster partner latrines]])-WWWW[[#This Row],['#_Non-functional latrines]]</f>
        <v>120</v>
      </c>
      <c r="CM71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1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719</v>
      </c>
      <c r="CO716"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716" s="712" t="str">
        <f>IF(WWWW[[#This Row],[Location Type 1]]="Village","NA",IF(WWWW[[#This Row],['#_Constructed/Existing latrines in TLS]]*50&gt;WWWW[[#This Row],['#_students at TLS_CFS]],WWWW[[#This Row],['#_students at TLS_CFS]],(WWWW[[#This Row],['#_Constructed/Existing latrines in TLS]]*50)))</f>
        <v>NA</v>
      </c>
      <c r="CQ716" s="712">
        <f>ROUND(IF(WWWW[[#This Row],[Location Type 1]]="camp",WWWW[[#This Row],[Total PoP ]]/20,IF(WWWW[[#This Row],[Location Type 1]]="Temporary Location",WWWW[[#This Row],[Total PoP ]]/50,(WWWW[[#This Row],[Total PoP ]]/6))),0)</f>
        <v>120</v>
      </c>
      <c r="CR716" s="712">
        <f>IF(WWWW[[#This Row],[Total required Latrines]]-(WWWW[[#This Row],['#_Constructed latrines_by_WASHAgencies]]+WWWW[[#This Row],['#_Non Cluster partner latrines]])&lt;0,0,WWWW[[#This Row],[Total required Latrines]]-(WWWW[[#This Row],['#_Constructed latrines_by_WASHAgencies]]+WWWW[[#This Row],['#_Non Cluster partner latrines]]))</f>
        <v>0</v>
      </c>
      <c r="CS716" s="714">
        <f>1-WWWW[[#This Row],[% people access to functioning Latrine]]</f>
        <v>0</v>
      </c>
      <c r="CT716" s="713">
        <f>IF(OR(WWWW[[#This Row],['#_Non-functional latrines]]="",WWWW[[#This Row],['#_Non-functional latrines]]=0),0,WWWW[[#This Row],['#_Non-functional latrines]]/(WWWW[[#This Row],['#_Constructed latrines_by_WASHAgencies]]+WWWW[[#This Row],['#_Non Cluster partner latrines]]))</f>
        <v>0</v>
      </c>
      <c r="CU716" s="708">
        <f>IF(500*(WWWW[[#This Row],['#_male hygiene promoters]]+WWWW[[#This Row],['#_female hygiene promoters]])&gt;WWWW[[#This Row],[Total PoP ]],WWWW[[#This Row],[Total PoP ]],500*(WWWW[[#This Row],['#_male hygiene promoters]]+WWWW[[#This Row],['#_female hygiene promoters]]))</f>
        <v>719</v>
      </c>
      <c r="CV71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1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16" s="712">
        <f>IF(WWWW[[#This Row],['# People with access to soap]]&gt;WWWW[[#This Row],['# People with access to Sanity Pads]],WWWW[[#This Row],['# People with access to soap]],WWWW[[#This Row],['# People with access to Sanity Pads]])</f>
        <v>0</v>
      </c>
      <c r="CY716" s="712">
        <f>IF(WWWW[[#This Row],['# people reached by regular dedicated hygiene promotion_5]]&gt;WWWW[[#This Row],['# People received regular supply of hygiene items_6]],WWWW[[#This Row],['# people reached by regular dedicated hygiene promotion_5]],WWWW[[#This Row],['# People received regular supply of hygiene items_6]])</f>
        <v>719</v>
      </c>
      <c r="CZ716" s="714">
        <f>IF(WWWW[[#This Row],[HRP3]]/WWWW[[#This Row],[Total PoP ]]&gt;100%,100%,WWWW[[#This Row],[HRP3]]/WWWW[[#This Row],[Total PoP ]])</f>
        <v>1</v>
      </c>
      <c r="DA716" s="713">
        <f>1-WWWW[[#This Row],[Hygiene Coverage%]]</f>
        <v>0</v>
      </c>
      <c r="DB716" s="710">
        <f>WWWW[[#This Row],['# people reached by regular dedicated hygiene promotion_5]]/WWWW[[#This Row],[Total PoP ]]</f>
        <v>1</v>
      </c>
      <c r="DC716" s="710">
        <f>IF(WWWW[[#This Row],['#_households that received standard amount of soap for this quarter]]/WWWW[[#This Row],[Total HH]]&gt;1,1,WWWW[[#This Row],['#_households that received standard amount of soap for this quarter]]/WWWW[[#This Row],[Total HH]])</f>
        <v>0</v>
      </c>
      <c r="DD716" s="710">
        <f>IF(WWWW[[#This Row],['#_households that received standard amount of sanitary pads for this quarter]]/WWWW[[#This Row],[Total HH]]&gt;1,1,WWWW[[#This Row],['#_households that received standard amount of sanitary pads for this quarter]]/WWWW[[#This Row],[Total HH]])</f>
        <v>0</v>
      </c>
      <c r="DE716" s="712">
        <f>WWWW[[#This Row],['#_Constructed/Existing hand washing stations]]-WWWW[[#This Row],['#_Non-Functional_hand_washing_stations]]</f>
        <v>0</v>
      </c>
      <c r="DF716" s="757">
        <f>IF(WWWW[[#This Row],['# Functional hand washing stations during reporting period]]*20&gt;WWWW[[#This Row],[Total HH]],WWWW[[#This Row],[Total HH]],WWWW[[#This Row],['# Functional hand washing stations during reporting period]]*20)</f>
        <v>0</v>
      </c>
      <c r="DG716" s="708">
        <f>IF(WWWW[[#This Row],[Is sufficient soap available for TLS? (Yes/No)]]="yes",WWWW[[#This Row],['#_Constructed/Existing hand washing stations at TLS]],0)</f>
        <v>0</v>
      </c>
      <c r="DH716" s="759">
        <f>IF(WWWW[[#This Row],['# Functional hand washing stations during reporting period]]*100&gt;WWWW[[#This Row],[Total PoP ]],WWWW[[#This Row],[Total PoP ]],WWWW[[#This Row],['# Functional hand washing stations during reporting period]]*100)</f>
        <v>0</v>
      </c>
      <c r="DI716" s="759" t="str">
        <f>IF(OR(WWWW[[#This Row],['#_students at TLS_CFS]]="",WWWW[[#This Row],['#_students at TLS_CFS]]=0),"No","Yes")</f>
        <v>No</v>
      </c>
      <c r="DJ716" s="711">
        <f>VLOOKUP(WWWW[[#This Row],[Site Name]],SiteDB6[[Site Name]:[CCCM Management]],6,FALSE)</f>
        <v>0</v>
      </c>
      <c r="DK716" s="711">
        <f>VLOOKUP(WWWW[[#This Row],[Site Name]],SiteDB6[[Site Name]:[CCCM Focal Agency]],7,FALSE)</f>
        <v>0</v>
      </c>
      <c r="DL716" s="711" t="str">
        <f>VLOOKUP(WWWW[[#This Row],[Site Name]],SiteDB6[[Site Name]:[Location Type 1]],9,FALSE)</f>
        <v>Village</v>
      </c>
      <c r="DM716" s="711" t="str">
        <f>VLOOKUP(WWWW[[#This Row],[Site Name]],SiteDB6[[Site Name]:[Type of Accommodation]],10,FALSE)</f>
        <v>Village</v>
      </c>
      <c r="DN716" s="711" t="str">
        <f>VLOOKUP(WWWW[[#This Row],[Site Name]],SiteDB6[[Site Name]:[Ethnic or GCA/NGCA]],11,FALSE)</f>
        <v>GCA</v>
      </c>
      <c r="DO716" s="711">
        <f>VLOOKUP(WWWW[[#This Row],[Site Name]],SiteDB6[[Site Name]:[Lat]],12,FALSE)</f>
        <v>0</v>
      </c>
      <c r="DP716" s="711">
        <f>VLOOKUP(WWWW[[#This Row],[Site Name]],SiteDB6[[Site Name]:[Long]],13,FALSE)</f>
        <v>0</v>
      </c>
      <c r="DQ716" s="711">
        <f>VLOOKUP(WWWW[[#This Row],[Site Name]],SiteDB6[[Site Name]:[Pcode]],3,FALSE)</f>
        <v>0</v>
      </c>
      <c r="DR716" s="709" t="str">
        <f t="shared" si="27"/>
        <v>Covered</v>
      </c>
      <c r="DS716" s="709"/>
    </row>
    <row r="717" spans="1:123">
      <c r="A717" s="701" t="s">
        <v>2519</v>
      </c>
      <c r="B717" s="808" t="s">
        <v>200</v>
      </c>
      <c r="C717" s="584" t="s">
        <v>200</v>
      </c>
      <c r="D717" s="584" t="s">
        <v>249</v>
      </c>
      <c r="E717" s="702" t="s">
        <v>716</v>
      </c>
      <c r="F717" s="702" t="s">
        <v>737</v>
      </c>
      <c r="G717" s="711" t="str">
        <f>VLOOKUP(WWWW[[#This Row],[Site Name]],SiteDB6[[Site Name]:[Location Type]],8,FALSE)</f>
        <v>Camp_not registered</v>
      </c>
      <c r="H717" s="702" t="s">
        <v>1120</v>
      </c>
      <c r="I717" s="705">
        <v>28</v>
      </c>
      <c r="J717" s="705">
        <v>137</v>
      </c>
      <c r="K717" s="706">
        <v>43497</v>
      </c>
      <c r="L717" s="707">
        <v>43861</v>
      </c>
      <c r="M717" s="705">
        <v>31</v>
      </c>
      <c r="N717" s="705"/>
      <c r="O717" s="705"/>
      <c r="P717" s="705"/>
      <c r="Q717" s="708"/>
      <c r="R717" s="705"/>
      <c r="S717" s="705"/>
      <c r="T717" s="807"/>
      <c r="U717" s="705"/>
      <c r="V717" s="705"/>
      <c r="W717" s="705"/>
      <c r="X717" s="705"/>
      <c r="Y717" s="705"/>
      <c r="Z717" s="705"/>
      <c r="AA717" s="705"/>
      <c r="AB717" s="705"/>
      <c r="AC717" s="705"/>
      <c r="AD717" s="705"/>
      <c r="AE717" s="705"/>
      <c r="AF717" s="705"/>
      <c r="AG717" s="705"/>
      <c r="AH717" s="705"/>
      <c r="AI717" s="705"/>
      <c r="AJ717" s="705"/>
      <c r="AK717" s="705"/>
      <c r="AL717" s="705"/>
      <c r="AM717" s="705"/>
      <c r="AN717" s="705"/>
      <c r="AO717" s="705"/>
      <c r="AP717" s="705"/>
      <c r="AQ717" s="705">
        <v>4</v>
      </c>
      <c r="AR717" s="710"/>
      <c r="AS717" s="705">
        <v>4</v>
      </c>
      <c r="AT717" s="705"/>
      <c r="AU717" s="705"/>
      <c r="AV717" s="705"/>
      <c r="AW717" s="705"/>
      <c r="AX717" s="752" t="s">
        <v>144</v>
      </c>
      <c r="AY717" s="782" t="s">
        <v>1200</v>
      </c>
      <c r="AZ717" s="705"/>
      <c r="BA717" s="705"/>
      <c r="BB717" s="705"/>
      <c r="BC717" s="711"/>
      <c r="BD717" s="705"/>
      <c r="BE717" s="705"/>
      <c r="BF717" s="705"/>
      <c r="BG717" s="705"/>
      <c r="BH717" s="705"/>
      <c r="BI717" s="705"/>
      <c r="BJ717" s="705">
        <v>1</v>
      </c>
      <c r="BK717" s="705">
        <v>28</v>
      </c>
      <c r="BL717" s="705">
        <v>28</v>
      </c>
      <c r="BM717" s="711"/>
      <c r="BN717" s="712"/>
      <c r="BO717" s="710"/>
      <c r="BP717" s="711"/>
      <c r="BQ717" s="713" t="str">
        <f>IFERROR(WWWW[[#This Row],['#_Water sources treated]]/WWWW[[#This Row],['#_Water sources tested for contamination]],"no test")</f>
        <v>no test</v>
      </c>
      <c r="BR717" s="710" t="str">
        <f>IFERROR(WWWW[[#This Row],['#_Household received remediation action due to contamination]]/WWWW[[#This Row],['#_Household water samples tested for contamination]],"no test")</f>
        <v>no test</v>
      </c>
      <c r="BS717" s="712" t="str">
        <f>IF(AND(WWWW[[#This Row],[% of water sources treated]]="no test",WWWW[[#This Row],[% Household received corrective actions]]="no test"),"No Test","Tested")</f>
        <v>No Test</v>
      </c>
      <c r="BT717" s="712">
        <f>WWWW[[#This Row],['#_Constructed/existing protected hand dug well]]-WWWW[[#This Row],['#_Non-functional protected hand dug well]]</f>
        <v>0</v>
      </c>
      <c r="BU717" s="712">
        <f>(WWWW[[#This Row],['#_Constructed/Existing tube wells/boreholes/handpumps_WASH_agency]]+WWWW[[#This Row],['#_Non-Cluster partner water tube-wells/boreholes/handpumps]])-WWWW[[#This Row],['#_Non-functional tube wells/boreholes/handpumps]]</f>
        <v>0</v>
      </c>
      <c r="BV717" s="712">
        <f>WWWW[[#This Row],['#_Constructed/Existingwater storage tank with gravity fed reticulation system]]-WWWW[[#This Row],['#_Non-functional storage tank gravity fed reticulation system]]</f>
        <v>0</v>
      </c>
      <c r="BW717" s="712">
        <f>WWWW[[#This Row],['#_Water boating or water trucking]]</f>
        <v>0</v>
      </c>
      <c r="BX717" s="712">
        <f>WWWW[[#This Row],['#_Constructed/Existing water distribution system from river or natural spring]]</f>
        <v>0</v>
      </c>
      <c r="BY71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1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17" s="710">
        <f>IF(WWWW[[#This Row],[Location Type 1]]="Village",WWWW[[#This Row],[Access to safe drinking water for Village]],WWWW[[#This Row],[Access to safe drinking water for Camp]])</f>
        <v>0</v>
      </c>
      <c r="CB717" s="708">
        <f>WWWW[[#This Row],[%Equitable and continuous access to sufficient quantity of safe drinking water]]*WWWW[[#This Row],[Total PoP ]]</f>
        <v>0</v>
      </c>
      <c r="CC717" s="710">
        <f>IF((WWWW[[#This Row],['#_Constructed/Existing protected/fenced ponds]]*250)/WWWW[[#This Row],[Total PoP ]]&gt;1,1,(WWWW[[#This Row],['#_Constructed/Existing protected/fenced ponds]]*250)/WWWW[[#This Row],[Total PoP ]])</f>
        <v>0</v>
      </c>
      <c r="CD717" s="708">
        <f>WWWW[[#This Row],[% Access to unimproved water points]]*WWWW[[#This Row],[Total PoP ]]</f>
        <v>0</v>
      </c>
      <c r="CE71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1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17" s="708">
        <f>WWWW[[#This Row],[HRP1]]/500</f>
        <v>0</v>
      </c>
      <c r="CH717" s="714">
        <f>1-WWWW[[#This Row],[% Equitable and continuous access to sufficient quantity of domestic water]]</f>
        <v>1</v>
      </c>
      <c r="CI717" s="708">
        <f>WWWW[[#This Row],[%equitable and continuous access to sufficient quantity of safe drinking and domestic water''s GAP]]*WWWW[[#This Row],[Total PoP ]]</f>
        <v>137</v>
      </c>
      <c r="CJ717" s="712">
        <f>IF(WWWW[[#This Row],[Total required water points]]-WWWW[[#This Row],['#Water points coverage]]&lt;0,0,WWWW[[#This Row],[Total required water points]]-WWWW[[#This Row],['#Water points coverage]])</f>
        <v>1</v>
      </c>
      <c r="CK717" s="712">
        <f>ROUND(IF(WWWW[[#This Row],[Total PoP ]]&lt;500,1,WWWW[[#This Row],[Total PoP ]]/500),0)</f>
        <v>1</v>
      </c>
      <c r="CL717" s="712">
        <f>(WWWW[[#This Row],['#_Constructed latrines_by_WASHAgencies]]+WWWW[[#This Row],['#_Non Cluster partner latrines]])-WWWW[[#This Row],['#_Non-functional latrines]]</f>
        <v>0</v>
      </c>
      <c r="CM71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1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1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7" s="712">
        <f>IF(WWWW[[#This Row],[Location Type 1]]="Village","NA",IF(WWWW[[#This Row],['#_Constructed/Existing latrines in TLS]]*50&gt;WWWW[[#This Row],['#_students at TLS_CFS]],WWWW[[#This Row],['#_students at TLS_CFS]],(WWWW[[#This Row],['#_Constructed/Existing latrines in TLS]]*50)))</f>
        <v>0</v>
      </c>
      <c r="CQ717" s="712">
        <f>ROUND(IF(WWWW[[#This Row],[Location Type 1]]="camp",WWWW[[#This Row],[Total PoP ]]/20,IF(WWWW[[#This Row],[Location Type 1]]="Temporary Location",WWWW[[#This Row],[Total PoP ]]/50,(WWWW[[#This Row],[Total PoP ]]/6))),0)</f>
        <v>7</v>
      </c>
      <c r="CR717" s="712">
        <f>IF(WWWW[[#This Row],[Total required Latrines]]-(WWWW[[#This Row],['#_Constructed latrines_by_WASHAgencies]]+WWWW[[#This Row],['#_Non Cluster partner latrines]])&lt;0,0,WWWW[[#This Row],[Total required Latrines]]-(WWWW[[#This Row],['#_Constructed latrines_by_WASHAgencies]]+WWWW[[#This Row],['#_Non Cluster partner latrines]]))</f>
        <v>3</v>
      </c>
      <c r="CS717" s="714">
        <f>1-WWWW[[#This Row],[% people access to functioning Latrine]]</f>
        <v>1</v>
      </c>
      <c r="CT717" s="713">
        <f>IF(OR(WWWW[[#This Row],['#_Non-functional latrines]]="",WWWW[[#This Row],['#_Non-functional latrines]]=0),0,WWWW[[#This Row],['#_Non-functional latrines]]/(WWWW[[#This Row],['#_Constructed latrines_by_WASHAgencies]]+WWWW[[#This Row],['#_Non Cluster partner latrines]]))</f>
        <v>1</v>
      </c>
      <c r="CU717" s="708">
        <f>IF(500*(WWWW[[#This Row],['#_male hygiene promoters]]+WWWW[[#This Row],['#_female hygiene promoters]])&gt;WWWW[[#This Row],[Total PoP ]],WWWW[[#This Row],[Total PoP ]],500*(WWWW[[#This Row],['#_male hygiene promoters]]+WWWW[[#This Row],['#_female hygiene promoters]]))</f>
        <v>137</v>
      </c>
      <c r="CV71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137</v>
      </c>
      <c r="CW71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137</v>
      </c>
      <c r="CX717" s="712">
        <f>IF(WWWW[[#This Row],['# People with access to soap]]&gt;WWWW[[#This Row],['# People with access to Sanity Pads]],WWWW[[#This Row],['# People with access to soap]],WWWW[[#This Row],['# People with access to Sanity Pads]])</f>
        <v>137</v>
      </c>
      <c r="CY717" s="712">
        <f>IF(WWWW[[#This Row],['# people reached by regular dedicated hygiene promotion_5]]&gt;WWWW[[#This Row],['# People received regular supply of hygiene items_6]],WWWW[[#This Row],['# people reached by regular dedicated hygiene promotion_5]],WWWW[[#This Row],['# People received regular supply of hygiene items_6]])</f>
        <v>137</v>
      </c>
      <c r="CZ717" s="714">
        <f>IF(WWWW[[#This Row],[HRP3]]/WWWW[[#This Row],[Total PoP ]]&gt;100%,100%,WWWW[[#This Row],[HRP3]]/WWWW[[#This Row],[Total PoP ]])</f>
        <v>1</v>
      </c>
      <c r="DA717" s="713">
        <f>1-WWWW[[#This Row],[Hygiene Coverage%]]</f>
        <v>0</v>
      </c>
      <c r="DB717" s="710">
        <f>WWWW[[#This Row],['# people reached by regular dedicated hygiene promotion_5]]/WWWW[[#This Row],[Total PoP ]]</f>
        <v>1</v>
      </c>
      <c r="DC717" s="710">
        <f>IF(WWWW[[#This Row],['#_households that received standard amount of soap for this quarter]]/WWWW[[#This Row],[Total HH]]&gt;1,1,WWWW[[#This Row],['#_households that received standard amount of soap for this quarter]]/WWWW[[#This Row],[Total HH]])</f>
        <v>1</v>
      </c>
      <c r="DD717" s="710">
        <f>IF(WWWW[[#This Row],['#_households that received standard amount of sanitary pads for this quarter]]/WWWW[[#This Row],[Total HH]]&gt;1,1,WWWW[[#This Row],['#_households that received standard amount of sanitary pads for this quarter]]/WWWW[[#This Row],[Total HH]])</f>
        <v>1</v>
      </c>
      <c r="DE717" s="712">
        <f>WWWW[[#This Row],['#_Constructed/Existing hand washing stations]]-WWWW[[#This Row],['#_Non-Functional_hand_washing_stations]]</f>
        <v>0</v>
      </c>
      <c r="DF717" s="757">
        <f>IF(WWWW[[#This Row],['# Functional hand washing stations during reporting period]]*20&gt;WWWW[[#This Row],[Total HH]],WWWW[[#This Row],[Total HH]],WWWW[[#This Row],['# Functional hand washing stations during reporting period]]*20)</f>
        <v>0</v>
      </c>
      <c r="DG717" s="708">
        <f>IF(WWWW[[#This Row],[Is sufficient soap available for TLS? (Yes/No)]]="yes",WWWW[[#This Row],['#_Constructed/Existing hand washing stations at TLS]],0)</f>
        <v>0</v>
      </c>
      <c r="DH717" s="759">
        <f>IF(WWWW[[#This Row],['# Functional hand washing stations during reporting period]]*100&gt;WWWW[[#This Row],[Total PoP ]],WWWW[[#This Row],[Total PoP ]],WWWW[[#This Row],['# Functional hand washing stations during reporting period]]*100)</f>
        <v>0</v>
      </c>
      <c r="DI717" s="759" t="str">
        <f>IF(OR(WWWW[[#This Row],['#_students at TLS_CFS]]="",WWWW[[#This Row],['#_students at TLS_CFS]]=0),"No","Yes")</f>
        <v>Yes</v>
      </c>
      <c r="DJ717" s="711">
        <f>VLOOKUP(WWWW[[#This Row],[Site Name]],SiteDB6[[Site Name]:[CCCM Management]],6,FALSE)</f>
        <v>0</v>
      </c>
      <c r="DK717" s="711">
        <f>VLOOKUP(WWWW[[#This Row],[Site Name]],SiteDB6[[Site Name]:[CCCM Focal Agency]],7,FALSE)</f>
        <v>0</v>
      </c>
      <c r="DL717" s="711" t="str">
        <f>VLOOKUP(WWWW[[#This Row],[Site Name]],SiteDB6[[Site Name]:[Location Type 1]],9,FALSE)</f>
        <v>Camp</v>
      </c>
      <c r="DM717" s="711" t="str">
        <f>VLOOKUP(WWWW[[#This Row],[Site Name]],SiteDB6[[Site Name]:[Type of Accommodation]],10,FALSE)</f>
        <v>Camp</v>
      </c>
      <c r="DN717" s="711" t="str">
        <f>VLOOKUP(WWWW[[#This Row],[Site Name]],SiteDB6[[Site Name]:[Ethnic or GCA/NGCA]],11,FALSE)</f>
        <v>GCA</v>
      </c>
      <c r="DO717" s="711">
        <f>VLOOKUP(WWWW[[#This Row],[Site Name]],SiteDB6[[Site Name]:[Lat]],12,FALSE)</f>
        <v>0</v>
      </c>
      <c r="DP717" s="711">
        <f>VLOOKUP(WWWW[[#This Row],[Site Name]],SiteDB6[[Site Name]:[Long]],13,FALSE)</f>
        <v>0</v>
      </c>
      <c r="DQ717" s="711">
        <f>VLOOKUP(WWWW[[#This Row],[Site Name]],SiteDB6[[Site Name]:[Pcode]],3,FALSE)</f>
        <v>0</v>
      </c>
      <c r="DR717" s="709" t="str">
        <f t="shared" si="27"/>
        <v>Covered</v>
      </c>
      <c r="DS717" s="709"/>
    </row>
    <row r="718" spans="1:123">
      <c r="A718" s="701" t="s">
        <v>2519</v>
      </c>
      <c r="B718" s="808" t="s">
        <v>305</v>
      </c>
      <c r="C718" s="808" t="s">
        <v>305</v>
      </c>
      <c r="D718" s="584" t="s">
        <v>307</v>
      </c>
      <c r="E718" s="702" t="s">
        <v>716</v>
      </c>
      <c r="F718" s="702" t="s">
        <v>737</v>
      </c>
      <c r="G718" s="711" t="str">
        <f>VLOOKUP(WWWW[[#This Row],[Site Name]],SiteDB6[[Site Name]:[Location Type]],8,FALSE)</f>
        <v>Camp</v>
      </c>
      <c r="H718" s="702" t="s">
        <v>745</v>
      </c>
      <c r="I718" s="705">
        <v>28</v>
      </c>
      <c r="J718" s="705">
        <v>146</v>
      </c>
      <c r="K718" s="706">
        <v>43497</v>
      </c>
      <c r="L718" s="707">
        <v>43861</v>
      </c>
      <c r="M718" s="705">
        <v>36</v>
      </c>
      <c r="N718" s="705"/>
      <c r="O718" s="705"/>
      <c r="P718" s="705"/>
      <c r="Q718" s="708" t="s">
        <v>43</v>
      </c>
      <c r="R718" s="705">
        <v>3</v>
      </c>
      <c r="S718" s="705">
        <v>3</v>
      </c>
      <c r="T718" s="807"/>
      <c r="U718" s="705"/>
      <c r="V718" s="705"/>
      <c r="W718" s="705"/>
      <c r="X718" s="705"/>
      <c r="Y718" s="705"/>
      <c r="Z718" s="705"/>
      <c r="AA718" s="705">
        <v>49</v>
      </c>
      <c r="AB718" s="705"/>
      <c r="AC718" s="705"/>
      <c r="AD718" s="705"/>
      <c r="AE718" s="705"/>
      <c r="AF718" s="733">
        <v>1</v>
      </c>
      <c r="AG718" s="705">
        <v>1</v>
      </c>
      <c r="AH718" s="705"/>
      <c r="AI718" s="705">
        <v>1</v>
      </c>
      <c r="AJ718" s="705"/>
      <c r="AK718" s="705">
        <v>15</v>
      </c>
      <c r="AL718" s="705"/>
      <c r="AM718" s="705"/>
      <c r="AN718" s="705"/>
      <c r="AO718" s="705"/>
      <c r="AP718" s="705">
        <v>12</v>
      </c>
      <c r="AQ718" s="705"/>
      <c r="AR718" s="710"/>
      <c r="AS718" s="705"/>
      <c r="AT718" s="705"/>
      <c r="AU718" s="705"/>
      <c r="AV718" s="705"/>
      <c r="AW718" s="705"/>
      <c r="AX718" s="711" t="s">
        <v>43</v>
      </c>
      <c r="AY718" s="709" t="s">
        <v>145</v>
      </c>
      <c r="AZ718" s="705"/>
      <c r="BA718" s="705"/>
      <c r="BB718" s="705"/>
      <c r="BC718" s="711"/>
      <c r="BD718" s="807">
        <v>11</v>
      </c>
      <c r="BE718" s="807">
        <v>11</v>
      </c>
      <c r="BF718" s="705"/>
      <c r="BG718" s="705">
        <v>2</v>
      </c>
      <c r="BH718" s="705">
        <v>1</v>
      </c>
      <c r="BI718" s="705"/>
      <c r="BJ718" s="705">
        <v>1</v>
      </c>
      <c r="BK718" s="705">
        <v>22</v>
      </c>
      <c r="BL718" s="705"/>
      <c r="BM718" s="711"/>
      <c r="BN718" s="712"/>
      <c r="BO718" s="710">
        <v>0.5</v>
      </c>
      <c r="BP718" s="711"/>
      <c r="BQ718" s="713">
        <f>IFERROR(WWWW[[#This Row],['#_Water sources treated]]/WWWW[[#This Row],['#_Water sources tested for contamination]],"no test")</f>
        <v>0</v>
      </c>
      <c r="BR718" s="710">
        <f>IFERROR(WWWW[[#This Row],['#_Household received remediation action due to contamination]]/WWWW[[#This Row],['#_Household water samples tested for contamination]],"no test")</f>
        <v>0</v>
      </c>
      <c r="BS718" s="712" t="str">
        <f>IF(AND(WWWW[[#This Row],[% of water sources treated]]="no test",WWWW[[#This Row],[% Household received corrective actions]]="no test"),"No Test","Tested")</f>
        <v>Tested</v>
      </c>
      <c r="BT718" s="712">
        <f>WWWW[[#This Row],['#_Constructed/existing protected hand dug well]]-WWWW[[#This Row],['#_Non-functional protected hand dug well]]</f>
        <v>0</v>
      </c>
      <c r="BU718" s="712">
        <f>(WWWW[[#This Row],['#_Constructed/Existing tube wells/boreholes/handpumps_WASH_agency]]+WWWW[[#This Row],['#_Non-Cluster partner water tube-wells/boreholes/handpumps]])-WWWW[[#This Row],['#_Non-functional tube wells/boreholes/handpumps]]</f>
        <v>0</v>
      </c>
      <c r="BV718" s="712">
        <f>WWWW[[#This Row],['#_Constructed/Existingwater storage tank with gravity fed reticulation system]]-WWWW[[#This Row],['#_Non-functional storage tank gravity fed reticulation system]]</f>
        <v>49</v>
      </c>
      <c r="BW718" s="712">
        <f>WWWW[[#This Row],['#_Water boating or water trucking]]</f>
        <v>0</v>
      </c>
      <c r="BX718" s="712">
        <f>WWWW[[#This Row],['#_Constructed/Existing water distribution system from river or natural spring]]</f>
        <v>1</v>
      </c>
      <c r="BY71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1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18" s="710">
        <f>IF(WWWW[[#This Row],[Location Type 1]]="Village",WWWW[[#This Row],[Access to safe drinking water for Village]],WWWW[[#This Row],[Access to safe drinking water for Camp]])</f>
        <v>1</v>
      </c>
      <c r="CB718" s="708">
        <f>WWWW[[#This Row],[%Equitable and continuous access to sufficient quantity of safe drinking water]]*WWWW[[#This Row],[Total PoP ]]</f>
        <v>146</v>
      </c>
      <c r="CC718" s="710">
        <f>IF((WWWW[[#This Row],['#_Constructed/Existing protected/fenced ponds]]*250)/WWWW[[#This Row],[Total PoP ]]&gt;1,1,(WWWW[[#This Row],['#_Constructed/Existing protected/fenced ponds]]*250)/WWWW[[#This Row],[Total PoP ]])</f>
        <v>0</v>
      </c>
      <c r="CD718" s="708">
        <f>WWWW[[#This Row],[% Access to unimproved water points]]*WWWW[[#This Row],[Total PoP ]]</f>
        <v>0</v>
      </c>
      <c r="CE71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1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v>
      </c>
      <c r="CG718" s="708">
        <f>WWWW[[#This Row],[HRP1]]/500</f>
        <v>0.29199999999999998</v>
      </c>
      <c r="CH718" s="714">
        <f>1-WWWW[[#This Row],[% Equitable and continuous access to sufficient quantity of domestic water]]</f>
        <v>0</v>
      </c>
      <c r="CI718" s="708">
        <f>WWWW[[#This Row],[%equitable and continuous access to sufficient quantity of safe drinking and domestic water''s GAP]]*WWWW[[#This Row],[Total PoP ]]</f>
        <v>0</v>
      </c>
      <c r="CJ718" s="712">
        <f>IF(WWWW[[#This Row],[Total required water points]]-WWWW[[#This Row],['#Water points coverage]]&lt;0,0,WWWW[[#This Row],[Total required water points]]-WWWW[[#This Row],['#Water points coverage]])</f>
        <v>0.70799999999999996</v>
      </c>
      <c r="CK718" s="712">
        <f>ROUND(IF(WWWW[[#This Row],[Total PoP ]]&lt;500,1,WWWW[[#This Row],[Total PoP ]]/500),0)</f>
        <v>1</v>
      </c>
      <c r="CL718" s="712">
        <f>(WWWW[[#This Row],['#_Constructed latrines_by_WASHAgencies]]+WWWW[[#This Row],['#_Non Cluster partner latrines]])-WWWW[[#This Row],['#_Non-functional latrines]]</f>
        <v>12</v>
      </c>
      <c r="CM71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1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146</v>
      </c>
      <c r="CO71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8" s="712">
        <f>IF(WWWW[[#This Row],[Location Type 1]]="Village","NA",IF(WWWW[[#This Row],['#_Constructed/Existing latrines in TLS]]*50&gt;WWWW[[#This Row],['#_students at TLS_CFS]],WWWW[[#This Row],['#_students at TLS_CFS]],(WWWW[[#This Row],['#_Constructed/Existing latrines in TLS]]*50)))</f>
        <v>0</v>
      </c>
      <c r="CQ718" s="712">
        <f>ROUND(IF(WWWW[[#This Row],[Location Type 1]]="camp",WWWW[[#This Row],[Total PoP ]]/20,IF(WWWW[[#This Row],[Location Type 1]]="Temporary Location",WWWW[[#This Row],[Total PoP ]]/50,(WWWW[[#This Row],[Total PoP ]]/6))),0)</f>
        <v>7</v>
      </c>
      <c r="CR718" s="712">
        <f>IF(WWWW[[#This Row],[Total required Latrines]]-(WWWW[[#This Row],['#_Constructed latrines_by_WASHAgencies]]+WWWW[[#This Row],['#_Non Cluster partner latrines]])&lt;0,0,WWWW[[#This Row],[Total required Latrines]]-(WWWW[[#This Row],['#_Constructed latrines_by_WASHAgencies]]+WWWW[[#This Row],['#_Non Cluster partner latrines]]))</f>
        <v>0</v>
      </c>
      <c r="CS718" s="714">
        <f>1-WWWW[[#This Row],[% people access to functioning Latrine]]</f>
        <v>0</v>
      </c>
      <c r="CT718" s="713">
        <f>IF(OR(WWWW[[#This Row],['#_Non-functional latrines]]="",WWWW[[#This Row],['#_Non-functional latrines]]=0),0,WWWW[[#This Row],['#_Non-functional latrines]]/(WWWW[[#This Row],['#_Constructed latrines_by_WASHAgencies]]+WWWW[[#This Row],['#_Non Cluster partner latrines]]))</f>
        <v>0</v>
      </c>
      <c r="CU718" s="708">
        <f>IF(500*(WWWW[[#This Row],['#_male hygiene promoters]]+WWWW[[#This Row],['#_female hygiene promoters]])&gt;WWWW[[#This Row],[Total PoP ]],WWWW[[#This Row],[Total PoP ]],500*(WWWW[[#This Row],['#_male hygiene promoters]]+WWWW[[#This Row],['#_female hygiene promoters]]))</f>
        <v>146</v>
      </c>
      <c r="CV71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110</v>
      </c>
      <c r="CW71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18" s="712">
        <f>IF(WWWW[[#This Row],['# People with access to soap]]&gt;WWWW[[#This Row],['# People with access to Sanity Pads]],WWWW[[#This Row],['# People with access to soap]],WWWW[[#This Row],['# People with access to Sanity Pads]])</f>
        <v>110</v>
      </c>
      <c r="CY718" s="712">
        <f>IF(WWWW[[#This Row],['# people reached by regular dedicated hygiene promotion_5]]&gt;WWWW[[#This Row],['# People received regular supply of hygiene items_6]],WWWW[[#This Row],['# people reached by regular dedicated hygiene promotion_5]],WWWW[[#This Row],['# People received regular supply of hygiene items_6]])</f>
        <v>146</v>
      </c>
      <c r="CZ718" s="714">
        <f>IF(WWWW[[#This Row],[HRP3]]/WWWW[[#This Row],[Total PoP ]]&gt;100%,100%,WWWW[[#This Row],[HRP3]]/WWWW[[#This Row],[Total PoP ]])</f>
        <v>1</v>
      </c>
      <c r="DA718" s="713">
        <f>1-WWWW[[#This Row],[Hygiene Coverage%]]</f>
        <v>0</v>
      </c>
      <c r="DB718" s="710">
        <f>WWWW[[#This Row],['# people reached by regular dedicated hygiene promotion_5]]/WWWW[[#This Row],[Total PoP ]]</f>
        <v>1</v>
      </c>
      <c r="DC718" s="710">
        <f>IF(WWWW[[#This Row],['#_households that received standard amount of soap for this quarter]]/WWWW[[#This Row],[Total HH]]&gt;1,1,WWWW[[#This Row],['#_households that received standard amount of soap for this quarter]]/WWWW[[#This Row],[Total HH]])</f>
        <v>0.7857142857142857</v>
      </c>
      <c r="DD718" s="710">
        <f>IF(WWWW[[#This Row],['#_households that received standard amount of sanitary pads for this quarter]]/WWWW[[#This Row],[Total HH]]&gt;1,1,WWWW[[#This Row],['#_households that received standard amount of sanitary pads for this quarter]]/WWWW[[#This Row],[Total HH]])</f>
        <v>0</v>
      </c>
      <c r="DE718" s="712">
        <f>WWWW[[#This Row],['#_Constructed/Existing hand washing stations]]-WWWW[[#This Row],['#_Non-Functional_hand_washing_stations]]</f>
        <v>0</v>
      </c>
      <c r="DF718" s="757">
        <f>IF(WWWW[[#This Row],['# Functional hand washing stations during reporting period]]*20&gt;WWWW[[#This Row],[Total HH]],WWWW[[#This Row],[Total HH]],WWWW[[#This Row],['# Functional hand washing stations during reporting period]]*20)</f>
        <v>0</v>
      </c>
      <c r="DG718" s="708">
        <f>IF(WWWW[[#This Row],[Is sufficient soap available for TLS? (Yes/No)]]="yes",WWWW[[#This Row],['#_Constructed/Existing hand washing stations at TLS]],0)</f>
        <v>0</v>
      </c>
      <c r="DH718" s="759">
        <f>IF(WWWW[[#This Row],['# Functional hand washing stations during reporting period]]*100&gt;WWWW[[#This Row],[Total PoP ]],WWWW[[#This Row],[Total PoP ]],WWWW[[#This Row],['# Functional hand washing stations during reporting period]]*100)</f>
        <v>0</v>
      </c>
      <c r="DI718" s="759" t="str">
        <f>IF(OR(WWWW[[#This Row],['#_students at TLS_CFS]]="",WWWW[[#This Row],['#_students at TLS_CFS]]=0),"No","Yes")</f>
        <v>Yes</v>
      </c>
      <c r="DJ718" s="711" t="str">
        <f>VLOOKUP(WWWW[[#This Row],[Site Name]],SiteDB6[[Site Name]:[CCCM Management]],6,FALSE)</f>
        <v>Yes</v>
      </c>
      <c r="DK718" s="711" t="str">
        <f>VLOOKUP(WWWW[[#This Row],[Site Name]],SiteDB6[[Site Name]:[CCCM Focal Agency]],7,FALSE)</f>
        <v>KMSS-LSO</v>
      </c>
      <c r="DL718" s="711" t="str">
        <f>VLOOKUP(WWWW[[#This Row],[Site Name]],SiteDB6[[Site Name]:[Location Type 1]],9,FALSE)</f>
        <v>Camp</v>
      </c>
      <c r="DM718" s="711" t="str">
        <f>VLOOKUP(WWWW[[#This Row],[Site Name]],SiteDB6[[Site Name]:[Type of Accommodation]],10,FALSE)</f>
        <v>Camp</v>
      </c>
      <c r="DN718" s="711" t="str">
        <f>VLOOKUP(WWWW[[#This Row],[Site Name]],SiteDB6[[Site Name]:[Ethnic or GCA/NGCA]],11,FALSE)</f>
        <v>GCA</v>
      </c>
      <c r="DO718" s="711">
        <f>VLOOKUP(WWWW[[#This Row],[Site Name]],SiteDB6[[Site Name]:[Lat]],12,FALSE)</f>
        <v>0</v>
      </c>
      <c r="DP718" s="711">
        <f>VLOOKUP(WWWW[[#This Row],[Site Name]],SiteDB6[[Site Name]:[Long]],13,FALSE)</f>
        <v>0</v>
      </c>
      <c r="DQ718" s="711" t="str">
        <f>VLOOKUP(WWWW[[#This Row],[Site Name]],SiteDB6[[Site Name]:[Pcode]],3,FALSE)</f>
        <v>MMR015CMP232</v>
      </c>
      <c r="DR718" s="709" t="str">
        <f t="shared" si="27"/>
        <v>Covered</v>
      </c>
      <c r="DS718" s="709"/>
    </row>
    <row r="719" spans="1:123">
      <c r="A719" s="701" t="s">
        <v>2519</v>
      </c>
      <c r="B719" s="701" t="s">
        <v>1957</v>
      </c>
      <c r="C719" s="702" t="s">
        <v>1957</v>
      </c>
      <c r="D719" s="584" t="s">
        <v>3303</v>
      </c>
      <c r="E719" s="702" t="s">
        <v>716</v>
      </c>
      <c r="F719" s="702" t="s">
        <v>720</v>
      </c>
      <c r="G719" s="711" t="str">
        <f>VLOOKUP(WWWW[[#This Row],[Site Name]],SiteDB6[[Site Name]:[Location Type]],8,FALSE)</f>
        <v>Camp</v>
      </c>
      <c r="H719" s="702" t="s">
        <v>2196</v>
      </c>
      <c r="I719" s="705">
        <v>69</v>
      </c>
      <c r="J719" s="705">
        <v>721</v>
      </c>
      <c r="K719" s="593" t="s">
        <v>3300</v>
      </c>
      <c r="L719" s="58" t="s">
        <v>3301</v>
      </c>
      <c r="M719" s="705">
        <v>102</v>
      </c>
      <c r="N719" s="705"/>
      <c r="O719" s="705"/>
      <c r="P719" s="705"/>
      <c r="Q719" s="708" t="s">
        <v>43</v>
      </c>
      <c r="R719" s="705">
        <v>6</v>
      </c>
      <c r="S719" s="705">
        <v>3</v>
      </c>
      <c r="T719" s="807"/>
      <c r="U719" s="705"/>
      <c r="V719" s="705"/>
      <c r="W719" s="705"/>
      <c r="X719" s="705"/>
      <c r="Y719" s="705"/>
      <c r="Z719" s="705"/>
      <c r="AA719" s="705">
        <v>54</v>
      </c>
      <c r="AB719" s="705"/>
      <c r="AC719" s="705"/>
      <c r="AD719" s="705"/>
      <c r="AE719" s="705"/>
      <c r="AF719" s="705"/>
      <c r="AG719" s="705">
        <v>1</v>
      </c>
      <c r="AH719" s="705"/>
      <c r="AI719" s="705">
        <v>1</v>
      </c>
      <c r="AJ719" s="705"/>
      <c r="AK719" s="705"/>
      <c r="AL719" s="705"/>
      <c r="AM719" s="705"/>
      <c r="AN719" s="705"/>
      <c r="AO719" s="705"/>
      <c r="AP719" s="705">
        <v>15</v>
      </c>
      <c r="AQ719" s="705"/>
      <c r="AR719" s="710"/>
      <c r="AS719" s="705"/>
      <c r="AT719" s="705">
        <v>2</v>
      </c>
      <c r="AU719" s="705"/>
      <c r="AV719" s="705"/>
      <c r="AW719" s="705"/>
      <c r="AX719" s="711" t="s">
        <v>43</v>
      </c>
      <c r="AY719" s="709" t="s">
        <v>1200</v>
      </c>
      <c r="AZ719" s="705"/>
      <c r="BA719" s="705"/>
      <c r="BB719" s="705"/>
      <c r="BC719" s="711"/>
      <c r="BD719" s="705"/>
      <c r="BE719" s="705"/>
      <c r="BF719" s="705"/>
      <c r="BG719" s="705"/>
      <c r="BH719" s="705"/>
      <c r="BI719" s="705"/>
      <c r="BJ719" s="705">
        <v>1</v>
      </c>
      <c r="BK719" s="705">
        <v>65</v>
      </c>
      <c r="BL719" s="705">
        <v>65</v>
      </c>
      <c r="BM719" s="711"/>
      <c r="BN719" s="712"/>
      <c r="BO719" s="710">
        <v>0.5</v>
      </c>
      <c r="BP719" s="711"/>
      <c r="BQ719" s="713">
        <f>IFERROR(WWWW[[#This Row],['#_Water sources treated]]/WWWW[[#This Row],['#_Water sources tested for contamination]],"no test")</f>
        <v>0</v>
      </c>
      <c r="BR719" s="710" t="str">
        <f>IFERROR(WWWW[[#This Row],['#_Household received remediation action due to contamination]]/WWWW[[#This Row],['#_Household water samples tested for contamination]],"no test")</f>
        <v>no test</v>
      </c>
      <c r="BS719" s="712" t="str">
        <f>IF(AND(WWWW[[#This Row],[% of water sources treated]]="no test",WWWW[[#This Row],[% Household received corrective actions]]="no test"),"No Test","Tested")</f>
        <v>Tested</v>
      </c>
      <c r="BT719" s="712">
        <f>WWWW[[#This Row],['#_Constructed/existing protected hand dug well]]-WWWW[[#This Row],['#_Non-functional protected hand dug well]]</f>
        <v>0</v>
      </c>
      <c r="BU719" s="712">
        <f>(WWWW[[#This Row],['#_Constructed/Existing tube wells/boreholes/handpumps_WASH_agency]]+WWWW[[#This Row],['#_Non-Cluster partner water tube-wells/boreholes/handpumps]])-WWWW[[#This Row],['#_Non-functional tube wells/boreholes/handpumps]]</f>
        <v>0</v>
      </c>
      <c r="BV719" s="712">
        <f>WWWW[[#This Row],['#_Constructed/Existingwater storage tank with gravity fed reticulation system]]-WWWW[[#This Row],['#_Non-functional storage tank gravity fed reticulation system]]</f>
        <v>54</v>
      </c>
      <c r="BW719" s="712">
        <f>WWWW[[#This Row],['#_Water boating or water trucking]]</f>
        <v>0</v>
      </c>
      <c r="BX719" s="712">
        <f>WWWW[[#This Row],['#_Constructed/Existing water distribution system from river or natural spring]]</f>
        <v>0</v>
      </c>
      <c r="BY71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1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19" s="710">
        <f>IF(WWWW[[#This Row],[Location Type 1]]="Village",WWWW[[#This Row],[Access to safe drinking water for Village]],WWWW[[#This Row],[Access to safe drinking water for Camp]])</f>
        <v>1</v>
      </c>
      <c r="CB719" s="708">
        <f>WWWW[[#This Row],[%Equitable and continuous access to sufficient quantity of safe drinking water]]*WWWW[[#This Row],[Total PoP ]]</f>
        <v>721</v>
      </c>
      <c r="CC719" s="710">
        <f>IF((WWWW[[#This Row],['#_Constructed/Existing protected/fenced ponds]]*250)/WWWW[[#This Row],[Total PoP ]]&gt;1,1,(WWWW[[#This Row],['#_Constructed/Existing protected/fenced ponds]]*250)/WWWW[[#This Row],[Total PoP ]])</f>
        <v>0</v>
      </c>
      <c r="CD719" s="708">
        <f>WWWW[[#This Row],[% Access to unimproved water points]]*WWWW[[#This Row],[Total PoP ]]</f>
        <v>0</v>
      </c>
      <c r="CE71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1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721</v>
      </c>
      <c r="CG719" s="708">
        <f>WWWW[[#This Row],[HRP1]]/500</f>
        <v>1.4419999999999999</v>
      </c>
      <c r="CH719" s="714">
        <f>1-WWWW[[#This Row],[% Equitable and continuous access to sufficient quantity of domestic water]]</f>
        <v>0</v>
      </c>
      <c r="CI719" s="708">
        <f>WWWW[[#This Row],[%equitable and continuous access to sufficient quantity of safe drinking and domestic water''s GAP]]*WWWW[[#This Row],[Total PoP ]]</f>
        <v>0</v>
      </c>
      <c r="CJ719" s="712">
        <f>IF(WWWW[[#This Row],[Total required water points]]-WWWW[[#This Row],['#Water points coverage]]&lt;0,0,WWWW[[#This Row],[Total required water points]]-WWWW[[#This Row],['#Water points coverage]])</f>
        <v>0</v>
      </c>
      <c r="CK719" s="712">
        <f>ROUND(IF(WWWW[[#This Row],[Total PoP ]]&lt;500,1,WWWW[[#This Row],[Total PoP ]]/500),0)</f>
        <v>1</v>
      </c>
      <c r="CL719" s="712">
        <f>(WWWW[[#This Row],['#_Constructed latrines_by_WASHAgencies]]+WWWW[[#This Row],['#_Non Cluster partner latrines]])-WWWW[[#This Row],['#_Non-functional latrines]]</f>
        <v>15</v>
      </c>
      <c r="CM71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0.41608876560332869</v>
      </c>
      <c r="CN71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300</v>
      </c>
      <c r="CO71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19" s="712">
        <f>IF(WWWW[[#This Row],[Location Type 1]]="Village","NA",IF(WWWW[[#This Row],['#_Constructed/Existing latrines in TLS]]*50&gt;WWWW[[#This Row],['#_students at TLS_CFS]],WWWW[[#This Row],['#_students at TLS_CFS]],(WWWW[[#This Row],['#_Constructed/Existing latrines in TLS]]*50)))</f>
        <v>0</v>
      </c>
      <c r="CQ719" s="712">
        <f>ROUND(IF(WWWW[[#This Row],[Location Type 1]]="camp",WWWW[[#This Row],[Total PoP ]]/20,IF(WWWW[[#This Row],[Location Type 1]]="Temporary Location",WWWW[[#This Row],[Total PoP ]]/50,(WWWW[[#This Row],[Total PoP ]]/6))),0)</f>
        <v>36</v>
      </c>
      <c r="CR719" s="712">
        <f>IF(WWWW[[#This Row],[Total required Latrines]]-(WWWW[[#This Row],['#_Constructed latrines_by_WASHAgencies]]+WWWW[[#This Row],['#_Non Cluster partner latrines]])&lt;0,0,WWWW[[#This Row],[Total required Latrines]]-(WWWW[[#This Row],['#_Constructed latrines_by_WASHAgencies]]+WWWW[[#This Row],['#_Non Cluster partner latrines]]))</f>
        <v>21</v>
      </c>
      <c r="CS719" s="714">
        <f>1-WWWW[[#This Row],[% people access to functioning Latrine]]</f>
        <v>0.58391123439667125</v>
      </c>
      <c r="CT719" s="713">
        <f>IF(OR(WWWW[[#This Row],['#_Non-functional latrines]]="",WWWW[[#This Row],['#_Non-functional latrines]]=0),0,WWWW[[#This Row],['#_Non-functional latrines]]/(WWWW[[#This Row],['#_Constructed latrines_by_WASHAgencies]]+WWWW[[#This Row],['#_Non Cluster partner latrines]]))</f>
        <v>0</v>
      </c>
      <c r="CU719" s="708">
        <f>IF(500*(WWWW[[#This Row],['#_male hygiene promoters]]+WWWW[[#This Row],['#_female hygiene promoters]])&gt;WWWW[[#This Row],[Total PoP ]],WWWW[[#This Row],[Total PoP ]],500*(WWWW[[#This Row],['#_male hygiene promoters]]+WWWW[[#This Row],['#_female hygiene promoters]]))</f>
        <v>500</v>
      </c>
      <c r="CV71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325</v>
      </c>
      <c r="CW71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325</v>
      </c>
      <c r="CX719" s="712">
        <f>IF(WWWW[[#This Row],['# People with access to soap]]&gt;WWWW[[#This Row],['# People with access to Sanity Pads]],WWWW[[#This Row],['# People with access to soap]],WWWW[[#This Row],['# People with access to Sanity Pads]])</f>
        <v>325</v>
      </c>
      <c r="CY719" s="712">
        <f>IF(WWWW[[#This Row],['# people reached by regular dedicated hygiene promotion_5]]&gt;WWWW[[#This Row],['# People received regular supply of hygiene items_6]],WWWW[[#This Row],['# people reached by regular dedicated hygiene promotion_5]],WWWW[[#This Row],['# People received regular supply of hygiene items_6]])</f>
        <v>500</v>
      </c>
      <c r="CZ719" s="714">
        <f>IF(WWWW[[#This Row],[HRP3]]/WWWW[[#This Row],[Total PoP ]]&gt;100%,100%,WWWW[[#This Row],[HRP3]]/WWWW[[#This Row],[Total PoP ]])</f>
        <v>0.69348127600554788</v>
      </c>
      <c r="DA719" s="713">
        <f>1-WWWW[[#This Row],[Hygiene Coverage%]]</f>
        <v>0.30651872399445212</v>
      </c>
      <c r="DB719" s="710">
        <f>WWWW[[#This Row],['# people reached by regular dedicated hygiene promotion_5]]/WWWW[[#This Row],[Total PoP ]]</f>
        <v>0.69348127600554788</v>
      </c>
      <c r="DC719" s="710">
        <f>IF(WWWW[[#This Row],['#_households that received standard amount of soap for this quarter]]/WWWW[[#This Row],[Total HH]]&gt;1,1,WWWW[[#This Row],['#_households that received standard amount of soap for this quarter]]/WWWW[[#This Row],[Total HH]])</f>
        <v>0.94202898550724634</v>
      </c>
      <c r="DD719" s="710">
        <f>IF(WWWW[[#This Row],['#_households that received standard amount of sanitary pads for this quarter]]/WWWW[[#This Row],[Total HH]]&gt;1,1,WWWW[[#This Row],['#_households that received standard amount of sanitary pads for this quarter]]/WWWW[[#This Row],[Total HH]])</f>
        <v>0.94202898550724634</v>
      </c>
      <c r="DE719" s="712">
        <f>WWWW[[#This Row],['#_Constructed/Existing hand washing stations]]-WWWW[[#This Row],['#_Non-Functional_hand_washing_stations]]</f>
        <v>0</v>
      </c>
      <c r="DF719" s="757">
        <f>IF(WWWW[[#This Row],['# Functional hand washing stations during reporting period]]*20&gt;WWWW[[#This Row],[Total HH]],WWWW[[#This Row],[Total HH]],WWWW[[#This Row],['# Functional hand washing stations during reporting period]]*20)</f>
        <v>0</v>
      </c>
      <c r="DG719" s="708">
        <f>IF(WWWW[[#This Row],[Is sufficient soap available for TLS? (Yes/No)]]="yes",WWWW[[#This Row],['#_Constructed/Existing hand washing stations at TLS]],0)</f>
        <v>0</v>
      </c>
      <c r="DH719" s="759">
        <f>IF(WWWW[[#This Row],['# Functional hand washing stations during reporting period]]*100&gt;WWWW[[#This Row],[Total PoP ]],WWWW[[#This Row],[Total PoP ]],WWWW[[#This Row],['# Functional hand washing stations during reporting period]]*100)</f>
        <v>0</v>
      </c>
      <c r="DI719" s="759" t="str">
        <f>IF(OR(WWWW[[#This Row],['#_students at TLS_CFS]]="",WWWW[[#This Row],['#_students at TLS_CFS]]=0),"No","Yes")</f>
        <v>Yes</v>
      </c>
      <c r="DJ719" s="711" t="str">
        <f>VLOOKUP(WWWW[[#This Row],[Site Name]],SiteDB6[[Site Name]:[CCCM Management]],6,FALSE)</f>
        <v>Yes</v>
      </c>
      <c r="DK719" s="711" t="str">
        <f>VLOOKUP(WWWW[[#This Row],[Site Name]],SiteDB6[[Site Name]:[CCCM Focal Agency]],7,FALSE)</f>
        <v>KMSS-LSO</v>
      </c>
      <c r="DL719" s="711" t="str">
        <f>VLOOKUP(WWWW[[#This Row],[Site Name]],SiteDB6[[Site Name]:[Location Type 1]],9,FALSE)</f>
        <v>Camp</v>
      </c>
      <c r="DM719" s="711" t="str">
        <f>VLOOKUP(WWWW[[#This Row],[Site Name]],SiteDB6[[Site Name]:[Type of Accommodation]],10,FALSE)</f>
        <v>Camp</v>
      </c>
      <c r="DN719" s="711" t="str">
        <f>VLOOKUP(WWWW[[#This Row],[Site Name]],SiteDB6[[Site Name]:[Ethnic or GCA/NGCA]],11,FALSE)</f>
        <v>GCA</v>
      </c>
      <c r="DO719" s="711">
        <f>VLOOKUP(WWWW[[#This Row],[Site Name]],SiteDB6[[Site Name]:[Lat]],12,FALSE)</f>
        <v>23.591999999999999</v>
      </c>
      <c r="DP719" s="711">
        <f>VLOOKUP(WWWW[[#This Row],[Site Name]],SiteDB6[[Site Name]:[Long]],13,FALSE)</f>
        <v>97.796999999999997</v>
      </c>
      <c r="DQ719" s="711" t="str">
        <f>VLOOKUP(WWWW[[#This Row],[Site Name]],SiteDB6[[Site Name]:[Pcode]],3,FALSE)</f>
        <v>MMR015CMP220</v>
      </c>
      <c r="DR719" s="709" t="str">
        <f t="shared" si="27"/>
        <v>Covered</v>
      </c>
      <c r="DS719" s="709"/>
    </row>
    <row r="720" spans="1:123">
      <c r="A720" s="701" t="s">
        <v>2519</v>
      </c>
      <c r="B720" s="701" t="s">
        <v>305</v>
      </c>
      <c r="C720" s="702" t="s">
        <v>305</v>
      </c>
      <c r="D720" s="702" t="s">
        <v>3297</v>
      </c>
      <c r="E720" s="702" t="s">
        <v>716</v>
      </c>
      <c r="F720" s="702" t="s">
        <v>757</v>
      </c>
      <c r="G720" s="711" t="str">
        <f>VLOOKUP(WWWW[[#This Row],[Site Name]],SiteDB6[[Site Name]:[Location Type]],8,FALSE)</f>
        <v>New Temporary Site</v>
      </c>
      <c r="H720" s="702" t="s">
        <v>2994</v>
      </c>
      <c r="I720" s="705">
        <v>125</v>
      </c>
      <c r="J720" s="705">
        <v>1360</v>
      </c>
      <c r="K720" s="706">
        <v>43100</v>
      </c>
      <c r="L720" s="707">
        <v>43799</v>
      </c>
      <c r="M720" s="705"/>
      <c r="N720" s="705"/>
      <c r="O720" s="705"/>
      <c r="P720" s="705"/>
      <c r="Q720" s="708"/>
      <c r="R720" s="705"/>
      <c r="S720" s="705"/>
      <c r="T720" s="807"/>
      <c r="U720" s="705"/>
      <c r="V720" s="705"/>
      <c r="W720" s="705"/>
      <c r="X720" s="705"/>
      <c r="Y720" s="705"/>
      <c r="Z720" s="705"/>
      <c r="AA720" s="705"/>
      <c r="AB720" s="705"/>
      <c r="AC720" s="705"/>
      <c r="AD720" s="705"/>
      <c r="AE720" s="705"/>
      <c r="AF720" s="705"/>
      <c r="AG720" s="705"/>
      <c r="AH720" s="705"/>
      <c r="AI720" s="705"/>
      <c r="AJ720" s="705"/>
      <c r="AK720" s="705"/>
      <c r="AL720" s="705"/>
      <c r="AM720" s="705"/>
      <c r="AN720" s="705"/>
      <c r="AO720" s="705"/>
      <c r="AP720" s="705">
        <v>20</v>
      </c>
      <c r="AQ720" s="705"/>
      <c r="AR720" s="710"/>
      <c r="AS720" s="705"/>
      <c r="AT720" s="705"/>
      <c r="AU720" s="705"/>
      <c r="AV720" s="705"/>
      <c r="AW720" s="705"/>
      <c r="AX720" s="752" t="s">
        <v>148</v>
      </c>
      <c r="AY720" s="782" t="s">
        <v>148</v>
      </c>
      <c r="AZ720" s="705"/>
      <c r="BA720" s="705"/>
      <c r="BB720" s="705"/>
      <c r="BC720" s="711"/>
      <c r="BD720" s="705">
        <v>4</v>
      </c>
      <c r="BE720" s="705"/>
      <c r="BF720" s="705"/>
      <c r="BG720" s="705"/>
      <c r="BH720" s="705"/>
      <c r="BI720" s="705"/>
      <c r="BJ720" s="705"/>
      <c r="BK720" s="705"/>
      <c r="BL720" s="705"/>
      <c r="BM720" s="711"/>
      <c r="BN720" s="712"/>
      <c r="BO720" s="710"/>
      <c r="BP720" s="711"/>
      <c r="BQ720" s="713" t="str">
        <f>IFERROR(WWWW[[#This Row],['#_Water sources treated]]/WWWW[[#This Row],['#_Water sources tested for contamination]],"no test")</f>
        <v>no test</v>
      </c>
      <c r="BR720" s="710" t="str">
        <f>IFERROR(WWWW[[#This Row],['#_Household received remediation action due to contamination]]/WWWW[[#This Row],['#_Household water samples tested for contamination]],"no test")</f>
        <v>no test</v>
      </c>
      <c r="BS720" s="712" t="str">
        <f>IF(AND(WWWW[[#This Row],[% of water sources treated]]="no test",WWWW[[#This Row],[% Household received corrective actions]]="no test"),"No Test","Tested")</f>
        <v>No Test</v>
      </c>
      <c r="BT720" s="712">
        <f>WWWW[[#This Row],['#_Constructed/existing protected hand dug well]]-WWWW[[#This Row],['#_Non-functional protected hand dug well]]</f>
        <v>0</v>
      </c>
      <c r="BU720" s="712">
        <f>(WWWW[[#This Row],['#_Constructed/Existing tube wells/boreholes/handpumps_WASH_agency]]+WWWW[[#This Row],['#_Non-Cluster partner water tube-wells/boreholes/handpumps]])-WWWW[[#This Row],['#_Non-functional tube wells/boreholes/handpumps]]</f>
        <v>0</v>
      </c>
      <c r="BV720" s="712">
        <f>WWWW[[#This Row],['#_Constructed/Existingwater storage tank with gravity fed reticulation system]]-WWWW[[#This Row],['#_Non-functional storage tank gravity fed reticulation system]]</f>
        <v>0</v>
      </c>
      <c r="BW720" s="712">
        <f>WWWW[[#This Row],['#_Water boating or water trucking]]</f>
        <v>0</v>
      </c>
      <c r="BX720" s="712">
        <f>WWWW[[#This Row],['#_Constructed/Existing water distribution system from river or natural spring]]</f>
        <v>0</v>
      </c>
      <c r="BY72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2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20" s="710">
        <f>IF(WWWW[[#This Row],[Location Type 1]]="Village",WWWW[[#This Row],[Access to safe drinking water for Village]],WWWW[[#This Row],[Access to safe drinking water for Camp]])</f>
        <v>0</v>
      </c>
      <c r="CB720" s="708">
        <f>WWWW[[#This Row],[%Equitable and continuous access to sufficient quantity of safe drinking water]]*WWWW[[#This Row],[Total PoP ]]</f>
        <v>0</v>
      </c>
      <c r="CC720" s="710">
        <f>IF((WWWW[[#This Row],['#_Constructed/Existing protected/fenced ponds]]*250)/WWWW[[#This Row],[Total PoP ]]&gt;1,1,(WWWW[[#This Row],['#_Constructed/Existing protected/fenced ponds]]*250)/WWWW[[#This Row],[Total PoP ]])</f>
        <v>0</v>
      </c>
      <c r="CD720" s="708">
        <f>WWWW[[#This Row],[% Access to unimproved water points]]*WWWW[[#This Row],[Total PoP ]]</f>
        <v>0</v>
      </c>
      <c r="CE72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2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20" s="708">
        <f>WWWW[[#This Row],[HRP1]]/500</f>
        <v>0</v>
      </c>
      <c r="CH720" s="714">
        <f>1-WWWW[[#This Row],[% Equitable and continuous access to sufficient quantity of domestic water]]</f>
        <v>1</v>
      </c>
      <c r="CI720" s="708">
        <f>WWWW[[#This Row],[%equitable and continuous access to sufficient quantity of safe drinking and domestic water''s GAP]]*WWWW[[#This Row],[Total PoP ]]</f>
        <v>1360</v>
      </c>
      <c r="CJ720" s="712">
        <f>IF(WWWW[[#This Row],[Total required water points]]-WWWW[[#This Row],['#Water points coverage]]&lt;0,0,WWWW[[#This Row],[Total required water points]]-WWWW[[#This Row],['#Water points coverage]])</f>
        <v>3</v>
      </c>
      <c r="CK720" s="712">
        <f>ROUND(IF(WWWW[[#This Row],[Total PoP ]]&lt;500,1,WWWW[[#This Row],[Total PoP ]]/500),0)</f>
        <v>3</v>
      </c>
      <c r="CL720" s="712">
        <f>(WWWW[[#This Row],['#_Constructed latrines_by_WASHAgencies]]+WWWW[[#This Row],['#_Non Cluster partner latrines]])-WWWW[[#This Row],['#_Non-functional latrines]]</f>
        <v>20</v>
      </c>
      <c r="CM72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0.73529411764705888</v>
      </c>
      <c r="CN72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1000</v>
      </c>
      <c r="CO72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0" s="712">
        <f>IF(WWWW[[#This Row],[Location Type 1]]="Village","NA",IF(WWWW[[#This Row],['#_Constructed/Existing latrines in TLS]]*50&gt;WWWW[[#This Row],['#_students at TLS_CFS]],WWWW[[#This Row],['#_students at TLS_CFS]],(WWWW[[#This Row],['#_Constructed/Existing latrines in TLS]]*50)))</f>
        <v>0</v>
      </c>
      <c r="CQ720" s="712">
        <f>ROUND(IF(WWWW[[#This Row],[Location Type 1]]="camp",WWWW[[#This Row],[Total PoP ]]/20,IF(WWWW[[#This Row],[Location Type 1]]="Temporary Location",WWWW[[#This Row],[Total PoP ]]/50,(WWWW[[#This Row],[Total PoP ]]/6))),0)</f>
        <v>27</v>
      </c>
      <c r="CR720" s="712">
        <f>IF(WWWW[[#This Row],[Total required Latrines]]-(WWWW[[#This Row],['#_Constructed latrines_by_WASHAgencies]]+WWWW[[#This Row],['#_Non Cluster partner latrines]])&lt;0,0,WWWW[[#This Row],[Total required Latrines]]-(WWWW[[#This Row],['#_Constructed latrines_by_WASHAgencies]]+WWWW[[#This Row],['#_Non Cluster partner latrines]]))</f>
        <v>7</v>
      </c>
      <c r="CS720" s="714">
        <f>1-WWWW[[#This Row],[% people access to functioning Latrine]]</f>
        <v>0.26470588235294112</v>
      </c>
      <c r="CT720" s="713">
        <f>IF(OR(WWWW[[#This Row],['#_Non-functional latrines]]="",WWWW[[#This Row],['#_Non-functional latrines]]=0),0,WWWW[[#This Row],['#_Non-functional latrines]]/(WWWW[[#This Row],['#_Constructed latrines_by_WASHAgencies]]+WWWW[[#This Row],['#_Non Cluster partner latrines]]))</f>
        <v>0</v>
      </c>
      <c r="CU720" s="708">
        <f>IF(500*(WWWW[[#This Row],['#_male hygiene promoters]]+WWWW[[#This Row],['#_female hygiene promoters]])&gt;WWWW[[#This Row],[Total PoP ]],WWWW[[#This Row],[Total PoP ]],500*(WWWW[[#This Row],['#_male hygiene promoters]]+WWWW[[#This Row],['#_female hygiene promoters]]))</f>
        <v>0</v>
      </c>
      <c r="CV72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2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20" s="712">
        <f>IF(WWWW[[#This Row],['# People with access to soap]]&gt;WWWW[[#This Row],['# People with access to Sanity Pads]],WWWW[[#This Row],['# People with access to soap]],WWWW[[#This Row],['# People with access to Sanity Pads]])</f>
        <v>0</v>
      </c>
      <c r="CY720"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20" s="714">
        <f>IF(WWWW[[#This Row],[HRP3]]/WWWW[[#This Row],[Total PoP ]]&gt;100%,100%,WWWW[[#This Row],[HRP3]]/WWWW[[#This Row],[Total PoP ]])</f>
        <v>0</v>
      </c>
      <c r="DA720" s="713">
        <f>1-WWWW[[#This Row],[Hygiene Coverage%]]</f>
        <v>1</v>
      </c>
      <c r="DB720" s="710">
        <f>WWWW[[#This Row],['# people reached by regular dedicated hygiene promotion_5]]/WWWW[[#This Row],[Total PoP ]]</f>
        <v>0</v>
      </c>
      <c r="DC720" s="710">
        <f>IF(WWWW[[#This Row],['#_households that received standard amount of soap for this quarter]]/WWWW[[#This Row],[Total HH]]&gt;1,1,WWWW[[#This Row],['#_households that received standard amount of soap for this quarter]]/WWWW[[#This Row],[Total HH]])</f>
        <v>0</v>
      </c>
      <c r="DD720" s="710">
        <f>IF(WWWW[[#This Row],['#_households that received standard amount of sanitary pads for this quarter]]/WWWW[[#This Row],[Total HH]]&gt;1,1,WWWW[[#This Row],['#_households that received standard amount of sanitary pads for this quarter]]/WWWW[[#This Row],[Total HH]])</f>
        <v>0</v>
      </c>
      <c r="DE720" s="712">
        <f>WWWW[[#This Row],['#_Constructed/Existing hand washing stations]]-WWWW[[#This Row],['#_Non-Functional_hand_washing_stations]]</f>
        <v>4</v>
      </c>
      <c r="DF720" s="757">
        <f>IF(WWWW[[#This Row],['# Functional hand washing stations during reporting period]]*20&gt;WWWW[[#This Row],[Total HH]],WWWW[[#This Row],[Total HH]],WWWW[[#This Row],['# Functional hand washing stations during reporting period]]*20)</f>
        <v>80</v>
      </c>
      <c r="DG720" s="708">
        <f>IF(WWWW[[#This Row],[Is sufficient soap available for TLS? (Yes/No)]]="yes",WWWW[[#This Row],['#_Constructed/Existing hand washing stations at TLS]],0)</f>
        <v>0</v>
      </c>
      <c r="DH720" s="759">
        <f>IF(WWWW[[#This Row],['# Functional hand washing stations during reporting period]]*100&gt;WWWW[[#This Row],[Total PoP ]],WWWW[[#This Row],[Total PoP ]],WWWW[[#This Row],['# Functional hand washing stations during reporting period]]*100)</f>
        <v>400</v>
      </c>
      <c r="DI720" s="759" t="str">
        <f>IF(OR(WWWW[[#This Row],['#_students at TLS_CFS]]="",WWWW[[#This Row],['#_students at TLS_CFS]]=0),"No","Yes")</f>
        <v>No</v>
      </c>
      <c r="DJ720" s="711">
        <f>VLOOKUP(WWWW[[#This Row],[Site Name]],SiteDB6[[Site Name]:[CCCM Management]],6,FALSE)</f>
        <v>0</v>
      </c>
      <c r="DK720" s="711">
        <f>VLOOKUP(WWWW[[#This Row],[Site Name]],SiteDB6[[Site Name]:[CCCM Focal Agency]],7,FALSE)</f>
        <v>0</v>
      </c>
      <c r="DL720" s="711" t="str">
        <f>VLOOKUP(WWWW[[#This Row],[Site Name]],SiteDB6[[Site Name]:[Location Type 1]],9,FALSE)</f>
        <v>Temporary location</v>
      </c>
      <c r="DM720" s="711" t="str">
        <f>VLOOKUP(WWWW[[#This Row],[Site Name]],SiteDB6[[Site Name]:[Type of Accommodation]],10,FALSE)</f>
        <v>Temporary location</v>
      </c>
      <c r="DN720" s="711" t="str">
        <f>VLOOKUP(WWWW[[#This Row],[Site Name]],SiteDB6[[Site Name]:[Ethnic or GCA/NGCA]],11,FALSE)</f>
        <v>GCA</v>
      </c>
      <c r="DO720" s="711">
        <f>VLOOKUP(WWWW[[#This Row],[Site Name]],SiteDB6[[Site Name]:[Lat]],12,FALSE)</f>
        <v>0</v>
      </c>
      <c r="DP720" s="711">
        <f>VLOOKUP(WWWW[[#This Row],[Site Name]],SiteDB6[[Site Name]:[Long]],13,FALSE)</f>
        <v>0</v>
      </c>
      <c r="DQ720" s="711">
        <f>VLOOKUP(WWWW[[#This Row],[Site Name]],SiteDB6[[Site Name]:[Pcode]],3,FALSE)</f>
        <v>0</v>
      </c>
      <c r="DR720" s="709" t="str">
        <f t="shared" si="27"/>
        <v>Covered</v>
      </c>
      <c r="DS720" s="709"/>
    </row>
    <row r="721" spans="1:123">
      <c r="A721" s="701" t="s">
        <v>2519</v>
      </c>
      <c r="B721" s="701" t="s">
        <v>200</v>
      </c>
      <c r="C721" s="702" t="s">
        <v>200</v>
      </c>
      <c r="D721" s="584" t="s">
        <v>249</v>
      </c>
      <c r="E721" s="702" t="s">
        <v>716</v>
      </c>
      <c r="F721" s="702" t="s">
        <v>720</v>
      </c>
      <c r="G721" s="711" t="str">
        <f>VLOOKUP(WWWW[[#This Row],[Site Name]],SiteDB6[[Site Name]:[Location Type]],8,FALSE)</f>
        <v>Camp</v>
      </c>
      <c r="H721" s="702" t="s">
        <v>755</v>
      </c>
      <c r="I721" s="705">
        <v>24</v>
      </c>
      <c r="J721" s="705">
        <v>85</v>
      </c>
      <c r="K721" s="706">
        <v>43497</v>
      </c>
      <c r="L721" s="707">
        <v>43861</v>
      </c>
      <c r="M721" s="806"/>
      <c r="N721" s="705"/>
      <c r="O721" s="705"/>
      <c r="P721" s="705"/>
      <c r="Q721" s="708"/>
      <c r="R721" s="705"/>
      <c r="S721" s="705"/>
      <c r="T721" s="807"/>
      <c r="U721" s="705"/>
      <c r="V721" s="705"/>
      <c r="W721" s="705"/>
      <c r="X721" s="705"/>
      <c r="Y721" s="705"/>
      <c r="Z721" s="705"/>
      <c r="AA721" s="705"/>
      <c r="AB721" s="705"/>
      <c r="AC721" s="705"/>
      <c r="AD721" s="705"/>
      <c r="AE721" s="705"/>
      <c r="AF721" s="705"/>
      <c r="AG721" s="705"/>
      <c r="AH721" s="705"/>
      <c r="AI721" s="705"/>
      <c r="AJ721" s="705"/>
      <c r="AK721" s="705"/>
      <c r="AL721" s="705"/>
      <c r="AM721" s="705"/>
      <c r="AN721" s="705"/>
      <c r="AO721" s="705"/>
      <c r="AP721" s="705"/>
      <c r="AQ721" s="705"/>
      <c r="AR721" s="710"/>
      <c r="AS721" s="705"/>
      <c r="AT721" s="705">
        <v>4</v>
      </c>
      <c r="AU721" s="705"/>
      <c r="AV721" s="705"/>
      <c r="AW721" s="705"/>
      <c r="AX721" s="752" t="s">
        <v>148</v>
      </c>
      <c r="AY721" s="782" t="s">
        <v>148</v>
      </c>
      <c r="AZ721" s="705"/>
      <c r="BA721" s="705"/>
      <c r="BB721" s="705"/>
      <c r="BC721" s="711"/>
      <c r="BD721" s="705"/>
      <c r="BE721" s="705"/>
      <c r="BF721" s="705"/>
      <c r="BG721" s="705"/>
      <c r="BH721" s="705"/>
      <c r="BI721" s="705"/>
      <c r="BJ721" s="705"/>
      <c r="BK721" s="705">
        <v>22</v>
      </c>
      <c r="BL721" s="705">
        <v>22</v>
      </c>
      <c r="BM721" s="711"/>
      <c r="BN721" s="712"/>
      <c r="BO721" s="710"/>
      <c r="BP721" s="711"/>
      <c r="BQ721" s="713" t="str">
        <f>IFERROR(WWWW[[#This Row],['#_Water sources treated]]/WWWW[[#This Row],['#_Water sources tested for contamination]],"no test")</f>
        <v>no test</v>
      </c>
      <c r="BR721" s="710" t="str">
        <f>IFERROR(WWWW[[#This Row],['#_Household received remediation action due to contamination]]/WWWW[[#This Row],['#_Household water samples tested for contamination]],"no test")</f>
        <v>no test</v>
      </c>
      <c r="BS721" s="712" t="str">
        <f>IF(AND(WWWW[[#This Row],[% of water sources treated]]="no test",WWWW[[#This Row],[% Household received corrective actions]]="no test"),"No Test","Tested")</f>
        <v>No Test</v>
      </c>
      <c r="BT721" s="712">
        <f>WWWW[[#This Row],['#_Constructed/existing protected hand dug well]]-WWWW[[#This Row],['#_Non-functional protected hand dug well]]</f>
        <v>0</v>
      </c>
      <c r="BU721" s="712">
        <f>(WWWW[[#This Row],['#_Constructed/Existing tube wells/boreholes/handpumps_WASH_agency]]+WWWW[[#This Row],['#_Non-Cluster partner water tube-wells/boreholes/handpumps]])-WWWW[[#This Row],['#_Non-functional tube wells/boreholes/handpumps]]</f>
        <v>0</v>
      </c>
      <c r="BV721" s="712">
        <f>WWWW[[#This Row],['#_Constructed/Existingwater storage tank with gravity fed reticulation system]]-WWWW[[#This Row],['#_Non-functional storage tank gravity fed reticulation system]]</f>
        <v>0</v>
      </c>
      <c r="BW721" s="712">
        <f>WWWW[[#This Row],['#_Water boating or water trucking]]</f>
        <v>0</v>
      </c>
      <c r="BX721" s="712">
        <f>WWWW[[#This Row],['#_Constructed/Existing water distribution system from river or natural spring]]</f>
        <v>0</v>
      </c>
      <c r="BY72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2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21" s="710">
        <f>IF(WWWW[[#This Row],[Location Type 1]]="Village",WWWW[[#This Row],[Access to safe drinking water for Village]],WWWW[[#This Row],[Access to safe drinking water for Camp]])</f>
        <v>0</v>
      </c>
      <c r="CB721" s="708">
        <f>WWWW[[#This Row],[%Equitable and continuous access to sufficient quantity of safe drinking water]]*WWWW[[#This Row],[Total PoP ]]</f>
        <v>0</v>
      </c>
      <c r="CC721" s="710">
        <f>IF((WWWW[[#This Row],['#_Constructed/Existing protected/fenced ponds]]*250)/WWWW[[#This Row],[Total PoP ]]&gt;1,1,(WWWW[[#This Row],['#_Constructed/Existing protected/fenced ponds]]*250)/WWWW[[#This Row],[Total PoP ]])</f>
        <v>0</v>
      </c>
      <c r="CD721" s="708">
        <f>WWWW[[#This Row],[% Access to unimproved water points]]*WWWW[[#This Row],[Total PoP ]]</f>
        <v>0</v>
      </c>
      <c r="CE72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2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21" s="708">
        <f>WWWW[[#This Row],[HRP1]]/500</f>
        <v>0</v>
      </c>
      <c r="CH721" s="714">
        <f>1-WWWW[[#This Row],[% Equitable and continuous access to sufficient quantity of domestic water]]</f>
        <v>1</v>
      </c>
      <c r="CI721" s="708">
        <f>WWWW[[#This Row],[%equitable and continuous access to sufficient quantity of safe drinking and domestic water''s GAP]]*WWWW[[#This Row],[Total PoP ]]</f>
        <v>85</v>
      </c>
      <c r="CJ721" s="712">
        <f>IF(WWWW[[#This Row],[Total required water points]]-WWWW[[#This Row],['#Water points coverage]]&lt;0,0,WWWW[[#This Row],[Total required water points]]-WWWW[[#This Row],['#Water points coverage]])</f>
        <v>1</v>
      </c>
      <c r="CK721" s="712">
        <f>ROUND(IF(WWWW[[#This Row],[Total PoP ]]&lt;500,1,WWWW[[#This Row],[Total PoP ]]/500),0)</f>
        <v>1</v>
      </c>
      <c r="CL721" s="712">
        <f>(WWWW[[#This Row],['#_Constructed latrines_by_WASHAgencies]]+WWWW[[#This Row],['#_Non Cluster partner latrines]])-WWWW[[#This Row],['#_Non-functional latrines]]</f>
        <v>0</v>
      </c>
      <c r="CM72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2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2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1" s="712">
        <f>IF(WWWW[[#This Row],[Location Type 1]]="Village","NA",IF(WWWW[[#This Row],['#_Constructed/Existing latrines in TLS]]*50&gt;WWWW[[#This Row],['#_students at TLS_CFS]],WWWW[[#This Row],['#_students at TLS_CFS]],(WWWW[[#This Row],['#_Constructed/Existing latrines in TLS]]*50)))</f>
        <v>0</v>
      </c>
      <c r="CQ721" s="712">
        <f>ROUND(IF(WWWW[[#This Row],[Location Type 1]]="camp",WWWW[[#This Row],[Total PoP ]]/20,IF(WWWW[[#This Row],[Location Type 1]]="Temporary Location",WWWW[[#This Row],[Total PoP ]]/50,(WWWW[[#This Row],[Total PoP ]]/6))),0)</f>
        <v>4</v>
      </c>
      <c r="CR721" s="712">
        <f>IF(WWWW[[#This Row],[Total required Latrines]]-(WWWW[[#This Row],['#_Constructed latrines_by_WASHAgencies]]+WWWW[[#This Row],['#_Non Cluster partner latrines]])&lt;0,0,WWWW[[#This Row],[Total required Latrines]]-(WWWW[[#This Row],['#_Constructed latrines_by_WASHAgencies]]+WWWW[[#This Row],['#_Non Cluster partner latrines]]))</f>
        <v>4</v>
      </c>
      <c r="CS721" s="714">
        <f>1-WWWW[[#This Row],[% people access to functioning Latrine]]</f>
        <v>1</v>
      </c>
      <c r="CT721" s="713">
        <f>IF(OR(WWWW[[#This Row],['#_Non-functional latrines]]="",WWWW[[#This Row],['#_Non-functional latrines]]=0),0,WWWW[[#This Row],['#_Non-functional latrines]]/(WWWW[[#This Row],['#_Constructed latrines_by_WASHAgencies]]+WWWW[[#This Row],['#_Non Cluster partner latrines]]))</f>
        <v>0</v>
      </c>
      <c r="CU721" s="708">
        <f>IF(500*(WWWW[[#This Row],['#_male hygiene promoters]]+WWWW[[#This Row],['#_female hygiene promoters]])&gt;WWWW[[#This Row],[Total PoP ]],WWWW[[#This Row],[Total PoP ]],500*(WWWW[[#This Row],['#_male hygiene promoters]]+WWWW[[#This Row],['#_female hygiene promoters]]))</f>
        <v>0</v>
      </c>
      <c r="CV72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CW72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85</v>
      </c>
      <c r="CX721" s="712">
        <f>IF(WWWW[[#This Row],['# People with access to soap]]&gt;WWWW[[#This Row],['# People with access to Sanity Pads]],WWWW[[#This Row],['# People with access to soap]],WWWW[[#This Row],['# People with access to Sanity Pads]])</f>
        <v>85</v>
      </c>
      <c r="CY721" s="712">
        <f>IF(WWWW[[#This Row],['# people reached by regular dedicated hygiene promotion_5]]&gt;WWWW[[#This Row],['# People received regular supply of hygiene items_6]],WWWW[[#This Row],['# people reached by regular dedicated hygiene promotion_5]],WWWW[[#This Row],['# People received regular supply of hygiene items_6]])</f>
        <v>85</v>
      </c>
      <c r="CZ721" s="714">
        <f>IF(WWWW[[#This Row],[HRP3]]/WWWW[[#This Row],[Total PoP ]]&gt;100%,100%,WWWW[[#This Row],[HRP3]]/WWWW[[#This Row],[Total PoP ]])</f>
        <v>1</v>
      </c>
      <c r="DA721" s="713">
        <f>1-WWWW[[#This Row],[Hygiene Coverage%]]</f>
        <v>0</v>
      </c>
      <c r="DB721" s="710">
        <f>WWWW[[#This Row],['# people reached by regular dedicated hygiene promotion_5]]/WWWW[[#This Row],[Total PoP ]]</f>
        <v>0</v>
      </c>
      <c r="DC721" s="710">
        <f>IF(WWWW[[#This Row],['#_households that received standard amount of soap for this quarter]]/WWWW[[#This Row],[Total HH]]&gt;1,1,WWWW[[#This Row],['#_households that received standard amount of soap for this quarter]]/WWWW[[#This Row],[Total HH]])</f>
        <v>0.91666666666666663</v>
      </c>
      <c r="DD721" s="710">
        <f>IF(WWWW[[#This Row],['#_households that received standard amount of sanitary pads for this quarter]]/WWWW[[#This Row],[Total HH]]&gt;1,1,WWWW[[#This Row],['#_households that received standard amount of sanitary pads for this quarter]]/WWWW[[#This Row],[Total HH]])</f>
        <v>0.91666666666666663</v>
      </c>
      <c r="DE721" s="712">
        <f>WWWW[[#This Row],['#_Constructed/Existing hand washing stations]]-WWWW[[#This Row],['#_Non-Functional_hand_washing_stations]]</f>
        <v>0</v>
      </c>
      <c r="DF721" s="757">
        <f>IF(WWWW[[#This Row],['# Functional hand washing stations during reporting period]]*20&gt;WWWW[[#This Row],[Total HH]],WWWW[[#This Row],[Total HH]],WWWW[[#This Row],['# Functional hand washing stations during reporting period]]*20)</f>
        <v>0</v>
      </c>
      <c r="DG721" s="708">
        <f>IF(WWWW[[#This Row],[Is sufficient soap available for TLS? (Yes/No)]]="yes",WWWW[[#This Row],['#_Constructed/Existing hand washing stations at TLS]],0)</f>
        <v>0</v>
      </c>
      <c r="DH721" s="759">
        <f>IF(WWWW[[#This Row],['# Functional hand washing stations during reporting period]]*100&gt;WWWW[[#This Row],[Total PoP ]],WWWW[[#This Row],[Total PoP ]],WWWW[[#This Row],['# Functional hand washing stations during reporting period]]*100)</f>
        <v>0</v>
      </c>
      <c r="DI721" s="759" t="str">
        <f>IF(OR(WWWW[[#This Row],['#_students at TLS_CFS]]="",WWWW[[#This Row],['#_students at TLS_CFS]]=0),"No","Yes")</f>
        <v>No</v>
      </c>
      <c r="DJ721" s="711">
        <f>VLOOKUP(WWWW[[#This Row],[Site Name]],SiteDB6[[Site Name]:[CCCM Management]],6,FALSE)</f>
        <v>0</v>
      </c>
      <c r="DK721" s="711" t="str">
        <f>VLOOKUP(WWWW[[#This Row],[Site Name]],SiteDB6[[Site Name]:[CCCM Focal Agency]],7,FALSE)</f>
        <v>uncovered</v>
      </c>
      <c r="DL721" s="711" t="str">
        <f>VLOOKUP(WWWW[[#This Row],[Site Name]],SiteDB6[[Site Name]:[Location Type 1]],9,FALSE)</f>
        <v>Camp</v>
      </c>
      <c r="DM721" s="711" t="str">
        <f>VLOOKUP(WWWW[[#This Row],[Site Name]],SiteDB6[[Site Name]:[Type of Accommodation]],10,FALSE)</f>
        <v>Camp like setting</v>
      </c>
      <c r="DN721" s="711" t="str">
        <f>VLOOKUP(WWWW[[#This Row],[Site Name]],SiteDB6[[Site Name]:[Ethnic or GCA/NGCA]],11,FALSE)</f>
        <v>GCA</v>
      </c>
      <c r="DO721" s="711">
        <f>VLOOKUP(WWWW[[#This Row],[Site Name]],SiteDB6[[Site Name]:[Lat]],12,FALSE)</f>
        <v>0</v>
      </c>
      <c r="DP721" s="711">
        <f>VLOOKUP(WWWW[[#This Row],[Site Name]],SiteDB6[[Site Name]:[Long]],13,FALSE)</f>
        <v>0</v>
      </c>
      <c r="DQ721" s="711" t="str">
        <f>VLOOKUP(WWWW[[#This Row],[Site Name]],SiteDB6[[Site Name]:[Pcode]],3,FALSE)</f>
        <v>MMR015CMP246</v>
      </c>
      <c r="DR721" s="709" t="str">
        <f t="shared" si="27"/>
        <v>Covered</v>
      </c>
      <c r="DS721" s="709"/>
    </row>
    <row r="722" spans="1:123">
      <c r="A722" s="701" t="s">
        <v>2519</v>
      </c>
      <c r="B722" s="584" t="s">
        <v>200</v>
      </c>
      <c r="C722" s="584" t="s">
        <v>200</v>
      </c>
      <c r="D722" s="702" t="s">
        <v>249</v>
      </c>
      <c r="E722" s="702" t="s">
        <v>716</v>
      </c>
      <c r="F722" s="702" t="s">
        <v>723</v>
      </c>
      <c r="G722" s="711" t="str">
        <f>VLOOKUP(WWWW[[#This Row],[Site Name]],SiteDB6[[Site Name]:[Location Type]],8,FALSE)</f>
        <v>Camp</v>
      </c>
      <c r="H722" s="702" t="s">
        <v>749</v>
      </c>
      <c r="I722" s="705">
        <v>29</v>
      </c>
      <c r="J722" s="705">
        <v>135</v>
      </c>
      <c r="K722" s="706">
        <v>43497</v>
      </c>
      <c r="L722" s="707">
        <v>43861</v>
      </c>
      <c r="M722" s="806">
        <v>88</v>
      </c>
      <c r="N722" s="705"/>
      <c r="O722" s="705"/>
      <c r="P722" s="705"/>
      <c r="Q722" s="708" t="s">
        <v>43</v>
      </c>
      <c r="R722" s="705"/>
      <c r="S722" s="705"/>
      <c r="T722" s="807"/>
      <c r="U722" s="705"/>
      <c r="V722" s="705"/>
      <c r="W722" s="705">
        <v>1</v>
      </c>
      <c r="X722" s="705">
        <v>1</v>
      </c>
      <c r="Y722" s="705"/>
      <c r="Z722" s="705">
        <v>1</v>
      </c>
      <c r="AA722" s="705"/>
      <c r="AB722" s="705"/>
      <c r="AC722" s="705"/>
      <c r="AD722" s="705"/>
      <c r="AE722" s="705"/>
      <c r="AF722" s="705"/>
      <c r="AG722" s="705"/>
      <c r="AH722" s="705"/>
      <c r="AI722" s="705"/>
      <c r="AJ722" s="705"/>
      <c r="AK722" s="705"/>
      <c r="AL722" s="705"/>
      <c r="AM722" s="705"/>
      <c r="AN722" s="705"/>
      <c r="AO722" s="705"/>
      <c r="AP722" s="705">
        <v>18</v>
      </c>
      <c r="AQ722" s="705"/>
      <c r="AR722" s="710"/>
      <c r="AS722" s="705"/>
      <c r="AT722" s="705"/>
      <c r="AU722" s="705"/>
      <c r="AV722" s="705"/>
      <c r="AW722" s="705"/>
      <c r="AX722" s="711" t="s">
        <v>43</v>
      </c>
      <c r="AY722" s="709" t="s">
        <v>145</v>
      </c>
      <c r="AZ722" s="705"/>
      <c r="BA722" s="705"/>
      <c r="BB722" s="705"/>
      <c r="BC722" s="711"/>
      <c r="BD722" s="705"/>
      <c r="BE722" s="705"/>
      <c r="BF722" s="705"/>
      <c r="BG722" s="705">
        <v>5</v>
      </c>
      <c r="BH722" s="705"/>
      <c r="BI722" s="705"/>
      <c r="BJ722" s="705">
        <v>1</v>
      </c>
      <c r="BK722" s="705">
        <v>29</v>
      </c>
      <c r="BL722" s="705">
        <v>29</v>
      </c>
      <c r="BM722" s="711"/>
      <c r="BN722" s="712"/>
      <c r="BO722" s="710"/>
      <c r="BP722" s="711"/>
      <c r="BQ722" s="713" t="str">
        <f>IFERROR(WWWW[[#This Row],['#_Water sources treated]]/WWWW[[#This Row],['#_Water sources tested for contamination]],"no test")</f>
        <v>no test</v>
      </c>
      <c r="BR722" s="710" t="str">
        <f>IFERROR(WWWW[[#This Row],['#_Household received remediation action due to contamination]]/WWWW[[#This Row],['#_Household water samples tested for contamination]],"no test")</f>
        <v>no test</v>
      </c>
      <c r="BS722" s="712" t="str">
        <f>IF(AND(WWWW[[#This Row],[% of water sources treated]]="no test",WWWW[[#This Row],[% Household received corrective actions]]="no test"),"No Test","Tested")</f>
        <v>No Test</v>
      </c>
      <c r="BT722" s="712">
        <f>WWWW[[#This Row],['#_Constructed/existing protected hand dug well]]-WWWW[[#This Row],['#_Non-functional protected hand dug well]]</f>
        <v>0</v>
      </c>
      <c r="BU722" s="712">
        <f>(WWWW[[#This Row],['#_Constructed/Existing tube wells/boreholes/handpumps_WASH_agency]]+WWWW[[#This Row],['#_Non-Cluster partner water tube-wells/boreholes/handpumps]])-WWWW[[#This Row],['#_Non-functional tube wells/boreholes/handpumps]]</f>
        <v>2</v>
      </c>
      <c r="BV722" s="712">
        <f>WWWW[[#This Row],['#_Constructed/Existingwater storage tank with gravity fed reticulation system]]-WWWW[[#This Row],['#_Non-functional storage tank gravity fed reticulation system]]</f>
        <v>0</v>
      </c>
      <c r="BW722" s="712">
        <f>WWWW[[#This Row],['#_Water boating or water trucking]]</f>
        <v>0</v>
      </c>
      <c r="BX722" s="712">
        <f>WWWW[[#This Row],['#_Constructed/Existing water distribution system from river or natural spring]]</f>
        <v>0</v>
      </c>
      <c r="BY72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2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22" s="710">
        <f>IF(WWWW[[#This Row],[Location Type 1]]="Village",WWWW[[#This Row],[Access to safe drinking water for Village]],WWWW[[#This Row],[Access to safe drinking water for Camp]])</f>
        <v>1</v>
      </c>
      <c r="CB722" s="708">
        <f>WWWW[[#This Row],[%Equitable and continuous access to sufficient quantity of safe drinking water]]*WWWW[[#This Row],[Total PoP ]]</f>
        <v>135</v>
      </c>
      <c r="CC722" s="710">
        <f>IF((WWWW[[#This Row],['#_Constructed/Existing protected/fenced ponds]]*250)/WWWW[[#This Row],[Total PoP ]]&gt;1,1,(WWWW[[#This Row],['#_Constructed/Existing protected/fenced ponds]]*250)/WWWW[[#This Row],[Total PoP ]])</f>
        <v>0</v>
      </c>
      <c r="CD722" s="708">
        <f>WWWW[[#This Row],[% Access to unimproved water points]]*WWWW[[#This Row],[Total PoP ]]</f>
        <v>0</v>
      </c>
      <c r="CE72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2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135</v>
      </c>
      <c r="CG722" s="708">
        <f>WWWW[[#This Row],[HRP1]]/500</f>
        <v>0.27</v>
      </c>
      <c r="CH722" s="714">
        <f>1-WWWW[[#This Row],[% Equitable and continuous access to sufficient quantity of domestic water]]</f>
        <v>0</v>
      </c>
      <c r="CI722" s="708">
        <f>WWWW[[#This Row],[%equitable and continuous access to sufficient quantity of safe drinking and domestic water''s GAP]]*WWWW[[#This Row],[Total PoP ]]</f>
        <v>0</v>
      </c>
      <c r="CJ722" s="712">
        <f>IF(WWWW[[#This Row],[Total required water points]]-WWWW[[#This Row],['#Water points coverage]]&lt;0,0,WWWW[[#This Row],[Total required water points]]-WWWW[[#This Row],['#Water points coverage]])</f>
        <v>0.73</v>
      </c>
      <c r="CK722" s="712">
        <f>ROUND(IF(WWWW[[#This Row],[Total PoP ]]&lt;500,1,WWWW[[#This Row],[Total PoP ]]/500),0)</f>
        <v>1</v>
      </c>
      <c r="CL722" s="712">
        <f>(WWWW[[#This Row],['#_Constructed latrines_by_WASHAgencies]]+WWWW[[#This Row],['#_Non Cluster partner latrines]])-WWWW[[#This Row],['#_Non-functional latrines]]</f>
        <v>18</v>
      </c>
      <c r="CM72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2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135</v>
      </c>
      <c r="CO72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2" s="712">
        <f>IF(WWWW[[#This Row],[Location Type 1]]="Village","NA",IF(WWWW[[#This Row],['#_Constructed/Existing latrines in TLS]]*50&gt;WWWW[[#This Row],['#_students at TLS_CFS]],WWWW[[#This Row],['#_students at TLS_CFS]],(WWWW[[#This Row],['#_Constructed/Existing latrines in TLS]]*50)))</f>
        <v>0</v>
      </c>
      <c r="CQ722" s="712">
        <f>ROUND(IF(WWWW[[#This Row],[Location Type 1]]="camp",WWWW[[#This Row],[Total PoP ]]/20,IF(WWWW[[#This Row],[Location Type 1]]="Temporary Location",WWWW[[#This Row],[Total PoP ]]/50,(WWWW[[#This Row],[Total PoP ]]/6))),0)</f>
        <v>7</v>
      </c>
      <c r="CR722" s="712">
        <f>IF(WWWW[[#This Row],[Total required Latrines]]-(WWWW[[#This Row],['#_Constructed latrines_by_WASHAgencies]]+WWWW[[#This Row],['#_Non Cluster partner latrines]])&lt;0,0,WWWW[[#This Row],[Total required Latrines]]-(WWWW[[#This Row],['#_Constructed latrines_by_WASHAgencies]]+WWWW[[#This Row],['#_Non Cluster partner latrines]]))</f>
        <v>0</v>
      </c>
      <c r="CS722" s="714">
        <f>1-WWWW[[#This Row],[% people access to functioning Latrine]]</f>
        <v>0</v>
      </c>
      <c r="CT722" s="713">
        <f>IF(OR(WWWW[[#This Row],['#_Non-functional latrines]]="",WWWW[[#This Row],['#_Non-functional latrines]]=0),0,WWWW[[#This Row],['#_Non-functional latrines]]/(WWWW[[#This Row],['#_Constructed latrines_by_WASHAgencies]]+WWWW[[#This Row],['#_Non Cluster partner latrines]]))</f>
        <v>0</v>
      </c>
      <c r="CU722" s="708">
        <f>IF(500*(WWWW[[#This Row],['#_male hygiene promoters]]+WWWW[[#This Row],['#_female hygiene promoters]])&gt;WWWW[[#This Row],[Total PoP ]],WWWW[[#This Row],[Total PoP ]],500*(WWWW[[#This Row],['#_male hygiene promoters]]+WWWW[[#This Row],['#_female hygiene promoters]]))</f>
        <v>135</v>
      </c>
      <c r="CV72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135</v>
      </c>
      <c r="CW72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135</v>
      </c>
      <c r="CX722" s="712">
        <f>IF(WWWW[[#This Row],['# People with access to soap]]&gt;WWWW[[#This Row],['# People with access to Sanity Pads]],WWWW[[#This Row],['# People with access to soap]],WWWW[[#This Row],['# People with access to Sanity Pads]])</f>
        <v>135</v>
      </c>
      <c r="CY722" s="712">
        <f>IF(WWWW[[#This Row],['# people reached by regular dedicated hygiene promotion_5]]&gt;WWWW[[#This Row],['# People received regular supply of hygiene items_6]],WWWW[[#This Row],['# people reached by regular dedicated hygiene promotion_5]],WWWW[[#This Row],['# People received regular supply of hygiene items_6]])</f>
        <v>135</v>
      </c>
      <c r="CZ722" s="714">
        <f>IF(WWWW[[#This Row],[HRP3]]/WWWW[[#This Row],[Total PoP ]]&gt;100%,100%,WWWW[[#This Row],[HRP3]]/WWWW[[#This Row],[Total PoP ]])</f>
        <v>1</v>
      </c>
      <c r="DA722" s="713">
        <f>1-WWWW[[#This Row],[Hygiene Coverage%]]</f>
        <v>0</v>
      </c>
      <c r="DB722" s="710">
        <f>WWWW[[#This Row],['# people reached by regular dedicated hygiene promotion_5]]/WWWW[[#This Row],[Total PoP ]]</f>
        <v>1</v>
      </c>
      <c r="DC722" s="710">
        <f>IF(WWWW[[#This Row],['#_households that received standard amount of soap for this quarter]]/WWWW[[#This Row],[Total HH]]&gt;1,1,WWWW[[#This Row],['#_households that received standard amount of soap for this quarter]]/WWWW[[#This Row],[Total HH]])</f>
        <v>1</v>
      </c>
      <c r="DD722" s="710">
        <f>IF(WWWW[[#This Row],['#_households that received standard amount of sanitary pads for this quarter]]/WWWW[[#This Row],[Total HH]]&gt;1,1,WWWW[[#This Row],['#_households that received standard amount of sanitary pads for this quarter]]/WWWW[[#This Row],[Total HH]])</f>
        <v>1</v>
      </c>
      <c r="DE722" s="712">
        <f>WWWW[[#This Row],['#_Constructed/Existing hand washing stations]]-WWWW[[#This Row],['#_Non-Functional_hand_washing_stations]]</f>
        <v>0</v>
      </c>
      <c r="DF722" s="757">
        <f>IF(WWWW[[#This Row],['# Functional hand washing stations during reporting period]]*20&gt;WWWW[[#This Row],[Total HH]],WWWW[[#This Row],[Total HH]],WWWW[[#This Row],['# Functional hand washing stations during reporting period]]*20)</f>
        <v>0</v>
      </c>
      <c r="DG722" s="708">
        <f>IF(WWWW[[#This Row],[Is sufficient soap available for TLS? (Yes/No)]]="yes",WWWW[[#This Row],['#_Constructed/Existing hand washing stations at TLS]],0)</f>
        <v>0</v>
      </c>
      <c r="DH722" s="759">
        <f>IF(WWWW[[#This Row],['# Functional hand washing stations during reporting period]]*100&gt;WWWW[[#This Row],[Total PoP ]],WWWW[[#This Row],[Total PoP ]],WWWW[[#This Row],['# Functional hand washing stations during reporting period]]*100)</f>
        <v>0</v>
      </c>
      <c r="DI722" s="759" t="str">
        <f>IF(OR(WWWW[[#This Row],['#_students at TLS_CFS]]="",WWWW[[#This Row],['#_students at TLS_CFS]]=0),"No","Yes")</f>
        <v>Yes</v>
      </c>
      <c r="DJ722" s="711" t="str">
        <f>VLOOKUP(WWWW[[#This Row],[Site Name]],SiteDB6[[Site Name]:[CCCM Management]],6,FALSE)</f>
        <v>Yes</v>
      </c>
      <c r="DK722" s="711" t="str">
        <f>VLOOKUP(WWWW[[#This Row],[Site Name]],SiteDB6[[Site Name]:[CCCM Focal Agency]],7,FALSE)</f>
        <v>KBC-NSS</v>
      </c>
      <c r="DL722" s="711" t="str">
        <f>VLOOKUP(WWWW[[#This Row],[Site Name]],SiteDB6[[Site Name]:[Location Type 1]],9,FALSE)</f>
        <v>Camp</v>
      </c>
      <c r="DM722" s="711" t="str">
        <f>VLOOKUP(WWWW[[#This Row],[Site Name]],SiteDB6[[Site Name]:[Type of Accommodation]],10,FALSE)</f>
        <v>Camp</v>
      </c>
      <c r="DN722" s="711" t="str">
        <f>VLOOKUP(WWWW[[#This Row],[Site Name]],SiteDB6[[Site Name]:[Ethnic or GCA/NGCA]],11,FALSE)</f>
        <v>GCA</v>
      </c>
      <c r="DO722" s="711">
        <f>VLOOKUP(WWWW[[#This Row],[Site Name]],SiteDB6[[Site Name]:[Lat]],12,FALSE)</f>
        <v>23.250678000000001</v>
      </c>
      <c r="DP722" s="711">
        <f>VLOOKUP(WWWW[[#This Row],[Site Name]],SiteDB6[[Site Name]:[Long]],13,FALSE)</f>
        <v>97.124403000000001</v>
      </c>
      <c r="DQ722" s="711" t="str">
        <f>VLOOKUP(WWWW[[#This Row],[Site Name]],SiteDB6[[Site Name]:[Pcode]],3,FALSE)</f>
        <v>MMR015CMP009</v>
      </c>
      <c r="DR722" s="709" t="str">
        <f t="shared" si="27"/>
        <v>Covered</v>
      </c>
      <c r="DS722" s="709"/>
    </row>
    <row r="723" spans="1:123">
      <c r="A723" s="701" t="s">
        <v>2519</v>
      </c>
      <c r="B723" s="701" t="s">
        <v>1233</v>
      </c>
      <c r="C723" s="702" t="s">
        <v>1233</v>
      </c>
      <c r="D723" s="584" t="s">
        <v>3336</v>
      </c>
      <c r="E723" s="702" t="s">
        <v>716</v>
      </c>
      <c r="F723" s="702" t="s">
        <v>723</v>
      </c>
      <c r="G723" s="711" t="str">
        <f>VLOOKUP(WWWW[[#This Row],[Site Name]],SiteDB6[[Site Name]:[Location Type]],8,FALSE)</f>
        <v>Camp</v>
      </c>
      <c r="H723" s="702" t="s">
        <v>724</v>
      </c>
      <c r="I723" s="705">
        <v>29</v>
      </c>
      <c r="J723" s="705">
        <v>235</v>
      </c>
      <c r="K723" s="706">
        <v>43497</v>
      </c>
      <c r="L723" s="58" t="s">
        <v>3340</v>
      </c>
      <c r="M723" s="705">
        <v>48</v>
      </c>
      <c r="N723" s="705">
        <v>2</v>
      </c>
      <c r="O723" s="705"/>
      <c r="P723" s="705"/>
      <c r="Q723" s="759" t="s">
        <v>43</v>
      </c>
      <c r="R723" s="705">
        <v>7</v>
      </c>
      <c r="S723" s="705">
        <v>6</v>
      </c>
      <c r="T723" s="807">
        <v>1</v>
      </c>
      <c r="U723" s="705"/>
      <c r="V723" s="705">
        <v>1</v>
      </c>
      <c r="W723" s="705">
        <v>1</v>
      </c>
      <c r="X723" s="705"/>
      <c r="Y723" s="705"/>
      <c r="Z723" s="705">
        <v>1</v>
      </c>
      <c r="AA723" s="705"/>
      <c r="AB723" s="705"/>
      <c r="AC723" s="705"/>
      <c r="AD723" s="705"/>
      <c r="AE723" s="705">
        <v>1</v>
      </c>
      <c r="AF723" s="705"/>
      <c r="AG723" s="705"/>
      <c r="AH723" s="705">
        <v>1</v>
      </c>
      <c r="AI723" s="705">
        <v>2</v>
      </c>
      <c r="AJ723" s="705"/>
      <c r="AK723" s="705">
        <v>15</v>
      </c>
      <c r="AL723" s="705"/>
      <c r="AM723" s="705"/>
      <c r="AN723" s="705"/>
      <c r="AO723" s="705"/>
      <c r="AP723" s="705">
        <v>8</v>
      </c>
      <c r="AQ723" s="705"/>
      <c r="AR723" s="710"/>
      <c r="AS723" s="705"/>
      <c r="AT723" s="705"/>
      <c r="AU723" s="705"/>
      <c r="AV723" s="705"/>
      <c r="AW723" s="705"/>
      <c r="AX723" s="711" t="s">
        <v>43</v>
      </c>
      <c r="AY723" s="709" t="s">
        <v>145</v>
      </c>
      <c r="AZ723" s="705"/>
      <c r="BA723" s="705"/>
      <c r="BB723" s="705">
        <v>0</v>
      </c>
      <c r="BC723" s="711"/>
      <c r="BD723" s="705">
        <v>4</v>
      </c>
      <c r="BE723" s="705"/>
      <c r="BF723" s="705">
        <v>0</v>
      </c>
      <c r="BG723" s="705">
        <v>2</v>
      </c>
      <c r="BH723" s="705"/>
      <c r="BI723" s="705"/>
      <c r="BJ723" s="835">
        <v>2</v>
      </c>
      <c r="BK723" s="705">
        <v>30</v>
      </c>
      <c r="BL723" s="705">
        <v>30</v>
      </c>
      <c r="BM723" s="711"/>
      <c r="BN723" s="712"/>
      <c r="BO723" s="710"/>
      <c r="BP723" s="711"/>
      <c r="BQ723" s="713">
        <f>IFERROR(WWWW[[#This Row],['#_Water sources treated]]/WWWW[[#This Row],['#_Water sources tested for contamination]],"no test")</f>
        <v>0</v>
      </c>
      <c r="BR723" s="710">
        <f>IFERROR(WWWW[[#This Row],['#_Household received remediation action due to contamination]]/WWWW[[#This Row],['#_Household water samples tested for contamination]],"no test")</f>
        <v>0</v>
      </c>
      <c r="BS723" s="712" t="str">
        <f>IF(AND(WWWW[[#This Row],[% of water sources treated]]="no test",WWWW[[#This Row],[% Household received corrective actions]]="no test"),"No Test","Tested")</f>
        <v>Tested</v>
      </c>
      <c r="BT723" s="712">
        <f>WWWW[[#This Row],['#_Constructed/existing protected hand dug well]]-WWWW[[#This Row],['#_Non-functional protected hand dug well]]</f>
        <v>1</v>
      </c>
      <c r="BU723" s="712">
        <f>(WWWW[[#This Row],['#_Constructed/Existing tube wells/boreholes/handpumps_WASH_agency]]+WWWW[[#This Row],['#_Non-Cluster partner water tube-wells/boreholes/handpumps]])-WWWW[[#This Row],['#_Non-functional tube wells/boreholes/handpumps]]</f>
        <v>1</v>
      </c>
      <c r="BV723" s="712">
        <f>WWWW[[#This Row],['#_Constructed/Existingwater storage tank with gravity fed reticulation system]]-WWWW[[#This Row],['#_Non-functional storage tank gravity fed reticulation system]]</f>
        <v>0</v>
      </c>
      <c r="BW723" s="712">
        <f>WWWW[[#This Row],['#_Water boating or water trucking]]</f>
        <v>0</v>
      </c>
      <c r="BX723" s="712">
        <f>WWWW[[#This Row],['#_Constructed/Existing water distribution system from river or natural spring]]</f>
        <v>0</v>
      </c>
      <c r="BY72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2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23" s="710">
        <f>IF(WWWW[[#This Row],[Location Type 1]]="Village",WWWW[[#This Row],[Access to safe drinking water for Village]],WWWW[[#This Row],[Access to safe drinking water for Camp]])</f>
        <v>1</v>
      </c>
      <c r="CB723" s="708">
        <f>WWWW[[#This Row],[%Equitable and continuous access to sufficient quantity of safe drinking water]]*WWWW[[#This Row],[Total PoP ]]</f>
        <v>235</v>
      </c>
      <c r="CC723" s="710">
        <f>IF((WWWW[[#This Row],['#_Constructed/Existing protected/fenced ponds]]*250)/WWWW[[#This Row],[Total PoP ]]&gt;1,1,(WWWW[[#This Row],['#_Constructed/Existing protected/fenced ponds]]*250)/WWWW[[#This Row],[Total PoP ]])</f>
        <v>1</v>
      </c>
      <c r="CD723" s="708">
        <f>WWWW[[#This Row],[% Access to unimproved water points]]*WWWW[[#This Row],[Total PoP ]]</f>
        <v>235</v>
      </c>
      <c r="CE72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2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235</v>
      </c>
      <c r="CG723" s="708">
        <f>WWWW[[#This Row],[HRP1]]/500</f>
        <v>0.47</v>
      </c>
      <c r="CH723" s="714">
        <f>1-WWWW[[#This Row],[% Equitable and continuous access to sufficient quantity of domestic water]]</f>
        <v>0</v>
      </c>
      <c r="CI723" s="708">
        <f>WWWW[[#This Row],[%equitable and continuous access to sufficient quantity of safe drinking and domestic water''s GAP]]*WWWW[[#This Row],[Total PoP ]]</f>
        <v>0</v>
      </c>
      <c r="CJ723" s="712">
        <f>IF(WWWW[[#This Row],[Total required water points]]-WWWW[[#This Row],['#Water points coverage]]&lt;0,0,WWWW[[#This Row],[Total required water points]]-WWWW[[#This Row],['#Water points coverage]])</f>
        <v>0.53</v>
      </c>
      <c r="CK723" s="712">
        <f>ROUND(IF(WWWW[[#This Row],[Total PoP ]]&lt;500,1,WWWW[[#This Row],[Total PoP ]]/500),0)</f>
        <v>1</v>
      </c>
      <c r="CL723" s="712">
        <f>(WWWW[[#This Row],['#_Constructed latrines_by_WASHAgencies]]+WWWW[[#This Row],['#_Non Cluster partner latrines]])-WWWW[[#This Row],['#_Non-functional latrines]]</f>
        <v>8</v>
      </c>
      <c r="CM72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0.68085106382978722</v>
      </c>
      <c r="CN72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72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3" s="712">
        <f>IF(WWWW[[#This Row],[Location Type 1]]="Village","NA",IF(WWWW[[#This Row],['#_Constructed/Existing latrines in TLS]]*50&gt;WWWW[[#This Row],['#_students at TLS_CFS]],WWWW[[#This Row],['#_students at TLS_CFS]],(WWWW[[#This Row],['#_Constructed/Existing latrines in TLS]]*50)))</f>
        <v>0</v>
      </c>
      <c r="CQ723" s="712">
        <f>ROUND(IF(WWWW[[#This Row],[Location Type 1]]="camp",WWWW[[#This Row],[Total PoP ]]/20,IF(WWWW[[#This Row],[Location Type 1]]="Temporary Location",WWWW[[#This Row],[Total PoP ]]/50,(WWWW[[#This Row],[Total PoP ]]/6))),0)</f>
        <v>12</v>
      </c>
      <c r="CR723" s="712">
        <f>IF(WWWW[[#This Row],[Total required Latrines]]-(WWWW[[#This Row],['#_Constructed latrines_by_WASHAgencies]]+WWWW[[#This Row],['#_Non Cluster partner latrines]])&lt;0,0,WWWW[[#This Row],[Total required Latrines]]-(WWWW[[#This Row],['#_Constructed latrines_by_WASHAgencies]]+WWWW[[#This Row],['#_Non Cluster partner latrines]]))</f>
        <v>4</v>
      </c>
      <c r="CS723" s="714">
        <f>1-WWWW[[#This Row],[% people access to functioning Latrine]]</f>
        <v>0.31914893617021278</v>
      </c>
      <c r="CT723" s="713">
        <f>IF(OR(WWWW[[#This Row],['#_Non-functional latrines]]="",WWWW[[#This Row],['#_Non-functional latrines]]=0),0,WWWW[[#This Row],['#_Non-functional latrines]]/(WWWW[[#This Row],['#_Constructed latrines_by_WASHAgencies]]+WWWW[[#This Row],['#_Non Cluster partner latrines]]))</f>
        <v>0</v>
      </c>
      <c r="CU723" s="708">
        <f>IF(500*(WWWW[[#This Row],['#_male hygiene promoters]]+WWWW[[#This Row],['#_female hygiene promoters]])&gt;WWWW[[#This Row],[Total PoP ]],WWWW[[#This Row],[Total PoP ]],500*(WWWW[[#This Row],['#_male hygiene promoters]]+WWWW[[#This Row],['#_female hygiene promoters]]))</f>
        <v>235</v>
      </c>
      <c r="CV72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150</v>
      </c>
      <c r="CW72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150</v>
      </c>
      <c r="CX723" s="712">
        <f>IF(WWWW[[#This Row],['# People with access to soap]]&gt;WWWW[[#This Row],['# People with access to Sanity Pads]],WWWW[[#This Row],['# People with access to soap]],WWWW[[#This Row],['# People with access to Sanity Pads]])</f>
        <v>150</v>
      </c>
      <c r="CY723" s="712">
        <f>IF(WWWW[[#This Row],['# people reached by regular dedicated hygiene promotion_5]]&gt;WWWW[[#This Row],['# People received regular supply of hygiene items_6]],WWWW[[#This Row],['# people reached by regular dedicated hygiene promotion_5]],WWWW[[#This Row],['# People received regular supply of hygiene items_6]])</f>
        <v>235</v>
      </c>
      <c r="CZ723" s="714">
        <f>IF(WWWW[[#This Row],[HRP3]]/WWWW[[#This Row],[Total PoP ]]&gt;100%,100%,WWWW[[#This Row],[HRP3]]/WWWW[[#This Row],[Total PoP ]])</f>
        <v>1</v>
      </c>
      <c r="DA723" s="713">
        <f>1-WWWW[[#This Row],[Hygiene Coverage%]]</f>
        <v>0</v>
      </c>
      <c r="DB723" s="710">
        <f>WWWW[[#This Row],['# people reached by regular dedicated hygiene promotion_5]]/WWWW[[#This Row],[Total PoP ]]</f>
        <v>1</v>
      </c>
      <c r="DC723" s="710">
        <f>IF(WWWW[[#This Row],['#_households that received standard amount of soap for this quarter]]/WWWW[[#This Row],[Total HH]]&gt;1,1,WWWW[[#This Row],['#_households that received standard amount of soap for this quarter]]/WWWW[[#This Row],[Total HH]])</f>
        <v>1</v>
      </c>
      <c r="DD723" s="710">
        <f>IF(WWWW[[#This Row],['#_households that received standard amount of sanitary pads for this quarter]]/WWWW[[#This Row],[Total HH]]&gt;1,1,WWWW[[#This Row],['#_households that received standard amount of sanitary pads for this quarter]]/WWWW[[#This Row],[Total HH]])</f>
        <v>1</v>
      </c>
      <c r="DE723" s="712">
        <f>WWWW[[#This Row],['#_Constructed/Existing hand washing stations]]-WWWW[[#This Row],['#_Non-Functional_hand_washing_stations]]</f>
        <v>4</v>
      </c>
      <c r="DF723" s="757">
        <f>IF(WWWW[[#This Row],['# Functional hand washing stations during reporting period]]*20&gt;WWWW[[#This Row],[Total HH]],WWWW[[#This Row],[Total HH]],WWWW[[#This Row],['# Functional hand washing stations during reporting period]]*20)</f>
        <v>29</v>
      </c>
      <c r="DG723" s="708">
        <f>IF(WWWW[[#This Row],[Is sufficient soap available for TLS? (Yes/No)]]="yes",WWWW[[#This Row],['#_Constructed/Existing hand washing stations at TLS]],0)</f>
        <v>0</v>
      </c>
      <c r="DH723" s="759">
        <f>IF(WWWW[[#This Row],['# Functional hand washing stations during reporting period]]*100&gt;WWWW[[#This Row],[Total PoP ]],WWWW[[#This Row],[Total PoP ]],WWWW[[#This Row],['# Functional hand washing stations during reporting period]]*100)</f>
        <v>235</v>
      </c>
      <c r="DI723" s="759" t="str">
        <f>IF(OR(WWWW[[#This Row],['#_students at TLS_CFS]]="",WWWW[[#This Row],['#_students at TLS_CFS]]=0),"No","Yes")</f>
        <v>Yes</v>
      </c>
      <c r="DJ723" s="711" t="str">
        <f>VLOOKUP(WWWW[[#This Row],[Site Name]],SiteDB6[[Site Name]:[CCCM Management]],6,FALSE)</f>
        <v>Yes</v>
      </c>
      <c r="DK723" s="711" t="str">
        <f>VLOOKUP(WWWW[[#This Row],[Site Name]],SiteDB6[[Site Name]:[CCCM Focal Agency]],7,FALSE)</f>
        <v>KMSS-LSO</v>
      </c>
      <c r="DL723" s="711" t="str">
        <f>VLOOKUP(WWWW[[#This Row],[Site Name]],SiteDB6[[Site Name]:[Location Type 1]],9,FALSE)</f>
        <v>Camp</v>
      </c>
      <c r="DM723" s="711" t="str">
        <f>VLOOKUP(WWWW[[#This Row],[Site Name]],SiteDB6[[Site Name]:[Type of Accommodation]],10,FALSE)</f>
        <v>Camp</v>
      </c>
      <c r="DN723" s="711" t="str">
        <f>VLOOKUP(WWWW[[#This Row],[Site Name]],SiteDB6[[Site Name]:[Ethnic or GCA/NGCA]],11,FALSE)</f>
        <v>GCA</v>
      </c>
      <c r="DO723" s="711">
        <f>VLOOKUP(WWWW[[#This Row],[Site Name]],SiteDB6[[Site Name]:[Lat]],12,FALSE)</f>
        <v>23.24661</v>
      </c>
      <c r="DP723" s="711">
        <f>VLOOKUP(WWWW[[#This Row],[Site Name]],SiteDB6[[Site Name]:[Long]],13,FALSE)</f>
        <v>97.116680000000002</v>
      </c>
      <c r="DQ723" s="711" t="str">
        <f>VLOOKUP(WWWW[[#This Row],[Site Name]],SiteDB6[[Site Name]:[Pcode]],3,FALSE)</f>
        <v>MMR015CMP209</v>
      </c>
      <c r="DR723" s="709" t="str">
        <f t="shared" si="27"/>
        <v>Covered</v>
      </c>
      <c r="DS723" s="709"/>
    </row>
    <row r="724" spans="1:123">
      <c r="A724" s="701" t="s">
        <v>2519</v>
      </c>
      <c r="B724" s="808" t="s">
        <v>200</v>
      </c>
      <c r="C724" s="584" t="s">
        <v>200</v>
      </c>
      <c r="D724" s="584" t="s">
        <v>249</v>
      </c>
      <c r="E724" s="702" t="s">
        <v>716</v>
      </c>
      <c r="F724" s="702" t="s">
        <v>1290</v>
      </c>
      <c r="G724" s="711" t="str">
        <f>VLOOKUP(WWWW[[#This Row],[Site Name]],SiteDB6[[Site Name]:[Location Type]],8,FALSE)</f>
        <v>Camp_not registered</v>
      </c>
      <c r="H724" s="702" t="s">
        <v>2313</v>
      </c>
      <c r="I724" s="705">
        <v>11</v>
      </c>
      <c r="J724" s="705">
        <v>53</v>
      </c>
      <c r="K724" s="706">
        <v>43497</v>
      </c>
      <c r="L724" s="707">
        <v>43861</v>
      </c>
      <c r="M724" s="705">
        <v>10</v>
      </c>
      <c r="N724" s="705"/>
      <c r="O724" s="705"/>
      <c r="P724" s="705"/>
      <c r="Q724" s="708"/>
      <c r="R724" s="705"/>
      <c r="S724" s="705"/>
      <c r="T724" s="807"/>
      <c r="U724" s="705"/>
      <c r="V724" s="705"/>
      <c r="W724" s="705"/>
      <c r="X724" s="705"/>
      <c r="Y724" s="705"/>
      <c r="Z724" s="705"/>
      <c r="AA724" s="705"/>
      <c r="AB724" s="705"/>
      <c r="AC724" s="705"/>
      <c r="AD724" s="705"/>
      <c r="AE724" s="705"/>
      <c r="AF724" s="705"/>
      <c r="AG724" s="705"/>
      <c r="AH724" s="705"/>
      <c r="AI724" s="705"/>
      <c r="AJ724" s="705"/>
      <c r="AK724" s="705"/>
      <c r="AL724" s="705"/>
      <c r="AM724" s="705"/>
      <c r="AN724" s="705"/>
      <c r="AO724" s="705"/>
      <c r="AP724" s="705"/>
      <c r="AQ724" s="705"/>
      <c r="AR724" s="710"/>
      <c r="AS724" s="705"/>
      <c r="AT724" s="705"/>
      <c r="AU724" s="705"/>
      <c r="AV724" s="705"/>
      <c r="AW724" s="705"/>
      <c r="AX724" s="752" t="s">
        <v>148</v>
      </c>
      <c r="AY724" s="782" t="s">
        <v>148</v>
      </c>
      <c r="AZ724" s="705"/>
      <c r="BA724" s="705"/>
      <c r="BB724" s="705"/>
      <c r="BC724" s="711"/>
      <c r="BD724" s="705"/>
      <c r="BE724" s="705"/>
      <c r="BF724" s="705"/>
      <c r="BG724" s="705"/>
      <c r="BH724" s="705"/>
      <c r="BI724" s="705"/>
      <c r="BJ724" s="705"/>
      <c r="BK724" s="705">
        <v>11</v>
      </c>
      <c r="BL724" s="705">
        <v>11</v>
      </c>
      <c r="BM724" s="711"/>
      <c r="BN724" s="712"/>
      <c r="BO724" s="710"/>
      <c r="BP724" s="711"/>
      <c r="BQ724" s="713" t="str">
        <f>IFERROR(WWWW[[#This Row],['#_Water sources treated]]/WWWW[[#This Row],['#_Water sources tested for contamination]],"no test")</f>
        <v>no test</v>
      </c>
      <c r="BR724" s="710" t="str">
        <f>IFERROR(WWWW[[#This Row],['#_Household received remediation action due to contamination]]/WWWW[[#This Row],['#_Household water samples tested for contamination]],"no test")</f>
        <v>no test</v>
      </c>
      <c r="BS724" s="712" t="str">
        <f>IF(AND(WWWW[[#This Row],[% of water sources treated]]="no test",WWWW[[#This Row],[% Household received corrective actions]]="no test"),"No Test","Tested")</f>
        <v>No Test</v>
      </c>
      <c r="BT724" s="712">
        <f>WWWW[[#This Row],['#_Constructed/existing protected hand dug well]]-WWWW[[#This Row],['#_Non-functional protected hand dug well]]</f>
        <v>0</v>
      </c>
      <c r="BU724" s="712">
        <f>(WWWW[[#This Row],['#_Constructed/Existing tube wells/boreholes/handpumps_WASH_agency]]+WWWW[[#This Row],['#_Non-Cluster partner water tube-wells/boreholes/handpumps]])-WWWW[[#This Row],['#_Non-functional tube wells/boreholes/handpumps]]</f>
        <v>0</v>
      </c>
      <c r="BV724" s="712">
        <f>WWWW[[#This Row],['#_Constructed/Existingwater storage tank with gravity fed reticulation system]]-WWWW[[#This Row],['#_Non-functional storage tank gravity fed reticulation system]]</f>
        <v>0</v>
      </c>
      <c r="BW724" s="712">
        <f>WWWW[[#This Row],['#_Water boating or water trucking]]</f>
        <v>0</v>
      </c>
      <c r="BX724" s="712">
        <f>WWWW[[#This Row],['#_Constructed/Existing water distribution system from river or natural spring]]</f>
        <v>0</v>
      </c>
      <c r="BY72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2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24" s="710">
        <f>IF(WWWW[[#This Row],[Location Type 1]]="Village",WWWW[[#This Row],[Access to safe drinking water for Village]],WWWW[[#This Row],[Access to safe drinking water for Camp]])</f>
        <v>0</v>
      </c>
      <c r="CB724" s="708">
        <f>WWWW[[#This Row],[%Equitable and continuous access to sufficient quantity of safe drinking water]]*WWWW[[#This Row],[Total PoP ]]</f>
        <v>0</v>
      </c>
      <c r="CC724" s="710">
        <f>IF((WWWW[[#This Row],['#_Constructed/Existing protected/fenced ponds]]*250)/WWWW[[#This Row],[Total PoP ]]&gt;1,1,(WWWW[[#This Row],['#_Constructed/Existing protected/fenced ponds]]*250)/WWWW[[#This Row],[Total PoP ]])</f>
        <v>0</v>
      </c>
      <c r="CD724" s="708">
        <f>WWWW[[#This Row],[% Access to unimproved water points]]*WWWW[[#This Row],[Total PoP ]]</f>
        <v>0</v>
      </c>
      <c r="CE72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2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24" s="708">
        <f>WWWW[[#This Row],[HRP1]]/500</f>
        <v>0</v>
      </c>
      <c r="CH724" s="714">
        <f>1-WWWW[[#This Row],[% Equitable and continuous access to sufficient quantity of domestic water]]</f>
        <v>1</v>
      </c>
      <c r="CI724" s="708">
        <f>WWWW[[#This Row],[%equitable and continuous access to sufficient quantity of safe drinking and domestic water''s GAP]]*WWWW[[#This Row],[Total PoP ]]</f>
        <v>53</v>
      </c>
      <c r="CJ724" s="712">
        <f>IF(WWWW[[#This Row],[Total required water points]]-WWWW[[#This Row],['#Water points coverage]]&lt;0,0,WWWW[[#This Row],[Total required water points]]-WWWW[[#This Row],['#Water points coverage]])</f>
        <v>1</v>
      </c>
      <c r="CK724" s="712">
        <f>ROUND(IF(WWWW[[#This Row],[Total PoP ]]&lt;500,1,WWWW[[#This Row],[Total PoP ]]/500),0)</f>
        <v>1</v>
      </c>
      <c r="CL724" s="712">
        <f>(WWWW[[#This Row],['#_Constructed latrines_by_WASHAgencies]]+WWWW[[#This Row],['#_Non Cluster partner latrines]])-WWWW[[#This Row],['#_Non-functional latrines]]</f>
        <v>0</v>
      </c>
      <c r="CM72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2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2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4" s="712">
        <f>IF(WWWW[[#This Row],[Location Type 1]]="Village","NA",IF(WWWW[[#This Row],['#_Constructed/Existing latrines in TLS]]*50&gt;WWWW[[#This Row],['#_students at TLS_CFS]],WWWW[[#This Row],['#_students at TLS_CFS]],(WWWW[[#This Row],['#_Constructed/Existing latrines in TLS]]*50)))</f>
        <v>0</v>
      </c>
      <c r="CQ724" s="712">
        <f>ROUND(IF(WWWW[[#This Row],[Location Type 1]]="camp",WWWW[[#This Row],[Total PoP ]]/20,IF(WWWW[[#This Row],[Location Type 1]]="Temporary Location",WWWW[[#This Row],[Total PoP ]]/50,(WWWW[[#This Row],[Total PoP ]]/6))),0)</f>
        <v>3</v>
      </c>
      <c r="CR724" s="712">
        <f>IF(WWWW[[#This Row],[Total required Latrines]]-(WWWW[[#This Row],['#_Constructed latrines_by_WASHAgencies]]+WWWW[[#This Row],['#_Non Cluster partner latrines]])&lt;0,0,WWWW[[#This Row],[Total required Latrines]]-(WWWW[[#This Row],['#_Constructed latrines_by_WASHAgencies]]+WWWW[[#This Row],['#_Non Cluster partner latrines]]))</f>
        <v>3</v>
      </c>
      <c r="CS724" s="714">
        <f>1-WWWW[[#This Row],[% people access to functioning Latrine]]</f>
        <v>1</v>
      </c>
      <c r="CT724" s="713">
        <f>IF(OR(WWWW[[#This Row],['#_Non-functional latrines]]="",WWWW[[#This Row],['#_Non-functional latrines]]=0),0,WWWW[[#This Row],['#_Non-functional latrines]]/(WWWW[[#This Row],['#_Constructed latrines_by_WASHAgencies]]+WWWW[[#This Row],['#_Non Cluster partner latrines]]))</f>
        <v>0</v>
      </c>
      <c r="CU724" s="708">
        <f>IF(500*(WWWW[[#This Row],['#_male hygiene promoters]]+WWWW[[#This Row],['#_female hygiene promoters]])&gt;WWWW[[#This Row],[Total PoP ]],WWWW[[#This Row],[Total PoP ]],500*(WWWW[[#This Row],['#_male hygiene promoters]]+WWWW[[#This Row],['#_female hygiene promoters]]))</f>
        <v>0</v>
      </c>
      <c r="CV72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53</v>
      </c>
      <c r="CW72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53</v>
      </c>
      <c r="CX724" s="712">
        <f>IF(WWWW[[#This Row],['# People with access to soap]]&gt;WWWW[[#This Row],['# People with access to Sanity Pads]],WWWW[[#This Row],['# People with access to soap]],WWWW[[#This Row],['# People with access to Sanity Pads]])</f>
        <v>53</v>
      </c>
      <c r="CY724" s="712">
        <f>IF(WWWW[[#This Row],['# people reached by regular dedicated hygiene promotion_5]]&gt;WWWW[[#This Row],['# People received regular supply of hygiene items_6]],WWWW[[#This Row],['# people reached by regular dedicated hygiene promotion_5]],WWWW[[#This Row],['# People received regular supply of hygiene items_6]])</f>
        <v>53</v>
      </c>
      <c r="CZ724" s="714">
        <f>IF(WWWW[[#This Row],[HRP3]]/WWWW[[#This Row],[Total PoP ]]&gt;100%,100%,WWWW[[#This Row],[HRP3]]/WWWW[[#This Row],[Total PoP ]])</f>
        <v>1</v>
      </c>
      <c r="DA724" s="713">
        <f>1-WWWW[[#This Row],[Hygiene Coverage%]]</f>
        <v>0</v>
      </c>
      <c r="DB724" s="710">
        <f>WWWW[[#This Row],['# people reached by regular dedicated hygiene promotion_5]]/WWWW[[#This Row],[Total PoP ]]</f>
        <v>0</v>
      </c>
      <c r="DC724" s="710">
        <f>IF(WWWW[[#This Row],['#_households that received standard amount of soap for this quarter]]/WWWW[[#This Row],[Total HH]]&gt;1,1,WWWW[[#This Row],['#_households that received standard amount of soap for this quarter]]/WWWW[[#This Row],[Total HH]])</f>
        <v>1</v>
      </c>
      <c r="DD724" s="710">
        <f>IF(WWWW[[#This Row],['#_households that received standard amount of sanitary pads for this quarter]]/WWWW[[#This Row],[Total HH]]&gt;1,1,WWWW[[#This Row],['#_households that received standard amount of sanitary pads for this quarter]]/WWWW[[#This Row],[Total HH]])</f>
        <v>1</v>
      </c>
      <c r="DE724" s="712">
        <f>WWWW[[#This Row],['#_Constructed/Existing hand washing stations]]-WWWW[[#This Row],['#_Non-Functional_hand_washing_stations]]</f>
        <v>0</v>
      </c>
      <c r="DF724" s="757">
        <f>IF(WWWW[[#This Row],['# Functional hand washing stations during reporting period]]*20&gt;WWWW[[#This Row],[Total HH]],WWWW[[#This Row],[Total HH]],WWWW[[#This Row],['# Functional hand washing stations during reporting period]]*20)</f>
        <v>0</v>
      </c>
      <c r="DG724" s="708">
        <f>IF(WWWW[[#This Row],[Is sufficient soap available for TLS? (Yes/No)]]="yes",WWWW[[#This Row],['#_Constructed/Existing hand washing stations at TLS]],0)</f>
        <v>0</v>
      </c>
      <c r="DH724" s="759">
        <f>IF(WWWW[[#This Row],['# Functional hand washing stations during reporting period]]*100&gt;WWWW[[#This Row],[Total PoP ]],WWWW[[#This Row],[Total PoP ]],WWWW[[#This Row],['# Functional hand washing stations during reporting period]]*100)</f>
        <v>0</v>
      </c>
      <c r="DI724" s="759" t="str">
        <f>IF(OR(WWWW[[#This Row],['#_students at TLS_CFS]]="",WWWW[[#This Row],['#_students at TLS_CFS]]=0),"No","Yes")</f>
        <v>Yes</v>
      </c>
      <c r="DJ724" s="711">
        <f>VLOOKUP(WWWW[[#This Row],[Site Name]],SiteDB6[[Site Name]:[CCCM Management]],6,FALSE)</f>
        <v>0</v>
      </c>
      <c r="DK724" s="711">
        <f>VLOOKUP(WWWW[[#This Row],[Site Name]],SiteDB6[[Site Name]:[CCCM Focal Agency]],7,FALSE)</f>
        <v>0</v>
      </c>
      <c r="DL724" s="711" t="str">
        <f>VLOOKUP(WWWW[[#This Row],[Site Name]],SiteDB6[[Site Name]:[Location Type 1]],9,FALSE)</f>
        <v>Camp</v>
      </c>
      <c r="DM724" s="711" t="str">
        <f>VLOOKUP(WWWW[[#This Row],[Site Name]],SiteDB6[[Site Name]:[Type of Accommodation]],10,FALSE)</f>
        <v>Camp</v>
      </c>
      <c r="DN724" s="711" t="str">
        <f>VLOOKUP(WWWW[[#This Row],[Site Name]],SiteDB6[[Site Name]:[Ethnic or GCA/NGCA]],11,FALSE)</f>
        <v>GCA</v>
      </c>
      <c r="DO724" s="711">
        <f>VLOOKUP(WWWW[[#This Row],[Site Name]],SiteDB6[[Site Name]:[Lat]],12,FALSE)</f>
        <v>0</v>
      </c>
      <c r="DP724" s="711">
        <f>VLOOKUP(WWWW[[#This Row],[Site Name]],SiteDB6[[Site Name]:[Long]],13,FALSE)</f>
        <v>0</v>
      </c>
      <c r="DQ724" s="711">
        <f>VLOOKUP(WWWW[[#This Row],[Site Name]],SiteDB6[[Site Name]:[Pcode]],3,FALSE)</f>
        <v>0</v>
      </c>
      <c r="DR724" s="709" t="str">
        <f t="shared" si="27"/>
        <v>Covered</v>
      </c>
      <c r="DS724" s="709"/>
    </row>
    <row r="725" spans="1:123">
      <c r="A725" s="701" t="s">
        <v>2519</v>
      </c>
      <c r="B725" s="701" t="s">
        <v>1957</v>
      </c>
      <c r="C725" s="702" t="s">
        <v>1957</v>
      </c>
      <c r="D725" s="702" t="s">
        <v>2970</v>
      </c>
      <c r="E725" s="702" t="s">
        <v>716</v>
      </c>
      <c r="F725" s="702" t="s">
        <v>720</v>
      </c>
      <c r="G725" s="711" t="str">
        <f>VLOOKUP(WWWW[[#This Row],[Site Name]],SiteDB6[[Site Name]:[Location Type]],8,FALSE)</f>
        <v>Camp</v>
      </c>
      <c r="H725" s="702" t="s">
        <v>2197</v>
      </c>
      <c r="I725" s="705">
        <v>145</v>
      </c>
      <c r="J725" s="705">
        <v>305</v>
      </c>
      <c r="K725" s="593" t="s">
        <v>3304</v>
      </c>
      <c r="L725" s="58" t="s">
        <v>3306</v>
      </c>
      <c r="M725" s="705">
        <v>79</v>
      </c>
      <c r="N725" s="705"/>
      <c r="O725" s="705"/>
      <c r="P725" s="705"/>
      <c r="Q725" s="708" t="s">
        <v>43</v>
      </c>
      <c r="R725" s="705">
        <v>4</v>
      </c>
      <c r="S725" s="705">
        <v>5</v>
      </c>
      <c r="T725" s="807"/>
      <c r="U725" s="705"/>
      <c r="V725" s="705"/>
      <c r="W725" s="705"/>
      <c r="X725" s="705"/>
      <c r="Y725" s="705"/>
      <c r="Z725" s="705"/>
      <c r="AA725" s="705">
        <v>436</v>
      </c>
      <c r="AB725" s="705"/>
      <c r="AC725" s="705"/>
      <c r="AD725" s="705"/>
      <c r="AE725" s="705"/>
      <c r="AF725" s="705"/>
      <c r="AG725" s="705">
        <v>1</v>
      </c>
      <c r="AH725" s="705">
        <v>1</v>
      </c>
      <c r="AI725" s="705">
        <v>1</v>
      </c>
      <c r="AJ725" s="705"/>
      <c r="AK725" s="705"/>
      <c r="AL725" s="705"/>
      <c r="AM725" s="705"/>
      <c r="AN725" s="705"/>
      <c r="AO725" s="705"/>
      <c r="AP725" s="705">
        <v>81</v>
      </c>
      <c r="AQ725" s="705"/>
      <c r="AR725" s="710"/>
      <c r="AS725" s="705"/>
      <c r="AT725" s="705">
        <v>15</v>
      </c>
      <c r="AU725" s="705"/>
      <c r="AV725" s="705"/>
      <c r="AW725" s="705"/>
      <c r="AX725" s="711" t="s">
        <v>144</v>
      </c>
      <c r="AY725" s="709" t="s">
        <v>1200</v>
      </c>
      <c r="AZ725" s="705"/>
      <c r="BA725" s="705"/>
      <c r="BB725" s="705">
        <v>5</v>
      </c>
      <c r="BC725" s="711"/>
      <c r="BD725" s="705">
        <v>2</v>
      </c>
      <c r="BE725" s="705"/>
      <c r="BF725" s="705"/>
      <c r="BG725" s="705">
        <v>3</v>
      </c>
      <c r="BH725" s="705"/>
      <c r="BI725" s="705">
        <v>1</v>
      </c>
      <c r="BJ725" s="705">
        <v>1</v>
      </c>
      <c r="BK725" s="705">
        <v>68</v>
      </c>
      <c r="BL725" s="705">
        <v>68</v>
      </c>
      <c r="BM725" s="711"/>
      <c r="BN725" s="712"/>
      <c r="BO725" s="710">
        <v>0.5</v>
      </c>
      <c r="BP725" s="711"/>
      <c r="BQ725" s="713">
        <f>IFERROR(WWWW[[#This Row],['#_Water sources treated]]/WWWW[[#This Row],['#_Water sources tested for contamination]],"no test")</f>
        <v>0</v>
      </c>
      <c r="BR725" s="710" t="str">
        <f>IFERROR(WWWW[[#This Row],['#_Household received remediation action due to contamination]]/WWWW[[#This Row],['#_Household water samples tested for contamination]],"no test")</f>
        <v>no test</v>
      </c>
      <c r="BS725" s="712" t="str">
        <f>IF(AND(WWWW[[#This Row],[% of water sources treated]]="no test",WWWW[[#This Row],[% Household received corrective actions]]="no test"),"No Test","Tested")</f>
        <v>Tested</v>
      </c>
      <c r="BT725" s="712">
        <f>WWWW[[#This Row],['#_Constructed/existing protected hand dug well]]-WWWW[[#This Row],['#_Non-functional protected hand dug well]]</f>
        <v>0</v>
      </c>
      <c r="BU725" s="712">
        <f>(WWWW[[#This Row],['#_Constructed/Existing tube wells/boreholes/handpumps_WASH_agency]]+WWWW[[#This Row],['#_Non-Cluster partner water tube-wells/boreholes/handpumps]])-WWWW[[#This Row],['#_Non-functional tube wells/boreholes/handpumps]]</f>
        <v>0</v>
      </c>
      <c r="BV725" s="712">
        <f>WWWW[[#This Row],['#_Constructed/Existingwater storage tank with gravity fed reticulation system]]-WWWW[[#This Row],['#_Non-functional storage tank gravity fed reticulation system]]</f>
        <v>436</v>
      </c>
      <c r="BW725" s="712">
        <f>WWWW[[#This Row],['#_Water boating or water trucking]]</f>
        <v>0</v>
      </c>
      <c r="BX725" s="712">
        <f>WWWW[[#This Row],['#_Constructed/Existing water distribution system from river or natural spring]]</f>
        <v>0</v>
      </c>
      <c r="BY72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2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25" s="710">
        <f>IF(WWWW[[#This Row],[Location Type 1]]="Village",WWWW[[#This Row],[Access to safe drinking water for Village]],WWWW[[#This Row],[Access to safe drinking water for Camp]])</f>
        <v>1</v>
      </c>
      <c r="CB725" s="708">
        <f>WWWW[[#This Row],[%Equitable and continuous access to sufficient quantity of safe drinking water]]*WWWW[[#This Row],[Total PoP ]]</f>
        <v>305</v>
      </c>
      <c r="CC725" s="710">
        <f>IF((WWWW[[#This Row],['#_Constructed/Existing protected/fenced ponds]]*250)/WWWW[[#This Row],[Total PoP ]]&gt;1,1,(WWWW[[#This Row],['#_Constructed/Existing protected/fenced ponds]]*250)/WWWW[[#This Row],[Total PoP ]])</f>
        <v>0</v>
      </c>
      <c r="CD725" s="708">
        <f>WWWW[[#This Row],[% Access to unimproved water points]]*WWWW[[#This Row],[Total PoP ]]</f>
        <v>0</v>
      </c>
      <c r="CE72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2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305</v>
      </c>
      <c r="CG725" s="708">
        <f>WWWW[[#This Row],[HRP1]]/500</f>
        <v>0.61</v>
      </c>
      <c r="CH725" s="714">
        <f>1-WWWW[[#This Row],[% Equitable and continuous access to sufficient quantity of domestic water]]</f>
        <v>0</v>
      </c>
      <c r="CI725" s="708">
        <f>WWWW[[#This Row],[%equitable and continuous access to sufficient quantity of safe drinking and domestic water''s GAP]]*WWWW[[#This Row],[Total PoP ]]</f>
        <v>0</v>
      </c>
      <c r="CJ725" s="712">
        <f>IF(WWWW[[#This Row],[Total required water points]]-WWWW[[#This Row],['#Water points coverage]]&lt;0,0,WWWW[[#This Row],[Total required water points]]-WWWW[[#This Row],['#Water points coverage]])</f>
        <v>0.39</v>
      </c>
      <c r="CK725" s="712">
        <f>ROUND(IF(WWWW[[#This Row],[Total PoP ]]&lt;500,1,WWWW[[#This Row],[Total PoP ]]/500),0)</f>
        <v>1</v>
      </c>
      <c r="CL725" s="712">
        <f>(WWWW[[#This Row],['#_Constructed latrines_by_WASHAgencies]]+WWWW[[#This Row],['#_Non Cluster partner latrines]])-WWWW[[#This Row],['#_Non-functional latrines]]</f>
        <v>81</v>
      </c>
      <c r="CM72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2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305</v>
      </c>
      <c r="CO72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5" s="712">
        <f>IF(WWWW[[#This Row],[Location Type 1]]="Village","NA",IF(WWWW[[#This Row],['#_Constructed/Existing latrines in TLS]]*50&gt;WWWW[[#This Row],['#_students at TLS_CFS]],WWWW[[#This Row],['#_students at TLS_CFS]],(WWWW[[#This Row],['#_Constructed/Existing latrines in TLS]]*50)))</f>
        <v>79</v>
      </c>
      <c r="CQ725" s="712">
        <f>ROUND(IF(WWWW[[#This Row],[Location Type 1]]="camp",WWWW[[#This Row],[Total PoP ]]/20,IF(WWWW[[#This Row],[Location Type 1]]="Temporary Location",WWWW[[#This Row],[Total PoP ]]/50,(WWWW[[#This Row],[Total PoP ]]/6))),0)</f>
        <v>51</v>
      </c>
      <c r="CR725" s="712">
        <f>IF(WWWW[[#This Row],[Total required Latrines]]-(WWWW[[#This Row],['#_Constructed latrines_by_WASHAgencies]]+WWWW[[#This Row],['#_Non Cluster partner latrines]])&lt;0,0,WWWW[[#This Row],[Total required Latrines]]-(WWWW[[#This Row],['#_Constructed latrines_by_WASHAgencies]]+WWWW[[#This Row],['#_Non Cluster partner latrines]]))</f>
        <v>0</v>
      </c>
      <c r="CS725" s="714">
        <f>1-WWWW[[#This Row],[% people access to functioning Latrine]]</f>
        <v>0</v>
      </c>
      <c r="CT725" s="713">
        <f>IF(OR(WWWW[[#This Row],['#_Non-functional latrines]]="",WWWW[[#This Row],['#_Non-functional latrines]]=0),0,WWWW[[#This Row],['#_Non-functional latrines]]/(WWWW[[#This Row],['#_Constructed latrines_by_WASHAgencies]]+WWWW[[#This Row],['#_Non Cluster partner latrines]]))</f>
        <v>0</v>
      </c>
      <c r="CU725" s="708">
        <f>IF(500*(WWWW[[#This Row],['#_male hygiene promoters]]+WWWW[[#This Row],['#_female hygiene promoters]])&gt;WWWW[[#This Row],[Total PoP ]],WWWW[[#This Row],[Total PoP ]],500*(WWWW[[#This Row],['#_male hygiene promoters]]+WWWW[[#This Row],['#_female hygiene promoters]]))</f>
        <v>305</v>
      </c>
      <c r="CV72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305</v>
      </c>
      <c r="CW72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305</v>
      </c>
      <c r="CX725" s="712">
        <f>IF(WWWW[[#This Row],['# People with access to soap]]&gt;WWWW[[#This Row],['# People with access to Sanity Pads]],WWWW[[#This Row],['# People with access to soap]],WWWW[[#This Row],['# People with access to Sanity Pads]])</f>
        <v>305</v>
      </c>
      <c r="CY725" s="712">
        <f>IF(WWWW[[#This Row],['# people reached by regular dedicated hygiene promotion_5]]&gt;WWWW[[#This Row],['# People received regular supply of hygiene items_6]],WWWW[[#This Row],['# people reached by regular dedicated hygiene promotion_5]],WWWW[[#This Row],['# People received regular supply of hygiene items_6]])</f>
        <v>305</v>
      </c>
      <c r="CZ725" s="714">
        <f>IF(WWWW[[#This Row],[HRP3]]/WWWW[[#This Row],[Total PoP ]]&gt;100%,100%,WWWW[[#This Row],[HRP3]]/WWWW[[#This Row],[Total PoP ]])</f>
        <v>1</v>
      </c>
      <c r="DA725" s="713">
        <f>1-WWWW[[#This Row],[Hygiene Coverage%]]</f>
        <v>0</v>
      </c>
      <c r="DB725" s="710">
        <f>WWWW[[#This Row],['# people reached by regular dedicated hygiene promotion_5]]/WWWW[[#This Row],[Total PoP ]]</f>
        <v>1</v>
      </c>
      <c r="DC725" s="710">
        <f>IF(WWWW[[#This Row],['#_households that received standard amount of soap for this quarter]]/WWWW[[#This Row],[Total HH]]&gt;1,1,WWWW[[#This Row],['#_households that received standard amount of soap for this quarter]]/WWWW[[#This Row],[Total HH]])</f>
        <v>0.4689655172413793</v>
      </c>
      <c r="DD725" s="710">
        <f>IF(WWWW[[#This Row],['#_households that received standard amount of sanitary pads for this quarter]]/WWWW[[#This Row],[Total HH]]&gt;1,1,WWWW[[#This Row],['#_households that received standard amount of sanitary pads for this quarter]]/WWWW[[#This Row],[Total HH]])</f>
        <v>0.4689655172413793</v>
      </c>
      <c r="DE725" s="712">
        <f>WWWW[[#This Row],['#_Constructed/Existing hand washing stations]]-WWWW[[#This Row],['#_Non-Functional_hand_washing_stations]]</f>
        <v>2</v>
      </c>
      <c r="DF725" s="757">
        <f>IF(WWWW[[#This Row],['# Functional hand washing stations during reporting period]]*20&gt;WWWW[[#This Row],[Total HH]],WWWW[[#This Row],[Total HH]],WWWW[[#This Row],['# Functional hand washing stations during reporting period]]*20)</f>
        <v>40</v>
      </c>
      <c r="DG725" s="708">
        <f>IF(WWWW[[#This Row],[Is sufficient soap available for TLS? (Yes/No)]]="yes",WWWW[[#This Row],['#_Constructed/Existing hand washing stations at TLS]],0)</f>
        <v>0</v>
      </c>
      <c r="DH725" s="759">
        <f>IF(WWWW[[#This Row],['# Functional hand washing stations during reporting period]]*100&gt;WWWW[[#This Row],[Total PoP ]],WWWW[[#This Row],[Total PoP ]],WWWW[[#This Row],['# Functional hand washing stations during reporting period]]*100)</f>
        <v>200</v>
      </c>
      <c r="DI725" s="759" t="str">
        <f>IF(OR(WWWW[[#This Row],['#_students at TLS_CFS]]="",WWWW[[#This Row],['#_students at TLS_CFS]]=0),"No","Yes")</f>
        <v>Yes</v>
      </c>
      <c r="DJ725" s="711" t="str">
        <f>VLOOKUP(WWWW[[#This Row],[Site Name]],SiteDB6[[Site Name]:[CCCM Management]],6,FALSE)</f>
        <v>Yes</v>
      </c>
      <c r="DK725" s="711" t="str">
        <f>VLOOKUP(WWWW[[#This Row],[Site Name]],SiteDB6[[Site Name]:[CCCM Focal Agency]],7,FALSE)</f>
        <v>KMSS-LSO</v>
      </c>
      <c r="DL725" s="711" t="str">
        <f>VLOOKUP(WWWW[[#This Row],[Site Name]],SiteDB6[[Site Name]:[Location Type 1]],9,FALSE)</f>
        <v>Village Type Camp</v>
      </c>
      <c r="DM725" s="711" t="str">
        <f>VLOOKUP(WWWW[[#This Row],[Site Name]],SiteDB6[[Site Name]:[Type of Accommodation]],10,FALSE)</f>
        <v>Camp</v>
      </c>
      <c r="DN725" s="711" t="str">
        <f>VLOOKUP(WWWW[[#This Row],[Site Name]],SiteDB6[[Site Name]:[Ethnic or GCA/NGCA]],11,FALSE)</f>
        <v>GCA</v>
      </c>
      <c r="DO725" s="711">
        <f>VLOOKUP(WWWW[[#This Row],[Site Name]],SiteDB6[[Site Name]:[Lat]],12,FALSE)</f>
        <v>23.588920000000002</v>
      </c>
      <c r="DP725" s="711">
        <f>VLOOKUP(WWWW[[#This Row],[Site Name]],SiteDB6[[Site Name]:[Long]],13,FALSE)</f>
        <v>97.793019999999999</v>
      </c>
      <c r="DQ725" s="711" t="str">
        <f>VLOOKUP(WWWW[[#This Row],[Site Name]],SiteDB6[[Site Name]:[Pcode]],3,FALSE)</f>
        <v>MMR015CMP018</v>
      </c>
      <c r="DR725" s="709" t="str">
        <f t="shared" si="27"/>
        <v>Covered</v>
      </c>
      <c r="DS725" s="709"/>
    </row>
    <row r="726" spans="1:123">
      <c r="A726" s="701" t="s">
        <v>2519</v>
      </c>
      <c r="B726" s="808" t="s">
        <v>305</v>
      </c>
      <c r="C726" s="808" t="s">
        <v>305</v>
      </c>
      <c r="D726" s="702" t="s">
        <v>2967</v>
      </c>
      <c r="E726" s="702" t="s">
        <v>716</v>
      </c>
      <c r="F726" s="702" t="s">
        <v>717</v>
      </c>
      <c r="G726" s="711" t="str">
        <f>VLOOKUP(WWWW[[#This Row],[Site Name]],SiteDB6[[Site Name]:[Location Type]],8,FALSE)</f>
        <v>Camp</v>
      </c>
      <c r="H726" s="702" t="s">
        <v>762</v>
      </c>
      <c r="I726" s="705">
        <v>60</v>
      </c>
      <c r="J726" s="705">
        <v>276</v>
      </c>
      <c r="K726" s="706">
        <v>43070</v>
      </c>
      <c r="L726" s="707">
        <v>43799</v>
      </c>
      <c r="M726" s="705"/>
      <c r="N726" s="705"/>
      <c r="O726" s="705"/>
      <c r="P726" s="705"/>
      <c r="Q726" s="708" t="s">
        <v>43</v>
      </c>
      <c r="R726" s="705">
        <v>4</v>
      </c>
      <c r="S726" s="705">
        <v>5</v>
      </c>
      <c r="T726" s="807">
        <v>0</v>
      </c>
      <c r="U726" s="705"/>
      <c r="V726" s="705"/>
      <c r="W726" s="705">
        <v>0</v>
      </c>
      <c r="X726" s="705">
        <v>0</v>
      </c>
      <c r="Y726" s="705"/>
      <c r="Z726" s="705"/>
      <c r="AA726" s="705">
        <v>30</v>
      </c>
      <c r="AB726" s="705"/>
      <c r="AC726" s="705"/>
      <c r="AD726" s="705">
        <v>0</v>
      </c>
      <c r="AE726" s="705"/>
      <c r="AF726" s="705">
        <v>0</v>
      </c>
      <c r="AG726" s="705">
        <v>1</v>
      </c>
      <c r="AH726" s="705"/>
      <c r="AI726" s="705">
        <v>1</v>
      </c>
      <c r="AJ726" s="705"/>
      <c r="AK726" s="705">
        <v>15</v>
      </c>
      <c r="AL726" s="705"/>
      <c r="AM726" s="705"/>
      <c r="AN726" s="705"/>
      <c r="AO726" s="705"/>
      <c r="AP726" s="705">
        <v>10</v>
      </c>
      <c r="AQ726" s="705">
        <v>0</v>
      </c>
      <c r="AR726" s="710"/>
      <c r="AS726" s="705"/>
      <c r="AT726" s="705"/>
      <c r="AU726" s="705"/>
      <c r="AV726" s="705"/>
      <c r="AW726" s="705"/>
      <c r="AX726" s="711" t="s">
        <v>43</v>
      </c>
      <c r="AY726" s="709" t="s">
        <v>145</v>
      </c>
      <c r="AZ726" s="705">
        <v>0</v>
      </c>
      <c r="BA726" s="705">
        <v>0</v>
      </c>
      <c r="BB726" s="705"/>
      <c r="BC726" s="711"/>
      <c r="BD726" s="705">
        <v>0</v>
      </c>
      <c r="BE726" s="705"/>
      <c r="BF726" s="705">
        <v>0</v>
      </c>
      <c r="BG726" s="705">
        <v>2</v>
      </c>
      <c r="BH726" s="705"/>
      <c r="BI726" s="705">
        <v>0</v>
      </c>
      <c r="BJ726" s="705">
        <v>1</v>
      </c>
      <c r="BK726" s="705">
        <v>48</v>
      </c>
      <c r="BL726" s="705"/>
      <c r="BM726" s="711"/>
      <c r="BN726" s="712"/>
      <c r="BO726" s="710">
        <v>1</v>
      </c>
      <c r="BP726" s="711"/>
      <c r="BQ726" s="713">
        <f>IFERROR(WWWW[[#This Row],['#_Water sources treated]]/WWWW[[#This Row],['#_Water sources tested for contamination]],"no test")</f>
        <v>0</v>
      </c>
      <c r="BR726" s="710">
        <f>IFERROR(WWWW[[#This Row],['#_Household received remediation action due to contamination]]/WWWW[[#This Row],['#_Household water samples tested for contamination]],"no test")</f>
        <v>0</v>
      </c>
      <c r="BS726" s="712" t="str">
        <f>IF(AND(WWWW[[#This Row],[% of water sources treated]]="no test",WWWW[[#This Row],[% Household received corrective actions]]="no test"),"No Test","Tested")</f>
        <v>Tested</v>
      </c>
      <c r="BT726" s="712">
        <f>WWWW[[#This Row],['#_Constructed/existing protected hand dug well]]-WWWW[[#This Row],['#_Non-functional protected hand dug well]]</f>
        <v>0</v>
      </c>
      <c r="BU726" s="712">
        <f>(WWWW[[#This Row],['#_Constructed/Existing tube wells/boreholes/handpumps_WASH_agency]]+WWWW[[#This Row],['#_Non-Cluster partner water tube-wells/boreholes/handpumps]])-WWWW[[#This Row],['#_Non-functional tube wells/boreholes/handpumps]]</f>
        <v>0</v>
      </c>
      <c r="BV726" s="712">
        <f>WWWW[[#This Row],['#_Constructed/Existingwater storage tank with gravity fed reticulation system]]-WWWW[[#This Row],['#_Non-functional storage tank gravity fed reticulation system]]</f>
        <v>30</v>
      </c>
      <c r="BW726" s="712">
        <f>WWWW[[#This Row],['#_Water boating or water trucking]]</f>
        <v>0</v>
      </c>
      <c r="BX726" s="712">
        <f>WWWW[[#This Row],['#_Constructed/Existing water distribution system from river or natural spring]]</f>
        <v>0</v>
      </c>
      <c r="BY72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2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26" s="710">
        <f>IF(WWWW[[#This Row],[Location Type 1]]="Village",WWWW[[#This Row],[Access to safe drinking water for Village]],WWWW[[#This Row],[Access to safe drinking water for Camp]])</f>
        <v>1</v>
      </c>
      <c r="CB726" s="708">
        <f>WWWW[[#This Row],[%Equitable and continuous access to sufficient quantity of safe drinking water]]*WWWW[[#This Row],[Total PoP ]]</f>
        <v>276</v>
      </c>
      <c r="CC726" s="710">
        <f>IF((WWWW[[#This Row],['#_Constructed/Existing protected/fenced ponds]]*250)/WWWW[[#This Row],[Total PoP ]]&gt;1,1,(WWWW[[#This Row],['#_Constructed/Existing protected/fenced ponds]]*250)/WWWW[[#This Row],[Total PoP ]])</f>
        <v>0</v>
      </c>
      <c r="CD726" s="708">
        <f>WWWW[[#This Row],[% Access to unimproved water points]]*WWWW[[#This Row],[Total PoP ]]</f>
        <v>0</v>
      </c>
      <c r="CE72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2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G726" s="708">
        <f>WWWW[[#This Row],[HRP1]]/500</f>
        <v>0.55200000000000005</v>
      </c>
      <c r="CH726" s="714">
        <f>1-WWWW[[#This Row],[% Equitable and continuous access to sufficient quantity of domestic water]]</f>
        <v>0</v>
      </c>
      <c r="CI726" s="708">
        <f>WWWW[[#This Row],[%equitable and continuous access to sufficient quantity of safe drinking and domestic water''s GAP]]*WWWW[[#This Row],[Total PoP ]]</f>
        <v>0</v>
      </c>
      <c r="CJ726" s="712">
        <f>IF(WWWW[[#This Row],[Total required water points]]-WWWW[[#This Row],['#Water points coverage]]&lt;0,0,WWWW[[#This Row],[Total required water points]]-WWWW[[#This Row],['#Water points coverage]])</f>
        <v>0.44799999999999995</v>
      </c>
      <c r="CK726" s="712">
        <f>ROUND(IF(WWWW[[#This Row],[Total PoP ]]&lt;500,1,WWWW[[#This Row],[Total PoP ]]/500),0)</f>
        <v>1</v>
      </c>
      <c r="CL726" s="712">
        <f>(WWWW[[#This Row],['#_Constructed latrines_by_WASHAgencies]]+WWWW[[#This Row],['#_Non Cluster partner latrines]])-WWWW[[#This Row],['#_Non-functional latrines]]</f>
        <v>10</v>
      </c>
      <c r="CM72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0.72463768115942029</v>
      </c>
      <c r="CN72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200</v>
      </c>
      <c r="CO72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6" s="712">
        <f>IF(WWWW[[#This Row],[Location Type 1]]="Village","NA",IF(WWWW[[#This Row],['#_Constructed/Existing latrines in TLS]]*50&gt;WWWW[[#This Row],['#_students at TLS_CFS]],WWWW[[#This Row],['#_students at TLS_CFS]],(WWWW[[#This Row],['#_Constructed/Existing latrines in TLS]]*50)))</f>
        <v>0</v>
      </c>
      <c r="CQ726" s="712">
        <f>ROUND(IF(WWWW[[#This Row],[Location Type 1]]="camp",WWWW[[#This Row],[Total PoP ]]/20,IF(WWWW[[#This Row],[Location Type 1]]="Temporary Location",WWWW[[#This Row],[Total PoP ]]/50,(WWWW[[#This Row],[Total PoP ]]/6))),0)</f>
        <v>14</v>
      </c>
      <c r="CR726" s="712">
        <f>IF(WWWW[[#This Row],[Total required Latrines]]-(WWWW[[#This Row],['#_Constructed latrines_by_WASHAgencies]]+WWWW[[#This Row],['#_Non Cluster partner latrines]])&lt;0,0,WWWW[[#This Row],[Total required Latrines]]-(WWWW[[#This Row],['#_Constructed latrines_by_WASHAgencies]]+WWWW[[#This Row],['#_Non Cluster partner latrines]]))</f>
        <v>4</v>
      </c>
      <c r="CS726" s="714">
        <f>1-WWWW[[#This Row],[% people access to functioning Latrine]]</f>
        <v>0.27536231884057971</v>
      </c>
      <c r="CT726" s="713">
        <f>IF(OR(WWWW[[#This Row],['#_Non-functional latrines]]="",WWWW[[#This Row],['#_Non-functional latrines]]=0),0,WWWW[[#This Row],['#_Non-functional latrines]]/(WWWW[[#This Row],['#_Constructed latrines_by_WASHAgencies]]+WWWW[[#This Row],['#_Non Cluster partner latrines]]))</f>
        <v>0</v>
      </c>
      <c r="CU726" s="708">
        <f>IF(500*(WWWW[[#This Row],['#_male hygiene promoters]]+WWWW[[#This Row],['#_female hygiene promoters]])&gt;WWWW[[#This Row],[Total PoP ]],WWWW[[#This Row],[Total PoP ]],500*(WWWW[[#This Row],['#_male hygiene promoters]]+WWWW[[#This Row],['#_female hygiene promoters]]))</f>
        <v>276</v>
      </c>
      <c r="CV72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240</v>
      </c>
      <c r="CW72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26" s="712">
        <f>IF(WWWW[[#This Row],['# People with access to soap]]&gt;WWWW[[#This Row],['# People with access to Sanity Pads]],WWWW[[#This Row],['# People with access to soap]],WWWW[[#This Row],['# People with access to Sanity Pads]])</f>
        <v>240</v>
      </c>
      <c r="CY726" s="712">
        <f>IF(WWWW[[#This Row],['# people reached by regular dedicated hygiene promotion_5]]&gt;WWWW[[#This Row],['# People received regular supply of hygiene items_6]],WWWW[[#This Row],['# people reached by regular dedicated hygiene promotion_5]],WWWW[[#This Row],['# People received regular supply of hygiene items_6]])</f>
        <v>276</v>
      </c>
      <c r="CZ726" s="714">
        <f>IF(WWWW[[#This Row],[HRP3]]/WWWW[[#This Row],[Total PoP ]]&gt;100%,100%,WWWW[[#This Row],[HRP3]]/WWWW[[#This Row],[Total PoP ]])</f>
        <v>1</v>
      </c>
      <c r="DA726" s="713">
        <f>1-WWWW[[#This Row],[Hygiene Coverage%]]</f>
        <v>0</v>
      </c>
      <c r="DB726" s="710">
        <f>WWWW[[#This Row],['# people reached by regular dedicated hygiene promotion_5]]/WWWW[[#This Row],[Total PoP ]]</f>
        <v>1</v>
      </c>
      <c r="DC726" s="710">
        <f>IF(WWWW[[#This Row],['#_households that received standard amount of soap for this quarter]]/WWWW[[#This Row],[Total HH]]&gt;1,1,WWWW[[#This Row],['#_households that received standard amount of soap for this quarter]]/WWWW[[#This Row],[Total HH]])</f>
        <v>0.8</v>
      </c>
      <c r="DD726" s="710">
        <f>IF(WWWW[[#This Row],['#_households that received standard amount of sanitary pads for this quarter]]/WWWW[[#This Row],[Total HH]]&gt;1,1,WWWW[[#This Row],['#_households that received standard amount of sanitary pads for this quarter]]/WWWW[[#This Row],[Total HH]])</f>
        <v>0</v>
      </c>
      <c r="DE726" s="712">
        <f>WWWW[[#This Row],['#_Constructed/Existing hand washing stations]]-WWWW[[#This Row],['#_Non-Functional_hand_washing_stations]]</f>
        <v>0</v>
      </c>
      <c r="DF726" s="757">
        <f>IF(WWWW[[#This Row],['# Functional hand washing stations during reporting period]]*20&gt;WWWW[[#This Row],[Total HH]],WWWW[[#This Row],[Total HH]],WWWW[[#This Row],['# Functional hand washing stations during reporting period]]*20)</f>
        <v>0</v>
      </c>
      <c r="DG726" s="708">
        <f>IF(WWWW[[#This Row],[Is sufficient soap available for TLS? (Yes/No)]]="yes",WWWW[[#This Row],['#_Constructed/Existing hand washing stations at TLS]],0)</f>
        <v>0</v>
      </c>
      <c r="DH726" s="759">
        <f>IF(WWWW[[#This Row],['# Functional hand washing stations during reporting period]]*100&gt;WWWW[[#This Row],[Total PoP ]],WWWW[[#This Row],[Total PoP ]],WWWW[[#This Row],['# Functional hand washing stations during reporting period]]*100)</f>
        <v>0</v>
      </c>
      <c r="DI726" s="759" t="str">
        <f>IF(OR(WWWW[[#This Row],['#_students at TLS_CFS]]="",WWWW[[#This Row],['#_students at TLS_CFS]]=0),"No","Yes")</f>
        <v>No</v>
      </c>
      <c r="DJ726" s="711">
        <f>VLOOKUP(WWWW[[#This Row],[Site Name]],SiteDB6[[Site Name]:[CCCM Management]],6,FALSE)</f>
        <v>0</v>
      </c>
      <c r="DK726" s="711" t="str">
        <f>VLOOKUP(WWWW[[#This Row],[Site Name]],SiteDB6[[Site Name]:[CCCM Focal Agency]],7,FALSE)</f>
        <v>uncovered</v>
      </c>
      <c r="DL726" s="711" t="str">
        <f>VLOOKUP(WWWW[[#This Row],[Site Name]],SiteDB6[[Site Name]:[Location Type 1]],9,FALSE)</f>
        <v>Camp</v>
      </c>
      <c r="DM726" s="711" t="str">
        <f>VLOOKUP(WWWW[[#This Row],[Site Name]],SiteDB6[[Site Name]:[Type of Accommodation]],10,FALSE)</f>
        <v>Camp like setting</v>
      </c>
      <c r="DN726" s="711" t="str">
        <f>VLOOKUP(WWWW[[#This Row],[Site Name]],SiteDB6[[Site Name]:[Ethnic or GCA/NGCA]],11,FALSE)</f>
        <v>GCA</v>
      </c>
      <c r="DO726" s="711">
        <f>VLOOKUP(WWWW[[#This Row],[Site Name]],SiteDB6[[Site Name]:[Lat]],12,FALSE)</f>
        <v>23.611999999999998</v>
      </c>
      <c r="DP726" s="711">
        <f>VLOOKUP(WWWW[[#This Row],[Site Name]],SiteDB6[[Site Name]:[Long]],13,FALSE)</f>
        <v>97.506</v>
      </c>
      <c r="DQ726" s="711" t="str">
        <f>VLOOKUP(WWWW[[#This Row],[Site Name]],SiteDB6[[Site Name]:[Pcode]],3,FALSE)</f>
        <v>MMR015CMP224</v>
      </c>
      <c r="DR726" s="709" t="str">
        <f t="shared" si="27"/>
        <v>Covered</v>
      </c>
      <c r="DS726" s="709"/>
    </row>
    <row r="727" spans="1:123">
      <c r="A727" s="701" t="s">
        <v>2519</v>
      </c>
      <c r="B727" s="584" t="s">
        <v>317</v>
      </c>
      <c r="C727" s="584" t="s">
        <v>317</v>
      </c>
      <c r="D727" s="702"/>
      <c r="E727" s="702" t="s">
        <v>716</v>
      </c>
      <c r="F727" s="702" t="s">
        <v>726</v>
      </c>
      <c r="G727" s="711" t="str">
        <f>VLOOKUP(WWWW[[#This Row],[Site Name]],SiteDB6[[Site Name]:[Location Type]],8,FALSE)</f>
        <v>Camp</v>
      </c>
      <c r="H727" s="711" t="s">
        <v>751</v>
      </c>
      <c r="I727" s="705">
        <v>55</v>
      </c>
      <c r="J727" s="705">
        <v>221</v>
      </c>
      <c r="K727" s="706"/>
      <c r="L727" s="707"/>
      <c r="M727" s="705"/>
      <c r="N727" s="705"/>
      <c r="O727" s="705"/>
      <c r="P727" s="705"/>
      <c r="Q727" s="708" t="s">
        <v>43</v>
      </c>
      <c r="R727" s="705"/>
      <c r="S727" s="705"/>
      <c r="T727" s="807"/>
      <c r="U727" s="705"/>
      <c r="V727" s="705"/>
      <c r="W727" s="705"/>
      <c r="X727" s="705"/>
      <c r="Y727" s="705"/>
      <c r="Z727" s="705"/>
      <c r="AA727" s="705"/>
      <c r="AB727" s="705"/>
      <c r="AC727" s="705"/>
      <c r="AD727" s="705"/>
      <c r="AE727" s="705"/>
      <c r="AF727" s="705"/>
      <c r="AG727" s="705"/>
      <c r="AH727" s="705"/>
      <c r="AI727" s="705"/>
      <c r="AJ727" s="705"/>
      <c r="AK727" s="705"/>
      <c r="AL727" s="705"/>
      <c r="AM727" s="705"/>
      <c r="AN727" s="705"/>
      <c r="AO727" s="705"/>
      <c r="AP727" s="705">
        <v>12</v>
      </c>
      <c r="AQ727" s="705"/>
      <c r="AR727" s="710"/>
      <c r="AS727" s="705"/>
      <c r="AT727" s="705"/>
      <c r="AU727" s="705"/>
      <c r="AV727" s="705"/>
      <c r="AW727" s="705"/>
      <c r="AX727" s="711" t="s">
        <v>43</v>
      </c>
      <c r="AY727" s="709" t="s">
        <v>145</v>
      </c>
      <c r="AZ727" s="705"/>
      <c r="BA727" s="705"/>
      <c r="BB727" s="705"/>
      <c r="BC727" s="711"/>
      <c r="BD727" s="705"/>
      <c r="BE727" s="705"/>
      <c r="BF727" s="705"/>
      <c r="BG727" s="705">
        <v>3</v>
      </c>
      <c r="BH727" s="705"/>
      <c r="BI727" s="705"/>
      <c r="BJ727" s="705"/>
      <c r="BK727" s="705"/>
      <c r="BL727" s="705"/>
      <c r="BM727" s="711"/>
      <c r="BN727" s="712"/>
      <c r="BO727" s="710"/>
      <c r="BP727" s="711"/>
      <c r="BQ727" s="713" t="str">
        <f>IFERROR(WWWW[[#This Row],['#_Water sources treated]]/WWWW[[#This Row],['#_Water sources tested for contamination]],"no test")</f>
        <v>no test</v>
      </c>
      <c r="BR727" s="710" t="str">
        <f>IFERROR(WWWW[[#This Row],['#_Household received remediation action due to contamination]]/WWWW[[#This Row],['#_Household water samples tested for contamination]],"no test")</f>
        <v>no test</v>
      </c>
      <c r="BS727" s="712" t="str">
        <f>IF(AND(WWWW[[#This Row],[% of water sources treated]]="no test",WWWW[[#This Row],[% Household received corrective actions]]="no test"),"No Test","Tested")</f>
        <v>No Test</v>
      </c>
      <c r="BT727" s="712">
        <f>WWWW[[#This Row],['#_Constructed/existing protected hand dug well]]-WWWW[[#This Row],['#_Non-functional protected hand dug well]]</f>
        <v>0</v>
      </c>
      <c r="BU727" s="712">
        <f>(WWWW[[#This Row],['#_Constructed/Existing tube wells/boreholes/handpumps_WASH_agency]]+WWWW[[#This Row],['#_Non-Cluster partner water tube-wells/boreholes/handpumps]])-WWWW[[#This Row],['#_Non-functional tube wells/boreholes/handpumps]]</f>
        <v>0</v>
      </c>
      <c r="BV727" s="712">
        <f>WWWW[[#This Row],['#_Constructed/Existingwater storage tank with gravity fed reticulation system]]-WWWW[[#This Row],['#_Non-functional storage tank gravity fed reticulation system]]</f>
        <v>0</v>
      </c>
      <c r="BW727" s="712">
        <f>WWWW[[#This Row],['#_Water boating or water trucking]]</f>
        <v>0</v>
      </c>
      <c r="BX727" s="712">
        <f>WWWW[[#This Row],['#_Constructed/Existing water distribution system from river or natural spring]]</f>
        <v>0</v>
      </c>
      <c r="BY72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2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27" s="710">
        <f>IF(WWWW[[#This Row],[Location Type 1]]="Village",WWWW[[#This Row],[Access to safe drinking water for Village]],WWWW[[#This Row],[Access to safe drinking water for Camp]])</f>
        <v>0</v>
      </c>
      <c r="CB727" s="708">
        <f>WWWW[[#This Row],[%Equitable and continuous access to sufficient quantity of safe drinking water]]*WWWW[[#This Row],[Total PoP ]]</f>
        <v>0</v>
      </c>
      <c r="CC727" s="710">
        <f>IF((WWWW[[#This Row],['#_Constructed/Existing protected/fenced ponds]]*250)/WWWW[[#This Row],[Total PoP ]]&gt;1,1,(WWWW[[#This Row],['#_Constructed/Existing protected/fenced ponds]]*250)/WWWW[[#This Row],[Total PoP ]])</f>
        <v>0</v>
      </c>
      <c r="CD727" s="708">
        <f>WWWW[[#This Row],[% Access to unimproved water points]]*WWWW[[#This Row],[Total PoP ]]</f>
        <v>0</v>
      </c>
      <c r="CE72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2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27" s="708">
        <f>WWWW[[#This Row],[HRP1]]/500</f>
        <v>0</v>
      </c>
      <c r="CH727" s="714">
        <f>1-WWWW[[#This Row],[% Equitable and continuous access to sufficient quantity of domestic water]]</f>
        <v>1</v>
      </c>
      <c r="CI727" s="708">
        <f>WWWW[[#This Row],[%equitable and continuous access to sufficient quantity of safe drinking and domestic water''s GAP]]*WWWW[[#This Row],[Total PoP ]]</f>
        <v>221</v>
      </c>
      <c r="CJ727" s="712">
        <f>IF(WWWW[[#This Row],[Total required water points]]-WWWW[[#This Row],['#Water points coverage]]&lt;0,0,WWWW[[#This Row],[Total required water points]]-WWWW[[#This Row],['#Water points coverage]])</f>
        <v>1</v>
      </c>
      <c r="CK727" s="712">
        <f>ROUND(IF(WWWW[[#This Row],[Total PoP ]]&lt;500,1,WWWW[[#This Row],[Total PoP ]]/500),0)</f>
        <v>1</v>
      </c>
      <c r="CL727" s="712">
        <f>(WWWW[[#This Row],['#_Constructed latrines_by_WASHAgencies]]+WWWW[[#This Row],['#_Non Cluster partner latrines]])-WWWW[[#This Row],['#_Non-functional latrines]]</f>
        <v>12</v>
      </c>
      <c r="CM72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2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221</v>
      </c>
      <c r="CO72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7" s="712">
        <f>IF(WWWW[[#This Row],[Location Type 1]]="Village","NA",IF(WWWW[[#This Row],['#_Constructed/Existing latrines in TLS]]*50&gt;WWWW[[#This Row],['#_students at TLS_CFS]],WWWW[[#This Row],['#_students at TLS_CFS]],(WWWW[[#This Row],['#_Constructed/Existing latrines in TLS]]*50)))</f>
        <v>0</v>
      </c>
      <c r="CQ727" s="712">
        <f>ROUND(IF(WWWW[[#This Row],[Location Type 1]]="camp",WWWW[[#This Row],[Total PoP ]]/20,IF(WWWW[[#This Row],[Location Type 1]]="Temporary Location",WWWW[[#This Row],[Total PoP ]]/50,(WWWW[[#This Row],[Total PoP ]]/6))),0)</f>
        <v>11</v>
      </c>
      <c r="CR727" s="712">
        <f>IF(WWWW[[#This Row],[Total required Latrines]]-(WWWW[[#This Row],['#_Constructed latrines_by_WASHAgencies]]+WWWW[[#This Row],['#_Non Cluster partner latrines]])&lt;0,0,WWWW[[#This Row],[Total required Latrines]]-(WWWW[[#This Row],['#_Constructed latrines_by_WASHAgencies]]+WWWW[[#This Row],['#_Non Cluster partner latrines]]))</f>
        <v>0</v>
      </c>
      <c r="CS727" s="714">
        <f>1-WWWW[[#This Row],[% people access to functioning Latrine]]</f>
        <v>0</v>
      </c>
      <c r="CT727" s="713">
        <f>IF(OR(WWWW[[#This Row],['#_Non-functional latrines]]="",WWWW[[#This Row],['#_Non-functional latrines]]=0),0,WWWW[[#This Row],['#_Non-functional latrines]]/(WWWW[[#This Row],['#_Constructed latrines_by_WASHAgencies]]+WWWW[[#This Row],['#_Non Cluster partner latrines]]))</f>
        <v>0</v>
      </c>
      <c r="CU727" s="708">
        <f>IF(500*(WWWW[[#This Row],['#_male hygiene promoters]]+WWWW[[#This Row],['#_female hygiene promoters]])&gt;WWWW[[#This Row],[Total PoP ]],WWWW[[#This Row],[Total PoP ]],500*(WWWW[[#This Row],['#_male hygiene promoters]]+WWWW[[#This Row],['#_female hygiene promoters]]))</f>
        <v>0</v>
      </c>
      <c r="CV72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2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27" s="712">
        <f>IF(WWWW[[#This Row],['# People with access to soap]]&gt;WWWW[[#This Row],['# People with access to Sanity Pads]],WWWW[[#This Row],['# People with access to soap]],WWWW[[#This Row],['# People with access to Sanity Pads]])</f>
        <v>0</v>
      </c>
      <c r="CY727"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27" s="714">
        <f>IF(WWWW[[#This Row],[HRP3]]/WWWW[[#This Row],[Total PoP ]]&gt;100%,100%,WWWW[[#This Row],[HRP3]]/WWWW[[#This Row],[Total PoP ]])</f>
        <v>0</v>
      </c>
      <c r="DA727" s="713">
        <f>1-WWWW[[#This Row],[Hygiene Coverage%]]</f>
        <v>1</v>
      </c>
      <c r="DB727" s="710">
        <f>WWWW[[#This Row],['# people reached by regular dedicated hygiene promotion_5]]/WWWW[[#This Row],[Total PoP ]]</f>
        <v>0</v>
      </c>
      <c r="DC727" s="710">
        <f>IF(WWWW[[#This Row],['#_households that received standard amount of soap for this quarter]]/WWWW[[#This Row],[Total HH]]&gt;1,1,WWWW[[#This Row],['#_households that received standard amount of soap for this quarter]]/WWWW[[#This Row],[Total HH]])</f>
        <v>0</v>
      </c>
      <c r="DD727" s="710">
        <f>IF(WWWW[[#This Row],['#_households that received standard amount of sanitary pads for this quarter]]/WWWW[[#This Row],[Total HH]]&gt;1,1,WWWW[[#This Row],['#_households that received standard amount of sanitary pads for this quarter]]/WWWW[[#This Row],[Total HH]])</f>
        <v>0</v>
      </c>
      <c r="DE727" s="712">
        <f>WWWW[[#This Row],['#_Constructed/Existing hand washing stations]]-WWWW[[#This Row],['#_Non-Functional_hand_washing_stations]]</f>
        <v>0</v>
      </c>
      <c r="DF727" s="757">
        <f>IF(WWWW[[#This Row],['# Functional hand washing stations during reporting period]]*20&gt;WWWW[[#This Row],[Total HH]],WWWW[[#This Row],[Total HH]],WWWW[[#This Row],['# Functional hand washing stations during reporting period]]*20)</f>
        <v>0</v>
      </c>
      <c r="DG727" s="708">
        <f>IF(WWWW[[#This Row],[Is sufficient soap available for TLS? (Yes/No)]]="yes",WWWW[[#This Row],['#_Constructed/Existing hand washing stations at TLS]],0)</f>
        <v>0</v>
      </c>
      <c r="DH727" s="759">
        <f>IF(WWWW[[#This Row],['# Functional hand washing stations during reporting period]]*100&gt;WWWW[[#This Row],[Total PoP ]],WWWW[[#This Row],[Total PoP ]],WWWW[[#This Row],['# Functional hand washing stations during reporting period]]*100)</f>
        <v>0</v>
      </c>
      <c r="DI727" s="759" t="str">
        <f>IF(OR(WWWW[[#This Row],['#_students at TLS_CFS]]="",WWWW[[#This Row],['#_students at TLS_CFS]]=0),"No","Yes")</f>
        <v>No</v>
      </c>
      <c r="DJ727" s="711">
        <f>VLOOKUP(WWWW[[#This Row],[Site Name]],SiteDB6[[Site Name]:[CCCM Management]],6,FALSE)</f>
        <v>0</v>
      </c>
      <c r="DK727" s="711" t="str">
        <f>VLOOKUP(WWWW[[#This Row],[Site Name]],SiteDB6[[Site Name]:[CCCM Focal Agency]],7,FALSE)</f>
        <v>uncovered</v>
      </c>
      <c r="DL727" s="711" t="str">
        <f>VLOOKUP(WWWW[[#This Row],[Site Name]],SiteDB6[[Site Name]:[Location Type 1]],9,FALSE)</f>
        <v>Camp</v>
      </c>
      <c r="DM727" s="711" t="str">
        <f>VLOOKUP(WWWW[[#This Row],[Site Name]],SiteDB6[[Site Name]:[Type of Accommodation]],10,FALSE)</f>
        <v>Camp like setting</v>
      </c>
      <c r="DN727" s="711" t="str">
        <f>VLOOKUP(WWWW[[#This Row],[Site Name]],SiteDB6[[Site Name]:[Ethnic or GCA/NGCA]],11,FALSE)</f>
        <v>GCA</v>
      </c>
      <c r="DO727" s="711">
        <f>VLOOKUP(WWWW[[#This Row],[Site Name]],SiteDB6[[Site Name]:[Lat]],12,FALSE)</f>
        <v>24.006319999999999</v>
      </c>
      <c r="DP727" s="711">
        <f>VLOOKUP(WWWW[[#This Row],[Site Name]],SiteDB6[[Site Name]:[Long]],13,FALSE)</f>
        <v>97.909400000000005</v>
      </c>
      <c r="DQ727" s="711" t="str">
        <f>VLOOKUP(WWWW[[#This Row],[Site Name]],SiteDB6[[Site Name]:[Pcode]],3,FALSE)</f>
        <v>MMR015CMP213</v>
      </c>
      <c r="DR727" s="709" t="str">
        <f t="shared" si="27"/>
        <v>Notcovered</v>
      </c>
      <c r="DS727" s="709"/>
    </row>
    <row r="728" spans="1:123">
      <c r="A728" s="701" t="s">
        <v>2519</v>
      </c>
      <c r="B728" s="701" t="s">
        <v>1957</v>
      </c>
      <c r="C728" s="702" t="s">
        <v>1957</v>
      </c>
      <c r="D728" s="584" t="s">
        <v>3303</v>
      </c>
      <c r="E728" s="702" t="s">
        <v>716</v>
      </c>
      <c r="F728" s="702" t="s">
        <v>720</v>
      </c>
      <c r="G728" s="711" t="str">
        <f>VLOOKUP(WWWW[[#This Row],[Site Name]],SiteDB6[[Site Name]:[Location Type]],8,FALSE)</f>
        <v>Camp</v>
      </c>
      <c r="H728" s="702" t="s">
        <v>746</v>
      </c>
      <c r="I728" s="705">
        <v>34</v>
      </c>
      <c r="J728" s="705">
        <v>180</v>
      </c>
      <c r="K728" s="593" t="s">
        <v>3300</v>
      </c>
      <c r="L728" s="58" t="s">
        <v>3301</v>
      </c>
      <c r="M728" s="705"/>
      <c r="N728" s="705"/>
      <c r="O728" s="705"/>
      <c r="P728" s="705"/>
      <c r="Q728" s="708" t="s">
        <v>43</v>
      </c>
      <c r="R728" s="705">
        <v>5</v>
      </c>
      <c r="S728" s="705">
        <v>4</v>
      </c>
      <c r="T728" s="807">
        <v>0</v>
      </c>
      <c r="U728" s="705"/>
      <c r="V728" s="705"/>
      <c r="W728" s="705">
        <v>0</v>
      </c>
      <c r="X728" s="705">
        <v>0</v>
      </c>
      <c r="Y728" s="705"/>
      <c r="Z728" s="705"/>
      <c r="AA728" s="705">
        <v>25</v>
      </c>
      <c r="AB728" s="705"/>
      <c r="AC728" s="705"/>
      <c r="AD728" s="705">
        <v>0</v>
      </c>
      <c r="AE728" s="705"/>
      <c r="AF728" s="705">
        <v>0</v>
      </c>
      <c r="AG728" s="705">
        <v>1</v>
      </c>
      <c r="AH728" s="705"/>
      <c r="AI728" s="705">
        <v>1</v>
      </c>
      <c r="AJ728" s="705"/>
      <c r="AK728" s="705">
        <v>15</v>
      </c>
      <c r="AL728" s="705"/>
      <c r="AM728" s="705"/>
      <c r="AN728" s="705"/>
      <c r="AO728" s="705"/>
      <c r="AP728" s="705">
        <v>34</v>
      </c>
      <c r="AQ728" s="705">
        <v>0</v>
      </c>
      <c r="AR728" s="710"/>
      <c r="AS728" s="705"/>
      <c r="AT728" s="705"/>
      <c r="AU728" s="705"/>
      <c r="AV728" s="705"/>
      <c r="AW728" s="705"/>
      <c r="AX728" s="711" t="s">
        <v>43</v>
      </c>
      <c r="AY728" s="709" t="s">
        <v>145</v>
      </c>
      <c r="AZ728" s="705">
        <v>0</v>
      </c>
      <c r="BA728" s="705">
        <v>0</v>
      </c>
      <c r="BB728" s="705"/>
      <c r="BC728" s="711"/>
      <c r="BD728" s="705">
        <v>2</v>
      </c>
      <c r="BE728" s="705"/>
      <c r="BF728" s="705">
        <v>0</v>
      </c>
      <c r="BG728" s="705">
        <v>2</v>
      </c>
      <c r="BH728" s="705"/>
      <c r="BI728" s="705">
        <v>0</v>
      </c>
      <c r="BJ728" s="705">
        <v>1</v>
      </c>
      <c r="BK728" s="705">
        <f>27+31</f>
        <v>58</v>
      </c>
      <c r="BL728" s="705">
        <v>31</v>
      </c>
      <c r="BM728" s="711"/>
      <c r="BN728" s="712"/>
      <c r="BO728" s="710">
        <v>1</v>
      </c>
      <c r="BP728" s="711"/>
      <c r="BQ728" s="713">
        <f>IFERROR(WWWW[[#This Row],['#_Water sources treated]]/WWWW[[#This Row],['#_Water sources tested for contamination]],"no test")</f>
        <v>0</v>
      </c>
      <c r="BR728" s="710">
        <f>IFERROR(WWWW[[#This Row],['#_Household received remediation action due to contamination]]/WWWW[[#This Row],['#_Household water samples tested for contamination]],"no test")</f>
        <v>0</v>
      </c>
      <c r="BS728" s="712" t="str">
        <f>IF(AND(WWWW[[#This Row],[% of water sources treated]]="no test",WWWW[[#This Row],[% Household received corrective actions]]="no test"),"No Test","Tested")</f>
        <v>Tested</v>
      </c>
      <c r="BT728" s="712">
        <f>WWWW[[#This Row],['#_Constructed/existing protected hand dug well]]-WWWW[[#This Row],['#_Non-functional protected hand dug well]]</f>
        <v>0</v>
      </c>
      <c r="BU728" s="712">
        <f>(WWWW[[#This Row],['#_Constructed/Existing tube wells/boreholes/handpumps_WASH_agency]]+WWWW[[#This Row],['#_Non-Cluster partner water tube-wells/boreholes/handpumps]])-WWWW[[#This Row],['#_Non-functional tube wells/boreholes/handpumps]]</f>
        <v>0</v>
      </c>
      <c r="BV728" s="712">
        <f>WWWW[[#This Row],['#_Constructed/Existingwater storage tank with gravity fed reticulation system]]-WWWW[[#This Row],['#_Non-functional storage tank gravity fed reticulation system]]</f>
        <v>25</v>
      </c>
      <c r="BW728" s="712">
        <f>WWWW[[#This Row],['#_Water boating or water trucking]]</f>
        <v>0</v>
      </c>
      <c r="BX728" s="712">
        <f>WWWW[[#This Row],['#_Constructed/Existing water distribution system from river or natural spring]]</f>
        <v>0</v>
      </c>
      <c r="BY72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2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28" s="710">
        <f>IF(WWWW[[#This Row],[Location Type 1]]="Village",WWWW[[#This Row],[Access to safe drinking water for Village]],WWWW[[#This Row],[Access to safe drinking water for Camp]])</f>
        <v>1</v>
      </c>
      <c r="CB728" s="708">
        <f>WWWW[[#This Row],[%Equitable and continuous access to sufficient quantity of safe drinking water]]*WWWW[[#This Row],[Total PoP ]]</f>
        <v>180</v>
      </c>
      <c r="CC728" s="710">
        <f>IF((WWWW[[#This Row],['#_Constructed/Existing protected/fenced ponds]]*250)/WWWW[[#This Row],[Total PoP ]]&gt;1,1,(WWWW[[#This Row],['#_Constructed/Existing protected/fenced ponds]]*250)/WWWW[[#This Row],[Total PoP ]])</f>
        <v>0</v>
      </c>
      <c r="CD728" s="708">
        <f>WWWW[[#This Row],[% Access to unimproved water points]]*WWWW[[#This Row],[Total PoP ]]</f>
        <v>0</v>
      </c>
      <c r="CE72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2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G728" s="708">
        <f>WWWW[[#This Row],[HRP1]]/500</f>
        <v>0.36</v>
      </c>
      <c r="CH728" s="714">
        <f>1-WWWW[[#This Row],[% Equitable and continuous access to sufficient quantity of domestic water]]</f>
        <v>0</v>
      </c>
      <c r="CI728" s="708">
        <f>WWWW[[#This Row],[%equitable and continuous access to sufficient quantity of safe drinking and domestic water''s GAP]]*WWWW[[#This Row],[Total PoP ]]</f>
        <v>0</v>
      </c>
      <c r="CJ728" s="712">
        <f>IF(WWWW[[#This Row],[Total required water points]]-WWWW[[#This Row],['#Water points coverage]]&lt;0,0,WWWW[[#This Row],[Total required water points]]-WWWW[[#This Row],['#Water points coverage]])</f>
        <v>0.64</v>
      </c>
      <c r="CK728" s="712">
        <f>ROUND(IF(WWWW[[#This Row],[Total PoP ]]&lt;500,1,WWWW[[#This Row],[Total PoP ]]/500),0)</f>
        <v>1</v>
      </c>
      <c r="CL728" s="712">
        <f>(WWWW[[#This Row],['#_Constructed latrines_by_WASHAgencies]]+WWWW[[#This Row],['#_Non Cluster partner latrines]])-WWWW[[#This Row],['#_Non-functional latrines]]</f>
        <v>34</v>
      </c>
      <c r="CM72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2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72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8" s="712">
        <f>IF(WWWW[[#This Row],[Location Type 1]]="Village","NA",IF(WWWW[[#This Row],['#_Constructed/Existing latrines in TLS]]*50&gt;WWWW[[#This Row],['#_students at TLS_CFS]],WWWW[[#This Row],['#_students at TLS_CFS]],(WWWW[[#This Row],['#_Constructed/Existing latrines in TLS]]*50)))</f>
        <v>0</v>
      </c>
      <c r="CQ728" s="712">
        <f>ROUND(IF(WWWW[[#This Row],[Location Type 1]]="camp",WWWW[[#This Row],[Total PoP ]]/20,IF(WWWW[[#This Row],[Location Type 1]]="Temporary Location",WWWW[[#This Row],[Total PoP ]]/50,(WWWW[[#This Row],[Total PoP ]]/6))),0)</f>
        <v>9</v>
      </c>
      <c r="CR728" s="712">
        <f>IF(WWWW[[#This Row],[Total required Latrines]]-(WWWW[[#This Row],['#_Constructed latrines_by_WASHAgencies]]+WWWW[[#This Row],['#_Non Cluster partner latrines]])&lt;0,0,WWWW[[#This Row],[Total required Latrines]]-(WWWW[[#This Row],['#_Constructed latrines_by_WASHAgencies]]+WWWW[[#This Row],['#_Non Cluster partner latrines]]))</f>
        <v>0</v>
      </c>
      <c r="CS728" s="714">
        <f>1-WWWW[[#This Row],[% people access to functioning Latrine]]</f>
        <v>0</v>
      </c>
      <c r="CT728" s="713">
        <f>IF(OR(WWWW[[#This Row],['#_Non-functional latrines]]="",WWWW[[#This Row],['#_Non-functional latrines]]=0),0,WWWW[[#This Row],['#_Non-functional latrines]]/(WWWW[[#This Row],['#_Constructed latrines_by_WASHAgencies]]+WWWW[[#This Row],['#_Non Cluster partner latrines]]))</f>
        <v>0</v>
      </c>
      <c r="CU728" s="708">
        <f>IF(500*(WWWW[[#This Row],['#_male hygiene promoters]]+WWWW[[#This Row],['#_female hygiene promoters]])&gt;WWWW[[#This Row],[Total PoP ]],WWWW[[#This Row],[Total PoP ]],500*(WWWW[[#This Row],['#_male hygiene promoters]]+WWWW[[#This Row],['#_female hygiene promoters]]))</f>
        <v>180</v>
      </c>
      <c r="CV72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CW72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155</v>
      </c>
      <c r="CX728" s="712">
        <f>IF(WWWW[[#This Row],['# People with access to soap]]&gt;WWWW[[#This Row],['# People with access to Sanity Pads]],WWWW[[#This Row],['# People with access to soap]],WWWW[[#This Row],['# People with access to Sanity Pads]])</f>
        <v>180</v>
      </c>
      <c r="CY728" s="712">
        <f>IF(WWWW[[#This Row],['# people reached by regular dedicated hygiene promotion_5]]&gt;WWWW[[#This Row],['# People received regular supply of hygiene items_6]],WWWW[[#This Row],['# people reached by regular dedicated hygiene promotion_5]],WWWW[[#This Row],['# People received regular supply of hygiene items_6]])</f>
        <v>180</v>
      </c>
      <c r="CZ728" s="714">
        <f>IF(WWWW[[#This Row],[HRP3]]/WWWW[[#This Row],[Total PoP ]]&gt;100%,100%,WWWW[[#This Row],[HRP3]]/WWWW[[#This Row],[Total PoP ]])</f>
        <v>1</v>
      </c>
      <c r="DA728" s="713">
        <f>1-WWWW[[#This Row],[Hygiene Coverage%]]</f>
        <v>0</v>
      </c>
      <c r="DB728" s="710">
        <f>WWWW[[#This Row],['# people reached by regular dedicated hygiene promotion_5]]/WWWW[[#This Row],[Total PoP ]]</f>
        <v>1</v>
      </c>
      <c r="DC728" s="710">
        <f>IF(WWWW[[#This Row],['#_households that received standard amount of soap for this quarter]]/WWWW[[#This Row],[Total HH]]&gt;1,1,WWWW[[#This Row],['#_households that received standard amount of soap for this quarter]]/WWWW[[#This Row],[Total HH]])</f>
        <v>1</v>
      </c>
      <c r="DD728" s="710">
        <f>IF(WWWW[[#This Row],['#_households that received standard amount of sanitary pads for this quarter]]/WWWW[[#This Row],[Total HH]]&gt;1,1,WWWW[[#This Row],['#_households that received standard amount of sanitary pads for this quarter]]/WWWW[[#This Row],[Total HH]])</f>
        <v>0.91176470588235292</v>
      </c>
      <c r="DE728" s="712">
        <f>WWWW[[#This Row],['#_Constructed/Existing hand washing stations]]-WWWW[[#This Row],['#_Non-Functional_hand_washing_stations]]</f>
        <v>2</v>
      </c>
      <c r="DF728" s="757">
        <f>IF(WWWW[[#This Row],['# Functional hand washing stations during reporting period]]*20&gt;WWWW[[#This Row],[Total HH]],WWWW[[#This Row],[Total HH]],WWWW[[#This Row],['# Functional hand washing stations during reporting period]]*20)</f>
        <v>34</v>
      </c>
      <c r="DG728" s="708">
        <f>IF(WWWW[[#This Row],[Is sufficient soap available for TLS? (Yes/No)]]="yes",WWWW[[#This Row],['#_Constructed/Existing hand washing stations at TLS]],0)</f>
        <v>0</v>
      </c>
      <c r="DH728" s="759">
        <f>IF(WWWW[[#This Row],['# Functional hand washing stations during reporting period]]*100&gt;WWWW[[#This Row],[Total PoP ]],WWWW[[#This Row],[Total PoP ]],WWWW[[#This Row],['# Functional hand washing stations during reporting period]]*100)</f>
        <v>180</v>
      </c>
      <c r="DI728" s="759" t="str">
        <f>IF(OR(WWWW[[#This Row],['#_students at TLS_CFS]]="",WWWW[[#This Row],['#_students at TLS_CFS]]=0),"No","Yes")</f>
        <v>No</v>
      </c>
      <c r="DJ728" s="711">
        <f>VLOOKUP(WWWW[[#This Row],[Site Name]],SiteDB6[[Site Name]:[CCCM Management]],6,FALSE)</f>
        <v>0</v>
      </c>
      <c r="DK728" s="711" t="str">
        <f>VLOOKUP(WWWW[[#This Row],[Site Name]],SiteDB6[[Site Name]:[CCCM Focal Agency]],7,FALSE)</f>
        <v>uncovered</v>
      </c>
      <c r="DL728" s="711" t="str">
        <f>VLOOKUP(WWWW[[#This Row],[Site Name]],SiteDB6[[Site Name]:[Location Type 1]],9,FALSE)</f>
        <v>Camp</v>
      </c>
      <c r="DM728" s="711" t="str">
        <f>VLOOKUP(WWWW[[#This Row],[Site Name]],SiteDB6[[Site Name]:[Type of Accommodation]],10,FALSE)</f>
        <v>Camp like setting</v>
      </c>
      <c r="DN728" s="711" t="str">
        <f>VLOOKUP(WWWW[[#This Row],[Site Name]],SiteDB6[[Site Name]:[Ethnic or GCA/NGCA]],11,FALSE)</f>
        <v>GCA</v>
      </c>
      <c r="DO728" s="711">
        <f>VLOOKUP(WWWW[[#This Row],[Site Name]],SiteDB6[[Site Name]:[Lat]],12,FALSE)</f>
        <v>23.850999999999999</v>
      </c>
      <c r="DP728" s="711">
        <f>VLOOKUP(WWWW[[#This Row],[Site Name]],SiteDB6[[Site Name]:[Long]],13,FALSE)</f>
        <v>98.337999999999994</v>
      </c>
      <c r="DQ728" s="711" t="str">
        <f>VLOOKUP(WWWW[[#This Row],[Site Name]],SiteDB6[[Site Name]:[Pcode]],3,FALSE)</f>
        <v>MMR015CMP227</v>
      </c>
      <c r="DR728" s="709" t="str">
        <f t="shared" si="27"/>
        <v>Covered</v>
      </c>
      <c r="DS728" s="709"/>
    </row>
    <row r="729" spans="1:123">
      <c r="A729" s="701" t="s">
        <v>2519</v>
      </c>
      <c r="B729" s="701" t="s">
        <v>200</v>
      </c>
      <c r="C729" s="702" t="s">
        <v>200</v>
      </c>
      <c r="D729" s="584" t="s">
        <v>249</v>
      </c>
      <c r="E729" s="702" t="s">
        <v>716</v>
      </c>
      <c r="F729" s="702" t="s">
        <v>720</v>
      </c>
      <c r="G729" s="711" t="str">
        <f>VLOOKUP(WWWW[[#This Row],[Site Name]],SiteDB6[[Site Name]:[Location Type]],8,FALSE)</f>
        <v>Camp</v>
      </c>
      <c r="H729" s="702" t="s">
        <v>729</v>
      </c>
      <c r="I729" s="705">
        <v>44</v>
      </c>
      <c r="J729" s="705">
        <v>264</v>
      </c>
      <c r="K729" s="706">
        <v>43497</v>
      </c>
      <c r="L729" s="707">
        <v>43861</v>
      </c>
      <c r="M729" s="705"/>
      <c r="N729" s="705"/>
      <c r="O729" s="705"/>
      <c r="P729" s="705"/>
      <c r="Q729" s="708"/>
      <c r="R729" s="705"/>
      <c r="S729" s="705"/>
      <c r="T729" s="807"/>
      <c r="U729" s="705"/>
      <c r="V729" s="705"/>
      <c r="W729" s="705"/>
      <c r="X729" s="705"/>
      <c r="Y729" s="705"/>
      <c r="Z729" s="705"/>
      <c r="AA729" s="705"/>
      <c r="AB729" s="705"/>
      <c r="AC729" s="705"/>
      <c r="AD729" s="705"/>
      <c r="AE729" s="705"/>
      <c r="AF729" s="705"/>
      <c r="AG729" s="705"/>
      <c r="AH729" s="705"/>
      <c r="AI729" s="705"/>
      <c r="AJ729" s="705"/>
      <c r="AK729" s="705"/>
      <c r="AL729" s="705"/>
      <c r="AM729" s="705"/>
      <c r="AN729" s="705"/>
      <c r="AO729" s="705"/>
      <c r="AP729" s="705"/>
      <c r="AQ729" s="705"/>
      <c r="AR729" s="710"/>
      <c r="AS729" s="705"/>
      <c r="AT729" s="705"/>
      <c r="AU729" s="705"/>
      <c r="AV729" s="705"/>
      <c r="AW729" s="705"/>
      <c r="AX729" s="711" t="s">
        <v>43</v>
      </c>
      <c r="AY729" s="709" t="s">
        <v>144</v>
      </c>
      <c r="AZ729" s="705"/>
      <c r="BA729" s="705"/>
      <c r="BB729" s="705"/>
      <c r="BC729" s="711"/>
      <c r="BD729" s="705"/>
      <c r="BE729" s="705"/>
      <c r="BF729" s="705"/>
      <c r="BG729" s="705"/>
      <c r="BH729" s="705"/>
      <c r="BI729" s="705"/>
      <c r="BJ729" s="705"/>
      <c r="BK729" s="705">
        <v>38</v>
      </c>
      <c r="BL729" s="705">
        <v>38</v>
      </c>
      <c r="BM729" s="711"/>
      <c r="BN729" s="712"/>
      <c r="BO729" s="710"/>
      <c r="BP729" s="711"/>
      <c r="BQ729" s="713" t="str">
        <f>IFERROR(WWWW[[#This Row],['#_Water sources treated]]/WWWW[[#This Row],['#_Water sources tested for contamination]],"no test")</f>
        <v>no test</v>
      </c>
      <c r="BR729" s="710" t="str">
        <f>IFERROR(WWWW[[#This Row],['#_Household received remediation action due to contamination]]/WWWW[[#This Row],['#_Household water samples tested for contamination]],"no test")</f>
        <v>no test</v>
      </c>
      <c r="BS729" s="712" t="str">
        <f>IF(AND(WWWW[[#This Row],[% of water sources treated]]="no test",WWWW[[#This Row],[% Household received corrective actions]]="no test"),"No Test","Tested")</f>
        <v>No Test</v>
      </c>
      <c r="BT729" s="712">
        <f>WWWW[[#This Row],['#_Constructed/existing protected hand dug well]]-WWWW[[#This Row],['#_Non-functional protected hand dug well]]</f>
        <v>0</v>
      </c>
      <c r="BU729" s="712">
        <f>(WWWW[[#This Row],['#_Constructed/Existing tube wells/boreholes/handpumps_WASH_agency]]+WWWW[[#This Row],['#_Non-Cluster partner water tube-wells/boreholes/handpumps]])-WWWW[[#This Row],['#_Non-functional tube wells/boreholes/handpumps]]</f>
        <v>0</v>
      </c>
      <c r="BV729" s="712">
        <f>WWWW[[#This Row],['#_Constructed/Existingwater storage tank with gravity fed reticulation system]]-WWWW[[#This Row],['#_Non-functional storage tank gravity fed reticulation system]]</f>
        <v>0</v>
      </c>
      <c r="BW729" s="712">
        <f>WWWW[[#This Row],['#_Water boating or water trucking]]</f>
        <v>0</v>
      </c>
      <c r="BX729" s="712">
        <f>WWWW[[#This Row],['#_Constructed/Existing water distribution system from river or natural spring]]</f>
        <v>0</v>
      </c>
      <c r="BY72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2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29" s="710">
        <f>IF(WWWW[[#This Row],[Location Type 1]]="Village",WWWW[[#This Row],[Access to safe drinking water for Village]],WWWW[[#This Row],[Access to safe drinking water for Camp]])</f>
        <v>0</v>
      </c>
      <c r="CB729" s="708">
        <f>WWWW[[#This Row],[%Equitable and continuous access to sufficient quantity of safe drinking water]]*WWWW[[#This Row],[Total PoP ]]</f>
        <v>0</v>
      </c>
      <c r="CC729" s="710">
        <f>IF((WWWW[[#This Row],['#_Constructed/Existing protected/fenced ponds]]*250)/WWWW[[#This Row],[Total PoP ]]&gt;1,1,(WWWW[[#This Row],['#_Constructed/Existing protected/fenced ponds]]*250)/WWWW[[#This Row],[Total PoP ]])</f>
        <v>0</v>
      </c>
      <c r="CD729" s="708">
        <f>WWWW[[#This Row],[% Access to unimproved water points]]*WWWW[[#This Row],[Total PoP ]]</f>
        <v>0</v>
      </c>
      <c r="CE72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2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29" s="708">
        <f>WWWW[[#This Row],[HRP1]]/500</f>
        <v>0</v>
      </c>
      <c r="CH729" s="714">
        <f>1-WWWW[[#This Row],[% Equitable and continuous access to sufficient quantity of domestic water]]</f>
        <v>1</v>
      </c>
      <c r="CI729" s="708">
        <f>WWWW[[#This Row],[%equitable and continuous access to sufficient quantity of safe drinking and domestic water''s GAP]]*WWWW[[#This Row],[Total PoP ]]</f>
        <v>264</v>
      </c>
      <c r="CJ729" s="712">
        <f>IF(WWWW[[#This Row],[Total required water points]]-WWWW[[#This Row],['#Water points coverage]]&lt;0,0,WWWW[[#This Row],[Total required water points]]-WWWW[[#This Row],['#Water points coverage]])</f>
        <v>1</v>
      </c>
      <c r="CK729" s="712">
        <f>ROUND(IF(WWWW[[#This Row],[Total PoP ]]&lt;500,1,WWWW[[#This Row],[Total PoP ]]/500),0)</f>
        <v>1</v>
      </c>
      <c r="CL729" s="712">
        <f>(WWWW[[#This Row],['#_Constructed latrines_by_WASHAgencies]]+WWWW[[#This Row],['#_Non Cluster partner latrines]])-WWWW[[#This Row],['#_Non-functional latrines]]</f>
        <v>0</v>
      </c>
      <c r="CM72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2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2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29" s="712">
        <f>IF(WWWW[[#This Row],[Location Type 1]]="Village","NA",IF(WWWW[[#This Row],['#_Constructed/Existing latrines in TLS]]*50&gt;WWWW[[#This Row],['#_students at TLS_CFS]],WWWW[[#This Row],['#_students at TLS_CFS]],(WWWW[[#This Row],['#_Constructed/Existing latrines in TLS]]*50)))</f>
        <v>0</v>
      </c>
      <c r="CQ729" s="712">
        <f>ROUND(IF(WWWW[[#This Row],[Location Type 1]]="camp",WWWW[[#This Row],[Total PoP ]]/20,IF(WWWW[[#This Row],[Location Type 1]]="Temporary Location",WWWW[[#This Row],[Total PoP ]]/50,(WWWW[[#This Row],[Total PoP ]]/6))),0)</f>
        <v>44</v>
      </c>
      <c r="CR729" s="712">
        <f>IF(WWWW[[#This Row],[Total required Latrines]]-(WWWW[[#This Row],['#_Constructed latrines_by_WASHAgencies]]+WWWW[[#This Row],['#_Non Cluster partner latrines]])&lt;0,0,WWWW[[#This Row],[Total required Latrines]]-(WWWW[[#This Row],['#_Constructed latrines_by_WASHAgencies]]+WWWW[[#This Row],['#_Non Cluster partner latrines]]))</f>
        <v>44</v>
      </c>
      <c r="CS729" s="714">
        <f>1-WWWW[[#This Row],[% people access to functioning Latrine]]</f>
        <v>1</v>
      </c>
      <c r="CT729" s="713">
        <f>IF(OR(WWWW[[#This Row],['#_Non-functional latrines]]="",WWWW[[#This Row],['#_Non-functional latrines]]=0),0,WWWW[[#This Row],['#_Non-functional latrines]]/(WWWW[[#This Row],['#_Constructed latrines_by_WASHAgencies]]+WWWW[[#This Row],['#_Non Cluster partner latrines]]))</f>
        <v>0</v>
      </c>
      <c r="CU729" s="708">
        <f>IF(500*(WWWW[[#This Row],['#_male hygiene promoters]]+WWWW[[#This Row],['#_female hygiene promoters]])&gt;WWWW[[#This Row],[Total PoP ]],WWWW[[#This Row],[Total PoP ]],500*(WWWW[[#This Row],['#_male hygiene promoters]]+WWWW[[#This Row],['#_female hygiene promoters]]))</f>
        <v>0</v>
      </c>
      <c r="CV72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190</v>
      </c>
      <c r="CW72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190</v>
      </c>
      <c r="CX729" s="712">
        <f>IF(WWWW[[#This Row],['# People with access to soap]]&gt;WWWW[[#This Row],['# People with access to Sanity Pads]],WWWW[[#This Row],['# People with access to soap]],WWWW[[#This Row],['# People with access to Sanity Pads]])</f>
        <v>190</v>
      </c>
      <c r="CY729" s="712">
        <f>IF(WWWW[[#This Row],['# people reached by regular dedicated hygiene promotion_5]]&gt;WWWW[[#This Row],['# People received regular supply of hygiene items_6]],WWWW[[#This Row],['# people reached by regular dedicated hygiene promotion_5]],WWWW[[#This Row],['# People received regular supply of hygiene items_6]])</f>
        <v>190</v>
      </c>
      <c r="CZ729" s="714">
        <f>IF(WWWW[[#This Row],[HRP3]]/WWWW[[#This Row],[Total PoP ]]&gt;100%,100%,WWWW[[#This Row],[HRP3]]/WWWW[[#This Row],[Total PoP ]])</f>
        <v>0.71969696969696972</v>
      </c>
      <c r="DA729" s="713">
        <f>1-WWWW[[#This Row],[Hygiene Coverage%]]</f>
        <v>0.28030303030303028</v>
      </c>
      <c r="DB729" s="710">
        <f>WWWW[[#This Row],['# people reached by regular dedicated hygiene promotion_5]]/WWWW[[#This Row],[Total PoP ]]</f>
        <v>0</v>
      </c>
      <c r="DC729" s="710">
        <f>IF(WWWW[[#This Row],['#_households that received standard amount of soap for this quarter]]/WWWW[[#This Row],[Total HH]]&gt;1,1,WWWW[[#This Row],['#_households that received standard amount of soap for this quarter]]/WWWW[[#This Row],[Total HH]])</f>
        <v>0.86363636363636365</v>
      </c>
      <c r="DD729" s="710">
        <f>IF(WWWW[[#This Row],['#_households that received standard amount of sanitary pads for this quarter]]/WWWW[[#This Row],[Total HH]]&gt;1,1,WWWW[[#This Row],['#_households that received standard amount of sanitary pads for this quarter]]/WWWW[[#This Row],[Total HH]])</f>
        <v>0.86363636363636365</v>
      </c>
      <c r="DE729" s="712">
        <f>WWWW[[#This Row],['#_Constructed/Existing hand washing stations]]-WWWW[[#This Row],['#_Non-Functional_hand_washing_stations]]</f>
        <v>0</v>
      </c>
      <c r="DF729" s="757">
        <f>IF(WWWW[[#This Row],['# Functional hand washing stations during reporting period]]*20&gt;WWWW[[#This Row],[Total HH]],WWWW[[#This Row],[Total HH]],WWWW[[#This Row],['# Functional hand washing stations during reporting period]]*20)</f>
        <v>0</v>
      </c>
      <c r="DG729" s="708">
        <f>IF(WWWW[[#This Row],[Is sufficient soap available for TLS? (Yes/No)]]="yes",WWWW[[#This Row],['#_Constructed/Existing hand washing stations at TLS]],0)</f>
        <v>0</v>
      </c>
      <c r="DH729" s="759">
        <f>IF(WWWW[[#This Row],['# Functional hand washing stations during reporting period]]*100&gt;WWWW[[#This Row],[Total PoP ]],WWWW[[#This Row],[Total PoP ]],WWWW[[#This Row],['# Functional hand washing stations during reporting period]]*100)</f>
        <v>0</v>
      </c>
      <c r="DI729" s="759" t="str">
        <f>IF(OR(WWWW[[#This Row],['#_students at TLS_CFS]]="",WWWW[[#This Row],['#_students at TLS_CFS]]=0),"No","Yes")</f>
        <v>No</v>
      </c>
      <c r="DJ729" s="711" t="str">
        <f>VLOOKUP(WWWW[[#This Row],[Site Name]],SiteDB6[[Site Name]:[CCCM Management]],6,FALSE)</f>
        <v>Yes</v>
      </c>
      <c r="DK729" s="711" t="str">
        <f>VLOOKUP(WWWW[[#This Row],[Site Name]],SiteDB6[[Site Name]:[CCCM Focal Agency]],7,FALSE)</f>
        <v>KBC-NSS</v>
      </c>
      <c r="DL729" s="711" t="str">
        <f>VLOOKUP(WWWW[[#This Row],[Site Name]],SiteDB6[[Site Name]:[Location Type 1]],9,FALSE)</f>
        <v>Village Type Camp</v>
      </c>
      <c r="DM729" s="711" t="str">
        <f>VLOOKUP(WWWW[[#This Row],[Site Name]],SiteDB6[[Site Name]:[Type of Accommodation]],10,FALSE)</f>
        <v>Camp</v>
      </c>
      <c r="DN729" s="711" t="str">
        <f>VLOOKUP(WWWW[[#This Row],[Site Name]],SiteDB6[[Site Name]:[Ethnic or GCA/NGCA]],11,FALSE)</f>
        <v>GCA</v>
      </c>
      <c r="DO729" s="711">
        <f>VLOOKUP(WWWW[[#This Row],[Site Name]],SiteDB6[[Site Name]:[Lat]],12,FALSE)</f>
        <v>23.400155999999999</v>
      </c>
      <c r="DP729" s="711">
        <f>VLOOKUP(WWWW[[#This Row],[Site Name]],SiteDB6[[Site Name]:[Long]],13,FALSE)</f>
        <v>98.220614999999995</v>
      </c>
      <c r="DQ729" s="711" t="str">
        <f>VLOOKUP(WWWW[[#This Row],[Site Name]],SiteDB6[[Site Name]:[Pcode]],3,FALSE)</f>
        <v>MMR015CMP006</v>
      </c>
      <c r="DR729" s="709" t="str">
        <f t="shared" si="27"/>
        <v>Covered</v>
      </c>
      <c r="DS729" s="709"/>
    </row>
    <row r="730" spans="1:123">
      <c r="A730" s="701" t="s">
        <v>2519</v>
      </c>
      <c r="B730" s="808" t="s">
        <v>200</v>
      </c>
      <c r="C730" s="808" t="s">
        <v>200</v>
      </c>
      <c r="D730" s="584" t="s">
        <v>249</v>
      </c>
      <c r="E730" s="702" t="s">
        <v>716</v>
      </c>
      <c r="F730" s="702" t="s">
        <v>720</v>
      </c>
      <c r="G730" s="711" t="str">
        <f>VLOOKUP(WWWW[[#This Row],[Site Name]],SiteDB6[[Site Name]:[Location Type]],8,FALSE)</f>
        <v>Camp</v>
      </c>
      <c r="H730" s="702" t="s">
        <v>725</v>
      </c>
      <c r="I730" s="705">
        <v>22</v>
      </c>
      <c r="J730" s="705">
        <v>111</v>
      </c>
      <c r="K730" s="706"/>
      <c r="L730" s="58">
        <v>43861</v>
      </c>
      <c r="M730" s="705">
        <v>42</v>
      </c>
      <c r="N730" s="705"/>
      <c r="O730" s="705"/>
      <c r="P730" s="705"/>
      <c r="Q730" s="708"/>
      <c r="R730" s="705"/>
      <c r="S730" s="705"/>
      <c r="T730" s="807">
        <v>0</v>
      </c>
      <c r="U730" s="705"/>
      <c r="V730" s="705"/>
      <c r="W730" s="705">
        <v>0</v>
      </c>
      <c r="X730" s="705"/>
      <c r="Y730" s="705"/>
      <c r="Z730" s="705"/>
      <c r="AA730" s="705"/>
      <c r="AB730" s="705"/>
      <c r="AC730" s="705"/>
      <c r="AD730" s="705"/>
      <c r="AE730" s="705">
        <v>1</v>
      </c>
      <c r="AF730" s="705"/>
      <c r="AG730" s="705"/>
      <c r="AH730" s="705"/>
      <c r="AI730" s="705"/>
      <c r="AJ730" s="705"/>
      <c r="AK730" s="705"/>
      <c r="AL730" s="705"/>
      <c r="AM730" s="705"/>
      <c r="AN730" s="705"/>
      <c r="AO730" s="705"/>
      <c r="AP730" s="705">
        <v>8</v>
      </c>
      <c r="AQ730" s="705"/>
      <c r="AR730" s="710"/>
      <c r="AS730" s="705"/>
      <c r="AT730" s="705"/>
      <c r="AU730" s="705"/>
      <c r="AV730" s="705"/>
      <c r="AW730" s="705"/>
      <c r="AX730" s="711" t="s">
        <v>43</v>
      </c>
      <c r="AY730" s="709" t="s">
        <v>145</v>
      </c>
      <c r="AZ730" s="705"/>
      <c r="BA730" s="705"/>
      <c r="BB730" s="705">
        <v>0</v>
      </c>
      <c r="BC730" s="711"/>
      <c r="BD730" s="705"/>
      <c r="BE730" s="705"/>
      <c r="BF730" s="705">
        <v>0</v>
      </c>
      <c r="BG730" s="705">
        <v>2</v>
      </c>
      <c r="BH730" s="705"/>
      <c r="BI730" s="705"/>
      <c r="BJ730" s="705">
        <v>0</v>
      </c>
      <c r="BK730" s="705">
        <v>19</v>
      </c>
      <c r="BL730" s="705">
        <v>19</v>
      </c>
      <c r="BM730" s="711"/>
      <c r="BN730" s="712"/>
      <c r="BO730" s="710"/>
      <c r="BP730" s="711"/>
      <c r="BQ730" s="713" t="str">
        <f>IFERROR(WWWW[[#This Row],['#_Water sources treated]]/WWWW[[#This Row],['#_Water sources tested for contamination]],"no test")</f>
        <v>no test</v>
      </c>
      <c r="BR730" s="710" t="str">
        <f>IFERROR(WWWW[[#This Row],['#_Household received remediation action due to contamination]]/WWWW[[#This Row],['#_Household water samples tested for contamination]],"no test")</f>
        <v>no test</v>
      </c>
      <c r="BS730" s="712" t="str">
        <f>IF(AND(WWWW[[#This Row],[% of water sources treated]]="no test",WWWW[[#This Row],[% Household received corrective actions]]="no test"),"No Test","Tested")</f>
        <v>No Test</v>
      </c>
      <c r="BT730" s="712">
        <f>WWWW[[#This Row],['#_Constructed/existing protected hand dug well]]-WWWW[[#This Row],['#_Non-functional protected hand dug well]]</f>
        <v>0</v>
      </c>
      <c r="BU730" s="712">
        <f>(WWWW[[#This Row],['#_Constructed/Existing tube wells/boreholes/handpumps_WASH_agency]]+WWWW[[#This Row],['#_Non-Cluster partner water tube-wells/boreholes/handpumps]])-WWWW[[#This Row],['#_Non-functional tube wells/boreholes/handpumps]]</f>
        <v>0</v>
      </c>
      <c r="BV730" s="712">
        <f>WWWW[[#This Row],['#_Constructed/Existingwater storage tank with gravity fed reticulation system]]-WWWW[[#This Row],['#_Non-functional storage tank gravity fed reticulation system]]</f>
        <v>0</v>
      </c>
      <c r="BW730" s="712">
        <f>WWWW[[#This Row],['#_Water boating or water trucking]]</f>
        <v>0</v>
      </c>
      <c r="BX730" s="712">
        <f>WWWW[[#This Row],['#_Constructed/Existing water distribution system from river or natural spring]]</f>
        <v>0</v>
      </c>
      <c r="BY73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3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30" s="710">
        <f>IF(WWWW[[#This Row],[Location Type 1]]="Village",WWWW[[#This Row],[Access to safe drinking water for Village]],WWWW[[#This Row],[Access to safe drinking water for Camp]])</f>
        <v>0</v>
      </c>
      <c r="CB730" s="708">
        <f>WWWW[[#This Row],[%Equitable and continuous access to sufficient quantity of safe drinking water]]*WWWW[[#This Row],[Total PoP ]]</f>
        <v>0</v>
      </c>
      <c r="CC730" s="710">
        <f>IF((WWWW[[#This Row],['#_Constructed/Existing protected/fenced ponds]]*250)/WWWW[[#This Row],[Total PoP ]]&gt;1,1,(WWWW[[#This Row],['#_Constructed/Existing protected/fenced ponds]]*250)/WWWW[[#This Row],[Total PoP ]])</f>
        <v>1</v>
      </c>
      <c r="CD730" s="708">
        <f>WWWW[[#This Row],[% Access to unimproved water points]]*WWWW[[#This Row],[Total PoP ]]</f>
        <v>111</v>
      </c>
      <c r="CE73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111</v>
      </c>
      <c r="CG730" s="708">
        <f>WWWW[[#This Row],[HRP1]]/500</f>
        <v>0.222</v>
      </c>
      <c r="CH730" s="714">
        <f>1-WWWW[[#This Row],[% Equitable and continuous access to sufficient quantity of domestic water]]</f>
        <v>0</v>
      </c>
      <c r="CI730" s="708">
        <f>WWWW[[#This Row],[%equitable and continuous access to sufficient quantity of safe drinking and domestic water''s GAP]]*WWWW[[#This Row],[Total PoP ]]</f>
        <v>0</v>
      </c>
      <c r="CJ730" s="712">
        <f>IF(WWWW[[#This Row],[Total required water points]]-WWWW[[#This Row],['#Water points coverage]]&lt;0,0,WWWW[[#This Row],[Total required water points]]-WWWW[[#This Row],['#Water points coverage]])</f>
        <v>0.77800000000000002</v>
      </c>
      <c r="CK730" s="712">
        <f>ROUND(IF(WWWW[[#This Row],[Total PoP ]]&lt;500,1,WWWW[[#This Row],[Total PoP ]]/500),0)</f>
        <v>1</v>
      </c>
      <c r="CL730" s="712">
        <f>(WWWW[[#This Row],['#_Constructed latrines_by_WASHAgencies]]+WWWW[[#This Row],['#_Non Cluster partner latrines]])-WWWW[[#This Row],['#_Non-functional latrines]]</f>
        <v>8</v>
      </c>
      <c r="CM73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3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111</v>
      </c>
      <c r="CO73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0" s="712">
        <f>IF(WWWW[[#This Row],[Location Type 1]]="Village","NA",IF(WWWW[[#This Row],['#_Constructed/Existing latrines in TLS]]*50&gt;WWWW[[#This Row],['#_students at TLS_CFS]],WWWW[[#This Row],['#_students at TLS_CFS]],(WWWW[[#This Row],['#_Constructed/Existing latrines in TLS]]*50)))</f>
        <v>0</v>
      </c>
      <c r="CQ730" s="712">
        <f>ROUND(IF(WWWW[[#This Row],[Location Type 1]]="camp",WWWW[[#This Row],[Total PoP ]]/20,IF(WWWW[[#This Row],[Location Type 1]]="Temporary Location",WWWW[[#This Row],[Total PoP ]]/50,(WWWW[[#This Row],[Total PoP ]]/6))),0)</f>
        <v>6</v>
      </c>
      <c r="CR730" s="712">
        <f>IF(WWWW[[#This Row],[Total required Latrines]]-(WWWW[[#This Row],['#_Constructed latrines_by_WASHAgencies]]+WWWW[[#This Row],['#_Non Cluster partner latrines]])&lt;0,0,WWWW[[#This Row],[Total required Latrines]]-(WWWW[[#This Row],['#_Constructed latrines_by_WASHAgencies]]+WWWW[[#This Row],['#_Non Cluster partner latrines]]))</f>
        <v>0</v>
      </c>
      <c r="CS730" s="714">
        <f>1-WWWW[[#This Row],[% people access to functioning Latrine]]</f>
        <v>0</v>
      </c>
      <c r="CT730" s="713">
        <f>IF(OR(WWWW[[#This Row],['#_Non-functional latrines]]="",WWWW[[#This Row],['#_Non-functional latrines]]=0),0,WWWW[[#This Row],['#_Non-functional latrines]]/(WWWW[[#This Row],['#_Constructed latrines_by_WASHAgencies]]+WWWW[[#This Row],['#_Non Cluster partner latrines]]))</f>
        <v>0</v>
      </c>
      <c r="CU730" s="708">
        <f>IF(500*(WWWW[[#This Row],['#_male hygiene promoters]]+WWWW[[#This Row],['#_female hygiene promoters]])&gt;WWWW[[#This Row],[Total PoP ]],WWWW[[#This Row],[Total PoP ]],500*(WWWW[[#This Row],['#_male hygiene promoters]]+WWWW[[#This Row],['#_female hygiene promoters]]))</f>
        <v>0</v>
      </c>
      <c r="CV73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CW73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95</v>
      </c>
      <c r="CX730" s="712">
        <f>IF(WWWW[[#This Row],['# People with access to soap]]&gt;WWWW[[#This Row],['# People with access to Sanity Pads]],WWWW[[#This Row],['# People with access to soap]],WWWW[[#This Row],['# People with access to Sanity Pads]])</f>
        <v>95</v>
      </c>
      <c r="CY730" s="712">
        <f>IF(WWWW[[#This Row],['# people reached by regular dedicated hygiene promotion_5]]&gt;WWWW[[#This Row],['# People received regular supply of hygiene items_6]],WWWW[[#This Row],['# people reached by regular dedicated hygiene promotion_5]],WWWW[[#This Row],['# People received regular supply of hygiene items_6]])</f>
        <v>95</v>
      </c>
      <c r="CZ730" s="714">
        <f>IF(WWWW[[#This Row],[HRP3]]/WWWW[[#This Row],[Total PoP ]]&gt;100%,100%,WWWW[[#This Row],[HRP3]]/WWWW[[#This Row],[Total PoP ]])</f>
        <v>0.85585585585585588</v>
      </c>
      <c r="DA730" s="713">
        <f>1-WWWW[[#This Row],[Hygiene Coverage%]]</f>
        <v>0.14414414414414412</v>
      </c>
      <c r="DB730" s="710">
        <f>WWWW[[#This Row],['# people reached by regular dedicated hygiene promotion_5]]/WWWW[[#This Row],[Total PoP ]]</f>
        <v>0</v>
      </c>
      <c r="DC730" s="710">
        <f>IF(WWWW[[#This Row],['#_households that received standard amount of soap for this quarter]]/WWWW[[#This Row],[Total HH]]&gt;1,1,WWWW[[#This Row],['#_households that received standard amount of soap for this quarter]]/WWWW[[#This Row],[Total HH]])</f>
        <v>0.86363636363636365</v>
      </c>
      <c r="DD730" s="710">
        <f>IF(WWWW[[#This Row],['#_households that received standard amount of sanitary pads for this quarter]]/WWWW[[#This Row],[Total HH]]&gt;1,1,WWWW[[#This Row],['#_households that received standard amount of sanitary pads for this quarter]]/WWWW[[#This Row],[Total HH]])</f>
        <v>0.86363636363636365</v>
      </c>
      <c r="DE730" s="712">
        <f>WWWW[[#This Row],['#_Constructed/Existing hand washing stations]]-WWWW[[#This Row],['#_Non-Functional_hand_washing_stations]]</f>
        <v>0</v>
      </c>
      <c r="DF730" s="757">
        <f>IF(WWWW[[#This Row],['# Functional hand washing stations during reporting period]]*20&gt;WWWW[[#This Row],[Total HH]],WWWW[[#This Row],[Total HH]],WWWW[[#This Row],['# Functional hand washing stations during reporting period]]*20)</f>
        <v>0</v>
      </c>
      <c r="DG730" s="708">
        <f>IF(WWWW[[#This Row],[Is sufficient soap available for TLS? (Yes/No)]]="yes",WWWW[[#This Row],['#_Constructed/Existing hand washing stations at TLS]],0)</f>
        <v>0</v>
      </c>
      <c r="DH730" s="759">
        <f>IF(WWWW[[#This Row],['# Functional hand washing stations during reporting period]]*100&gt;WWWW[[#This Row],[Total PoP ]],WWWW[[#This Row],[Total PoP ]],WWWW[[#This Row],['# Functional hand washing stations during reporting period]]*100)</f>
        <v>0</v>
      </c>
      <c r="DI730" s="759" t="str">
        <f>IF(OR(WWWW[[#This Row],['#_students at TLS_CFS]]="",WWWW[[#This Row],['#_students at TLS_CFS]]=0),"No","Yes")</f>
        <v>Yes</v>
      </c>
      <c r="DJ730" s="711" t="str">
        <f>VLOOKUP(WWWW[[#This Row],[Site Name]],SiteDB6[[Site Name]:[CCCM Management]],6,FALSE)</f>
        <v>Yes</v>
      </c>
      <c r="DK730" s="711" t="str">
        <f>VLOOKUP(WWWW[[#This Row],[Site Name]],SiteDB6[[Site Name]:[CCCM Focal Agency]],7,FALSE)</f>
        <v>KMSS-LSO</v>
      </c>
      <c r="DL730" s="711" t="str">
        <f>VLOOKUP(WWWW[[#This Row],[Site Name]],SiteDB6[[Site Name]:[Location Type 1]],9,FALSE)</f>
        <v>Camp</v>
      </c>
      <c r="DM730" s="711" t="str">
        <f>VLOOKUP(WWWW[[#This Row],[Site Name]],SiteDB6[[Site Name]:[Type of Accommodation]],10,FALSE)</f>
        <v>Camp</v>
      </c>
      <c r="DN730" s="711" t="str">
        <f>VLOOKUP(WWWW[[#This Row],[Site Name]],SiteDB6[[Site Name]:[Ethnic or GCA/NGCA]],11,FALSE)</f>
        <v>GCA</v>
      </c>
      <c r="DO730" s="711">
        <f>VLOOKUP(WWWW[[#This Row],[Site Name]],SiteDB6[[Site Name]:[Lat]],12,FALSE)</f>
        <v>23.463000000000001</v>
      </c>
      <c r="DP730" s="711">
        <f>VLOOKUP(WWWW[[#This Row],[Site Name]],SiteDB6[[Site Name]:[Long]],13,FALSE)</f>
        <v>98.248999999999995</v>
      </c>
      <c r="DQ730" s="711" t="str">
        <f>VLOOKUP(WWWW[[#This Row],[Site Name]],SiteDB6[[Site Name]:[Pcode]],3,FALSE)</f>
        <v>MMR015CMP217</v>
      </c>
      <c r="DR730" s="709" t="str">
        <f t="shared" si="27"/>
        <v>Covered</v>
      </c>
      <c r="DS730" s="709"/>
    </row>
    <row r="731" spans="1:123">
      <c r="A731" s="701" t="s">
        <v>2519</v>
      </c>
      <c r="B731" s="808" t="s">
        <v>317</v>
      </c>
      <c r="C731" s="808" t="s">
        <v>317</v>
      </c>
      <c r="D731" s="702"/>
      <c r="E731" s="702" t="s">
        <v>716</v>
      </c>
      <c r="F731" s="702" t="s">
        <v>726</v>
      </c>
      <c r="G731" s="711" t="str">
        <f>VLOOKUP(WWWW[[#This Row],[Site Name]],SiteDB6[[Site Name]:[Location Type]],8,FALSE)</f>
        <v>Camp</v>
      </c>
      <c r="H731" s="711" t="s">
        <v>727</v>
      </c>
      <c r="I731" s="705">
        <v>24</v>
      </c>
      <c r="J731" s="705">
        <v>114</v>
      </c>
      <c r="K731" s="706"/>
      <c r="L731" s="707"/>
      <c r="M731" s="705"/>
      <c r="N731" s="705"/>
      <c r="O731" s="705"/>
      <c r="P731" s="705"/>
      <c r="Q731" s="708"/>
      <c r="R731" s="705"/>
      <c r="S731" s="705"/>
      <c r="T731" s="807">
        <v>1</v>
      </c>
      <c r="U731" s="705"/>
      <c r="V731" s="705"/>
      <c r="W731" s="705">
        <v>1</v>
      </c>
      <c r="X731" s="705"/>
      <c r="Y731" s="705"/>
      <c r="Z731" s="705"/>
      <c r="AA731" s="705"/>
      <c r="AB731" s="705"/>
      <c r="AC731" s="705"/>
      <c r="AD731" s="705"/>
      <c r="AE731" s="705"/>
      <c r="AF731" s="705"/>
      <c r="AG731" s="705"/>
      <c r="AH731" s="705"/>
      <c r="AI731" s="705"/>
      <c r="AJ731" s="705"/>
      <c r="AK731" s="705"/>
      <c r="AL731" s="705"/>
      <c r="AM731" s="705"/>
      <c r="AN731" s="705"/>
      <c r="AO731" s="705"/>
      <c r="AP731" s="705">
        <v>8</v>
      </c>
      <c r="AQ731" s="705"/>
      <c r="AR731" s="710"/>
      <c r="AS731" s="705"/>
      <c r="AT731" s="705"/>
      <c r="AU731" s="705"/>
      <c r="AV731" s="705"/>
      <c r="AW731" s="705"/>
      <c r="AX731" s="711" t="s">
        <v>43</v>
      </c>
      <c r="AY731" s="709" t="s">
        <v>1200</v>
      </c>
      <c r="AZ731" s="705"/>
      <c r="BA731" s="705"/>
      <c r="BB731" s="705">
        <v>1</v>
      </c>
      <c r="BC731" s="711"/>
      <c r="BD731" s="705"/>
      <c r="BE731" s="705"/>
      <c r="BF731" s="705">
        <v>1</v>
      </c>
      <c r="BG731" s="705">
        <v>2</v>
      </c>
      <c r="BH731" s="705"/>
      <c r="BI731" s="705"/>
      <c r="BJ731" s="705">
        <v>2</v>
      </c>
      <c r="BK731" s="705"/>
      <c r="BL731" s="705"/>
      <c r="BM731" s="711"/>
      <c r="BN731" s="712"/>
      <c r="BO731" s="710"/>
      <c r="BP731" s="711"/>
      <c r="BQ731" s="713" t="str">
        <f>IFERROR(WWWW[[#This Row],['#_Water sources treated]]/WWWW[[#This Row],['#_Water sources tested for contamination]],"no test")</f>
        <v>no test</v>
      </c>
      <c r="BR731" s="710" t="str">
        <f>IFERROR(WWWW[[#This Row],['#_Household received remediation action due to contamination]]/WWWW[[#This Row],['#_Household water samples tested for contamination]],"no test")</f>
        <v>no test</v>
      </c>
      <c r="BS731" s="712" t="str">
        <f>IF(AND(WWWW[[#This Row],[% of water sources treated]]="no test",WWWW[[#This Row],[% Household received corrective actions]]="no test"),"No Test","Tested")</f>
        <v>No Test</v>
      </c>
      <c r="BT731" s="712">
        <f>WWWW[[#This Row],['#_Constructed/existing protected hand dug well]]-WWWW[[#This Row],['#_Non-functional protected hand dug well]]</f>
        <v>1</v>
      </c>
      <c r="BU731" s="712">
        <f>(WWWW[[#This Row],['#_Constructed/Existing tube wells/boreholes/handpumps_WASH_agency]]+WWWW[[#This Row],['#_Non-Cluster partner water tube-wells/boreholes/handpumps]])-WWWW[[#This Row],['#_Non-functional tube wells/boreholes/handpumps]]</f>
        <v>1</v>
      </c>
      <c r="BV731" s="712">
        <f>WWWW[[#This Row],['#_Constructed/Existingwater storage tank with gravity fed reticulation system]]-WWWW[[#This Row],['#_Non-functional storage tank gravity fed reticulation system]]</f>
        <v>0</v>
      </c>
      <c r="BW731" s="712">
        <f>WWWW[[#This Row],['#_Water boating or water trucking]]</f>
        <v>0</v>
      </c>
      <c r="BX731" s="712">
        <f>WWWW[[#This Row],['#_Constructed/Existing water distribution system from river or natural spring]]</f>
        <v>0</v>
      </c>
      <c r="BY73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1" s="710">
        <f>IF(WWWW[[#This Row],[Location Type 1]]="Village",WWWW[[#This Row],[Access to safe drinking water for Village]],WWWW[[#This Row],[Access to safe drinking water for Camp]])</f>
        <v>1</v>
      </c>
      <c r="CB731" s="708">
        <f>WWWW[[#This Row],[%Equitable and continuous access to sufficient quantity of safe drinking water]]*WWWW[[#This Row],[Total PoP ]]</f>
        <v>114</v>
      </c>
      <c r="CC731" s="710">
        <f>IF((WWWW[[#This Row],['#_Constructed/Existing protected/fenced ponds]]*250)/WWWW[[#This Row],[Total PoP ]]&gt;1,1,(WWWW[[#This Row],['#_Constructed/Existing protected/fenced ponds]]*250)/WWWW[[#This Row],[Total PoP ]])</f>
        <v>0</v>
      </c>
      <c r="CD731" s="708">
        <f>WWWW[[#This Row],[% Access to unimproved water points]]*WWWW[[#This Row],[Total PoP ]]</f>
        <v>0</v>
      </c>
      <c r="CE73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G731" s="708">
        <f>WWWW[[#This Row],[HRP1]]/500</f>
        <v>0.22800000000000001</v>
      </c>
      <c r="CH731" s="714">
        <f>1-WWWW[[#This Row],[% Equitable and continuous access to sufficient quantity of domestic water]]</f>
        <v>0</v>
      </c>
      <c r="CI731" s="708">
        <f>WWWW[[#This Row],[%equitable and continuous access to sufficient quantity of safe drinking and domestic water''s GAP]]*WWWW[[#This Row],[Total PoP ]]</f>
        <v>0</v>
      </c>
      <c r="CJ731" s="712">
        <f>IF(WWWW[[#This Row],[Total required water points]]-WWWW[[#This Row],['#Water points coverage]]&lt;0,0,WWWW[[#This Row],[Total required water points]]-WWWW[[#This Row],['#Water points coverage]])</f>
        <v>0.77200000000000002</v>
      </c>
      <c r="CK731" s="712">
        <f>ROUND(IF(WWWW[[#This Row],[Total PoP ]]&lt;500,1,WWWW[[#This Row],[Total PoP ]]/500),0)</f>
        <v>1</v>
      </c>
      <c r="CL731" s="712">
        <f>(WWWW[[#This Row],['#_Constructed latrines_by_WASHAgencies]]+WWWW[[#This Row],['#_Non Cluster partner latrines]])-WWWW[[#This Row],['#_Non-functional latrines]]</f>
        <v>8</v>
      </c>
      <c r="CM73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3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114</v>
      </c>
      <c r="CO731"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1" s="712">
        <f>IF(WWWW[[#This Row],[Location Type 1]]="Village","NA",IF(WWWW[[#This Row],['#_Constructed/Existing latrines in TLS]]*50&gt;WWWW[[#This Row],['#_students at TLS_CFS]],WWWW[[#This Row],['#_students at TLS_CFS]],(WWWW[[#This Row],['#_Constructed/Existing latrines in TLS]]*50)))</f>
        <v>0</v>
      </c>
      <c r="CQ731" s="712">
        <f>ROUND(IF(WWWW[[#This Row],[Location Type 1]]="camp",WWWW[[#This Row],[Total PoP ]]/20,IF(WWWW[[#This Row],[Location Type 1]]="Temporary Location",WWWW[[#This Row],[Total PoP ]]/50,(WWWW[[#This Row],[Total PoP ]]/6))),0)</f>
        <v>6</v>
      </c>
      <c r="CR731" s="712">
        <f>IF(WWWW[[#This Row],[Total required Latrines]]-(WWWW[[#This Row],['#_Constructed latrines_by_WASHAgencies]]+WWWW[[#This Row],['#_Non Cluster partner latrines]])&lt;0,0,WWWW[[#This Row],[Total required Latrines]]-(WWWW[[#This Row],['#_Constructed latrines_by_WASHAgencies]]+WWWW[[#This Row],['#_Non Cluster partner latrines]]))</f>
        <v>0</v>
      </c>
      <c r="CS731" s="714">
        <f>1-WWWW[[#This Row],[% people access to functioning Latrine]]</f>
        <v>0</v>
      </c>
      <c r="CT731" s="713">
        <f>IF(OR(WWWW[[#This Row],['#_Non-functional latrines]]="",WWWW[[#This Row],['#_Non-functional latrines]]=0),0,WWWW[[#This Row],['#_Non-functional latrines]]/(WWWW[[#This Row],['#_Constructed latrines_by_WASHAgencies]]+WWWW[[#This Row],['#_Non Cluster partner latrines]]))</f>
        <v>0</v>
      </c>
      <c r="CU731" s="708">
        <f>IF(500*(WWWW[[#This Row],['#_male hygiene promoters]]+WWWW[[#This Row],['#_female hygiene promoters]])&gt;WWWW[[#This Row],[Total PoP ]],WWWW[[#This Row],[Total PoP ]],500*(WWWW[[#This Row],['#_male hygiene promoters]]+WWWW[[#This Row],['#_female hygiene promoters]]))</f>
        <v>114</v>
      </c>
      <c r="CV73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3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31" s="712">
        <f>IF(WWWW[[#This Row],['# People with access to soap]]&gt;WWWW[[#This Row],['# People with access to Sanity Pads]],WWWW[[#This Row],['# People with access to soap]],WWWW[[#This Row],['# People with access to Sanity Pads]])</f>
        <v>0</v>
      </c>
      <c r="CY731" s="712">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Z731" s="714">
        <f>IF(WWWW[[#This Row],[HRP3]]/WWWW[[#This Row],[Total PoP ]]&gt;100%,100%,WWWW[[#This Row],[HRP3]]/WWWW[[#This Row],[Total PoP ]])</f>
        <v>1</v>
      </c>
      <c r="DA731" s="713">
        <f>1-WWWW[[#This Row],[Hygiene Coverage%]]</f>
        <v>0</v>
      </c>
      <c r="DB731" s="710">
        <f>WWWW[[#This Row],['# people reached by regular dedicated hygiene promotion_5]]/WWWW[[#This Row],[Total PoP ]]</f>
        <v>1</v>
      </c>
      <c r="DC731" s="710">
        <f>IF(WWWW[[#This Row],['#_households that received standard amount of soap for this quarter]]/WWWW[[#This Row],[Total HH]]&gt;1,1,WWWW[[#This Row],['#_households that received standard amount of soap for this quarter]]/WWWW[[#This Row],[Total HH]])</f>
        <v>0</v>
      </c>
      <c r="DD731" s="710">
        <f>IF(WWWW[[#This Row],['#_households that received standard amount of sanitary pads for this quarter]]/WWWW[[#This Row],[Total HH]]&gt;1,1,WWWW[[#This Row],['#_households that received standard amount of sanitary pads for this quarter]]/WWWW[[#This Row],[Total HH]])</f>
        <v>0</v>
      </c>
      <c r="DE731" s="712">
        <f>WWWW[[#This Row],['#_Constructed/Existing hand washing stations]]-WWWW[[#This Row],['#_Non-Functional_hand_washing_stations]]</f>
        <v>0</v>
      </c>
      <c r="DF731" s="757">
        <f>IF(WWWW[[#This Row],['# Functional hand washing stations during reporting period]]*20&gt;WWWW[[#This Row],[Total HH]],WWWW[[#This Row],[Total HH]],WWWW[[#This Row],['# Functional hand washing stations during reporting period]]*20)</f>
        <v>0</v>
      </c>
      <c r="DG731" s="708">
        <f>IF(WWWW[[#This Row],[Is sufficient soap available for TLS? (Yes/No)]]="yes",WWWW[[#This Row],['#_Constructed/Existing hand washing stations at TLS]],0)</f>
        <v>0</v>
      </c>
      <c r="DH731" s="759">
        <f>IF(WWWW[[#This Row],['# Functional hand washing stations during reporting period]]*100&gt;WWWW[[#This Row],[Total PoP ]],WWWW[[#This Row],[Total PoP ]],WWWW[[#This Row],['# Functional hand washing stations during reporting period]]*100)</f>
        <v>0</v>
      </c>
      <c r="DI731" s="759" t="str">
        <f>IF(OR(WWWW[[#This Row],['#_students at TLS_CFS]]="",WWWW[[#This Row],['#_students at TLS_CFS]]=0),"No","Yes")</f>
        <v>No</v>
      </c>
      <c r="DJ731" s="711" t="str">
        <f>VLOOKUP(WWWW[[#This Row],[Site Name]],SiteDB6[[Site Name]:[CCCM Management]],6,FALSE)</f>
        <v>Yes</v>
      </c>
      <c r="DK731" s="711" t="str">
        <f>VLOOKUP(WWWW[[#This Row],[Site Name]],SiteDB6[[Site Name]:[CCCM Focal Agency]],7,FALSE)</f>
        <v>KMSS-LSO</v>
      </c>
      <c r="DL731" s="711" t="str">
        <f>VLOOKUP(WWWW[[#This Row],[Site Name]],SiteDB6[[Site Name]:[Location Type 1]],9,FALSE)</f>
        <v>Camp</v>
      </c>
      <c r="DM731" s="711" t="str">
        <f>VLOOKUP(WWWW[[#This Row],[Site Name]],SiteDB6[[Site Name]:[Type of Accommodation]],10,FALSE)</f>
        <v>Camp</v>
      </c>
      <c r="DN731" s="711" t="str">
        <f>VLOOKUP(WWWW[[#This Row],[Site Name]],SiteDB6[[Site Name]:[Ethnic or GCA/NGCA]],11,FALSE)</f>
        <v>GCA</v>
      </c>
      <c r="DO731" s="711">
        <f>VLOOKUP(WWWW[[#This Row],[Site Name]],SiteDB6[[Site Name]:[Lat]],12,FALSE)</f>
        <v>24.006789000000001</v>
      </c>
      <c r="DP731" s="711">
        <f>VLOOKUP(WWWW[[#This Row],[Site Name]],SiteDB6[[Site Name]:[Long]],13,FALSE)</f>
        <v>97.911647000000002</v>
      </c>
      <c r="DQ731" s="711" t="str">
        <f>VLOOKUP(WWWW[[#This Row],[Site Name]],SiteDB6[[Site Name]:[Pcode]],3,FALSE)</f>
        <v>MMR015CMP216</v>
      </c>
      <c r="DR731" s="709" t="str">
        <f t="shared" si="27"/>
        <v>Notcovered</v>
      </c>
      <c r="DS731" s="709"/>
    </row>
    <row r="732" spans="1:123">
      <c r="A732" s="701" t="s">
        <v>2519</v>
      </c>
      <c r="B732" s="701" t="s">
        <v>3263</v>
      </c>
      <c r="C732" s="702" t="s">
        <v>3263</v>
      </c>
      <c r="D732" s="584" t="s">
        <v>3336</v>
      </c>
      <c r="E732" s="702" t="s">
        <v>716</v>
      </c>
      <c r="F732" s="702" t="s">
        <v>717</v>
      </c>
      <c r="G732" s="711" t="str">
        <f>VLOOKUP(WWWW[[#This Row],[Site Name]],SiteDB6[[Site Name]:[Location Type]],8,FALSE)</f>
        <v>Camp</v>
      </c>
      <c r="H732" s="702" t="s">
        <v>728</v>
      </c>
      <c r="I732" s="705">
        <v>76</v>
      </c>
      <c r="J732" s="705">
        <v>390</v>
      </c>
      <c r="K732" s="706">
        <v>43497</v>
      </c>
      <c r="L732" s="58" t="s">
        <v>3340</v>
      </c>
      <c r="M732" s="705"/>
      <c r="N732" s="705">
        <v>2</v>
      </c>
      <c r="O732" s="705"/>
      <c r="P732" s="705"/>
      <c r="Q732" s="759" t="s">
        <v>43</v>
      </c>
      <c r="R732" s="705">
        <v>8</v>
      </c>
      <c r="S732" s="705">
        <v>7</v>
      </c>
      <c r="T732" s="807">
        <v>0</v>
      </c>
      <c r="U732" s="705"/>
      <c r="V732" s="705"/>
      <c r="W732" s="705">
        <v>1</v>
      </c>
      <c r="X732" s="705"/>
      <c r="Y732" s="705"/>
      <c r="Z732" s="705">
        <v>1</v>
      </c>
      <c r="AA732" s="705">
        <v>1</v>
      </c>
      <c r="AB732" s="705"/>
      <c r="AC732" s="705">
        <v>1</v>
      </c>
      <c r="AD732" s="705"/>
      <c r="AE732" s="705"/>
      <c r="AF732" s="705"/>
      <c r="AG732" s="705"/>
      <c r="AH732" s="705"/>
      <c r="AI732" s="705">
        <v>2</v>
      </c>
      <c r="AJ732" s="705"/>
      <c r="AK732" s="705">
        <v>32</v>
      </c>
      <c r="AL732" s="705"/>
      <c r="AM732" s="705"/>
      <c r="AN732" s="705"/>
      <c r="AO732" s="705"/>
      <c r="AP732" s="705">
        <f>17-9</f>
        <v>8</v>
      </c>
      <c r="AQ732" s="705">
        <v>9</v>
      </c>
      <c r="AR732" s="710"/>
      <c r="AS732" s="705"/>
      <c r="AT732" s="705"/>
      <c r="AU732" s="705"/>
      <c r="AV732" s="705"/>
      <c r="AW732" s="705"/>
      <c r="AX732" s="711" t="s">
        <v>43</v>
      </c>
      <c r="AY732" s="709" t="s">
        <v>145</v>
      </c>
      <c r="AZ732" s="705"/>
      <c r="BA732" s="705"/>
      <c r="BB732" s="705"/>
      <c r="BC732" s="711"/>
      <c r="BD732" s="705">
        <v>11</v>
      </c>
      <c r="BE732" s="705"/>
      <c r="BF732" s="705">
        <v>0</v>
      </c>
      <c r="BG732" s="705">
        <v>2</v>
      </c>
      <c r="BH732" s="705"/>
      <c r="BI732" s="705">
        <v>1</v>
      </c>
      <c r="BJ732" s="705">
        <v>2</v>
      </c>
      <c r="BK732" s="705">
        <v>75</v>
      </c>
      <c r="BL732" s="705">
        <v>75</v>
      </c>
      <c r="BM732" s="711"/>
      <c r="BN732" s="712"/>
      <c r="BO732" s="710"/>
      <c r="BP732" s="711"/>
      <c r="BQ732" s="713">
        <f>IFERROR(WWWW[[#This Row],['#_Water sources treated]]/WWWW[[#This Row],['#_Water sources tested for contamination]],"no test")</f>
        <v>0</v>
      </c>
      <c r="BR732" s="710">
        <f>IFERROR(WWWW[[#This Row],['#_Household received remediation action due to contamination]]/WWWW[[#This Row],['#_Household water samples tested for contamination]],"no test")</f>
        <v>0</v>
      </c>
      <c r="BS732" s="712" t="str">
        <f>IF(AND(WWWW[[#This Row],[% of water sources treated]]="no test",WWWW[[#This Row],[% Household received corrective actions]]="no test"),"No Test","Tested")</f>
        <v>Tested</v>
      </c>
      <c r="BT732" s="712">
        <f>WWWW[[#This Row],['#_Constructed/existing protected hand dug well]]-WWWW[[#This Row],['#_Non-functional protected hand dug well]]</f>
        <v>0</v>
      </c>
      <c r="BU732" s="712">
        <f>(WWWW[[#This Row],['#_Constructed/Existing tube wells/boreholes/handpumps_WASH_agency]]+WWWW[[#This Row],['#_Non-Cluster partner water tube-wells/boreholes/handpumps]])-WWWW[[#This Row],['#_Non-functional tube wells/boreholes/handpumps]]</f>
        <v>1</v>
      </c>
      <c r="BV732" s="712">
        <f>WWWW[[#This Row],['#_Constructed/Existingwater storage tank with gravity fed reticulation system]]-WWWW[[#This Row],['#_Non-functional storage tank gravity fed reticulation system]]</f>
        <v>1</v>
      </c>
      <c r="BW732" s="712">
        <f>WWWW[[#This Row],['#_Water boating or water trucking]]</f>
        <v>0</v>
      </c>
      <c r="BX732" s="712">
        <f>WWWW[[#This Row],['#_Constructed/Existing water distribution system from river or natural spring]]</f>
        <v>0</v>
      </c>
      <c r="BY73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0.81196581196581197</v>
      </c>
      <c r="CA732" s="710">
        <f>IF(WWWW[[#This Row],[Location Type 1]]="Village",WWWW[[#This Row],[Access to safe drinking water for Village]],WWWW[[#This Row],[Access to safe drinking water for Camp]])</f>
        <v>1</v>
      </c>
      <c r="CB732" s="708">
        <f>WWWW[[#This Row],[%Equitable and continuous access to sufficient quantity of safe drinking water]]*WWWW[[#This Row],[Total PoP ]]</f>
        <v>390</v>
      </c>
      <c r="CC732" s="710">
        <f>IF((WWWW[[#This Row],['#_Constructed/Existing protected/fenced ponds]]*250)/WWWW[[#This Row],[Total PoP ]]&gt;1,1,(WWWW[[#This Row],['#_Constructed/Existing protected/fenced ponds]]*250)/WWWW[[#This Row],[Total PoP ]])</f>
        <v>0</v>
      </c>
      <c r="CD732" s="708">
        <f>WWWW[[#This Row],[% Access to unimproved water points]]*WWWW[[#This Row],[Total PoP ]]</f>
        <v>0</v>
      </c>
      <c r="CE73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390</v>
      </c>
      <c r="CG732" s="708">
        <f>WWWW[[#This Row],[HRP1]]/500</f>
        <v>0.78</v>
      </c>
      <c r="CH732" s="714">
        <f>1-WWWW[[#This Row],[% Equitable and continuous access to sufficient quantity of domestic water]]</f>
        <v>0</v>
      </c>
      <c r="CI732" s="708">
        <f>WWWW[[#This Row],[%equitable and continuous access to sufficient quantity of safe drinking and domestic water''s GAP]]*WWWW[[#This Row],[Total PoP ]]</f>
        <v>0</v>
      </c>
      <c r="CJ732" s="712">
        <f>IF(WWWW[[#This Row],[Total required water points]]-WWWW[[#This Row],['#Water points coverage]]&lt;0,0,WWWW[[#This Row],[Total required water points]]-WWWW[[#This Row],['#Water points coverage]])</f>
        <v>0.21999999999999997</v>
      </c>
      <c r="CK732" s="712">
        <f>ROUND(IF(WWWW[[#This Row],[Total PoP ]]&lt;500,1,WWWW[[#This Row],[Total PoP ]]/500),0)</f>
        <v>1</v>
      </c>
      <c r="CL732" s="712">
        <f>(WWWW[[#This Row],['#_Constructed latrines_by_WASHAgencies]]+WWWW[[#This Row],['#_Non Cluster partner latrines]])-WWWW[[#This Row],['#_Non-functional latrines]]</f>
        <v>17</v>
      </c>
      <c r="CM73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0.87179487179487181</v>
      </c>
      <c r="CN73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340</v>
      </c>
      <c r="CO73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2" s="712">
        <f>IF(WWWW[[#This Row],[Location Type 1]]="Village","NA",IF(WWWW[[#This Row],['#_Constructed/Existing latrines in TLS]]*50&gt;WWWW[[#This Row],['#_students at TLS_CFS]],WWWW[[#This Row],['#_students at TLS_CFS]],(WWWW[[#This Row],['#_Constructed/Existing latrines in TLS]]*50)))</f>
        <v>0</v>
      </c>
      <c r="CQ732" s="712">
        <f>ROUND(IF(WWWW[[#This Row],[Location Type 1]]="camp",WWWW[[#This Row],[Total PoP ]]/20,IF(WWWW[[#This Row],[Location Type 1]]="Temporary Location",WWWW[[#This Row],[Total PoP ]]/50,(WWWW[[#This Row],[Total PoP ]]/6))),0)</f>
        <v>20</v>
      </c>
      <c r="CR732" s="712">
        <f>IF(WWWW[[#This Row],[Total required Latrines]]-(WWWW[[#This Row],['#_Constructed latrines_by_WASHAgencies]]+WWWW[[#This Row],['#_Non Cluster partner latrines]])&lt;0,0,WWWW[[#This Row],[Total required Latrines]]-(WWWW[[#This Row],['#_Constructed latrines_by_WASHAgencies]]+WWWW[[#This Row],['#_Non Cluster partner latrines]]))</f>
        <v>3</v>
      </c>
      <c r="CS732" s="714">
        <f>1-WWWW[[#This Row],[% people access to functioning Latrine]]</f>
        <v>0.12820512820512819</v>
      </c>
      <c r="CT732" s="713">
        <f>IF(OR(WWWW[[#This Row],['#_Non-functional latrines]]="",WWWW[[#This Row],['#_Non-functional latrines]]=0),0,WWWW[[#This Row],['#_Non-functional latrines]]/(WWWW[[#This Row],['#_Constructed latrines_by_WASHAgencies]]+WWWW[[#This Row],['#_Non Cluster partner latrines]]))</f>
        <v>0</v>
      </c>
      <c r="CU732" s="708">
        <f>IF(500*(WWWW[[#This Row],['#_male hygiene promoters]]+WWWW[[#This Row],['#_female hygiene promoters]])&gt;WWWW[[#This Row],[Total PoP ]],WWWW[[#This Row],[Total PoP ]],500*(WWWW[[#This Row],['#_male hygiene promoters]]+WWWW[[#This Row],['#_female hygiene promoters]]))</f>
        <v>390</v>
      </c>
      <c r="CV73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375</v>
      </c>
      <c r="CW73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375</v>
      </c>
      <c r="CX732" s="712">
        <f>IF(WWWW[[#This Row],['# People with access to soap]]&gt;WWWW[[#This Row],['# People with access to Sanity Pads]],WWWW[[#This Row],['# People with access to soap]],WWWW[[#This Row],['# People with access to Sanity Pads]])</f>
        <v>375</v>
      </c>
      <c r="CY732" s="712">
        <f>IF(WWWW[[#This Row],['# people reached by regular dedicated hygiene promotion_5]]&gt;WWWW[[#This Row],['# People received regular supply of hygiene items_6]],WWWW[[#This Row],['# people reached by regular dedicated hygiene promotion_5]],WWWW[[#This Row],['# People received regular supply of hygiene items_6]])</f>
        <v>390</v>
      </c>
      <c r="CZ732" s="714">
        <f>IF(WWWW[[#This Row],[HRP3]]/WWWW[[#This Row],[Total PoP ]]&gt;100%,100%,WWWW[[#This Row],[HRP3]]/WWWW[[#This Row],[Total PoP ]])</f>
        <v>1</v>
      </c>
      <c r="DA732" s="713">
        <f>1-WWWW[[#This Row],[Hygiene Coverage%]]</f>
        <v>0</v>
      </c>
      <c r="DB732" s="710">
        <f>WWWW[[#This Row],['# people reached by regular dedicated hygiene promotion_5]]/WWWW[[#This Row],[Total PoP ]]</f>
        <v>1</v>
      </c>
      <c r="DC732" s="710">
        <f>IF(WWWW[[#This Row],['#_households that received standard amount of soap for this quarter]]/WWWW[[#This Row],[Total HH]]&gt;1,1,WWWW[[#This Row],['#_households that received standard amount of soap for this quarter]]/WWWW[[#This Row],[Total HH]])</f>
        <v>0.98684210526315785</v>
      </c>
      <c r="DD732" s="710">
        <f>IF(WWWW[[#This Row],['#_households that received standard amount of sanitary pads for this quarter]]/WWWW[[#This Row],[Total HH]]&gt;1,1,WWWW[[#This Row],['#_households that received standard amount of sanitary pads for this quarter]]/WWWW[[#This Row],[Total HH]])</f>
        <v>0.98684210526315785</v>
      </c>
      <c r="DE732" s="712">
        <f>WWWW[[#This Row],['#_Constructed/Existing hand washing stations]]-WWWW[[#This Row],['#_Non-Functional_hand_washing_stations]]</f>
        <v>11</v>
      </c>
      <c r="DF732" s="757">
        <f>IF(WWWW[[#This Row],['# Functional hand washing stations during reporting period]]*20&gt;WWWW[[#This Row],[Total HH]],WWWW[[#This Row],[Total HH]],WWWW[[#This Row],['# Functional hand washing stations during reporting period]]*20)</f>
        <v>76</v>
      </c>
      <c r="DG732" s="708">
        <f>IF(WWWW[[#This Row],[Is sufficient soap available for TLS? (Yes/No)]]="yes",WWWW[[#This Row],['#_Constructed/Existing hand washing stations at TLS]],0)</f>
        <v>0</v>
      </c>
      <c r="DH732" s="759">
        <f>IF(WWWW[[#This Row],['# Functional hand washing stations during reporting period]]*100&gt;WWWW[[#This Row],[Total PoP ]],WWWW[[#This Row],[Total PoP ]],WWWW[[#This Row],['# Functional hand washing stations during reporting period]]*100)</f>
        <v>390</v>
      </c>
      <c r="DI732" s="759" t="str">
        <f>IF(OR(WWWW[[#This Row],['#_students at TLS_CFS]]="",WWWW[[#This Row],['#_students at TLS_CFS]]=0),"No","Yes")</f>
        <v>No</v>
      </c>
      <c r="DJ732" s="711" t="str">
        <f>VLOOKUP(WWWW[[#This Row],[Site Name]],SiteDB6[[Site Name]:[CCCM Management]],6,FALSE)</f>
        <v>Yes</v>
      </c>
      <c r="DK732" s="711" t="str">
        <f>VLOOKUP(WWWW[[#This Row],[Site Name]],SiteDB6[[Site Name]:[CCCM Focal Agency]],7,FALSE)</f>
        <v>KBC-NSS</v>
      </c>
      <c r="DL732" s="711" t="str">
        <f>VLOOKUP(WWWW[[#This Row],[Site Name]],SiteDB6[[Site Name]:[Location Type 1]],9,FALSE)</f>
        <v>Camp</v>
      </c>
      <c r="DM732" s="711" t="str">
        <f>VLOOKUP(WWWW[[#This Row],[Site Name]],SiteDB6[[Site Name]:[Type of Accommodation]],10,FALSE)</f>
        <v>Camp</v>
      </c>
      <c r="DN732" s="711" t="str">
        <f>VLOOKUP(WWWW[[#This Row],[Site Name]],SiteDB6[[Site Name]:[Ethnic or GCA/NGCA]],11,FALSE)</f>
        <v>GCA</v>
      </c>
      <c r="DO732" s="711">
        <f>VLOOKUP(WWWW[[#This Row],[Site Name]],SiteDB6[[Site Name]:[Lat]],12,FALSE)</f>
        <v>23.821380000000001</v>
      </c>
      <c r="DP732" s="711">
        <f>VLOOKUP(WWWW[[#This Row],[Site Name]],SiteDB6[[Site Name]:[Long]],13,FALSE)</f>
        <v>97.681970000000007</v>
      </c>
      <c r="DQ732" s="711" t="str">
        <f>VLOOKUP(WWWW[[#This Row],[Site Name]],SiteDB6[[Site Name]:[Pcode]],3,FALSE)</f>
        <v>MMR015CMP004</v>
      </c>
      <c r="DR732" s="709" t="str">
        <f t="shared" si="27"/>
        <v>Covered</v>
      </c>
      <c r="DS732" s="709"/>
    </row>
    <row r="733" spans="1:123">
      <c r="A733" s="701" t="s">
        <v>2519</v>
      </c>
      <c r="B733" s="701" t="s">
        <v>200</v>
      </c>
      <c r="C733" s="702" t="s">
        <v>200</v>
      </c>
      <c r="D733" s="744" t="s">
        <v>249</v>
      </c>
      <c r="E733" s="702" t="s">
        <v>716</v>
      </c>
      <c r="F733" s="702" t="s">
        <v>717</v>
      </c>
      <c r="G733" s="711" t="str">
        <f>VLOOKUP(WWWW[[#This Row],[Site Name]],SiteDB6[[Site Name]:[Location Type]],8,FALSE)</f>
        <v>Camp</v>
      </c>
      <c r="H733" s="702" t="s">
        <v>764</v>
      </c>
      <c r="I733" s="705">
        <v>68</v>
      </c>
      <c r="J733" s="705">
        <v>350</v>
      </c>
      <c r="K733" s="706">
        <v>43497</v>
      </c>
      <c r="L733" s="707">
        <v>43861</v>
      </c>
      <c r="M733" s="705">
        <v>112</v>
      </c>
      <c r="N733" s="705"/>
      <c r="O733" s="705"/>
      <c r="P733" s="705"/>
      <c r="Q733" s="708"/>
      <c r="R733" s="705"/>
      <c r="S733" s="705"/>
      <c r="T733" s="807"/>
      <c r="U733" s="705"/>
      <c r="V733" s="705"/>
      <c r="W733" s="705"/>
      <c r="X733" s="705">
        <v>1</v>
      </c>
      <c r="Y733" s="705"/>
      <c r="Z733" s="705">
        <v>1</v>
      </c>
      <c r="AA733" s="705"/>
      <c r="AB733" s="705"/>
      <c r="AC733" s="705"/>
      <c r="AD733" s="705"/>
      <c r="AE733" s="705"/>
      <c r="AF733" s="705"/>
      <c r="AG733" s="705"/>
      <c r="AH733" s="705"/>
      <c r="AI733" s="705"/>
      <c r="AJ733" s="705"/>
      <c r="AK733" s="705"/>
      <c r="AL733" s="705"/>
      <c r="AM733" s="705"/>
      <c r="AN733" s="705"/>
      <c r="AO733" s="705"/>
      <c r="AP733" s="705"/>
      <c r="AQ733" s="705"/>
      <c r="AR733" s="710"/>
      <c r="AS733" s="705"/>
      <c r="AT733" s="705"/>
      <c r="AU733" s="705">
        <v>10</v>
      </c>
      <c r="AV733" s="705"/>
      <c r="AW733" s="705"/>
      <c r="AX733" s="752" t="s">
        <v>148</v>
      </c>
      <c r="AY733" s="782" t="s">
        <v>148</v>
      </c>
      <c r="AZ733" s="705"/>
      <c r="BA733" s="705"/>
      <c r="BB733" s="705"/>
      <c r="BC733" s="711"/>
      <c r="BD733" s="705"/>
      <c r="BE733" s="705"/>
      <c r="BF733" s="705"/>
      <c r="BG733" s="705"/>
      <c r="BH733" s="705"/>
      <c r="BI733" s="705"/>
      <c r="BJ733" s="705"/>
      <c r="BK733" s="705">
        <v>65</v>
      </c>
      <c r="BL733" s="705">
        <v>65</v>
      </c>
      <c r="BM733" s="711"/>
      <c r="BN733" s="712"/>
      <c r="BO733" s="710"/>
      <c r="BP733" s="711"/>
      <c r="BQ733" s="713" t="str">
        <f>IFERROR(WWWW[[#This Row],['#_Water sources treated]]/WWWW[[#This Row],['#_Water sources tested for contamination]],"no test")</f>
        <v>no test</v>
      </c>
      <c r="BR733" s="710" t="str">
        <f>IFERROR(WWWW[[#This Row],['#_Household received remediation action due to contamination]]/WWWW[[#This Row],['#_Household water samples tested for contamination]],"no test")</f>
        <v>no test</v>
      </c>
      <c r="BS733" s="712" t="str">
        <f>IF(AND(WWWW[[#This Row],[% of water sources treated]]="no test",WWWW[[#This Row],[% Household received corrective actions]]="no test"),"No Test","Tested")</f>
        <v>No Test</v>
      </c>
      <c r="BT733" s="712">
        <f>WWWW[[#This Row],['#_Constructed/existing protected hand dug well]]-WWWW[[#This Row],['#_Non-functional protected hand dug well]]</f>
        <v>0</v>
      </c>
      <c r="BU733" s="712">
        <f>(WWWW[[#This Row],['#_Constructed/Existing tube wells/boreholes/handpumps_WASH_agency]]+WWWW[[#This Row],['#_Non-Cluster partner water tube-wells/boreholes/handpumps]])-WWWW[[#This Row],['#_Non-functional tube wells/boreholes/handpumps]]</f>
        <v>1</v>
      </c>
      <c r="BV733" s="712">
        <f>WWWW[[#This Row],['#_Constructed/Existingwater storage tank with gravity fed reticulation system]]-WWWW[[#This Row],['#_Non-functional storage tank gravity fed reticulation system]]</f>
        <v>0</v>
      </c>
      <c r="BW733" s="712">
        <f>WWWW[[#This Row],['#_Water boating or water trucking]]</f>
        <v>0</v>
      </c>
      <c r="BX733" s="712">
        <f>WWWW[[#This Row],['#_Constructed/Existing water distribution system from river or natural spring]]</f>
        <v>0</v>
      </c>
      <c r="BY73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0.7142857142857143</v>
      </c>
      <c r="CA733" s="710">
        <f>IF(WWWW[[#This Row],[Location Type 1]]="Village",WWWW[[#This Row],[Access to safe drinking water for Village]],WWWW[[#This Row],[Access to safe drinking water for Camp]])</f>
        <v>1</v>
      </c>
      <c r="CB733" s="708">
        <f>WWWW[[#This Row],[%Equitable and continuous access to sufficient quantity of safe drinking water]]*WWWW[[#This Row],[Total PoP ]]</f>
        <v>350</v>
      </c>
      <c r="CC733" s="710">
        <f>IF((WWWW[[#This Row],['#_Constructed/Existing protected/fenced ponds]]*250)/WWWW[[#This Row],[Total PoP ]]&gt;1,1,(WWWW[[#This Row],['#_Constructed/Existing protected/fenced ponds]]*250)/WWWW[[#This Row],[Total PoP ]])</f>
        <v>0</v>
      </c>
      <c r="CD733" s="708">
        <f>WWWW[[#This Row],[% Access to unimproved water points]]*WWWW[[#This Row],[Total PoP ]]</f>
        <v>0</v>
      </c>
      <c r="CE73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350</v>
      </c>
      <c r="CG733" s="708">
        <f>WWWW[[#This Row],[HRP1]]/500</f>
        <v>0.7</v>
      </c>
      <c r="CH733" s="714">
        <f>1-WWWW[[#This Row],[% Equitable and continuous access to sufficient quantity of domestic water]]</f>
        <v>0</v>
      </c>
      <c r="CI733" s="708">
        <f>WWWW[[#This Row],[%equitable and continuous access to sufficient quantity of safe drinking and domestic water''s GAP]]*WWWW[[#This Row],[Total PoP ]]</f>
        <v>0</v>
      </c>
      <c r="CJ733" s="712">
        <f>IF(WWWW[[#This Row],[Total required water points]]-WWWW[[#This Row],['#Water points coverage]]&lt;0,0,WWWW[[#This Row],[Total required water points]]-WWWW[[#This Row],['#Water points coverage]])</f>
        <v>0.30000000000000004</v>
      </c>
      <c r="CK733" s="712">
        <f>ROUND(IF(WWWW[[#This Row],[Total PoP ]]&lt;500,1,WWWW[[#This Row],[Total PoP ]]/500),0)</f>
        <v>1</v>
      </c>
      <c r="CL733" s="712">
        <f>(WWWW[[#This Row],['#_Constructed latrines_by_WASHAgencies]]+WWWW[[#This Row],['#_Non Cluster partner latrines]])-WWWW[[#This Row],['#_Non-functional latrines]]</f>
        <v>0</v>
      </c>
      <c r="CM73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3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3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CP733" s="712">
        <f>IF(WWWW[[#This Row],[Location Type 1]]="Village","NA",IF(WWWW[[#This Row],['#_Constructed/Existing latrines in TLS]]*50&gt;WWWW[[#This Row],['#_students at TLS_CFS]],WWWW[[#This Row],['#_students at TLS_CFS]],(WWWW[[#This Row],['#_Constructed/Existing latrines in TLS]]*50)))</f>
        <v>0</v>
      </c>
      <c r="CQ733" s="712">
        <f>ROUND(IF(WWWW[[#This Row],[Location Type 1]]="camp",WWWW[[#This Row],[Total PoP ]]/20,IF(WWWW[[#This Row],[Location Type 1]]="Temporary Location",WWWW[[#This Row],[Total PoP ]]/50,(WWWW[[#This Row],[Total PoP ]]/6))),0)</f>
        <v>18</v>
      </c>
      <c r="CR733" s="712">
        <f>IF(WWWW[[#This Row],[Total required Latrines]]-(WWWW[[#This Row],['#_Constructed latrines_by_WASHAgencies]]+WWWW[[#This Row],['#_Non Cluster partner latrines]])&lt;0,0,WWWW[[#This Row],[Total required Latrines]]-(WWWW[[#This Row],['#_Constructed latrines_by_WASHAgencies]]+WWWW[[#This Row],['#_Non Cluster partner latrines]]))</f>
        <v>18</v>
      </c>
      <c r="CS733" s="714">
        <f>1-WWWW[[#This Row],[% people access to functioning Latrine]]</f>
        <v>1</v>
      </c>
      <c r="CT733" s="713">
        <f>IF(OR(WWWW[[#This Row],['#_Non-functional latrines]]="",WWWW[[#This Row],['#_Non-functional latrines]]=0),0,WWWW[[#This Row],['#_Non-functional latrines]]/(WWWW[[#This Row],['#_Constructed latrines_by_WASHAgencies]]+WWWW[[#This Row],['#_Non Cluster partner latrines]]))</f>
        <v>0</v>
      </c>
      <c r="CU733" s="708">
        <f>IF(500*(WWWW[[#This Row],['#_male hygiene promoters]]+WWWW[[#This Row],['#_female hygiene promoters]])&gt;WWWW[[#This Row],[Total PoP ]],WWWW[[#This Row],[Total PoP ]],500*(WWWW[[#This Row],['#_male hygiene promoters]]+WWWW[[#This Row],['#_female hygiene promoters]]))</f>
        <v>0</v>
      </c>
      <c r="CV73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325</v>
      </c>
      <c r="CW73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325</v>
      </c>
      <c r="CX733" s="712">
        <f>IF(WWWW[[#This Row],['# People with access to soap]]&gt;WWWW[[#This Row],['# People with access to Sanity Pads]],WWWW[[#This Row],['# People with access to soap]],WWWW[[#This Row],['# People with access to Sanity Pads]])</f>
        <v>325</v>
      </c>
      <c r="CY733" s="712">
        <f>IF(WWWW[[#This Row],['# people reached by regular dedicated hygiene promotion_5]]&gt;WWWW[[#This Row],['# People received regular supply of hygiene items_6]],WWWW[[#This Row],['# people reached by regular dedicated hygiene promotion_5]],WWWW[[#This Row],['# People received regular supply of hygiene items_6]])</f>
        <v>325</v>
      </c>
      <c r="CZ733" s="714">
        <f>IF(WWWW[[#This Row],[HRP3]]/WWWW[[#This Row],[Total PoP ]]&gt;100%,100%,WWWW[[#This Row],[HRP3]]/WWWW[[#This Row],[Total PoP ]])</f>
        <v>0.9285714285714286</v>
      </c>
      <c r="DA733" s="713">
        <f>1-WWWW[[#This Row],[Hygiene Coverage%]]</f>
        <v>7.1428571428571397E-2</v>
      </c>
      <c r="DB733" s="710">
        <f>WWWW[[#This Row],['# people reached by regular dedicated hygiene promotion_5]]/WWWW[[#This Row],[Total PoP ]]</f>
        <v>0</v>
      </c>
      <c r="DC733" s="710">
        <f>IF(WWWW[[#This Row],['#_households that received standard amount of soap for this quarter]]/WWWW[[#This Row],[Total HH]]&gt;1,1,WWWW[[#This Row],['#_households that received standard amount of soap for this quarter]]/WWWW[[#This Row],[Total HH]])</f>
        <v>0.95588235294117652</v>
      </c>
      <c r="DD733" s="710">
        <f>IF(WWWW[[#This Row],['#_households that received standard amount of sanitary pads for this quarter]]/WWWW[[#This Row],[Total HH]]&gt;1,1,WWWW[[#This Row],['#_households that received standard amount of sanitary pads for this quarter]]/WWWW[[#This Row],[Total HH]])</f>
        <v>0.95588235294117652</v>
      </c>
      <c r="DE733" s="712">
        <f>WWWW[[#This Row],['#_Constructed/Existing hand washing stations]]-WWWW[[#This Row],['#_Non-Functional_hand_washing_stations]]</f>
        <v>0</v>
      </c>
      <c r="DF733" s="757">
        <f>IF(WWWW[[#This Row],['# Functional hand washing stations during reporting period]]*20&gt;WWWW[[#This Row],[Total HH]],WWWW[[#This Row],[Total HH]],WWWW[[#This Row],['# Functional hand washing stations during reporting period]]*20)</f>
        <v>0</v>
      </c>
      <c r="DG733" s="708">
        <f>IF(WWWW[[#This Row],[Is sufficient soap available for TLS? (Yes/No)]]="yes",WWWW[[#This Row],['#_Constructed/Existing hand washing stations at TLS]],0)</f>
        <v>0</v>
      </c>
      <c r="DH733" s="759">
        <f>IF(WWWW[[#This Row],['# Functional hand washing stations during reporting period]]*100&gt;WWWW[[#This Row],[Total PoP ]],WWWW[[#This Row],[Total PoP ]],WWWW[[#This Row],['# Functional hand washing stations during reporting period]]*100)</f>
        <v>0</v>
      </c>
      <c r="DI733" s="759" t="str">
        <f>IF(OR(WWWW[[#This Row],['#_students at TLS_CFS]]="",WWWW[[#This Row],['#_students at TLS_CFS]]=0),"No","Yes")</f>
        <v>Yes</v>
      </c>
      <c r="DJ733" s="711" t="str">
        <f>VLOOKUP(WWWW[[#This Row],[Site Name]],SiteDB6[[Site Name]:[CCCM Management]],6,FALSE)</f>
        <v>Yes</v>
      </c>
      <c r="DK733" s="711" t="str">
        <f>VLOOKUP(WWWW[[#This Row],[Site Name]],SiteDB6[[Site Name]:[CCCM Focal Agency]],7,FALSE)</f>
        <v>KBC-NSS</v>
      </c>
      <c r="DL733" s="711" t="str">
        <f>VLOOKUP(WWWW[[#This Row],[Site Name]],SiteDB6[[Site Name]:[Location Type 1]],9,FALSE)</f>
        <v>Camp</v>
      </c>
      <c r="DM733" s="711" t="str">
        <f>VLOOKUP(WWWW[[#This Row],[Site Name]],SiteDB6[[Site Name]:[Type of Accommodation]],10,FALSE)</f>
        <v>Camp</v>
      </c>
      <c r="DN733" s="711" t="str">
        <f>VLOOKUP(WWWW[[#This Row],[Site Name]],SiteDB6[[Site Name]:[Ethnic or GCA/NGCA]],11,FALSE)</f>
        <v>GCA</v>
      </c>
      <c r="DO733" s="711">
        <f>VLOOKUP(WWWW[[#This Row],[Site Name]],SiteDB6[[Site Name]:[Lat]],12,FALSE)</f>
        <v>23.828520000000001</v>
      </c>
      <c r="DP733" s="711">
        <f>VLOOKUP(WWWW[[#This Row],[Site Name]],SiteDB6[[Site Name]:[Long]],13,FALSE)</f>
        <v>97.669557999999995</v>
      </c>
      <c r="DQ733" s="711" t="str">
        <f>VLOOKUP(WWWW[[#This Row],[Site Name]],SiteDB6[[Site Name]:[Pcode]],3,FALSE)</f>
        <v>MMR015CMP001</v>
      </c>
      <c r="DR733" s="709" t="str">
        <f t="shared" si="27"/>
        <v>Covered</v>
      </c>
      <c r="DS733" s="709"/>
    </row>
    <row r="734" spans="1:123">
      <c r="A734" s="701" t="s">
        <v>2519</v>
      </c>
      <c r="B734" s="701" t="s">
        <v>200</v>
      </c>
      <c r="C734" s="702" t="s">
        <v>200</v>
      </c>
      <c r="D734" s="744" t="s">
        <v>249</v>
      </c>
      <c r="E734" s="702" t="s">
        <v>716</v>
      </c>
      <c r="F734" s="702" t="s">
        <v>717</v>
      </c>
      <c r="G734" s="711" t="str">
        <f>VLOOKUP(WWWW[[#This Row],[Site Name]],SiteDB6[[Site Name]:[Location Type]],8,FALSE)</f>
        <v>Camp</v>
      </c>
      <c r="H734" s="702" t="s">
        <v>752</v>
      </c>
      <c r="I734" s="705">
        <v>37</v>
      </c>
      <c r="J734" s="705">
        <v>176</v>
      </c>
      <c r="K734" s="706">
        <v>43497</v>
      </c>
      <c r="L734" s="707">
        <v>43861</v>
      </c>
      <c r="M734" s="705">
        <v>48</v>
      </c>
      <c r="N734" s="705"/>
      <c r="O734" s="705"/>
      <c r="P734" s="705"/>
      <c r="Q734" s="708"/>
      <c r="R734" s="705"/>
      <c r="S734" s="705"/>
      <c r="T734" s="807"/>
      <c r="U734" s="705"/>
      <c r="V734" s="705"/>
      <c r="W734" s="705"/>
      <c r="X734" s="705">
        <v>1</v>
      </c>
      <c r="Y734" s="705"/>
      <c r="Z734" s="705">
        <v>1</v>
      </c>
      <c r="AA734" s="705"/>
      <c r="AB734" s="705"/>
      <c r="AC734" s="705"/>
      <c r="AD734" s="705"/>
      <c r="AE734" s="705"/>
      <c r="AF734" s="705"/>
      <c r="AG734" s="705"/>
      <c r="AH734" s="705"/>
      <c r="AI734" s="705"/>
      <c r="AJ734" s="705"/>
      <c r="AK734" s="705"/>
      <c r="AL734" s="705"/>
      <c r="AM734" s="705"/>
      <c r="AN734" s="705"/>
      <c r="AO734" s="705"/>
      <c r="AP734" s="705"/>
      <c r="AQ734" s="705"/>
      <c r="AR734" s="710"/>
      <c r="AS734" s="705"/>
      <c r="AT734" s="705"/>
      <c r="AU734" s="705"/>
      <c r="AV734" s="705"/>
      <c r="AW734" s="705"/>
      <c r="AX734" s="752" t="s">
        <v>148</v>
      </c>
      <c r="AY734" s="782" t="s">
        <v>148</v>
      </c>
      <c r="AZ734" s="705"/>
      <c r="BA734" s="705"/>
      <c r="BB734" s="705"/>
      <c r="BC734" s="711"/>
      <c r="BD734" s="705"/>
      <c r="BE734" s="705"/>
      <c r="BF734" s="705"/>
      <c r="BG734" s="705"/>
      <c r="BH734" s="705"/>
      <c r="BI734" s="705"/>
      <c r="BJ734" s="705">
        <v>1</v>
      </c>
      <c r="BK734" s="705">
        <v>37</v>
      </c>
      <c r="BL734" s="705">
        <v>37</v>
      </c>
      <c r="BM734" s="711"/>
      <c r="BN734" s="712"/>
      <c r="BO734" s="710"/>
      <c r="BP734" s="711"/>
      <c r="BQ734" s="713" t="str">
        <f>IFERROR(WWWW[[#This Row],['#_Water sources treated]]/WWWW[[#This Row],['#_Water sources tested for contamination]],"no test")</f>
        <v>no test</v>
      </c>
      <c r="BR734" s="710" t="str">
        <f>IFERROR(WWWW[[#This Row],['#_Household received remediation action due to contamination]]/WWWW[[#This Row],['#_Household water samples tested for contamination]],"no test")</f>
        <v>no test</v>
      </c>
      <c r="BS734" s="712" t="str">
        <f>IF(AND(WWWW[[#This Row],[% of water sources treated]]="no test",WWWW[[#This Row],[% Household received corrective actions]]="no test"),"No Test","Tested")</f>
        <v>No Test</v>
      </c>
      <c r="BT734" s="712">
        <f>WWWW[[#This Row],['#_Constructed/existing protected hand dug well]]-WWWW[[#This Row],['#_Non-functional protected hand dug well]]</f>
        <v>0</v>
      </c>
      <c r="BU734" s="712">
        <f>(WWWW[[#This Row],['#_Constructed/Existing tube wells/boreholes/handpumps_WASH_agency]]+WWWW[[#This Row],['#_Non-Cluster partner water tube-wells/boreholes/handpumps]])-WWWW[[#This Row],['#_Non-functional tube wells/boreholes/handpumps]]</f>
        <v>1</v>
      </c>
      <c r="BV734" s="712">
        <f>WWWW[[#This Row],['#_Constructed/Existingwater storage tank with gravity fed reticulation system]]-WWWW[[#This Row],['#_Non-functional storage tank gravity fed reticulation system]]</f>
        <v>0</v>
      </c>
      <c r="BW734" s="712">
        <f>WWWW[[#This Row],['#_Water boating or water trucking]]</f>
        <v>0</v>
      </c>
      <c r="BX734" s="712">
        <f>WWWW[[#This Row],['#_Constructed/Existing water distribution system from river or natural spring]]</f>
        <v>0</v>
      </c>
      <c r="BY73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4" s="710">
        <f>IF(WWWW[[#This Row],[Location Type 1]]="Village",WWWW[[#This Row],[Access to safe drinking water for Village]],WWWW[[#This Row],[Access to safe drinking water for Camp]])</f>
        <v>1</v>
      </c>
      <c r="CB734" s="708">
        <f>WWWW[[#This Row],[%Equitable and continuous access to sufficient quantity of safe drinking water]]*WWWW[[#This Row],[Total PoP ]]</f>
        <v>176</v>
      </c>
      <c r="CC734" s="710">
        <f>IF((WWWW[[#This Row],['#_Constructed/Existing protected/fenced ponds]]*250)/WWWW[[#This Row],[Total PoP ]]&gt;1,1,(WWWW[[#This Row],['#_Constructed/Existing protected/fenced ponds]]*250)/WWWW[[#This Row],[Total PoP ]])</f>
        <v>0</v>
      </c>
      <c r="CD734" s="708">
        <f>WWWW[[#This Row],[% Access to unimproved water points]]*WWWW[[#This Row],[Total PoP ]]</f>
        <v>0</v>
      </c>
      <c r="CE73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G734" s="708">
        <f>WWWW[[#This Row],[HRP1]]/500</f>
        <v>0.35199999999999998</v>
      </c>
      <c r="CH734" s="714">
        <f>1-WWWW[[#This Row],[% Equitable and continuous access to sufficient quantity of domestic water]]</f>
        <v>0</v>
      </c>
      <c r="CI734" s="708">
        <f>WWWW[[#This Row],[%equitable and continuous access to sufficient quantity of safe drinking and domestic water''s GAP]]*WWWW[[#This Row],[Total PoP ]]</f>
        <v>0</v>
      </c>
      <c r="CJ734" s="712">
        <f>IF(WWWW[[#This Row],[Total required water points]]-WWWW[[#This Row],['#Water points coverage]]&lt;0,0,WWWW[[#This Row],[Total required water points]]-WWWW[[#This Row],['#Water points coverage]])</f>
        <v>0.64800000000000002</v>
      </c>
      <c r="CK734" s="712">
        <f>ROUND(IF(WWWW[[#This Row],[Total PoP ]]&lt;500,1,WWWW[[#This Row],[Total PoP ]]/500),0)</f>
        <v>1</v>
      </c>
      <c r="CL734" s="712">
        <f>(WWWW[[#This Row],['#_Constructed latrines_by_WASHAgencies]]+WWWW[[#This Row],['#_Non Cluster partner latrines]])-WWWW[[#This Row],['#_Non-functional latrines]]</f>
        <v>0</v>
      </c>
      <c r="CM73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3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3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4" s="712">
        <f>IF(WWWW[[#This Row],[Location Type 1]]="Village","NA",IF(WWWW[[#This Row],['#_Constructed/Existing latrines in TLS]]*50&gt;WWWW[[#This Row],['#_students at TLS_CFS]],WWWW[[#This Row],['#_students at TLS_CFS]],(WWWW[[#This Row],['#_Constructed/Existing latrines in TLS]]*50)))</f>
        <v>0</v>
      </c>
      <c r="CQ734" s="712">
        <f>ROUND(IF(WWWW[[#This Row],[Location Type 1]]="camp",WWWW[[#This Row],[Total PoP ]]/20,IF(WWWW[[#This Row],[Location Type 1]]="Temporary Location",WWWW[[#This Row],[Total PoP ]]/50,(WWWW[[#This Row],[Total PoP ]]/6))),0)</f>
        <v>9</v>
      </c>
      <c r="CR734" s="712">
        <f>IF(WWWW[[#This Row],[Total required Latrines]]-(WWWW[[#This Row],['#_Constructed latrines_by_WASHAgencies]]+WWWW[[#This Row],['#_Non Cluster partner latrines]])&lt;0,0,WWWW[[#This Row],[Total required Latrines]]-(WWWW[[#This Row],['#_Constructed latrines_by_WASHAgencies]]+WWWW[[#This Row],['#_Non Cluster partner latrines]]))</f>
        <v>9</v>
      </c>
      <c r="CS734" s="714">
        <f>1-WWWW[[#This Row],[% people access to functioning Latrine]]</f>
        <v>1</v>
      </c>
      <c r="CT734" s="713">
        <f>IF(OR(WWWW[[#This Row],['#_Non-functional latrines]]="",WWWW[[#This Row],['#_Non-functional latrines]]=0),0,WWWW[[#This Row],['#_Non-functional latrines]]/(WWWW[[#This Row],['#_Constructed latrines_by_WASHAgencies]]+WWWW[[#This Row],['#_Non Cluster partner latrines]]))</f>
        <v>0</v>
      </c>
      <c r="CU734" s="708">
        <f>IF(500*(WWWW[[#This Row],['#_male hygiene promoters]]+WWWW[[#This Row],['#_female hygiene promoters]])&gt;WWWW[[#This Row],[Total PoP ]],WWWW[[#This Row],[Total PoP ]],500*(WWWW[[#This Row],['#_male hygiene promoters]]+WWWW[[#This Row],['#_female hygiene promoters]]))</f>
        <v>176</v>
      </c>
      <c r="CV73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176</v>
      </c>
      <c r="CW73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176</v>
      </c>
      <c r="CX734" s="712">
        <f>IF(WWWW[[#This Row],['# People with access to soap]]&gt;WWWW[[#This Row],['# People with access to Sanity Pads]],WWWW[[#This Row],['# People with access to soap]],WWWW[[#This Row],['# People with access to Sanity Pads]])</f>
        <v>176</v>
      </c>
      <c r="CY734" s="712">
        <f>IF(WWWW[[#This Row],['# people reached by regular dedicated hygiene promotion_5]]&gt;WWWW[[#This Row],['# People received regular supply of hygiene items_6]],WWWW[[#This Row],['# people reached by regular dedicated hygiene promotion_5]],WWWW[[#This Row],['# People received regular supply of hygiene items_6]])</f>
        <v>176</v>
      </c>
      <c r="CZ734" s="714">
        <f>IF(WWWW[[#This Row],[HRP3]]/WWWW[[#This Row],[Total PoP ]]&gt;100%,100%,WWWW[[#This Row],[HRP3]]/WWWW[[#This Row],[Total PoP ]])</f>
        <v>1</v>
      </c>
      <c r="DA734" s="713">
        <f>1-WWWW[[#This Row],[Hygiene Coverage%]]</f>
        <v>0</v>
      </c>
      <c r="DB734" s="710">
        <f>WWWW[[#This Row],['# people reached by regular dedicated hygiene promotion_5]]/WWWW[[#This Row],[Total PoP ]]</f>
        <v>1</v>
      </c>
      <c r="DC734" s="710">
        <f>IF(WWWW[[#This Row],['#_households that received standard amount of soap for this quarter]]/WWWW[[#This Row],[Total HH]]&gt;1,1,WWWW[[#This Row],['#_households that received standard amount of soap for this quarter]]/WWWW[[#This Row],[Total HH]])</f>
        <v>1</v>
      </c>
      <c r="DD734" s="710">
        <f>IF(WWWW[[#This Row],['#_households that received standard amount of sanitary pads for this quarter]]/WWWW[[#This Row],[Total HH]]&gt;1,1,WWWW[[#This Row],['#_households that received standard amount of sanitary pads for this quarter]]/WWWW[[#This Row],[Total HH]])</f>
        <v>1</v>
      </c>
      <c r="DE734" s="712">
        <f>WWWW[[#This Row],['#_Constructed/Existing hand washing stations]]-WWWW[[#This Row],['#_Non-Functional_hand_washing_stations]]</f>
        <v>0</v>
      </c>
      <c r="DF734" s="757">
        <f>IF(WWWW[[#This Row],['# Functional hand washing stations during reporting period]]*20&gt;WWWW[[#This Row],[Total HH]],WWWW[[#This Row],[Total HH]],WWWW[[#This Row],['# Functional hand washing stations during reporting period]]*20)</f>
        <v>0</v>
      </c>
      <c r="DG734" s="708">
        <f>IF(WWWW[[#This Row],[Is sufficient soap available for TLS? (Yes/No)]]="yes",WWWW[[#This Row],['#_Constructed/Existing hand washing stations at TLS]],0)</f>
        <v>0</v>
      </c>
      <c r="DH734" s="759">
        <f>IF(WWWW[[#This Row],['# Functional hand washing stations during reporting period]]*100&gt;WWWW[[#This Row],[Total PoP ]],WWWW[[#This Row],[Total PoP ]],WWWW[[#This Row],['# Functional hand washing stations during reporting period]]*100)</f>
        <v>0</v>
      </c>
      <c r="DI734" s="759" t="str">
        <f>IF(OR(WWWW[[#This Row],['#_students at TLS_CFS]]="",WWWW[[#This Row],['#_students at TLS_CFS]]=0),"No","Yes")</f>
        <v>Yes</v>
      </c>
      <c r="DJ734" s="711" t="str">
        <f>VLOOKUP(WWWW[[#This Row],[Site Name]],SiteDB6[[Site Name]:[CCCM Management]],6,FALSE)</f>
        <v>Yes</v>
      </c>
      <c r="DK734" s="711" t="str">
        <f>VLOOKUP(WWWW[[#This Row],[Site Name]],SiteDB6[[Site Name]:[CCCM Focal Agency]],7,FALSE)</f>
        <v>KBC-NSS</v>
      </c>
      <c r="DL734" s="711" t="str">
        <f>VLOOKUP(WWWW[[#This Row],[Site Name]],SiteDB6[[Site Name]:[Location Type 1]],9,FALSE)</f>
        <v>Camp</v>
      </c>
      <c r="DM734" s="711" t="str">
        <f>VLOOKUP(WWWW[[#This Row],[Site Name]],SiteDB6[[Site Name]:[Type of Accommodation]],10,FALSE)</f>
        <v>Camp</v>
      </c>
      <c r="DN734" s="711" t="str">
        <f>VLOOKUP(WWWW[[#This Row],[Site Name]],SiteDB6[[Site Name]:[Ethnic or GCA/NGCA]],11,FALSE)</f>
        <v>GCA</v>
      </c>
      <c r="DO734" s="711">
        <f>VLOOKUP(WWWW[[#This Row],[Site Name]],SiteDB6[[Site Name]:[Lat]],12,FALSE)</f>
        <v>23.841646999999998</v>
      </c>
      <c r="DP734" s="711">
        <f>VLOOKUP(WWWW[[#This Row],[Site Name]],SiteDB6[[Site Name]:[Long]],13,FALSE)</f>
        <v>97.700940000000003</v>
      </c>
      <c r="DQ734" s="711" t="str">
        <f>VLOOKUP(WWWW[[#This Row],[Site Name]],SiteDB6[[Site Name]:[Pcode]],3,FALSE)</f>
        <v>MMR015CMP214</v>
      </c>
      <c r="DR734" s="709" t="str">
        <f t="shared" si="27"/>
        <v>Covered</v>
      </c>
      <c r="DS734" s="709"/>
    </row>
    <row r="735" spans="1:123">
      <c r="A735" s="701" t="s">
        <v>2519</v>
      </c>
      <c r="B735" s="701" t="s">
        <v>1233</v>
      </c>
      <c r="C735" s="702" t="s">
        <v>1233</v>
      </c>
      <c r="D735" s="584" t="s">
        <v>3336</v>
      </c>
      <c r="E735" s="702" t="s">
        <v>716</v>
      </c>
      <c r="F735" s="702" t="s">
        <v>717</v>
      </c>
      <c r="G735" s="711" t="str">
        <f>VLOOKUP(WWWW[[#This Row],[Site Name]],SiteDB6[[Site Name]:[Location Type]],8,FALSE)</f>
        <v>Camp</v>
      </c>
      <c r="H735" s="702" t="s">
        <v>718</v>
      </c>
      <c r="I735" s="705">
        <v>43</v>
      </c>
      <c r="J735" s="705">
        <v>212</v>
      </c>
      <c r="K735" s="706">
        <v>43497</v>
      </c>
      <c r="L735" s="58" t="s">
        <v>3340</v>
      </c>
      <c r="M735" s="705"/>
      <c r="N735" s="705">
        <v>2</v>
      </c>
      <c r="O735" s="705"/>
      <c r="P735" s="705"/>
      <c r="Q735" s="759" t="s">
        <v>43</v>
      </c>
      <c r="R735" s="705">
        <v>6</v>
      </c>
      <c r="S735" s="705">
        <v>5</v>
      </c>
      <c r="T735" s="807">
        <v>1</v>
      </c>
      <c r="U735" s="705"/>
      <c r="V735" s="705"/>
      <c r="W735" s="705">
        <v>1</v>
      </c>
      <c r="X735" s="705">
        <v>1</v>
      </c>
      <c r="Y735" s="705"/>
      <c r="Z735" s="705">
        <v>1</v>
      </c>
      <c r="AA735" s="705"/>
      <c r="AB735" s="705"/>
      <c r="AC735" s="705"/>
      <c r="AD735" s="705"/>
      <c r="AE735" s="705">
        <v>1</v>
      </c>
      <c r="AF735" s="705"/>
      <c r="AG735" s="705"/>
      <c r="AH735" s="705">
        <v>2</v>
      </c>
      <c r="AI735" s="705">
        <v>1</v>
      </c>
      <c r="AJ735" s="705"/>
      <c r="AK735" s="705">
        <v>17</v>
      </c>
      <c r="AL735" s="705"/>
      <c r="AM735" s="705"/>
      <c r="AN735" s="705"/>
      <c r="AO735" s="705"/>
      <c r="AP735" s="705">
        <v>15</v>
      </c>
      <c r="AQ735" s="705"/>
      <c r="AR735" s="710"/>
      <c r="AS735" s="705"/>
      <c r="AT735" s="705"/>
      <c r="AU735" s="705"/>
      <c r="AV735" s="705"/>
      <c r="AW735" s="705"/>
      <c r="AX735" s="711" t="s">
        <v>43</v>
      </c>
      <c r="AY735" s="709" t="s">
        <v>145</v>
      </c>
      <c r="AZ735" s="705"/>
      <c r="BA735" s="705"/>
      <c r="BB735" s="705"/>
      <c r="BC735" s="711"/>
      <c r="BD735" s="705">
        <v>4</v>
      </c>
      <c r="BE735" s="705">
        <v>2</v>
      </c>
      <c r="BF735" s="705">
        <v>0</v>
      </c>
      <c r="BG735" s="705">
        <v>2</v>
      </c>
      <c r="BH735" s="705"/>
      <c r="BI735" s="705">
        <v>1</v>
      </c>
      <c r="BJ735" s="705">
        <v>2</v>
      </c>
      <c r="BK735" s="705">
        <v>43</v>
      </c>
      <c r="BL735" s="705">
        <v>43</v>
      </c>
      <c r="BM735" s="711"/>
      <c r="BN735" s="712"/>
      <c r="BO735" s="710"/>
      <c r="BP735" s="711"/>
      <c r="BQ735" s="713">
        <f>IFERROR(WWWW[[#This Row],['#_Water sources treated]]/WWWW[[#This Row],['#_Water sources tested for contamination]],"no test")</f>
        <v>0</v>
      </c>
      <c r="BR735" s="710">
        <f>IFERROR(WWWW[[#This Row],['#_Household received remediation action due to contamination]]/WWWW[[#This Row],['#_Household water samples tested for contamination]],"no test")</f>
        <v>0</v>
      </c>
      <c r="BS735" s="712" t="str">
        <f>IF(AND(WWWW[[#This Row],[% of water sources treated]]="no test",WWWW[[#This Row],[% Household received corrective actions]]="no test"),"No Test","Tested")</f>
        <v>Tested</v>
      </c>
      <c r="BT735" s="712">
        <f>WWWW[[#This Row],['#_Constructed/existing protected hand dug well]]-WWWW[[#This Row],['#_Non-functional protected hand dug well]]</f>
        <v>1</v>
      </c>
      <c r="BU735" s="712">
        <f>(WWWW[[#This Row],['#_Constructed/Existing tube wells/boreholes/handpumps_WASH_agency]]+WWWW[[#This Row],['#_Non-Cluster partner water tube-wells/boreholes/handpumps]])-WWWW[[#This Row],['#_Non-functional tube wells/boreholes/handpumps]]</f>
        <v>2</v>
      </c>
      <c r="BV735" s="712">
        <f>WWWW[[#This Row],['#_Constructed/Existingwater storage tank with gravity fed reticulation system]]-WWWW[[#This Row],['#_Non-functional storage tank gravity fed reticulation system]]</f>
        <v>0</v>
      </c>
      <c r="BW735" s="712">
        <f>WWWW[[#This Row],['#_Water boating or water trucking]]</f>
        <v>0</v>
      </c>
      <c r="BX735" s="712">
        <f>WWWW[[#This Row],['#_Constructed/Existing water distribution system from river or natural spring]]</f>
        <v>0</v>
      </c>
      <c r="BY73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5" s="710">
        <f>IF(WWWW[[#This Row],[Location Type 1]]="Village",WWWW[[#This Row],[Access to safe drinking water for Village]],WWWW[[#This Row],[Access to safe drinking water for Camp]])</f>
        <v>1</v>
      </c>
      <c r="CB735" s="708">
        <f>WWWW[[#This Row],[%Equitable and continuous access to sufficient quantity of safe drinking water]]*WWWW[[#This Row],[Total PoP ]]</f>
        <v>212</v>
      </c>
      <c r="CC735" s="710">
        <f>IF((WWWW[[#This Row],['#_Constructed/Existing protected/fenced ponds]]*250)/WWWW[[#This Row],[Total PoP ]]&gt;1,1,(WWWW[[#This Row],['#_Constructed/Existing protected/fenced ponds]]*250)/WWWW[[#This Row],[Total PoP ]])</f>
        <v>1</v>
      </c>
      <c r="CD735" s="708">
        <f>WWWW[[#This Row],[% Access to unimproved water points]]*WWWW[[#This Row],[Total PoP ]]</f>
        <v>212</v>
      </c>
      <c r="CE73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212</v>
      </c>
      <c r="CG735" s="708">
        <f>WWWW[[#This Row],[HRP1]]/500</f>
        <v>0.42399999999999999</v>
      </c>
      <c r="CH735" s="714">
        <f>1-WWWW[[#This Row],[% Equitable and continuous access to sufficient quantity of domestic water]]</f>
        <v>0</v>
      </c>
      <c r="CI735" s="708">
        <f>WWWW[[#This Row],[%equitable and continuous access to sufficient quantity of safe drinking and domestic water''s GAP]]*WWWW[[#This Row],[Total PoP ]]</f>
        <v>0</v>
      </c>
      <c r="CJ735" s="712">
        <f>IF(WWWW[[#This Row],[Total required water points]]-WWWW[[#This Row],['#Water points coverage]]&lt;0,0,WWWW[[#This Row],[Total required water points]]-WWWW[[#This Row],['#Water points coverage]])</f>
        <v>0.57600000000000007</v>
      </c>
      <c r="CK735" s="712">
        <f>ROUND(IF(WWWW[[#This Row],[Total PoP ]]&lt;500,1,WWWW[[#This Row],[Total PoP ]]/500),0)</f>
        <v>1</v>
      </c>
      <c r="CL735" s="712">
        <f>(WWWW[[#This Row],['#_Constructed latrines_by_WASHAgencies]]+WWWW[[#This Row],['#_Non Cluster partner latrines]])-WWWW[[#This Row],['#_Non-functional latrines]]</f>
        <v>15</v>
      </c>
      <c r="CM73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3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212</v>
      </c>
      <c r="CO73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5" s="712">
        <f>IF(WWWW[[#This Row],[Location Type 1]]="Village","NA",IF(WWWW[[#This Row],['#_Constructed/Existing latrines in TLS]]*50&gt;WWWW[[#This Row],['#_students at TLS_CFS]],WWWW[[#This Row],['#_students at TLS_CFS]],(WWWW[[#This Row],['#_Constructed/Existing latrines in TLS]]*50)))</f>
        <v>0</v>
      </c>
      <c r="CQ735" s="712">
        <f>ROUND(IF(WWWW[[#This Row],[Location Type 1]]="camp",WWWW[[#This Row],[Total PoP ]]/20,IF(WWWW[[#This Row],[Location Type 1]]="Temporary Location",WWWW[[#This Row],[Total PoP ]]/50,(WWWW[[#This Row],[Total PoP ]]/6))),0)</f>
        <v>11</v>
      </c>
      <c r="CR735" s="712">
        <f>IF(WWWW[[#This Row],[Total required Latrines]]-(WWWW[[#This Row],['#_Constructed latrines_by_WASHAgencies]]+WWWW[[#This Row],['#_Non Cluster partner latrines]])&lt;0,0,WWWW[[#This Row],[Total required Latrines]]-(WWWW[[#This Row],['#_Constructed latrines_by_WASHAgencies]]+WWWW[[#This Row],['#_Non Cluster partner latrines]]))</f>
        <v>0</v>
      </c>
      <c r="CS735" s="714">
        <f>1-WWWW[[#This Row],[% people access to functioning Latrine]]</f>
        <v>0</v>
      </c>
      <c r="CT735" s="713">
        <f>IF(OR(WWWW[[#This Row],['#_Non-functional latrines]]="",WWWW[[#This Row],['#_Non-functional latrines]]=0),0,WWWW[[#This Row],['#_Non-functional latrines]]/(WWWW[[#This Row],['#_Constructed latrines_by_WASHAgencies]]+WWWW[[#This Row],['#_Non Cluster partner latrines]]))</f>
        <v>0</v>
      </c>
      <c r="CU735" s="708">
        <f>IF(500*(WWWW[[#This Row],['#_male hygiene promoters]]+WWWW[[#This Row],['#_female hygiene promoters]])&gt;WWWW[[#This Row],[Total PoP ]],WWWW[[#This Row],[Total PoP ]],500*(WWWW[[#This Row],['#_male hygiene promoters]]+WWWW[[#This Row],['#_female hygiene promoters]]))</f>
        <v>212</v>
      </c>
      <c r="CV73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212</v>
      </c>
      <c r="CW73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212</v>
      </c>
      <c r="CX735" s="712">
        <f>IF(WWWW[[#This Row],['# People with access to soap]]&gt;WWWW[[#This Row],['# People with access to Sanity Pads]],WWWW[[#This Row],['# People with access to soap]],WWWW[[#This Row],['# People with access to Sanity Pads]])</f>
        <v>212</v>
      </c>
      <c r="CY735" s="712">
        <f>IF(WWWW[[#This Row],['# people reached by regular dedicated hygiene promotion_5]]&gt;WWWW[[#This Row],['# People received regular supply of hygiene items_6]],WWWW[[#This Row],['# people reached by regular dedicated hygiene promotion_5]],WWWW[[#This Row],['# People received regular supply of hygiene items_6]])</f>
        <v>212</v>
      </c>
      <c r="CZ735" s="714">
        <f>IF(WWWW[[#This Row],[HRP3]]/WWWW[[#This Row],[Total PoP ]]&gt;100%,100%,WWWW[[#This Row],[HRP3]]/WWWW[[#This Row],[Total PoP ]])</f>
        <v>1</v>
      </c>
      <c r="DA735" s="713">
        <f>1-WWWW[[#This Row],[Hygiene Coverage%]]</f>
        <v>0</v>
      </c>
      <c r="DB735" s="710">
        <f>WWWW[[#This Row],['# people reached by regular dedicated hygiene promotion_5]]/WWWW[[#This Row],[Total PoP ]]</f>
        <v>1</v>
      </c>
      <c r="DC735" s="710">
        <f>IF(WWWW[[#This Row],['#_households that received standard amount of soap for this quarter]]/WWWW[[#This Row],[Total HH]]&gt;1,1,WWWW[[#This Row],['#_households that received standard amount of soap for this quarter]]/WWWW[[#This Row],[Total HH]])</f>
        <v>1</v>
      </c>
      <c r="DD735" s="710">
        <f>IF(WWWW[[#This Row],['#_households that received standard amount of sanitary pads for this quarter]]/WWWW[[#This Row],[Total HH]]&gt;1,1,WWWW[[#This Row],['#_households that received standard amount of sanitary pads for this quarter]]/WWWW[[#This Row],[Total HH]])</f>
        <v>1</v>
      </c>
      <c r="DE735" s="712">
        <f>WWWW[[#This Row],['#_Constructed/Existing hand washing stations]]-WWWW[[#This Row],['#_Non-Functional_hand_washing_stations]]</f>
        <v>2</v>
      </c>
      <c r="DF735" s="757">
        <f>IF(WWWW[[#This Row],['# Functional hand washing stations during reporting period]]*20&gt;WWWW[[#This Row],[Total HH]],WWWW[[#This Row],[Total HH]],WWWW[[#This Row],['# Functional hand washing stations during reporting period]]*20)</f>
        <v>40</v>
      </c>
      <c r="DG735" s="708">
        <f>IF(WWWW[[#This Row],[Is sufficient soap available for TLS? (Yes/No)]]="yes",WWWW[[#This Row],['#_Constructed/Existing hand washing stations at TLS]],0)</f>
        <v>0</v>
      </c>
      <c r="DH735" s="759">
        <f>IF(WWWW[[#This Row],['# Functional hand washing stations during reporting period]]*100&gt;WWWW[[#This Row],[Total PoP ]],WWWW[[#This Row],[Total PoP ]],WWWW[[#This Row],['# Functional hand washing stations during reporting period]]*100)</f>
        <v>200</v>
      </c>
      <c r="DI735" s="759" t="str">
        <f>IF(OR(WWWW[[#This Row],['#_students at TLS_CFS]]="",WWWW[[#This Row],['#_students at TLS_CFS]]=0),"No","Yes")</f>
        <v>No</v>
      </c>
      <c r="DJ735" s="711" t="str">
        <f>VLOOKUP(WWWW[[#This Row],[Site Name]],SiteDB6[[Site Name]:[CCCM Management]],6,FALSE)</f>
        <v>Yes</v>
      </c>
      <c r="DK735" s="711" t="str">
        <f>VLOOKUP(WWWW[[#This Row],[Site Name]],SiteDB6[[Site Name]:[CCCM Focal Agency]],7,FALSE)</f>
        <v>KMSS-LSO</v>
      </c>
      <c r="DL735" s="711" t="str">
        <f>VLOOKUP(WWWW[[#This Row],[Site Name]],SiteDB6[[Site Name]:[Location Type 1]],9,FALSE)</f>
        <v>Camp</v>
      </c>
      <c r="DM735" s="711" t="str">
        <f>VLOOKUP(WWWW[[#This Row],[Site Name]],SiteDB6[[Site Name]:[Type of Accommodation]],10,FALSE)</f>
        <v>Camp</v>
      </c>
      <c r="DN735" s="711" t="str">
        <f>VLOOKUP(WWWW[[#This Row],[Site Name]],SiteDB6[[Site Name]:[Ethnic or GCA/NGCA]],11,FALSE)</f>
        <v>GCA</v>
      </c>
      <c r="DO735" s="711">
        <f>VLOOKUP(WWWW[[#This Row],[Site Name]],SiteDB6[[Site Name]:[Lat]],12,FALSE)</f>
        <v>23.828150000000001</v>
      </c>
      <c r="DP735" s="711">
        <f>VLOOKUP(WWWW[[#This Row],[Site Name]],SiteDB6[[Site Name]:[Long]],13,FALSE)</f>
        <v>97.670360000000002</v>
      </c>
      <c r="DQ735" s="711" t="str">
        <f>VLOOKUP(WWWW[[#This Row],[Site Name]],SiteDB6[[Site Name]:[Pcode]],3,FALSE)</f>
        <v>MMR015CMP003</v>
      </c>
      <c r="DR735" s="709" t="str">
        <f t="shared" si="27"/>
        <v>Covered</v>
      </c>
      <c r="DS735" s="709"/>
    </row>
    <row r="736" spans="1:123">
      <c r="A736" s="701" t="s">
        <v>2519</v>
      </c>
      <c r="B736" s="701" t="s">
        <v>1957</v>
      </c>
      <c r="C736" s="702" t="s">
        <v>1957</v>
      </c>
      <c r="D736" s="702" t="s">
        <v>2970</v>
      </c>
      <c r="E736" s="702" t="s">
        <v>716</v>
      </c>
      <c r="F736" s="702" t="s">
        <v>720</v>
      </c>
      <c r="G736" s="711" t="str">
        <f>VLOOKUP(WWWW[[#This Row],[Site Name]],SiteDB6[[Site Name]:[Location Type]],8,FALSE)</f>
        <v>Camp</v>
      </c>
      <c r="H736" s="702" t="s">
        <v>732</v>
      </c>
      <c r="I736" s="705">
        <v>56</v>
      </c>
      <c r="J736" s="705">
        <v>263</v>
      </c>
      <c r="K736" s="593" t="s">
        <v>3304</v>
      </c>
      <c r="L736" s="58" t="s">
        <v>3306</v>
      </c>
      <c r="M736" s="705">
        <v>139</v>
      </c>
      <c r="N736" s="705"/>
      <c r="O736" s="705"/>
      <c r="P736" s="705"/>
      <c r="Q736" s="708" t="s">
        <v>43</v>
      </c>
      <c r="R736" s="705">
        <v>5</v>
      </c>
      <c r="S736" s="705">
        <v>4</v>
      </c>
      <c r="T736" s="807"/>
      <c r="U736" s="705"/>
      <c r="V736" s="705"/>
      <c r="W736" s="705"/>
      <c r="X736" s="705"/>
      <c r="Y736" s="705"/>
      <c r="Z736" s="705"/>
      <c r="AA736" s="705">
        <v>23</v>
      </c>
      <c r="AB736" s="705"/>
      <c r="AC736" s="705"/>
      <c r="AD736" s="705"/>
      <c r="AE736" s="705"/>
      <c r="AF736" s="705"/>
      <c r="AG736" s="705">
        <v>1</v>
      </c>
      <c r="AH736" s="705"/>
      <c r="AI736" s="705">
        <v>1</v>
      </c>
      <c r="AJ736" s="705"/>
      <c r="AK736" s="705">
        <v>15</v>
      </c>
      <c r="AL736" s="705"/>
      <c r="AM736" s="705"/>
      <c r="AN736" s="705"/>
      <c r="AO736" s="705"/>
      <c r="AP736" s="705">
        <v>15</v>
      </c>
      <c r="AQ736" s="705"/>
      <c r="AR736" s="710"/>
      <c r="AS736" s="705"/>
      <c r="AT736" s="705">
        <v>4</v>
      </c>
      <c r="AU736" s="705"/>
      <c r="AV736" s="705"/>
      <c r="AW736" s="705"/>
      <c r="AX736" s="711" t="s">
        <v>43</v>
      </c>
      <c r="AY736" s="709" t="s">
        <v>145</v>
      </c>
      <c r="AZ736" s="705"/>
      <c r="BA736" s="705"/>
      <c r="BB736" s="705"/>
      <c r="BC736" s="711"/>
      <c r="BD736" s="705">
        <v>5</v>
      </c>
      <c r="BE736" s="705">
        <v>3</v>
      </c>
      <c r="BF736" s="705"/>
      <c r="BG736" s="705">
        <v>2</v>
      </c>
      <c r="BH736" s="705"/>
      <c r="BI736" s="705"/>
      <c r="BJ736" s="705">
        <v>2</v>
      </c>
      <c r="BK736" s="705">
        <f>45+54</f>
        <v>99</v>
      </c>
      <c r="BL736" s="705">
        <v>54</v>
      </c>
      <c r="BM736" s="711"/>
      <c r="BN736" s="712"/>
      <c r="BO736" s="710">
        <v>0.5</v>
      </c>
      <c r="BP736" s="711"/>
      <c r="BQ736" s="713">
        <f>IFERROR(WWWW[[#This Row],['#_Water sources treated]]/WWWW[[#This Row],['#_Water sources tested for contamination]],"no test")</f>
        <v>0</v>
      </c>
      <c r="BR736" s="710">
        <f>IFERROR(WWWW[[#This Row],['#_Household received remediation action due to contamination]]/WWWW[[#This Row],['#_Household water samples tested for contamination]],"no test")</f>
        <v>0</v>
      </c>
      <c r="BS736" s="712" t="str">
        <f>IF(AND(WWWW[[#This Row],[% of water sources treated]]="no test",WWWW[[#This Row],[% Household received corrective actions]]="no test"),"No Test","Tested")</f>
        <v>Tested</v>
      </c>
      <c r="BT736" s="712">
        <f>WWWW[[#This Row],['#_Constructed/existing protected hand dug well]]-WWWW[[#This Row],['#_Non-functional protected hand dug well]]</f>
        <v>0</v>
      </c>
      <c r="BU736" s="712">
        <f>(WWWW[[#This Row],['#_Constructed/Existing tube wells/boreholes/handpumps_WASH_agency]]+WWWW[[#This Row],['#_Non-Cluster partner water tube-wells/boreholes/handpumps]])-WWWW[[#This Row],['#_Non-functional tube wells/boreholes/handpumps]]</f>
        <v>0</v>
      </c>
      <c r="BV736" s="712">
        <f>WWWW[[#This Row],['#_Constructed/Existingwater storage tank with gravity fed reticulation system]]-WWWW[[#This Row],['#_Non-functional storage tank gravity fed reticulation system]]</f>
        <v>23</v>
      </c>
      <c r="BW736" s="712">
        <f>WWWW[[#This Row],['#_Water boating or water trucking]]</f>
        <v>0</v>
      </c>
      <c r="BX736" s="712">
        <f>WWWW[[#This Row],['#_Constructed/Existing water distribution system from river or natural spring]]</f>
        <v>0</v>
      </c>
      <c r="BY73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6" s="710">
        <f>IF(WWWW[[#This Row],[Location Type 1]]="Village",WWWW[[#This Row],[Access to safe drinking water for Village]],WWWW[[#This Row],[Access to safe drinking water for Camp]])</f>
        <v>1</v>
      </c>
      <c r="CB736" s="708">
        <f>WWWW[[#This Row],[%Equitable and continuous access to sufficient quantity of safe drinking water]]*WWWW[[#This Row],[Total PoP ]]</f>
        <v>263</v>
      </c>
      <c r="CC736" s="710">
        <f>IF((WWWW[[#This Row],['#_Constructed/Existing protected/fenced ponds]]*250)/WWWW[[#This Row],[Total PoP ]]&gt;1,1,(WWWW[[#This Row],['#_Constructed/Existing protected/fenced ponds]]*250)/WWWW[[#This Row],[Total PoP ]])</f>
        <v>0</v>
      </c>
      <c r="CD736" s="708">
        <f>WWWW[[#This Row],[% Access to unimproved water points]]*WWWW[[#This Row],[Total PoP ]]</f>
        <v>0</v>
      </c>
      <c r="CE73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G736" s="708">
        <f>WWWW[[#This Row],[HRP1]]/500</f>
        <v>0.52600000000000002</v>
      </c>
      <c r="CH736" s="714">
        <f>1-WWWW[[#This Row],[% Equitable and continuous access to sufficient quantity of domestic water]]</f>
        <v>0</v>
      </c>
      <c r="CI736" s="708">
        <f>WWWW[[#This Row],[%equitable and continuous access to sufficient quantity of safe drinking and domestic water''s GAP]]*WWWW[[#This Row],[Total PoP ]]</f>
        <v>0</v>
      </c>
      <c r="CJ736" s="712">
        <f>IF(WWWW[[#This Row],[Total required water points]]-WWWW[[#This Row],['#Water points coverage]]&lt;0,0,WWWW[[#This Row],[Total required water points]]-WWWW[[#This Row],['#Water points coverage]])</f>
        <v>0.47399999999999998</v>
      </c>
      <c r="CK736" s="712">
        <f>ROUND(IF(WWWW[[#This Row],[Total PoP ]]&lt;500,1,WWWW[[#This Row],[Total PoP ]]/500),0)</f>
        <v>1</v>
      </c>
      <c r="CL736" s="712">
        <f>(WWWW[[#This Row],['#_Constructed latrines_by_WASHAgencies]]+WWWW[[#This Row],['#_Non Cluster partner latrines]])-WWWW[[#This Row],['#_Non-functional latrines]]</f>
        <v>15</v>
      </c>
      <c r="CM73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3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263</v>
      </c>
      <c r="CO73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6" s="712">
        <f>IF(WWWW[[#This Row],[Location Type 1]]="Village","NA",IF(WWWW[[#This Row],['#_Constructed/Existing latrines in TLS]]*50&gt;WWWW[[#This Row],['#_students at TLS_CFS]],WWWW[[#This Row],['#_students at TLS_CFS]],(WWWW[[#This Row],['#_Constructed/Existing latrines in TLS]]*50)))</f>
        <v>0</v>
      </c>
      <c r="CQ736" s="712">
        <f>ROUND(IF(WWWW[[#This Row],[Location Type 1]]="camp",WWWW[[#This Row],[Total PoP ]]/20,IF(WWWW[[#This Row],[Location Type 1]]="Temporary Location",WWWW[[#This Row],[Total PoP ]]/50,(WWWW[[#This Row],[Total PoP ]]/6))),0)</f>
        <v>13</v>
      </c>
      <c r="CR736" s="712">
        <f>IF(WWWW[[#This Row],[Total required Latrines]]-(WWWW[[#This Row],['#_Constructed latrines_by_WASHAgencies]]+WWWW[[#This Row],['#_Non Cluster partner latrines]])&lt;0,0,WWWW[[#This Row],[Total required Latrines]]-(WWWW[[#This Row],['#_Constructed latrines_by_WASHAgencies]]+WWWW[[#This Row],['#_Non Cluster partner latrines]]))</f>
        <v>0</v>
      </c>
      <c r="CS736" s="714">
        <f>1-WWWW[[#This Row],[% people access to functioning Latrine]]</f>
        <v>0</v>
      </c>
      <c r="CT736" s="713">
        <f>IF(OR(WWWW[[#This Row],['#_Non-functional latrines]]="",WWWW[[#This Row],['#_Non-functional latrines]]=0),0,WWWW[[#This Row],['#_Non-functional latrines]]/(WWWW[[#This Row],['#_Constructed latrines_by_WASHAgencies]]+WWWW[[#This Row],['#_Non Cluster partner latrines]]))</f>
        <v>0</v>
      </c>
      <c r="CU736" s="708">
        <f>IF(500*(WWWW[[#This Row],['#_male hygiene promoters]]+WWWW[[#This Row],['#_female hygiene promoters]])&gt;WWWW[[#This Row],[Total PoP ]],WWWW[[#This Row],[Total PoP ]],500*(WWWW[[#This Row],['#_male hygiene promoters]]+WWWW[[#This Row],['#_female hygiene promoters]]))</f>
        <v>263</v>
      </c>
      <c r="CV73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263</v>
      </c>
      <c r="CW73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263</v>
      </c>
      <c r="CX736" s="712">
        <f>IF(WWWW[[#This Row],['# People with access to soap]]&gt;WWWW[[#This Row],['# People with access to Sanity Pads]],WWWW[[#This Row],['# People with access to soap]],WWWW[[#This Row],['# People with access to Sanity Pads]])</f>
        <v>263</v>
      </c>
      <c r="CY736" s="712">
        <f>IF(WWWW[[#This Row],['# people reached by regular dedicated hygiene promotion_5]]&gt;WWWW[[#This Row],['# People received regular supply of hygiene items_6]],WWWW[[#This Row],['# people reached by regular dedicated hygiene promotion_5]],WWWW[[#This Row],['# People received regular supply of hygiene items_6]])</f>
        <v>263</v>
      </c>
      <c r="CZ736" s="714">
        <f>IF(WWWW[[#This Row],[HRP3]]/WWWW[[#This Row],[Total PoP ]]&gt;100%,100%,WWWW[[#This Row],[HRP3]]/WWWW[[#This Row],[Total PoP ]])</f>
        <v>1</v>
      </c>
      <c r="DA736" s="713">
        <f>1-WWWW[[#This Row],[Hygiene Coverage%]]</f>
        <v>0</v>
      </c>
      <c r="DB736" s="710">
        <f>WWWW[[#This Row],['# people reached by regular dedicated hygiene promotion_5]]/WWWW[[#This Row],[Total PoP ]]</f>
        <v>1</v>
      </c>
      <c r="DC736" s="710">
        <f>IF(WWWW[[#This Row],['#_households that received standard amount of soap for this quarter]]/WWWW[[#This Row],[Total HH]]&gt;1,1,WWWW[[#This Row],['#_households that received standard amount of soap for this quarter]]/WWWW[[#This Row],[Total HH]])</f>
        <v>1</v>
      </c>
      <c r="DD736" s="710">
        <f>IF(WWWW[[#This Row],['#_households that received standard amount of sanitary pads for this quarter]]/WWWW[[#This Row],[Total HH]]&gt;1,1,WWWW[[#This Row],['#_households that received standard amount of sanitary pads for this quarter]]/WWWW[[#This Row],[Total HH]])</f>
        <v>0.9642857142857143</v>
      </c>
      <c r="DE736" s="712">
        <f>WWWW[[#This Row],['#_Constructed/Existing hand washing stations]]-WWWW[[#This Row],['#_Non-Functional_hand_washing_stations]]</f>
        <v>2</v>
      </c>
      <c r="DF736" s="757">
        <f>IF(WWWW[[#This Row],['# Functional hand washing stations during reporting period]]*20&gt;WWWW[[#This Row],[Total HH]],WWWW[[#This Row],[Total HH]],WWWW[[#This Row],['# Functional hand washing stations during reporting period]]*20)</f>
        <v>40</v>
      </c>
      <c r="DG736" s="708">
        <f>IF(WWWW[[#This Row],[Is sufficient soap available for TLS? (Yes/No)]]="yes",WWWW[[#This Row],['#_Constructed/Existing hand washing stations at TLS]],0)</f>
        <v>0</v>
      </c>
      <c r="DH736" s="759">
        <f>IF(WWWW[[#This Row],['# Functional hand washing stations during reporting period]]*100&gt;WWWW[[#This Row],[Total PoP ]],WWWW[[#This Row],[Total PoP ]],WWWW[[#This Row],['# Functional hand washing stations during reporting period]]*100)</f>
        <v>200</v>
      </c>
      <c r="DI736" s="759" t="str">
        <f>IF(OR(WWWW[[#This Row],['#_students at TLS_CFS]]="",WWWW[[#This Row],['#_students at TLS_CFS]]=0),"No","Yes")</f>
        <v>Yes</v>
      </c>
      <c r="DJ736" s="711" t="str">
        <f>VLOOKUP(WWWW[[#This Row],[Site Name]],SiteDB6[[Site Name]:[CCCM Management]],6,FALSE)</f>
        <v>Yes</v>
      </c>
      <c r="DK736" s="711" t="str">
        <f>VLOOKUP(WWWW[[#This Row],[Site Name]],SiteDB6[[Site Name]:[CCCM Focal Agency]],7,FALSE)</f>
        <v>KBC-NSS</v>
      </c>
      <c r="DL736" s="711" t="str">
        <f>VLOOKUP(WWWW[[#This Row],[Site Name]],SiteDB6[[Site Name]:[Location Type 1]],9,FALSE)</f>
        <v>Camp</v>
      </c>
      <c r="DM736" s="711" t="str">
        <f>VLOOKUP(WWWW[[#This Row],[Site Name]],SiteDB6[[Site Name]:[Type of Accommodation]],10,FALSE)</f>
        <v>Camp</v>
      </c>
      <c r="DN736" s="711" t="str">
        <f>VLOOKUP(WWWW[[#This Row],[Site Name]],SiteDB6[[Site Name]:[Ethnic or GCA/NGCA]],11,FALSE)</f>
        <v>GCA</v>
      </c>
      <c r="DO736" s="711">
        <f>VLOOKUP(WWWW[[#This Row],[Site Name]],SiteDB6[[Site Name]:[Lat]],12,FALSE)</f>
        <v>23.694130000000001</v>
      </c>
      <c r="DP736" s="711">
        <f>VLOOKUP(WWWW[[#This Row],[Site Name]],SiteDB6[[Site Name]:[Long]],13,FALSE)</f>
        <v>97.818979999999996</v>
      </c>
      <c r="DQ736" s="711" t="str">
        <f>VLOOKUP(WWWW[[#This Row],[Site Name]],SiteDB6[[Site Name]:[Pcode]],3,FALSE)</f>
        <v>MMR015CMP007</v>
      </c>
      <c r="DR736" s="709" t="str">
        <f t="shared" si="27"/>
        <v>Covered</v>
      </c>
      <c r="DS736" s="709"/>
    </row>
    <row r="737" spans="1:123">
      <c r="A737" s="701" t="s">
        <v>2519</v>
      </c>
      <c r="B737" s="701" t="s">
        <v>1957</v>
      </c>
      <c r="C737" s="702" t="s">
        <v>1957</v>
      </c>
      <c r="D737" s="702" t="s">
        <v>2970</v>
      </c>
      <c r="E737" s="702" t="s">
        <v>716</v>
      </c>
      <c r="F737" s="702" t="s">
        <v>720</v>
      </c>
      <c r="G737" s="711" t="str">
        <f>VLOOKUP(WWWW[[#This Row],[Site Name]],SiteDB6[[Site Name]:[Location Type]],8,FALSE)</f>
        <v>Camp</v>
      </c>
      <c r="H737" s="702" t="s">
        <v>2198</v>
      </c>
      <c r="I737" s="705">
        <v>34</v>
      </c>
      <c r="J737" s="705">
        <v>114</v>
      </c>
      <c r="K737" s="593" t="s">
        <v>3304</v>
      </c>
      <c r="L737" s="58" t="s">
        <v>3306</v>
      </c>
      <c r="M737" s="705">
        <v>37</v>
      </c>
      <c r="N737" s="705"/>
      <c r="O737" s="705"/>
      <c r="P737" s="705"/>
      <c r="Q737" s="708" t="s">
        <v>43</v>
      </c>
      <c r="R737" s="705">
        <v>5</v>
      </c>
      <c r="S737" s="705">
        <v>4</v>
      </c>
      <c r="T737" s="807"/>
      <c r="U737" s="705"/>
      <c r="V737" s="705"/>
      <c r="W737" s="705">
        <v>2</v>
      </c>
      <c r="X737" s="705"/>
      <c r="Y737" s="705"/>
      <c r="Z737" s="705"/>
      <c r="AA737" s="705"/>
      <c r="AB737" s="705"/>
      <c r="AC737" s="705"/>
      <c r="AD737" s="705"/>
      <c r="AE737" s="705"/>
      <c r="AF737" s="705"/>
      <c r="AG737" s="705">
        <v>1</v>
      </c>
      <c r="AH737" s="705"/>
      <c r="AI737" s="705">
        <v>1</v>
      </c>
      <c r="AJ737" s="705"/>
      <c r="AK737" s="705">
        <v>15</v>
      </c>
      <c r="AL737" s="705"/>
      <c r="AM737" s="705"/>
      <c r="AN737" s="705"/>
      <c r="AO737" s="705"/>
      <c r="AP737" s="705">
        <v>8</v>
      </c>
      <c r="AQ737" s="705"/>
      <c r="AR737" s="710"/>
      <c r="AS737" s="705">
        <v>4</v>
      </c>
      <c r="AT737" s="705"/>
      <c r="AU737" s="705"/>
      <c r="AV737" s="705"/>
      <c r="AW737" s="705"/>
      <c r="AX737" s="711" t="s">
        <v>43</v>
      </c>
      <c r="AY737" s="709" t="s">
        <v>144</v>
      </c>
      <c r="AZ737" s="705"/>
      <c r="BA737" s="705"/>
      <c r="BB737" s="705"/>
      <c r="BC737" s="711"/>
      <c r="BD737" s="705">
        <v>4</v>
      </c>
      <c r="BE737" s="705"/>
      <c r="BF737" s="705"/>
      <c r="BG737" s="705">
        <v>1</v>
      </c>
      <c r="BH737" s="705"/>
      <c r="BI737" s="705"/>
      <c r="BJ737" s="705">
        <v>2</v>
      </c>
      <c r="BK737" s="705">
        <f>27+33</f>
        <v>60</v>
      </c>
      <c r="BL737" s="705">
        <v>33</v>
      </c>
      <c r="BM737" s="711"/>
      <c r="BN737" s="712"/>
      <c r="BO737" s="710">
        <v>0.5</v>
      </c>
      <c r="BP737" s="711"/>
      <c r="BQ737" s="713">
        <f>IFERROR(WWWW[[#This Row],['#_Water sources treated]]/WWWW[[#This Row],['#_Water sources tested for contamination]],"no test")</f>
        <v>0</v>
      </c>
      <c r="BR737" s="710">
        <f>IFERROR(WWWW[[#This Row],['#_Household received remediation action due to contamination]]/WWWW[[#This Row],['#_Household water samples tested for contamination]],"no test")</f>
        <v>0</v>
      </c>
      <c r="BS737" s="712" t="str">
        <f>IF(AND(WWWW[[#This Row],[% of water sources treated]]="no test",WWWW[[#This Row],[% Household received corrective actions]]="no test"),"No Test","Tested")</f>
        <v>Tested</v>
      </c>
      <c r="BT737" s="712">
        <f>WWWW[[#This Row],['#_Constructed/existing protected hand dug well]]-WWWW[[#This Row],['#_Non-functional protected hand dug well]]</f>
        <v>0</v>
      </c>
      <c r="BU737" s="712">
        <f>(WWWW[[#This Row],['#_Constructed/Existing tube wells/boreholes/handpumps_WASH_agency]]+WWWW[[#This Row],['#_Non-Cluster partner water tube-wells/boreholes/handpumps]])-WWWW[[#This Row],['#_Non-functional tube wells/boreholes/handpumps]]</f>
        <v>2</v>
      </c>
      <c r="BV737" s="712">
        <f>WWWW[[#This Row],['#_Constructed/Existingwater storage tank with gravity fed reticulation system]]-WWWW[[#This Row],['#_Non-functional storage tank gravity fed reticulation system]]</f>
        <v>0</v>
      </c>
      <c r="BW737" s="712">
        <f>WWWW[[#This Row],['#_Water boating or water trucking]]</f>
        <v>0</v>
      </c>
      <c r="BX737" s="712">
        <f>WWWW[[#This Row],['#_Constructed/Existing water distribution system from river or natural spring]]</f>
        <v>0</v>
      </c>
      <c r="BY73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7" s="710">
        <f>IF(WWWW[[#This Row],[Location Type 1]]="Village",WWWW[[#This Row],[Access to safe drinking water for Village]],WWWW[[#This Row],[Access to safe drinking water for Camp]])</f>
        <v>1</v>
      </c>
      <c r="CB737" s="708">
        <f>WWWW[[#This Row],[%Equitable and continuous access to sufficient quantity of safe drinking water]]*WWWW[[#This Row],[Total PoP ]]</f>
        <v>114</v>
      </c>
      <c r="CC737" s="710">
        <f>IF((WWWW[[#This Row],['#_Constructed/Existing protected/fenced ponds]]*250)/WWWW[[#This Row],[Total PoP ]]&gt;1,1,(WWWW[[#This Row],['#_Constructed/Existing protected/fenced ponds]]*250)/WWWW[[#This Row],[Total PoP ]])</f>
        <v>0</v>
      </c>
      <c r="CD737" s="708">
        <f>WWWW[[#This Row],[% Access to unimproved water points]]*WWWW[[#This Row],[Total PoP ]]</f>
        <v>0</v>
      </c>
      <c r="CE73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G737" s="708">
        <f>WWWW[[#This Row],[HRP1]]/500</f>
        <v>0.22800000000000001</v>
      </c>
      <c r="CH737" s="714">
        <f>1-WWWW[[#This Row],[% Equitable and continuous access to sufficient quantity of domestic water]]</f>
        <v>0</v>
      </c>
      <c r="CI737" s="708">
        <f>WWWW[[#This Row],[%equitable and continuous access to sufficient quantity of safe drinking and domestic water''s GAP]]*WWWW[[#This Row],[Total PoP ]]</f>
        <v>0</v>
      </c>
      <c r="CJ737" s="712">
        <f>IF(WWWW[[#This Row],[Total required water points]]-WWWW[[#This Row],['#Water points coverage]]&lt;0,0,WWWW[[#This Row],[Total required water points]]-WWWW[[#This Row],['#Water points coverage]])</f>
        <v>0.77200000000000002</v>
      </c>
      <c r="CK737" s="712">
        <f>ROUND(IF(WWWW[[#This Row],[Total PoP ]]&lt;500,1,WWWW[[#This Row],[Total PoP ]]/500),0)</f>
        <v>1</v>
      </c>
      <c r="CL737" s="712">
        <f>(WWWW[[#This Row],['#_Constructed latrines_by_WASHAgencies]]+WWWW[[#This Row],['#_Non Cluster partner latrines]])-WWWW[[#This Row],['#_Non-functional latrines]]</f>
        <v>4</v>
      </c>
      <c r="CM73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0.70175438596491224</v>
      </c>
      <c r="CN73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80</v>
      </c>
      <c r="CO73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7" s="712">
        <f>IF(WWWW[[#This Row],[Location Type 1]]="Village","NA",IF(WWWW[[#This Row],['#_Constructed/Existing latrines in TLS]]*50&gt;WWWW[[#This Row],['#_students at TLS_CFS]],WWWW[[#This Row],['#_students at TLS_CFS]],(WWWW[[#This Row],['#_Constructed/Existing latrines in TLS]]*50)))</f>
        <v>0</v>
      </c>
      <c r="CQ737" s="712">
        <f>ROUND(IF(WWWW[[#This Row],[Location Type 1]]="camp",WWWW[[#This Row],[Total PoP ]]/20,IF(WWWW[[#This Row],[Location Type 1]]="Temporary Location",WWWW[[#This Row],[Total PoP ]]/50,(WWWW[[#This Row],[Total PoP ]]/6))),0)</f>
        <v>6</v>
      </c>
      <c r="CR737" s="712">
        <f>IF(WWWW[[#This Row],[Total required Latrines]]-(WWWW[[#This Row],['#_Constructed latrines_by_WASHAgencies]]+WWWW[[#This Row],['#_Non Cluster partner latrines]])&lt;0,0,WWWW[[#This Row],[Total required Latrines]]-(WWWW[[#This Row],['#_Constructed latrines_by_WASHAgencies]]+WWWW[[#This Row],['#_Non Cluster partner latrines]]))</f>
        <v>0</v>
      </c>
      <c r="CS737" s="714">
        <f>1-WWWW[[#This Row],[% people access to functioning Latrine]]</f>
        <v>0.29824561403508776</v>
      </c>
      <c r="CT737" s="713">
        <f>IF(OR(WWWW[[#This Row],['#_Non-functional latrines]]="",WWWW[[#This Row],['#_Non-functional latrines]]=0),0,WWWW[[#This Row],['#_Non-functional latrines]]/(WWWW[[#This Row],['#_Constructed latrines_by_WASHAgencies]]+WWWW[[#This Row],['#_Non Cluster partner latrines]]))</f>
        <v>0.5</v>
      </c>
      <c r="CU737" s="708">
        <f>IF(500*(WWWW[[#This Row],['#_male hygiene promoters]]+WWWW[[#This Row],['#_female hygiene promoters]])&gt;WWWW[[#This Row],[Total PoP ]],WWWW[[#This Row],[Total PoP ]],500*(WWWW[[#This Row],['#_male hygiene promoters]]+WWWW[[#This Row],['#_female hygiene promoters]]))</f>
        <v>114</v>
      </c>
      <c r="CV73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114</v>
      </c>
      <c r="CW73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114</v>
      </c>
      <c r="CX737" s="712">
        <f>IF(WWWW[[#This Row],['# People with access to soap]]&gt;WWWW[[#This Row],['# People with access to Sanity Pads]],WWWW[[#This Row],['# People with access to soap]],WWWW[[#This Row],['# People with access to Sanity Pads]])</f>
        <v>114</v>
      </c>
      <c r="CY737" s="712">
        <f>IF(WWWW[[#This Row],['# people reached by regular dedicated hygiene promotion_5]]&gt;WWWW[[#This Row],['# People received regular supply of hygiene items_6]],WWWW[[#This Row],['# people reached by regular dedicated hygiene promotion_5]],WWWW[[#This Row],['# People received regular supply of hygiene items_6]])</f>
        <v>114</v>
      </c>
      <c r="CZ737" s="714">
        <f>IF(WWWW[[#This Row],[HRP3]]/WWWW[[#This Row],[Total PoP ]]&gt;100%,100%,WWWW[[#This Row],[HRP3]]/WWWW[[#This Row],[Total PoP ]])</f>
        <v>1</v>
      </c>
      <c r="DA737" s="713">
        <f>1-WWWW[[#This Row],[Hygiene Coverage%]]</f>
        <v>0</v>
      </c>
      <c r="DB737" s="710">
        <f>WWWW[[#This Row],['# people reached by regular dedicated hygiene promotion_5]]/WWWW[[#This Row],[Total PoP ]]</f>
        <v>1</v>
      </c>
      <c r="DC737" s="710">
        <f>IF(WWWW[[#This Row],['#_households that received standard amount of soap for this quarter]]/WWWW[[#This Row],[Total HH]]&gt;1,1,WWWW[[#This Row],['#_households that received standard amount of soap for this quarter]]/WWWW[[#This Row],[Total HH]])</f>
        <v>1</v>
      </c>
      <c r="DD737" s="710">
        <f>IF(WWWW[[#This Row],['#_households that received standard amount of sanitary pads for this quarter]]/WWWW[[#This Row],[Total HH]]&gt;1,1,WWWW[[#This Row],['#_households that received standard amount of sanitary pads for this quarter]]/WWWW[[#This Row],[Total HH]])</f>
        <v>0.97058823529411764</v>
      </c>
      <c r="DE737" s="712">
        <f>WWWW[[#This Row],['#_Constructed/Existing hand washing stations]]-WWWW[[#This Row],['#_Non-Functional_hand_washing_stations]]</f>
        <v>4</v>
      </c>
      <c r="DF737" s="757">
        <f>IF(WWWW[[#This Row],['# Functional hand washing stations during reporting period]]*20&gt;WWWW[[#This Row],[Total HH]],WWWW[[#This Row],[Total HH]],WWWW[[#This Row],['# Functional hand washing stations during reporting period]]*20)</f>
        <v>34</v>
      </c>
      <c r="DG737" s="708">
        <f>IF(WWWW[[#This Row],[Is sufficient soap available for TLS? (Yes/No)]]="yes",WWWW[[#This Row],['#_Constructed/Existing hand washing stations at TLS]],0)</f>
        <v>0</v>
      </c>
      <c r="DH737" s="759">
        <f>IF(WWWW[[#This Row],['# Functional hand washing stations during reporting period]]*100&gt;WWWW[[#This Row],[Total PoP ]],WWWW[[#This Row],[Total PoP ]],WWWW[[#This Row],['# Functional hand washing stations during reporting period]]*100)</f>
        <v>114</v>
      </c>
      <c r="DI737" s="759" t="str">
        <f>IF(OR(WWWW[[#This Row],['#_students at TLS_CFS]]="",WWWW[[#This Row],['#_students at TLS_CFS]]=0),"No","Yes")</f>
        <v>Yes</v>
      </c>
      <c r="DJ737" s="711" t="str">
        <f>VLOOKUP(WWWW[[#This Row],[Site Name]],SiteDB6[[Site Name]:[CCCM Management]],6,FALSE)</f>
        <v>Yes</v>
      </c>
      <c r="DK737" s="711" t="str">
        <f>VLOOKUP(WWWW[[#This Row],[Site Name]],SiteDB6[[Site Name]:[CCCM Focal Agency]],7,FALSE)</f>
        <v>KMSS-LSO</v>
      </c>
      <c r="DL737" s="711" t="str">
        <f>VLOOKUP(WWWW[[#This Row],[Site Name]],SiteDB6[[Site Name]:[Location Type 1]],9,FALSE)</f>
        <v>Camp</v>
      </c>
      <c r="DM737" s="711" t="str">
        <f>VLOOKUP(WWWW[[#This Row],[Site Name]],SiteDB6[[Site Name]:[Type of Accommodation]],10,FALSE)</f>
        <v>Camp</v>
      </c>
      <c r="DN737" s="711" t="str">
        <f>VLOOKUP(WWWW[[#This Row],[Site Name]],SiteDB6[[Site Name]:[Ethnic or GCA/NGCA]],11,FALSE)</f>
        <v>GCA</v>
      </c>
      <c r="DO737" s="711">
        <f>VLOOKUP(WWWW[[#This Row],[Site Name]],SiteDB6[[Site Name]:[Lat]],12,FALSE)</f>
        <v>23.682887999999998</v>
      </c>
      <c r="DP737" s="711">
        <f>VLOOKUP(WWWW[[#This Row],[Site Name]],SiteDB6[[Site Name]:[Long]],13,FALSE)</f>
        <v>97.810101000000003</v>
      </c>
      <c r="DQ737" s="711" t="str">
        <f>VLOOKUP(WWWW[[#This Row],[Site Name]],SiteDB6[[Site Name]:[Pcode]],3,FALSE)</f>
        <v>MMR015CMP225</v>
      </c>
      <c r="DR737" s="709" t="str">
        <f t="shared" si="27"/>
        <v>Covered</v>
      </c>
      <c r="DS737" s="709"/>
    </row>
    <row r="738" spans="1:123">
      <c r="A738" s="701" t="s">
        <v>2519</v>
      </c>
      <c r="B738" s="584" t="s">
        <v>200</v>
      </c>
      <c r="C738" s="584" t="s">
        <v>200</v>
      </c>
      <c r="D738" s="702" t="s">
        <v>249</v>
      </c>
      <c r="E738" s="702" t="s">
        <v>716</v>
      </c>
      <c r="F738" s="702" t="s">
        <v>735</v>
      </c>
      <c r="G738" s="711" t="str">
        <f>VLOOKUP(WWWW[[#This Row],[Site Name]],SiteDB6[[Site Name]:[Location Type]],8,FALSE)</f>
        <v>Camp</v>
      </c>
      <c r="H738" s="702" t="s">
        <v>736</v>
      </c>
      <c r="I738" s="705">
        <v>34</v>
      </c>
      <c r="J738" s="705">
        <v>182</v>
      </c>
      <c r="K738" s="553">
        <v>43497</v>
      </c>
      <c r="L738" s="755">
        <v>43861</v>
      </c>
      <c r="M738" s="705">
        <v>49</v>
      </c>
      <c r="N738" s="705"/>
      <c r="O738" s="705"/>
      <c r="P738" s="705"/>
      <c r="Q738" s="708" t="s">
        <v>43</v>
      </c>
      <c r="R738" s="705"/>
      <c r="S738" s="705"/>
      <c r="T738" s="807">
        <v>4</v>
      </c>
      <c r="U738" s="705"/>
      <c r="V738" s="705"/>
      <c r="W738" s="705">
        <v>1</v>
      </c>
      <c r="X738" s="705"/>
      <c r="Y738" s="705"/>
      <c r="Z738" s="705"/>
      <c r="AA738" s="705"/>
      <c r="AB738" s="705"/>
      <c r="AC738" s="705"/>
      <c r="AD738" s="705"/>
      <c r="AE738" s="705"/>
      <c r="AF738" s="705"/>
      <c r="AG738" s="705"/>
      <c r="AH738" s="705"/>
      <c r="AI738" s="705"/>
      <c r="AJ738" s="705"/>
      <c r="AK738" s="705"/>
      <c r="AL738" s="705"/>
      <c r="AM738" s="705"/>
      <c r="AN738" s="705"/>
      <c r="AO738" s="705"/>
      <c r="AP738" s="705"/>
      <c r="AQ738" s="705">
        <v>10</v>
      </c>
      <c r="AR738" s="710"/>
      <c r="AS738" s="705">
        <v>2</v>
      </c>
      <c r="AT738" s="705"/>
      <c r="AU738" s="705"/>
      <c r="AV738" s="705"/>
      <c r="AW738" s="705"/>
      <c r="AX738" s="711" t="s">
        <v>43</v>
      </c>
      <c r="AY738" s="709" t="s">
        <v>145</v>
      </c>
      <c r="AZ738" s="705"/>
      <c r="BA738" s="705"/>
      <c r="BB738" s="705"/>
      <c r="BC738" s="711"/>
      <c r="BD738" s="705"/>
      <c r="BE738" s="705"/>
      <c r="BF738" s="705"/>
      <c r="BG738" s="705">
        <v>2</v>
      </c>
      <c r="BH738" s="705"/>
      <c r="BI738" s="705"/>
      <c r="BJ738" s="705">
        <v>1</v>
      </c>
      <c r="BK738" s="705">
        <v>34</v>
      </c>
      <c r="BL738" s="705">
        <v>34</v>
      </c>
      <c r="BM738" s="711" t="s">
        <v>144</v>
      </c>
      <c r="BN738" s="712"/>
      <c r="BO738" s="710"/>
      <c r="BP738" s="711"/>
      <c r="BQ738" s="713" t="str">
        <f>IFERROR(WWWW[[#This Row],['#_Water sources treated]]/WWWW[[#This Row],['#_Water sources tested for contamination]],"no test")</f>
        <v>no test</v>
      </c>
      <c r="BR738" s="710" t="str">
        <f>IFERROR(WWWW[[#This Row],['#_Household received remediation action due to contamination]]/WWWW[[#This Row],['#_Household water samples tested for contamination]],"no test")</f>
        <v>no test</v>
      </c>
      <c r="BS738" s="712" t="str">
        <f>IF(AND(WWWW[[#This Row],[% of water sources treated]]="no test",WWWW[[#This Row],[% Household received corrective actions]]="no test"),"No Test","Tested")</f>
        <v>No Test</v>
      </c>
      <c r="BT738" s="712">
        <f>WWWW[[#This Row],['#_Constructed/existing protected hand dug well]]-WWWW[[#This Row],['#_Non-functional protected hand dug well]]</f>
        <v>4</v>
      </c>
      <c r="BU738" s="712">
        <f>(WWWW[[#This Row],['#_Constructed/Existing tube wells/boreholes/handpumps_WASH_agency]]+WWWW[[#This Row],['#_Non-Cluster partner water tube-wells/boreholes/handpumps]])-WWWW[[#This Row],['#_Non-functional tube wells/boreholes/handpumps]]</f>
        <v>1</v>
      </c>
      <c r="BV738" s="712">
        <f>WWWW[[#This Row],['#_Constructed/Existingwater storage tank with gravity fed reticulation system]]-WWWW[[#This Row],['#_Non-functional storage tank gravity fed reticulation system]]</f>
        <v>0</v>
      </c>
      <c r="BW738" s="712">
        <f>WWWW[[#This Row],['#_Water boating or water trucking]]</f>
        <v>0</v>
      </c>
      <c r="BX738" s="712">
        <f>WWWW[[#This Row],['#_Constructed/Existing water distribution system from river or natural spring]]</f>
        <v>0</v>
      </c>
      <c r="BY738"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8"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8" s="710">
        <f>IF(WWWW[[#This Row],[Location Type 1]]="Village",WWWW[[#This Row],[Access to safe drinking water for Village]],WWWW[[#This Row],[Access to safe drinking water for Camp]])</f>
        <v>1</v>
      </c>
      <c r="CB738" s="708">
        <f>WWWW[[#This Row],[%Equitable and continuous access to sufficient quantity of safe drinking water]]*WWWW[[#This Row],[Total PoP ]]</f>
        <v>182</v>
      </c>
      <c r="CC738" s="710">
        <f>IF((WWWW[[#This Row],['#_Constructed/Existing protected/fenced ponds]]*250)/WWWW[[#This Row],[Total PoP ]]&gt;1,1,(WWWW[[#This Row],['#_Constructed/Existing protected/fenced ponds]]*250)/WWWW[[#This Row],[Total PoP ]])</f>
        <v>0</v>
      </c>
      <c r="CD738" s="708">
        <f>WWWW[[#This Row],[% Access to unimproved water points]]*WWWW[[#This Row],[Total PoP ]]</f>
        <v>0</v>
      </c>
      <c r="CE738"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8"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G738" s="708">
        <f>WWWW[[#This Row],[HRP1]]/500</f>
        <v>0.36399999999999999</v>
      </c>
      <c r="CH738" s="714">
        <f>1-WWWW[[#This Row],[% Equitable and continuous access to sufficient quantity of domestic water]]</f>
        <v>0</v>
      </c>
      <c r="CI738" s="708">
        <f>WWWW[[#This Row],[%equitable and continuous access to sufficient quantity of safe drinking and domestic water''s GAP]]*WWWW[[#This Row],[Total PoP ]]</f>
        <v>0</v>
      </c>
      <c r="CJ738" s="712">
        <f>IF(WWWW[[#This Row],[Total required water points]]-WWWW[[#This Row],['#Water points coverage]]&lt;0,0,WWWW[[#This Row],[Total required water points]]-WWWW[[#This Row],['#Water points coverage]])</f>
        <v>0.63600000000000001</v>
      </c>
      <c r="CK738" s="712">
        <f>ROUND(IF(WWWW[[#This Row],[Total PoP ]]&lt;500,1,WWWW[[#This Row],[Total PoP ]]/500),0)</f>
        <v>1</v>
      </c>
      <c r="CL738" s="712">
        <f>(WWWW[[#This Row],['#_Constructed latrines_by_WASHAgencies]]+WWWW[[#This Row],['#_Non Cluster partner latrines]])-WWWW[[#This Row],['#_Non-functional latrines]]</f>
        <v>8</v>
      </c>
      <c r="CM738"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0.87912087912087911</v>
      </c>
      <c r="CN738"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738"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8" s="712">
        <f>IF(WWWW[[#This Row],[Location Type 1]]="Village","NA",IF(WWWW[[#This Row],['#_Constructed/Existing latrines in TLS]]*50&gt;WWWW[[#This Row],['#_students at TLS_CFS]],WWWW[[#This Row],['#_students at TLS_CFS]],(WWWW[[#This Row],['#_Constructed/Existing latrines in TLS]]*50)))</f>
        <v>0</v>
      </c>
      <c r="CQ738" s="712">
        <f>ROUND(IF(WWWW[[#This Row],[Location Type 1]]="camp",WWWW[[#This Row],[Total PoP ]]/20,IF(WWWW[[#This Row],[Location Type 1]]="Temporary Location",WWWW[[#This Row],[Total PoP ]]/50,(WWWW[[#This Row],[Total PoP ]]/6))),0)</f>
        <v>9</v>
      </c>
      <c r="CR738" s="712">
        <f>IF(WWWW[[#This Row],[Total required Latrines]]-(WWWW[[#This Row],['#_Constructed latrines_by_WASHAgencies]]+WWWW[[#This Row],['#_Non Cluster partner latrines]])&lt;0,0,WWWW[[#This Row],[Total required Latrines]]-(WWWW[[#This Row],['#_Constructed latrines_by_WASHAgencies]]+WWWW[[#This Row],['#_Non Cluster partner latrines]]))</f>
        <v>0</v>
      </c>
      <c r="CS738" s="714">
        <f>1-WWWW[[#This Row],[% people access to functioning Latrine]]</f>
        <v>0.12087912087912089</v>
      </c>
      <c r="CT738" s="713">
        <f>IF(OR(WWWW[[#This Row],['#_Non-functional latrines]]="",WWWW[[#This Row],['#_Non-functional latrines]]=0),0,WWWW[[#This Row],['#_Non-functional latrines]]/(WWWW[[#This Row],['#_Constructed latrines_by_WASHAgencies]]+WWWW[[#This Row],['#_Non Cluster partner latrines]]))</f>
        <v>0.2</v>
      </c>
      <c r="CU738" s="708">
        <f>IF(500*(WWWW[[#This Row],['#_male hygiene promoters]]+WWWW[[#This Row],['#_female hygiene promoters]])&gt;WWWW[[#This Row],[Total PoP ]],WWWW[[#This Row],[Total PoP ]],500*(WWWW[[#This Row],['#_male hygiene promoters]]+WWWW[[#This Row],['#_female hygiene promoters]]))</f>
        <v>182</v>
      </c>
      <c r="CV738"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182</v>
      </c>
      <c r="CW738"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182</v>
      </c>
      <c r="CX738" s="712">
        <f>IF(WWWW[[#This Row],['# People with access to soap]]&gt;WWWW[[#This Row],['# People with access to Sanity Pads]],WWWW[[#This Row],['# People with access to soap]],WWWW[[#This Row],['# People with access to Sanity Pads]])</f>
        <v>182</v>
      </c>
      <c r="CY738" s="712">
        <f>IF(WWWW[[#This Row],['# people reached by regular dedicated hygiene promotion_5]]&gt;WWWW[[#This Row],['# People received regular supply of hygiene items_6]],WWWW[[#This Row],['# people reached by regular dedicated hygiene promotion_5]],WWWW[[#This Row],['# People received regular supply of hygiene items_6]])</f>
        <v>182</v>
      </c>
      <c r="CZ738" s="714">
        <f>IF(WWWW[[#This Row],[HRP3]]/WWWW[[#This Row],[Total PoP ]]&gt;100%,100%,WWWW[[#This Row],[HRP3]]/WWWW[[#This Row],[Total PoP ]])</f>
        <v>1</v>
      </c>
      <c r="DA738" s="713">
        <f>1-WWWW[[#This Row],[Hygiene Coverage%]]</f>
        <v>0</v>
      </c>
      <c r="DB738" s="710">
        <f>WWWW[[#This Row],['# people reached by regular dedicated hygiene promotion_5]]/WWWW[[#This Row],[Total PoP ]]</f>
        <v>1</v>
      </c>
      <c r="DC738" s="710">
        <f>IF(WWWW[[#This Row],['#_households that received standard amount of soap for this quarter]]/WWWW[[#This Row],[Total HH]]&gt;1,1,WWWW[[#This Row],['#_households that received standard amount of soap for this quarter]]/WWWW[[#This Row],[Total HH]])</f>
        <v>1</v>
      </c>
      <c r="DD738" s="710">
        <f>IF(WWWW[[#This Row],['#_households that received standard amount of sanitary pads for this quarter]]/WWWW[[#This Row],[Total HH]]&gt;1,1,WWWW[[#This Row],['#_households that received standard amount of sanitary pads for this quarter]]/WWWW[[#This Row],[Total HH]])</f>
        <v>1</v>
      </c>
      <c r="DE738" s="712">
        <f>WWWW[[#This Row],['#_Constructed/Existing hand washing stations]]-WWWW[[#This Row],['#_Non-Functional_hand_washing_stations]]</f>
        <v>0</v>
      </c>
      <c r="DF738" s="757">
        <f>IF(WWWW[[#This Row],['# Functional hand washing stations during reporting period]]*20&gt;WWWW[[#This Row],[Total HH]],WWWW[[#This Row],[Total HH]],WWWW[[#This Row],['# Functional hand washing stations during reporting period]]*20)</f>
        <v>0</v>
      </c>
      <c r="DG738" s="708">
        <f>IF(WWWW[[#This Row],[Is sufficient soap available for TLS? (Yes/No)]]="yes",WWWW[[#This Row],['#_Constructed/Existing hand washing stations at TLS]],0)</f>
        <v>0</v>
      </c>
      <c r="DH738" s="759">
        <f>IF(WWWW[[#This Row],['# Functional hand washing stations during reporting period]]*100&gt;WWWW[[#This Row],[Total PoP ]],WWWW[[#This Row],[Total PoP ]],WWWW[[#This Row],['# Functional hand washing stations during reporting period]]*100)</f>
        <v>0</v>
      </c>
      <c r="DI738" s="759" t="str">
        <f>IF(OR(WWWW[[#This Row],['#_students at TLS_CFS]]="",WWWW[[#This Row],['#_students at TLS_CFS]]=0),"No","Yes")</f>
        <v>Yes</v>
      </c>
      <c r="DJ738" s="711" t="str">
        <f>VLOOKUP(WWWW[[#This Row],[Site Name]],SiteDB6[[Site Name]:[CCCM Management]],6,FALSE)</f>
        <v>Yes</v>
      </c>
      <c r="DK738" s="711" t="str">
        <f>VLOOKUP(WWWW[[#This Row],[Site Name]],SiteDB6[[Site Name]:[CCCM Focal Agency]],7,FALSE)</f>
        <v>KBC-NSS</v>
      </c>
      <c r="DL738" s="711" t="str">
        <f>VLOOKUP(WWWW[[#This Row],[Site Name]],SiteDB6[[Site Name]:[Location Type 1]],9,FALSE)</f>
        <v>Camp</v>
      </c>
      <c r="DM738" s="711" t="str">
        <f>VLOOKUP(WWWW[[#This Row],[Site Name]],SiteDB6[[Site Name]:[Type of Accommodation]],10,FALSE)</f>
        <v>Camp</v>
      </c>
      <c r="DN738" s="711" t="str">
        <f>VLOOKUP(WWWW[[#This Row],[Site Name]],SiteDB6[[Site Name]:[Ethnic or GCA/NGCA]],11,FALSE)</f>
        <v>GCA</v>
      </c>
      <c r="DO738" s="711">
        <f>VLOOKUP(WWWW[[#This Row],[Site Name]],SiteDB6[[Site Name]:[Lat]],12,FALSE)</f>
        <v>23.354268999999999</v>
      </c>
      <c r="DP738" s="711">
        <f>VLOOKUP(WWWW[[#This Row],[Site Name]],SiteDB6[[Site Name]:[Long]],13,FALSE)</f>
        <v>98.218626999999998</v>
      </c>
      <c r="DQ738" s="711" t="str">
        <f>VLOOKUP(WWWW[[#This Row],[Site Name]],SiteDB6[[Site Name]:[Pcode]],3,FALSE)</f>
        <v>MMR015CMP218</v>
      </c>
      <c r="DR738" s="709" t="str">
        <f t="shared" si="27"/>
        <v>Covered</v>
      </c>
      <c r="DS738" s="709"/>
    </row>
    <row r="739" spans="1:123" ht="20.25">
      <c r="A739" s="701" t="s">
        <v>2519</v>
      </c>
      <c r="B739" s="808" t="s">
        <v>1957</v>
      </c>
      <c r="C739" s="808" t="s">
        <v>1957</v>
      </c>
      <c r="D739" s="584" t="s">
        <v>3312</v>
      </c>
      <c r="E739" s="702" t="s">
        <v>716</v>
      </c>
      <c r="F739" s="702" t="s">
        <v>737</v>
      </c>
      <c r="G739" s="711" t="str">
        <f>VLOOKUP(WWWW[[#This Row],[Site Name]],SiteDB6[[Site Name]:[Location Type]],8,FALSE)</f>
        <v>Camp</v>
      </c>
      <c r="H739" s="702" t="s">
        <v>748</v>
      </c>
      <c r="I739" s="705">
        <v>38</v>
      </c>
      <c r="J739" s="705">
        <v>161</v>
      </c>
      <c r="K739" s="593" t="s">
        <v>3305</v>
      </c>
      <c r="L739" s="58" t="s">
        <v>3313</v>
      </c>
      <c r="M739" s="705">
        <v>58</v>
      </c>
      <c r="N739" s="705"/>
      <c r="O739" s="705"/>
      <c r="P739" s="705"/>
      <c r="Q739" s="708" t="s">
        <v>43</v>
      </c>
      <c r="R739" s="705">
        <v>3</v>
      </c>
      <c r="S739" s="705">
        <v>3</v>
      </c>
      <c r="T739" s="807"/>
      <c r="U739" s="705"/>
      <c r="V739" s="705"/>
      <c r="W739" s="705"/>
      <c r="X739" s="705"/>
      <c r="Y739" s="705"/>
      <c r="Z739" s="705"/>
      <c r="AA739" s="705">
        <v>15</v>
      </c>
      <c r="AB739" s="705"/>
      <c r="AC739" s="705"/>
      <c r="AD739" s="705"/>
      <c r="AE739" s="705"/>
      <c r="AF739" s="705">
        <v>1</v>
      </c>
      <c r="AG739" s="705">
        <v>1</v>
      </c>
      <c r="AH739" s="705"/>
      <c r="AI739" s="705">
        <v>1</v>
      </c>
      <c r="AJ739" s="705"/>
      <c r="AK739" s="705">
        <v>15</v>
      </c>
      <c r="AL739" s="705"/>
      <c r="AM739" s="705"/>
      <c r="AN739" s="705"/>
      <c r="AO739" s="705"/>
      <c r="AP739" s="705">
        <v>8</v>
      </c>
      <c r="AQ739" s="705"/>
      <c r="AR739" s="710"/>
      <c r="AS739" s="705"/>
      <c r="AT739" s="705"/>
      <c r="AU739" s="705"/>
      <c r="AV739" s="705"/>
      <c r="AW739" s="705"/>
      <c r="AX739" s="711" t="s">
        <v>43</v>
      </c>
      <c r="AY739" s="782" t="s">
        <v>145</v>
      </c>
      <c r="AZ739" s="705"/>
      <c r="BA739" s="705"/>
      <c r="BB739" s="705"/>
      <c r="BC739" s="591" t="s">
        <v>3314</v>
      </c>
      <c r="BD739" s="705">
        <v>3</v>
      </c>
      <c r="BE739" s="705">
        <v>1</v>
      </c>
      <c r="BF739" s="705"/>
      <c r="BG739" s="705">
        <v>2</v>
      </c>
      <c r="BH739" s="705"/>
      <c r="BI739" s="705"/>
      <c r="BJ739" s="705">
        <v>1</v>
      </c>
      <c r="BK739" s="705">
        <f>30+37</f>
        <v>67</v>
      </c>
      <c r="BL739" s="705">
        <v>37</v>
      </c>
      <c r="BM739" s="711"/>
      <c r="BN739" s="712">
        <v>47</v>
      </c>
      <c r="BO739" s="710">
        <v>0.5</v>
      </c>
      <c r="BP739" s="711"/>
      <c r="BQ739" s="713">
        <f>IFERROR(WWWW[[#This Row],['#_Water sources treated]]/WWWW[[#This Row],['#_Water sources tested for contamination]],"no test")</f>
        <v>0</v>
      </c>
      <c r="BR739" s="710">
        <f>IFERROR(WWWW[[#This Row],['#_Household received remediation action due to contamination]]/WWWW[[#This Row],['#_Household water samples tested for contamination]],"no test")</f>
        <v>0</v>
      </c>
      <c r="BS739" s="712" t="str">
        <f>IF(AND(WWWW[[#This Row],[% of water sources treated]]="no test",WWWW[[#This Row],[% Household received corrective actions]]="no test"),"No Test","Tested")</f>
        <v>Tested</v>
      </c>
      <c r="BT739" s="712">
        <f>WWWW[[#This Row],['#_Constructed/existing protected hand dug well]]-WWWW[[#This Row],['#_Non-functional protected hand dug well]]</f>
        <v>0</v>
      </c>
      <c r="BU739" s="712">
        <f>(WWWW[[#This Row],['#_Constructed/Existing tube wells/boreholes/handpumps_WASH_agency]]+WWWW[[#This Row],['#_Non-Cluster partner water tube-wells/boreholes/handpumps]])-WWWW[[#This Row],['#_Non-functional tube wells/boreholes/handpumps]]</f>
        <v>0</v>
      </c>
      <c r="BV739" s="712">
        <f>WWWW[[#This Row],['#_Constructed/Existingwater storage tank with gravity fed reticulation system]]-WWWW[[#This Row],['#_Non-functional storage tank gravity fed reticulation system]]</f>
        <v>15</v>
      </c>
      <c r="BW739" s="712">
        <f>WWWW[[#This Row],['#_Water boating or water trucking]]</f>
        <v>0</v>
      </c>
      <c r="BX739" s="712">
        <f>WWWW[[#This Row],['#_Constructed/Existing water distribution system from river or natural spring]]</f>
        <v>1</v>
      </c>
      <c r="BY739"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39"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39" s="710">
        <f>IF(WWWW[[#This Row],[Location Type 1]]="Village",WWWW[[#This Row],[Access to safe drinking water for Village]],WWWW[[#This Row],[Access to safe drinking water for Camp]])</f>
        <v>1</v>
      </c>
      <c r="CB739" s="708">
        <f>WWWW[[#This Row],[%Equitable and continuous access to sufficient quantity of safe drinking water]]*WWWW[[#This Row],[Total PoP ]]</f>
        <v>161</v>
      </c>
      <c r="CC739" s="710">
        <f>IF((WWWW[[#This Row],['#_Constructed/Existing protected/fenced ponds]]*250)/WWWW[[#This Row],[Total PoP ]]&gt;1,1,(WWWW[[#This Row],['#_Constructed/Existing protected/fenced ponds]]*250)/WWWW[[#This Row],[Total PoP ]])</f>
        <v>0</v>
      </c>
      <c r="CD739" s="708">
        <f>WWWW[[#This Row],[% Access to unimproved water points]]*WWWW[[#This Row],[Total PoP ]]</f>
        <v>0</v>
      </c>
      <c r="CE739"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39"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G739" s="708">
        <f>WWWW[[#This Row],[HRP1]]/500</f>
        <v>0.32200000000000001</v>
      </c>
      <c r="CH739" s="714">
        <f>1-WWWW[[#This Row],[% Equitable and continuous access to sufficient quantity of domestic water]]</f>
        <v>0</v>
      </c>
      <c r="CI739" s="708">
        <f>WWWW[[#This Row],[%equitable and continuous access to sufficient quantity of safe drinking and domestic water''s GAP]]*WWWW[[#This Row],[Total PoP ]]</f>
        <v>0</v>
      </c>
      <c r="CJ739" s="712">
        <f>IF(WWWW[[#This Row],[Total required water points]]-WWWW[[#This Row],['#Water points coverage]]&lt;0,0,WWWW[[#This Row],[Total required water points]]-WWWW[[#This Row],['#Water points coverage]])</f>
        <v>0.67799999999999994</v>
      </c>
      <c r="CK739" s="712">
        <f>ROUND(IF(WWWW[[#This Row],[Total PoP ]]&lt;500,1,WWWW[[#This Row],[Total PoP ]]/500),0)</f>
        <v>1</v>
      </c>
      <c r="CL739" s="712">
        <f>(WWWW[[#This Row],['#_Constructed latrines_by_WASHAgencies]]+WWWW[[#This Row],['#_Non Cluster partner latrines]])-WWWW[[#This Row],['#_Non-functional latrines]]</f>
        <v>8</v>
      </c>
      <c r="CM739"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0.99378881987577639</v>
      </c>
      <c r="CN739"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160</v>
      </c>
      <c r="CO739"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39" s="712">
        <f>IF(WWWW[[#This Row],[Location Type 1]]="Village","NA",IF(WWWW[[#This Row],['#_Constructed/Existing latrines in TLS]]*50&gt;WWWW[[#This Row],['#_students at TLS_CFS]],WWWW[[#This Row],['#_students at TLS_CFS]],(WWWW[[#This Row],['#_Constructed/Existing latrines in TLS]]*50)))</f>
        <v>0</v>
      </c>
      <c r="CQ739" s="712">
        <f>ROUND(IF(WWWW[[#This Row],[Location Type 1]]="camp",WWWW[[#This Row],[Total PoP ]]/20,IF(WWWW[[#This Row],[Location Type 1]]="Temporary Location",WWWW[[#This Row],[Total PoP ]]/50,(WWWW[[#This Row],[Total PoP ]]/6))),0)</f>
        <v>8</v>
      </c>
      <c r="CR739" s="712">
        <f>IF(WWWW[[#This Row],[Total required Latrines]]-(WWWW[[#This Row],['#_Constructed latrines_by_WASHAgencies]]+WWWW[[#This Row],['#_Non Cluster partner latrines]])&lt;0,0,WWWW[[#This Row],[Total required Latrines]]-(WWWW[[#This Row],['#_Constructed latrines_by_WASHAgencies]]+WWWW[[#This Row],['#_Non Cluster partner latrines]]))</f>
        <v>0</v>
      </c>
      <c r="CS739" s="714">
        <f>1-WWWW[[#This Row],[% people access to functioning Latrine]]</f>
        <v>6.2111801242236142E-3</v>
      </c>
      <c r="CT739" s="713">
        <f>IF(OR(WWWW[[#This Row],['#_Non-functional latrines]]="",WWWW[[#This Row],['#_Non-functional latrines]]=0),0,WWWW[[#This Row],['#_Non-functional latrines]]/(WWWW[[#This Row],['#_Constructed latrines_by_WASHAgencies]]+WWWW[[#This Row],['#_Non Cluster partner latrines]]))</f>
        <v>0</v>
      </c>
      <c r="CU739" s="708">
        <f>IF(500*(WWWW[[#This Row],['#_male hygiene promoters]]+WWWW[[#This Row],['#_female hygiene promoters]])&gt;WWWW[[#This Row],[Total PoP ]],WWWW[[#This Row],[Total PoP ]],500*(WWWW[[#This Row],['#_male hygiene promoters]]+WWWW[[#This Row],['#_female hygiene promoters]]))</f>
        <v>161</v>
      </c>
      <c r="CV739"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161</v>
      </c>
      <c r="CW739"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161</v>
      </c>
      <c r="CX739" s="712">
        <f>IF(WWWW[[#This Row],['# People with access to soap]]&gt;WWWW[[#This Row],['# People with access to Sanity Pads]],WWWW[[#This Row],['# People with access to soap]],WWWW[[#This Row],['# People with access to Sanity Pads]])</f>
        <v>161</v>
      </c>
      <c r="CY739" s="712">
        <f>IF(WWWW[[#This Row],['# people reached by regular dedicated hygiene promotion_5]]&gt;WWWW[[#This Row],['# People received regular supply of hygiene items_6]],WWWW[[#This Row],['# people reached by regular dedicated hygiene promotion_5]],WWWW[[#This Row],['# People received regular supply of hygiene items_6]])</f>
        <v>161</v>
      </c>
      <c r="CZ739" s="714">
        <f>IF(WWWW[[#This Row],[HRP3]]/WWWW[[#This Row],[Total PoP ]]&gt;100%,100%,WWWW[[#This Row],[HRP3]]/WWWW[[#This Row],[Total PoP ]])</f>
        <v>1</v>
      </c>
      <c r="DA739" s="713">
        <f>1-WWWW[[#This Row],[Hygiene Coverage%]]</f>
        <v>0</v>
      </c>
      <c r="DB739" s="710">
        <f>WWWW[[#This Row],['# people reached by regular dedicated hygiene promotion_5]]/WWWW[[#This Row],[Total PoP ]]</f>
        <v>1</v>
      </c>
      <c r="DC739" s="710">
        <f>IF(WWWW[[#This Row],['#_households that received standard amount of soap for this quarter]]/WWWW[[#This Row],[Total HH]]&gt;1,1,WWWW[[#This Row],['#_households that received standard amount of soap for this quarter]]/WWWW[[#This Row],[Total HH]])</f>
        <v>1</v>
      </c>
      <c r="DD739" s="710">
        <f>IF(WWWW[[#This Row],['#_households that received standard amount of sanitary pads for this quarter]]/WWWW[[#This Row],[Total HH]]&gt;1,1,WWWW[[#This Row],['#_households that received standard amount of sanitary pads for this quarter]]/WWWW[[#This Row],[Total HH]])</f>
        <v>0.97368421052631582</v>
      </c>
      <c r="DE739" s="712">
        <f>WWWW[[#This Row],['#_Constructed/Existing hand washing stations]]-WWWW[[#This Row],['#_Non-Functional_hand_washing_stations]]</f>
        <v>2</v>
      </c>
      <c r="DF739" s="757">
        <f>IF(WWWW[[#This Row],['# Functional hand washing stations during reporting period]]*20&gt;WWWW[[#This Row],[Total HH]],WWWW[[#This Row],[Total HH]],WWWW[[#This Row],['# Functional hand washing stations during reporting period]]*20)</f>
        <v>38</v>
      </c>
      <c r="DG739" s="708">
        <f>IF(WWWW[[#This Row],[Is sufficient soap available for TLS? (Yes/No)]]="yes",WWWW[[#This Row],['#_Constructed/Existing hand washing stations at TLS]],0)</f>
        <v>0</v>
      </c>
      <c r="DH739" s="759">
        <f>IF(WWWW[[#This Row],['# Functional hand washing stations during reporting period]]*100&gt;WWWW[[#This Row],[Total PoP ]],WWWW[[#This Row],[Total PoP ]],WWWW[[#This Row],['# Functional hand washing stations during reporting period]]*100)</f>
        <v>161</v>
      </c>
      <c r="DI739" s="759" t="str">
        <f>IF(OR(WWWW[[#This Row],['#_students at TLS_CFS]]="",WWWW[[#This Row],['#_students at TLS_CFS]]=0),"No","Yes")</f>
        <v>Yes</v>
      </c>
      <c r="DJ739" s="711" t="str">
        <f>VLOOKUP(WWWW[[#This Row],[Site Name]],SiteDB6[[Site Name]:[CCCM Management]],6,FALSE)</f>
        <v>Yes</v>
      </c>
      <c r="DK739" s="711" t="str">
        <f>VLOOKUP(WWWW[[#This Row],[Site Name]],SiteDB6[[Site Name]:[CCCM Focal Agency]],7,FALSE)</f>
        <v>KBC-NSS</v>
      </c>
      <c r="DL739" s="711" t="str">
        <f>VLOOKUP(WWWW[[#This Row],[Site Name]],SiteDB6[[Site Name]:[Location Type 1]],9,FALSE)</f>
        <v>Camp</v>
      </c>
      <c r="DM739" s="711" t="str">
        <f>VLOOKUP(WWWW[[#This Row],[Site Name]],SiteDB6[[Site Name]:[Type of Accommodation]],10,FALSE)</f>
        <v>Camp</v>
      </c>
      <c r="DN739" s="711" t="str">
        <f>VLOOKUP(WWWW[[#This Row],[Site Name]],SiteDB6[[Site Name]:[Ethnic or GCA/NGCA]],11,FALSE)</f>
        <v>GCA</v>
      </c>
      <c r="DO739" s="711">
        <f>VLOOKUP(WWWW[[#This Row],[Site Name]],SiteDB6[[Site Name]:[Lat]],12,FALSE)</f>
        <v>23.094290000000001</v>
      </c>
      <c r="DP739" s="711">
        <f>VLOOKUP(WWWW[[#This Row],[Site Name]],SiteDB6[[Site Name]:[Long]],13,FALSE)</f>
        <v>97.404089999999997</v>
      </c>
      <c r="DQ739" s="711" t="str">
        <f>VLOOKUP(WWWW[[#This Row],[Site Name]],SiteDB6[[Site Name]:[Pcode]],3,FALSE)</f>
        <v>MMR015CMP014</v>
      </c>
      <c r="DR739" s="709" t="str">
        <f t="shared" si="27"/>
        <v>Covered</v>
      </c>
      <c r="DS739" s="709"/>
    </row>
    <row r="740" spans="1:123">
      <c r="A740" s="701" t="s">
        <v>2519</v>
      </c>
      <c r="B740" s="701" t="s">
        <v>200</v>
      </c>
      <c r="C740" s="702" t="s">
        <v>200</v>
      </c>
      <c r="D740" s="744" t="s">
        <v>249</v>
      </c>
      <c r="E740" s="702" t="s">
        <v>716</v>
      </c>
      <c r="F740" s="702" t="s">
        <v>717</v>
      </c>
      <c r="G740" s="711" t="str">
        <f>VLOOKUP(WWWW[[#This Row],[Site Name]],SiteDB6[[Site Name]:[Location Type]],8,FALSE)</f>
        <v>Camp</v>
      </c>
      <c r="H740" s="702" t="s">
        <v>754</v>
      </c>
      <c r="I740" s="705">
        <v>111</v>
      </c>
      <c r="J740" s="705">
        <v>568</v>
      </c>
      <c r="K740" s="706">
        <v>43497</v>
      </c>
      <c r="L740" s="707">
        <v>43861</v>
      </c>
      <c r="M740" s="705">
        <v>153</v>
      </c>
      <c r="N740" s="705"/>
      <c r="O740" s="705"/>
      <c r="P740" s="705"/>
      <c r="Q740" s="708"/>
      <c r="R740" s="705"/>
      <c r="S740" s="705"/>
      <c r="T740" s="807"/>
      <c r="U740" s="705"/>
      <c r="V740" s="705"/>
      <c r="W740" s="705"/>
      <c r="X740" s="705"/>
      <c r="Y740" s="705"/>
      <c r="Z740" s="705"/>
      <c r="AA740" s="705">
        <v>1</v>
      </c>
      <c r="AB740" s="705"/>
      <c r="AC740" s="705"/>
      <c r="AD740" s="705"/>
      <c r="AE740" s="705"/>
      <c r="AF740" s="705"/>
      <c r="AG740" s="705"/>
      <c r="AH740" s="705"/>
      <c r="AI740" s="705"/>
      <c r="AJ740" s="705"/>
      <c r="AK740" s="705"/>
      <c r="AL740" s="705"/>
      <c r="AM740" s="705"/>
      <c r="AN740" s="705"/>
      <c r="AO740" s="705"/>
      <c r="AP740" s="705"/>
      <c r="AQ740" s="705">
        <v>16</v>
      </c>
      <c r="AR740" s="710"/>
      <c r="AS740" s="705"/>
      <c r="AT740" s="705"/>
      <c r="AU740" s="705"/>
      <c r="AV740" s="705"/>
      <c r="AW740" s="705"/>
      <c r="AX740" s="752" t="s">
        <v>148</v>
      </c>
      <c r="AY740" s="782" t="s">
        <v>148</v>
      </c>
      <c r="AZ740" s="705"/>
      <c r="BA740" s="705"/>
      <c r="BB740" s="705"/>
      <c r="BC740" s="711"/>
      <c r="BD740" s="705"/>
      <c r="BE740" s="705"/>
      <c r="BF740" s="705"/>
      <c r="BG740" s="705"/>
      <c r="BH740" s="705"/>
      <c r="BI740" s="705"/>
      <c r="BJ740" s="705"/>
      <c r="BK740" s="705">
        <v>111</v>
      </c>
      <c r="BL740" s="705">
        <v>111</v>
      </c>
      <c r="BM740" s="711"/>
      <c r="BN740" s="712"/>
      <c r="BO740" s="710"/>
      <c r="BP740" s="711"/>
      <c r="BQ740" s="713" t="str">
        <f>IFERROR(WWWW[[#This Row],['#_Water sources treated]]/WWWW[[#This Row],['#_Water sources tested for contamination]],"no test")</f>
        <v>no test</v>
      </c>
      <c r="BR740" s="710" t="str">
        <f>IFERROR(WWWW[[#This Row],['#_Household received remediation action due to contamination]]/WWWW[[#This Row],['#_Household water samples tested for contamination]],"no test")</f>
        <v>no test</v>
      </c>
      <c r="BS740" s="712" t="str">
        <f>IF(AND(WWWW[[#This Row],[% of water sources treated]]="no test",WWWW[[#This Row],[% Household received corrective actions]]="no test"),"No Test","Tested")</f>
        <v>No Test</v>
      </c>
      <c r="BT740" s="712">
        <f>WWWW[[#This Row],['#_Constructed/existing protected hand dug well]]-WWWW[[#This Row],['#_Non-functional protected hand dug well]]</f>
        <v>0</v>
      </c>
      <c r="BU740" s="712">
        <f>(WWWW[[#This Row],['#_Constructed/Existing tube wells/boreholes/handpumps_WASH_agency]]+WWWW[[#This Row],['#_Non-Cluster partner water tube-wells/boreholes/handpumps]])-WWWW[[#This Row],['#_Non-functional tube wells/boreholes/handpumps]]</f>
        <v>0</v>
      </c>
      <c r="BV740" s="712">
        <f>WWWW[[#This Row],['#_Constructed/Existingwater storage tank with gravity fed reticulation system]]-WWWW[[#This Row],['#_Non-functional storage tank gravity fed reticulation system]]</f>
        <v>1</v>
      </c>
      <c r="BW740" s="712">
        <f>WWWW[[#This Row],['#_Water boating or water trucking]]</f>
        <v>0</v>
      </c>
      <c r="BX740" s="712">
        <f>WWWW[[#This Row],['#_Constructed/Existing water distribution system from river or natural spring]]</f>
        <v>0</v>
      </c>
      <c r="BY740"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0.11737089201877936</v>
      </c>
      <c r="BZ740"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0.11737089201877936</v>
      </c>
      <c r="CA740" s="710">
        <f>IF(WWWW[[#This Row],[Location Type 1]]="Village",WWWW[[#This Row],[Access to safe drinking water for Village]],WWWW[[#This Row],[Access to safe drinking water for Camp]])</f>
        <v>0.11737089201877936</v>
      </c>
      <c r="CB740" s="708">
        <f>WWWW[[#This Row],[%Equitable and continuous access to sufficient quantity of safe drinking water]]*WWWW[[#This Row],[Total PoP ]]</f>
        <v>66.666666666666671</v>
      </c>
      <c r="CC740" s="710">
        <f>IF((WWWW[[#This Row],['#_Constructed/Existing protected/fenced ponds]]*250)/WWWW[[#This Row],[Total PoP ]]&gt;1,1,(WWWW[[#This Row],['#_Constructed/Existing protected/fenced ponds]]*250)/WWWW[[#This Row],[Total PoP ]])</f>
        <v>0</v>
      </c>
      <c r="CD740" s="708">
        <f>WWWW[[#This Row],[% Access to unimproved water points]]*WWWW[[#This Row],[Total PoP ]]</f>
        <v>0</v>
      </c>
      <c r="CE740"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0.11737089201877936</v>
      </c>
      <c r="CF740"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G740" s="708">
        <f>WWWW[[#This Row],[HRP1]]/500</f>
        <v>0.13333333333333333</v>
      </c>
      <c r="CH740" s="714">
        <f>1-WWWW[[#This Row],[% Equitable and continuous access to sufficient quantity of domestic water]]</f>
        <v>0.88262910798122063</v>
      </c>
      <c r="CI740" s="708">
        <f>WWWW[[#This Row],[%equitable and continuous access to sufficient quantity of safe drinking and domestic water''s GAP]]*WWWW[[#This Row],[Total PoP ]]</f>
        <v>501.33333333333331</v>
      </c>
      <c r="CJ740" s="712">
        <f>IF(WWWW[[#This Row],[Total required water points]]-WWWW[[#This Row],['#Water points coverage]]&lt;0,0,WWWW[[#This Row],[Total required water points]]-WWWW[[#This Row],['#Water points coverage]])</f>
        <v>0.8666666666666667</v>
      </c>
      <c r="CK740" s="712">
        <f>ROUND(IF(WWWW[[#This Row],[Total PoP ]]&lt;500,1,WWWW[[#This Row],[Total PoP ]]/500),0)</f>
        <v>1</v>
      </c>
      <c r="CL740" s="712">
        <f>(WWWW[[#This Row],['#_Constructed latrines_by_WASHAgencies]]+WWWW[[#This Row],['#_Non Cluster partner latrines]])-WWWW[[#This Row],['#_Non-functional latrines]]</f>
        <v>16</v>
      </c>
      <c r="CM740"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0.56338028169014087</v>
      </c>
      <c r="CN740"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320</v>
      </c>
      <c r="CO740"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0" s="712">
        <f>IF(WWWW[[#This Row],[Location Type 1]]="Village","NA",IF(WWWW[[#This Row],['#_Constructed/Existing latrines in TLS]]*50&gt;WWWW[[#This Row],['#_students at TLS_CFS]],WWWW[[#This Row],['#_students at TLS_CFS]],(WWWW[[#This Row],['#_Constructed/Existing latrines in TLS]]*50)))</f>
        <v>0</v>
      </c>
      <c r="CQ740" s="712">
        <f>ROUND(IF(WWWW[[#This Row],[Location Type 1]]="camp",WWWW[[#This Row],[Total PoP ]]/20,IF(WWWW[[#This Row],[Location Type 1]]="Temporary Location",WWWW[[#This Row],[Total PoP ]]/50,(WWWW[[#This Row],[Total PoP ]]/6))),0)</f>
        <v>28</v>
      </c>
      <c r="CR740" s="712">
        <f>IF(WWWW[[#This Row],[Total required Latrines]]-(WWWW[[#This Row],['#_Constructed latrines_by_WASHAgencies]]+WWWW[[#This Row],['#_Non Cluster partner latrines]])&lt;0,0,WWWW[[#This Row],[Total required Latrines]]-(WWWW[[#This Row],['#_Constructed latrines_by_WASHAgencies]]+WWWW[[#This Row],['#_Non Cluster partner latrines]]))</f>
        <v>12</v>
      </c>
      <c r="CS740" s="714">
        <f>1-WWWW[[#This Row],[% people access to functioning Latrine]]</f>
        <v>0.43661971830985913</v>
      </c>
      <c r="CT740" s="713">
        <f>IF(OR(WWWW[[#This Row],['#_Non-functional latrines]]="",WWWW[[#This Row],['#_Non-functional latrines]]=0),0,WWWW[[#This Row],['#_Non-functional latrines]]/(WWWW[[#This Row],['#_Constructed latrines_by_WASHAgencies]]+WWWW[[#This Row],['#_Non Cluster partner latrines]]))</f>
        <v>0</v>
      </c>
      <c r="CU740" s="708">
        <f>IF(500*(WWWW[[#This Row],['#_male hygiene promoters]]+WWWW[[#This Row],['#_female hygiene promoters]])&gt;WWWW[[#This Row],[Total PoP ]],WWWW[[#This Row],[Total PoP ]],500*(WWWW[[#This Row],['#_male hygiene promoters]]+WWWW[[#This Row],['#_female hygiene promoters]]))</f>
        <v>0</v>
      </c>
      <c r="CV740"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568</v>
      </c>
      <c r="CW740"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568</v>
      </c>
      <c r="CX740" s="712">
        <f>IF(WWWW[[#This Row],['# People with access to soap]]&gt;WWWW[[#This Row],['# People with access to Sanity Pads]],WWWW[[#This Row],['# People with access to soap]],WWWW[[#This Row],['# People with access to Sanity Pads]])</f>
        <v>568</v>
      </c>
      <c r="CY740" s="712">
        <f>IF(WWWW[[#This Row],['# people reached by regular dedicated hygiene promotion_5]]&gt;WWWW[[#This Row],['# People received regular supply of hygiene items_6]],WWWW[[#This Row],['# people reached by regular dedicated hygiene promotion_5]],WWWW[[#This Row],['# People received regular supply of hygiene items_6]])</f>
        <v>568</v>
      </c>
      <c r="CZ740" s="714">
        <f>IF(WWWW[[#This Row],[HRP3]]/WWWW[[#This Row],[Total PoP ]]&gt;100%,100%,WWWW[[#This Row],[HRP3]]/WWWW[[#This Row],[Total PoP ]])</f>
        <v>1</v>
      </c>
      <c r="DA740" s="713">
        <f>1-WWWW[[#This Row],[Hygiene Coverage%]]</f>
        <v>0</v>
      </c>
      <c r="DB740" s="710">
        <f>WWWW[[#This Row],['# people reached by regular dedicated hygiene promotion_5]]/WWWW[[#This Row],[Total PoP ]]</f>
        <v>0</v>
      </c>
      <c r="DC740" s="710">
        <f>IF(WWWW[[#This Row],['#_households that received standard amount of soap for this quarter]]/WWWW[[#This Row],[Total HH]]&gt;1,1,WWWW[[#This Row],['#_households that received standard amount of soap for this quarter]]/WWWW[[#This Row],[Total HH]])</f>
        <v>1</v>
      </c>
      <c r="DD740" s="710">
        <f>IF(WWWW[[#This Row],['#_households that received standard amount of sanitary pads for this quarter]]/WWWW[[#This Row],[Total HH]]&gt;1,1,WWWW[[#This Row],['#_households that received standard amount of sanitary pads for this quarter]]/WWWW[[#This Row],[Total HH]])</f>
        <v>1</v>
      </c>
      <c r="DE740" s="712">
        <f>WWWW[[#This Row],['#_Constructed/Existing hand washing stations]]-WWWW[[#This Row],['#_Non-Functional_hand_washing_stations]]</f>
        <v>0</v>
      </c>
      <c r="DF740" s="757">
        <f>IF(WWWW[[#This Row],['# Functional hand washing stations during reporting period]]*20&gt;WWWW[[#This Row],[Total HH]],WWWW[[#This Row],[Total HH]],WWWW[[#This Row],['# Functional hand washing stations during reporting period]]*20)</f>
        <v>0</v>
      </c>
      <c r="DG740" s="708">
        <f>IF(WWWW[[#This Row],[Is sufficient soap available for TLS? (Yes/No)]]="yes",WWWW[[#This Row],['#_Constructed/Existing hand washing stations at TLS]],0)</f>
        <v>0</v>
      </c>
      <c r="DH740" s="759">
        <f>IF(WWWW[[#This Row],['# Functional hand washing stations during reporting period]]*100&gt;WWWW[[#This Row],[Total PoP ]],WWWW[[#This Row],[Total PoP ]],WWWW[[#This Row],['# Functional hand washing stations during reporting period]]*100)</f>
        <v>0</v>
      </c>
      <c r="DI740" s="759" t="str">
        <f>IF(OR(WWWW[[#This Row],['#_students at TLS_CFS]]="",WWWW[[#This Row],['#_students at TLS_CFS]]=0),"No","Yes")</f>
        <v>Yes</v>
      </c>
      <c r="DJ740" s="711" t="str">
        <f>VLOOKUP(WWWW[[#This Row],[Site Name]],SiteDB6[[Site Name]:[CCCM Management]],6,FALSE)</f>
        <v>Yes</v>
      </c>
      <c r="DK740" s="711" t="str">
        <f>VLOOKUP(WWWW[[#This Row],[Site Name]],SiteDB6[[Site Name]:[CCCM Focal Agency]],7,FALSE)</f>
        <v>KBC-NSS</v>
      </c>
      <c r="DL740" s="711" t="str">
        <f>VLOOKUP(WWWW[[#This Row],[Site Name]],SiteDB6[[Site Name]:[Location Type 1]],9,FALSE)</f>
        <v>Camp</v>
      </c>
      <c r="DM740" s="711" t="str">
        <f>VLOOKUP(WWWW[[#This Row],[Site Name]],SiteDB6[[Site Name]:[Type of Accommodation]],10,FALSE)</f>
        <v>Camp</v>
      </c>
      <c r="DN740" s="711" t="str">
        <f>VLOOKUP(WWWW[[#This Row],[Site Name]],SiteDB6[[Site Name]:[Ethnic or GCA/NGCA]],11,FALSE)</f>
        <v>GCA</v>
      </c>
      <c r="DO740" s="711">
        <f>VLOOKUP(WWWW[[#This Row],[Site Name]],SiteDB6[[Site Name]:[Lat]],12,FALSE)</f>
        <v>23.838190000000001</v>
      </c>
      <c r="DP740" s="711">
        <f>VLOOKUP(WWWW[[#This Row],[Site Name]],SiteDB6[[Site Name]:[Long]],13,FALSE)</f>
        <v>97.709879999999998</v>
      </c>
      <c r="DQ740" s="711" t="str">
        <f>VLOOKUP(WWWW[[#This Row],[Site Name]],SiteDB6[[Site Name]:[Pcode]],3,FALSE)</f>
        <v>MMR015CMP215</v>
      </c>
      <c r="DR740" s="709" t="str">
        <f t="shared" si="27"/>
        <v>Covered</v>
      </c>
      <c r="DS740" s="709"/>
    </row>
    <row r="741" spans="1:123">
      <c r="A741" s="701" t="s">
        <v>2519</v>
      </c>
      <c r="B741" s="701" t="s">
        <v>3278</v>
      </c>
      <c r="C741" s="701" t="s">
        <v>3278</v>
      </c>
      <c r="D741" s="702" t="s">
        <v>722</v>
      </c>
      <c r="E741" s="702" t="s">
        <v>716</v>
      </c>
      <c r="F741" s="702" t="s">
        <v>1274</v>
      </c>
      <c r="G741" s="711" t="str">
        <f>VLOOKUP(WWWW[[#This Row],[Site Name]],SiteDB6[[Site Name]:[Location Type]],8,FALSE)</f>
        <v>Village</v>
      </c>
      <c r="H741" s="903" t="s">
        <v>3282</v>
      </c>
      <c r="I741" s="829">
        <v>54</v>
      </c>
      <c r="J741" s="829">
        <v>259</v>
      </c>
      <c r="K741" s="706"/>
      <c r="L741" s="830">
        <v>44196</v>
      </c>
      <c r="M741" s="705"/>
      <c r="N741" s="705"/>
      <c r="O741" s="705"/>
      <c r="P741" s="705"/>
      <c r="Q741" s="708" t="s">
        <v>43</v>
      </c>
      <c r="R741" s="705">
        <v>3</v>
      </c>
      <c r="S741" s="705">
        <v>1</v>
      </c>
      <c r="T741" s="807"/>
      <c r="U741" s="705"/>
      <c r="V741" s="705"/>
      <c r="W741" s="705"/>
      <c r="X741" s="705"/>
      <c r="Y741" s="705"/>
      <c r="Z741" s="705"/>
      <c r="AA741" s="705">
        <v>1</v>
      </c>
      <c r="AB741" s="705"/>
      <c r="AC741" s="705"/>
      <c r="AD741" s="705"/>
      <c r="AE741" s="705">
        <v>2</v>
      </c>
      <c r="AF741" s="705"/>
      <c r="AG741" s="705">
        <v>1</v>
      </c>
      <c r="AH741" s="705">
        <v>1</v>
      </c>
      <c r="AI741" s="705"/>
      <c r="AJ741" s="705"/>
      <c r="AK741" s="705"/>
      <c r="AL741" s="705"/>
      <c r="AM741" s="705"/>
      <c r="AN741" s="705"/>
      <c r="AO741" s="705" t="s">
        <v>3337</v>
      </c>
      <c r="AP741" s="705"/>
      <c r="AQ741" s="705">
        <v>30</v>
      </c>
      <c r="AR741" s="710"/>
      <c r="AS741" s="705"/>
      <c r="AT741" s="705"/>
      <c r="AU741" s="705"/>
      <c r="AV741" s="705"/>
      <c r="AW741" s="705"/>
      <c r="AX741" s="711" t="s">
        <v>144</v>
      </c>
      <c r="AY741" s="709" t="s">
        <v>43</v>
      </c>
      <c r="AZ741" s="705"/>
      <c r="BA741" s="705"/>
      <c r="BB741" s="705"/>
      <c r="BC741" s="711" t="s">
        <v>3339</v>
      </c>
      <c r="BD741" s="705"/>
      <c r="BE741" s="705"/>
      <c r="BF741" s="705">
        <v>30</v>
      </c>
      <c r="BG741" s="705">
        <v>0</v>
      </c>
      <c r="BH741" s="705"/>
      <c r="BI741" s="705">
        <v>3</v>
      </c>
      <c r="BJ741" s="705">
        <v>1</v>
      </c>
      <c r="BK741" s="705"/>
      <c r="BL741" s="705"/>
      <c r="BM741" s="711"/>
      <c r="BN741" s="712"/>
      <c r="BO741" s="710"/>
      <c r="BP741" s="711"/>
      <c r="BQ741" s="713" t="str">
        <f>IFERROR(WWWW[[#This Row],['#_Water sources treated]]/WWWW[[#This Row],['#_Water sources tested for contamination]],"no test")</f>
        <v>no test</v>
      </c>
      <c r="BR741" s="710" t="str">
        <f>IFERROR(WWWW[[#This Row],['#_Household received remediation action due to contamination]]/WWWW[[#This Row],['#_Household water samples tested for contamination]],"no test")</f>
        <v>no test</v>
      </c>
      <c r="BS741" s="712" t="str">
        <f>IF(AND(WWWW[[#This Row],[% of water sources treated]]="no test",WWWW[[#This Row],[% Household received corrective actions]]="no test"),"No Test","Tested")</f>
        <v>No Test</v>
      </c>
      <c r="BT741" s="712">
        <f>WWWW[[#This Row],['#_Constructed/existing protected hand dug well]]-WWWW[[#This Row],['#_Non-functional protected hand dug well]]</f>
        <v>0</v>
      </c>
      <c r="BU741" s="712">
        <f>(WWWW[[#This Row],['#_Constructed/Existing tube wells/boreholes/handpumps_WASH_agency]]+WWWW[[#This Row],['#_Non-Cluster partner water tube-wells/boreholes/handpumps]])-WWWW[[#This Row],['#_Non-functional tube wells/boreholes/handpumps]]</f>
        <v>0</v>
      </c>
      <c r="BV741" s="712">
        <f>WWWW[[#This Row],['#_Constructed/Existingwater storage tank with gravity fed reticulation system]]-WWWW[[#This Row],['#_Non-functional storage tank gravity fed reticulation system]]</f>
        <v>1</v>
      </c>
      <c r="BW741" s="712">
        <f>WWWW[[#This Row],['#_Water boating or water trucking]]</f>
        <v>0</v>
      </c>
      <c r="BX741" s="712">
        <f>WWWW[[#This Row],['#_Constructed/Existing water distribution system from river or natural spring]]</f>
        <v>0</v>
      </c>
      <c r="BY741"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0.2574002574002574</v>
      </c>
      <c r="BZ741"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0.2574002574002574</v>
      </c>
      <c r="CA741" s="710">
        <f>IF(WWWW[[#This Row],[Location Type 1]]="Village",WWWW[[#This Row],[Access to safe drinking water for Village]],WWWW[[#This Row],[Access to safe drinking water for Camp]])</f>
        <v>0.2574002574002574</v>
      </c>
      <c r="CB741" s="708">
        <f>WWWW[[#This Row],[%Equitable and continuous access to sufficient quantity of safe drinking water]]*WWWW[[#This Row],[Total PoP ]]</f>
        <v>66.666666666666671</v>
      </c>
      <c r="CC741" s="710">
        <f>IF((WWWW[[#This Row],['#_Constructed/Existing protected/fenced ponds]]*250)/WWWW[[#This Row],[Total PoP ]]&gt;1,1,(WWWW[[#This Row],['#_Constructed/Existing protected/fenced ponds]]*250)/WWWW[[#This Row],[Total PoP ]])</f>
        <v>1</v>
      </c>
      <c r="CD741" s="708">
        <f>WWWW[[#This Row],[% Access to unimproved water points]]*WWWW[[#This Row],[Total PoP ]]</f>
        <v>259</v>
      </c>
      <c r="CE741"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41"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CG741" s="708">
        <f>WWWW[[#This Row],[HRP1]]/500</f>
        <v>0.51800000000000002</v>
      </c>
      <c r="CH741" s="714">
        <f>1-WWWW[[#This Row],[% Equitable and continuous access to sufficient quantity of domestic water]]</f>
        <v>0</v>
      </c>
      <c r="CI741" s="708">
        <f>WWWW[[#This Row],[%equitable and continuous access to sufficient quantity of safe drinking and domestic water''s GAP]]*WWWW[[#This Row],[Total PoP ]]</f>
        <v>0</v>
      </c>
      <c r="CJ741" s="712">
        <f>IF(WWWW[[#This Row],[Total required water points]]-WWWW[[#This Row],['#Water points coverage]]&lt;0,0,WWWW[[#This Row],[Total required water points]]-WWWW[[#This Row],['#Water points coverage]])</f>
        <v>0.48199999999999998</v>
      </c>
      <c r="CK741" s="712">
        <f>ROUND(IF(WWWW[[#This Row],[Total PoP ]]&lt;500,1,WWWW[[#This Row],[Total PoP ]]/500),0)</f>
        <v>1</v>
      </c>
      <c r="CL741" s="712">
        <f>(WWWW[[#This Row],['#_Constructed latrines_by_WASHAgencies]]+WWWW[[#This Row],['#_Non Cluster partner latrines]])-WWWW[[#This Row],['#_Non-functional latrines]]</f>
        <v>30</v>
      </c>
      <c r="CM741"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0.69498069498069504</v>
      </c>
      <c r="CN741"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180</v>
      </c>
      <c r="CO741" s="715" t="str">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N/A</v>
      </c>
      <c r="CP741" s="712" t="str">
        <f>IF(WWWW[[#This Row],[Location Type 1]]="Village","NA",IF(WWWW[[#This Row],['#_Constructed/Existing latrines in TLS]]*50&gt;WWWW[[#This Row],['#_students at TLS_CFS]],WWWW[[#This Row],['#_students at TLS_CFS]],(WWWW[[#This Row],['#_Constructed/Existing latrines in TLS]]*50)))</f>
        <v>NA</v>
      </c>
      <c r="CQ741" s="712">
        <f>ROUND(IF(WWWW[[#This Row],[Location Type 1]]="camp",WWWW[[#This Row],[Total PoP ]]/20,IF(WWWW[[#This Row],[Location Type 1]]="Temporary Location",WWWW[[#This Row],[Total PoP ]]/50,(WWWW[[#This Row],[Total PoP ]]/6))),0)</f>
        <v>43</v>
      </c>
      <c r="CR741" s="712">
        <f>IF(WWWW[[#This Row],[Total required Latrines]]-(WWWW[[#This Row],['#_Constructed latrines_by_WASHAgencies]]+WWWW[[#This Row],['#_Non Cluster partner latrines]])&lt;0,0,WWWW[[#This Row],[Total required Latrines]]-(WWWW[[#This Row],['#_Constructed latrines_by_WASHAgencies]]+WWWW[[#This Row],['#_Non Cluster partner latrines]]))</f>
        <v>13</v>
      </c>
      <c r="CS741" s="714">
        <f>1-WWWW[[#This Row],[% people access to functioning Latrine]]</f>
        <v>0.30501930501930496</v>
      </c>
      <c r="CT741" s="713">
        <f>IF(OR(WWWW[[#This Row],['#_Non-functional latrines]]="",WWWW[[#This Row],['#_Non-functional latrines]]=0),0,WWWW[[#This Row],['#_Non-functional latrines]]/(WWWW[[#This Row],['#_Constructed latrines_by_WASHAgencies]]+WWWW[[#This Row],['#_Non Cluster partner latrines]]))</f>
        <v>0</v>
      </c>
      <c r="CU741" s="708">
        <f>IF(500*(WWWW[[#This Row],['#_male hygiene promoters]]+WWWW[[#This Row],['#_female hygiene promoters]])&gt;WWWW[[#This Row],[Total PoP ]],WWWW[[#This Row],[Total PoP ]],500*(WWWW[[#This Row],['#_male hygiene promoters]]+WWWW[[#This Row],['#_female hygiene promoters]]))</f>
        <v>259</v>
      </c>
      <c r="CV741"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41"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41" s="712">
        <f>IF(WWWW[[#This Row],['# People with access to soap]]&gt;WWWW[[#This Row],['# People with access to Sanity Pads]],WWWW[[#This Row],['# People with access to soap]],WWWW[[#This Row],['# People with access to Sanity Pads]])</f>
        <v>0</v>
      </c>
      <c r="CY741" s="712">
        <f>IF(WWWW[[#This Row],['# people reached by regular dedicated hygiene promotion_5]]&gt;WWWW[[#This Row],['# People received regular supply of hygiene items_6]],WWWW[[#This Row],['# people reached by regular dedicated hygiene promotion_5]],WWWW[[#This Row],['# People received regular supply of hygiene items_6]])</f>
        <v>259</v>
      </c>
      <c r="CZ741" s="714">
        <f>IF(WWWW[[#This Row],[HRP3]]/WWWW[[#This Row],[Total PoP ]]&gt;100%,100%,WWWW[[#This Row],[HRP3]]/WWWW[[#This Row],[Total PoP ]])</f>
        <v>1</v>
      </c>
      <c r="DA741" s="713">
        <f>1-WWWW[[#This Row],[Hygiene Coverage%]]</f>
        <v>0</v>
      </c>
      <c r="DB741" s="710">
        <f>WWWW[[#This Row],['# people reached by regular dedicated hygiene promotion_5]]/WWWW[[#This Row],[Total PoP ]]</f>
        <v>1</v>
      </c>
      <c r="DC741" s="710">
        <f>IF(WWWW[[#This Row],['#_households that received standard amount of soap for this quarter]]/WWWW[[#This Row],[Total HH]]&gt;1,1,WWWW[[#This Row],['#_households that received standard amount of soap for this quarter]]/WWWW[[#This Row],[Total HH]])</f>
        <v>0</v>
      </c>
      <c r="DD741" s="710">
        <f>IF(WWWW[[#This Row],['#_households that received standard amount of sanitary pads for this quarter]]/WWWW[[#This Row],[Total HH]]&gt;1,1,WWWW[[#This Row],['#_households that received standard amount of sanitary pads for this quarter]]/WWWW[[#This Row],[Total HH]])</f>
        <v>0</v>
      </c>
      <c r="DE741" s="712">
        <f>WWWW[[#This Row],['#_Constructed/Existing hand washing stations]]-WWWW[[#This Row],['#_Non-Functional_hand_washing_stations]]</f>
        <v>0</v>
      </c>
      <c r="DF741" s="757">
        <f>IF(WWWW[[#This Row],['# Functional hand washing stations during reporting period]]*20&gt;WWWW[[#This Row],[Total HH]],WWWW[[#This Row],[Total HH]],WWWW[[#This Row],['# Functional hand washing stations during reporting period]]*20)</f>
        <v>0</v>
      </c>
      <c r="DG741" s="708">
        <f>IF(WWWW[[#This Row],[Is sufficient soap available for TLS? (Yes/No)]]="yes",WWWW[[#This Row],['#_Constructed/Existing hand washing stations at TLS]],0)</f>
        <v>0</v>
      </c>
      <c r="DH741" s="759">
        <f>IF(WWWW[[#This Row],['# Functional hand washing stations during reporting period]]*100&gt;WWWW[[#This Row],[Total PoP ]],WWWW[[#This Row],[Total PoP ]],WWWW[[#This Row],['# Functional hand washing stations during reporting period]]*100)</f>
        <v>0</v>
      </c>
      <c r="DI741" s="759" t="str">
        <f>IF(OR(WWWW[[#This Row],['#_students at TLS_CFS]]="",WWWW[[#This Row],['#_students at TLS_CFS]]=0),"No","Yes")</f>
        <v>No</v>
      </c>
      <c r="DJ741" s="711">
        <f>VLOOKUP(WWWW[[#This Row],[Site Name]],SiteDB6[[Site Name]:[CCCM Management]],6,FALSE)</f>
        <v>0</v>
      </c>
      <c r="DK741" s="711">
        <f>VLOOKUP(WWWW[[#This Row],[Site Name]],SiteDB6[[Site Name]:[CCCM Focal Agency]],7,FALSE)</f>
        <v>0</v>
      </c>
      <c r="DL741" s="711" t="str">
        <f>VLOOKUP(WWWW[[#This Row],[Site Name]],SiteDB6[[Site Name]:[Location Type 1]],9,FALSE)</f>
        <v>Village</v>
      </c>
      <c r="DM741" s="711" t="str">
        <f>VLOOKUP(WWWW[[#This Row],[Site Name]],SiteDB6[[Site Name]:[Type of Accommodation]],10,FALSE)</f>
        <v>Village</v>
      </c>
      <c r="DN741" s="711" t="str">
        <f>VLOOKUP(WWWW[[#This Row],[Site Name]],SiteDB6[[Site Name]:[Ethnic or GCA/NGCA]],11,FALSE)</f>
        <v>GCA</v>
      </c>
      <c r="DO741" s="711">
        <f>VLOOKUP(WWWW[[#This Row],[Site Name]],SiteDB6[[Site Name]:[Lat]],12,FALSE)</f>
        <v>0</v>
      </c>
      <c r="DP741" s="711">
        <f>VLOOKUP(WWWW[[#This Row],[Site Name]],SiteDB6[[Site Name]:[Long]],13,FALSE)</f>
        <v>0</v>
      </c>
      <c r="DQ741" s="711">
        <f>VLOOKUP(WWWW[[#This Row],[Site Name]],SiteDB6[[Site Name]:[Pcode]],3,FALSE)</f>
        <v>0</v>
      </c>
      <c r="DR741" s="709" t="str">
        <f t="shared" si="27"/>
        <v>Covered</v>
      </c>
      <c r="DS741" s="709"/>
    </row>
    <row r="742" spans="1:123">
      <c r="A742" s="701" t="s">
        <v>2519</v>
      </c>
      <c r="B742" s="701" t="s">
        <v>1957</v>
      </c>
      <c r="C742" s="702" t="s">
        <v>1957</v>
      </c>
      <c r="D742" s="584" t="s">
        <v>3303</v>
      </c>
      <c r="E742" s="702" t="s">
        <v>716</v>
      </c>
      <c r="F742" s="702" t="s">
        <v>720</v>
      </c>
      <c r="G742" s="711" t="str">
        <f>VLOOKUP(WWWW[[#This Row],[Site Name]],SiteDB6[[Site Name]:[Location Type]],8,FALSE)</f>
        <v>Camp</v>
      </c>
      <c r="H742" s="702" t="s">
        <v>743</v>
      </c>
      <c r="I742" s="705">
        <v>103</v>
      </c>
      <c r="J742" s="705">
        <v>632</v>
      </c>
      <c r="K742" s="593" t="s">
        <v>3300</v>
      </c>
      <c r="L742" s="58" t="s">
        <v>3301</v>
      </c>
      <c r="M742" s="705">
        <v>88</v>
      </c>
      <c r="N742" s="705"/>
      <c r="O742" s="705"/>
      <c r="P742" s="705"/>
      <c r="Q742" s="708" t="s">
        <v>43</v>
      </c>
      <c r="R742" s="705">
        <v>4</v>
      </c>
      <c r="S742" s="705">
        <v>5</v>
      </c>
      <c r="T742" s="807"/>
      <c r="U742" s="705"/>
      <c r="V742" s="705"/>
      <c r="W742" s="705"/>
      <c r="X742" s="705"/>
      <c r="Y742" s="705"/>
      <c r="Z742" s="705">
        <v>1</v>
      </c>
      <c r="AA742" s="705">
        <v>20</v>
      </c>
      <c r="AB742" s="705"/>
      <c r="AC742" s="705"/>
      <c r="AD742" s="705"/>
      <c r="AE742" s="705"/>
      <c r="AF742" s="705"/>
      <c r="AG742" s="705">
        <v>1</v>
      </c>
      <c r="AH742" s="705"/>
      <c r="AI742" s="705">
        <v>1</v>
      </c>
      <c r="AJ742" s="705"/>
      <c r="AK742" s="705">
        <v>15</v>
      </c>
      <c r="AL742" s="705"/>
      <c r="AM742" s="705">
        <v>1</v>
      </c>
      <c r="AN742" s="705"/>
      <c r="AO742" s="709"/>
      <c r="AP742" s="705">
        <v>103</v>
      </c>
      <c r="AQ742" s="705"/>
      <c r="AR742" s="710"/>
      <c r="AS742" s="705"/>
      <c r="AT742" s="705"/>
      <c r="AU742" s="705"/>
      <c r="AV742" s="705"/>
      <c r="AW742" s="705"/>
      <c r="AX742" s="711" t="s">
        <v>43</v>
      </c>
      <c r="AY742" s="709" t="s">
        <v>145</v>
      </c>
      <c r="AZ742" s="705"/>
      <c r="BA742" s="705"/>
      <c r="BB742" s="705"/>
      <c r="BC742" s="711"/>
      <c r="BD742" s="705">
        <v>2</v>
      </c>
      <c r="BE742" s="705"/>
      <c r="BF742" s="705"/>
      <c r="BG742" s="705"/>
      <c r="BH742" s="705"/>
      <c r="BI742" s="705"/>
      <c r="BJ742" s="705">
        <v>2</v>
      </c>
      <c r="BK742" s="705">
        <f>82+103</f>
        <v>185</v>
      </c>
      <c r="BL742" s="705">
        <v>103</v>
      </c>
      <c r="BM742" s="711"/>
      <c r="BN742" s="712"/>
      <c r="BO742" s="710">
        <v>1</v>
      </c>
      <c r="BP742" s="711"/>
      <c r="BQ742" s="713">
        <f>IFERROR(WWWW[[#This Row],['#_Water sources treated]]/WWWW[[#This Row],['#_Water sources tested for contamination]],"no test")</f>
        <v>0</v>
      </c>
      <c r="BR742" s="710">
        <f>IFERROR(WWWW[[#This Row],['#_Household received remediation action due to contamination]]/WWWW[[#This Row],['#_Household water samples tested for contamination]],"no test")</f>
        <v>0</v>
      </c>
      <c r="BS742" s="712" t="str">
        <f>IF(AND(WWWW[[#This Row],[% of water sources treated]]="no test",WWWW[[#This Row],[% Household received corrective actions]]="no test"),"No Test","Tested")</f>
        <v>Tested</v>
      </c>
      <c r="BT742" s="712">
        <f>WWWW[[#This Row],['#_Constructed/existing protected hand dug well]]-WWWW[[#This Row],['#_Non-functional protected hand dug well]]</f>
        <v>0</v>
      </c>
      <c r="BU742" s="712">
        <f>(WWWW[[#This Row],['#_Constructed/Existing tube wells/boreholes/handpumps_WASH_agency]]+WWWW[[#This Row],['#_Non-Cluster partner water tube-wells/boreholes/handpumps]])-WWWW[[#This Row],['#_Non-functional tube wells/boreholes/handpumps]]</f>
        <v>0</v>
      </c>
      <c r="BV742" s="712">
        <f>WWWW[[#This Row],['#_Constructed/Existingwater storage tank with gravity fed reticulation system]]-WWWW[[#This Row],['#_Non-functional storage tank gravity fed reticulation system]]</f>
        <v>20</v>
      </c>
      <c r="BW742" s="712">
        <f>WWWW[[#This Row],['#_Water boating or water trucking]]</f>
        <v>0</v>
      </c>
      <c r="BX742" s="712">
        <f>WWWW[[#This Row],['#_Constructed/Existing water distribution system from river or natural spring]]</f>
        <v>0</v>
      </c>
      <c r="BY742"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42"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42" s="710">
        <f>IF(WWWW[[#This Row],[Location Type 1]]="Village",WWWW[[#This Row],[Access to safe drinking water for Village]],WWWW[[#This Row],[Access to safe drinking water for Camp]])</f>
        <v>1</v>
      </c>
      <c r="CB742" s="708">
        <f>WWWW[[#This Row],[%Equitable and continuous access to sufficient quantity of safe drinking water]]*WWWW[[#This Row],[Total PoP ]]</f>
        <v>632</v>
      </c>
      <c r="CC742" s="710">
        <f>IF((WWWW[[#This Row],['#_Constructed/Existing protected/fenced ponds]]*250)/WWWW[[#This Row],[Total PoP ]]&gt;1,1,(WWWW[[#This Row],['#_Constructed/Existing protected/fenced ponds]]*250)/WWWW[[#This Row],[Total PoP ]])</f>
        <v>0</v>
      </c>
      <c r="CD742" s="708">
        <f>WWWW[[#This Row],[% Access to unimproved water points]]*WWWW[[#This Row],[Total PoP ]]</f>
        <v>0</v>
      </c>
      <c r="CE742"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42"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632</v>
      </c>
      <c r="CG742" s="708">
        <f>WWWW[[#This Row],[HRP1]]/500</f>
        <v>1.264</v>
      </c>
      <c r="CH742" s="714">
        <f>1-WWWW[[#This Row],[% Equitable and continuous access to sufficient quantity of domestic water]]</f>
        <v>0</v>
      </c>
      <c r="CI742" s="708">
        <f>WWWW[[#This Row],[%equitable and continuous access to sufficient quantity of safe drinking and domestic water''s GAP]]*WWWW[[#This Row],[Total PoP ]]</f>
        <v>0</v>
      </c>
      <c r="CJ742" s="712">
        <f>IF(WWWW[[#This Row],[Total required water points]]-WWWW[[#This Row],['#Water points coverage]]&lt;0,0,WWWW[[#This Row],[Total required water points]]-WWWW[[#This Row],['#Water points coverage]])</f>
        <v>0</v>
      </c>
      <c r="CK742" s="712">
        <f>ROUND(IF(WWWW[[#This Row],[Total PoP ]]&lt;500,1,WWWW[[#This Row],[Total PoP ]]/500),0)</f>
        <v>1</v>
      </c>
      <c r="CL742" s="712">
        <f>(WWWW[[#This Row],['#_Constructed latrines_by_WASHAgencies]]+WWWW[[#This Row],['#_Non Cluster partner latrines]])-WWWW[[#This Row],['#_Non-functional latrines]]</f>
        <v>103</v>
      </c>
      <c r="CM742"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0.97784810126582278</v>
      </c>
      <c r="CN742"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618</v>
      </c>
      <c r="CO742"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2" s="712">
        <f>IF(WWWW[[#This Row],[Location Type 1]]="Village","NA",IF(WWWW[[#This Row],['#_Constructed/Existing latrines in TLS]]*50&gt;WWWW[[#This Row],['#_students at TLS_CFS]],WWWW[[#This Row],['#_students at TLS_CFS]],(WWWW[[#This Row],['#_Constructed/Existing latrines in TLS]]*50)))</f>
        <v>0</v>
      </c>
      <c r="CQ742" s="712">
        <f>ROUND(IF(WWWW[[#This Row],[Location Type 1]]="camp",WWWW[[#This Row],[Total PoP ]]/20,IF(WWWW[[#This Row],[Location Type 1]]="Temporary Location",WWWW[[#This Row],[Total PoP ]]/50,(WWWW[[#This Row],[Total PoP ]]/6))),0)</f>
        <v>105</v>
      </c>
      <c r="CR742" s="712">
        <f>IF(WWWW[[#This Row],[Total required Latrines]]-(WWWW[[#This Row],['#_Constructed latrines_by_WASHAgencies]]+WWWW[[#This Row],['#_Non Cluster partner latrines]])&lt;0,0,WWWW[[#This Row],[Total required Latrines]]-(WWWW[[#This Row],['#_Constructed latrines_by_WASHAgencies]]+WWWW[[#This Row],['#_Non Cluster partner latrines]]))</f>
        <v>2</v>
      </c>
      <c r="CS742" s="714">
        <f>1-WWWW[[#This Row],[% people access to functioning Latrine]]</f>
        <v>2.2151898734177222E-2</v>
      </c>
      <c r="CT742" s="713">
        <f>IF(OR(WWWW[[#This Row],['#_Non-functional latrines]]="",WWWW[[#This Row],['#_Non-functional latrines]]=0),0,WWWW[[#This Row],['#_Non-functional latrines]]/(WWWW[[#This Row],['#_Constructed latrines_by_WASHAgencies]]+WWWW[[#This Row],['#_Non Cluster partner latrines]]))</f>
        <v>0</v>
      </c>
      <c r="CU742" s="708">
        <f>IF(500*(WWWW[[#This Row],['#_male hygiene promoters]]+WWWW[[#This Row],['#_female hygiene promoters]])&gt;WWWW[[#This Row],[Total PoP ]],WWWW[[#This Row],[Total PoP ]],500*(WWWW[[#This Row],['#_male hygiene promoters]]+WWWW[[#This Row],['#_female hygiene promoters]]))</f>
        <v>632</v>
      </c>
      <c r="CV742"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632</v>
      </c>
      <c r="CW742"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632</v>
      </c>
      <c r="CX742" s="712">
        <f>IF(WWWW[[#This Row],['# People with access to soap]]&gt;WWWW[[#This Row],['# People with access to Sanity Pads]],WWWW[[#This Row],['# People with access to soap]],WWWW[[#This Row],['# People with access to Sanity Pads]])</f>
        <v>632</v>
      </c>
      <c r="CY742" s="712">
        <f>IF(WWWW[[#This Row],['# people reached by regular dedicated hygiene promotion_5]]&gt;WWWW[[#This Row],['# People received regular supply of hygiene items_6]],WWWW[[#This Row],['# people reached by regular dedicated hygiene promotion_5]],WWWW[[#This Row],['# People received regular supply of hygiene items_6]])</f>
        <v>632</v>
      </c>
      <c r="CZ742" s="714">
        <f>IF(WWWW[[#This Row],[HRP3]]/WWWW[[#This Row],[Total PoP ]]&gt;100%,100%,WWWW[[#This Row],[HRP3]]/WWWW[[#This Row],[Total PoP ]])</f>
        <v>1</v>
      </c>
      <c r="DA742" s="713">
        <f>1-WWWW[[#This Row],[Hygiene Coverage%]]</f>
        <v>0</v>
      </c>
      <c r="DB742" s="710">
        <f>WWWW[[#This Row],['# people reached by regular dedicated hygiene promotion_5]]/WWWW[[#This Row],[Total PoP ]]</f>
        <v>1</v>
      </c>
      <c r="DC742" s="710">
        <f>IF(WWWW[[#This Row],['#_households that received standard amount of soap for this quarter]]/WWWW[[#This Row],[Total HH]]&gt;1,1,WWWW[[#This Row],['#_households that received standard amount of soap for this quarter]]/WWWW[[#This Row],[Total HH]])</f>
        <v>1</v>
      </c>
      <c r="DD742" s="710">
        <f>IF(WWWW[[#This Row],['#_households that received standard amount of sanitary pads for this quarter]]/WWWW[[#This Row],[Total HH]]&gt;1,1,WWWW[[#This Row],['#_households that received standard amount of sanitary pads for this quarter]]/WWWW[[#This Row],[Total HH]])</f>
        <v>1</v>
      </c>
      <c r="DE742" s="712">
        <f>WWWW[[#This Row],['#_Constructed/Existing hand washing stations]]-WWWW[[#This Row],['#_Non-Functional_hand_washing_stations]]</f>
        <v>2</v>
      </c>
      <c r="DF742" s="757">
        <f>IF(WWWW[[#This Row],['# Functional hand washing stations during reporting period]]*20&gt;WWWW[[#This Row],[Total HH]],WWWW[[#This Row],[Total HH]],WWWW[[#This Row],['# Functional hand washing stations during reporting period]]*20)</f>
        <v>40</v>
      </c>
      <c r="DG742" s="708">
        <f>IF(WWWW[[#This Row],[Is sufficient soap available for TLS? (Yes/No)]]="yes",WWWW[[#This Row],['#_Constructed/Existing hand washing stations at TLS]],0)</f>
        <v>0</v>
      </c>
      <c r="DH742" s="759">
        <f>IF(WWWW[[#This Row],['# Functional hand washing stations during reporting period]]*100&gt;WWWW[[#This Row],[Total PoP ]],WWWW[[#This Row],[Total PoP ]],WWWW[[#This Row],['# Functional hand washing stations during reporting period]]*100)</f>
        <v>200</v>
      </c>
      <c r="DI742" s="759" t="str">
        <f>IF(OR(WWWW[[#This Row],['#_students at TLS_CFS]]="",WWWW[[#This Row],['#_students at TLS_CFS]]=0),"No","Yes")</f>
        <v>Yes</v>
      </c>
      <c r="DJ742" s="711" t="str">
        <f>VLOOKUP(WWWW[[#This Row],[Site Name]],SiteDB6[[Site Name]:[CCCM Management]],6,FALSE)</f>
        <v>Yes</v>
      </c>
      <c r="DK742" s="711" t="str">
        <f>VLOOKUP(WWWW[[#This Row],[Site Name]],SiteDB6[[Site Name]:[CCCM Focal Agency]],7,FALSE)</f>
        <v>KMSS-LSO</v>
      </c>
      <c r="DL742" s="711" t="str">
        <f>VLOOKUP(WWWW[[#This Row],[Site Name]],SiteDB6[[Site Name]:[Location Type 1]],9,FALSE)</f>
        <v>Village Type Camp</v>
      </c>
      <c r="DM742" s="711" t="str">
        <f>VLOOKUP(WWWW[[#This Row],[Site Name]],SiteDB6[[Site Name]:[Type of Accommodation]],10,FALSE)</f>
        <v>Camp</v>
      </c>
      <c r="DN742" s="711" t="str">
        <f>VLOOKUP(WWWW[[#This Row],[Site Name]],SiteDB6[[Site Name]:[Ethnic or GCA/NGCA]],11,FALSE)</f>
        <v>GCA</v>
      </c>
      <c r="DO742" s="711">
        <f>VLOOKUP(WWWW[[#This Row],[Site Name]],SiteDB6[[Site Name]:[Lat]],12,FALSE)</f>
        <v>23.447111</v>
      </c>
      <c r="DP742" s="711">
        <f>VLOOKUP(WWWW[[#This Row],[Site Name]],SiteDB6[[Site Name]:[Long]],13,FALSE)</f>
        <v>97.868876999999998</v>
      </c>
      <c r="DQ742" s="711" t="str">
        <f>VLOOKUP(WWWW[[#This Row],[Site Name]],SiteDB6[[Site Name]:[Pcode]],3,FALSE)</f>
        <v>MMR015CMP219</v>
      </c>
      <c r="DR742" s="709" t="str">
        <f t="shared" si="27"/>
        <v>Covered</v>
      </c>
      <c r="DS742" s="709"/>
    </row>
    <row r="743" spans="1:123">
      <c r="A743" s="701" t="s">
        <v>2519</v>
      </c>
      <c r="B743" s="701" t="s">
        <v>1957</v>
      </c>
      <c r="C743" s="702" t="s">
        <v>1957</v>
      </c>
      <c r="D743" s="584" t="s">
        <v>3303</v>
      </c>
      <c r="E743" s="702" t="s">
        <v>716</v>
      </c>
      <c r="F743" s="702" t="s">
        <v>720</v>
      </c>
      <c r="G743" s="711" t="str">
        <f>VLOOKUP(WWWW[[#This Row],[Site Name]],SiteDB6[[Site Name]:[Location Type]],8,FALSE)</f>
        <v>Camp</v>
      </c>
      <c r="H743" s="702" t="s">
        <v>763</v>
      </c>
      <c r="I743" s="705">
        <v>33</v>
      </c>
      <c r="J743" s="705">
        <v>196</v>
      </c>
      <c r="K743" s="593" t="s">
        <v>3300</v>
      </c>
      <c r="L743" s="58" t="s">
        <v>3301</v>
      </c>
      <c r="M743" s="705">
        <v>44</v>
      </c>
      <c r="N743" s="705"/>
      <c r="O743" s="705"/>
      <c r="P743" s="705"/>
      <c r="Q743" s="708" t="s">
        <v>43</v>
      </c>
      <c r="R743" s="705">
        <v>5</v>
      </c>
      <c r="S743" s="705">
        <v>4</v>
      </c>
      <c r="T743" s="807"/>
      <c r="U743" s="705"/>
      <c r="V743" s="705"/>
      <c r="W743" s="705"/>
      <c r="X743" s="705"/>
      <c r="Y743" s="705">
        <v>1</v>
      </c>
      <c r="Z743" s="705"/>
      <c r="AA743" s="705">
        <v>16</v>
      </c>
      <c r="AB743" s="705"/>
      <c r="AC743" s="705"/>
      <c r="AD743" s="705"/>
      <c r="AE743" s="705"/>
      <c r="AF743" s="705"/>
      <c r="AG743" s="705">
        <v>1</v>
      </c>
      <c r="AH743" s="705">
        <v>1</v>
      </c>
      <c r="AI743" s="705">
        <v>1</v>
      </c>
      <c r="AJ743" s="705"/>
      <c r="AK743" s="705"/>
      <c r="AL743" s="705"/>
      <c r="AM743" s="705"/>
      <c r="AN743" s="705"/>
      <c r="AO743" s="709"/>
      <c r="AP743" s="705">
        <v>36</v>
      </c>
      <c r="AQ743" s="705"/>
      <c r="AR743" s="710"/>
      <c r="AS743" s="705"/>
      <c r="AT743" s="705"/>
      <c r="AU743" s="705"/>
      <c r="AV743" s="705"/>
      <c r="AW743" s="705"/>
      <c r="AX743" s="711" t="s">
        <v>148</v>
      </c>
      <c r="AY743" s="709" t="s">
        <v>1200</v>
      </c>
      <c r="AZ743" s="705"/>
      <c r="BA743" s="705"/>
      <c r="BB743" s="705"/>
      <c r="BC743" s="711"/>
      <c r="BD743" s="705"/>
      <c r="BE743" s="705"/>
      <c r="BF743" s="705"/>
      <c r="BG743" s="705"/>
      <c r="BH743" s="705"/>
      <c r="BI743" s="705"/>
      <c r="BJ743" s="705">
        <v>1</v>
      </c>
      <c r="BK743" s="705">
        <v>36</v>
      </c>
      <c r="BL743" s="705">
        <v>36</v>
      </c>
      <c r="BM743" s="711"/>
      <c r="BN743" s="712"/>
      <c r="BO743" s="710">
        <v>0.5</v>
      </c>
      <c r="BP743" s="711"/>
      <c r="BQ743" s="713">
        <f>IFERROR(WWWW[[#This Row],['#_Water sources treated]]/WWWW[[#This Row],['#_Water sources tested for contamination]],"no test")</f>
        <v>0</v>
      </c>
      <c r="BR743" s="710" t="str">
        <f>IFERROR(WWWW[[#This Row],['#_Household received remediation action due to contamination]]/WWWW[[#This Row],['#_Household water samples tested for contamination]],"no test")</f>
        <v>no test</v>
      </c>
      <c r="BS743" s="712" t="str">
        <f>IF(AND(WWWW[[#This Row],[% of water sources treated]]="no test",WWWW[[#This Row],[% Household received corrective actions]]="no test"),"No Test","Tested")</f>
        <v>Tested</v>
      </c>
      <c r="BT743" s="712">
        <f>WWWW[[#This Row],['#_Constructed/existing protected hand dug well]]-WWWW[[#This Row],['#_Non-functional protected hand dug well]]</f>
        <v>0</v>
      </c>
      <c r="BU743" s="712">
        <f>(WWWW[[#This Row],['#_Constructed/Existing tube wells/boreholes/handpumps_WASH_agency]]+WWWW[[#This Row],['#_Non-Cluster partner water tube-wells/boreholes/handpumps]])-WWWW[[#This Row],['#_Non-functional tube wells/boreholes/handpumps]]</f>
        <v>-1</v>
      </c>
      <c r="BV743" s="712">
        <f>WWWW[[#This Row],['#_Constructed/Existingwater storage tank with gravity fed reticulation system]]-WWWW[[#This Row],['#_Non-functional storage tank gravity fed reticulation system]]</f>
        <v>16</v>
      </c>
      <c r="BW743" s="712">
        <f>WWWW[[#This Row],['#_Water boating or water trucking]]</f>
        <v>0</v>
      </c>
      <c r="BX743" s="712">
        <f>WWWW[[#This Row],['#_Constructed/Existing water distribution system from river or natural spring]]</f>
        <v>0</v>
      </c>
      <c r="BY743"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43"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43" s="710">
        <f>IF(WWWW[[#This Row],[Location Type 1]]="Village",WWWW[[#This Row],[Access to safe drinking water for Village]],WWWW[[#This Row],[Access to safe drinking water for Camp]])</f>
        <v>1</v>
      </c>
      <c r="CB743" s="708">
        <f>WWWW[[#This Row],[%Equitable and continuous access to sufficient quantity of safe drinking water]]*WWWW[[#This Row],[Total PoP ]]</f>
        <v>196</v>
      </c>
      <c r="CC743" s="710">
        <f>IF((WWWW[[#This Row],['#_Constructed/Existing protected/fenced ponds]]*250)/WWWW[[#This Row],[Total PoP ]]&gt;1,1,(WWWW[[#This Row],['#_Constructed/Existing protected/fenced ponds]]*250)/WWWW[[#This Row],[Total PoP ]])</f>
        <v>0</v>
      </c>
      <c r="CD743" s="708">
        <f>WWWW[[#This Row],[% Access to unimproved water points]]*WWWW[[#This Row],[Total PoP ]]</f>
        <v>0</v>
      </c>
      <c r="CE743"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43"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196</v>
      </c>
      <c r="CG743" s="708">
        <f>WWWW[[#This Row],[HRP1]]/500</f>
        <v>0.39200000000000002</v>
      </c>
      <c r="CH743" s="714">
        <f>1-WWWW[[#This Row],[% Equitable and continuous access to sufficient quantity of domestic water]]</f>
        <v>0</v>
      </c>
      <c r="CI743" s="708">
        <f>WWWW[[#This Row],[%equitable and continuous access to sufficient quantity of safe drinking and domestic water''s GAP]]*WWWW[[#This Row],[Total PoP ]]</f>
        <v>0</v>
      </c>
      <c r="CJ743" s="712">
        <f>IF(WWWW[[#This Row],[Total required water points]]-WWWW[[#This Row],['#Water points coverage]]&lt;0,0,WWWW[[#This Row],[Total required water points]]-WWWW[[#This Row],['#Water points coverage]])</f>
        <v>0.60799999999999998</v>
      </c>
      <c r="CK743" s="712">
        <f>ROUND(IF(WWWW[[#This Row],[Total PoP ]]&lt;500,1,WWWW[[#This Row],[Total PoP ]]/500),0)</f>
        <v>1</v>
      </c>
      <c r="CL743" s="712">
        <f>(WWWW[[#This Row],['#_Constructed latrines_by_WASHAgencies]]+WWWW[[#This Row],['#_Non Cluster partner latrines]])-WWWW[[#This Row],['#_Non-functional latrines]]</f>
        <v>36</v>
      </c>
      <c r="CM743"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43"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196</v>
      </c>
      <c r="CO743"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3" s="712">
        <f>IF(WWWW[[#This Row],[Location Type 1]]="Village","NA",IF(WWWW[[#This Row],['#_Constructed/Existing latrines in TLS]]*50&gt;WWWW[[#This Row],['#_students at TLS_CFS]],WWWW[[#This Row],['#_students at TLS_CFS]],(WWWW[[#This Row],['#_Constructed/Existing latrines in TLS]]*50)))</f>
        <v>0</v>
      </c>
      <c r="CQ743" s="712">
        <f>ROUND(IF(WWWW[[#This Row],[Location Type 1]]="camp",WWWW[[#This Row],[Total PoP ]]/20,IF(WWWW[[#This Row],[Location Type 1]]="Temporary Location",WWWW[[#This Row],[Total PoP ]]/50,(WWWW[[#This Row],[Total PoP ]]/6))),0)</f>
        <v>10</v>
      </c>
      <c r="CR743" s="712">
        <f>IF(WWWW[[#This Row],[Total required Latrines]]-(WWWW[[#This Row],['#_Constructed latrines_by_WASHAgencies]]+WWWW[[#This Row],['#_Non Cluster partner latrines]])&lt;0,0,WWWW[[#This Row],[Total required Latrines]]-(WWWW[[#This Row],['#_Constructed latrines_by_WASHAgencies]]+WWWW[[#This Row],['#_Non Cluster partner latrines]]))</f>
        <v>0</v>
      </c>
      <c r="CS743" s="714">
        <f>1-WWWW[[#This Row],[% people access to functioning Latrine]]</f>
        <v>0</v>
      </c>
      <c r="CT743" s="713">
        <f>IF(OR(WWWW[[#This Row],['#_Non-functional latrines]]="",WWWW[[#This Row],['#_Non-functional latrines]]=0),0,WWWW[[#This Row],['#_Non-functional latrines]]/(WWWW[[#This Row],['#_Constructed latrines_by_WASHAgencies]]+WWWW[[#This Row],['#_Non Cluster partner latrines]]))</f>
        <v>0</v>
      </c>
      <c r="CU743" s="708">
        <f>IF(500*(WWWW[[#This Row],['#_male hygiene promoters]]+WWWW[[#This Row],['#_female hygiene promoters]])&gt;WWWW[[#This Row],[Total PoP ]],WWWW[[#This Row],[Total PoP ]],500*(WWWW[[#This Row],['#_male hygiene promoters]]+WWWW[[#This Row],['#_female hygiene promoters]]))</f>
        <v>196</v>
      </c>
      <c r="CV743"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CW743"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180</v>
      </c>
      <c r="CX743" s="712">
        <f>IF(WWWW[[#This Row],['# People with access to soap]]&gt;WWWW[[#This Row],['# People with access to Sanity Pads]],WWWW[[#This Row],['# People with access to soap]],WWWW[[#This Row],['# People with access to Sanity Pads]])</f>
        <v>180</v>
      </c>
      <c r="CY743" s="712">
        <f>IF(WWWW[[#This Row],['# people reached by regular dedicated hygiene promotion_5]]&gt;WWWW[[#This Row],['# People received regular supply of hygiene items_6]],WWWW[[#This Row],['# people reached by regular dedicated hygiene promotion_5]],WWWW[[#This Row],['# People received regular supply of hygiene items_6]])</f>
        <v>196</v>
      </c>
      <c r="CZ743" s="714">
        <f>IF(WWWW[[#This Row],[HRP3]]/WWWW[[#This Row],[Total PoP ]]&gt;100%,100%,WWWW[[#This Row],[HRP3]]/WWWW[[#This Row],[Total PoP ]])</f>
        <v>1</v>
      </c>
      <c r="DA743" s="713">
        <f>1-WWWW[[#This Row],[Hygiene Coverage%]]</f>
        <v>0</v>
      </c>
      <c r="DB743" s="710">
        <f>WWWW[[#This Row],['# people reached by regular dedicated hygiene promotion_5]]/WWWW[[#This Row],[Total PoP ]]</f>
        <v>1</v>
      </c>
      <c r="DC743" s="710">
        <f>IF(WWWW[[#This Row],['#_households that received standard amount of soap for this quarter]]/WWWW[[#This Row],[Total HH]]&gt;1,1,WWWW[[#This Row],['#_households that received standard amount of soap for this quarter]]/WWWW[[#This Row],[Total HH]])</f>
        <v>1</v>
      </c>
      <c r="DD743" s="710">
        <f>IF(WWWW[[#This Row],['#_households that received standard amount of sanitary pads for this quarter]]/WWWW[[#This Row],[Total HH]]&gt;1,1,WWWW[[#This Row],['#_households that received standard amount of sanitary pads for this quarter]]/WWWW[[#This Row],[Total HH]])</f>
        <v>1</v>
      </c>
      <c r="DE743" s="712">
        <f>WWWW[[#This Row],['#_Constructed/Existing hand washing stations]]-WWWW[[#This Row],['#_Non-Functional_hand_washing_stations]]</f>
        <v>0</v>
      </c>
      <c r="DF743" s="757">
        <f>IF(WWWW[[#This Row],['# Functional hand washing stations during reporting period]]*20&gt;WWWW[[#This Row],[Total HH]],WWWW[[#This Row],[Total HH]],WWWW[[#This Row],['# Functional hand washing stations during reporting period]]*20)</f>
        <v>0</v>
      </c>
      <c r="DG743" s="708">
        <f>IF(WWWW[[#This Row],[Is sufficient soap available for TLS? (Yes/No)]]="yes",WWWW[[#This Row],['#_Constructed/Existing hand washing stations at TLS]],0)</f>
        <v>0</v>
      </c>
      <c r="DH743" s="759">
        <f>IF(WWWW[[#This Row],['# Functional hand washing stations during reporting period]]*100&gt;WWWW[[#This Row],[Total PoP ]],WWWW[[#This Row],[Total PoP ]],WWWW[[#This Row],['# Functional hand washing stations during reporting period]]*100)</f>
        <v>0</v>
      </c>
      <c r="DI743" s="759" t="str">
        <f>IF(OR(WWWW[[#This Row],['#_students at TLS_CFS]]="",WWWW[[#This Row],['#_students at TLS_CFS]]=0),"No","Yes")</f>
        <v>Yes</v>
      </c>
      <c r="DJ743" s="711" t="str">
        <f>VLOOKUP(WWWW[[#This Row],[Site Name]],SiteDB6[[Site Name]:[CCCM Management]],6,FALSE)</f>
        <v>Yes</v>
      </c>
      <c r="DK743" s="711" t="str">
        <f>VLOOKUP(WWWW[[#This Row],[Site Name]],SiteDB6[[Site Name]:[CCCM Focal Agency]],7,FALSE)</f>
        <v>KMSS-LSO</v>
      </c>
      <c r="DL743" s="711" t="str">
        <f>VLOOKUP(WWWW[[#This Row],[Site Name]],SiteDB6[[Site Name]:[Location Type 1]],9,FALSE)</f>
        <v>Camp</v>
      </c>
      <c r="DM743" s="711" t="str">
        <f>VLOOKUP(WWWW[[#This Row],[Site Name]],SiteDB6[[Site Name]:[Type of Accommodation]],10,FALSE)</f>
        <v>Camp</v>
      </c>
      <c r="DN743" s="711" t="str">
        <f>VLOOKUP(WWWW[[#This Row],[Site Name]],SiteDB6[[Site Name]:[Ethnic or GCA/NGCA]],11,FALSE)</f>
        <v>GCA</v>
      </c>
      <c r="DO743" s="711">
        <f>VLOOKUP(WWWW[[#This Row],[Site Name]],SiteDB6[[Site Name]:[Lat]],12,FALSE)</f>
        <v>0</v>
      </c>
      <c r="DP743" s="711">
        <f>VLOOKUP(WWWW[[#This Row],[Site Name]],SiteDB6[[Site Name]:[Long]],13,FALSE)</f>
        <v>0</v>
      </c>
      <c r="DQ743" s="711" t="str">
        <f>VLOOKUP(WWWW[[#This Row],[Site Name]],SiteDB6[[Site Name]:[Pcode]],3,FALSE)</f>
        <v>MMR015CMP249</v>
      </c>
      <c r="DR743" s="709" t="str">
        <f t="shared" si="27"/>
        <v>Covered</v>
      </c>
      <c r="DS743" s="709"/>
    </row>
    <row r="744" spans="1:123">
      <c r="A744" s="701" t="s">
        <v>2519</v>
      </c>
      <c r="B744" s="808" t="s">
        <v>200</v>
      </c>
      <c r="C744" s="584" t="s">
        <v>200</v>
      </c>
      <c r="D744" s="584" t="s">
        <v>249</v>
      </c>
      <c r="E744" s="702" t="s">
        <v>716</v>
      </c>
      <c r="F744" s="702" t="s">
        <v>737</v>
      </c>
      <c r="G744" s="711" t="str">
        <f>VLOOKUP(WWWW[[#This Row],[Site Name]],SiteDB6[[Site Name]:[Location Type]],8,FALSE)</f>
        <v>Camp</v>
      </c>
      <c r="H744" s="711" t="s">
        <v>738</v>
      </c>
      <c r="I744" s="705">
        <v>6</v>
      </c>
      <c r="J744" s="705">
        <v>27</v>
      </c>
      <c r="K744" s="706">
        <v>43497</v>
      </c>
      <c r="L744" s="707">
        <v>43861</v>
      </c>
      <c r="M744" s="705">
        <v>6</v>
      </c>
      <c r="N744" s="705"/>
      <c r="O744" s="705"/>
      <c r="P744" s="705"/>
      <c r="Q744" s="708"/>
      <c r="R744" s="705"/>
      <c r="S744" s="705"/>
      <c r="T744" s="807"/>
      <c r="U744" s="705"/>
      <c r="V744" s="705"/>
      <c r="W744" s="705"/>
      <c r="X744" s="705"/>
      <c r="Y744" s="705"/>
      <c r="Z744" s="705"/>
      <c r="AA744" s="705"/>
      <c r="AB744" s="705"/>
      <c r="AC744" s="705"/>
      <c r="AD744" s="705"/>
      <c r="AE744" s="705"/>
      <c r="AF744" s="705"/>
      <c r="AG744" s="705"/>
      <c r="AH744" s="705"/>
      <c r="AI744" s="705"/>
      <c r="AJ744" s="705"/>
      <c r="AK744" s="705"/>
      <c r="AL744" s="705"/>
      <c r="AM744" s="705"/>
      <c r="AN744" s="705"/>
      <c r="AO744" s="709"/>
      <c r="AP744" s="705">
        <v>6</v>
      </c>
      <c r="AQ744" s="705"/>
      <c r="AR744" s="710"/>
      <c r="AS744" s="705"/>
      <c r="AT744" s="705"/>
      <c r="AU744" s="705"/>
      <c r="AV744" s="705"/>
      <c r="AW744" s="705"/>
      <c r="AX744" s="711" t="s">
        <v>144</v>
      </c>
      <c r="AY744" s="709" t="s">
        <v>1200</v>
      </c>
      <c r="AZ744" s="705"/>
      <c r="BA744" s="705"/>
      <c r="BB744" s="705"/>
      <c r="BC744" s="711"/>
      <c r="BD744" s="705"/>
      <c r="BE744" s="705"/>
      <c r="BF744" s="705"/>
      <c r="BG744" s="705"/>
      <c r="BH744" s="705"/>
      <c r="BI744" s="705"/>
      <c r="BJ744" s="705"/>
      <c r="BK744" s="705">
        <v>6</v>
      </c>
      <c r="BL744" s="705">
        <v>6</v>
      </c>
      <c r="BM744" s="711"/>
      <c r="BN744" s="712">
        <v>37</v>
      </c>
      <c r="BO744" s="710"/>
      <c r="BP744" s="711"/>
      <c r="BQ744" s="713" t="str">
        <f>IFERROR(WWWW[[#This Row],['#_Water sources treated]]/WWWW[[#This Row],['#_Water sources tested for contamination]],"no test")</f>
        <v>no test</v>
      </c>
      <c r="BR744" s="710" t="str">
        <f>IFERROR(WWWW[[#This Row],['#_Household received remediation action due to contamination]]/WWWW[[#This Row],['#_Household water samples tested for contamination]],"no test")</f>
        <v>no test</v>
      </c>
      <c r="BS744" s="712" t="str">
        <f>IF(AND(WWWW[[#This Row],[% of water sources treated]]="no test",WWWW[[#This Row],[% Household received corrective actions]]="no test"),"No Test","Tested")</f>
        <v>No Test</v>
      </c>
      <c r="BT744" s="712">
        <f>WWWW[[#This Row],['#_Constructed/existing protected hand dug well]]-WWWW[[#This Row],['#_Non-functional protected hand dug well]]</f>
        <v>0</v>
      </c>
      <c r="BU744" s="712">
        <f>(WWWW[[#This Row],['#_Constructed/Existing tube wells/boreholes/handpumps_WASH_agency]]+WWWW[[#This Row],['#_Non-Cluster partner water tube-wells/boreholes/handpumps]])-WWWW[[#This Row],['#_Non-functional tube wells/boreholes/handpumps]]</f>
        <v>0</v>
      </c>
      <c r="BV744" s="712">
        <f>WWWW[[#This Row],['#_Constructed/Existingwater storage tank with gravity fed reticulation system]]-WWWW[[#This Row],['#_Non-functional storage tank gravity fed reticulation system]]</f>
        <v>0</v>
      </c>
      <c r="BW744" s="712">
        <f>WWWW[[#This Row],['#_Water boating or water trucking]]</f>
        <v>0</v>
      </c>
      <c r="BX744" s="712">
        <f>WWWW[[#This Row],['#_Constructed/Existing water distribution system from river or natural spring]]</f>
        <v>0</v>
      </c>
      <c r="BY744"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44"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44" s="710">
        <f>IF(WWWW[[#This Row],[Location Type 1]]="Village",WWWW[[#This Row],[Access to safe drinking water for Village]],WWWW[[#This Row],[Access to safe drinking water for Camp]])</f>
        <v>0</v>
      </c>
      <c r="CB744" s="708">
        <f>WWWW[[#This Row],[%Equitable and continuous access to sufficient quantity of safe drinking water]]*WWWW[[#This Row],[Total PoP ]]</f>
        <v>0</v>
      </c>
      <c r="CC744" s="710">
        <f>IF((WWWW[[#This Row],['#_Constructed/Existing protected/fenced ponds]]*250)/WWWW[[#This Row],[Total PoP ]]&gt;1,1,(WWWW[[#This Row],['#_Constructed/Existing protected/fenced ponds]]*250)/WWWW[[#This Row],[Total PoP ]])</f>
        <v>0</v>
      </c>
      <c r="CD744" s="708">
        <f>WWWW[[#This Row],[% Access to unimproved water points]]*WWWW[[#This Row],[Total PoP ]]</f>
        <v>0</v>
      </c>
      <c r="CE744"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44"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44" s="708">
        <f>WWWW[[#This Row],[HRP1]]/500</f>
        <v>0</v>
      </c>
      <c r="CH744" s="714">
        <f>1-WWWW[[#This Row],[% Equitable and continuous access to sufficient quantity of domestic water]]</f>
        <v>1</v>
      </c>
      <c r="CI744" s="708">
        <f>WWWW[[#This Row],[%equitable and continuous access to sufficient quantity of safe drinking and domestic water''s GAP]]*WWWW[[#This Row],[Total PoP ]]</f>
        <v>27</v>
      </c>
      <c r="CJ744" s="712">
        <f>IF(WWWW[[#This Row],[Total required water points]]-WWWW[[#This Row],['#Water points coverage]]&lt;0,0,WWWW[[#This Row],[Total required water points]]-WWWW[[#This Row],['#Water points coverage]])</f>
        <v>1</v>
      </c>
      <c r="CK744" s="712">
        <f>ROUND(IF(WWWW[[#This Row],[Total PoP ]]&lt;500,1,WWWW[[#This Row],[Total PoP ]]/500),0)</f>
        <v>1</v>
      </c>
      <c r="CL744" s="712">
        <f>(WWWW[[#This Row],['#_Constructed latrines_by_WASHAgencies]]+WWWW[[#This Row],['#_Non Cluster partner latrines]])-WWWW[[#This Row],['#_Non-functional latrines]]</f>
        <v>6</v>
      </c>
      <c r="CM744"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44"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27</v>
      </c>
      <c r="CO744"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4" s="712">
        <f>IF(WWWW[[#This Row],[Location Type 1]]="Village","NA",IF(WWWW[[#This Row],['#_Constructed/Existing latrines in TLS]]*50&gt;WWWW[[#This Row],['#_students at TLS_CFS]],WWWW[[#This Row],['#_students at TLS_CFS]],(WWWW[[#This Row],['#_Constructed/Existing latrines in TLS]]*50)))</f>
        <v>0</v>
      </c>
      <c r="CQ744" s="712">
        <f>ROUND(IF(WWWW[[#This Row],[Location Type 1]]="camp",WWWW[[#This Row],[Total PoP ]]/20,IF(WWWW[[#This Row],[Location Type 1]]="Temporary Location",WWWW[[#This Row],[Total PoP ]]/50,(WWWW[[#This Row],[Total PoP ]]/6))),0)</f>
        <v>1</v>
      </c>
      <c r="CR744" s="712">
        <f>IF(WWWW[[#This Row],[Total required Latrines]]-(WWWW[[#This Row],['#_Constructed latrines_by_WASHAgencies]]+WWWW[[#This Row],['#_Non Cluster partner latrines]])&lt;0,0,WWWW[[#This Row],[Total required Latrines]]-(WWWW[[#This Row],['#_Constructed latrines_by_WASHAgencies]]+WWWW[[#This Row],['#_Non Cluster partner latrines]]))</f>
        <v>0</v>
      </c>
      <c r="CS744" s="714">
        <f>1-WWWW[[#This Row],[% people access to functioning Latrine]]</f>
        <v>0</v>
      </c>
      <c r="CT744" s="713">
        <f>IF(OR(WWWW[[#This Row],['#_Non-functional latrines]]="",WWWW[[#This Row],['#_Non-functional latrines]]=0),0,WWWW[[#This Row],['#_Non-functional latrines]]/(WWWW[[#This Row],['#_Constructed latrines_by_WASHAgencies]]+WWWW[[#This Row],['#_Non Cluster partner latrines]]))</f>
        <v>0</v>
      </c>
      <c r="CU744" s="708">
        <f>IF(500*(WWWW[[#This Row],['#_male hygiene promoters]]+WWWW[[#This Row],['#_female hygiene promoters]])&gt;WWWW[[#This Row],[Total PoP ]],WWWW[[#This Row],[Total PoP ]],500*(WWWW[[#This Row],['#_male hygiene promoters]]+WWWW[[#This Row],['#_female hygiene promoters]]))</f>
        <v>0</v>
      </c>
      <c r="CV744"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v>
      </c>
      <c r="CW744"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27</v>
      </c>
      <c r="CX744" s="712">
        <f>IF(WWWW[[#This Row],['# People with access to soap]]&gt;WWWW[[#This Row],['# People with access to Sanity Pads]],WWWW[[#This Row],['# People with access to soap]],WWWW[[#This Row],['# People with access to Sanity Pads]])</f>
        <v>27</v>
      </c>
      <c r="CY744" s="712">
        <f>IF(WWWW[[#This Row],['# people reached by regular dedicated hygiene promotion_5]]&gt;WWWW[[#This Row],['# People received regular supply of hygiene items_6]],WWWW[[#This Row],['# people reached by regular dedicated hygiene promotion_5]],WWWW[[#This Row],['# People received regular supply of hygiene items_6]])</f>
        <v>27</v>
      </c>
      <c r="CZ744" s="714">
        <f>IF(WWWW[[#This Row],[HRP3]]/WWWW[[#This Row],[Total PoP ]]&gt;100%,100%,WWWW[[#This Row],[HRP3]]/WWWW[[#This Row],[Total PoP ]])</f>
        <v>1</v>
      </c>
      <c r="DA744" s="713">
        <f>1-WWWW[[#This Row],[Hygiene Coverage%]]</f>
        <v>0</v>
      </c>
      <c r="DB744" s="710">
        <f>WWWW[[#This Row],['# people reached by regular dedicated hygiene promotion_5]]/WWWW[[#This Row],[Total PoP ]]</f>
        <v>0</v>
      </c>
      <c r="DC744" s="710">
        <f>IF(WWWW[[#This Row],['#_households that received standard amount of soap for this quarter]]/WWWW[[#This Row],[Total HH]]&gt;1,1,WWWW[[#This Row],['#_households that received standard amount of soap for this quarter]]/WWWW[[#This Row],[Total HH]])</f>
        <v>1</v>
      </c>
      <c r="DD744" s="710">
        <f>IF(WWWW[[#This Row],['#_households that received standard amount of sanitary pads for this quarter]]/WWWW[[#This Row],[Total HH]]&gt;1,1,WWWW[[#This Row],['#_households that received standard amount of sanitary pads for this quarter]]/WWWW[[#This Row],[Total HH]])</f>
        <v>1</v>
      </c>
      <c r="DE744" s="712">
        <f>WWWW[[#This Row],['#_Constructed/Existing hand washing stations]]-WWWW[[#This Row],['#_Non-Functional_hand_washing_stations]]</f>
        <v>0</v>
      </c>
      <c r="DF744" s="757">
        <f>IF(WWWW[[#This Row],['# Functional hand washing stations during reporting period]]*20&gt;WWWW[[#This Row],[Total HH]],WWWW[[#This Row],[Total HH]],WWWW[[#This Row],['# Functional hand washing stations during reporting period]]*20)</f>
        <v>0</v>
      </c>
      <c r="DG744" s="708">
        <f>IF(WWWW[[#This Row],[Is sufficient soap available for TLS? (Yes/No)]]="yes",WWWW[[#This Row],['#_Constructed/Existing hand washing stations at TLS]],0)</f>
        <v>0</v>
      </c>
      <c r="DH744" s="759">
        <f>IF(WWWW[[#This Row],['# Functional hand washing stations during reporting period]]*100&gt;WWWW[[#This Row],[Total PoP ]],WWWW[[#This Row],[Total PoP ]],WWWW[[#This Row],['# Functional hand washing stations during reporting period]]*100)</f>
        <v>0</v>
      </c>
      <c r="DI744" s="759" t="str">
        <f>IF(OR(WWWW[[#This Row],['#_students at TLS_CFS]]="",WWWW[[#This Row],['#_students at TLS_CFS]]=0),"No","Yes")</f>
        <v>Yes</v>
      </c>
      <c r="DJ744" s="711">
        <f>VLOOKUP(WWWW[[#This Row],[Site Name]],SiteDB6[[Site Name]:[CCCM Management]],6,FALSE)</f>
        <v>0</v>
      </c>
      <c r="DK744" s="711" t="str">
        <f>VLOOKUP(WWWW[[#This Row],[Site Name]],SiteDB6[[Site Name]:[CCCM Focal Agency]],7,FALSE)</f>
        <v>uncovered</v>
      </c>
      <c r="DL744" s="711" t="str">
        <f>VLOOKUP(WWWW[[#This Row],[Site Name]],SiteDB6[[Site Name]:[Location Type 1]],9,FALSE)</f>
        <v>Camp</v>
      </c>
      <c r="DM744" s="711" t="str">
        <f>VLOOKUP(WWWW[[#This Row],[Site Name]],SiteDB6[[Site Name]:[Type of Accommodation]],10,FALSE)</f>
        <v>Camp like setting</v>
      </c>
      <c r="DN744" s="711" t="str">
        <f>VLOOKUP(WWWW[[#This Row],[Site Name]],SiteDB6[[Site Name]:[Ethnic or GCA/NGCA]],11,FALSE)</f>
        <v>GCA</v>
      </c>
      <c r="DO744" s="711">
        <f>VLOOKUP(WWWW[[#This Row],[Site Name]],SiteDB6[[Site Name]:[Lat]],12,FALSE)</f>
        <v>22.765999999999998</v>
      </c>
      <c r="DP744" s="711">
        <f>VLOOKUP(WWWW[[#This Row],[Site Name]],SiteDB6[[Site Name]:[Long]],13,FALSE)</f>
        <v>97.358999999999995</v>
      </c>
      <c r="DQ744" s="711" t="str">
        <f>VLOOKUP(WWWW[[#This Row],[Site Name]],SiteDB6[[Site Name]:[Pcode]],3,FALSE)</f>
        <v>MMR015CMP221</v>
      </c>
      <c r="DR744" s="709" t="str">
        <f t="shared" si="27"/>
        <v>Covered</v>
      </c>
      <c r="DS744" s="709"/>
    </row>
    <row r="745" spans="1:123">
      <c r="A745" s="701" t="s">
        <v>2519</v>
      </c>
      <c r="B745" s="701" t="s">
        <v>305</v>
      </c>
      <c r="C745" s="702" t="s">
        <v>305</v>
      </c>
      <c r="D745" s="702" t="s">
        <v>3297</v>
      </c>
      <c r="E745" s="702" t="s">
        <v>716</v>
      </c>
      <c r="F745" s="702" t="s">
        <v>757</v>
      </c>
      <c r="G745" s="711" t="str">
        <f>VLOOKUP(WWWW[[#This Row],[Site Name]],SiteDB6[[Site Name]:[Location Type]],8,FALSE)</f>
        <v>New Temporary Site</v>
      </c>
      <c r="H745" s="702" t="s">
        <v>2995</v>
      </c>
      <c r="I745" s="705">
        <v>53</v>
      </c>
      <c r="J745" s="705">
        <v>194</v>
      </c>
      <c r="K745" s="706">
        <v>43100</v>
      </c>
      <c r="L745" s="707">
        <v>43799</v>
      </c>
      <c r="M745" s="705"/>
      <c r="N745" s="705"/>
      <c r="O745" s="705"/>
      <c r="P745" s="705"/>
      <c r="Q745" s="708"/>
      <c r="R745" s="705"/>
      <c r="S745" s="705"/>
      <c r="T745" s="807"/>
      <c r="U745" s="705"/>
      <c r="V745" s="705"/>
      <c r="W745" s="705"/>
      <c r="X745" s="705"/>
      <c r="Y745" s="705"/>
      <c r="Z745" s="705"/>
      <c r="AA745" s="705"/>
      <c r="AB745" s="705"/>
      <c r="AC745" s="705"/>
      <c r="AD745" s="705"/>
      <c r="AE745" s="705"/>
      <c r="AF745" s="705"/>
      <c r="AG745" s="705"/>
      <c r="AH745" s="705"/>
      <c r="AI745" s="705"/>
      <c r="AJ745" s="705"/>
      <c r="AK745" s="705"/>
      <c r="AL745" s="705"/>
      <c r="AM745" s="705"/>
      <c r="AN745" s="705"/>
      <c r="AO745" s="709"/>
      <c r="AP745" s="705"/>
      <c r="AQ745" s="705"/>
      <c r="AR745" s="710"/>
      <c r="AS745" s="705"/>
      <c r="AT745" s="705"/>
      <c r="AU745" s="705"/>
      <c r="AV745" s="705"/>
      <c r="AW745" s="705"/>
      <c r="AX745" s="752" t="s">
        <v>148</v>
      </c>
      <c r="AY745" s="782" t="s">
        <v>148</v>
      </c>
      <c r="AZ745" s="705"/>
      <c r="BA745" s="705"/>
      <c r="BB745" s="705"/>
      <c r="BC745" s="711"/>
      <c r="BD745" s="705"/>
      <c r="BE745" s="705"/>
      <c r="BF745" s="705"/>
      <c r="BG745" s="705"/>
      <c r="BH745" s="705"/>
      <c r="BI745" s="705"/>
      <c r="BJ745" s="705"/>
      <c r="BK745" s="705"/>
      <c r="BL745" s="705"/>
      <c r="BM745" s="711"/>
      <c r="BN745" s="712"/>
      <c r="BO745" s="710"/>
      <c r="BP745" s="711"/>
      <c r="BQ745" s="713" t="str">
        <f>IFERROR(WWWW[[#This Row],['#_Water sources treated]]/WWWW[[#This Row],['#_Water sources tested for contamination]],"no test")</f>
        <v>no test</v>
      </c>
      <c r="BR745" s="710" t="str">
        <f>IFERROR(WWWW[[#This Row],['#_Household received remediation action due to contamination]]/WWWW[[#This Row],['#_Household water samples tested for contamination]],"no test")</f>
        <v>no test</v>
      </c>
      <c r="BS745" s="712" t="str">
        <f>IF(AND(WWWW[[#This Row],[% of water sources treated]]="no test",WWWW[[#This Row],[% Household received corrective actions]]="no test"),"No Test","Tested")</f>
        <v>No Test</v>
      </c>
      <c r="BT745" s="712">
        <f>WWWW[[#This Row],['#_Constructed/existing protected hand dug well]]-WWWW[[#This Row],['#_Non-functional protected hand dug well]]</f>
        <v>0</v>
      </c>
      <c r="BU745" s="712">
        <f>(WWWW[[#This Row],['#_Constructed/Existing tube wells/boreholes/handpumps_WASH_agency]]+WWWW[[#This Row],['#_Non-Cluster partner water tube-wells/boreholes/handpumps]])-WWWW[[#This Row],['#_Non-functional tube wells/boreholes/handpumps]]</f>
        <v>0</v>
      </c>
      <c r="BV745" s="712">
        <f>WWWW[[#This Row],['#_Constructed/Existingwater storage tank with gravity fed reticulation system]]-WWWW[[#This Row],['#_Non-functional storage tank gravity fed reticulation system]]</f>
        <v>0</v>
      </c>
      <c r="BW745" s="712">
        <f>WWWW[[#This Row],['#_Water boating or water trucking]]</f>
        <v>0</v>
      </c>
      <c r="BX745" s="712">
        <f>WWWW[[#This Row],['#_Constructed/Existing water distribution system from river or natural spring]]</f>
        <v>0</v>
      </c>
      <c r="BY745"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0</v>
      </c>
      <c r="BZ745"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0</v>
      </c>
      <c r="CA745" s="710">
        <f>IF(WWWW[[#This Row],[Location Type 1]]="Village",WWWW[[#This Row],[Access to safe drinking water for Village]],WWWW[[#This Row],[Access to safe drinking water for Camp]])</f>
        <v>0</v>
      </c>
      <c r="CB745" s="708">
        <f>WWWW[[#This Row],[%Equitable and continuous access to sufficient quantity of safe drinking water]]*WWWW[[#This Row],[Total PoP ]]</f>
        <v>0</v>
      </c>
      <c r="CC745" s="710">
        <f>IF((WWWW[[#This Row],['#_Constructed/Existing protected/fenced ponds]]*250)/WWWW[[#This Row],[Total PoP ]]&gt;1,1,(WWWW[[#This Row],['#_Constructed/Existing protected/fenced ponds]]*250)/WWWW[[#This Row],[Total PoP ]])</f>
        <v>0</v>
      </c>
      <c r="CD745" s="708">
        <f>WWWW[[#This Row],[% Access to unimproved water points]]*WWWW[[#This Row],[Total PoP ]]</f>
        <v>0</v>
      </c>
      <c r="CE745"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F745"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G745" s="708">
        <f>WWWW[[#This Row],[HRP1]]/500</f>
        <v>0</v>
      </c>
      <c r="CH745" s="714">
        <f>1-WWWW[[#This Row],[% Equitable and continuous access to sufficient quantity of domestic water]]</f>
        <v>1</v>
      </c>
      <c r="CI745" s="708">
        <f>WWWW[[#This Row],[%equitable and continuous access to sufficient quantity of safe drinking and domestic water''s GAP]]*WWWW[[#This Row],[Total PoP ]]</f>
        <v>194</v>
      </c>
      <c r="CJ745" s="712">
        <f>IF(WWWW[[#This Row],[Total required water points]]-WWWW[[#This Row],['#Water points coverage]]&lt;0,0,WWWW[[#This Row],[Total required water points]]-WWWW[[#This Row],['#Water points coverage]])</f>
        <v>1</v>
      </c>
      <c r="CK745" s="712">
        <f>ROUND(IF(WWWW[[#This Row],[Total PoP ]]&lt;500,1,WWWW[[#This Row],[Total PoP ]]/500),0)</f>
        <v>1</v>
      </c>
      <c r="CL745" s="712">
        <f>(WWWW[[#This Row],['#_Constructed latrines_by_WASHAgencies]]+WWWW[[#This Row],['#_Non Cluster partner latrines]])-WWWW[[#This Row],['#_Non-functional latrines]]</f>
        <v>0</v>
      </c>
      <c r="CM745"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0</v>
      </c>
      <c r="CN745"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0</v>
      </c>
      <c r="CO745"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5" s="712">
        <f>IF(WWWW[[#This Row],[Location Type 1]]="Village","NA",IF(WWWW[[#This Row],['#_Constructed/Existing latrines in TLS]]*50&gt;WWWW[[#This Row],['#_students at TLS_CFS]],WWWW[[#This Row],['#_students at TLS_CFS]],(WWWW[[#This Row],['#_Constructed/Existing latrines in TLS]]*50)))</f>
        <v>0</v>
      </c>
      <c r="CQ745" s="712">
        <f>ROUND(IF(WWWW[[#This Row],[Location Type 1]]="camp",WWWW[[#This Row],[Total PoP ]]/20,IF(WWWW[[#This Row],[Location Type 1]]="Temporary Location",WWWW[[#This Row],[Total PoP ]]/50,(WWWW[[#This Row],[Total PoP ]]/6))),0)</f>
        <v>4</v>
      </c>
      <c r="CR745" s="712">
        <f>IF(WWWW[[#This Row],[Total required Latrines]]-(WWWW[[#This Row],['#_Constructed latrines_by_WASHAgencies]]+WWWW[[#This Row],['#_Non Cluster partner latrines]])&lt;0,0,WWWW[[#This Row],[Total required Latrines]]-(WWWW[[#This Row],['#_Constructed latrines_by_WASHAgencies]]+WWWW[[#This Row],['#_Non Cluster partner latrines]]))</f>
        <v>4</v>
      </c>
      <c r="CS745" s="714">
        <f>1-WWWW[[#This Row],[% people access to functioning Latrine]]</f>
        <v>1</v>
      </c>
      <c r="CT745" s="713">
        <f>IF(OR(WWWW[[#This Row],['#_Non-functional latrines]]="",WWWW[[#This Row],['#_Non-functional latrines]]=0),0,WWWW[[#This Row],['#_Non-functional latrines]]/(WWWW[[#This Row],['#_Constructed latrines_by_WASHAgencies]]+WWWW[[#This Row],['#_Non Cluster partner latrines]]))</f>
        <v>0</v>
      </c>
      <c r="CU745" s="708">
        <f>IF(500*(WWWW[[#This Row],['#_male hygiene promoters]]+WWWW[[#This Row],['#_female hygiene promoters]])&gt;WWWW[[#This Row],[Total PoP ]],WWWW[[#This Row],[Total PoP ]],500*(WWWW[[#This Row],['#_male hygiene promoters]]+WWWW[[#This Row],['#_female hygiene promoters]]))</f>
        <v>0</v>
      </c>
      <c r="CV745"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CW745"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0</v>
      </c>
      <c r="CX745" s="712">
        <f>IF(WWWW[[#This Row],['# People with access to soap]]&gt;WWWW[[#This Row],['# People with access to Sanity Pads]],WWWW[[#This Row],['# People with access to soap]],WWWW[[#This Row],['# People with access to Sanity Pads]])</f>
        <v>0</v>
      </c>
      <c r="CY745" s="712">
        <f>IF(WWWW[[#This Row],['# people reached by regular dedicated hygiene promotion_5]]&gt;WWWW[[#This Row],['# People received regular supply of hygiene items_6]],WWWW[[#This Row],['# people reached by regular dedicated hygiene promotion_5]],WWWW[[#This Row],['# People received regular supply of hygiene items_6]])</f>
        <v>0</v>
      </c>
      <c r="CZ745" s="714">
        <f>IF(WWWW[[#This Row],[HRP3]]/WWWW[[#This Row],[Total PoP ]]&gt;100%,100%,WWWW[[#This Row],[HRP3]]/WWWW[[#This Row],[Total PoP ]])</f>
        <v>0</v>
      </c>
      <c r="DA745" s="713">
        <f>1-WWWW[[#This Row],[Hygiene Coverage%]]</f>
        <v>1</v>
      </c>
      <c r="DB745" s="710">
        <f>WWWW[[#This Row],['# people reached by regular dedicated hygiene promotion_5]]/WWWW[[#This Row],[Total PoP ]]</f>
        <v>0</v>
      </c>
      <c r="DC745" s="710">
        <f>IF(WWWW[[#This Row],['#_households that received standard amount of soap for this quarter]]/WWWW[[#This Row],[Total HH]]&gt;1,1,WWWW[[#This Row],['#_households that received standard amount of soap for this quarter]]/WWWW[[#This Row],[Total HH]])</f>
        <v>0</v>
      </c>
      <c r="DD745" s="710">
        <f>IF(WWWW[[#This Row],['#_households that received standard amount of sanitary pads for this quarter]]/WWWW[[#This Row],[Total HH]]&gt;1,1,WWWW[[#This Row],['#_households that received standard amount of sanitary pads for this quarter]]/WWWW[[#This Row],[Total HH]])</f>
        <v>0</v>
      </c>
      <c r="DE745" s="712">
        <f>WWWW[[#This Row],['#_Constructed/Existing hand washing stations]]-WWWW[[#This Row],['#_Non-Functional_hand_washing_stations]]</f>
        <v>0</v>
      </c>
      <c r="DF745" s="757">
        <f>IF(WWWW[[#This Row],['# Functional hand washing stations during reporting period]]*20&gt;WWWW[[#This Row],[Total HH]],WWWW[[#This Row],[Total HH]],WWWW[[#This Row],['# Functional hand washing stations during reporting period]]*20)</f>
        <v>0</v>
      </c>
      <c r="DG745" s="708">
        <f>IF(WWWW[[#This Row],[Is sufficient soap available for TLS? (Yes/No)]]="yes",WWWW[[#This Row],['#_Constructed/Existing hand washing stations at TLS]],0)</f>
        <v>0</v>
      </c>
      <c r="DH745" s="759">
        <f>IF(WWWW[[#This Row],['# Functional hand washing stations during reporting period]]*100&gt;WWWW[[#This Row],[Total PoP ]],WWWW[[#This Row],[Total PoP ]],WWWW[[#This Row],['# Functional hand washing stations during reporting period]]*100)</f>
        <v>0</v>
      </c>
      <c r="DI745" s="759" t="str">
        <f>IF(OR(WWWW[[#This Row],['#_students at TLS_CFS]]="",WWWW[[#This Row],['#_students at TLS_CFS]]=0),"No","Yes")</f>
        <v>No</v>
      </c>
      <c r="DJ745" s="711">
        <f>VLOOKUP(WWWW[[#This Row],[Site Name]],SiteDB6[[Site Name]:[CCCM Management]],6,FALSE)</f>
        <v>0</v>
      </c>
      <c r="DK745" s="711">
        <f>VLOOKUP(WWWW[[#This Row],[Site Name]],SiteDB6[[Site Name]:[CCCM Focal Agency]],7,FALSE)</f>
        <v>0</v>
      </c>
      <c r="DL745" s="711" t="str">
        <f>VLOOKUP(WWWW[[#This Row],[Site Name]],SiteDB6[[Site Name]:[Location Type 1]],9,FALSE)</f>
        <v>Temporary location</v>
      </c>
      <c r="DM745" s="711" t="str">
        <f>VLOOKUP(WWWW[[#This Row],[Site Name]],SiteDB6[[Site Name]:[Type of Accommodation]],10,FALSE)</f>
        <v>Temporary location</v>
      </c>
      <c r="DN745" s="711" t="str">
        <f>VLOOKUP(WWWW[[#This Row],[Site Name]],SiteDB6[[Site Name]:[Ethnic or GCA/NGCA]],11,FALSE)</f>
        <v>GCA</v>
      </c>
      <c r="DO745" s="711">
        <f>VLOOKUP(WWWW[[#This Row],[Site Name]],SiteDB6[[Site Name]:[Lat]],12,FALSE)</f>
        <v>0</v>
      </c>
      <c r="DP745" s="711">
        <f>VLOOKUP(WWWW[[#This Row],[Site Name]],SiteDB6[[Site Name]:[Long]],13,FALSE)</f>
        <v>0</v>
      </c>
      <c r="DQ745" s="711">
        <f>VLOOKUP(WWWW[[#This Row],[Site Name]],SiteDB6[[Site Name]:[Pcode]],3,FALSE)</f>
        <v>0</v>
      </c>
      <c r="DR745" s="709" t="str">
        <f t="shared" si="27"/>
        <v>Covered</v>
      </c>
      <c r="DS745" s="709"/>
    </row>
    <row r="746" spans="1:123">
      <c r="A746" s="701" t="s">
        <v>2519</v>
      </c>
      <c r="B746" s="808" t="s">
        <v>1957</v>
      </c>
      <c r="C746" s="808" t="s">
        <v>1957</v>
      </c>
      <c r="D746" s="584" t="s">
        <v>3299</v>
      </c>
      <c r="E746" s="702" t="s">
        <v>716</v>
      </c>
      <c r="F746" s="702" t="s">
        <v>735</v>
      </c>
      <c r="G746" s="711" t="str">
        <f>VLOOKUP(WWWW[[#This Row],[Site Name]],SiteDB6[[Site Name]:[Location Type]],8,FALSE)</f>
        <v>Camp</v>
      </c>
      <c r="H746" s="711" t="s">
        <v>765</v>
      </c>
      <c r="I746" s="705">
        <v>38</v>
      </c>
      <c r="J746" s="705">
        <v>183</v>
      </c>
      <c r="K746" s="593" t="s">
        <v>3300</v>
      </c>
      <c r="L746" s="58" t="s">
        <v>3301</v>
      </c>
      <c r="M746" s="705">
        <v>55</v>
      </c>
      <c r="N746" s="705"/>
      <c r="O746" s="705"/>
      <c r="P746" s="705"/>
      <c r="Q746" s="708" t="s">
        <v>43</v>
      </c>
      <c r="R746" s="705">
        <v>4</v>
      </c>
      <c r="S746" s="705">
        <v>4</v>
      </c>
      <c r="T746" s="807">
        <v>1</v>
      </c>
      <c r="U746" s="705"/>
      <c r="V746" s="705"/>
      <c r="W746" s="705">
        <v>1</v>
      </c>
      <c r="X746" s="705"/>
      <c r="Y746" s="705"/>
      <c r="Z746" s="705"/>
      <c r="AA746" s="705">
        <v>13</v>
      </c>
      <c r="AB746" s="705">
        <v>13</v>
      </c>
      <c r="AC746" s="705"/>
      <c r="AD746" s="705"/>
      <c r="AE746" s="705"/>
      <c r="AF746" s="705"/>
      <c r="AG746" s="705">
        <v>1</v>
      </c>
      <c r="AH746" s="705"/>
      <c r="AI746" s="705">
        <v>1</v>
      </c>
      <c r="AJ746" s="705"/>
      <c r="AK746" s="705">
        <v>15</v>
      </c>
      <c r="AL746" s="705"/>
      <c r="AM746" s="705"/>
      <c r="AN746" s="705"/>
      <c r="AO746" s="709"/>
      <c r="AP746" s="705">
        <v>27</v>
      </c>
      <c r="AQ746" s="705">
        <v>9</v>
      </c>
      <c r="AR746" s="710"/>
      <c r="AS746" s="705"/>
      <c r="AT746" s="705"/>
      <c r="AU746" s="705"/>
      <c r="AV746" s="705"/>
      <c r="AW746" s="705"/>
      <c r="AX746" s="711" t="s">
        <v>144</v>
      </c>
      <c r="AY746" s="709" t="s">
        <v>144</v>
      </c>
      <c r="AZ746" s="705"/>
      <c r="BA746" s="705"/>
      <c r="BB746" s="705"/>
      <c r="BC746" s="711" t="s">
        <v>2969</v>
      </c>
      <c r="BD746" s="705"/>
      <c r="BE746" s="705"/>
      <c r="BF746" s="705"/>
      <c r="BG746" s="705"/>
      <c r="BH746" s="705"/>
      <c r="BI746" s="705"/>
      <c r="BJ746" s="705">
        <v>1</v>
      </c>
      <c r="BK746" s="705">
        <f>30+31</f>
        <v>61</v>
      </c>
      <c r="BL746" s="705">
        <f>30+31</f>
        <v>61</v>
      </c>
      <c r="BM746" s="711"/>
      <c r="BN746" s="712"/>
      <c r="BO746" s="710">
        <v>0.5</v>
      </c>
      <c r="BP746" s="711"/>
      <c r="BQ746" s="713">
        <f>IFERROR(WWWW[[#This Row],['#_Water sources treated]]/WWWW[[#This Row],['#_Water sources tested for contamination]],"no test")</f>
        <v>0</v>
      </c>
      <c r="BR746" s="710">
        <f>IFERROR(WWWW[[#This Row],['#_Household received remediation action due to contamination]]/WWWW[[#This Row],['#_Household water samples tested for contamination]],"no test")</f>
        <v>0</v>
      </c>
      <c r="BS746" s="712" t="str">
        <f>IF(AND(WWWW[[#This Row],[% of water sources treated]]="no test",WWWW[[#This Row],[% Household received corrective actions]]="no test"),"No Test","Tested")</f>
        <v>Tested</v>
      </c>
      <c r="BT746" s="712">
        <f>WWWW[[#This Row],['#_Constructed/existing protected hand dug well]]-WWWW[[#This Row],['#_Non-functional protected hand dug well]]</f>
        <v>1</v>
      </c>
      <c r="BU746" s="712">
        <f>(WWWW[[#This Row],['#_Constructed/Existing tube wells/boreholes/handpumps_WASH_agency]]+WWWW[[#This Row],['#_Non-Cluster partner water tube-wells/boreholes/handpumps]])-WWWW[[#This Row],['#_Non-functional tube wells/boreholes/handpumps]]</f>
        <v>1</v>
      </c>
      <c r="BV746" s="712">
        <f>WWWW[[#This Row],['#_Constructed/Existingwater storage tank with gravity fed reticulation system]]-WWWW[[#This Row],['#_Non-functional storage tank gravity fed reticulation system]]</f>
        <v>0</v>
      </c>
      <c r="BW746" s="712">
        <f>WWWW[[#This Row],['#_Water boating or water trucking]]</f>
        <v>0</v>
      </c>
      <c r="BX746" s="712">
        <f>WWWW[[#This Row],['#_Constructed/Existing water distribution system from river or natural spring]]</f>
        <v>0</v>
      </c>
      <c r="BY746"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46"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46" s="710">
        <f>IF(WWWW[[#This Row],[Location Type 1]]="Village",WWWW[[#This Row],[Access to safe drinking water for Village]],WWWW[[#This Row],[Access to safe drinking water for Camp]])</f>
        <v>1</v>
      </c>
      <c r="CB746" s="708">
        <f>WWWW[[#This Row],[%Equitable and continuous access to sufficient quantity of safe drinking water]]*WWWW[[#This Row],[Total PoP ]]</f>
        <v>183</v>
      </c>
      <c r="CC746" s="710">
        <f>IF((WWWW[[#This Row],['#_Constructed/Existing protected/fenced ponds]]*250)/WWWW[[#This Row],[Total PoP ]]&gt;1,1,(WWWW[[#This Row],['#_Constructed/Existing protected/fenced ponds]]*250)/WWWW[[#This Row],[Total PoP ]])</f>
        <v>0</v>
      </c>
      <c r="CD746" s="708">
        <f>WWWW[[#This Row],[% Access to unimproved water points]]*WWWW[[#This Row],[Total PoP ]]</f>
        <v>0</v>
      </c>
      <c r="CE746"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46"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183</v>
      </c>
      <c r="CG746" s="708">
        <f>WWWW[[#This Row],[HRP1]]/500</f>
        <v>0.36599999999999999</v>
      </c>
      <c r="CH746" s="714">
        <f>1-WWWW[[#This Row],[% Equitable and continuous access to sufficient quantity of domestic water]]</f>
        <v>0</v>
      </c>
      <c r="CI746" s="708">
        <f>WWWW[[#This Row],[%equitable and continuous access to sufficient quantity of safe drinking and domestic water''s GAP]]*WWWW[[#This Row],[Total PoP ]]</f>
        <v>0</v>
      </c>
      <c r="CJ746" s="712">
        <f>IF(WWWW[[#This Row],[Total required water points]]-WWWW[[#This Row],['#Water points coverage]]&lt;0,0,WWWW[[#This Row],[Total required water points]]-WWWW[[#This Row],['#Water points coverage]])</f>
        <v>0.63400000000000001</v>
      </c>
      <c r="CK746" s="712">
        <f>ROUND(IF(WWWW[[#This Row],[Total PoP ]]&lt;500,1,WWWW[[#This Row],[Total PoP ]]/500),0)</f>
        <v>1</v>
      </c>
      <c r="CL746" s="712">
        <f>(WWWW[[#This Row],['#_Constructed latrines_by_WASHAgencies]]+WWWW[[#This Row],['#_Non Cluster partner latrines]])-WWWW[[#This Row],['#_Non-functional latrines]]</f>
        <v>36</v>
      </c>
      <c r="CM746"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46"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183</v>
      </c>
      <c r="CO746"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6" s="712">
        <f>IF(WWWW[[#This Row],[Location Type 1]]="Village","NA",IF(WWWW[[#This Row],['#_Constructed/Existing latrines in TLS]]*50&gt;WWWW[[#This Row],['#_students at TLS_CFS]],WWWW[[#This Row],['#_students at TLS_CFS]],(WWWW[[#This Row],['#_Constructed/Existing latrines in TLS]]*50)))</f>
        <v>0</v>
      </c>
      <c r="CQ746" s="712">
        <f>ROUND(IF(WWWW[[#This Row],[Location Type 1]]="camp",WWWW[[#This Row],[Total PoP ]]/20,IF(WWWW[[#This Row],[Location Type 1]]="Temporary Location",WWWW[[#This Row],[Total PoP ]]/50,(WWWW[[#This Row],[Total PoP ]]/6))),0)</f>
        <v>9</v>
      </c>
      <c r="CR746" s="712">
        <f>IF(WWWW[[#This Row],[Total required Latrines]]-(WWWW[[#This Row],['#_Constructed latrines_by_WASHAgencies]]+WWWW[[#This Row],['#_Non Cluster partner latrines]])&lt;0,0,WWWW[[#This Row],[Total required Latrines]]-(WWWW[[#This Row],['#_Constructed latrines_by_WASHAgencies]]+WWWW[[#This Row],['#_Non Cluster partner latrines]]))</f>
        <v>0</v>
      </c>
      <c r="CS746" s="714">
        <f>1-WWWW[[#This Row],[% people access to functioning Latrine]]</f>
        <v>0</v>
      </c>
      <c r="CT746" s="713">
        <f>IF(OR(WWWW[[#This Row],['#_Non-functional latrines]]="",WWWW[[#This Row],['#_Non-functional latrines]]=0),0,WWWW[[#This Row],['#_Non-functional latrines]]/(WWWW[[#This Row],['#_Constructed latrines_by_WASHAgencies]]+WWWW[[#This Row],['#_Non Cluster partner latrines]]))</f>
        <v>0</v>
      </c>
      <c r="CU746" s="708">
        <f>IF(500*(WWWW[[#This Row],['#_male hygiene promoters]]+WWWW[[#This Row],['#_female hygiene promoters]])&gt;WWWW[[#This Row],[Total PoP ]],WWWW[[#This Row],[Total PoP ]],500*(WWWW[[#This Row],['#_male hygiene promoters]]+WWWW[[#This Row],['#_female hygiene promoters]]))</f>
        <v>183</v>
      </c>
      <c r="CV746"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183</v>
      </c>
      <c r="CW746"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183</v>
      </c>
      <c r="CX746" s="712">
        <f>IF(WWWW[[#This Row],['# People with access to soap]]&gt;WWWW[[#This Row],['# People with access to Sanity Pads]],WWWW[[#This Row],['# People with access to soap]],WWWW[[#This Row],['# People with access to Sanity Pads]])</f>
        <v>183</v>
      </c>
      <c r="CY746" s="712">
        <f>IF(WWWW[[#This Row],['# people reached by regular dedicated hygiene promotion_5]]&gt;WWWW[[#This Row],['# People received regular supply of hygiene items_6]],WWWW[[#This Row],['# people reached by regular dedicated hygiene promotion_5]],WWWW[[#This Row],['# People received regular supply of hygiene items_6]])</f>
        <v>183</v>
      </c>
      <c r="CZ746" s="714">
        <f>IF(WWWW[[#This Row],[HRP3]]/WWWW[[#This Row],[Total PoP ]]&gt;100%,100%,WWWW[[#This Row],[HRP3]]/WWWW[[#This Row],[Total PoP ]])</f>
        <v>1</v>
      </c>
      <c r="DA746" s="713">
        <f>1-WWWW[[#This Row],[Hygiene Coverage%]]</f>
        <v>0</v>
      </c>
      <c r="DB746" s="710">
        <f>WWWW[[#This Row],['# people reached by regular dedicated hygiene promotion_5]]/WWWW[[#This Row],[Total PoP ]]</f>
        <v>1</v>
      </c>
      <c r="DC746" s="710">
        <f>IF(WWWW[[#This Row],['#_households that received standard amount of soap for this quarter]]/WWWW[[#This Row],[Total HH]]&gt;1,1,WWWW[[#This Row],['#_households that received standard amount of soap for this quarter]]/WWWW[[#This Row],[Total HH]])</f>
        <v>1</v>
      </c>
      <c r="DD746" s="710">
        <f>IF(WWWW[[#This Row],['#_households that received standard amount of sanitary pads for this quarter]]/WWWW[[#This Row],[Total HH]]&gt;1,1,WWWW[[#This Row],['#_households that received standard amount of sanitary pads for this quarter]]/WWWW[[#This Row],[Total HH]])</f>
        <v>1</v>
      </c>
      <c r="DE746" s="712">
        <f>WWWW[[#This Row],['#_Constructed/Existing hand washing stations]]-WWWW[[#This Row],['#_Non-Functional_hand_washing_stations]]</f>
        <v>0</v>
      </c>
      <c r="DF746" s="757">
        <f>IF(WWWW[[#This Row],['# Functional hand washing stations during reporting period]]*20&gt;WWWW[[#This Row],[Total HH]],WWWW[[#This Row],[Total HH]],WWWW[[#This Row],['# Functional hand washing stations during reporting period]]*20)</f>
        <v>0</v>
      </c>
      <c r="DG746" s="708">
        <f>IF(WWWW[[#This Row],[Is sufficient soap available for TLS? (Yes/No)]]="yes",WWWW[[#This Row],['#_Constructed/Existing hand washing stations at TLS]],0)</f>
        <v>0</v>
      </c>
      <c r="DH746" s="759">
        <f>IF(WWWW[[#This Row],['# Functional hand washing stations during reporting period]]*100&gt;WWWW[[#This Row],[Total PoP ]],WWWW[[#This Row],[Total PoP ]],WWWW[[#This Row],['# Functional hand washing stations during reporting period]]*100)</f>
        <v>0</v>
      </c>
      <c r="DI746" s="759" t="str">
        <f>IF(OR(WWWW[[#This Row],['#_students at TLS_CFS]]="",WWWW[[#This Row],['#_students at TLS_CFS]]=0),"No","Yes")</f>
        <v>Yes</v>
      </c>
      <c r="DJ746" s="711">
        <f>VLOOKUP(WWWW[[#This Row],[Site Name]],SiteDB6[[Site Name]:[CCCM Management]],6,FALSE)</f>
        <v>0</v>
      </c>
      <c r="DK746" s="711">
        <f>VLOOKUP(WWWW[[#This Row],[Site Name]],SiteDB6[[Site Name]:[CCCM Focal Agency]],7,FALSE)</f>
        <v>0</v>
      </c>
      <c r="DL746" s="711" t="str">
        <f>VLOOKUP(WWWW[[#This Row],[Site Name]],SiteDB6[[Site Name]:[Location Type 1]],9,FALSE)</f>
        <v>Camp</v>
      </c>
      <c r="DM746" s="711" t="str">
        <f>VLOOKUP(WWWW[[#This Row],[Site Name]],SiteDB6[[Site Name]:[Type of Accommodation]],10,FALSE)</f>
        <v>Closed Camp</v>
      </c>
      <c r="DN746" s="711" t="str">
        <f>VLOOKUP(WWWW[[#This Row],[Site Name]],SiteDB6[[Site Name]:[Ethnic or GCA/NGCA]],11,FALSE)</f>
        <v>GCA</v>
      </c>
      <c r="DO746" s="711">
        <f>VLOOKUP(WWWW[[#This Row],[Site Name]],SiteDB6[[Site Name]:[Lat]],12,FALSE)</f>
        <v>23.353999999999999</v>
      </c>
      <c r="DP746" s="711">
        <f>VLOOKUP(WWWW[[#This Row],[Site Name]],SiteDB6[[Site Name]:[Long]],13,FALSE)</f>
        <v>98.221000000000004</v>
      </c>
      <c r="DQ746" s="711" t="str">
        <f>VLOOKUP(WWWW[[#This Row],[Site Name]],SiteDB6[[Site Name]:[Pcode]],3,FALSE)</f>
        <v>MMR015CMP226</v>
      </c>
      <c r="DR746" s="709" t="str">
        <f t="shared" si="27"/>
        <v>Covered</v>
      </c>
      <c r="DS746" s="709"/>
    </row>
    <row r="747" spans="1:123">
      <c r="A747" s="701" t="s">
        <v>2519</v>
      </c>
      <c r="B747" s="701" t="s">
        <v>1957</v>
      </c>
      <c r="C747" s="702" t="s">
        <v>1957</v>
      </c>
      <c r="D747" s="702" t="s">
        <v>2970</v>
      </c>
      <c r="E747" s="702" t="s">
        <v>716</v>
      </c>
      <c r="F747" s="702" t="s">
        <v>720</v>
      </c>
      <c r="G747" s="711" t="str">
        <f>VLOOKUP(WWWW[[#This Row],[Site Name]],SiteDB6[[Site Name]:[Location Type]],8,FALSE)</f>
        <v>Camp</v>
      </c>
      <c r="H747" s="711" t="s">
        <v>739</v>
      </c>
      <c r="I747" s="705">
        <v>205</v>
      </c>
      <c r="J747" s="705">
        <v>1077</v>
      </c>
      <c r="K747" s="593" t="s">
        <v>3304</v>
      </c>
      <c r="L747" s="58" t="s">
        <v>3306</v>
      </c>
      <c r="M747" s="705">
        <v>328</v>
      </c>
      <c r="N747" s="705"/>
      <c r="O747" s="705"/>
      <c r="P747" s="705"/>
      <c r="Q747" s="708" t="s">
        <v>43</v>
      </c>
      <c r="R747" s="705">
        <v>5</v>
      </c>
      <c r="S747" s="705">
        <v>4</v>
      </c>
      <c r="T747" s="807"/>
      <c r="U747" s="705"/>
      <c r="V747" s="705"/>
      <c r="W747" s="705">
        <v>1</v>
      </c>
      <c r="X747" s="705"/>
      <c r="Y747" s="705"/>
      <c r="Z747" s="705"/>
      <c r="AA747" s="705">
        <v>99</v>
      </c>
      <c r="AB747" s="705"/>
      <c r="AC747" s="705"/>
      <c r="AD747" s="705"/>
      <c r="AE747" s="705"/>
      <c r="AF747" s="705"/>
      <c r="AG747" s="705">
        <v>1</v>
      </c>
      <c r="AH747" s="705"/>
      <c r="AI747" s="705">
        <v>1</v>
      </c>
      <c r="AJ747" s="705"/>
      <c r="AK747" s="705">
        <v>30</v>
      </c>
      <c r="AL747" s="705"/>
      <c r="AM747" s="705"/>
      <c r="AN747" s="705"/>
      <c r="AO747" s="709"/>
      <c r="AP747" s="705">
        <v>179</v>
      </c>
      <c r="AQ747" s="705">
        <v>26</v>
      </c>
      <c r="AR747" s="710"/>
      <c r="AS747" s="705"/>
      <c r="AT747" s="705">
        <v>26</v>
      </c>
      <c r="AU747" s="705"/>
      <c r="AV747" s="705"/>
      <c r="AW747" s="705"/>
      <c r="AX747" s="711" t="s">
        <v>144</v>
      </c>
      <c r="AY747" s="709" t="s">
        <v>144</v>
      </c>
      <c r="AZ747" s="705"/>
      <c r="BA747" s="705"/>
      <c r="BB747" s="705"/>
      <c r="BC747" s="711" t="s">
        <v>2968</v>
      </c>
      <c r="BD747" s="705">
        <v>2</v>
      </c>
      <c r="BE747" s="705"/>
      <c r="BF747" s="705"/>
      <c r="BG747" s="705">
        <v>2</v>
      </c>
      <c r="BH747" s="705"/>
      <c r="BI747" s="705"/>
      <c r="BJ747" s="705">
        <v>2</v>
      </c>
      <c r="BK747" s="705">
        <f>164+198</f>
        <v>362</v>
      </c>
      <c r="BL747" s="705">
        <v>198</v>
      </c>
      <c r="BM747" s="711"/>
      <c r="BN747" s="712"/>
      <c r="BO747" s="710">
        <v>0.5</v>
      </c>
      <c r="BP747" s="711"/>
      <c r="BQ747" s="713">
        <f>IFERROR(WWWW[[#This Row],['#_Water sources treated]]/WWWW[[#This Row],['#_Water sources tested for contamination]],"no test")</f>
        <v>0</v>
      </c>
      <c r="BR747" s="710">
        <f>IFERROR(WWWW[[#This Row],['#_Household received remediation action due to contamination]]/WWWW[[#This Row],['#_Household water samples tested for contamination]],"no test")</f>
        <v>0</v>
      </c>
      <c r="BS747" s="712" t="str">
        <f>IF(AND(WWWW[[#This Row],[% of water sources treated]]="no test",WWWW[[#This Row],[% Household received corrective actions]]="no test"),"No Test","Tested")</f>
        <v>Tested</v>
      </c>
      <c r="BT747" s="712">
        <f>WWWW[[#This Row],['#_Constructed/existing protected hand dug well]]-WWWW[[#This Row],['#_Non-functional protected hand dug well]]</f>
        <v>0</v>
      </c>
      <c r="BU747" s="712">
        <f>(WWWW[[#This Row],['#_Constructed/Existing tube wells/boreholes/handpumps_WASH_agency]]+WWWW[[#This Row],['#_Non-Cluster partner water tube-wells/boreholes/handpumps]])-WWWW[[#This Row],['#_Non-functional tube wells/boreholes/handpumps]]</f>
        <v>1</v>
      </c>
      <c r="BV747" s="712">
        <f>WWWW[[#This Row],['#_Constructed/Existingwater storage tank with gravity fed reticulation system]]-WWWW[[#This Row],['#_Non-functional storage tank gravity fed reticulation system]]</f>
        <v>99</v>
      </c>
      <c r="BW747" s="712">
        <f>WWWW[[#This Row],['#_Water boating or water trucking]]</f>
        <v>0</v>
      </c>
      <c r="BX747" s="712">
        <f>WWWW[[#This Row],['#_Constructed/Existing water distribution system from river or natural spring]]</f>
        <v>0</v>
      </c>
      <c r="BY747" s="713">
        <f>IF(WWWW[[#This Row],[Total PoP ]]="","",IF(((WWWW[[#This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]]&gt;1,1,((WWWW[[#This Row],[Functional protected hand dug well]]*400)+(WWWW[[#This Row],[Functional tube wells/boreholes/handpumps (including non-cluster partners)]]*500)+((WWWW[[#This Row],[Functional storage tank with gravity fed reticulation system]]*1000)/15)+(WWWW[[#This Row],[Water boating or water trucking]]/15)+(WWWW[[#This Row],[Constructed water distribution system from river]]/15))/WWWW[[#This Row],[Total PoP ]]))</f>
        <v>1</v>
      </c>
      <c r="BZ747" s="713">
        <f>IF(WWWW[[#This Row],[Total PoP ]]="","",IF(((WWWW[[#This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]]&gt;1,1,((WWWW[[#This Row],[Functional protected hand dug well]]*250)+(WWWW[[#This Row],[Functional tube wells/boreholes/handpumps (including non-cluster partners)]]*250)+((WWWW[[#This Row],[Functional storage tank with gravity fed reticulation system]]*1000)/15)+(WWWW[[#This Row],[Water boating or water trucking]]/15)+(WWWW[[#This Row],[Constructed water distribution system from river]]/15))/WWWW[[#This Row],[Total PoP ]]))</f>
        <v>1</v>
      </c>
      <c r="CA747" s="710">
        <f>IF(WWWW[[#This Row],[Location Type 1]]="Village",WWWW[[#This Row],[Access to safe drinking water for Village]],WWWW[[#This Row],[Access to safe drinking water for Camp]])</f>
        <v>1</v>
      </c>
      <c r="CB747" s="708">
        <f>WWWW[[#This Row],[%Equitable and continuous access to sufficient quantity of safe drinking water]]*WWWW[[#This Row],[Total PoP ]]</f>
        <v>1077</v>
      </c>
      <c r="CC747" s="710">
        <f>IF((WWWW[[#This Row],['#_Constructed/Existing protected/fenced ponds]]*250)/WWWW[[#This Row],[Total PoP ]]&gt;1,1,(WWWW[[#This Row],['#_Constructed/Existing protected/fenced ponds]]*250)/WWWW[[#This Row],[Total PoP ]])</f>
        <v>0</v>
      </c>
      <c r="CD747" s="708">
        <f>WWWW[[#This Row],[% Access to unimproved water points]]*WWWW[[#This Row],[Total PoP ]]</f>
        <v>0</v>
      </c>
      <c r="CE747" s="71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F747" s="70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1077</v>
      </c>
      <c r="CG747" s="708">
        <f>WWWW[[#This Row],[HRP1]]/500</f>
        <v>2.1539999999999999</v>
      </c>
      <c r="CH747" s="714">
        <f>1-WWWW[[#This Row],[% Equitable and continuous access to sufficient quantity of domestic water]]</f>
        <v>0</v>
      </c>
      <c r="CI747" s="708">
        <f>WWWW[[#This Row],[%equitable and continuous access to sufficient quantity of safe drinking and domestic water''s GAP]]*WWWW[[#This Row],[Total PoP ]]</f>
        <v>0</v>
      </c>
      <c r="CJ747" s="712">
        <f>IF(WWWW[[#This Row],[Total required water points]]-WWWW[[#This Row],['#Water points coverage]]&lt;0,0,WWWW[[#This Row],[Total required water points]]-WWWW[[#This Row],['#Water points coverage]])</f>
        <v>0</v>
      </c>
      <c r="CK747" s="712">
        <f>ROUND(IF(WWWW[[#This Row],[Total PoP ]]&lt;500,1,WWWW[[#This Row],[Total PoP ]]/500),0)</f>
        <v>2</v>
      </c>
      <c r="CL747" s="712">
        <f>(WWWW[[#This Row],['#_Constructed latrines_by_WASHAgencies]]+WWWW[[#This Row],['#_Non Cluster partner latrines]])-WWWW[[#This Row],['#_Non-functional latrines]]</f>
        <v>205</v>
      </c>
      <c r="CM747" s="751">
        <f>IF(WWWW[[#This Row],[Total PoP ]]="",0,IF(WWWW[[#This Row],[Location Type 1]]="camp",IF((WWWW[[#This Row],['# of Functioning latrine]]*20)/WWWW[[#This Row],[Total PoP ]]&gt;1,1,(WWWW[[#This Row],['# of Functioning latrine]]*20)/WWWW[[#This Row],[Total PoP ]]),IF(WWWW[[#This Row],[Location Type 1]]="Temporary Location",IF((WWWW[[#This Row],['# of Functioning latrine]]*50)/WWWW[[#This Row],[Total PoP ]]&gt;1,1,(WWWW[[#This Row],['# of Functioning latrine]]*50)/WWWW[[#This Row],[Total PoP ]]),IF((WWWW[[#This Row],['# of Functioning latrine]]*6)/WWWW[[#This Row],[Total PoP ]]&gt;1,1,(WWWW[[#This Row],['# of Functioning latrine]]*6)/WWWW[[#This Row],[Total PoP ]]))))</f>
        <v>1</v>
      </c>
      <c r="CN747" s="708">
        <f>IF(WWWW[[#This Row],[Total PoP ]]="",0,IF(WWWW[[#This Row],[Location Type 1]]="camp",IF((WWWW[[#This Row],['# of Functioning latrine]]*20)&gt;WWWW[[#This Row],[Total PoP ]],WWWW[[#This Row],[Total PoP ]],WWWW[[#This Row],['# of Functioning latrine]]*20),IF(WWWW[[#This Row],[Location Type 1]]="Temporary location", IF((WWWW[[#This Row],['# of Functioning latrine]]*50)&gt;WWWW[[#This Row],[Total PoP ]],WWWW[[#This Row],[Total PoP ]],WWWW[[#This Row],['# of Functioning latrine]]*50), IF((WWWW[[#This Row],['# of Functioning latrine]]*6)&gt;WWWW[[#This Row],[Total PoP ]],WWWW[[#This Row],[Total PoP ]],WWWW[[#This Row],['# of Functioning latrine]]*6))))</f>
        <v>1077</v>
      </c>
      <c r="CO747" s="71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CP747" s="712">
        <f>IF(WWWW[[#This Row],[Location Type 1]]="Village","NA",IF(WWWW[[#This Row],['#_Constructed/Existing latrines in TLS]]*50&gt;WWWW[[#This Row],['#_students at TLS_CFS]],WWWW[[#This Row],['#_students at TLS_CFS]],(WWWW[[#This Row],['#_Constructed/Existing latrines in TLS]]*50)))</f>
        <v>0</v>
      </c>
      <c r="CQ747" s="712">
        <f>ROUND(IF(WWWW[[#This Row],[Location Type 1]]="camp",WWWW[[#This Row],[Total PoP ]]/20,IF(WWWW[[#This Row],[Location Type 1]]="Temporary Location",WWWW[[#This Row],[Total PoP ]]/50,(WWWW[[#This Row],[Total PoP ]]/6))),0)</f>
        <v>180</v>
      </c>
      <c r="CR747" s="712">
        <f>IF(WWWW[[#This Row],[Total required Latrines]]-(WWWW[[#This Row],['#_Constructed latrines_by_WASHAgencies]]+WWWW[[#This Row],['#_Non Cluster partner latrines]])&lt;0,0,WWWW[[#This Row],[Total required Latrines]]-(WWWW[[#This Row],['#_Constructed latrines_by_WASHAgencies]]+WWWW[[#This Row],['#_Non Cluster partner latrines]]))</f>
        <v>0</v>
      </c>
      <c r="CS747" s="714">
        <f>1-WWWW[[#This Row],[% people access to functioning Latrine]]</f>
        <v>0</v>
      </c>
      <c r="CT747" s="713">
        <f>IF(OR(WWWW[[#This Row],['#_Non-functional latrines]]="",WWWW[[#This Row],['#_Non-functional latrines]]=0),0,WWWW[[#This Row],['#_Non-functional latrines]]/(WWWW[[#This Row],['#_Constructed latrines_by_WASHAgencies]]+WWWW[[#This Row],['#_Non Cluster partner latrines]]))</f>
        <v>0</v>
      </c>
      <c r="CU747" s="708">
        <f>IF(500*(WWWW[[#This Row],['#_male hygiene promoters]]+WWWW[[#This Row],['#_female hygiene promoters]])&gt;WWWW[[#This Row],[Total PoP ]],WWWW[[#This Row],[Total PoP ]],500*(WWWW[[#This Row],['#_male hygiene promoters]]+WWWW[[#This Row],['#_female hygiene promoters]]))</f>
        <v>1000</v>
      </c>
      <c r="CV747" s="712">
        <f>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1077</v>
      </c>
      <c r="CW747" s="712">
        <f>IF(WWWW[[#This Row],['#_households that received standard amount of sanitary pads for this quarter]]=WWWW[[#This Row],[Total HH]],WWWW[[#This Row],[Total PoP ]],IF(WWWW[[#This Row],['#_households that received standard amount of sanitary pads for this quarter]]*5&gt;WWWW[[#This Row],[Total PoP ]],WWWW[[#This Row],[Total PoP ]],WWWW[[#This Row],['#_households that received standard amount of sanitary pads for this quarter]]*5))</f>
        <v>990</v>
      </c>
      <c r="CX747" s="712">
        <f>IF(WWWW[[#This Row],['# People with access to soap]]&gt;WWWW[[#This Row],['# People with access to Sanity Pads]],WWWW[[#This Row],['# People with access to soap]],WWWW[[#This Row],['# People with access to Sanity Pads]])</f>
        <v>1077</v>
      </c>
      <c r="CY747" s="712">
        <f>IF(WWWW[[#This Row],['# people reached by regular dedicated hygiene promotion_5]]&gt;WWWW[[#This Row],['# People received regular supply of hygiene items_6]],WWWW[[#This Row],['# people reached by regular dedicated hygiene promotion_5]],WWWW[[#This Row],['# People received regular supply of hygiene items_6]])</f>
        <v>1077</v>
      </c>
      <c r="CZ747" s="714">
        <f>IF(WWWW[[#This Row],[HRP3]]/WWWW[[#This Row],[Total PoP ]]&gt;100%,100%,WWWW[[#This Row],[HRP3]]/WWWW[[#This Row],[Total PoP ]])</f>
        <v>1</v>
      </c>
      <c r="DA747" s="713">
        <f>1-WWWW[[#This Row],[Hygiene Coverage%]]</f>
        <v>0</v>
      </c>
      <c r="DB747" s="710">
        <f>WWWW[[#This Row],['# people reached by regular dedicated hygiene promotion_5]]/WWWW[[#This Row],[Total PoP ]]</f>
        <v>0.92850510677808729</v>
      </c>
      <c r="DC747" s="710">
        <f>IF(WWWW[[#This Row],['#_households that received standard amount of soap for this quarter]]/WWWW[[#This Row],[Total HH]]&gt;1,1,WWWW[[#This Row],['#_households that received standard amount of soap for this quarter]]/WWWW[[#This Row],[Total HH]])</f>
        <v>1</v>
      </c>
      <c r="DD747" s="710">
        <f>IF(WWWW[[#This Row],['#_households that received standard amount of sanitary pads for this quarter]]/WWWW[[#This Row],[Total HH]]&gt;1,1,WWWW[[#This Row],['#_households that received standard amount of sanitary pads for this quarter]]/WWWW[[#This Row],[Total HH]])</f>
        <v>0.96585365853658534</v>
      </c>
      <c r="DE747" s="712">
        <f>WWWW[[#This Row],['#_Constructed/Existing hand washing stations]]-WWWW[[#This Row],['#_Non-Functional_hand_washing_stations]]</f>
        <v>2</v>
      </c>
      <c r="DF747" s="757">
        <f>IF(WWWW[[#This Row],['# Functional hand washing stations during reporting period]]*20&gt;WWWW[[#This Row],[Total HH]],WWWW[[#This Row],[Total HH]],WWWW[[#This Row],['# Functional hand washing stations during reporting period]]*20)</f>
        <v>40</v>
      </c>
      <c r="DG747" s="708">
        <f>IF(WWWW[[#This Row],[Is sufficient soap available for TLS? (Yes/No)]]="yes",WWWW[[#This Row],['#_Constructed/Existing hand washing stations at TLS]],0)</f>
        <v>0</v>
      </c>
      <c r="DH747" s="759">
        <f>IF(WWWW[[#This Row],['# Functional hand washing stations during reporting period]]*100&gt;WWWW[[#This Row],[Total PoP ]],WWWW[[#This Row],[Total PoP ]],WWWW[[#This Row],['# Functional hand washing stations during reporting period]]*100)</f>
        <v>200</v>
      </c>
      <c r="DI747" s="759" t="str">
        <f>IF(OR(WWWW[[#This Row],['#_students at TLS_CFS]]="",WWWW[[#This Row],['#_students at TLS_CFS]]=0),"No","Yes")</f>
        <v>Yes</v>
      </c>
      <c r="DJ747" s="711" t="str">
        <f>VLOOKUP(WWWW[[#This Row],[Site Name]],SiteDB6[[Site Name]:[CCCM Management]],6,FALSE)</f>
        <v>Yes</v>
      </c>
      <c r="DK747" s="711" t="str">
        <f>VLOOKUP(WWWW[[#This Row],[Site Name]],SiteDB6[[Site Name]:[CCCM Focal Agency]],7,FALSE)</f>
        <v>KBC-NSS</v>
      </c>
      <c r="DL747" s="711" t="str">
        <f>VLOOKUP(WWWW[[#This Row],[Site Name]],SiteDB6[[Site Name]:[Location Type 1]],9,FALSE)</f>
        <v>Village Type Camp</v>
      </c>
      <c r="DM747" s="711" t="str">
        <f>VLOOKUP(WWWW[[#This Row],[Site Name]],SiteDB6[[Site Name]:[Type of Accommodation]],10,FALSE)</f>
        <v>Camp</v>
      </c>
      <c r="DN747" s="711" t="str">
        <f>VLOOKUP(WWWW[[#This Row],[Site Name]],SiteDB6[[Site Name]:[Ethnic or GCA/NGCA]],11,FALSE)</f>
        <v>GCA</v>
      </c>
      <c r="DO747" s="711">
        <f>VLOOKUP(WWWW[[#This Row],[Site Name]],SiteDB6[[Site Name]:[Lat]],12,FALSE)</f>
        <v>23.38503</v>
      </c>
      <c r="DP747" s="711">
        <f>VLOOKUP(WWWW[[#This Row],[Site Name]],SiteDB6[[Site Name]:[Long]],13,FALSE)</f>
        <v>97.837040000000002</v>
      </c>
      <c r="DQ747" s="711" t="str">
        <f>VLOOKUP(WWWW[[#This Row],[Site Name]],SiteDB6[[Site Name]:[Pcode]],3,FALSE)</f>
        <v>MMR015CMP020</v>
      </c>
      <c r="DR747" s="709" t="str">
        <f t="shared" si="27"/>
        <v>Covered</v>
      </c>
      <c r="DS747" s="709"/>
    </row>
  </sheetData>
  <mergeCells count="19">
    <mergeCell ref="CT3:CT4"/>
    <mergeCell ref="CQ3:CQ4"/>
    <mergeCell ref="CR3:CS4"/>
    <mergeCell ref="CJ3:CK4"/>
    <mergeCell ref="CG3:CG4"/>
    <mergeCell ref="CL3:CL4"/>
    <mergeCell ref="CP3:CP4"/>
    <mergeCell ref="CO3:CO4"/>
    <mergeCell ref="CN3:CN4"/>
    <mergeCell ref="CH3:CI4"/>
    <mergeCell ref="CE3:CE4"/>
    <mergeCell ref="CF3:CF4"/>
    <mergeCell ref="BQ6:BS6"/>
    <mergeCell ref="CH6:CI6"/>
    <mergeCell ref="K1:L1"/>
    <mergeCell ref="BQ3:BS4"/>
    <mergeCell ref="BT3:CA4"/>
    <mergeCell ref="CB3:CB4"/>
    <mergeCell ref="CC3:CD4"/>
  </mergeCells>
  <conditionalFormatting sqref="DA3 CU3">
    <cfRule type="iconSet" priority="167">
      <iconSet reverse="1">
        <cfvo type="percent" val="0"/>
        <cfvo type="percent" val="0" gte="0"/>
        <cfvo type="percent" val="30"/>
      </iconSet>
    </cfRule>
  </conditionalFormatting>
  <conditionalFormatting sqref="DA143">
    <cfRule type="iconSet" priority="77">
      <iconSet reverse="1">
        <cfvo type="percent" val="0"/>
        <cfvo type="percent" val="0" gte="0"/>
        <cfvo type="percent" val="30"/>
      </iconSet>
    </cfRule>
  </conditionalFormatting>
  <conditionalFormatting sqref="CH143">
    <cfRule type="iconSet" priority="78">
      <iconSet reverse="1">
        <cfvo type="percent" val="0"/>
        <cfvo type="percent" val="0" gte="0"/>
        <cfvo type="percent" val="30"/>
      </iconSet>
    </cfRule>
  </conditionalFormatting>
  <conditionalFormatting sqref="DA148">
    <cfRule type="iconSet" priority="74">
      <iconSet reverse="1">
        <cfvo type="percent" val="0"/>
        <cfvo type="percent" val="0" gte="0"/>
        <cfvo type="percent" val="30"/>
      </iconSet>
    </cfRule>
  </conditionalFormatting>
  <conditionalFormatting sqref="CH148">
    <cfRule type="iconSet" priority="75">
      <iconSet reverse="1">
        <cfvo type="percent" val="0"/>
        <cfvo type="percent" val="0" gte="0"/>
        <cfvo type="percent" val="30"/>
      </iconSet>
    </cfRule>
  </conditionalFormatting>
  <conditionalFormatting sqref="DM153:DM155">
    <cfRule type="iconSet" priority="88">
      <iconSet reverse="1">
        <cfvo type="percent" val="0"/>
        <cfvo type="percent" val="0" gte="0"/>
        <cfvo type="percent" val="30"/>
      </iconSet>
    </cfRule>
  </conditionalFormatting>
  <conditionalFormatting sqref="DA150">
    <cfRule type="iconSet" priority="90">
      <iconSet reverse="1">
        <cfvo type="percent" val="0"/>
        <cfvo type="percent" val="0" gte="0"/>
        <cfvo type="percent" val="30"/>
      </iconSet>
    </cfRule>
  </conditionalFormatting>
  <conditionalFormatting sqref="CH150">
    <cfRule type="iconSet" priority="91">
      <iconSet reverse="1">
        <cfvo type="percent" val="0"/>
        <cfvo type="percent" val="0" gte="0"/>
        <cfvo type="percent" val="30"/>
      </iconSet>
    </cfRule>
  </conditionalFormatting>
  <conditionalFormatting sqref="DQ153:DQ155">
    <cfRule type="duplicateValues" dxfId="1170" priority="92"/>
  </conditionalFormatting>
  <conditionalFormatting sqref="DY169:DY1048576">
    <cfRule type="iconSet" priority="11614">
      <iconSet reverse="1">
        <cfvo type="percent" val="0"/>
        <cfvo type="percent" val="0" gte="0"/>
        <cfvo type="percent" val="30"/>
      </iconSet>
    </cfRule>
  </conditionalFormatting>
  <conditionalFormatting sqref="CU6">
    <cfRule type="iconSet" priority="15">
      <iconSet reverse="1">
        <cfvo type="percent" val="0"/>
        <cfvo type="percent" val="0" gte="0"/>
        <cfvo type="percent" val="30"/>
      </iconSet>
    </cfRule>
  </conditionalFormatting>
  <conditionalFormatting sqref="DA5">
    <cfRule type="iconSet" priority="12">
      <iconSet reverse="1">
        <cfvo type="percent" val="0"/>
        <cfvo type="percent" val="0" gte="0"/>
        <cfvo type="percent" val="30"/>
      </iconSet>
    </cfRule>
  </conditionalFormatting>
  <conditionalFormatting sqref="CH5">
    <cfRule type="iconSet" priority="14">
      <iconSet reverse="1">
        <cfvo type="percent" val="0"/>
        <cfvo type="percent" val="0" gte="0"/>
        <cfvo type="percent" val="30"/>
      </iconSet>
    </cfRule>
  </conditionalFormatting>
  <conditionalFormatting sqref="DA4">
    <cfRule type="iconSet" priority="9">
      <iconSet reverse="1">
        <cfvo type="percent" val="0"/>
        <cfvo type="percent" val="0" gte="0"/>
        <cfvo type="percent" val="30"/>
      </iconSet>
    </cfRule>
  </conditionalFormatting>
  <conditionalFormatting sqref="DA2">
    <cfRule type="iconSet" priority="6">
      <iconSet reverse="1">
        <cfvo type="percent" val="0"/>
        <cfvo type="percent" val="0" gte="0"/>
        <cfvo type="percent" val="30"/>
      </iconSet>
    </cfRule>
  </conditionalFormatting>
  <conditionalFormatting sqref="CH2">
    <cfRule type="iconSet" priority="8">
      <iconSet reverse="1">
        <cfvo type="percent" val="0"/>
        <cfvo type="percent" val="0" gte="0"/>
        <cfvo type="percent" val="30"/>
      </iconSet>
    </cfRule>
  </conditionalFormatting>
  <conditionalFormatting sqref="CS5">
    <cfRule type="iconSet" priority="11703">
      <iconSet reverse="1">
        <cfvo type="percent" val="0"/>
        <cfvo type="percent" val="0" gte="0"/>
        <cfvo type="percent" val="30"/>
      </iconSet>
    </cfRule>
  </conditionalFormatting>
  <conditionalFormatting sqref="CS2">
    <cfRule type="iconSet" priority="11705">
      <iconSet reverse="1">
        <cfvo type="percent" val="0"/>
        <cfvo type="percent" val="0" gte="0"/>
        <cfvo type="percent" val="30"/>
      </iconSet>
    </cfRule>
  </conditionalFormatting>
  <conditionalFormatting sqref="CT6 CO6:CP6">
    <cfRule type="iconSet" priority="11723">
      <iconSet reverse="1">
        <cfvo type="percent" val="0"/>
        <cfvo type="percent" val="0" gte="0"/>
        <cfvo type="percent" val="10"/>
      </iconSet>
    </cfRule>
  </conditionalFormatting>
  <conditionalFormatting sqref="CI5">
    <cfRule type="iconSet" priority="5">
      <iconSet reverse="1">
        <cfvo type="percent" val="0"/>
        <cfvo type="percent" val="0" gte="0"/>
        <cfvo type="percent" val="30"/>
      </iconSet>
    </cfRule>
  </conditionalFormatting>
  <conditionalFormatting sqref="G140">
    <cfRule type="duplicateValues" dxfId="1169" priority="3"/>
  </conditionalFormatting>
  <conditionalFormatting sqref="DA151:DA152 DA156:DA168 DA149 DA8:DA142 DA144:DA147">
    <cfRule type="iconSet" priority="11954">
      <iconSet reverse="1">
        <cfvo type="percent" val="0"/>
        <cfvo type="percent" val="0" gte="0"/>
        <cfvo type="percent" val="30"/>
      </iconSet>
    </cfRule>
  </conditionalFormatting>
  <conditionalFormatting sqref="CH151:CH152 CH156:CH168 CH149 CH8:CH142 CH144:CH147">
    <cfRule type="iconSet" priority="11960">
      <iconSet reverse="1">
        <cfvo type="percent" val="0"/>
        <cfvo type="percent" val="0" gte="0"/>
        <cfvo type="percent" val="30"/>
      </iconSet>
    </cfRule>
  </conditionalFormatting>
  <conditionalFormatting sqref="H333">
    <cfRule type="duplicateValues" dxfId="1168" priority="2"/>
  </conditionalFormatting>
  <conditionalFormatting sqref="H334:H544 H8:H332">
    <cfRule type="duplicateValues" dxfId="1167" priority="12147"/>
  </conditionalFormatting>
  <conditionalFormatting sqref="CS8:CS747">
    <cfRule type="iconSet" priority="12174">
      <iconSet reverse="1">
        <cfvo type="percent" val="0"/>
        <cfvo type="percent" val="0" gte="0"/>
        <cfvo type="percent" val="30"/>
      </iconSet>
    </cfRule>
  </conditionalFormatting>
  <dataValidations count="19">
    <dataValidation type="whole" operator="lessThan" allowBlank="1" showInputMessage="1" showErrorMessage="1" sqref="AS8:AW12 AZ8:BB12 BD8:BL12 BN8:BN12 R8:S12 U8:AN12 R14:AN16 AS14:AW16 AZ14:BB16 BD14:BL16 BN14:BN16 BN18:BN25 AZ18:BB25 BD18:BL25 BN27:BN35 AZ27:BB35 BD27:BL35 AA146 BN37:BN43 AS18:AW25 AZ37:BB43 BD37:BL43 AA35 AS37:AW43 BD49:BL53 BN49:BN53 AS27:AW35 AZ49:BB53 AZ55:BB61 BD55:BL61 BN55:BN61 AS55:AW61 AS49:AW53 AB27:AN35 BN67:BN75 AZ67:BB75 BD67:BL75 BN77 AS77:AW77 AZ77:BB77 BD77:BL77 BN79:BN101 AS67:AW75 AZ79:BB101 BD79:BL101 BN103 AS79:AW101 AZ103:BB103 BD103:BL103 BD105:BL113 BN105:BN113 AZ105:BB113 AZ115:BB115 BD115:BL115 BN115 AS103:AW103 AS115:AW115 AA38:AA43 R18:AN24 AA30:AA32 AB37:AN43 AA148:AA149 AA151:AA158 AA160:AA162 AA164 R105:AN113 R37:Z43 R115:AN115 R103:AN103 R79:AN101 R67:AN75 R49:AN53 R77:AN77 R55:AN61 R27:Z35 T8:T9 T11:T12 AS105:AU111 R141:Z146 AB141:AN146 AA141:AA144 BD141:BL146 AZ141:BB146 BN141:BN146 AS141:AW146 R63:AN65 AS63:AW65 BN63:BN65 BD63:BL65 AZ63:BB65 AV105:AW113 AS117:AU118 AS120:AU121 R45:AN47 AS45:AW47 BD45:BL47 AZ45:BB47 BN45:BN47 R117:AN139 AS124:AU139 AV117:AW139 AZ117:BB139 BD117:BL139 BN117:BN139 AA166:AA541 AS148:AW541 BN148:BN541 AZ148:BB541 R148:S541 U148:Z541 T148:T504 W547:X547 AB148:AN541 BD148:BJ541 BK148:BL205 BK207:BL541 BD712:BE712 BJ645:BL645 R661:S661 AI661:AN661 AI645:AM645 M8:P747" xr:uid="{00000000-0002-0000-0200-000005000000}">
      <formula1>999999</formula1>
    </dataValidation>
    <dataValidation operator="lessThanOrEqual" allowBlank="1" showInputMessage="1" showErrorMessage="1" sqref="BC8:BC12 AO18:AO24 AO8:AO12 BO13 AO14:AO16 BC14:BC16 BO17 BC18:BC25 BO26 AO27:AO35 BC27:BC35 BO36 BC37:BC43 AO37:AO43 BO44 BO54 BC49:BC53 AO49:AO53 BO48 AO55:AO61 BC55:BC61 BO62 BO66 AO67:AO75 BC79:BC83 BC67:BC75 BO76 BC77 AO77 BO78 AO79:AO101 BC85:BC101 BO102 BC103 AO103 BO104 AO105:AO113 BC105:BC113 BO114 BC115 AO115 BO116 BO140 BO147 AO141:AO146 BC141:BC146 AO63:AO65 BC63:BC65 BC45:BC47 AO45:AO47 AO117:AO139 BC117:BC139 AO148:AO541 BC148:BC504 AO661 AR8:AR747" xr:uid="{00000000-0002-0000-0200-000007000000}"/>
    <dataValidation type="whole" allowBlank="1" showInputMessage="1" showErrorMessage="1" sqref="T10" xr:uid="{8A501B1A-2EE7-4CFD-83F9-FFB2DA6DA332}">
      <formula1>0</formula1>
      <formula2>1000000</formula2>
    </dataValidation>
    <dataValidation type="list" allowBlank="1" showInputMessage="1" showErrorMessage="1" sqref="E748:F1048576 K744:K1048576 C748:C1048576 H748:H1048576" xr:uid="{00000000-0002-0000-0200-000000000000}">
      <formula1>#REF!</formula1>
    </dataValidation>
    <dataValidation type="whole" operator="lessThan" allowBlank="1" showInputMessage="1" showErrorMessage="1" sqref="R25:S26 BI13:BJ13 R13:S13 BI17:BJ17 R17:S17 BI26:BJ26 BI36:BJ36 R36:S36 BI44:BJ44 R44:S44 BI54:BJ54 R54:S54 BI48:BJ48 R48:S48 BI62:BJ62 R62:S62 BI66:BJ66 R66:S66 R76:S76 R78:S78 R102:S102 R104:S104 R114:S114 R116:S116 R140:S140 R147:S147" xr:uid="{D5ABF3CD-50B6-4462-A003-14A34F4EC74C}">
      <formula1>9999999</formula1>
    </dataValidation>
    <dataValidation type="whole" operator="lessThanOrEqual" allowBlank="1" showInputMessage="1" showErrorMessage="1" sqref="T13:AN13 T17:AN17 T36:AN36 T44:AN44 T54:AN54 T48:AN48 T62:AN62 T66:AN66 T76:AN76 T78:AN78 T102:AN102 T104:AN104 T114:AN114 T116:AN116 T140:AN140 T147:AN147 T25:AN26" xr:uid="{D2601771-3C64-4F8F-B9CE-F1446D2FB242}">
      <formula1>99999999</formula1>
    </dataValidation>
    <dataValidation type="list" allowBlank="1" showInputMessage="1" showErrorMessage="1" sqref="BM13 BM17 BM26 BM36 BM44 BM54 BM48 BM62 BM66 BM76 BM78 BM102 BM104 BM114 BM116 BM140 BM147 Q8:Q747" xr:uid="{00000000-0002-0000-0200-000003000000}">
      <formula1>"Yes,No"</formula1>
    </dataValidation>
    <dataValidation type="whole" operator="lessThanOrEqual" allowBlank="1" showInputMessage="1" showErrorMessage="1" sqref="AZ13:BB13 AS13:AW13 AZ17:BB17 AS17:AW17 AZ26:BB26 AS26:AW26 AZ36:BB36 AS36:AW36 AZ44:BB44 AS44:AW44 AZ48:BB48 AZ54:BB54 AS54:AW54 AS48:AW48 AZ62:BB62 AS62:AW62 AZ66:BB66 AS66:AW66 AZ76:BB76 AS76:AW76 AZ78:BB78 AS78:AW78 AZ102:BB102 AS102:AW102 AZ104:BB104 AS104:AW104 AZ114:BB114 AS114:AW114 AZ116:BB116 AS116:AW116 AZ140:BB140 AS140:AW140 AS147:AW147 AZ147:BB147 AS112:AU113 AS119:AU119 AS122:AU123 AP8:AQ747 BF715" xr:uid="{00000000-0002-0000-0200-000006000000}">
      <formula1>9999999</formula1>
    </dataValidation>
    <dataValidation type="list" operator="lessThanOrEqual" allowBlank="1" showInputMessage="1" showErrorMessage="1" sqref="AX8:AX12 AX67:AX75 AX79:AX101 AX14:AX16 AX27:AX35 AX37:AX43 AX55:AX61 AX77 AX103 AX49:AX53 AX115 AX105:AX113 AX141:AX146 AX63:AX65 AX18:AX25 AX45:AX47 AX117:AX139 AX148:AX541" xr:uid="{00000000-0002-0000-0200-000008000000}">
      <formula1>"Yes, No"</formula1>
    </dataValidation>
    <dataValidation type="list" operator="lessThanOrEqual" allowBlank="1" showInputMessage="1" showErrorMessage="1" sqref="AY8:AY12 AY14:AY16 AY27:AY35 AY37:AY43 AY67:AY75 AY55:AY61 AY18:AY25 AY77 AY49:AY53 AY103 AY105:AY113 AY115 AY79:AY101 AY141:AY146 AY63:AY65 AY45:AY47 AY117:AY139 AY148:AY541" xr:uid="{00000000-0002-0000-0200-000009000000}">
      <formula1>"Functional,Not_Functional,No,NA"</formula1>
    </dataValidation>
    <dataValidation type="list" allowBlank="1" showInputMessage="1" showErrorMessage="1" sqref="BM8:BM12 BM14:BM16 BM18:BM25 BM37:BM43 BM49:BM53 BM55:BM61 BM27:BM35 BM67:BM75 BM77 BM79:BM101 BM103 BM105:BM113 BM115 BM141:BM146 BM63:BM65 BM45:BM47 BM117:BM139 BM148:BM541" xr:uid="{00000000-0002-0000-0200-00000A000000}">
      <formula1>"Yes, No"</formula1>
    </dataValidation>
    <dataValidation type="whole" operator="lessThanOrEqual" allowBlank="1" showInputMessage="1" showErrorMessage="1" sqref="BD13:BH13 BL13 BD17:BH17 BL17 BD26:BH26 BL26 BD36:BH36 BL36 BD44:BH44 BL44 BD54:BH54 BL54 BD48:BH48 BL48 BD62:BH62 BL62 BD66:BH66 BL66 BD76:BL76 BD78:BL78 BD102:BL102 BD104:BL104 BD114:BL114 BD116:BL116 BD140:BL140 BD147:BL147 BK206:BL206" xr:uid="{7B279BE0-B2AC-4182-A7C0-F1DEDD5403D3}">
      <formula1>999999</formula1>
    </dataValidation>
    <dataValidation type="whole" operator="lessThanOrEqual" allowBlank="1" showInputMessage="1" showErrorMessage="1" sqref="BN13 BN17 BN26 BN36 BN44 BN54 BN48 BN62 BN66 BN76 BN78 BN102 BN104 BN114 BN116 BN140 BN147" xr:uid="{8947BA77-E002-467D-AFC9-305EF1BDAF76}">
      <formula1>99999</formula1>
    </dataValidation>
    <dataValidation type="list" allowBlank="1" showInputMessage="1" showErrorMessage="1" sqref="AY13 AY17 AY26 AY147 AY44 AY36 AY48 AY62 AY66 AY76 AY78 AY102 AY104 AY114 AY116 AY140 AY54" xr:uid="{F0F42CC0-487B-4D08-A43D-4B636C2DFE5C}">
      <formula1>"Functional, Not_Functional, No, NA"</formula1>
    </dataValidation>
    <dataValidation type="list" allowBlank="1" showInputMessage="1" showErrorMessage="1" sqref="AX13 AX17 AX26 AX147 AX44 AX36 AX48 AX62 AX66 AX76 AX78 AX102 AX104 AX114 AX116 AX140 AX54" xr:uid="{ACAA96E0-DE7E-4458-BFDB-210E6C127DDA}">
      <formula1>"Yes,No,NA"</formula1>
    </dataValidation>
    <dataValidation type="list" allowBlank="1" showInputMessage="1" showErrorMessage="1" sqref="E8:E747" xr:uid="{00000000-0002-0000-0200-000001000000}">
      <formula1>"Kachin, Central Rakhine, Northern Rakhine, Shan (North)"</formula1>
    </dataValidation>
    <dataValidation type="list" allowBlank="1" showInputMessage="1" showErrorMessage="1" sqref="H8:H747" xr:uid="{00000000-0002-0000-0200-000004000000}">
      <formula1>OFFSET(Township_start,MATCH(F8,Township_list, 0),1, COUNTIF(Township_list,F8),1)</formula1>
    </dataValidation>
    <dataValidation type="list" allowBlank="1" showInputMessage="1" showErrorMessage="1" sqref="F8:F747" xr:uid="{00000000-0002-0000-0200-00000B000000}">
      <formula1>OFFSET(Statestart_1,MATCH(E8, State_list, 0), 1,COUNTIF(State_list,E8),1)</formula1>
    </dataValidation>
    <dataValidation type="list" allowBlank="1" showInputMessage="1" showErrorMessage="1" sqref="DR8:DR747" xr:uid="{00000000-0002-0000-0200-000002000000}">
      <formula1>"Covered, Not_covered"</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xr:uid="{B3D7A61D-13A3-4029-920E-276246A8A072}">
          <x14:formula1>
            <xm:f>'E:\Users\mthaw\Mee Mee\2. Information Management\B_ 4 W\002. 4Ws matrix\004.Yangon\Final\2018\2018_Q4\[2019_02_15_Myanmar_WASH_4W_2018_Q4_FINAL.xlsx]Lookup'!#REF!</xm:f>
          </x14:formula1>
          <xm:sqref>D213</xm:sqref>
        </x14:dataValidation>
        <x14:dataValidation type="list" allowBlank="1" showInputMessage="1" showErrorMessage="1" xr:uid="{00000000-0002-0000-0200-00000C000000}">
          <x14:formula1>
            <xm:f>Lookup!$B$4:$B$61</xm:f>
          </x14:formula1>
          <xm:sqref>B8:C544 C545:C553 C708 B710:C710 B743:C747 C737:C740 C712:C713 C716:C718 C720 C722 C724:C726 C732:C734 B736:C736 C555:C703 C729</xm:sqref>
        </x14:dataValidation>
        <x14:dataValidation type="list" allowBlank="1" showInputMessage="1" showErrorMessage="1" xr:uid="{00000000-0002-0000-0200-00000E000000}">
          <x14:formula1>
            <xm:f>Lookup!$A$4:$A$28</xm:f>
          </x14:formula1>
          <xm:sqref>A8:A747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6"/>
  <sheetViews>
    <sheetView zoomScale="110" zoomScaleNormal="110" workbookViewId="0">
      <pane xSplit="1" ySplit="2" topLeftCell="F3" activePane="bottomRight" state="frozen"/>
      <selection activeCell="E391" sqref="E391"/>
      <selection pane="topRight" activeCell="E391" sqref="E391"/>
      <selection pane="bottomLeft" activeCell="E391" sqref="E391"/>
      <selection pane="bottomRight" activeCell="K1069" sqref="K1069:K1072"/>
    </sheetView>
  </sheetViews>
  <sheetFormatPr defaultColWidth="9" defaultRowHeight="14.25" customHeight="1"/>
  <cols>
    <col min="1" max="1" width="13.125" bestFit="1" customWidth="1"/>
    <col min="2" max="2" width="17" style="17" customWidth="1"/>
    <col min="3" max="3" width="37" style="129" bestFit="1" customWidth="1"/>
    <col min="4" max="4" width="16.5" style="46" customWidth="1"/>
    <col min="5" max="7" width="19.5" style="17" customWidth="1"/>
    <col min="8" max="8" width="13.25" style="17" customWidth="1"/>
    <col min="9" max="9" width="16.375" style="17" customWidth="1"/>
    <col min="10" max="10" width="11.25" style="17" customWidth="1"/>
    <col min="11" max="11" width="17.75" style="17" customWidth="1"/>
    <col min="12" max="12" width="12.75" style="17" customWidth="1"/>
    <col min="13" max="13" width="14.875" style="17" customWidth="1"/>
    <col min="14" max="14" width="15" style="17" customWidth="1"/>
    <col min="15" max="15" width="8.5" style="17" customWidth="1"/>
    <col min="16" max="17" width="7.75" style="17" customWidth="1"/>
    <col min="18" max="18" width="18.25" style="17" customWidth="1"/>
    <col min="19" max="20" width="10.5" style="17" customWidth="1"/>
    <col min="21" max="21" width="10.125" style="45" customWidth="1"/>
    <col min="22" max="22" width="8.625"/>
    <col min="23" max="23" width="12.125" style="131" customWidth="1"/>
    <col min="24" max="24" width="55" style="47" customWidth="1"/>
    <col min="25" max="25" width="16.625" style="17" customWidth="1"/>
    <col min="26" max="26" width="9" style="130"/>
    <col min="27" max="16384" width="9" style="17"/>
  </cols>
  <sheetData>
    <row r="1" spans="1:26" ht="14.25" customHeight="1">
      <c r="A1" s="17"/>
      <c r="C1" s="754"/>
      <c r="D1" s="17"/>
      <c r="R1" s="72"/>
      <c r="S1" s="72"/>
      <c r="T1" s="131"/>
      <c r="U1" s="47"/>
      <c r="V1" s="17"/>
      <c r="W1" s="17"/>
      <c r="X1" s="17"/>
      <c r="Z1" s="17"/>
    </row>
    <row r="2" spans="1:26" ht="14.25" customHeight="1">
      <c r="A2" s="17" t="s">
        <v>22</v>
      </c>
      <c r="B2" s="17" t="s">
        <v>23</v>
      </c>
      <c r="C2" s="75" t="s">
        <v>24</v>
      </c>
      <c r="D2" s="17" t="s">
        <v>1690</v>
      </c>
      <c r="E2" s="17" t="s">
        <v>34</v>
      </c>
      <c r="F2" s="17" t="s">
        <v>1691</v>
      </c>
      <c r="G2" s="17" t="s">
        <v>1692</v>
      </c>
      <c r="H2" s="17" t="s">
        <v>28</v>
      </c>
      <c r="I2" s="17" t="s">
        <v>29</v>
      </c>
      <c r="J2" s="17" t="s">
        <v>142</v>
      </c>
      <c r="K2" s="17" t="s">
        <v>143</v>
      </c>
      <c r="L2" s="17" t="s">
        <v>768</v>
      </c>
      <c r="M2" s="17" t="s">
        <v>31</v>
      </c>
      <c r="N2" s="17" t="s">
        <v>32</v>
      </c>
      <c r="O2" s="17" t="s">
        <v>33</v>
      </c>
      <c r="P2" s="17" t="s">
        <v>769</v>
      </c>
      <c r="Q2" s="17" t="s">
        <v>770</v>
      </c>
      <c r="R2" s="72" t="s">
        <v>3115</v>
      </c>
      <c r="S2" s="72" t="s">
        <v>3116</v>
      </c>
      <c r="T2" s="131" t="s">
        <v>771</v>
      </c>
      <c r="U2" s="47" t="s">
        <v>36</v>
      </c>
      <c r="V2" s="17" t="s">
        <v>772</v>
      </c>
      <c r="W2" s="17" t="s">
        <v>2291</v>
      </c>
      <c r="X2" s="17"/>
      <c r="Z2" s="17"/>
    </row>
    <row r="3" spans="1:26" s="75" customFormat="1" ht="14.25" customHeight="1">
      <c r="A3" s="764" t="s">
        <v>3006</v>
      </c>
      <c r="B3" s="767" t="s">
        <v>375</v>
      </c>
      <c r="C3" s="768" t="s">
        <v>3090</v>
      </c>
      <c r="D3" s="761" t="s">
        <v>1693</v>
      </c>
      <c r="E3" s="805">
        <v>198645</v>
      </c>
      <c r="F3" s="754"/>
      <c r="G3" s="754"/>
      <c r="H3" s="754"/>
      <c r="I3" s="754"/>
      <c r="J3" s="754" t="s">
        <v>812</v>
      </c>
      <c r="K3" s="754" t="s">
        <v>812</v>
      </c>
      <c r="L3" s="754" t="s">
        <v>812</v>
      </c>
      <c r="M3" s="754" t="s">
        <v>312</v>
      </c>
      <c r="N3" s="754">
        <v>19.18421936</v>
      </c>
      <c r="O3" s="754">
        <v>93.699806210000006</v>
      </c>
      <c r="P3" s="754" t="s">
        <v>813</v>
      </c>
      <c r="Q3" s="754" t="s">
        <v>794</v>
      </c>
      <c r="R3" s="771"/>
      <c r="S3" s="764"/>
      <c r="T3" s="783"/>
      <c r="U3" s="765"/>
      <c r="V3" s="754" t="s">
        <v>378</v>
      </c>
      <c r="W3" s="763"/>
    </row>
    <row r="4" spans="1:26" s="75" customFormat="1" ht="14.25" customHeight="1">
      <c r="A4" s="764" t="s">
        <v>3006</v>
      </c>
      <c r="B4" s="767" t="s">
        <v>375</v>
      </c>
      <c r="C4" s="768" t="s">
        <v>380</v>
      </c>
      <c r="D4" s="761" t="s">
        <v>1693</v>
      </c>
      <c r="E4" s="754">
        <v>198647</v>
      </c>
      <c r="F4" s="754"/>
      <c r="G4" s="754"/>
      <c r="H4" s="754"/>
      <c r="I4" s="754"/>
      <c r="J4" s="754" t="s">
        <v>812</v>
      </c>
      <c r="K4" s="754" t="s">
        <v>812</v>
      </c>
      <c r="L4" s="754" t="s">
        <v>812</v>
      </c>
      <c r="M4" s="754" t="s">
        <v>312</v>
      </c>
      <c r="N4" s="754">
        <v>19.18943977</v>
      </c>
      <c r="O4" s="754">
        <v>93.733673100000004</v>
      </c>
      <c r="P4" s="754" t="s">
        <v>813</v>
      </c>
      <c r="Q4" s="754" t="s">
        <v>794</v>
      </c>
      <c r="R4" s="771"/>
      <c r="S4" s="764"/>
      <c r="T4" s="783"/>
      <c r="U4" s="765"/>
      <c r="V4" s="754" t="s">
        <v>380</v>
      </c>
      <c r="W4" s="763"/>
    </row>
    <row r="5" spans="1:26" s="75" customFormat="1" ht="14.25" customHeight="1">
      <c r="A5" s="764" t="s">
        <v>3006</v>
      </c>
      <c r="B5" s="767" t="s">
        <v>375</v>
      </c>
      <c r="C5" s="768" t="s">
        <v>2838</v>
      </c>
      <c r="D5" s="761"/>
      <c r="E5" s="754">
        <v>198667</v>
      </c>
      <c r="F5" s="754"/>
      <c r="G5" s="754"/>
      <c r="H5" s="754"/>
      <c r="I5" s="754"/>
      <c r="J5" s="754" t="s">
        <v>812</v>
      </c>
      <c r="K5" s="754" t="s">
        <v>812</v>
      </c>
      <c r="L5" s="754" t="s">
        <v>812</v>
      </c>
      <c r="M5" s="754" t="s">
        <v>312</v>
      </c>
      <c r="N5" s="754"/>
      <c r="O5" s="754"/>
      <c r="P5" s="754"/>
      <c r="Q5" s="754"/>
      <c r="R5" s="771"/>
      <c r="S5" s="764"/>
      <c r="T5" s="783"/>
      <c r="U5" s="765"/>
      <c r="V5" s="754"/>
      <c r="W5" s="763"/>
    </row>
    <row r="6" spans="1:26" s="75" customFormat="1" ht="14.25" customHeight="1">
      <c r="A6" s="764" t="s">
        <v>3006</v>
      </c>
      <c r="B6" s="754" t="s">
        <v>375</v>
      </c>
      <c r="C6" s="754" t="s">
        <v>385</v>
      </c>
      <c r="D6" s="637" t="s">
        <v>2376</v>
      </c>
      <c r="E6" s="754" t="s">
        <v>1368</v>
      </c>
      <c r="F6" s="754" t="s">
        <v>1772</v>
      </c>
      <c r="G6" s="754" t="s">
        <v>385</v>
      </c>
      <c r="H6" s="754" t="s">
        <v>43</v>
      </c>
      <c r="I6" s="754"/>
      <c r="J6" s="754" t="s">
        <v>812</v>
      </c>
      <c r="K6" s="754" t="s">
        <v>812</v>
      </c>
      <c r="L6" s="754" t="s">
        <v>835</v>
      </c>
      <c r="M6" s="754" t="s">
        <v>312</v>
      </c>
      <c r="N6" s="754">
        <v>19.421102000000001</v>
      </c>
      <c r="O6" s="754">
        <v>93.552452000000002</v>
      </c>
      <c r="P6" s="754" t="s">
        <v>813</v>
      </c>
      <c r="Q6" s="754" t="s">
        <v>794</v>
      </c>
      <c r="R6" s="763">
        <v>65</v>
      </c>
      <c r="S6" s="764">
        <v>327</v>
      </c>
      <c r="T6" s="783"/>
      <c r="U6" s="765"/>
      <c r="V6" s="754" t="s">
        <v>385</v>
      </c>
      <c r="W6" s="754"/>
    </row>
    <row r="7" spans="1:26" s="75" customFormat="1" ht="14.25" customHeight="1">
      <c r="A7" s="764" t="s">
        <v>3006</v>
      </c>
      <c r="B7" s="754" t="s">
        <v>375</v>
      </c>
      <c r="C7" s="754" t="s">
        <v>2835</v>
      </c>
      <c r="D7" s="637"/>
      <c r="E7" s="754">
        <v>198475</v>
      </c>
      <c r="F7" s="754"/>
      <c r="G7" s="754"/>
      <c r="H7" s="754"/>
      <c r="I7" s="754"/>
      <c r="J7" s="754" t="s">
        <v>812</v>
      </c>
      <c r="K7" s="754" t="s">
        <v>812</v>
      </c>
      <c r="L7" s="754" t="s">
        <v>812</v>
      </c>
      <c r="M7" s="754" t="s">
        <v>312</v>
      </c>
      <c r="N7" s="754"/>
      <c r="O7" s="754"/>
      <c r="P7" s="754"/>
      <c r="Q7" s="754"/>
      <c r="R7" s="763"/>
      <c r="S7" s="764"/>
      <c r="T7" s="783"/>
      <c r="U7" s="765"/>
      <c r="V7" s="754"/>
      <c r="W7" s="754"/>
    </row>
    <row r="8" spans="1:26" s="75" customFormat="1" ht="14.25" customHeight="1">
      <c r="A8" s="764" t="s">
        <v>3006</v>
      </c>
      <c r="B8" s="754" t="s">
        <v>375</v>
      </c>
      <c r="C8" s="754" t="s">
        <v>377</v>
      </c>
      <c r="D8" s="637" t="s">
        <v>1693</v>
      </c>
      <c r="E8" s="754">
        <v>198611</v>
      </c>
      <c r="F8" s="754"/>
      <c r="G8" s="754"/>
      <c r="H8" s="754"/>
      <c r="I8" s="754"/>
      <c r="J8" s="754" t="s">
        <v>812</v>
      </c>
      <c r="K8" s="754" t="s">
        <v>812</v>
      </c>
      <c r="L8" s="754" t="s">
        <v>812</v>
      </c>
      <c r="M8" s="754" t="s">
        <v>312</v>
      </c>
      <c r="N8" s="754">
        <v>19.17564964</v>
      </c>
      <c r="O8" s="754">
        <v>93.596443179999994</v>
      </c>
      <c r="P8" s="754" t="s">
        <v>813</v>
      </c>
      <c r="Q8" s="754" t="s">
        <v>794</v>
      </c>
      <c r="R8" s="763"/>
      <c r="S8" s="764"/>
      <c r="T8" s="783"/>
      <c r="U8" s="765"/>
      <c r="V8" s="754" t="s">
        <v>377</v>
      </c>
      <c r="W8" s="754"/>
    </row>
    <row r="9" spans="1:26" s="75" customFormat="1" ht="14.25" customHeight="1">
      <c r="A9" s="764" t="s">
        <v>3006</v>
      </c>
      <c r="B9" s="754" t="s">
        <v>375</v>
      </c>
      <c r="C9" s="754" t="s">
        <v>386</v>
      </c>
      <c r="D9" s="637" t="s">
        <v>3117</v>
      </c>
      <c r="E9" s="754" t="s">
        <v>1369</v>
      </c>
      <c r="F9" s="754" t="s">
        <v>1773</v>
      </c>
      <c r="G9" s="754" t="s">
        <v>1774</v>
      </c>
      <c r="H9" s="754" t="s">
        <v>43</v>
      </c>
      <c r="I9" s="754"/>
      <c r="J9" s="754" t="s">
        <v>45</v>
      </c>
      <c r="K9" s="754" t="s">
        <v>45</v>
      </c>
      <c r="L9" s="754" t="s">
        <v>808</v>
      </c>
      <c r="M9" s="754" t="s">
        <v>809</v>
      </c>
      <c r="N9" s="754">
        <v>19.424576999999999</v>
      </c>
      <c r="O9" s="754">
        <v>93.512326000000002</v>
      </c>
      <c r="P9" s="754" t="s">
        <v>775</v>
      </c>
      <c r="Q9" s="754" t="s">
        <v>794</v>
      </c>
      <c r="R9" s="763">
        <v>415</v>
      </c>
      <c r="S9" s="764">
        <v>1050</v>
      </c>
      <c r="T9" s="783"/>
      <c r="U9" s="765"/>
      <c r="V9" s="754" t="s">
        <v>815</v>
      </c>
      <c r="W9" s="754"/>
    </row>
    <row r="10" spans="1:26" s="75" customFormat="1" ht="14.25" customHeight="1">
      <c r="A10" s="764" t="s">
        <v>3006</v>
      </c>
      <c r="B10" s="760" t="s">
        <v>375</v>
      </c>
      <c r="C10" s="760" t="s">
        <v>2837</v>
      </c>
      <c r="D10" s="637"/>
      <c r="E10" s="754">
        <v>198508</v>
      </c>
      <c r="F10" s="754"/>
      <c r="G10" s="754"/>
      <c r="H10" s="754"/>
      <c r="I10" s="754"/>
      <c r="J10" s="754" t="s">
        <v>812</v>
      </c>
      <c r="K10" s="754" t="s">
        <v>812</v>
      </c>
      <c r="L10" s="754" t="s">
        <v>812</v>
      </c>
      <c r="M10" s="754" t="s">
        <v>312</v>
      </c>
      <c r="N10" s="754"/>
      <c r="O10" s="754"/>
      <c r="P10" s="754"/>
      <c r="Q10" s="754"/>
      <c r="R10" s="763"/>
      <c r="S10" s="764"/>
      <c r="T10" s="783"/>
      <c r="U10" s="765"/>
      <c r="V10" s="754"/>
      <c r="W10" s="754"/>
    </row>
    <row r="11" spans="1:26" s="75" customFormat="1" ht="14.25" customHeight="1">
      <c r="A11" s="764" t="s">
        <v>3006</v>
      </c>
      <c r="B11" s="754" t="s">
        <v>375</v>
      </c>
      <c r="C11" s="754" t="s">
        <v>814</v>
      </c>
      <c r="D11" s="637" t="s">
        <v>1693</v>
      </c>
      <c r="E11" s="754">
        <v>198612</v>
      </c>
      <c r="F11" s="754"/>
      <c r="G11" s="754"/>
      <c r="H11" s="754"/>
      <c r="I11" s="754"/>
      <c r="J11" s="754" t="s">
        <v>812</v>
      </c>
      <c r="K11" s="754" t="s">
        <v>812</v>
      </c>
      <c r="L11" s="754" t="s">
        <v>812</v>
      </c>
      <c r="M11" s="754" t="s">
        <v>312</v>
      </c>
      <c r="N11" s="754">
        <v>19.195390700000001</v>
      </c>
      <c r="O11" s="754">
        <v>93.585678099999996</v>
      </c>
      <c r="P11" s="754" t="s">
        <v>813</v>
      </c>
      <c r="Q11" s="754"/>
      <c r="R11" s="763"/>
      <c r="S11" s="764"/>
      <c r="T11" s="783"/>
      <c r="U11" s="765"/>
      <c r="V11" s="754" t="s">
        <v>814</v>
      </c>
      <c r="W11" s="754"/>
    </row>
    <row r="12" spans="1:26" s="75" customFormat="1" ht="14.25" customHeight="1">
      <c r="A12" s="764" t="s">
        <v>3006</v>
      </c>
      <c r="B12" s="754" t="s">
        <v>375</v>
      </c>
      <c r="C12" s="754" t="s">
        <v>2356</v>
      </c>
      <c r="D12" s="637"/>
      <c r="E12" s="754">
        <v>198464</v>
      </c>
      <c r="F12" s="754" t="s">
        <v>2356</v>
      </c>
      <c r="G12" s="754"/>
      <c r="H12" s="754"/>
      <c r="I12" s="754"/>
      <c r="J12" s="754" t="s">
        <v>812</v>
      </c>
      <c r="K12" s="754" t="s">
        <v>812</v>
      </c>
      <c r="L12" s="754" t="s">
        <v>812</v>
      </c>
      <c r="M12" s="754" t="s">
        <v>312</v>
      </c>
      <c r="N12" s="754">
        <v>19.417640689999999</v>
      </c>
      <c r="O12" s="754">
        <v>93.565246579999993</v>
      </c>
      <c r="P12" s="754"/>
      <c r="Q12" s="754" t="s">
        <v>2321</v>
      </c>
      <c r="R12" s="763"/>
      <c r="S12" s="764"/>
      <c r="T12" s="783">
        <v>43462</v>
      </c>
      <c r="U12" s="765"/>
      <c r="V12" s="754"/>
      <c r="W12" s="754" t="s">
        <v>2357</v>
      </c>
    </row>
    <row r="13" spans="1:26" s="75" customFormat="1" ht="14.25" customHeight="1">
      <c r="A13" s="764" t="s">
        <v>3006</v>
      </c>
      <c r="B13" s="754" t="s">
        <v>375</v>
      </c>
      <c r="C13" s="754" t="s">
        <v>382</v>
      </c>
      <c r="D13" s="637" t="s">
        <v>1693</v>
      </c>
      <c r="E13" s="754">
        <v>198516</v>
      </c>
      <c r="F13" s="754"/>
      <c r="G13" s="754"/>
      <c r="H13" s="754"/>
      <c r="I13" s="754"/>
      <c r="J13" s="754" t="s">
        <v>812</v>
      </c>
      <c r="K13" s="754" t="s">
        <v>812</v>
      </c>
      <c r="L13" s="754" t="s">
        <v>812</v>
      </c>
      <c r="M13" s="754" t="s">
        <v>312</v>
      </c>
      <c r="N13" s="754">
        <v>19.249820710000002</v>
      </c>
      <c r="O13" s="754">
        <v>93.551040650000004</v>
      </c>
      <c r="P13" s="754" t="s">
        <v>813</v>
      </c>
      <c r="Q13" s="754" t="s">
        <v>794</v>
      </c>
      <c r="R13" s="763"/>
      <c r="S13" s="764"/>
      <c r="T13" s="783"/>
      <c r="U13" s="765"/>
      <c r="V13" s="754" t="s">
        <v>382</v>
      </c>
      <c r="W13" s="754"/>
    </row>
    <row r="14" spans="1:26" s="75" customFormat="1" ht="14.25" customHeight="1">
      <c r="A14" s="764" t="s">
        <v>3006</v>
      </c>
      <c r="B14" s="754" t="s">
        <v>375</v>
      </c>
      <c r="C14" s="754" t="s">
        <v>379</v>
      </c>
      <c r="D14" s="637" t="s">
        <v>1693</v>
      </c>
      <c r="E14" s="754">
        <v>198643</v>
      </c>
      <c r="F14" s="754"/>
      <c r="G14" s="754"/>
      <c r="H14" s="754"/>
      <c r="I14" s="754"/>
      <c r="J14" s="754" t="s">
        <v>812</v>
      </c>
      <c r="K14" s="754" t="s">
        <v>812</v>
      </c>
      <c r="L14" s="754" t="s">
        <v>812</v>
      </c>
      <c r="M14" s="754" t="s">
        <v>312</v>
      </c>
      <c r="N14" s="754">
        <v>19.18865967</v>
      </c>
      <c r="O14" s="754">
        <v>93.720703130000004</v>
      </c>
      <c r="P14" s="754" t="s">
        <v>813</v>
      </c>
      <c r="Q14" s="754" t="s">
        <v>794</v>
      </c>
      <c r="R14" s="763"/>
      <c r="S14" s="764"/>
      <c r="T14" s="783"/>
      <c r="U14" s="765"/>
      <c r="V14" s="754" t="s">
        <v>379</v>
      </c>
      <c r="W14" s="754"/>
    </row>
    <row r="15" spans="1:26" s="75" customFormat="1" ht="14.25" customHeight="1">
      <c r="A15" s="764" t="s">
        <v>3006</v>
      </c>
      <c r="B15" s="760" t="s">
        <v>375</v>
      </c>
      <c r="C15" s="760" t="s">
        <v>2836</v>
      </c>
      <c r="D15" s="637"/>
      <c r="E15" s="754">
        <v>198476</v>
      </c>
      <c r="F15" s="754"/>
      <c r="G15" s="754"/>
      <c r="H15" s="754"/>
      <c r="I15" s="754"/>
      <c r="J15" s="754" t="s">
        <v>812</v>
      </c>
      <c r="K15" s="754" t="s">
        <v>812</v>
      </c>
      <c r="L15" s="754" t="s">
        <v>812</v>
      </c>
      <c r="M15" s="754" t="s">
        <v>312</v>
      </c>
      <c r="N15" s="754"/>
      <c r="O15" s="754"/>
      <c r="P15" s="754"/>
      <c r="Q15" s="754"/>
      <c r="R15" s="763"/>
      <c r="S15" s="764"/>
      <c r="T15" s="783"/>
      <c r="U15" s="765"/>
      <c r="V15" s="754"/>
      <c r="W15" s="754"/>
    </row>
    <row r="16" spans="1:26" s="75" customFormat="1" ht="14.25" customHeight="1">
      <c r="A16" s="764" t="s">
        <v>3006</v>
      </c>
      <c r="B16" s="760" t="s">
        <v>375</v>
      </c>
      <c r="C16" s="760" t="s">
        <v>381</v>
      </c>
      <c r="D16" s="637" t="s">
        <v>1693</v>
      </c>
      <c r="E16" s="754">
        <v>198514</v>
      </c>
      <c r="F16" s="754"/>
      <c r="G16" s="754"/>
      <c r="H16" s="754"/>
      <c r="I16" s="754"/>
      <c r="J16" s="754" t="s">
        <v>812</v>
      </c>
      <c r="K16" s="754" t="s">
        <v>812</v>
      </c>
      <c r="L16" s="754" t="s">
        <v>812</v>
      </c>
      <c r="M16" s="754" t="s">
        <v>312</v>
      </c>
      <c r="N16" s="754">
        <v>19.221920010000002</v>
      </c>
      <c r="O16" s="754">
        <v>93.571296689999997</v>
      </c>
      <c r="P16" s="754" t="s">
        <v>813</v>
      </c>
      <c r="Q16" s="754" t="s">
        <v>794</v>
      </c>
      <c r="R16" s="763"/>
      <c r="S16" s="764"/>
      <c r="T16" s="783"/>
      <c r="U16" s="765"/>
      <c r="V16" s="754" t="s">
        <v>381</v>
      </c>
      <c r="W16" s="754"/>
    </row>
    <row r="17" spans="1:23" s="75" customFormat="1" ht="14.25" customHeight="1">
      <c r="A17" s="764" t="s">
        <v>3006</v>
      </c>
      <c r="B17" s="760" t="s">
        <v>375</v>
      </c>
      <c r="C17" s="760" t="s">
        <v>383</v>
      </c>
      <c r="D17" s="637" t="s">
        <v>1693</v>
      </c>
      <c r="E17" s="754">
        <v>198512</v>
      </c>
      <c r="F17" s="754"/>
      <c r="G17" s="754"/>
      <c r="H17" s="754"/>
      <c r="I17" s="754"/>
      <c r="J17" s="754" t="s">
        <v>812</v>
      </c>
      <c r="K17" s="754" t="s">
        <v>812</v>
      </c>
      <c r="L17" s="754" t="s">
        <v>812</v>
      </c>
      <c r="M17" s="754" t="s">
        <v>312</v>
      </c>
      <c r="N17" s="754">
        <v>19.254320140000001</v>
      </c>
      <c r="O17" s="754">
        <v>93.548591610000003</v>
      </c>
      <c r="P17" s="754" t="s">
        <v>813</v>
      </c>
      <c r="Q17" s="754" t="s">
        <v>794</v>
      </c>
      <c r="R17" s="763"/>
      <c r="S17" s="764"/>
      <c r="T17" s="783"/>
      <c r="U17" s="765"/>
      <c r="V17" s="754" t="s">
        <v>383</v>
      </c>
      <c r="W17" s="754"/>
    </row>
    <row r="18" spans="1:23" s="75" customFormat="1" ht="14.25" customHeight="1">
      <c r="A18" s="764" t="s">
        <v>3006</v>
      </c>
      <c r="B18" s="760" t="s">
        <v>375</v>
      </c>
      <c r="C18" s="760" t="s">
        <v>376</v>
      </c>
      <c r="D18" s="637" t="s">
        <v>1693</v>
      </c>
      <c r="E18" s="766">
        <v>198657</v>
      </c>
      <c r="F18" s="754"/>
      <c r="G18" s="754"/>
      <c r="H18" s="754"/>
      <c r="I18" s="754"/>
      <c r="J18" s="754" t="s">
        <v>812</v>
      </c>
      <c r="K18" s="754" t="s">
        <v>812</v>
      </c>
      <c r="L18" s="754" t="s">
        <v>812</v>
      </c>
      <c r="M18" s="754" t="s">
        <v>312</v>
      </c>
      <c r="N18" s="754">
        <v>19.170919420000001</v>
      </c>
      <c r="O18" s="754">
        <v>93.692680359999997</v>
      </c>
      <c r="P18" s="754" t="s">
        <v>813</v>
      </c>
      <c r="Q18" s="754" t="s">
        <v>794</v>
      </c>
      <c r="R18" s="763"/>
      <c r="S18" s="764"/>
      <c r="T18" s="783"/>
      <c r="U18" s="765"/>
      <c r="V18" s="754" t="s">
        <v>376</v>
      </c>
      <c r="W18" s="754"/>
    </row>
    <row r="19" spans="1:23" s="75" customFormat="1" ht="14.25" customHeight="1">
      <c r="A19" s="767" t="s">
        <v>3006</v>
      </c>
      <c r="B19" s="767" t="s">
        <v>320</v>
      </c>
      <c r="C19" s="768" t="s">
        <v>654</v>
      </c>
      <c r="D19" s="761"/>
      <c r="E19" s="754">
        <v>196824</v>
      </c>
      <c r="F19" s="754"/>
      <c r="G19" s="754"/>
      <c r="H19" s="754"/>
      <c r="I19" s="754"/>
      <c r="J19" s="754" t="s">
        <v>812</v>
      </c>
      <c r="K19" s="754" t="s">
        <v>812</v>
      </c>
      <c r="L19" s="754" t="s">
        <v>812</v>
      </c>
      <c r="M19" s="754" t="s">
        <v>2061</v>
      </c>
      <c r="N19" s="754">
        <v>20.855012890000001</v>
      </c>
      <c r="O19" s="754">
        <v>92.91</v>
      </c>
      <c r="P19" s="754"/>
      <c r="Q19" s="754"/>
      <c r="R19" s="771"/>
      <c r="S19" s="764"/>
      <c r="T19" s="783">
        <v>43591</v>
      </c>
      <c r="U19" s="771"/>
      <c r="V19" s="754"/>
      <c r="W19" s="763"/>
    </row>
    <row r="20" spans="1:23" s="75" customFormat="1" ht="14.25" customHeight="1">
      <c r="A20" s="764" t="s">
        <v>3006</v>
      </c>
      <c r="B20" s="754" t="s">
        <v>320</v>
      </c>
      <c r="C20" s="754" t="s">
        <v>963</v>
      </c>
      <c r="D20" s="637" t="s">
        <v>3117</v>
      </c>
      <c r="E20" s="754" t="s">
        <v>1434</v>
      </c>
      <c r="F20" s="754" t="s">
        <v>1898</v>
      </c>
      <c r="G20" s="754" t="s">
        <v>963</v>
      </c>
      <c r="H20" s="754"/>
      <c r="I20" s="754"/>
      <c r="J20" s="754" t="s">
        <v>812</v>
      </c>
      <c r="K20" s="754" t="s">
        <v>812</v>
      </c>
      <c r="L20" s="754" t="s">
        <v>897</v>
      </c>
      <c r="M20" s="754" t="s">
        <v>809</v>
      </c>
      <c r="N20" s="775">
        <v>20.921424999999999</v>
      </c>
      <c r="O20" s="775">
        <v>93.003204999999994</v>
      </c>
      <c r="P20" s="754" t="s">
        <v>813</v>
      </c>
      <c r="Q20" s="754"/>
      <c r="R20" s="763">
        <v>24</v>
      </c>
      <c r="S20" s="764">
        <v>140</v>
      </c>
      <c r="T20" s="783"/>
      <c r="U20" s="765" t="s">
        <v>874</v>
      </c>
      <c r="V20" s="754" t="s">
        <v>963</v>
      </c>
      <c r="W20" s="754"/>
    </row>
    <row r="21" spans="1:23" s="75" customFormat="1" ht="14.25" customHeight="1">
      <c r="A21" s="764" t="s">
        <v>3006</v>
      </c>
      <c r="B21" s="754" t="s">
        <v>320</v>
      </c>
      <c r="C21" s="754" t="s">
        <v>962</v>
      </c>
      <c r="D21" s="637" t="s">
        <v>3117</v>
      </c>
      <c r="E21" s="760" t="s">
        <v>1433</v>
      </c>
      <c r="F21" s="754" t="s">
        <v>962</v>
      </c>
      <c r="G21" s="754" t="s">
        <v>1897</v>
      </c>
      <c r="H21" s="754"/>
      <c r="I21" s="754"/>
      <c r="J21" s="754" t="s">
        <v>812</v>
      </c>
      <c r="K21" s="754" t="s">
        <v>812</v>
      </c>
      <c r="L21" s="754" t="s">
        <v>897</v>
      </c>
      <c r="M21" s="754" t="s">
        <v>809</v>
      </c>
      <c r="N21" s="775">
        <v>20.896740000000001</v>
      </c>
      <c r="O21" s="775">
        <v>93.014349999999993</v>
      </c>
      <c r="P21" s="754" t="s">
        <v>813</v>
      </c>
      <c r="Q21" s="754"/>
      <c r="R21" s="763">
        <v>14</v>
      </c>
      <c r="S21" s="764">
        <v>84</v>
      </c>
      <c r="T21" s="783"/>
      <c r="U21" s="765" t="s">
        <v>874</v>
      </c>
      <c r="V21" s="754" t="s">
        <v>962</v>
      </c>
      <c r="W21" s="754"/>
    </row>
    <row r="22" spans="1:23" s="75" customFormat="1" ht="14.25" customHeight="1">
      <c r="A22" s="764" t="s">
        <v>3006</v>
      </c>
      <c r="B22" s="754" t="s">
        <v>320</v>
      </c>
      <c r="C22" s="754" t="s">
        <v>321</v>
      </c>
      <c r="D22" s="637" t="s">
        <v>1693</v>
      </c>
      <c r="E22" s="754"/>
      <c r="F22" s="754"/>
      <c r="G22" s="754"/>
      <c r="H22" s="754"/>
      <c r="I22" s="754"/>
      <c r="J22" s="754" t="s">
        <v>812</v>
      </c>
      <c r="K22" s="754" t="s">
        <v>812</v>
      </c>
      <c r="L22" s="754" t="s">
        <v>812</v>
      </c>
      <c r="M22" s="754" t="s">
        <v>312</v>
      </c>
      <c r="N22" s="754"/>
      <c r="O22" s="754"/>
      <c r="P22" s="754" t="s">
        <v>813</v>
      </c>
      <c r="Q22" s="754" t="s">
        <v>794</v>
      </c>
      <c r="R22" s="763"/>
      <c r="S22" s="764"/>
      <c r="T22" s="783"/>
      <c r="U22" s="765"/>
      <c r="V22" s="754" t="s">
        <v>321</v>
      </c>
      <c r="W22" s="754"/>
    </row>
    <row r="23" spans="1:23" s="75" customFormat="1" ht="14.25" customHeight="1">
      <c r="A23" s="764" t="s">
        <v>3006</v>
      </c>
      <c r="B23" s="754" t="s">
        <v>320</v>
      </c>
      <c r="C23" s="754" t="s">
        <v>584</v>
      </c>
      <c r="D23" s="637" t="s">
        <v>3117</v>
      </c>
      <c r="E23" s="754" t="s">
        <v>1421</v>
      </c>
      <c r="F23" s="754"/>
      <c r="G23" s="754"/>
      <c r="H23" s="754"/>
      <c r="I23" s="754"/>
      <c r="J23" s="754" t="s">
        <v>812</v>
      </c>
      <c r="K23" s="754" t="s">
        <v>812</v>
      </c>
      <c r="L23" s="754" t="s">
        <v>897</v>
      </c>
      <c r="M23" s="754" t="s">
        <v>312</v>
      </c>
      <c r="N23" s="754">
        <v>20.720213000000001</v>
      </c>
      <c r="O23" s="754">
        <v>92.961841000000007</v>
      </c>
      <c r="P23" s="754" t="s">
        <v>813</v>
      </c>
      <c r="Q23" s="754" t="s">
        <v>794</v>
      </c>
      <c r="R23" s="763">
        <v>100</v>
      </c>
      <c r="S23" s="764">
        <v>559</v>
      </c>
      <c r="T23" s="783"/>
      <c r="U23" s="765"/>
      <c r="V23" s="754" t="s">
        <v>584</v>
      </c>
      <c r="W23" s="754"/>
    </row>
    <row r="24" spans="1:23" s="75" customFormat="1" ht="14.25" customHeight="1">
      <c r="A24" s="764" t="s">
        <v>3006</v>
      </c>
      <c r="B24" s="754" t="s">
        <v>320</v>
      </c>
      <c r="C24" s="754" t="s">
        <v>945</v>
      </c>
      <c r="D24" s="637" t="s">
        <v>1693</v>
      </c>
      <c r="E24" s="754">
        <v>196946</v>
      </c>
      <c r="F24" s="754"/>
      <c r="G24" s="754"/>
      <c r="H24" s="754"/>
      <c r="I24" s="754"/>
      <c r="J24" s="754" t="s">
        <v>812</v>
      </c>
      <c r="K24" s="754" t="s">
        <v>812</v>
      </c>
      <c r="L24" s="754" t="s">
        <v>812</v>
      </c>
      <c r="M24" s="754" t="s">
        <v>312</v>
      </c>
      <c r="N24" s="754">
        <v>20.720213000000001</v>
      </c>
      <c r="O24" s="754">
        <v>92.961841000000007</v>
      </c>
      <c r="P24" s="754" t="s">
        <v>813</v>
      </c>
      <c r="Q24" s="754"/>
      <c r="R24" s="763"/>
      <c r="S24" s="764"/>
      <c r="T24" s="783"/>
      <c r="U24" s="765"/>
      <c r="V24" s="754" t="s">
        <v>584</v>
      </c>
      <c r="W24" s="754"/>
    </row>
    <row r="25" spans="1:23" s="75" customFormat="1" ht="14.25" customHeight="1">
      <c r="A25" s="764" t="s">
        <v>3006</v>
      </c>
      <c r="B25" s="754" t="s">
        <v>320</v>
      </c>
      <c r="C25" s="754" t="s">
        <v>714</v>
      </c>
      <c r="D25" s="637" t="s">
        <v>1693</v>
      </c>
      <c r="E25" s="754">
        <v>196878</v>
      </c>
      <c r="F25" s="754"/>
      <c r="G25" s="754"/>
      <c r="H25" s="754"/>
      <c r="I25" s="754"/>
      <c r="J25" s="754" t="s">
        <v>812</v>
      </c>
      <c r="K25" s="754" t="s">
        <v>812</v>
      </c>
      <c r="L25" s="754" t="s">
        <v>812</v>
      </c>
      <c r="M25" s="754" t="s">
        <v>312</v>
      </c>
      <c r="N25" s="754">
        <v>20.627639769999998</v>
      </c>
      <c r="O25" s="754">
        <v>93.022773740000005</v>
      </c>
      <c r="P25" s="754" t="s">
        <v>813</v>
      </c>
      <c r="Q25" s="754" t="s">
        <v>794</v>
      </c>
      <c r="R25" s="763"/>
      <c r="S25" s="764"/>
      <c r="T25" s="783"/>
      <c r="U25" s="765"/>
      <c r="V25" s="754"/>
      <c r="W25" s="754"/>
    </row>
    <row r="26" spans="1:23" s="75" customFormat="1" ht="14.25" customHeight="1">
      <c r="A26" s="767" t="s">
        <v>3006</v>
      </c>
      <c r="B26" s="767" t="s">
        <v>320</v>
      </c>
      <c r="C26" s="768" t="s">
        <v>3177</v>
      </c>
      <c r="D26" s="761"/>
      <c r="E26" s="754">
        <v>196937</v>
      </c>
      <c r="F26" s="754"/>
      <c r="G26" s="754"/>
      <c r="H26" s="754"/>
      <c r="I26" s="754"/>
      <c r="J26" s="754" t="s">
        <v>3017</v>
      </c>
      <c r="K26" s="754" t="s">
        <v>2935</v>
      </c>
      <c r="L26" s="754" t="s">
        <v>2935</v>
      </c>
      <c r="M26" s="754"/>
      <c r="N26" s="754">
        <v>20.64656067</v>
      </c>
      <c r="O26" s="754">
        <v>92.976043700000005</v>
      </c>
      <c r="P26" s="754"/>
      <c r="Q26" s="754"/>
      <c r="R26" s="771"/>
      <c r="S26" s="764"/>
      <c r="T26" s="783">
        <v>43591</v>
      </c>
      <c r="U26" s="771"/>
      <c r="V26" s="754"/>
      <c r="W26" s="763"/>
    </row>
    <row r="27" spans="1:23" s="75" customFormat="1" ht="14.25" customHeight="1">
      <c r="A27" s="764" t="s">
        <v>3006</v>
      </c>
      <c r="B27" s="767" t="s">
        <v>320</v>
      </c>
      <c r="C27" s="768" t="s">
        <v>2358</v>
      </c>
      <c r="D27" s="761"/>
      <c r="E27" s="754">
        <v>196933</v>
      </c>
      <c r="F27" s="754" t="s">
        <v>885</v>
      </c>
      <c r="G27" s="754"/>
      <c r="H27" s="754"/>
      <c r="I27" s="754"/>
      <c r="J27" s="754" t="s">
        <v>812</v>
      </c>
      <c r="K27" s="754" t="s">
        <v>812</v>
      </c>
      <c r="L27" s="754" t="s">
        <v>812</v>
      </c>
      <c r="M27" s="754"/>
      <c r="N27" s="754">
        <v>20.66370964</v>
      </c>
      <c r="O27" s="754">
        <v>92.973167419999996</v>
      </c>
      <c r="P27" s="754" t="s">
        <v>813</v>
      </c>
      <c r="Q27" s="754" t="s">
        <v>2321</v>
      </c>
      <c r="R27" s="771"/>
      <c r="S27" s="764"/>
      <c r="T27" s="783">
        <v>43465</v>
      </c>
      <c r="U27" s="765" t="s">
        <v>2364</v>
      </c>
      <c r="V27" s="754" t="s">
        <v>2358</v>
      </c>
      <c r="W27" s="763"/>
    </row>
    <row r="28" spans="1:23" s="75" customFormat="1" ht="14.25" customHeight="1">
      <c r="A28" s="767" t="s">
        <v>3006</v>
      </c>
      <c r="B28" s="767" t="s">
        <v>320</v>
      </c>
      <c r="C28" s="768" t="s">
        <v>3178</v>
      </c>
      <c r="D28" s="761"/>
      <c r="E28" s="754">
        <v>196940</v>
      </c>
      <c r="F28" s="754"/>
      <c r="G28" s="754"/>
      <c r="H28" s="754"/>
      <c r="I28" s="754"/>
      <c r="J28" s="754" t="s">
        <v>3017</v>
      </c>
      <c r="K28" s="754" t="s">
        <v>2935</v>
      </c>
      <c r="L28" s="754" t="s">
        <v>2935</v>
      </c>
      <c r="M28" s="754"/>
      <c r="N28" s="754">
        <v>20.6563606262207</v>
      </c>
      <c r="O28" s="754">
        <v>92.998542785644503</v>
      </c>
      <c r="P28" s="754"/>
      <c r="Q28" s="754"/>
      <c r="R28" s="771"/>
      <c r="S28" s="764"/>
      <c r="T28" s="783">
        <v>43591</v>
      </c>
      <c r="U28" s="771"/>
      <c r="V28" s="754"/>
      <c r="W28" s="763"/>
    </row>
    <row r="29" spans="1:23" s="75" customFormat="1" ht="14.25" customHeight="1">
      <c r="A29" s="767" t="s">
        <v>3006</v>
      </c>
      <c r="B29" s="767" t="s">
        <v>320</v>
      </c>
      <c r="C29" s="768" t="s">
        <v>3176</v>
      </c>
      <c r="D29" s="761"/>
      <c r="E29" s="754">
        <v>196942</v>
      </c>
      <c r="F29" s="754"/>
      <c r="G29" s="754"/>
      <c r="H29" s="754"/>
      <c r="I29" s="754"/>
      <c r="J29" s="754" t="s">
        <v>3017</v>
      </c>
      <c r="K29" s="754" t="s">
        <v>2935</v>
      </c>
      <c r="L29" s="754" t="s">
        <v>2935</v>
      </c>
      <c r="M29" s="754"/>
      <c r="N29" s="754">
        <v>20.6715202331543</v>
      </c>
      <c r="O29" s="754">
        <v>92.998092651367202</v>
      </c>
      <c r="P29" s="754"/>
      <c r="Q29" s="754"/>
      <c r="R29" s="771"/>
      <c r="S29" s="764"/>
      <c r="T29" s="783">
        <v>43591</v>
      </c>
      <c r="U29" s="771"/>
      <c r="V29" s="754"/>
      <c r="W29" s="763"/>
    </row>
    <row r="30" spans="1:23" s="75" customFormat="1" ht="14.25" customHeight="1">
      <c r="A30" s="764" t="s">
        <v>3006</v>
      </c>
      <c r="B30" s="754" t="s">
        <v>320</v>
      </c>
      <c r="C30" s="754" t="s">
        <v>570</v>
      </c>
      <c r="D30" s="637" t="s">
        <v>1693</v>
      </c>
      <c r="E30" s="754">
        <v>196943</v>
      </c>
      <c r="F30" s="754"/>
      <c r="G30" s="754"/>
      <c r="H30" s="754"/>
      <c r="I30" s="754"/>
      <c r="J30" s="754" t="s">
        <v>818</v>
      </c>
      <c r="K30" s="754" t="s">
        <v>812</v>
      </c>
      <c r="L30" s="754" t="s">
        <v>818</v>
      </c>
      <c r="M30" s="754" t="s">
        <v>312</v>
      </c>
      <c r="N30" s="754">
        <v>20.705930710000001</v>
      </c>
      <c r="O30" s="754">
        <v>93.001953130000004</v>
      </c>
      <c r="P30" s="754" t="s">
        <v>937</v>
      </c>
      <c r="Q30" s="754" t="s">
        <v>794</v>
      </c>
      <c r="R30" s="763"/>
      <c r="S30" s="764"/>
      <c r="T30" s="783"/>
      <c r="U30" s="765"/>
      <c r="V30" s="754" t="s">
        <v>570</v>
      </c>
      <c r="W30" s="754"/>
    </row>
    <row r="31" spans="1:23" s="75" customFormat="1" ht="14.25" customHeight="1">
      <c r="A31" s="767" t="s">
        <v>3006</v>
      </c>
      <c r="B31" s="767" t="s">
        <v>320</v>
      </c>
      <c r="C31" s="768" t="s">
        <v>3173</v>
      </c>
      <c r="D31" s="761"/>
      <c r="E31" s="754">
        <v>196943</v>
      </c>
      <c r="F31" s="754"/>
      <c r="G31" s="754"/>
      <c r="H31" s="754"/>
      <c r="I31" s="754"/>
      <c r="J31" s="754" t="s">
        <v>3017</v>
      </c>
      <c r="K31" s="754" t="s">
        <v>2935</v>
      </c>
      <c r="L31" s="754" t="s">
        <v>2935</v>
      </c>
      <c r="M31" s="754"/>
      <c r="N31" s="754">
        <v>20.705930710000001</v>
      </c>
      <c r="O31" s="754">
        <v>93.001953130000004</v>
      </c>
      <c r="P31" s="754"/>
      <c r="Q31" s="754"/>
      <c r="R31" s="771"/>
      <c r="S31" s="764"/>
      <c r="T31" s="783">
        <v>43591</v>
      </c>
      <c r="U31" s="771"/>
      <c r="V31" s="754"/>
      <c r="W31" s="763"/>
    </row>
    <row r="32" spans="1:23" s="75" customFormat="1" ht="14.25" customHeight="1">
      <c r="A32" s="764" t="s">
        <v>3006</v>
      </c>
      <c r="B32" s="767" t="s">
        <v>320</v>
      </c>
      <c r="C32" s="768" t="s">
        <v>653</v>
      </c>
      <c r="D32" s="761" t="s">
        <v>1693</v>
      </c>
      <c r="E32" s="754">
        <v>196825</v>
      </c>
      <c r="F32" s="754"/>
      <c r="G32" s="754"/>
      <c r="H32" s="754"/>
      <c r="I32" s="754"/>
      <c r="J32" s="754" t="s">
        <v>818</v>
      </c>
      <c r="K32" s="754" t="s">
        <v>812</v>
      </c>
      <c r="L32" s="754" t="s">
        <v>818</v>
      </c>
      <c r="M32" s="754" t="s">
        <v>2061</v>
      </c>
      <c r="N32" s="754">
        <v>20.851089479999999</v>
      </c>
      <c r="O32" s="754">
        <v>92.916893009999995</v>
      </c>
      <c r="P32" s="754" t="s">
        <v>937</v>
      </c>
      <c r="Q32" s="754" t="s">
        <v>940</v>
      </c>
      <c r="R32" s="771"/>
      <c r="S32" s="764"/>
      <c r="T32" s="783">
        <v>43011</v>
      </c>
      <c r="U32" s="765" t="s">
        <v>941</v>
      </c>
      <c r="V32" s="754"/>
      <c r="W32" s="763"/>
    </row>
    <row r="33" spans="1:23" s="75" customFormat="1" ht="14.25" customHeight="1">
      <c r="A33" s="764" t="s">
        <v>3006</v>
      </c>
      <c r="B33" s="754" t="s">
        <v>320</v>
      </c>
      <c r="C33" s="754" t="s">
        <v>532</v>
      </c>
      <c r="D33" s="637" t="s">
        <v>1693</v>
      </c>
      <c r="E33" s="754">
        <v>196983</v>
      </c>
      <c r="F33" s="754"/>
      <c r="G33" s="754"/>
      <c r="H33" s="754"/>
      <c r="I33" s="754"/>
      <c r="J33" s="754" t="s">
        <v>812</v>
      </c>
      <c r="K33" s="754" t="s">
        <v>812</v>
      </c>
      <c r="L33" s="754" t="s">
        <v>812</v>
      </c>
      <c r="M33" s="754" t="s">
        <v>312</v>
      </c>
      <c r="N33" s="754">
        <v>20.644098280000001</v>
      </c>
      <c r="O33" s="754">
        <v>93.036460880000007</v>
      </c>
      <c r="P33" s="754" t="s">
        <v>813</v>
      </c>
      <c r="Q33" s="754" t="s">
        <v>794</v>
      </c>
      <c r="R33" s="763"/>
      <c r="S33" s="764"/>
      <c r="T33" s="783"/>
      <c r="U33" s="765"/>
      <c r="V33" s="754"/>
      <c r="W33" s="754"/>
    </row>
    <row r="34" spans="1:23" s="75" customFormat="1" ht="14.25" customHeight="1">
      <c r="A34" s="764" t="s">
        <v>3006</v>
      </c>
      <c r="B34" s="754" t="s">
        <v>320</v>
      </c>
      <c r="C34" s="754" t="s">
        <v>574</v>
      </c>
      <c r="D34" s="637" t="s">
        <v>3117</v>
      </c>
      <c r="E34" s="754" t="s">
        <v>1418</v>
      </c>
      <c r="F34" s="754" t="s">
        <v>574</v>
      </c>
      <c r="G34" s="754" t="s">
        <v>1786</v>
      </c>
      <c r="H34" s="754"/>
      <c r="I34" s="754"/>
      <c r="J34" s="754" t="s">
        <v>812</v>
      </c>
      <c r="K34" s="754" t="s">
        <v>812</v>
      </c>
      <c r="L34" s="754" t="s">
        <v>897</v>
      </c>
      <c r="M34" s="754" t="s">
        <v>809</v>
      </c>
      <c r="N34" s="754">
        <v>20.713259999999998</v>
      </c>
      <c r="O34" s="754">
        <v>93.014089999999996</v>
      </c>
      <c r="P34" s="754" t="s">
        <v>813</v>
      </c>
      <c r="Q34" s="754" t="s">
        <v>794</v>
      </c>
      <c r="R34" s="763">
        <v>116</v>
      </c>
      <c r="S34" s="764">
        <v>802</v>
      </c>
      <c r="T34" s="783"/>
      <c r="U34" s="765"/>
      <c r="V34" s="754" t="s">
        <v>574</v>
      </c>
      <c r="W34" s="754"/>
    </row>
    <row r="35" spans="1:23" s="75" customFormat="1" ht="14.25" customHeight="1">
      <c r="A35" s="764" t="s">
        <v>3006</v>
      </c>
      <c r="B35" s="767" t="s">
        <v>320</v>
      </c>
      <c r="C35" s="768" t="s">
        <v>572</v>
      </c>
      <c r="D35" s="761" t="s">
        <v>1693</v>
      </c>
      <c r="E35" s="754">
        <v>196973</v>
      </c>
      <c r="F35" s="754"/>
      <c r="G35" s="754"/>
      <c r="H35" s="754"/>
      <c r="I35" s="754"/>
      <c r="J35" s="754" t="s">
        <v>812</v>
      </c>
      <c r="K35" s="754" t="s">
        <v>812</v>
      </c>
      <c r="L35" s="754" t="s">
        <v>812</v>
      </c>
      <c r="M35" s="754" t="s">
        <v>312</v>
      </c>
      <c r="N35" s="754">
        <v>20.709970469999998</v>
      </c>
      <c r="O35" s="754">
        <v>93.015357969999997</v>
      </c>
      <c r="P35" s="754" t="s">
        <v>813</v>
      </c>
      <c r="Q35" s="754" t="s">
        <v>794</v>
      </c>
      <c r="R35" s="771"/>
      <c r="S35" s="764"/>
      <c r="T35" s="783"/>
      <c r="U35" s="765"/>
      <c r="V35" s="754"/>
      <c r="W35" s="763"/>
    </row>
    <row r="36" spans="1:23" s="75" customFormat="1" ht="14.25" customHeight="1">
      <c r="A36" s="764" t="s">
        <v>3006</v>
      </c>
      <c r="B36" s="767" t="s">
        <v>320</v>
      </c>
      <c r="C36" s="768" t="s">
        <v>625</v>
      </c>
      <c r="D36" s="761" t="s">
        <v>1693</v>
      </c>
      <c r="E36" s="754">
        <v>196883</v>
      </c>
      <c r="F36" s="754"/>
      <c r="G36" s="754"/>
      <c r="H36" s="754"/>
      <c r="I36" s="754"/>
      <c r="J36" s="754" t="s">
        <v>818</v>
      </c>
      <c r="K36" s="754" t="s">
        <v>812</v>
      </c>
      <c r="L36" s="754" t="s">
        <v>818</v>
      </c>
      <c r="M36" s="754" t="s">
        <v>2061</v>
      </c>
      <c r="N36" s="754">
        <v>20.803529739999998</v>
      </c>
      <c r="O36" s="754">
        <v>92.929466250000004</v>
      </c>
      <c r="P36" s="754" t="s">
        <v>937</v>
      </c>
      <c r="Q36" s="754"/>
      <c r="R36" s="771"/>
      <c r="S36" s="764"/>
      <c r="T36" s="783"/>
      <c r="U36" s="765"/>
      <c r="V36" s="754" t="s">
        <v>625</v>
      </c>
      <c r="W36" s="763"/>
    </row>
    <row r="37" spans="1:23" s="75" customFormat="1" ht="14.25" customHeight="1">
      <c r="A37" s="767" t="s">
        <v>3006</v>
      </c>
      <c r="B37" s="767" t="s">
        <v>320</v>
      </c>
      <c r="C37" s="768" t="s">
        <v>3172</v>
      </c>
      <c r="D37" s="761"/>
      <c r="E37" s="754"/>
      <c r="F37" s="754"/>
      <c r="G37" s="754"/>
      <c r="H37" s="754"/>
      <c r="I37" s="754"/>
      <c r="J37" s="754" t="s">
        <v>3017</v>
      </c>
      <c r="K37" s="754" t="s">
        <v>2935</v>
      </c>
      <c r="L37" s="754" t="s">
        <v>2935</v>
      </c>
      <c r="M37" s="754"/>
      <c r="N37" s="754"/>
      <c r="O37" s="754"/>
      <c r="P37" s="754"/>
      <c r="Q37" s="754"/>
      <c r="R37" s="771"/>
      <c r="S37" s="764"/>
      <c r="T37" s="783">
        <v>43591</v>
      </c>
      <c r="U37" s="771"/>
      <c r="V37" s="754"/>
      <c r="W37" s="763"/>
    </row>
    <row r="38" spans="1:23" s="75" customFormat="1" ht="14.25" customHeight="1">
      <c r="A38" s="764" t="s">
        <v>3006</v>
      </c>
      <c r="B38" s="767" t="s">
        <v>320</v>
      </c>
      <c r="C38" s="768" t="s">
        <v>565</v>
      </c>
      <c r="D38" s="637" t="s">
        <v>3117</v>
      </c>
      <c r="E38" s="754" t="s">
        <v>1417</v>
      </c>
      <c r="F38" s="754" t="s">
        <v>570</v>
      </c>
      <c r="G38" s="754" t="s">
        <v>565</v>
      </c>
      <c r="H38" s="754"/>
      <c r="I38" s="754"/>
      <c r="J38" s="754" t="s">
        <v>812</v>
      </c>
      <c r="K38" s="754" t="s">
        <v>812</v>
      </c>
      <c r="L38" s="754" t="s">
        <v>897</v>
      </c>
      <c r="M38" s="754" t="s">
        <v>809</v>
      </c>
      <c r="N38" s="754" t="s">
        <v>813</v>
      </c>
      <c r="O38" s="754">
        <v>93.009900000000002</v>
      </c>
      <c r="P38" s="754" t="s">
        <v>813</v>
      </c>
      <c r="Q38" s="754" t="s">
        <v>794</v>
      </c>
      <c r="R38" s="763">
        <v>236</v>
      </c>
      <c r="S38" s="764">
        <v>1524</v>
      </c>
      <c r="T38" s="783"/>
      <c r="U38" s="765"/>
      <c r="V38" s="754" t="s">
        <v>942</v>
      </c>
      <c r="W38" s="763"/>
    </row>
    <row r="39" spans="1:23" s="75" customFormat="1" ht="14.25" customHeight="1">
      <c r="A39" s="764" t="s">
        <v>3006</v>
      </c>
      <c r="B39" s="767" t="s">
        <v>320</v>
      </c>
      <c r="C39" s="768" t="s">
        <v>3130</v>
      </c>
      <c r="D39" s="761"/>
      <c r="E39" s="754">
        <v>196906</v>
      </c>
      <c r="F39" s="754"/>
      <c r="G39" s="754"/>
      <c r="H39" s="754"/>
      <c r="I39" s="754"/>
      <c r="J39" s="754" t="s">
        <v>3017</v>
      </c>
      <c r="K39" s="754" t="s">
        <v>2935</v>
      </c>
      <c r="L39" s="754" t="s">
        <v>2935</v>
      </c>
      <c r="M39" s="754"/>
      <c r="N39" s="754">
        <v>20.680830001831101</v>
      </c>
      <c r="O39" s="754">
        <v>92.917633056640597</v>
      </c>
      <c r="P39" s="754"/>
      <c r="Q39" s="754"/>
      <c r="R39" s="771"/>
      <c r="S39" s="764"/>
      <c r="T39" s="783">
        <v>43591</v>
      </c>
      <c r="U39" s="771"/>
      <c r="V39" s="754"/>
      <c r="W39" s="763"/>
    </row>
    <row r="40" spans="1:23" s="75" customFormat="1" ht="14.25" customHeight="1">
      <c r="A40" s="764" t="s">
        <v>3006</v>
      </c>
      <c r="B40" s="754" t="s">
        <v>320</v>
      </c>
      <c r="C40" s="754" t="s">
        <v>2306</v>
      </c>
      <c r="D40" s="637"/>
      <c r="E40" s="754">
        <v>196804</v>
      </c>
      <c r="F40" s="754"/>
      <c r="G40" s="754"/>
      <c r="H40" s="754"/>
      <c r="I40" s="754"/>
      <c r="J40" s="754" t="s">
        <v>812</v>
      </c>
      <c r="K40" s="754" t="s">
        <v>812</v>
      </c>
      <c r="L40" s="754" t="s">
        <v>812</v>
      </c>
      <c r="M40" s="754"/>
      <c r="N40" s="754">
        <v>20.896429059999999</v>
      </c>
      <c r="O40" s="754">
        <v>92.940193179999994</v>
      </c>
      <c r="P40" s="754" t="s">
        <v>813</v>
      </c>
      <c r="Q40" s="754"/>
      <c r="R40" s="763"/>
      <c r="S40" s="764"/>
      <c r="T40" s="783"/>
      <c r="U40" s="765"/>
      <c r="V40" s="754" t="s">
        <v>2298</v>
      </c>
      <c r="W40" s="754"/>
    </row>
    <row r="41" spans="1:23" s="75" customFormat="1" ht="14.25" customHeight="1">
      <c r="A41" s="764" t="s">
        <v>3006</v>
      </c>
      <c r="B41" s="754" t="s">
        <v>320</v>
      </c>
      <c r="C41" s="754" t="s">
        <v>2307</v>
      </c>
      <c r="D41" s="637"/>
      <c r="E41" s="754">
        <v>196816</v>
      </c>
      <c r="F41" s="754"/>
      <c r="G41" s="754"/>
      <c r="H41" s="754"/>
      <c r="I41" s="754"/>
      <c r="J41" s="754" t="s">
        <v>812</v>
      </c>
      <c r="K41" s="754" t="s">
        <v>812</v>
      </c>
      <c r="L41" s="754" t="s">
        <v>812</v>
      </c>
      <c r="M41" s="754"/>
      <c r="N41" s="754">
        <v>20.727590559999999</v>
      </c>
      <c r="O41" s="754">
        <v>92.969352720000003</v>
      </c>
      <c r="P41" s="754" t="s">
        <v>813</v>
      </c>
      <c r="Q41" s="754"/>
      <c r="R41" s="763"/>
      <c r="S41" s="764"/>
      <c r="T41" s="783"/>
      <c r="U41" s="765"/>
      <c r="V41" s="754" t="s">
        <v>2300</v>
      </c>
      <c r="W41" s="754"/>
    </row>
    <row r="42" spans="1:23" s="75" customFormat="1" ht="14.25" customHeight="1">
      <c r="A42" s="767" t="s">
        <v>3006</v>
      </c>
      <c r="B42" s="767" t="s">
        <v>320</v>
      </c>
      <c r="C42" s="768" t="s">
        <v>3235</v>
      </c>
      <c r="D42" s="761"/>
      <c r="E42" s="754"/>
      <c r="F42" s="754"/>
      <c r="G42" s="754"/>
      <c r="H42" s="754"/>
      <c r="I42" s="754"/>
      <c r="J42" s="754" t="s">
        <v>3017</v>
      </c>
      <c r="K42" s="754" t="s">
        <v>2935</v>
      </c>
      <c r="L42" s="754" t="s">
        <v>2935</v>
      </c>
      <c r="M42" s="754"/>
      <c r="N42" s="754"/>
      <c r="O42" s="754"/>
      <c r="P42" s="754"/>
      <c r="Q42" s="754"/>
      <c r="R42" s="771"/>
      <c r="S42" s="764"/>
      <c r="T42" s="783">
        <v>43591</v>
      </c>
      <c r="U42" s="771"/>
      <c r="V42" s="754"/>
      <c r="W42" s="763"/>
    </row>
    <row r="43" spans="1:23" s="75" customFormat="1" ht="14.25" customHeight="1">
      <c r="A43" s="764" t="s">
        <v>3006</v>
      </c>
      <c r="B43" s="754" t="s">
        <v>320</v>
      </c>
      <c r="C43" s="754" t="s">
        <v>2366</v>
      </c>
      <c r="D43" s="637"/>
      <c r="E43" s="754">
        <v>196938</v>
      </c>
      <c r="F43" s="754" t="s">
        <v>2362</v>
      </c>
      <c r="G43" s="754"/>
      <c r="H43" s="754"/>
      <c r="I43" s="754"/>
      <c r="J43" s="754" t="s">
        <v>812</v>
      </c>
      <c r="K43" s="754" t="s">
        <v>812</v>
      </c>
      <c r="L43" s="754" t="s">
        <v>812</v>
      </c>
      <c r="M43" s="754"/>
      <c r="N43" s="754">
        <v>20.640909189999999</v>
      </c>
      <c r="O43" s="754">
        <v>92.979751590000006</v>
      </c>
      <c r="P43" s="754" t="s">
        <v>813</v>
      </c>
      <c r="Q43" s="754" t="s">
        <v>2321</v>
      </c>
      <c r="R43" s="763"/>
      <c r="S43" s="764"/>
      <c r="T43" s="783">
        <v>43465</v>
      </c>
      <c r="U43" s="765" t="s">
        <v>2364</v>
      </c>
      <c r="V43" s="754" t="s">
        <v>2360</v>
      </c>
      <c r="W43" s="754"/>
    </row>
    <row r="44" spans="1:23" s="75" customFormat="1" ht="14.25" customHeight="1">
      <c r="A44" s="764" t="s">
        <v>3006</v>
      </c>
      <c r="B44" s="754" t="s">
        <v>320</v>
      </c>
      <c r="C44" s="754" t="s">
        <v>663</v>
      </c>
      <c r="D44" s="637" t="s">
        <v>3117</v>
      </c>
      <c r="E44" s="754" t="s">
        <v>1432</v>
      </c>
      <c r="F44" s="754" t="s">
        <v>1792</v>
      </c>
      <c r="G44" s="754" t="s">
        <v>1793</v>
      </c>
      <c r="H44" s="754"/>
      <c r="I44" s="754"/>
      <c r="J44" s="754" t="s">
        <v>812</v>
      </c>
      <c r="K44" s="754" t="s">
        <v>812</v>
      </c>
      <c r="L44" s="754" t="s">
        <v>835</v>
      </c>
      <c r="M44" s="754" t="s">
        <v>809</v>
      </c>
      <c r="N44" s="754">
        <v>20.886997999999998</v>
      </c>
      <c r="O44" s="754">
        <v>93.006497999999993</v>
      </c>
      <c r="P44" s="754" t="s">
        <v>813</v>
      </c>
      <c r="Q44" s="754" t="s">
        <v>794</v>
      </c>
      <c r="R44" s="763">
        <v>97</v>
      </c>
      <c r="S44" s="764">
        <v>557</v>
      </c>
      <c r="T44" s="783"/>
      <c r="U44" s="765"/>
      <c r="V44" s="754" t="s">
        <v>663</v>
      </c>
      <c r="W44" s="754"/>
    </row>
    <row r="45" spans="1:23" s="75" customFormat="1" ht="14.25" customHeight="1">
      <c r="A45" s="767" t="s">
        <v>3006</v>
      </c>
      <c r="B45" s="767" t="s">
        <v>320</v>
      </c>
      <c r="C45" s="768" t="s">
        <v>3179</v>
      </c>
      <c r="D45" s="761"/>
      <c r="E45" s="754">
        <v>196865</v>
      </c>
      <c r="F45" s="754"/>
      <c r="G45" s="754"/>
      <c r="H45" s="754"/>
      <c r="I45" s="754"/>
      <c r="J45" s="754" t="s">
        <v>3017</v>
      </c>
      <c r="K45" s="754" t="s">
        <v>2935</v>
      </c>
      <c r="L45" s="754" t="s">
        <v>2935</v>
      </c>
      <c r="M45" s="754"/>
      <c r="N45" s="754">
        <v>20.8122158050537</v>
      </c>
      <c r="O45" s="754">
        <v>93.061012268066406</v>
      </c>
      <c r="P45" s="754"/>
      <c r="Q45" s="754"/>
      <c r="R45" s="771"/>
      <c r="S45" s="764"/>
      <c r="T45" s="783">
        <v>43591</v>
      </c>
      <c r="U45" s="771"/>
      <c r="V45" s="754"/>
      <c r="W45" s="763"/>
    </row>
    <row r="46" spans="1:23" s="75" customFormat="1" ht="14.25" customHeight="1">
      <c r="A46" s="764" t="s">
        <v>3006</v>
      </c>
      <c r="B46" s="754" t="s">
        <v>320</v>
      </c>
      <c r="C46" s="754" t="s">
        <v>672</v>
      </c>
      <c r="D46" s="637" t="s">
        <v>1693</v>
      </c>
      <c r="E46" s="754">
        <v>196807</v>
      </c>
      <c r="F46" s="754"/>
      <c r="G46" s="754"/>
      <c r="H46" s="754"/>
      <c r="I46" s="754"/>
      <c r="J46" s="754" t="s">
        <v>818</v>
      </c>
      <c r="K46" s="754" t="s">
        <v>812</v>
      </c>
      <c r="L46" s="754" t="s">
        <v>818</v>
      </c>
      <c r="M46" s="754" t="s">
        <v>2061</v>
      </c>
      <c r="N46" s="754">
        <v>20.895059589999999</v>
      </c>
      <c r="O46" s="754">
        <v>92.90735626</v>
      </c>
      <c r="P46" s="754" t="s">
        <v>937</v>
      </c>
      <c r="Q46" s="754" t="s">
        <v>940</v>
      </c>
      <c r="R46" s="763"/>
      <c r="S46" s="764"/>
      <c r="T46" s="783">
        <v>43011</v>
      </c>
      <c r="U46" s="765" t="s">
        <v>941</v>
      </c>
      <c r="V46" s="754"/>
      <c r="W46" s="754"/>
    </row>
    <row r="47" spans="1:23" s="75" customFormat="1" ht="14.25" customHeight="1">
      <c r="A47" s="764" t="s">
        <v>3006</v>
      </c>
      <c r="B47" s="754" t="s">
        <v>320</v>
      </c>
      <c r="C47" s="754" t="s">
        <v>633</v>
      </c>
      <c r="D47" s="637" t="s">
        <v>1693</v>
      </c>
      <c r="E47" s="754">
        <v>196882</v>
      </c>
      <c r="F47" s="754"/>
      <c r="G47" s="754"/>
      <c r="H47" s="754"/>
      <c r="I47" s="754"/>
      <c r="J47" s="754" t="s">
        <v>818</v>
      </c>
      <c r="K47" s="754" t="s">
        <v>812</v>
      </c>
      <c r="L47" s="754" t="s">
        <v>818</v>
      </c>
      <c r="M47" s="754" t="s">
        <v>2061</v>
      </c>
      <c r="N47" s="754">
        <v>20.807970050000002</v>
      </c>
      <c r="O47" s="754">
        <v>92.929046630000002</v>
      </c>
      <c r="P47" s="754" t="s">
        <v>937</v>
      </c>
      <c r="Q47" s="754" t="s">
        <v>940</v>
      </c>
      <c r="R47" s="763"/>
      <c r="S47" s="764"/>
      <c r="T47" s="783">
        <v>43011</v>
      </c>
      <c r="U47" s="765" t="s">
        <v>941</v>
      </c>
      <c r="V47" s="754"/>
      <c r="W47" s="754"/>
    </row>
    <row r="48" spans="1:23" s="75" customFormat="1" ht="14.25" customHeight="1">
      <c r="A48" s="764" t="s">
        <v>3006</v>
      </c>
      <c r="B48" s="754" t="s">
        <v>320</v>
      </c>
      <c r="C48" s="754" t="s">
        <v>715</v>
      </c>
      <c r="D48" s="637" t="s">
        <v>1693</v>
      </c>
      <c r="E48" s="754">
        <v>196875</v>
      </c>
      <c r="F48" s="754"/>
      <c r="G48" s="754"/>
      <c r="H48" s="754"/>
      <c r="I48" s="754"/>
      <c r="J48" s="754" t="s">
        <v>812</v>
      </c>
      <c r="K48" s="754" t="s">
        <v>812</v>
      </c>
      <c r="L48" s="754" t="s">
        <v>812</v>
      </c>
      <c r="M48" s="754" t="s">
        <v>312</v>
      </c>
      <c r="N48" s="754">
        <v>20.60802078</v>
      </c>
      <c r="O48" s="754">
        <v>93.035400390000007</v>
      </c>
      <c r="P48" s="754" t="s">
        <v>813</v>
      </c>
      <c r="Q48" s="754" t="s">
        <v>794</v>
      </c>
      <c r="R48" s="763"/>
      <c r="S48" s="764"/>
      <c r="T48" s="783"/>
      <c r="U48" s="765"/>
      <c r="V48" s="754"/>
      <c r="W48" s="754"/>
    </row>
    <row r="49" spans="1:23" s="75" customFormat="1" ht="14.25" customHeight="1">
      <c r="A49" s="764" t="s">
        <v>3006</v>
      </c>
      <c r="B49" s="754" t="s">
        <v>320</v>
      </c>
      <c r="C49" s="754" t="s">
        <v>713</v>
      </c>
      <c r="D49" s="637" t="s">
        <v>1693</v>
      </c>
      <c r="E49" s="754">
        <v>196971</v>
      </c>
      <c r="F49" s="754"/>
      <c r="G49" s="754"/>
      <c r="H49" s="754"/>
      <c r="I49" s="754"/>
      <c r="J49" s="754" t="s">
        <v>812</v>
      </c>
      <c r="K49" s="754" t="s">
        <v>812</v>
      </c>
      <c r="L49" s="754" t="s">
        <v>812</v>
      </c>
      <c r="M49" s="754" t="s">
        <v>312</v>
      </c>
      <c r="N49" s="754">
        <v>20.716699599999998</v>
      </c>
      <c r="O49" s="754">
        <v>92.997863769999995</v>
      </c>
      <c r="P49" s="754" t="s">
        <v>813</v>
      </c>
      <c r="Q49" s="754" t="s">
        <v>794</v>
      </c>
      <c r="R49" s="763"/>
      <c r="S49" s="764"/>
      <c r="T49" s="783"/>
      <c r="U49" s="765"/>
      <c r="V49" s="754"/>
      <c r="W49" s="754"/>
    </row>
    <row r="50" spans="1:23" s="75" customFormat="1" ht="14.25" customHeight="1">
      <c r="A50" s="764" t="s">
        <v>3006</v>
      </c>
      <c r="B50" s="754" t="s">
        <v>320</v>
      </c>
      <c r="C50" s="754" t="s">
        <v>934</v>
      </c>
      <c r="D50" s="637" t="s">
        <v>1693</v>
      </c>
      <c r="E50" s="754">
        <v>196926</v>
      </c>
      <c r="F50" s="754"/>
      <c r="G50" s="754"/>
      <c r="H50" s="754"/>
      <c r="I50" s="754"/>
      <c r="J50" s="754" t="s">
        <v>812</v>
      </c>
      <c r="K50" s="754" t="s">
        <v>812</v>
      </c>
      <c r="L50" s="754" t="s">
        <v>812</v>
      </c>
      <c r="M50" s="754" t="s">
        <v>312</v>
      </c>
      <c r="N50" s="754">
        <v>20.644800190000002</v>
      </c>
      <c r="O50" s="754">
        <v>92.945426940000004</v>
      </c>
      <c r="P50" s="754" t="s">
        <v>813</v>
      </c>
      <c r="Q50" s="754"/>
      <c r="R50" s="763"/>
      <c r="S50" s="764"/>
      <c r="T50" s="783"/>
      <c r="U50" s="765"/>
      <c r="V50" s="754" t="s">
        <v>934</v>
      </c>
      <c r="W50" s="754"/>
    </row>
    <row r="51" spans="1:23" s="75" customFormat="1" ht="14.25" customHeight="1">
      <c r="A51" s="764" t="s">
        <v>3006</v>
      </c>
      <c r="B51" s="754" t="s">
        <v>320</v>
      </c>
      <c r="C51" s="754" t="s">
        <v>628</v>
      </c>
      <c r="D51" s="637" t="s">
        <v>3117</v>
      </c>
      <c r="E51" s="754" t="s">
        <v>1424</v>
      </c>
      <c r="F51" s="754" t="s">
        <v>1789</v>
      </c>
      <c r="G51" s="754" t="s">
        <v>632</v>
      </c>
      <c r="H51" s="754"/>
      <c r="I51" s="754"/>
      <c r="J51" s="754" t="s">
        <v>812</v>
      </c>
      <c r="K51" s="754" t="s">
        <v>812</v>
      </c>
      <c r="L51" s="754" t="s">
        <v>897</v>
      </c>
      <c r="M51" s="754" t="s">
        <v>809</v>
      </c>
      <c r="N51" s="754">
        <v>20.805734000000001</v>
      </c>
      <c r="O51" s="754">
        <v>92.982675999999998</v>
      </c>
      <c r="P51" s="754" t="s">
        <v>813</v>
      </c>
      <c r="Q51" s="754" t="s">
        <v>794</v>
      </c>
      <c r="R51" s="763">
        <v>18</v>
      </c>
      <c r="S51" s="764">
        <v>157</v>
      </c>
      <c r="T51" s="783"/>
      <c r="U51" s="765"/>
      <c r="V51" s="754" t="s">
        <v>628</v>
      </c>
      <c r="W51" s="754"/>
    </row>
    <row r="52" spans="1:23" s="75" customFormat="1" ht="14.25" customHeight="1">
      <c r="A52" s="764" t="s">
        <v>3006</v>
      </c>
      <c r="B52" s="754" t="s">
        <v>320</v>
      </c>
      <c r="C52" s="754" t="s">
        <v>614</v>
      </c>
      <c r="D52" s="637" t="s">
        <v>1693</v>
      </c>
      <c r="E52" s="754">
        <v>196887</v>
      </c>
      <c r="F52" s="754"/>
      <c r="G52" s="754"/>
      <c r="H52" s="754"/>
      <c r="I52" s="754"/>
      <c r="J52" s="754" t="s">
        <v>818</v>
      </c>
      <c r="K52" s="754" t="s">
        <v>812</v>
      </c>
      <c r="L52" s="754" t="s">
        <v>818</v>
      </c>
      <c r="M52" s="754" t="s">
        <v>2061</v>
      </c>
      <c r="N52" s="754">
        <v>20.785770419999999</v>
      </c>
      <c r="O52" s="754">
        <v>92.931426999999999</v>
      </c>
      <c r="P52" s="754" t="s">
        <v>937</v>
      </c>
      <c r="Q52" s="754" t="s">
        <v>940</v>
      </c>
      <c r="R52" s="763"/>
      <c r="S52" s="764"/>
      <c r="T52" s="783">
        <v>43011</v>
      </c>
      <c r="U52" s="765" t="s">
        <v>941</v>
      </c>
      <c r="V52" s="754"/>
      <c r="W52" s="754"/>
    </row>
    <row r="53" spans="1:23" s="75" customFormat="1" ht="14.25" customHeight="1">
      <c r="A53" s="767" t="s">
        <v>3006</v>
      </c>
      <c r="B53" s="767" t="s">
        <v>320</v>
      </c>
      <c r="C53" s="768" t="s">
        <v>3174</v>
      </c>
      <c r="D53" s="761"/>
      <c r="E53" s="754" t="s">
        <v>3215</v>
      </c>
      <c r="F53" s="754"/>
      <c r="G53" s="754"/>
      <c r="H53" s="754"/>
      <c r="I53" s="754"/>
      <c r="J53" s="754" t="s">
        <v>3017</v>
      </c>
      <c r="K53" s="754" t="s">
        <v>2935</v>
      </c>
      <c r="L53" s="754" t="s">
        <v>2935</v>
      </c>
      <c r="M53" s="754"/>
      <c r="N53" s="754"/>
      <c r="O53" s="754"/>
      <c r="P53" s="754"/>
      <c r="Q53" s="754"/>
      <c r="R53" s="771"/>
      <c r="S53" s="764"/>
      <c r="T53" s="783">
        <v>43591</v>
      </c>
      <c r="U53" s="771"/>
      <c r="V53" s="754"/>
      <c r="W53" s="763"/>
    </row>
    <row r="54" spans="1:23" s="75" customFormat="1" ht="14.25" customHeight="1">
      <c r="A54" s="764" t="s">
        <v>3006</v>
      </c>
      <c r="B54" s="754" t="s">
        <v>320</v>
      </c>
      <c r="C54" s="754" t="s">
        <v>573</v>
      </c>
      <c r="D54" s="637" t="s">
        <v>1693</v>
      </c>
      <c r="E54" s="754">
        <v>196944</v>
      </c>
      <c r="F54" s="754"/>
      <c r="G54" s="754"/>
      <c r="H54" s="754"/>
      <c r="I54" s="754"/>
      <c r="J54" s="754" t="s">
        <v>818</v>
      </c>
      <c r="K54" s="754" t="s">
        <v>812</v>
      </c>
      <c r="L54" s="754" t="s">
        <v>818</v>
      </c>
      <c r="M54" s="754" t="s">
        <v>312</v>
      </c>
      <c r="N54" s="754">
        <v>20.71134949</v>
      </c>
      <c r="O54" s="754">
        <v>92.980506899999995</v>
      </c>
      <c r="P54" s="754" t="s">
        <v>937</v>
      </c>
      <c r="Q54" s="754" t="s">
        <v>940</v>
      </c>
      <c r="R54" s="763"/>
      <c r="S54" s="764"/>
      <c r="T54" s="783">
        <v>43011</v>
      </c>
      <c r="U54" s="765" t="s">
        <v>941</v>
      </c>
      <c r="V54" s="754"/>
      <c r="W54" s="754"/>
    </row>
    <row r="55" spans="1:23" s="75" customFormat="1" ht="14.25" customHeight="1">
      <c r="A55" s="767" t="s">
        <v>3006</v>
      </c>
      <c r="B55" s="767" t="s">
        <v>320</v>
      </c>
      <c r="C55" s="768" t="s">
        <v>3171</v>
      </c>
      <c r="D55" s="761"/>
      <c r="E55" s="754">
        <v>220632</v>
      </c>
      <c r="F55" s="754"/>
      <c r="G55" s="754"/>
      <c r="H55" s="754"/>
      <c r="I55" s="754"/>
      <c r="J55" s="754" t="s">
        <v>3017</v>
      </c>
      <c r="K55" s="754" t="s">
        <v>2935</v>
      </c>
      <c r="L55" s="754" t="s">
        <v>2935</v>
      </c>
      <c r="M55" s="754"/>
      <c r="N55" s="754">
        <v>20.746028900146499</v>
      </c>
      <c r="O55" s="754">
        <v>92.839714050292997</v>
      </c>
      <c r="P55" s="754"/>
      <c r="Q55" s="754"/>
      <c r="R55" s="771"/>
      <c r="S55" s="764"/>
      <c r="T55" s="783">
        <v>43591</v>
      </c>
      <c r="U55" s="771"/>
      <c r="V55" s="754"/>
      <c r="W55" s="763"/>
    </row>
    <row r="56" spans="1:23" s="75" customFormat="1" ht="14.25" customHeight="1">
      <c r="A56" s="764" t="s">
        <v>3006</v>
      </c>
      <c r="B56" s="767" t="s">
        <v>320</v>
      </c>
      <c r="C56" s="768" t="s">
        <v>709</v>
      </c>
      <c r="D56" s="761" t="s">
        <v>1693</v>
      </c>
      <c r="E56" s="754">
        <v>196884</v>
      </c>
      <c r="F56" s="754"/>
      <c r="G56" s="754"/>
      <c r="H56" s="754"/>
      <c r="I56" s="754"/>
      <c r="J56" s="754" t="s">
        <v>818</v>
      </c>
      <c r="K56" s="754" t="s">
        <v>893</v>
      </c>
      <c r="L56" s="754" t="s">
        <v>818</v>
      </c>
      <c r="M56" s="754" t="s">
        <v>312</v>
      </c>
      <c r="N56" s="754">
        <v>20.786739350000001</v>
      </c>
      <c r="O56" s="754">
        <v>92.944313050000005</v>
      </c>
      <c r="P56" s="754" t="s">
        <v>937</v>
      </c>
      <c r="Q56" s="754" t="s">
        <v>794</v>
      </c>
      <c r="R56" s="771"/>
      <c r="S56" s="764"/>
      <c r="T56" s="783"/>
      <c r="U56" s="765"/>
      <c r="V56" s="754"/>
      <c r="W56" s="763"/>
    </row>
    <row r="57" spans="1:23" s="75" customFormat="1" ht="14.25" customHeight="1">
      <c r="A57" s="764" t="s">
        <v>3006</v>
      </c>
      <c r="B57" s="767" t="s">
        <v>320</v>
      </c>
      <c r="C57" s="768" t="s">
        <v>2308</v>
      </c>
      <c r="D57" s="761"/>
      <c r="E57" s="754">
        <v>196813</v>
      </c>
      <c r="F57" s="754"/>
      <c r="G57" s="754"/>
      <c r="H57" s="754"/>
      <c r="I57" s="754"/>
      <c r="J57" s="754" t="s">
        <v>812</v>
      </c>
      <c r="K57" s="754" t="s">
        <v>812</v>
      </c>
      <c r="L57" s="754" t="s">
        <v>812</v>
      </c>
      <c r="M57" s="754"/>
      <c r="N57" s="754">
        <v>20.883239750000001</v>
      </c>
      <c r="O57" s="754">
        <v>92.936859130000002</v>
      </c>
      <c r="P57" s="754" t="s">
        <v>813</v>
      </c>
      <c r="Q57" s="754"/>
      <c r="R57" s="771"/>
      <c r="S57" s="764"/>
      <c r="T57" s="783"/>
      <c r="U57" s="765"/>
      <c r="V57" s="754" t="s">
        <v>2301</v>
      </c>
      <c r="W57" s="763"/>
    </row>
    <row r="58" spans="1:23" s="75" customFormat="1" ht="14.25" customHeight="1">
      <c r="A58" s="764" t="s">
        <v>3006</v>
      </c>
      <c r="B58" s="754" t="s">
        <v>320</v>
      </c>
      <c r="C58" s="754" t="s">
        <v>634</v>
      </c>
      <c r="D58" s="637" t="s">
        <v>1693</v>
      </c>
      <c r="E58" s="754">
        <v>196881</v>
      </c>
      <c r="F58" s="754"/>
      <c r="G58" s="754"/>
      <c r="H58" s="754"/>
      <c r="I58" s="754"/>
      <c r="J58" s="754" t="s">
        <v>818</v>
      </c>
      <c r="K58" s="754" t="s">
        <v>812</v>
      </c>
      <c r="L58" s="754" t="s">
        <v>818</v>
      </c>
      <c r="M58" s="754" t="s">
        <v>2061</v>
      </c>
      <c r="N58" s="754">
        <v>20.809240339999999</v>
      </c>
      <c r="O58" s="754">
        <v>92.923919679999997</v>
      </c>
      <c r="P58" s="754" t="s">
        <v>937</v>
      </c>
      <c r="Q58" s="754" t="s">
        <v>940</v>
      </c>
      <c r="R58" s="763"/>
      <c r="S58" s="764"/>
      <c r="T58" s="783">
        <v>43011</v>
      </c>
      <c r="U58" s="765" t="s">
        <v>941</v>
      </c>
      <c r="V58" s="754"/>
      <c r="W58" s="754"/>
    </row>
    <row r="59" spans="1:23" s="75" customFormat="1" ht="14.25" customHeight="1">
      <c r="A59" s="764" t="s">
        <v>3006</v>
      </c>
      <c r="B59" s="754" t="s">
        <v>320</v>
      </c>
      <c r="C59" s="754" t="s">
        <v>957</v>
      </c>
      <c r="D59" s="637" t="s">
        <v>3117</v>
      </c>
      <c r="E59" s="754" t="s">
        <v>1431</v>
      </c>
      <c r="F59" s="754" t="s">
        <v>1791</v>
      </c>
      <c r="G59" s="754" t="s">
        <v>958</v>
      </c>
      <c r="H59" s="754" t="s">
        <v>43</v>
      </c>
      <c r="I59" s="754"/>
      <c r="J59" s="754" t="s">
        <v>45</v>
      </c>
      <c r="K59" s="754" t="s">
        <v>45</v>
      </c>
      <c r="L59" s="754" t="s">
        <v>811</v>
      </c>
      <c r="M59" s="754" t="s">
        <v>809</v>
      </c>
      <c r="N59" s="754">
        <v>20.865687000000001</v>
      </c>
      <c r="O59" s="754">
        <v>92.965980999999999</v>
      </c>
      <c r="P59" s="754" t="s">
        <v>775</v>
      </c>
      <c r="Q59" s="754" t="s">
        <v>794</v>
      </c>
      <c r="R59" s="763">
        <v>85</v>
      </c>
      <c r="S59" s="764">
        <v>546</v>
      </c>
      <c r="T59" s="783"/>
      <c r="U59" s="765"/>
      <c r="V59" s="754" t="s">
        <v>958</v>
      </c>
      <c r="W59" s="754"/>
    </row>
    <row r="60" spans="1:23" s="75" customFormat="1" ht="14.25" customHeight="1">
      <c r="A60" s="764" t="s">
        <v>3006</v>
      </c>
      <c r="B60" s="767" t="s">
        <v>320</v>
      </c>
      <c r="C60" s="767" t="s">
        <v>554</v>
      </c>
      <c r="D60" s="761" t="s">
        <v>1693</v>
      </c>
      <c r="E60" s="754">
        <v>196930</v>
      </c>
      <c r="F60" s="754"/>
      <c r="G60" s="754"/>
      <c r="H60" s="754"/>
      <c r="I60" s="754"/>
      <c r="J60" s="754" t="s">
        <v>818</v>
      </c>
      <c r="K60" s="754" t="s">
        <v>812</v>
      </c>
      <c r="L60" s="754" t="s">
        <v>818</v>
      </c>
      <c r="M60" s="754" t="s">
        <v>2060</v>
      </c>
      <c r="N60" s="754">
        <v>20.681715010000001</v>
      </c>
      <c r="O60" s="754">
        <v>92.94140625</v>
      </c>
      <c r="P60" s="754" t="s">
        <v>937</v>
      </c>
      <c r="Q60" s="754" t="s">
        <v>940</v>
      </c>
      <c r="R60" s="771"/>
      <c r="S60" s="764"/>
      <c r="T60" s="783">
        <v>43011</v>
      </c>
      <c r="U60" s="765" t="s">
        <v>941</v>
      </c>
      <c r="V60" s="754"/>
      <c r="W60" s="754"/>
    </row>
    <row r="61" spans="1:23" s="75" customFormat="1" ht="14.25" customHeight="1">
      <c r="A61" s="764" t="s">
        <v>3006</v>
      </c>
      <c r="B61" s="754" t="s">
        <v>320</v>
      </c>
      <c r="C61" s="754" t="s">
        <v>674</v>
      </c>
      <c r="D61" s="637" t="s">
        <v>1693</v>
      </c>
      <c r="E61" s="754">
        <v>196787</v>
      </c>
      <c r="F61" s="754"/>
      <c r="G61" s="754"/>
      <c r="H61" s="754"/>
      <c r="I61" s="754"/>
      <c r="J61" s="754" t="s">
        <v>812</v>
      </c>
      <c r="K61" s="754" t="s">
        <v>812</v>
      </c>
      <c r="L61" s="754" t="s">
        <v>812</v>
      </c>
      <c r="M61" s="754" t="s">
        <v>809</v>
      </c>
      <c r="N61" s="754">
        <v>20.90377045</v>
      </c>
      <c r="O61" s="754">
        <v>93.004432679999994</v>
      </c>
      <c r="P61" s="754" t="s">
        <v>813</v>
      </c>
      <c r="Q61" s="754" t="s">
        <v>794</v>
      </c>
      <c r="R61" s="763"/>
      <c r="S61" s="764"/>
      <c r="T61" s="783"/>
      <c r="U61" s="765"/>
      <c r="V61" s="754" t="s">
        <v>674</v>
      </c>
      <c r="W61" s="754"/>
    </row>
    <row r="62" spans="1:23" s="75" customFormat="1" ht="14.25" customHeight="1">
      <c r="A62" s="767" t="s">
        <v>3006</v>
      </c>
      <c r="B62" s="767" t="s">
        <v>320</v>
      </c>
      <c r="C62" s="768" t="s">
        <v>3175</v>
      </c>
      <c r="D62" s="761"/>
      <c r="E62" s="754" t="s">
        <v>3216</v>
      </c>
      <c r="F62" s="754"/>
      <c r="G62" s="754"/>
      <c r="H62" s="754"/>
      <c r="I62" s="754"/>
      <c r="J62" s="754" t="s">
        <v>3017</v>
      </c>
      <c r="K62" s="754" t="s">
        <v>2935</v>
      </c>
      <c r="L62" s="754" t="s">
        <v>2935</v>
      </c>
      <c r="M62" s="754"/>
      <c r="N62" s="754"/>
      <c r="O62" s="754"/>
      <c r="P62" s="754"/>
      <c r="Q62" s="754"/>
      <c r="R62" s="771"/>
      <c r="S62" s="764"/>
      <c r="T62" s="783">
        <v>43591</v>
      </c>
      <c r="U62" s="771"/>
      <c r="V62" s="754"/>
      <c r="W62" s="763"/>
    </row>
    <row r="63" spans="1:23" s="75" customFormat="1" ht="14.25" customHeight="1">
      <c r="A63" s="764" t="s">
        <v>3006</v>
      </c>
      <c r="B63" s="767" t="s">
        <v>320</v>
      </c>
      <c r="C63" s="768" t="s">
        <v>351</v>
      </c>
      <c r="D63" s="761" t="s">
        <v>1693</v>
      </c>
      <c r="E63" s="754"/>
      <c r="F63" s="754"/>
      <c r="G63" s="754"/>
      <c r="H63" s="754"/>
      <c r="I63" s="754"/>
      <c r="J63" s="754" t="s">
        <v>818</v>
      </c>
      <c r="K63" s="754" t="s">
        <v>812</v>
      </c>
      <c r="L63" s="754" t="s">
        <v>818</v>
      </c>
      <c r="M63" s="754" t="s">
        <v>2061</v>
      </c>
      <c r="N63" s="754"/>
      <c r="O63" s="754"/>
      <c r="P63" s="754" t="s">
        <v>937</v>
      </c>
      <c r="Q63" s="754" t="s">
        <v>940</v>
      </c>
      <c r="R63" s="771"/>
      <c r="S63" s="764"/>
      <c r="T63" s="783">
        <v>43011</v>
      </c>
      <c r="U63" s="765" t="s">
        <v>941</v>
      </c>
      <c r="V63" s="754"/>
      <c r="W63" s="763"/>
    </row>
    <row r="64" spans="1:23" s="75" customFormat="1" ht="14.25" customHeight="1">
      <c r="A64" s="764" t="s">
        <v>3006</v>
      </c>
      <c r="B64" s="754" t="s">
        <v>320</v>
      </c>
      <c r="C64" s="754" t="s">
        <v>1148</v>
      </c>
      <c r="D64" s="637" t="s">
        <v>1693</v>
      </c>
      <c r="E64" s="754">
        <v>196759</v>
      </c>
      <c r="F64" s="754"/>
      <c r="G64" s="754"/>
      <c r="H64" s="754"/>
      <c r="I64" s="754"/>
      <c r="J64" s="754" t="s">
        <v>812</v>
      </c>
      <c r="K64" s="754" t="s">
        <v>812</v>
      </c>
      <c r="L64" s="754" t="s">
        <v>812</v>
      </c>
      <c r="M64" s="754" t="s">
        <v>2061</v>
      </c>
      <c r="N64" s="754"/>
      <c r="O64" s="754"/>
      <c r="P64" s="754" t="s">
        <v>813</v>
      </c>
      <c r="Q64" s="754"/>
      <c r="R64" s="763"/>
      <c r="S64" s="764"/>
      <c r="T64" s="783"/>
      <c r="U64" s="765"/>
      <c r="V64" s="754" t="s">
        <v>1148</v>
      </c>
      <c r="W64" s="754"/>
    </row>
    <row r="65" spans="1:23" s="75" customFormat="1" ht="14.25" customHeight="1">
      <c r="A65" s="764" t="s">
        <v>3006</v>
      </c>
      <c r="B65" s="767" t="s">
        <v>320</v>
      </c>
      <c r="C65" s="768" t="s">
        <v>2059</v>
      </c>
      <c r="D65" s="761" t="s">
        <v>1693</v>
      </c>
      <c r="E65" s="754"/>
      <c r="F65" s="754"/>
      <c r="G65" s="754"/>
      <c r="H65" s="754"/>
      <c r="I65" s="754"/>
      <c r="J65" s="754" t="s">
        <v>818</v>
      </c>
      <c r="K65" s="754" t="s">
        <v>812</v>
      </c>
      <c r="L65" s="754" t="s">
        <v>818</v>
      </c>
      <c r="M65" s="754" t="s">
        <v>312</v>
      </c>
      <c r="N65" s="754"/>
      <c r="O65" s="754"/>
      <c r="P65" s="754" t="s">
        <v>937</v>
      </c>
      <c r="Q65" s="754" t="s">
        <v>940</v>
      </c>
      <c r="R65" s="771"/>
      <c r="S65" s="764"/>
      <c r="T65" s="783">
        <v>43011</v>
      </c>
      <c r="U65" s="765" t="s">
        <v>941</v>
      </c>
      <c r="V65" s="754"/>
      <c r="W65" s="754"/>
    </row>
    <row r="66" spans="1:23" s="75" customFormat="1" ht="14.25" customHeight="1">
      <c r="A66" s="764" t="s">
        <v>3006</v>
      </c>
      <c r="B66" s="767" t="s">
        <v>320</v>
      </c>
      <c r="C66" s="768" t="s">
        <v>354</v>
      </c>
      <c r="D66" s="761" t="s">
        <v>1693</v>
      </c>
      <c r="E66" s="754">
        <v>196815</v>
      </c>
      <c r="F66" s="754"/>
      <c r="G66" s="754"/>
      <c r="H66" s="754"/>
      <c r="I66" s="754"/>
      <c r="J66" s="754" t="s">
        <v>818</v>
      </c>
      <c r="K66" s="754" t="s">
        <v>812</v>
      </c>
      <c r="L66" s="754" t="s">
        <v>818</v>
      </c>
      <c r="M66" s="754" t="s">
        <v>2058</v>
      </c>
      <c r="N66" s="754"/>
      <c r="O66" s="754"/>
      <c r="P66" s="754" t="s">
        <v>937</v>
      </c>
      <c r="Q66" s="754" t="s">
        <v>940</v>
      </c>
      <c r="R66" s="771"/>
      <c r="S66" s="764"/>
      <c r="T66" s="783">
        <v>43011</v>
      </c>
      <c r="U66" s="765" t="s">
        <v>941</v>
      </c>
      <c r="V66" s="754"/>
      <c r="W66" s="754"/>
    </row>
    <row r="67" spans="1:23" s="75" customFormat="1" ht="14.25" customHeight="1">
      <c r="A67" s="764" t="s">
        <v>3006</v>
      </c>
      <c r="B67" s="767" t="s">
        <v>320</v>
      </c>
      <c r="C67" s="768" t="s">
        <v>2312</v>
      </c>
      <c r="D67" s="761"/>
      <c r="E67" s="754">
        <v>196889</v>
      </c>
      <c r="F67" s="754"/>
      <c r="G67" s="754"/>
      <c r="H67" s="754"/>
      <c r="I67" s="754"/>
      <c r="J67" s="754" t="s">
        <v>812</v>
      </c>
      <c r="K67" s="754" t="s">
        <v>812</v>
      </c>
      <c r="L67" s="754" t="s">
        <v>812</v>
      </c>
      <c r="M67" s="754"/>
      <c r="N67" s="754">
        <v>20.785549159999999</v>
      </c>
      <c r="O67" s="754">
        <v>92.971076969999999</v>
      </c>
      <c r="P67" s="754" t="s">
        <v>813</v>
      </c>
      <c r="Q67" s="754"/>
      <c r="R67" s="771"/>
      <c r="S67" s="764"/>
      <c r="T67" s="783"/>
      <c r="U67" s="765"/>
      <c r="V67" s="754" t="s">
        <v>2305</v>
      </c>
      <c r="W67" s="754"/>
    </row>
    <row r="68" spans="1:23" s="75" customFormat="1" ht="14.25" customHeight="1">
      <c r="A68" s="764" t="s">
        <v>3006</v>
      </c>
      <c r="B68" s="767" t="s">
        <v>320</v>
      </c>
      <c r="C68" s="768" t="s">
        <v>2367</v>
      </c>
      <c r="D68" s="761"/>
      <c r="E68" s="754">
        <v>196939</v>
      </c>
      <c r="F68" s="754" t="s">
        <v>2362</v>
      </c>
      <c r="G68" s="754"/>
      <c r="H68" s="754"/>
      <c r="I68" s="754"/>
      <c r="J68" s="754" t="s">
        <v>812</v>
      </c>
      <c r="K68" s="754" t="s">
        <v>812</v>
      </c>
      <c r="L68" s="754" t="s">
        <v>812</v>
      </c>
      <c r="M68" s="754"/>
      <c r="N68" s="754">
        <v>20.648920059999998</v>
      </c>
      <c r="O68" s="754">
        <v>92.967460630000005</v>
      </c>
      <c r="P68" s="754" t="s">
        <v>813</v>
      </c>
      <c r="Q68" s="754" t="s">
        <v>2321</v>
      </c>
      <c r="R68" s="771"/>
      <c r="S68" s="764"/>
      <c r="T68" s="783">
        <v>43465</v>
      </c>
      <c r="U68" s="765" t="s">
        <v>2364</v>
      </c>
      <c r="V68" s="754" t="s">
        <v>2361</v>
      </c>
      <c r="W68" s="754"/>
    </row>
    <row r="69" spans="1:23" s="75" customFormat="1" ht="14.25" customHeight="1">
      <c r="A69" s="764" t="s">
        <v>3006</v>
      </c>
      <c r="B69" s="767" t="s">
        <v>320</v>
      </c>
      <c r="C69" s="768" t="s">
        <v>671</v>
      </c>
      <c r="D69" s="761" t="s">
        <v>1693</v>
      </c>
      <c r="E69" s="754">
        <v>196814</v>
      </c>
      <c r="F69" s="754"/>
      <c r="G69" s="754"/>
      <c r="H69" s="754"/>
      <c r="I69" s="754"/>
      <c r="J69" s="754" t="s">
        <v>818</v>
      </c>
      <c r="K69" s="754" t="s">
        <v>812</v>
      </c>
      <c r="L69" s="754" t="s">
        <v>818</v>
      </c>
      <c r="M69" s="754" t="s">
        <v>312</v>
      </c>
      <c r="N69" s="754">
        <v>20.894269940000001</v>
      </c>
      <c r="O69" s="754">
        <v>92.920730590000005</v>
      </c>
      <c r="P69" s="754" t="s">
        <v>937</v>
      </c>
      <c r="Q69" s="754" t="s">
        <v>940</v>
      </c>
      <c r="R69" s="771"/>
      <c r="S69" s="764"/>
      <c r="T69" s="783">
        <v>43011</v>
      </c>
      <c r="U69" s="765" t="s">
        <v>941</v>
      </c>
      <c r="V69" s="754"/>
      <c r="W69" s="754"/>
    </row>
    <row r="70" spans="1:23" s="75" customFormat="1" ht="14.25" customHeight="1">
      <c r="A70" s="764" t="s">
        <v>3006</v>
      </c>
      <c r="B70" s="754" t="s">
        <v>320</v>
      </c>
      <c r="C70" s="754" t="s">
        <v>2299</v>
      </c>
      <c r="D70" s="637"/>
      <c r="E70" s="754"/>
      <c r="F70" s="754"/>
      <c r="G70" s="754"/>
      <c r="H70" s="754"/>
      <c r="I70" s="754"/>
      <c r="J70" s="754" t="s">
        <v>812</v>
      </c>
      <c r="K70" s="754" t="s">
        <v>812</v>
      </c>
      <c r="L70" s="754" t="s">
        <v>812</v>
      </c>
      <c r="M70" s="754"/>
      <c r="N70" s="754">
        <v>20.889249800000002</v>
      </c>
      <c r="O70" s="754">
        <v>92.939201350000005</v>
      </c>
      <c r="P70" s="754" t="s">
        <v>813</v>
      </c>
      <c r="Q70" s="754"/>
      <c r="R70" s="763"/>
      <c r="S70" s="764"/>
      <c r="T70" s="783"/>
      <c r="U70" s="765"/>
      <c r="V70" s="754" t="s">
        <v>2299</v>
      </c>
      <c r="W70" s="754"/>
    </row>
    <row r="71" spans="1:23" s="75" customFormat="1" ht="14.25" customHeight="1">
      <c r="A71" s="764" t="s">
        <v>3006</v>
      </c>
      <c r="B71" s="754" t="s">
        <v>320</v>
      </c>
      <c r="C71" s="754" t="s">
        <v>712</v>
      </c>
      <c r="D71" s="637" t="s">
        <v>1693</v>
      </c>
      <c r="E71" s="754">
        <v>196929</v>
      </c>
      <c r="F71" s="754"/>
      <c r="G71" s="754"/>
      <c r="H71" s="754"/>
      <c r="I71" s="754"/>
      <c r="J71" s="754" t="s">
        <v>818</v>
      </c>
      <c r="K71" s="754" t="s">
        <v>812</v>
      </c>
      <c r="L71" s="754" t="s">
        <v>818</v>
      </c>
      <c r="M71" s="754" t="s">
        <v>312</v>
      </c>
      <c r="N71" s="775">
        <v>20.67705917</v>
      </c>
      <c r="O71" s="775">
        <v>92.953247070000003</v>
      </c>
      <c r="P71" s="754" t="s">
        <v>937</v>
      </c>
      <c r="Q71" s="754" t="s">
        <v>794</v>
      </c>
      <c r="R71" s="763"/>
      <c r="S71" s="764"/>
      <c r="T71" s="783"/>
      <c r="U71" s="765"/>
      <c r="V71" s="754"/>
      <c r="W71" s="754"/>
    </row>
    <row r="72" spans="1:23" s="75" customFormat="1" ht="14.25" customHeight="1">
      <c r="A72" s="764" t="s">
        <v>3006</v>
      </c>
      <c r="B72" s="754" t="s">
        <v>320</v>
      </c>
      <c r="C72" s="754" t="s">
        <v>711</v>
      </c>
      <c r="D72" s="637" t="s">
        <v>1693</v>
      </c>
      <c r="E72" s="754">
        <v>196927</v>
      </c>
      <c r="F72" s="754" t="s">
        <v>711</v>
      </c>
      <c r="G72" s="754"/>
      <c r="H72" s="754"/>
      <c r="I72" s="754"/>
      <c r="J72" s="754" t="s">
        <v>812</v>
      </c>
      <c r="K72" s="754" t="s">
        <v>812</v>
      </c>
      <c r="L72" s="754" t="s">
        <v>812</v>
      </c>
      <c r="M72" s="754" t="s">
        <v>312</v>
      </c>
      <c r="N72" s="754">
        <v>20.697889329999999</v>
      </c>
      <c r="O72" s="754">
        <v>92.951232910000002</v>
      </c>
      <c r="P72" s="754" t="s">
        <v>813</v>
      </c>
      <c r="Q72" s="754" t="s">
        <v>794</v>
      </c>
      <c r="R72" s="763"/>
      <c r="S72" s="764"/>
      <c r="T72" s="783">
        <v>43465</v>
      </c>
      <c r="U72" s="765" t="s">
        <v>2364</v>
      </c>
      <c r="V72" s="754" t="s">
        <v>2363</v>
      </c>
      <c r="W72" s="754"/>
    </row>
    <row r="73" spans="1:23" s="75" customFormat="1" ht="14.25" customHeight="1">
      <c r="A73" s="764" t="s">
        <v>3006</v>
      </c>
      <c r="B73" s="760" t="s">
        <v>320</v>
      </c>
      <c r="C73" s="760" t="s">
        <v>2309</v>
      </c>
      <c r="D73" s="637"/>
      <c r="E73" s="754">
        <v>220647</v>
      </c>
      <c r="F73" s="754"/>
      <c r="G73" s="754"/>
      <c r="H73" s="754"/>
      <c r="I73" s="754"/>
      <c r="J73" s="754" t="s">
        <v>812</v>
      </c>
      <c r="K73" s="754" t="s">
        <v>812</v>
      </c>
      <c r="L73" s="754" t="s">
        <v>812</v>
      </c>
      <c r="M73" s="754"/>
      <c r="N73" s="754"/>
      <c r="O73" s="754"/>
      <c r="P73" s="754" t="s">
        <v>813</v>
      </c>
      <c r="Q73" s="754"/>
      <c r="R73" s="767"/>
      <c r="S73" s="768"/>
      <c r="T73" s="783"/>
      <c r="U73" s="765"/>
      <c r="V73" s="754" t="s">
        <v>2302</v>
      </c>
      <c r="W73" s="754"/>
    </row>
    <row r="74" spans="1:23" s="75" customFormat="1" ht="14.25" customHeight="1">
      <c r="A74" s="764" t="s">
        <v>3006</v>
      </c>
      <c r="B74" s="760" t="s">
        <v>320</v>
      </c>
      <c r="C74" s="760" t="s">
        <v>2310</v>
      </c>
      <c r="D74" s="637"/>
      <c r="E74" s="754">
        <v>196755</v>
      </c>
      <c r="F74" s="754"/>
      <c r="G74" s="754"/>
      <c r="H74" s="754"/>
      <c r="I74" s="754"/>
      <c r="J74" s="754" t="s">
        <v>812</v>
      </c>
      <c r="K74" s="754" t="s">
        <v>812</v>
      </c>
      <c r="L74" s="754" t="s">
        <v>812</v>
      </c>
      <c r="M74" s="754"/>
      <c r="N74" s="754">
        <v>20.932960510000001</v>
      </c>
      <c r="O74" s="754">
        <v>92.930267330000007</v>
      </c>
      <c r="P74" s="754" t="s">
        <v>813</v>
      </c>
      <c r="Q74" s="754"/>
      <c r="R74" s="763"/>
      <c r="S74" s="764"/>
      <c r="T74" s="783"/>
      <c r="U74" s="765"/>
      <c r="V74" s="754" t="s">
        <v>2303</v>
      </c>
      <c r="W74" s="754"/>
    </row>
    <row r="75" spans="1:23" s="75" customFormat="1" ht="14.25" customHeight="1">
      <c r="A75" s="764" t="s">
        <v>3006</v>
      </c>
      <c r="B75" s="767" t="s">
        <v>320</v>
      </c>
      <c r="C75" s="768" t="s">
        <v>361</v>
      </c>
      <c r="D75" s="761" t="s">
        <v>1693</v>
      </c>
      <c r="E75" s="754"/>
      <c r="F75" s="754"/>
      <c r="G75" s="754"/>
      <c r="H75" s="754"/>
      <c r="I75" s="754"/>
      <c r="J75" s="754" t="s">
        <v>812</v>
      </c>
      <c r="K75" s="754" t="s">
        <v>812</v>
      </c>
      <c r="L75" s="754" t="s">
        <v>812</v>
      </c>
      <c r="M75" s="754" t="s">
        <v>312</v>
      </c>
      <c r="N75" s="754"/>
      <c r="O75" s="754"/>
      <c r="P75" s="754" t="s">
        <v>813</v>
      </c>
      <c r="Q75" s="754" t="s">
        <v>794</v>
      </c>
      <c r="R75" s="771"/>
      <c r="S75" s="764"/>
      <c r="T75" s="783"/>
      <c r="U75" s="765"/>
      <c r="V75" s="754"/>
      <c r="W75" s="754"/>
    </row>
    <row r="76" spans="1:23" s="75" customFormat="1" ht="14.25" customHeight="1">
      <c r="A76" s="764" t="s">
        <v>3006</v>
      </c>
      <c r="B76" s="767" t="s">
        <v>320</v>
      </c>
      <c r="C76" s="768" t="s">
        <v>648</v>
      </c>
      <c r="D76" s="761" t="s">
        <v>1693</v>
      </c>
      <c r="E76" s="754">
        <v>196880</v>
      </c>
      <c r="F76" s="754"/>
      <c r="G76" s="754"/>
      <c r="H76" s="754"/>
      <c r="I76" s="754"/>
      <c r="J76" s="754" t="s">
        <v>818</v>
      </c>
      <c r="K76" s="754" t="s">
        <v>812</v>
      </c>
      <c r="L76" s="754" t="s">
        <v>818</v>
      </c>
      <c r="M76" s="754" t="s">
        <v>2061</v>
      </c>
      <c r="N76" s="754">
        <v>20.831729889999998</v>
      </c>
      <c r="O76" s="760">
        <v>92.919639590000003</v>
      </c>
      <c r="P76" s="754" t="s">
        <v>937</v>
      </c>
      <c r="Q76" s="754" t="s">
        <v>940</v>
      </c>
      <c r="R76" s="771"/>
      <c r="S76" s="764"/>
      <c r="T76" s="783">
        <v>43011</v>
      </c>
      <c r="U76" s="765" t="s">
        <v>941</v>
      </c>
      <c r="V76" s="754"/>
      <c r="W76" s="754"/>
    </row>
    <row r="77" spans="1:23" s="75" customFormat="1" ht="14.25" customHeight="1">
      <c r="A77" s="764" t="s">
        <v>3006</v>
      </c>
      <c r="B77" s="767" t="s">
        <v>320</v>
      </c>
      <c r="C77" s="768" t="s">
        <v>611</v>
      </c>
      <c r="D77" s="637" t="s">
        <v>3117</v>
      </c>
      <c r="E77" s="754" t="s">
        <v>1423</v>
      </c>
      <c r="F77" s="754" t="s">
        <v>1787</v>
      </c>
      <c r="G77" s="754" t="s">
        <v>1788</v>
      </c>
      <c r="H77" s="754"/>
      <c r="I77" s="754"/>
      <c r="J77" s="754" t="s">
        <v>812</v>
      </c>
      <c r="K77" s="754" t="s">
        <v>812</v>
      </c>
      <c r="L77" s="754" t="s">
        <v>897</v>
      </c>
      <c r="M77" s="754" t="s">
        <v>809</v>
      </c>
      <c r="N77" s="754">
        <v>20.78332</v>
      </c>
      <c r="O77" s="754">
        <v>92.987399999999994</v>
      </c>
      <c r="P77" s="754" t="s">
        <v>813</v>
      </c>
      <c r="Q77" s="754" t="s">
        <v>794</v>
      </c>
      <c r="R77" s="763">
        <v>144</v>
      </c>
      <c r="S77" s="764">
        <v>1006</v>
      </c>
      <c r="T77" s="783"/>
      <c r="U77" s="765"/>
      <c r="V77" s="754" t="s">
        <v>611</v>
      </c>
      <c r="W77" s="754"/>
    </row>
    <row r="78" spans="1:23" s="75" customFormat="1" ht="14.25" customHeight="1">
      <c r="A78" s="764" t="s">
        <v>3006</v>
      </c>
      <c r="B78" s="760" t="s">
        <v>320</v>
      </c>
      <c r="C78" s="760" t="s">
        <v>613</v>
      </c>
      <c r="D78" s="637" t="s">
        <v>1693</v>
      </c>
      <c r="E78" s="754">
        <v>196869</v>
      </c>
      <c r="F78" s="754"/>
      <c r="G78" s="754"/>
      <c r="H78" s="754"/>
      <c r="I78" s="754"/>
      <c r="J78" s="754" t="s">
        <v>812</v>
      </c>
      <c r="K78" s="754" t="s">
        <v>812</v>
      </c>
      <c r="L78" s="754" t="s">
        <v>812</v>
      </c>
      <c r="M78" s="754" t="s">
        <v>312</v>
      </c>
      <c r="N78" s="775">
        <v>20.785699839999999</v>
      </c>
      <c r="O78" s="775">
        <v>92.986633299999994</v>
      </c>
      <c r="P78" s="754" t="s">
        <v>813</v>
      </c>
      <c r="Q78" s="754" t="s">
        <v>794</v>
      </c>
      <c r="R78" s="763"/>
      <c r="S78" s="764"/>
      <c r="T78" s="783"/>
      <c r="U78" s="765"/>
      <c r="V78" s="754" t="s">
        <v>613</v>
      </c>
      <c r="W78" s="754"/>
    </row>
    <row r="79" spans="1:23" s="75" customFormat="1" ht="14.25" customHeight="1">
      <c r="A79" s="764" t="s">
        <v>3006</v>
      </c>
      <c r="B79" s="767" t="s">
        <v>320</v>
      </c>
      <c r="C79" s="768" t="s">
        <v>964</v>
      </c>
      <c r="D79" s="637" t="s">
        <v>3117</v>
      </c>
      <c r="E79" s="754" t="s">
        <v>1435</v>
      </c>
      <c r="F79" s="754" t="s">
        <v>1898</v>
      </c>
      <c r="G79" s="754" t="s">
        <v>1899</v>
      </c>
      <c r="H79" s="754"/>
      <c r="I79" s="754"/>
      <c r="J79" s="754" t="s">
        <v>812</v>
      </c>
      <c r="K79" s="754" t="s">
        <v>812</v>
      </c>
      <c r="L79" s="754" t="s">
        <v>897</v>
      </c>
      <c r="M79" s="754" t="s">
        <v>809</v>
      </c>
      <c r="N79" s="754">
        <v>20.929649000000001</v>
      </c>
      <c r="O79" s="754">
        <v>93.000815000000003</v>
      </c>
      <c r="P79" s="754" t="s">
        <v>813</v>
      </c>
      <c r="Q79" s="754"/>
      <c r="R79" s="763">
        <v>63</v>
      </c>
      <c r="S79" s="764">
        <v>414</v>
      </c>
      <c r="T79" s="783"/>
      <c r="U79" s="765" t="s">
        <v>874</v>
      </c>
      <c r="V79" s="754" t="s">
        <v>964</v>
      </c>
      <c r="W79" s="754"/>
    </row>
    <row r="80" spans="1:23" s="75" customFormat="1" ht="14.25" customHeight="1">
      <c r="A80" s="764" t="s">
        <v>3006</v>
      </c>
      <c r="B80" s="760" t="s">
        <v>320</v>
      </c>
      <c r="C80" s="760" t="s">
        <v>708</v>
      </c>
      <c r="D80" s="637" t="s">
        <v>1693</v>
      </c>
      <c r="E80" s="754">
        <v>196823</v>
      </c>
      <c r="F80" s="754"/>
      <c r="G80" s="754"/>
      <c r="H80" s="754"/>
      <c r="I80" s="754"/>
      <c r="J80" s="754" t="s">
        <v>818</v>
      </c>
      <c r="K80" s="754" t="s">
        <v>812</v>
      </c>
      <c r="L80" s="754" t="s">
        <v>818</v>
      </c>
      <c r="M80" s="754" t="s">
        <v>809</v>
      </c>
      <c r="N80" s="754">
        <v>20.85956955</v>
      </c>
      <c r="O80" s="754">
        <v>92.941146849999996</v>
      </c>
      <c r="P80" s="754" t="s">
        <v>937</v>
      </c>
      <c r="Q80" s="754" t="s">
        <v>794</v>
      </c>
      <c r="R80" s="763"/>
      <c r="S80" s="764"/>
      <c r="T80" s="783"/>
      <c r="U80" s="765"/>
      <c r="V80" s="754"/>
      <c r="W80" s="754"/>
    </row>
    <row r="81" spans="1:23" s="75" customFormat="1" ht="14.25" customHeight="1">
      <c r="A81" s="764" t="s">
        <v>3006</v>
      </c>
      <c r="B81" s="760" t="s">
        <v>320</v>
      </c>
      <c r="C81" s="760" t="s">
        <v>656</v>
      </c>
      <c r="D81" s="637" t="s">
        <v>1693</v>
      </c>
      <c r="E81" s="754">
        <v>196817</v>
      </c>
      <c r="F81" s="754"/>
      <c r="G81" s="754"/>
      <c r="H81" s="754"/>
      <c r="I81" s="754"/>
      <c r="J81" s="754" t="s">
        <v>818</v>
      </c>
      <c r="K81" s="754" t="s">
        <v>812</v>
      </c>
      <c r="L81" s="754" t="s">
        <v>818</v>
      </c>
      <c r="M81" s="754" t="s">
        <v>809</v>
      </c>
      <c r="N81" s="754">
        <v>20.864519120000001</v>
      </c>
      <c r="O81" s="754">
        <v>92.940399170000006</v>
      </c>
      <c r="P81" s="754" t="s">
        <v>937</v>
      </c>
      <c r="Q81" s="754" t="s">
        <v>940</v>
      </c>
      <c r="R81" s="763"/>
      <c r="S81" s="764"/>
      <c r="T81" s="783">
        <v>43011</v>
      </c>
      <c r="U81" s="765" t="s">
        <v>941</v>
      </c>
      <c r="V81" s="754"/>
      <c r="W81" s="754"/>
    </row>
    <row r="82" spans="1:23" s="75" customFormat="1" ht="14.25" customHeight="1">
      <c r="A82" s="764" t="s">
        <v>3006</v>
      </c>
      <c r="B82" s="767" t="s">
        <v>320</v>
      </c>
      <c r="C82" s="768" t="s">
        <v>2062</v>
      </c>
      <c r="D82" s="761" t="s">
        <v>1693</v>
      </c>
      <c r="E82" s="754">
        <v>196818</v>
      </c>
      <c r="F82" s="754"/>
      <c r="G82" s="754"/>
      <c r="H82" s="754"/>
      <c r="I82" s="754"/>
      <c r="J82" s="754" t="s">
        <v>818</v>
      </c>
      <c r="K82" s="754" t="s">
        <v>812</v>
      </c>
      <c r="L82" s="754" t="s">
        <v>818</v>
      </c>
      <c r="M82" s="754" t="s">
        <v>809</v>
      </c>
      <c r="N82" s="754"/>
      <c r="O82" s="754"/>
      <c r="P82" s="754" t="s">
        <v>937</v>
      </c>
      <c r="Q82" s="754" t="s">
        <v>940</v>
      </c>
      <c r="R82" s="771"/>
      <c r="S82" s="764"/>
      <c r="T82" s="783">
        <v>43011</v>
      </c>
      <c r="U82" s="765" t="s">
        <v>941</v>
      </c>
      <c r="V82" s="754"/>
      <c r="W82" s="754"/>
    </row>
    <row r="83" spans="1:23" s="75" customFormat="1" ht="14.25" customHeight="1">
      <c r="A83" s="764" t="s">
        <v>3006</v>
      </c>
      <c r="B83" s="767" t="s">
        <v>320</v>
      </c>
      <c r="C83" s="768" t="s">
        <v>3131</v>
      </c>
      <c r="D83" s="761"/>
      <c r="E83" s="754">
        <v>196911</v>
      </c>
      <c r="F83" s="754"/>
      <c r="G83" s="754"/>
      <c r="H83" s="754"/>
      <c r="I83" s="754"/>
      <c r="J83" s="754" t="s">
        <v>3017</v>
      </c>
      <c r="K83" s="754" t="s">
        <v>2935</v>
      </c>
      <c r="L83" s="754" t="s">
        <v>2935</v>
      </c>
      <c r="M83" s="754"/>
      <c r="N83" s="754">
        <v>20.674160003662099</v>
      </c>
      <c r="O83" s="754">
        <v>92.9078369140625</v>
      </c>
      <c r="P83" s="754"/>
      <c r="Q83" s="754"/>
      <c r="R83" s="771"/>
      <c r="S83" s="764"/>
      <c r="T83" s="783">
        <v>43591</v>
      </c>
      <c r="U83" s="771"/>
      <c r="V83" s="754"/>
      <c r="W83" s="763"/>
    </row>
    <row r="84" spans="1:23" s="75" customFormat="1" ht="14.25" customHeight="1">
      <c r="A84" s="764" t="s">
        <v>3006</v>
      </c>
      <c r="B84" s="760" t="s">
        <v>320</v>
      </c>
      <c r="C84" s="760" t="s">
        <v>632</v>
      </c>
      <c r="D84" s="637" t="s">
        <v>1693</v>
      </c>
      <c r="E84" s="754">
        <v>196873</v>
      </c>
      <c r="F84" s="766"/>
      <c r="G84" s="754"/>
      <c r="H84" s="754"/>
      <c r="I84" s="754"/>
      <c r="J84" s="754" t="s">
        <v>812</v>
      </c>
      <c r="K84" s="754" t="s">
        <v>812</v>
      </c>
      <c r="L84" s="754" t="s">
        <v>812</v>
      </c>
      <c r="M84" s="754" t="s">
        <v>312</v>
      </c>
      <c r="N84" s="754">
        <v>20.8064003</v>
      </c>
      <c r="O84" s="754">
        <v>92.982147220000002</v>
      </c>
      <c r="P84" s="754" t="s">
        <v>813</v>
      </c>
      <c r="Q84" s="754" t="s">
        <v>794</v>
      </c>
      <c r="R84" s="763"/>
      <c r="S84" s="764"/>
      <c r="T84" s="783"/>
      <c r="U84" s="765"/>
      <c r="V84" s="754" t="s">
        <v>632</v>
      </c>
      <c r="W84" s="754"/>
    </row>
    <row r="85" spans="1:23" s="75" customFormat="1" ht="14.25" customHeight="1">
      <c r="A85" s="764" t="s">
        <v>3006</v>
      </c>
      <c r="B85" s="767" t="s">
        <v>320</v>
      </c>
      <c r="C85" s="768" t="s">
        <v>2830</v>
      </c>
      <c r="D85" s="761"/>
      <c r="E85" s="754">
        <v>196673</v>
      </c>
      <c r="F85" s="754"/>
      <c r="G85" s="754"/>
      <c r="H85" s="754"/>
      <c r="I85" s="754"/>
      <c r="J85" s="754" t="s">
        <v>3017</v>
      </c>
      <c r="K85" s="754" t="s">
        <v>2935</v>
      </c>
      <c r="L85" s="754" t="s">
        <v>2935</v>
      </c>
      <c r="M85" s="754"/>
      <c r="N85" s="754"/>
      <c r="O85" s="754"/>
      <c r="P85" s="754"/>
      <c r="Q85" s="754"/>
      <c r="R85" s="771"/>
      <c r="S85" s="764"/>
      <c r="T85" s="783"/>
      <c r="U85" s="765"/>
      <c r="V85" s="754"/>
      <c r="W85" s="763"/>
    </row>
    <row r="86" spans="1:23" s="75" customFormat="1" ht="14.25" customHeight="1">
      <c r="A86" s="764" t="s">
        <v>3006</v>
      </c>
      <c r="B86" s="767" t="s">
        <v>320</v>
      </c>
      <c r="C86" s="768" t="s">
        <v>968</v>
      </c>
      <c r="D86" s="761" t="s">
        <v>1693</v>
      </c>
      <c r="E86" s="754">
        <v>196767</v>
      </c>
      <c r="F86" s="754"/>
      <c r="G86" s="754"/>
      <c r="H86" s="754"/>
      <c r="I86" s="754"/>
      <c r="J86" s="754" t="s">
        <v>812</v>
      </c>
      <c r="K86" s="754" t="s">
        <v>812</v>
      </c>
      <c r="L86" s="754" t="s">
        <v>812</v>
      </c>
      <c r="M86" s="754" t="s">
        <v>312</v>
      </c>
      <c r="N86" s="754">
        <v>21.006929400000001</v>
      </c>
      <c r="O86" s="754">
        <v>92.981040949999993</v>
      </c>
      <c r="P86" s="754" t="s">
        <v>813</v>
      </c>
      <c r="Q86" s="754"/>
      <c r="R86" s="771"/>
      <c r="S86" s="764"/>
      <c r="T86" s="783"/>
      <c r="U86" s="765"/>
      <c r="V86" s="754" t="s">
        <v>968</v>
      </c>
      <c r="W86" s="754"/>
    </row>
    <row r="87" spans="1:23" s="75" customFormat="1" ht="14.25" customHeight="1">
      <c r="A87" s="764" t="s">
        <v>3006</v>
      </c>
      <c r="B87" s="760" t="s">
        <v>320</v>
      </c>
      <c r="C87" s="760" t="s">
        <v>710</v>
      </c>
      <c r="D87" s="637" t="s">
        <v>1693</v>
      </c>
      <c r="E87" s="754">
        <v>196886</v>
      </c>
      <c r="F87" s="754"/>
      <c r="G87" s="754"/>
      <c r="H87" s="754"/>
      <c r="I87" s="754"/>
      <c r="J87" s="754" t="s">
        <v>818</v>
      </c>
      <c r="K87" s="754" t="s">
        <v>812</v>
      </c>
      <c r="L87" s="754" t="s">
        <v>818</v>
      </c>
      <c r="M87" s="754" t="s">
        <v>312</v>
      </c>
      <c r="N87" s="754">
        <v>20.803710939999998</v>
      </c>
      <c r="O87" s="754">
        <v>92.946136469999999</v>
      </c>
      <c r="P87" s="754" t="s">
        <v>937</v>
      </c>
      <c r="Q87" s="754" t="s">
        <v>794</v>
      </c>
      <c r="R87" s="763"/>
      <c r="S87" s="764"/>
      <c r="T87" s="783"/>
      <c r="U87" s="765"/>
      <c r="V87" s="754"/>
      <c r="W87" s="754"/>
    </row>
    <row r="88" spans="1:23" s="75" customFormat="1" ht="14.25" customHeight="1">
      <c r="A88" s="764" t="s">
        <v>3006</v>
      </c>
      <c r="B88" s="767" t="s">
        <v>320</v>
      </c>
      <c r="C88" s="768" t="s">
        <v>953</v>
      </c>
      <c r="D88" s="761" t="s">
        <v>1693</v>
      </c>
      <c r="E88" s="754">
        <v>196885</v>
      </c>
      <c r="F88" s="754"/>
      <c r="G88" s="754"/>
      <c r="H88" s="754"/>
      <c r="I88" s="754"/>
      <c r="J88" s="754" t="s">
        <v>818</v>
      </c>
      <c r="K88" s="754" t="s">
        <v>812</v>
      </c>
      <c r="L88" s="754" t="s">
        <v>818</v>
      </c>
      <c r="M88" s="754"/>
      <c r="N88" s="754">
        <v>20.80635071</v>
      </c>
      <c r="O88" s="754">
        <v>92.948310849999999</v>
      </c>
      <c r="P88" s="754" t="s">
        <v>937</v>
      </c>
      <c r="Q88" s="754" t="s">
        <v>940</v>
      </c>
      <c r="R88" s="771"/>
      <c r="S88" s="764"/>
      <c r="T88" s="783">
        <v>43011</v>
      </c>
      <c r="U88" s="765" t="s">
        <v>941</v>
      </c>
      <c r="V88" s="754"/>
      <c r="W88" s="754"/>
    </row>
    <row r="89" spans="1:23" s="75" customFormat="1" ht="14.25" customHeight="1">
      <c r="A89" s="764" t="s">
        <v>3006</v>
      </c>
      <c r="B89" s="767" t="s">
        <v>320</v>
      </c>
      <c r="C89" s="768" t="s">
        <v>2365</v>
      </c>
      <c r="D89" s="761"/>
      <c r="E89" s="754">
        <v>196932</v>
      </c>
      <c r="F89" s="754" t="s">
        <v>885</v>
      </c>
      <c r="G89" s="754"/>
      <c r="H89" s="754"/>
      <c r="I89" s="754"/>
      <c r="J89" s="754" t="s">
        <v>812</v>
      </c>
      <c r="K89" s="754" t="s">
        <v>812</v>
      </c>
      <c r="L89" s="754" t="s">
        <v>812</v>
      </c>
      <c r="M89" s="754"/>
      <c r="N89" s="754">
        <v>20.655569</v>
      </c>
      <c r="O89" s="754">
        <v>92.959709000000004</v>
      </c>
      <c r="P89" s="754" t="s">
        <v>813</v>
      </c>
      <c r="Q89" s="754" t="s">
        <v>2321</v>
      </c>
      <c r="R89" s="771"/>
      <c r="S89" s="764"/>
      <c r="T89" s="783">
        <v>43465</v>
      </c>
      <c r="U89" s="765" t="s">
        <v>2364</v>
      </c>
      <c r="V89" s="754" t="s">
        <v>2359</v>
      </c>
      <c r="W89" s="754"/>
    </row>
    <row r="90" spans="1:23" s="75" customFormat="1" ht="14.25" customHeight="1">
      <c r="A90" s="764" t="s">
        <v>3006</v>
      </c>
      <c r="B90" s="760" t="s">
        <v>320</v>
      </c>
      <c r="C90" s="760" t="s">
        <v>2311</v>
      </c>
      <c r="D90" s="637"/>
      <c r="E90" s="754">
        <v>196893</v>
      </c>
      <c r="F90" s="754"/>
      <c r="G90" s="754"/>
      <c r="H90" s="754"/>
      <c r="I90" s="754"/>
      <c r="J90" s="754" t="s">
        <v>812</v>
      </c>
      <c r="K90" s="754" t="s">
        <v>812</v>
      </c>
      <c r="L90" s="754" t="s">
        <v>812</v>
      </c>
      <c r="M90" s="754"/>
      <c r="N90" s="754">
        <v>20.760820389999999</v>
      </c>
      <c r="O90" s="754">
        <v>92.960083010000005</v>
      </c>
      <c r="P90" s="754" t="s">
        <v>813</v>
      </c>
      <c r="Q90" s="754"/>
      <c r="R90" s="763"/>
      <c r="S90" s="764"/>
      <c r="T90" s="783"/>
      <c r="U90" s="765"/>
      <c r="V90" s="754" t="s">
        <v>2304</v>
      </c>
      <c r="W90" s="754"/>
    </row>
    <row r="91" spans="1:23" s="75" customFormat="1" ht="14.25" customHeight="1">
      <c r="A91" s="764" t="s">
        <v>3006</v>
      </c>
      <c r="B91" s="760" t="s">
        <v>320</v>
      </c>
      <c r="C91" s="760" t="s">
        <v>367</v>
      </c>
      <c r="D91" s="637" t="s">
        <v>1693</v>
      </c>
      <c r="E91" s="754"/>
      <c r="F91" s="754"/>
      <c r="G91" s="754"/>
      <c r="H91" s="754"/>
      <c r="I91" s="754"/>
      <c r="J91" s="754" t="s">
        <v>818</v>
      </c>
      <c r="K91" s="754" t="s">
        <v>812</v>
      </c>
      <c r="L91" s="754" t="s">
        <v>818</v>
      </c>
      <c r="M91" s="754" t="s">
        <v>312</v>
      </c>
      <c r="N91" s="754"/>
      <c r="O91" s="754"/>
      <c r="P91" s="754" t="s">
        <v>937</v>
      </c>
      <c r="Q91" s="754" t="s">
        <v>940</v>
      </c>
      <c r="R91" s="763"/>
      <c r="S91" s="764"/>
      <c r="T91" s="783">
        <v>43011</v>
      </c>
      <c r="U91" s="765" t="s">
        <v>941</v>
      </c>
      <c r="V91" s="754"/>
      <c r="W91" s="754"/>
    </row>
    <row r="92" spans="1:23" s="75" customFormat="1" ht="14.25" customHeight="1">
      <c r="A92" s="764" t="s">
        <v>3006</v>
      </c>
      <c r="B92" s="760" t="s">
        <v>320</v>
      </c>
      <c r="C92" s="760" t="s">
        <v>946</v>
      </c>
      <c r="D92" s="637" t="s">
        <v>1693</v>
      </c>
      <c r="E92" s="754">
        <v>196950</v>
      </c>
      <c r="F92" s="754"/>
      <c r="G92" s="754"/>
      <c r="H92" s="754"/>
      <c r="I92" s="754"/>
      <c r="J92" s="754" t="s">
        <v>812</v>
      </c>
      <c r="K92" s="754" t="s">
        <v>812</v>
      </c>
      <c r="L92" s="754" t="s">
        <v>812</v>
      </c>
      <c r="M92" s="754" t="s">
        <v>2061</v>
      </c>
      <c r="N92" s="754">
        <v>20.720500950000002</v>
      </c>
      <c r="O92" s="754">
        <v>92.937339780000002</v>
      </c>
      <c r="P92" s="754" t="s">
        <v>813</v>
      </c>
      <c r="Q92" s="754"/>
      <c r="R92" s="763"/>
      <c r="S92" s="764"/>
      <c r="T92" s="783"/>
      <c r="U92" s="765"/>
      <c r="V92" s="754" t="s">
        <v>946</v>
      </c>
      <c r="W92" s="754"/>
    </row>
    <row r="93" spans="1:23" s="75" customFormat="1" ht="14.25" customHeight="1">
      <c r="A93" s="764" t="s">
        <v>3006</v>
      </c>
      <c r="B93" s="760" t="s">
        <v>320</v>
      </c>
      <c r="C93" s="760" t="s">
        <v>3214</v>
      </c>
      <c r="D93" s="637"/>
      <c r="E93" s="754">
        <v>196923</v>
      </c>
      <c r="F93" s="754"/>
      <c r="G93" s="754"/>
      <c r="H93" s="754"/>
      <c r="I93" s="754"/>
      <c r="J93" s="754" t="s">
        <v>3017</v>
      </c>
      <c r="K93" s="754" t="s">
        <v>2935</v>
      </c>
      <c r="L93" s="754" t="s">
        <v>2935</v>
      </c>
      <c r="M93" s="754"/>
      <c r="N93" s="754">
        <v>20.675489425659201</v>
      </c>
      <c r="O93" s="754">
        <v>92.916961669921903</v>
      </c>
      <c r="P93" s="754"/>
      <c r="Q93" s="754"/>
      <c r="R93" s="763"/>
      <c r="S93" s="764"/>
      <c r="T93" s="783"/>
      <c r="U93" s="765"/>
      <c r="V93" s="754"/>
      <c r="W93" s="754"/>
    </row>
    <row r="94" spans="1:23" s="75" customFormat="1" ht="14.25" customHeight="1">
      <c r="A94" s="764" t="s">
        <v>3006</v>
      </c>
      <c r="B94" s="760" t="s">
        <v>320</v>
      </c>
      <c r="C94" s="760" t="s">
        <v>2080</v>
      </c>
      <c r="D94" s="637"/>
      <c r="E94" s="754">
        <v>196828</v>
      </c>
      <c r="F94" s="754" t="s">
        <v>1791</v>
      </c>
      <c r="G94" s="754"/>
      <c r="H94" s="754"/>
      <c r="I94" s="754"/>
      <c r="J94" s="754" t="s">
        <v>812</v>
      </c>
      <c r="K94" s="754" t="s">
        <v>812</v>
      </c>
      <c r="L94" s="754" t="s">
        <v>812</v>
      </c>
      <c r="M94" s="754"/>
      <c r="N94" s="754">
        <v>20.860509870000001</v>
      </c>
      <c r="O94" s="754">
        <v>92.966751099999996</v>
      </c>
      <c r="P94" s="754" t="s">
        <v>813</v>
      </c>
      <c r="Q94" s="754"/>
      <c r="R94" s="763"/>
      <c r="S94" s="764"/>
      <c r="T94" s="783">
        <v>43297</v>
      </c>
      <c r="U94" s="765"/>
      <c r="V94" s="754"/>
      <c r="W94" s="754"/>
    </row>
    <row r="95" spans="1:23" s="75" customFormat="1" ht="14.25" customHeight="1">
      <c r="A95" s="764" t="s">
        <v>3006</v>
      </c>
      <c r="B95" s="767" t="s">
        <v>320</v>
      </c>
      <c r="C95" s="768" t="s">
        <v>591</v>
      </c>
      <c r="D95" s="637" t="s">
        <v>3117</v>
      </c>
      <c r="E95" s="754" t="s">
        <v>1422</v>
      </c>
      <c r="F95" s="754" t="s">
        <v>584</v>
      </c>
      <c r="G95" s="754" t="s">
        <v>591</v>
      </c>
      <c r="H95" s="754"/>
      <c r="I95" s="754"/>
      <c r="J95" s="754" t="s">
        <v>812</v>
      </c>
      <c r="K95" s="754" t="s">
        <v>812</v>
      </c>
      <c r="L95" s="754" t="s">
        <v>897</v>
      </c>
      <c r="M95" s="754" t="s">
        <v>809</v>
      </c>
      <c r="N95" s="754">
        <v>20.727589999999999</v>
      </c>
      <c r="O95" s="754">
        <v>92.969350000000006</v>
      </c>
      <c r="P95" s="754" t="s">
        <v>813</v>
      </c>
      <c r="Q95" s="754" t="s">
        <v>794</v>
      </c>
      <c r="R95" s="763">
        <v>112</v>
      </c>
      <c r="S95" s="764">
        <v>738</v>
      </c>
      <c r="T95" s="783"/>
      <c r="U95" s="765"/>
      <c r="V95" s="754" t="s">
        <v>591</v>
      </c>
      <c r="W95" s="754"/>
    </row>
    <row r="96" spans="1:23" s="75" customFormat="1" ht="14.25" customHeight="1">
      <c r="A96" s="764" t="s">
        <v>3006</v>
      </c>
      <c r="B96" s="767" t="s">
        <v>320</v>
      </c>
      <c r="C96" s="768" t="s">
        <v>587</v>
      </c>
      <c r="D96" s="761" t="s">
        <v>1693</v>
      </c>
      <c r="E96" s="754">
        <v>196951</v>
      </c>
      <c r="F96" s="754"/>
      <c r="G96" s="754"/>
      <c r="H96" s="754"/>
      <c r="I96" s="754"/>
      <c r="J96" s="754" t="s">
        <v>812</v>
      </c>
      <c r="K96" s="754" t="s">
        <v>812</v>
      </c>
      <c r="L96" s="754" t="s">
        <v>812</v>
      </c>
      <c r="M96" s="754" t="s">
        <v>312</v>
      </c>
      <c r="N96" s="754">
        <v>20.723630910000001</v>
      </c>
      <c r="O96" s="754">
        <v>92.974327090000003</v>
      </c>
      <c r="P96" s="754" t="s">
        <v>813</v>
      </c>
      <c r="Q96" s="754" t="s">
        <v>794</v>
      </c>
      <c r="R96" s="771"/>
      <c r="S96" s="764"/>
      <c r="T96" s="783"/>
      <c r="U96" s="765"/>
      <c r="V96" s="754" t="s">
        <v>587</v>
      </c>
      <c r="W96" s="754"/>
    </row>
    <row r="97" spans="1:23" s="75" customFormat="1" ht="14.25" customHeight="1">
      <c r="A97" s="767" t="s">
        <v>3006</v>
      </c>
      <c r="B97" s="767" t="s">
        <v>320</v>
      </c>
      <c r="C97" s="768" t="s">
        <v>3180</v>
      </c>
      <c r="D97" s="761"/>
      <c r="E97" s="754">
        <v>196981</v>
      </c>
      <c r="F97" s="754"/>
      <c r="G97" s="754"/>
      <c r="H97" s="754"/>
      <c r="I97" s="754"/>
      <c r="J97" s="754" t="s">
        <v>3017</v>
      </c>
      <c r="K97" s="754" t="s">
        <v>2935</v>
      </c>
      <c r="L97" s="754" t="s">
        <v>2935</v>
      </c>
      <c r="M97" s="754"/>
      <c r="N97" s="754">
        <v>20.656810760498001</v>
      </c>
      <c r="O97" s="754">
        <v>93.029953002929702</v>
      </c>
      <c r="P97" s="754"/>
      <c r="Q97" s="754"/>
      <c r="R97" s="771"/>
      <c r="S97" s="764"/>
      <c r="T97" s="783">
        <v>43591</v>
      </c>
      <c r="U97" s="771"/>
      <c r="V97" s="754"/>
      <c r="W97" s="763"/>
    </row>
    <row r="98" spans="1:23" s="75" customFormat="1" ht="14.25" customHeight="1">
      <c r="A98" s="764" t="s">
        <v>3006</v>
      </c>
      <c r="B98" s="754" t="s">
        <v>330</v>
      </c>
      <c r="C98" s="754" t="s">
        <v>890</v>
      </c>
      <c r="D98" s="637" t="s">
        <v>1693</v>
      </c>
      <c r="E98" s="754">
        <v>197171</v>
      </c>
      <c r="F98" s="789" t="s">
        <v>534</v>
      </c>
      <c r="G98" s="754"/>
      <c r="H98" s="754"/>
      <c r="I98" s="754"/>
      <c r="J98" s="754" t="s">
        <v>812</v>
      </c>
      <c r="K98" s="754" t="s">
        <v>812</v>
      </c>
      <c r="L98" s="754" t="s">
        <v>812</v>
      </c>
      <c r="M98" s="754"/>
      <c r="N98" s="754">
        <v>20.225250240000001</v>
      </c>
      <c r="O98" s="754">
        <v>93.418876650000001</v>
      </c>
      <c r="P98" s="754" t="s">
        <v>813</v>
      </c>
      <c r="Q98" s="754"/>
      <c r="R98" s="763"/>
      <c r="S98" s="764"/>
      <c r="T98" s="783"/>
      <c r="U98" s="765"/>
      <c r="V98" s="754" t="s">
        <v>891</v>
      </c>
      <c r="W98" s="754"/>
    </row>
    <row r="99" spans="1:23" s="75" customFormat="1" ht="14.25" customHeight="1">
      <c r="A99" s="764" t="s">
        <v>3006</v>
      </c>
      <c r="B99" s="754" t="s">
        <v>330</v>
      </c>
      <c r="C99" s="754" t="s">
        <v>2903</v>
      </c>
      <c r="D99" s="637"/>
      <c r="E99" s="754">
        <v>197034</v>
      </c>
      <c r="F99" s="754"/>
      <c r="G99" s="754"/>
      <c r="H99" s="754"/>
      <c r="I99" s="754"/>
      <c r="J99" s="754" t="s">
        <v>812</v>
      </c>
      <c r="K99" s="754" t="s">
        <v>812</v>
      </c>
      <c r="L99" s="754" t="s">
        <v>812</v>
      </c>
      <c r="M99" s="754"/>
      <c r="N99" s="754"/>
      <c r="O99" s="754"/>
      <c r="P99" s="754"/>
      <c r="Q99" s="754"/>
      <c r="R99" s="763"/>
      <c r="S99" s="764"/>
      <c r="T99" s="783"/>
      <c r="U99" s="765"/>
      <c r="V99" s="754"/>
      <c r="W99" s="754"/>
    </row>
    <row r="100" spans="1:23" s="75" customFormat="1" ht="14.25" customHeight="1">
      <c r="A100" s="764" t="s">
        <v>3006</v>
      </c>
      <c r="B100" s="754" t="s">
        <v>330</v>
      </c>
      <c r="C100" s="754" t="s">
        <v>2900</v>
      </c>
      <c r="D100" s="637"/>
      <c r="E100" s="754">
        <v>197020</v>
      </c>
      <c r="F100" s="754"/>
      <c r="G100" s="754"/>
      <c r="H100" s="754"/>
      <c r="I100" s="754"/>
      <c r="J100" s="754" t="s">
        <v>812</v>
      </c>
      <c r="K100" s="754" t="s">
        <v>812</v>
      </c>
      <c r="L100" s="754" t="s">
        <v>812</v>
      </c>
      <c r="M100" s="754"/>
      <c r="N100" s="754"/>
      <c r="O100" s="754"/>
      <c r="P100" s="754"/>
      <c r="Q100" s="754"/>
      <c r="R100" s="763"/>
      <c r="S100" s="764"/>
      <c r="T100" s="783"/>
      <c r="U100" s="765"/>
      <c r="V100" s="754"/>
      <c r="W100" s="754"/>
    </row>
    <row r="101" spans="1:23" s="75" customFormat="1" ht="14.25" customHeight="1">
      <c r="A101" s="764" t="s">
        <v>3006</v>
      </c>
      <c r="B101" s="754" t="s">
        <v>330</v>
      </c>
      <c r="C101" s="754" t="s">
        <v>2918</v>
      </c>
      <c r="D101" s="637"/>
      <c r="E101" s="754">
        <v>220651</v>
      </c>
      <c r="F101" s="754"/>
      <c r="G101" s="754"/>
      <c r="H101" s="754"/>
      <c r="I101" s="754"/>
      <c r="J101" s="754" t="s">
        <v>812</v>
      </c>
      <c r="K101" s="754" t="s">
        <v>812</v>
      </c>
      <c r="L101" s="754" t="s">
        <v>812</v>
      </c>
      <c r="M101" s="754"/>
      <c r="N101" s="754"/>
      <c r="O101" s="754"/>
      <c r="P101" s="754"/>
      <c r="Q101" s="754"/>
      <c r="R101" s="763"/>
      <c r="S101" s="764"/>
      <c r="T101" s="783"/>
      <c r="U101" s="765"/>
      <c r="V101" s="754"/>
      <c r="W101" s="754"/>
    </row>
    <row r="102" spans="1:23" s="75" customFormat="1" ht="14.25" customHeight="1">
      <c r="A102" s="764" t="s">
        <v>3006</v>
      </c>
      <c r="B102" s="754" t="s">
        <v>330</v>
      </c>
      <c r="C102" s="754" t="s">
        <v>913</v>
      </c>
      <c r="D102" s="637" t="s">
        <v>3117</v>
      </c>
      <c r="E102" s="754" t="s">
        <v>1410</v>
      </c>
      <c r="F102" s="754" t="s">
        <v>894</v>
      </c>
      <c r="G102" s="754" t="s">
        <v>913</v>
      </c>
      <c r="H102" s="754"/>
      <c r="I102" s="754"/>
      <c r="J102" s="754" t="s">
        <v>812</v>
      </c>
      <c r="K102" s="754" t="s">
        <v>812</v>
      </c>
      <c r="L102" s="754" t="s">
        <v>897</v>
      </c>
      <c r="M102" s="754" t="s">
        <v>809</v>
      </c>
      <c r="N102" s="754">
        <v>20.480898</v>
      </c>
      <c r="O102" s="754">
        <v>93.299485000000004</v>
      </c>
      <c r="P102" s="754" t="s">
        <v>813</v>
      </c>
      <c r="Q102" s="754"/>
      <c r="R102" s="763">
        <v>87</v>
      </c>
      <c r="S102" s="764">
        <v>444</v>
      </c>
      <c r="T102" s="783"/>
      <c r="U102" s="765" t="s">
        <v>874</v>
      </c>
      <c r="V102" s="754" t="s">
        <v>913</v>
      </c>
      <c r="W102" s="754"/>
    </row>
    <row r="103" spans="1:23" s="75" customFormat="1" ht="14.25" customHeight="1">
      <c r="A103" s="764" t="s">
        <v>3006</v>
      </c>
      <c r="B103" s="754" t="s">
        <v>330</v>
      </c>
      <c r="C103" s="754" t="s">
        <v>2912</v>
      </c>
      <c r="D103" s="637"/>
      <c r="E103" s="754">
        <v>197090</v>
      </c>
      <c r="F103" s="754"/>
      <c r="G103" s="754"/>
      <c r="H103" s="754"/>
      <c r="I103" s="754"/>
      <c r="J103" s="754" t="s">
        <v>812</v>
      </c>
      <c r="K103" s="754" t="s">
        <v>812</v>
      </c>
      <c r="L103" s="754" t="s">
        <v>812</v>
      </c>
      <c r="M103" s="754"/>
      <c r="N103" s="754"/>
      <c r="O103" s="754"/>
      <c r="P103" s="754"/>
      <c r="Q103" s="754"/>
      <c r="R103" s="763"/>
      <c r="S103" s="764"/>
      <c r="T103" s="783"/>
      <c r="U103" s="765"/>
      <c r="V103" s="754"/>
      <c r="W103" s="754"/>
    </row>
    <row r="104" spans="1:23" s="75" customFormat="1" ht="14.25" customHeight="1">
      <c r="A104" s="764" t="s">
        <v>3006</v>
      </c>
      <c r="B104" s="754" t="s">
        <v>330</v>
      </c>
      <c r="C104" s="754" t="s">
        <v>480</v>
      </c>
      <c r="D104" s="637" t="s">
        <v>1693</v>
      </c>
      <c r="E104" s="754">
        <v>196994</v>
      </c>
      <c r="F104" s="754"/>
      <c r="G104" s="754"/>
      <c r="H104" s="754"/>
      <c r="I104" s="754"/>
      <c r="J104" s="754" t="s">
        <v>812</v>
      </c>
      <c r="K104" s="754" t="s">
        <v>812</v>
      </c>
      <c r="L104" s="754" t="s">
        <v>812</v>
      </c>
      <c r="M104" s="754" t="s">
        <v>903</v>
      </c>
      <c r="N104" s="754">
        <v>20.394809720000001</v>
      </c>
      <c r="O104" s="754">
        <v>93.251609799999997</v>
      </c>
      <c r="P104" s="754" t="s">
        <v>813</v>
      </c>
      <c r="Q104" s="754" t="s">
        <v>794</v>
      </c>
      <c r="R104" s="763"/>
      <c r="S104" s="764"/>
      <c r="T104" s="783"/>
      <c r="U104" s="765"/>
      <c r="V104" s="754" t="s">
        <v>904</v>
      </c>
      <c r="W104" s="754"/>
    </row>
    <row r="105" spans="1:23" s="75" customFormat="1" ht="14.25" customHeight="1">
      <c r="A105" s="764" t="s">
        <v>3006</v>
      </c>
      <c r="B105" s="754" t="s">
        <v>330</v>
      </c>
      <c r="C105" s="754" t="s">
        <v>331</v>
      </c>
      <c r="D105" s="637" t="s">
        <v>1693</v>
      </c>
      <c r="E105" s="754">
        <v>197174</v>
      </c>
      <c r="F105" s="754"/>
      <c r="G105" s="754"/>
      <c r="H105" s="754"/>
      <c r="I105" s="754"/>
      <c r="J105" s="754" t="s">
        <v>812</v>
      </c>
      <c r="K105" s="754" t="s">
        <v>812</v>
      </c>
      <c r="L105" s="754" t="s">
        <v>812</v>
      </c>
      <c r="M105" s="754" t="s">
        <v>312</v>
      </c>
      <c r="N105" s="754"/>
      <c r="O105" s="754"/>
      <c r="P105" s="754" t="s">
        <v>813</v>
      </c>
      <c r="Q105" s="754" t="s">
        <v>794</v>
      </c>
      <c r="R105" s="763"/>
      <c r="S105" s="764"/>
      <c r="T105" s="783" t="s">
        <v>819</v>
      </c>
      <c r="U105" s="765"/>
      <c r="V105" s="754"/>
      <c r="W105" s="754"/>
    </row>
    <row r="106" spans="1:23" s="75" customFormat="1" ht="14.25" customHeight="1">
      <c r="A106" s="764" t="s">
        <v>3006</v>
      </c>
      <c r="B106" s="754" t="s">
        <v>330</v>
      </c>
      <c r="C106" s="754" t="s">
        <v>2916</v>
      </c>
      <c r="D106" s="637"/>
      <c r="E106" s="754">
        <v>197099</v>
      </c>
      <c r="F106" s="754"/>
      <c r="G106" s="754"/>
      <c r="H106" s="754"/>
      <c r="I106" s="754"/>
      <c r="J106" s="754" t="s">
        <v>812</v>
      </c>
      <c r="K106" s="754" t="s">
        <v>812</v>
      </c>
      <c r="L106" s="754" t="s">
        <v>812</v>
      </c>
      <c r="M106" s="754"/>
      <c r="N106" s="754"/>
      <c r="O106" s="754"/>
      <c r="P106" s="754"/>
      <c r="Q106" s="754"/>
      <c r="R106" s="763"/>
      <c r="S106" s="764"/>
      <c r="T106" s="783"/>
      <c r="U106" s="765"/>
      <c r="V106" s="754"/>
      <c r="W106" s="754"/>
    </row>
    <row r="107" spans="1:23" s="75" customFormat="1" ht="14.25" customHeight="1">
      <c r="A107" s="764" t="s">
        <v>3006</v>
      </c>
      <c r="B107" s="754" t="s">
        <v>330</v>
      </c>
      <c r="C107" s="754" t="s">
        <v>885</v>
      </c>
      <c r="D107" s="637" t="s">
        <v>1693</v>
      </c>
      <c r="E107" s="754">
        <v>197176</v>
      </c>
      <c r="F107" s="754" t="s">
        <v>534</v>
      </c>
      <c r="G107" s="754"/>
      <c r="H107" s="754"/>
      <c r="I107" s="754"/>
      <c r="J107" s="754" t="s">
        <v>812</v>
      </c>
      <c r="K107" s="754" t="s">
        <v>812</v>
      </c>
      <c r="L107" s="754" t="s">
        <v>812</v>
      </c>
      <c r="M107" s="754" t="s">
        <v>809</v>
      </c>
      <c r="N107" s="754">
        <v>20.203340529999998</v>
      </c>
      <c r="O107" s="754">
        <v>93.426139829999997</v>
      </c>
      <c r="P107" s="754" t="s">
        <v>813</v>
      </c>
      <c r="Q107" s="754"/>
      <c r="R107" s="763"/>
      <c r="S107" s="764"/>
      <c r="T107" s="783"/>
      <c r="U107" s="754"/>
      <c r="V107" s="754" t="s">
        <v>886</v>
      </c>
      <c r="W107" s="754"/>
    </row>
    <row r="108" spans="1:23" s="75" customFormat="1" ht="14.25" customHeight="1">
      <c r="A108" s="764" t="s">
        <v>3006</v>
      </c>
      <c r="B108" s="754" t="s">
        <v>330</v>
      </c>
      <c r="C108" s="754" t="s">
        <v>2921</v>
      </c>
      <c r="D108" s="637"/>
      <c r="E108" s="754">
        <v>197111</v>
      </c>
      <c r="F108" s="754"/>
      <c r="G108" s="754"/>
      <c r="H108" s="754"/>
      <c r="I108" s="754"/>
      <c r="J108" s="754" t="s">
        <v>812</v>
      </c>
      <c r="K108" s="754" t="s">
        <v>812</v>
      </c>
      <c r="L108" s="754" t="s">
        <v>812</v>
      </c>
      <c r="M108" s="754"/>
      <c r="N108" s="754"/>
      <c r="O108" s="754"/>
      <c r="P108" s="754"/>
      <c r="Q108" s="754"/>
      <c r="R108" s="763"/>
      <c r="S108" s="764"/>
      <c r="T108" s="783"/>
      <c r="U108" s="765"/>
      <c r="V108" s="754"/>
      <c r="W108" s="754"/>
    </row>
    <row r="109" spans="1:23" s="75" customFormat="1" ht="14.25" customHeight="1">
      <c r="A109" s="767" t="s">
        <v>3006</v>
      </c>
      <c r="B109" s="767" t="s">
        <v>330</v>
      </c>
      <c r="C109" s="768" t="s">
        <v>3141</v>
      </c>
      <c r="D109" s="761"/>
      <c r="E109" s="754"/>
      <c r="F109" s="754"/>
      <c r="G109" s="754"/>
      <c r="H109" s="754"/>
      <c r="I109" s="754"/>
      <c r="J109" s="754" t="s">
        <v>3017</v>
      </c>
      <c r="K109" s="754" t="s">
        <v>2935</v>
      </c>
      <c r="L109" s="754" t="s">
        <v>2935</v>
      </c>
      <c r="M109" s="754"/>
      <c r="N109" s="754"/>
      <c r="O109" s="754"/>
      <c r="P109" s="754"/>
      <c r="Q109" s="754"/>
      <c r="R109" s="771"/>
      <c r="S109" s="764"/>
      <c r="T109" s="783">
        <v>43591</v>
      </c>
      <c r="U109" s="771"/>
      <c r="V109" s="754"/>
      <c r="W109" s="763"/>
    </row>
    <row r="110" spans="1:23" s="75" customFormat="1" ht="14.25" customHeight="1">
      <c r="A110" s="764" t="s">
        <v>3006</v>
      </c>
      <c r="B110" s="754" t="s">
        <v>330</v>
      </c>
      <c r="C110" s="754" t="s">
        <v>2909</v>
      </c>
      <c r="D110" s="637"/>
      <c r="E110" s="754">
        <v>197042</v>
      </c>
      <c r="F110" s="754"/>
      <c r="G110" s="754"/>
      <c r="H110" s="754"/>
      <c r="I110" s="754"/>
      <c r="J110" s="754" t="s">
        <v>812</v>
      </c>
      <c r="K110" s="754" t="s">
        <v>812</v>
      </c>
      <c r="L110" s="754" t="s">
        <v>812</v>
      </c>
      <c r="M110" s="754"/>
      <c r="N110" s="754"/>
      <c r="O110" s="754"/>
      <c r="P110" s="754"/>
      <c r="Q110" s="754"/>
      <c r="R110" s="763"/>
      <c r="S110" s="764"/>
      <c r="T110" s="783"/>
      <c r="U110" s="765"/>
      <c r="V110" s="754"/>
      <c r="W110" s="754"/>
    </row>
    <row r="111" spans="1:23" s="75" customFormat="1" ht="14.25" customHeight="1">
      <c r="A111" s="764" t="s">
        <v>3006</v>
      </c>
      <c r="B111" s="754" t="s">
        <v>330</v>
      </c>
      <c r="C111" s="754" t="s">
        <v>482</v>
      </c>
      <c r="D111" s="637" t="s">
        <v>1693</v>
      </c>
      <c r="E111" s="754">
        <v>196996</v>
      </c>
      <c r="F111" s="754"/>
      <c r="G111" s="754"/>
      <c r="H111" s="754"/>
      <c r="I111" s="754"/>
      <c r="J111" s="754" t="s">
        <v>812</v>
      </c>
      <c r="K111" s="754" t="s">
        <v>812</v>
      </c>
      <c r="L111" s="754" t="s">
        <v>812</v>
      </c>
      <c r="M111" s="754" t="s">
        <v>312</v>
      </c>
      <c r="N111" s="754">
        <v>20.398889539999999</v>
      </c>
      <c r="O111" s="754">
        <v>93.25405121</v>
      </c>
      <c r="P111" s="754" t="s">
        <v>813</v>
      </c>
      <c r="Q111" s="754" t="s">
        <v>794</v>
      </c>
      <c r="R111" s="763"/>
      <c r="S111" s="764"/>
      <c r="T111" s="783"/>
      <c r="U111" s="765"/>
      <c r="V111" s="754" t="s">
        <v>482</v>
      </c>
      <c r="W111" s="754"/>
    </row>
    <row r="112" spans="1:23" s="75" customFormat="1" ht="14.25" customHeight="1">
      <c r="A112" s="764" t="s">
        <v>3006</v>
      </c>
      <c r="B112" s="754" t="s">
        <v>330</v>
      </c>
      <c r="C112" s="754" t="s">
        <v>2910</v>
      </c>
      <c r="D112" s="637"/>
      <c r="E112" s="754">
        <v>197043</v>
      </c>
      <c r="F112" s="754"/>
      <c r="G112" s="754"/>
      <c r="H112" s="754"/>
      <c r="I112" s="754"/>
      <c r="J112" s="754" t="s">
        <v>812</v>
      </c>
      <c r="K112" s="754" t="s">
        <v>812</v>
      </c>
      <c r="L112" s="754" t="s">
        <v>812</v>
      </c>
      <c r="M112" s="754"/>
      <c r="N112" s="754"/>
      <c r="O112" s="754"/>
      <c r="P112" s="754"/>
      <c r="Q112" s="754"/>
      <c r="R112" s="763"/>
      <c r="S112" s="764"/>
      <c r="T112" s="783"/>
      <c r="U112" s="765"/>
      <c r="V112" s="754"/>
      <c r="W112" s="754"/>
    </row>
    <row r="113" spans="1:23" s="75" customFormat="1" ht="14.25" customHeight="1">
      <c r="A113" s="764" t="s">
        <v>3006</v>
      </c>
      <c r="B113" s="754" t="s">
        <v>330</v>
      </c>
      <c r="C113" s="754" t="s">
        <v>462</v>
      </c>
      <c r="D113" s="637" t="s">
        <v>1693</v>
      </c>
      <c r="E113" s="754">
        <v>220671</v>
      </c>
      <c r="F113" s="754"/>
      <c r="G113" s="754"/>
      <c r="H113" s="754"/>
      <c r="I113" s="754"/>
      <c r="J113" s="754" t="s">
        <v>812</v>
      </c>
      <c r="K113" s="754" t="s">
        <v>812</v>
      </c>
      <c r="L113" s="754" t="s">
        <v>812</v>
      </c>
      <c r="M113" s="754" t="s">
        <v>312</v>
      </c>
      <c r="N113" s="754">
        <v>20.218471529999999</v>
      </c>
      <c r="O113" s="754">
        <v>93.424331670000001</v>
      </c>
      <c r="P113" s="754" t="s">
        <v>813</v>
      </c>
      <c r="Q113" s="754" t="s">
        <v>794</v>
      </c>
      <c r="R113" s="763"/>
      <c r="S113" s="764"/>
      <c r="T113" s="783"/>
      <c r="U113" s="765"/>
      <c r="V113" s="754" t="s">
        <v>888</v>
      </c>
      <c r="W113" s="754"/>
    </row>
    <row r="114" spans="1:23" s="75" customFormat="1" ht="14.25" customHeight="1">
      <c r="A114" s="764" t="s">
        <v>3006</v>
      </c>
      <c r="B114" s="754" t="s">
        <v>330</v>
      </c>
      <c r="C114" s="754" t="s">
        <v>2898</v>
      </c>
      <c r="D114" s="637"/>
      <c r="E114" s="754">
        <v>197017</v>
      </c>
      <c r="F114" s="754"/>
      <c r="G114" s="754"/>
      <c r="H114" s="754"/>
      <c r="I114" s="754"/>
      <c r="J114" s="754" t="s">
        <v>812</v>
      </c>
      <c r="K114" s="754" t="s">
        <v>812</v>
      </c>
      <c r="L114" s="754" t="s">
        <v>812</v>
      </c>
      <c r="M114" s="754"/>
      <c r="N114" s="754"/>
      <c r="O114" s="754"/>
      <c r="P114" s="754"/>
      <c r="Q114" s="754"/>
      <c r="R114" s="763"/>
      <c r="S114" s="764"/>
      <c r="T114" s="783"/>
      <c r="U114" s="765"/>
      <c r="V114" s="754"/>
      <c r="W114" s="754"/>
    </row>
    <row r="115" spans="1:23" s="75" customFormat="1" ht="14.25" customHeight="1">
      <c r="A115" s="764" t="s">
        <v>3006</v>
      </c>
      <c r="B115" s="767" t="s">
        <v>330</v>
      </c>
      <c r="C115" s="768" t="s">
        <v>3132</v>
      </c>
      <c r="D115" s="761"/>
      <c r="E115" s="754">
        <v>197065</v>
      </c>
      <c r="F115" s="754"/>
      <c r="G115" s="754"/>
      <c r="H115" s="754"/>
      <c r="I115" s="754"/>
      <c r="J115" s="754" t="s">
        <v>3017</v>
      </c>
      <c r="K115" s="754" t="s">
        <v>2935</v>
      </c>
      <c r="L115" s="754" t="s">
        <v>2935</v>
      </c>
      <c r="M115" s="754"/>
      <c r="N115" s="754">
        <v>20.593980789184599</v>
      </c>
      <c r="O115" s="754">
        <v>93.261528015136705</v>
      </c>
      <c r="P115" s="754"/>
      <c r="Q115" s="754"/>
      <c r="R115" s="771"/>
      <c r="S115" s="764"/>
      <c r="T115" s="783">
        <v>43591</v>
      </c>
      <c r="U115" s="771"/>
      <c r="V115" s="754"/>
      <c r="W115" s="763"/>
    </row>
    <row r="116" spans="1:23" s="75" customFormat="1" ht="14.25" customHeight="1">
      <c r="A116" s="764" t="s">
        <v>3006</v>
      </c>
      <c r="B116" s="754" t="s">
        <v>330</v>
      </c>
      <c r="C116" s="754" t="s">
        <v>2908</v>
      </c>
      <c r="D116" s="637"/>
      <c r="E116" s="754">
        <v>197041</v>
      </c>
      <c r="F116" s="754"/>
      <c r="G116" s="754"/>
      <c r="H116" s="754"/>
      <c r="I116" s="754"/>
      <c r="J116" s="754" t="s">
        <v>812</v>
      </c>
      <c r="K116" s="754" t="s">
        <v>812</v>
      </c>
      <c r="L116" s="754" t="s">
        <v>812</v>
      </c>
      <c r="M116" s="754"/>
      <c r="N116" s="754"/>
      <c r="O116" s="754"/>
      <c r="P116" s="754"/>
      <c r="Q116" s="754"/>
      <c r="R116" s="763"/>
      <c r="S116" s="764"/>
      <c r="T116" s="783"/>
      <c r="U116" s="765"/>
      <c r="V116" s="754"/>
      <c r="W116" s="754"/>
    </row>
    <row r="117" spans="1:23" s="75" customFormat="1" ht="14.25" customHeight="1">
      <c r="A117" s="767" t="s">
        <v>3006</v>
      </c>
      <c r="B117" s="767" t="s">
        <v>330</v>
      </c>
      <c r="C117" s="768" t="s">
        <v>3161</v>
      </c>
      <c r="D117" s="761"/>
      <c r="E117" s="754"/>
      <c r="F117" s="754"/>
      <c r="G117" s="754"/>
      <c r="H117" s="754"/>
      <c r="I117" s="754"/>
      <c r="J117" s="754" t="s">
        <v>3017</v>
      </c>
      <c r="K117" s="754" t="s">
        <v>2935</v>
      </c>
      <c r="L117" s="754" t="s">
        <v>2935</v>
      </c>
      <c r="M117" s="754"/>
      <c r="N117" s="754"/>
      <c r="O117" s="754"/>
      <c r="P117" s="754"/>
      <c r="Q117" s="754"/>
      <c r="R117" s="771"/>
      <c r="S117" s="764"/>
      <c r="T117" s="783">
        <v>43591</v>
      </c>
      <c r="U117" s="771"/>
      <c r="V117" s="754"/>
      <c r="W117" s="763"/>
    </row>
    <row r="118" spans="1:23" s="75" customFormat="1" ht="14.25" customHeight="1">
      <c r="A118" s="764" t="s">
        <v>3006</v>
      </c>
      <c r="B118" s="754" t="s">
        <v>330</v>
      </c>
      <c r="C118" s="754" t="s">
        <v>2919</v>
      </c>
      <c r="D118" s="637"/>
      <c r="E118" s="754">
        <v>197103</v>
      </c>
      <c r="F118" s="754"/>
      <c r="G118" s="754"/>
      <c r="H118" s="754"/>
      <c r="I118" s="754"/>
      <c r="J118" s="754" t="s">
        <v>812</v>
      </c>
      <c r="K118" s="754" t="s">
        <v>812</v>
      </c>
      <c r="L118" s="754" t="s">
        <v>812</v>
      </c>
      <c r="M118" s="754"/>
      <c r="N118" s="754"/>
      <c r="O118" s="754"/>
      <c r="P118" s="754"/>
      <c r="Q118" s="754"/>
      <c r="R118" s="763"/>
      <c r="S118" s="764"/>
      <c r="T118" s="783"/>
      <c r="U118" s="765"/>
      <c r="V118" s="754"/>
      <c r="W118" s="754"/>
    </row>
    <row r="119" spans="1:23" s="75" customFormat="1" ht="14.25" customHeight="1">
      <c r="A119" s="764" t="s">
        <v>3006</v>
      </c>
      <c r="B119" s="754" t="s">
        <v>330</v>
      </c>
      <c r="C119" s="754" t="s">
        <v>2902</v>
      </c>
      <c r="D119" s="637"/>
      <c r="E119" s="754">
        <v>197028</v>
      </c>
      <c r="F119" s="754"/>
      <c r="G119" s="754"/>
      <c r="H119" s="754"/>
      <c r="I119" s="754"/>
      <c r="J119" s="754" t="s">
        <v>812</v>
      </c>
      <c r="K119" s="754" t="s">
        <v>812</v>
      </c>
      <c r="L119" s="754" t="s">
        <v>812</v>
      </c>
      <c r="M119" s="754"/>
      <c r="N119" s="754"/>
      <c r="O119" s="754"/>
      <c r="P119" s="754"/>
      <c r="Q119" s="754"/>
      <c r="R119" s="763"/>
      <c r="S119" s="764"/>
      <c r="T119" s="783"/>
      <c r="U119" s="765"/>
      <c r="V119" s="754"/>
      <c r="W119" s="754"/>
    </row>
    <row r="120" spans="1:23" s="75" customFormat="1" ht="14.25" customHeight="1">
      <c r="A120" s="764" t="s">
        <v>3006</v>
      </c>
      <c r="B120" s="754" t="s">
        <v>330</v>
      </c>
      <c r="C120" s="754" t="s">
        <v>2901</v>
      </c>
      <c r="D120" s="637"/>
      <c r="E120" s="754">
        <v>197027</v>
      </c>
      <c r="F120" s="754"/>
      <c r="G120" s="754"/>
      <c r="H120" s="754"/>
      <c r="I120" s="754"/>
      <c r="J120" s="754" t="s">
        <v>812</v>
      </c>
      <c r="K120" s="754" t="s">
        <v>812</v>
      </c>
      <c r="L120" s="754" t="s">
        <v>812</v>
      </c>
      <c r="M120" s="754"/>
      <c r="N120" s="754"/>
      <c r="O120" s="754"/>
      <c r="P120" s="754"/>
      <c r="Q120" s="754"/>
      <c r="R120" s="763"/>
      <c r="S120" s="764"/>
      <c r="T120" s="783"/>
      <c r="U120" s="765"/>
      <c r="V120" s="754"/>
      <c r="W120" s="754"/>
    </row>
    <row r="121" spans="1:23" s="75" customFormat="1" ht="14.25" customHeight="1">
      <c r="A121" s="764" t="s">
        <v>3006</v>
      </c>
      <c r="B121" s="754" t="s">
        <v>330</v>
      </c>
      <c r="C121" s="754" t="s">
        <v>900</v>
      </c>
      <c r="D121" s="637" t="s">
        <v>3117</v>
      </c>
      <c r="E121" s="575" t="s">
        <v>1402</v>
      </c>
      <c r="F121" s="754" t="s">
        <v>1783</v>
      </c>
      <c r="G121" s="754" t="s">
        <v>1783</v>
      </c>
      <c r="H121" s="754"/>
      <c r="I121" s="754"/>
      <c r="J121" s="754" t="s">
        <v>812</v>
      </c>
      <c r="K121" s="754" t="s">
        <v>812</v>
      </c>
      <c r="L121" s="754" t="s">
        <v>897</v>
      </c>
      <c r="M121" s="754" t="s">
        <v>809</v>
      </c>
      <c r="N121" s="774">
        <v>20.377523</v>
      </c>
      <c r="O121" s="580">
        <v>93.271642</v>
      </c>
      <c r="P121" s="754" t="s">
        <v>813</v>
      </c>
      <c r="Q121" s="754"/>
      <c r="R121" s="763">
        <v>19</v>
      </c>
      <c r="S121" s="764">
        <v>142</v>
      </c>
      <c r="T121" s="783"/>
      <c r="U121" s="765" t="s">
        <v>874</v>
      </c>
      <c r="V121" s="754" t="s">
        <v>900</v>
      </c>
      <c r="W121" s="754"/>
    </row>
    <row r="122" spans="1:23" s="75" customFormat="1" ht="14.25" customHeight="1">
      <c r="A122" s="764" t="s">
        <v>3006</v>
      </c>
      <c r="B122" s="754" t="s">
        <v>330</v>
      </c>
      <c r="C122" s="754" t="s">
        <v>676</v>
      </c>
      <c r="D122" s="637"/>
      <c r="E122" s="754">
        <v>197110</v>
      </c>
      <c r="F122" s="754" t="s">
        <v>3077</v>
      </c>
      <c r="G122" s="754"/>
      <c r="H122" s="754"/>
      <c r="I122" s="754"/>
      <c r="J122" s="754" t="s">
        <v>812</v>
      </c>
      <c r="K122" s="754" t="s">
        <v>812</v>
      </c>
      <c r="L122" s="754" t="s">
        <v>812</v>
      </c>
      <c r="M122" s="754"/>
      <c r="N122" s="754"/>
      <c r="O122" s="754"/>
      <c r="P122" s="754"/>
      <c r="Q122" s="754"/>
      <c r="R122" s="763"/>
      <c r="S122" s="764"/>
      <c r="T122" s="783"/>
      <c r="U122" s="765"/>
      <c r="V122" s="754"/>
      <c r="W122" s="754"/>
    </row>
    <row r="123" spans="1:23" s="75" customFormat="1" ht="14.25" customHeight="1">
      <c r="A123" s="767" t="s">
        <v>3006</v>
      </c>
      <c r="B123" s="767" t="s">
        <v>330</v>
      </c>
      <c r="C123" s="768" t="s">
        <v>3140</v>
      </c>
      <c r="D123" s="761"/>
      <c r="E123" s="754">
        <v>197051</v>
      </c>
      <c r="F123" s="754"/>
      <c r="G123" s="754"/>
      <c r="H123" s="754"/>
      <c r="I123" s="754"/>
      <c r="J123" s="754" t="s">
        <v>3017</v>
      </c>
      <c r="K123" s="754" t="s">
        <v>2935</v>
      </c>
      <c r="L123" s="754" t="s">
        <v>2935</v>
      </c>
      <c r="M123" s="754"/>
      <c r="N123" s="754">
        <v>20.599809646606399</v>
      </c>
      <c r="O123" s="754">
        <v>93.265541076660199</v>
      </c>
      <c r="P123" s="754"/>
      <c r="Q123" s="754"/>
      <c r="R123" s="771"/>
      <c r="S123" s="764"/>
      <c r="T123" s="783">
        <v>43591</v>
      </c>
      <c r="U123" s="771"/>
      <c r="V123" s="754"/>
      <c r="W123" s="763"/>
    </row>
    <row r="124" spans="1:23" s="75" customFormat="1" ht="14.25" customHeight="1">
      <c r="A124" s="764" t="s">
        <v>3006</v>
      </c>
      <c r="B124" s="760" t="s">
        <v>330</v>
      </c>
      <c r="C124" s="760" t="s">
        <v>894</v>
      </c>
      <c r="D124" s="637"/>
      <c r="E124" s="754">
        <v>197149</v>
      </c>
      <c r="F124" s="754" t="s">
        <v>894</v>
      </c>
      <c r="G124" s="754"/>
      <c r="H124" s="754"/>
      <c r="I124" s="754"/>
      <c r="J124" s="754" t="s">
        <v>812</v>
      </c>
      <c r="K124" s="754" t="s">
        <v>812</v>
      </c>
      <c r="L124" s="754" t="s">
        <v>812</v>
      </c>
      <c r="M124" s="754"/>
      <c r="N124" s="754"/>
      <c r="O124" s="754"/>
      <c r="P124" s="754"/>
      <c r="Q124" s="754"/>
      <c r="R124" s="763"/>
      <c r="S124" s="764"/>
      <c r="T124" s="783"/>
      <c r="U124" s="765"/>
      <c r="V124" s="754"/>
      <c r="W124" s="754"/>
    </row>
    <row r="125" spans="1:23" s="75" customFormat="1" ht="14.25" customHeight="1">
      <c r="A125" s="764" t="s">
        <v>3006</v>
      </c>
      <c r="B125" s="760" t="s">
        <v>330</v>
      </c>
      <c r="C125" s="760" t="s">
        <v>909</v>
      </c>
      <c r="D125" s="637" t="s">
        <v>3117</v>
      </c>
      <c r="E125" s="754" t="s">
        <v>1406</v>
      </c>
      <c r="F125" s="754" t="s">
        <v>1889</v>
      </c>
      <c r="G125" s="754" t="s">
        <v>1890</v>
      </c>
      <c r="H125" s="754"/>
      <c r="I125" s="754"/>
      <c r="J125" s="754" t="s">
        <v>812</v>
      </c>
      <c r="K125" s="754" t="s">
        <v>812</v>
      </c>
      <c r="L125" s="754" t="s">
        <v>897</v>
      </c>
      <c r="M125" s="754" t="s">
        <v>809</v>
      </c>
      <c r="N125" s="754">
        <v>20.407971</v>
      </c>
      <c r="O125" s="754">
        <v>93.313627999999994</v>
      </c>
      <c r="P125" s="754" t="s">
        <v>813</v>
      </c>
      <c r="Q125" s="754"/>
      <c r="R125" s="763">
        <v>228</v>
      </c>
      <c r="S125" s="764">
        <v>1377</v>
      </c>
      <c r="T125" s="783"/>
      <c r="U125" s="765" t="s">
        <v>874</v>
      </c>
      <c r="V125" s="754" t="s">
        <v>909</v>
      </c>
      <c r="W125" s="754"/>
    </row>
    <row r="126" spans="1:23" s="75" customFormat="1" ht="14.25" customHeight="1">
      <c r="A126" s="764" t="s">
        <v>3006</v>
      </c>
      <c r="B126" s="760" t="s">
        <v>330</v>
      </c>
      <c r="C126" s="760" t="s">
        <v>483</v>
      </c>
      <c r="D126" s="637" t="s">
        <v>3117</v>
      </c>
      <c r="E126" s="754" t="s">
        <v>1404</v>
      </c>
      <c r="F126" s="754" t="s">
        <v>480</v>
      </c>
      <c r="G126" s="754" t="s">
        <v>483</v>
      </c>
      <c r="H126" s="754"/>
      <c r="I126" s="754"/>
      <c r="J126" s="754" t="s">
        <v>812</v>
      </c>
      <c r="K126" s="754" t="s">
        <v>812</v>
      </c>
      <c r="L126" s="754" t="s">
        <v>897</v>
      </c>
      <c r="M126" s="754" t="s">
        <v>809</v>
      </c>
      <c r="N126" s="754">
        <v>20.39902</v>
      </c>
      <c r="O126" s="754">
        <v>93.249669999999995</v>
      </c>
      <c r="P126" s="754" t="s">
        <v>813</v>
      </c>
      <c r="Q126" s="754" t="s">
        <v>794</v>
      </c>
      <c r="R126" s="763">
        <v>86</v>
      </c>
      <c r="S126" s="764">
        <v>476</v>
      </c>
      <c r="T126" s="783"/>
      <c r="U126" s="765"/>
      <c r="V126" s="754" t="s">
        <v>908</v>
      </c>
      <c r="W126" s="754"/>
    </row>
    <row r="127" spans="1:23" s="75" customFormat="1" ht="14.25" customHeight="1">
      <c r="A127" s="764" t="s">
        <v>3006</v>
      </c>
      <c r="B127" s="760" t="s">
        <v>330</v>
      </c>
      <c r="C127" s="760" t="s">
        <v>2907</v>
      </c>
      <c r="D127" s="637"/>
      <c r="E127" s="754">
        <v>197039</v>
      </c>
      <c r="F127" s="754"/>
      <c r="G127" s="754"/>
      <c r="H127" s="754"/>
      <c r="I127" s="754"/>
      <c r="J127" s="754" t="s">
        <v>812</v>
      </c>
      <c r="K127" s="754" t="s">
        <v>812</v>
      </c>
      <c r="L127" s="754" t="s">
        <v>812</v>
      </c>
      <c r="M127" s="754"/>
      <c r="N127" s="754"/>
      <c r="O127" s="754"/>
      <c r="P127" s="754"/>
      <c r="Q127" s="754"/>
      <c r="R127" s="763"/>
      <c r="S127" s="764"/>
      <c r="T127" s="783"/>
      <c r="U127" s="765"/>
      <c r="V127" s="754"/>
      <c r="W127" s="754"/>
    </row>
    <row r="128" spans="1:23" s="75" customFormat="1" ht="14.25" customHeight="1">
      <c r="A128" s="764" t="s">
        <v>3006</v>
      </c>
      <c r="B128" s="760" t="s">
        <v>330</v>
      </c>
      <c r="C128" s="760" t="s">
        <v>1892</v>
      </c>
      <c r="D128" s="637"/>
      <c r="E128" s="754">
        <v>197023</v>
      </c>
      <c r="F128" s="754"/>
      <c r="G128" s="754"/>
      <c r="H128" s="754"/>
      <c r="I128" s="754"/>
      <c r="J128" s="754" t="s">
        <v>812</v>
      </c>
      <c r="K128" s="754" t="s">
        <v>812</v>
      </c>
      <c r="L128" s="754" t="s">
        <v>812</v>
      </c>
      <c r="M128" s="754"/>
      <c r="N128" s="754"/>
      <c r="O128" s="754"/>
      <c r="P128" s="754"/>
      <c r="Q128" s="754"/>
      <c r="R128" s="763"/>
      <c r="S128" s="764"/>
      <c r="T128" s="783"/>
      <c r="U128" s="765"/>
      <c r="V128" s="754"/>
      <c r="W128" s="754"/>
    </row>
    <row r="129" spans="1:23" s="75" customFormat="1" ht="14.25" customHeight="1">
      <c r="A129" s="764" t="s">
        <v>3006</v>
      </c>
      <c r="B129" s="760" t="s">
        <v>330</v>
      </c>
      <c r="C129" s="760" t="s">
        <v>2899</v>
      </c>
      <c r="D129" s="637"/>
      <c r="E129" s="754">
        <v>197022</v>
      </c>
      <c r="F129" s="754"/>
      <c r="G129" s="754"/>
      <c r="H129" s="754"/>
      <c r="I129" s="754"/>
      <c r="J129" s="754" t="s">
        <v>812</v>
      </c>
      <c r="K129" s="754" t="s">
        <v>812</v>
      </c>
      <c r="L129" s="754" t="s">
        <v>812</v>
      </c>
      <c r="M129" s="754"/>
      <c r="N129" s="754"/>
      <c r="O129" s="754"/>
      <c r="P129" s="754"/>
      <c r="Q129" s="754"/>
      <c r="R129" s="763"/>
      <c r="S129" s="764"/>
      <c r="T129" s="783"/>
      <c r="U129" s="765"/>
      <c r="V129" s="754"/>
      <c r="W129" s="754"/>
    </row>
    <row r="130" spans="1:23" s="75" customFormat="1" ht="14.25" customHeight="1">
      <c r="A130" s="764" t="s">
        <v>3006</v>
      </c>
      <c r="B130" s="760" t="s">
        <v>330</v>
      </c>
      <c r="C130" s="760" t="s">
        <v>2920</v>
      </c>
      <c r="D130" s="637"/>
      <c r="E130" s="754">
        <v>197114</v>
      </c>
      <c r="F130" s="754" t="s">
        <v>3077</v>
      </c>
      <c r="G130" s="754"/>
      <c r="H130" s="754"/>
      <c r="I130" s="754"/>
      <c r="J130" s="754" t="s">
        <v>812</v>
      </c>
      <c r="K130" s="754" t="s">
        <v>812</v>
      </c>
      <c r="L130" s="754" t="s">
        <v>812</v>
      </c>
      <c r="M130" s="754"/>
      <c r="N130" s="754"/>
      <c r="O130" s="754"/>
      <c r="P130" s="754"/>
      <c r="Q130" s="754"/>
      <c r="R130" s="763"/>
      <c r="S130" s="764"/>
      <c r="T130" s="783"/>
      <c r="U130" s="765"/>
      <c r="V130" s="754"/>
      <c r="W130" s="754"/>
    </row>
    <row r="131" spans="1:23" s="75" customFormat="1" ht="14.25" customHeight="1">
      <c r="A131" s="764" t="s">
        <v>3006</v>
      </c>
      <c r="B131" s="760" t="s">
        <v>330</v>
      </c>
      <c r="C131" s="760" t="s">
        <v>910</v>
      </c>
      <c r="D131" s="637" t="s">
        <v>3117</v>
      </c>
      <c r="E131" s="754" t="s">
        <v>1408</v>
      </c>
      <c r="F131" s="754" t="s">
        <v>1891</v>
      </c>
      <c r="G131" s="754" t="s">
        <v>1892</v>
      </c>
      <c r="H131" s="754"/>
      <c r="I131" s="754"/>
      <c r="J131" s="754" t="s">
        <v>812</v>
      </c>
      <c r="K131" s="754" t="s">
        <v>812</v>
      </c>
      <c r="L131" s="754" t="s">
        <v>897</v>
      </c>
      <c r="M131" s="754" t="s">
        <v>312</v>
      </c>
      <c r="N131" s="754">
        <v>20.409645000000001</v>
      </c>
      <c r="O131" s="754">
        <v>93.314695</v>
      </c>
      <c r="P131" s="754" t="s">
        <v>813</v>
      </c>
      <c r="Q131" s="754"/>
      <c r="R131" s="763">
        <v>18</v>
      </c>
      <c r="S131" s="764">
        <v>72</v>
      </c>
      <c r="T131" s="783"/>
      <c r="U131" s="765" t="s">
        <v>874</v>
      </c>
      <c r="V131" s="754" t="s">
        <v>910</v>
      </c>
      <c r="W131" s="754"/>
    </row>
    <row r="132" spans="1:23" s="75" customFormat="1" ht="14.25" customHeight="1">
      <c r="A132" s="764" t="s">
        <v>3006</v>
      </c>
      <c r="B132" s="754" t="s">
        <v>330</v>
      </c>
      <c r="C132" s="760" t="s">
        <v>508</v>
      </c>
      <c r="D132" s="637" t="s">
        <v>1693</v>
      </c>
      <c r="E132" s="754">
        <v>197067</v>
      </c>
      <c r="F132" s="754"/>
      <c r="G132" s="754"/>
      <c r="H132" s="754"/>
      <c r="I132" s="754"/>
      <c r="J132" s="754" t="s">
        <v>812</v>
      </c>
      <c r="K132" s="754" t="s">
        <v>812</v>
      </c>
      <c r="L132" s="754" t="s">
        <v>812</v>
      </c>
      <c r="M132" s="754" t="s">
        <v>312</v>
      </c>
      <c r="N132" s="754">
        <v>20.51997948</v>
      </c>
      <c r="O132" s="754">
        <v>93.277252200000007</v>
      </c>
      <c r="P132" s="754" t="s">
        <v>813</v>
      </c>
      <c r="Q132" s="754" t="s">
        <v>794</v>
      </c>
      <c r="R132" s="763"/>
      <c r="S132" s="764"/>
      <c r="T132" s="783"/>
      <c r="U132" s="765"/>
      <c r="V132" s="754"/>
      <c r="W132" s="754"/>
    </row>
    <row r="133" spans="1:23" s="75" customFormat="1" ht="14.25" customHeight="1">
      <c r="A133" s="764" t="s">
        <v>3006</v>
      </c>
      <c r="B133" s="760" t="s">
        <v>330</v>
      </c>
      <c r="C133" s="760" t="s">
        <v>1151</v>
      </c>
      <c r="D133" s="637" t="s">
        <v>1693</v>
      </c>
      <c r="E133" s="754">
        <v>196999</v>
      </c>
      <c r="F133" s="754"/>
      <c r="G133" s="754"/>
      <c r="H133" s="754"/>
      <c r="I133" s="754"/>
      <c r="J133" s="754" t="s">
        <v>812</v>
      </c>
      <c r="K133" s="754" t="s">
        <v>812</v>
      </c>
      <c r="L133" s="754" t="s">
        <v>812</v>
      </c>
      <c r="M133" s="754" t="s">
        <v>809</v>
      </c>
      <c r="N133" s="754"/>
      <c r="O133" s="754"/>
      <c r="P133" s="754" t="s">
        <v>813</v>
      </c>
      <c r="Q133" s="754"/>
      <c r="R133" s="763"/>
      <c r="S133" s="764"/>
      <c r="T133" s="783"/>
      <c r="U133" s="765"/>
      <c r="V133" s="754"/>
      <c r="W133" s="754"/>
    </row>
    <row r="134" spans="1:23" s="75" customFormat="1" ht="14.25" customHeight="1">
      <c r="A134" s="764" t="s">
        <v>3006</v>
      </c>
      <c r="B134" s="760" t="s">
        <v>330</v>
      </c>
      <c r="C134" s="760" t="s">
        <v>481</v>
      </c>
      <c r="D134" s="637" t="s">
        <v>1693</v>
      </c>
      <c r="E134" s="754">
        <v>196998</v>
      </c>
      <c r="F134" s="754"/>
      <c r="G134" s="754"/>
      <c r="H134" s="754"/>
      <c r="I134" s="754"/>
      <c r="J134" s="754" t="s">
        <v>812</v>
      </c>
      <c r="K134" s="754" t="s">
        <v>812</v>
      </c>
      <c r="L134" s="754" t="s">
        <v>812</v>
      </c>
      <c r="M134" s="754" t="s">
        <v>312</v>
      </c>
      <c r="N134" s="754">
        <v>20.396680830000001</v>
      </c>
      <c r="O134" s="754">
        <v>93.252868649999996</v>
      </c>
      <c r="P134" s="754" t="s">
        <v>813</v>
      </c>
      <c r="Q134" s="754" t="s">
        <v>794</v>
      </c>
      <c r="R134" s="763"/>
      <c r="S134" s="764"/>
      <c r="T134" s="783"/>
      <c r="U134" s="765"/>
      <c r="V134" s="754" t="s">
        <v>905</v>
      </c>
      <c r="W134" s="754"/>
    </row>
    <row r="135" spans="1:23" s="75" customFormat="1" ht="14.25" customHeight="1">
      <c r="A135" s="764" t="s">
        <v>3006</v>
      </c>
      <c r="B135" s="760" t="s">
        <v>330</v>
      </c>
      <c r="C135" s="760" t="s">
        <v>2923</v>
      </c>
      <c r="D135" s="637"/>
      <c r="E135" s="754">
        <v>220653</v>
      </c>
      <c r="F135" s="754"/>
      <c r="G135" s="754"/>
      <c r="H135" s="754"/>
      <c r="I135" s="754"/>
      <c r="J135" s="754" t="s">
        <v>812</v>
      </c>
      <c r="K135" s="754" t="s">
        <v>812</v>
      </c>
      <c r="L135" s="754" t="s">
        <v>812</v>
      </c>
      <c r="M135" s="754"/>
      <c r="N135" s="754"/>
      <c r="O135" s="754"/>
      <c r="P135" s="754"/>
      <c r="Q135" s="754"/>
      <c r="R135" s="763"/>
      <c r="S135" s="764"/>
      <c r="T135" s="783"/>
      <c r="U135" s="765"/>
      <c r="V135" s="754"/>
      <c r="W135" s="754"/>
    </row>
    <row r="136" spans="1:23" s="75" customFormat="1" ht="14.25" customHeight="1">
      <c r="A136" s="764" t="s">
        <v>3006</v>
      </c>
      <c r="B136" s="760" t="s">
        <v>330</v>
      </c>
      <c r="C136" s="760" t="s">
        <v>2914</v>
      </c>
      <c r="D136" s="637"/>
      <c r="E136" s="754">
        <v>197092</v>
      </c>
      <c r="F136" s="754"/>
      <c r="G136" s="754"/>
      <c r="H136" s="754"/>
      <c r="I136" s="754"/>
      <c r="J136" s="754" t="s">
        <v>812</v>
      </c>
      <c r="K136" s="754" t="s">
        <v>812</v>
      </c>
      <c r="L136" s="754" t="s">
        <v>812</v>
      </c>
      <c r="M136" s="754"/>
      <c r="N136" s="754"/>
      <c r="O136" s="754"/>
      <c r="P136" s="754"/>
      <c r="Q136" s="754"/>
      <c r="R136" s="763"/>
      <c r="S136" s="764"/>
      <c r="T136" s="783"/>
      <c r="U136" s="765"/>
      <c r="V136" s="754"/>
      <c r="W136" s="754"/>
    </row>
    <row r="137" spans="1:23" s="75" customFormat="1" ht="14.25" customHeight="1">
      <c r="A137" s="764" t="s">
        <v>3006</v>
      </c>
      <c r="B137" s="760" t="s">
        <v>330</v>
      </c>
      <c r="C137" s="760" t="s">
        <v>2915</v>
      </c>
      <c r="D137" s="637"/>
      <c r="E137" s="754">
        <v>197100</v>
      </c>
      <c r="F137" s="754" t="s">
        <v>3078</v>
      </c>
      <c r="G137" s="754"/>
      <c r="H137" s="754"/>
      <c r="I137" s="754"/>
      <c r="J137" s="754" t="s">
        <v>812</v>
      </c>
      <c r="K137" s="754" t="s">
        <v>812</v>
      </c>
      <c r="L137" s="754" t="s">
        <v>812</v>
      </c>
      <c r="M137" s="754"/>
      <c r="N137" s="754"/>
      <c r="O137" s="754"/>
      <c r="P137" s="754"/>
      <c r="Q137" s="754"/>
      <c r="R137" s="763"/>
      <c r="S137" s="764"/>
      <c r="T137" s="783"/>
      <c r="U137" s="765"/>
      <c r="V137" s="754"/>
      <c r="W137" s="754"/>
    </row>
    <row r="138" spans="1:23" s="75" customFormat="1" ht="14.25" customHeight="1">
      <c r="A138" s="764" t="s">
        <v>3006</v>
      </c>
      <c r="B138" s="760" t="s">
        <v>330</v>
      </c>
      <c r="C138" s="760" t="s">
        <v>2906</v>
      </c>
      <c r="D138" s="637"/>
      <c r="E138" s="754">
        <v>197040</v>
      </c>
      <c r="F138" s="754"/>
      <c r="G138" s="754"/>
      <c r="H138" s="754"/>
      <c r="I138" s="754"/>
      <c r="J138" s="754" t="s">
        <v>812</v>
      </c>
      <c r="K138" s="754" t="s">
        <v>812</v>
      </c>
      <c r="L138" s="754" t="s">
        <v>812</v>
      </c>
      <c r="M138" s="754"/>
      <c r="N138" s="754"/>
      <c r="O138" s="754"/>
      <c r="P138" s="754"/>
      <c r="Q138" s="754"/>
      <c r="R138" s="763"/>
      <c r="S138" s="764"/>
      <c r="T138" s="783"/>
      <c r="U138" s="765"/>
      <c r="V138" s="754"/>
      <c r="W138" s="754"/>
    </row>
    <row r="139" spans="1:23" s="75" customFormat="1" ht="14.25" customHeight="1">
      <c r="A139" s="764" t="s">
        <v>3006</v>
      </c>
      <c r="B139" s="760" t="s">
        <v>330</v>
      </c>
      <c r="C139" s="760" t="s">
        <v>2922</v>
      </c>
      <c r="D139" s="637"/>
      <c r="E139" s="754">
        <v>197112</v>
      </c>
      <c r="F139" s="754"/>
      <c r="G139" s="754"/>
      <c r="H139" s="754"/>
      <c r="I139" s="754"/>
      <c r="J139" s="754" t="s">
        <v>812</v>
      </c>
      <c r="K139" s="754" t="s">
        <v>812</v>
      </c>
      <c r="L139" s="754" t="s">
        <v>812</v>
      </c>
      <c r="M139" s="754"/>
      <c r="N139" s="754"/>
      <c r="O139" s="754"/>
      <c r="P139" s="754"/>
      <c r="Q139" s="754"/>
      <c r="R139" s="763"/>
      <c r="S139" s="764"/>
      <c r="T139" s="783"/>
      <c r="U139" s="765"/>
      <c r="V139" s="754"/>
      <c r="W139" s="754"/>
    </row>
    <row r="140" spans="1:23" s="75" customFormat="1" ht="14.25" customHeight="1">
      <c r="A140" s="764" t="s">
        <v>3006</v>
      </c>
      <c r="B140" s="760" t="s">
        <v>330</v>
      </c>
      <c r="C140" s="760" t="s">
        <v>2913</v>
      </c>
      <c r="D140" s="637"/>
      <c r="E140" s="754"/>
      <c r="F140" s="754"/>
      <c r="G140" s="754"/>
      <c r="H140" s="754"/>
      <c r="I140" s="754"/>
      <c r="J140" s="754" t="s">
        <v>812</v>
      </c>
      <c r="K140" s="754" t="s">
        <v>812</v>
      </c>
      <c r="L140" s="754" t="s">
        <v>812</v>
      </c>
      <c r="M140" s="754"/>
      <c r="N140" s="754"/>
      <c r="O140" s="754"/>
      <c r="P140" s="754"/>
      <c r="Q140" s="754"/>
      <c r="R140" s="763"/>
      <c r="S140" s="764"/>
      <c r="T140" s="783"/>
      <c r="U140" s="765"/>
      <c r="V140" s="754"/>
      <c r="W140" s="754"/>
    </row>
    <row r="141" spans="1:23" s="75" customFormat="1" ht="14.25" customHeight="1">
      <c r="A141" s="764" t="s">
        <v>3006</v>
      </c>
      <c r="B141" s="760" t="s">
        <v>330</v>
      </c>
      <c r="C141" s="760" t="s">
        <v>478</v>
      </c>
      <c r="D141" s="637" t="s">
        <v>3117</v>
      </c>
      <c r="E141" s="754" t="s">
        <v>1403</v>
      </c>
      <c r="F141" s="754" t="s">
        <v>1783</v>
      </c>
      <c r="G141" s="754" t="s">
        <v>1784</v>
      </c>
      <c r="H141" s="754"/>
      <c r="I141" s="754"/>
      <c r="J141" s="754" t="s">
        <v>812</v>
      </c>
      <c r="K141" s="754" t="s">
        <v>812</v>
      </c>
      <c r="L141" s="754" t="s">
        <v>897</v>
      </c>
      <c r="M141" s="754" t="s">
        <v>809</v>
      </c>
      <c r="N141" s="754">
        <v>20.392137999999999</v>
      </c>
      <c r="O141" s="754">
        <v>93.257272</v>
      </c>
      <c r="P141" s="754" t="s">
        <v>813</v>
      </c>
      <c r="Q141" s="754" t="s">
        <v>794</v>
      </c>
      <c r="R141" s="763">
        <v>203</v>
      </c>
      <c r="S141" s="764">
        <v>1420</v>
      </c>
      <c r="T141" s="783"/>
      <c r="U141" s="765"/>
      <c r="V141" s="754" t="s">
        <v>902</v>
      </c>
      <c r="W141" s="754"/>
    </row>
    <row r="142" spans="1:23" s="75" customFormat="1" ht="14.25" customHeight="1">
      <c r="A142" s="764" t="s">
        <v>3006</v>
      </c>
      <c r="B142" s="760" t="s">
        <v>330</v>
      </c>
      <c r="C142" s="760" t="s">
        <v>523</v>
      </c>
      <c r="D142" s="637" t="s">
        <v>3117</v>
      </c>
      <c r="E142" s="754" t="s">
        <v>1415</v>
      </c>
      <c r="F142" s="754" t="s">
        <v>1785</v>
      </c>
      <c r="G142" s="754" t="s">
        <v>1785</v>
      </c>
      <c r="H142" s="754"/>
      <c r="I142" s="754"/>
      <c r="J142" s="754" t="s">
        <v>812</v>
      </c>
      <c r="K142" s="754" t="s">
        <v>812</v>
      </c>
      <c r="L142" s="754" t="s">
        <v>897</v>
      </c>
      <c r="M142" s="754" t="s">
        <v>809</v>
      </c>
      <c r="N142" s="754">
        <v>20.587142</v>
      </c>
      <c r="O142" s="754">
        <v>93.258573999999996</v>
      </c>
      <c r="P142" s="754" t="s">
        <v>813</v>
      </c>
      <c r="Q142" s="754"/>
      <c r="R142" s="763">
        <v>275</v>
      </c>
      <c r="S142" s="764">
        <v>1707</v>
      </c>
      <c r="T142" s="783"/>
      <c r="U142" s="765" t="s">
        <v>874</v>
      </c>
      <c r="V142" s="754" t="s">
        <v>523</v>
      </c>
      <c r="W142" s="754"/>
    </row>
    <row r="143" spans="1:23" s="75" customFormat="1" ht="14.25" customHeight="1">
      <c r="A143" s="764" t="s">
        <v>3006</v>
      </c>
      <c r="B143" s="760" t="s">
        <v>330</v>
      </c>
      <c r="C143" s="760" t="s">
        <v>2905</v>
      </c>
      <c r="D143" s="637"/>
      <c r="E143" s="754">
        <v>197033</v>
      </c>
      <c r="F143" s="754"/>
      <c r="G143" s="754"/>
      <c r="H143" s="754"/>
      <c r="I143" s="754"/>
      <c r="J143" s="754" t="s">
        <v>812</v>
      </c>
      <c r="K143" s="754" t="s">
        <v>812</v>
      </c>
      <c r="L143" s="754" t="s">
        <v>812</v>
      </c>
      <c r="M143" s="754"/>
      <c r="N143" s="754"/>
      <c r="O143" s="754"/>
      <c r="P143" s="754"/>
      <c r="Q143" s="754"/>
      <c r="R143" s="763"/>
      <c r="S143" s="764"/>
      <c r="T143" s="783"/>
      <c r="U143" s="765"/>
      <c r="V143" s="754"/>
      <c r="W143" s="754"/>
    </row>
    <row r="144" spans="1:23" s="75" customFormat="1" ht="14.25" customHeight="1">
      <c r="A144" s="764" t="s">
        <v>3006</v>
      </c>
      <c r="B144" s="760" t="s">
        <v>330</v>
      </c>
      <c r="C144" s="760" t="s">
        <v>1784</v>
      </c>
      <c r="D144" s="637"/>
      <c r="E144" s="754">
        <v>196997</v>
      </c>
      <c r="F144" s="754"/>
      <c r="G144" s="754"/>
      <c r="H144" s="754"/>
      <c r="I144" s="754"/>
      <c r="J144" s="754" t="s">
        <v>812</v>
      </c>
      <c r="K144" s="754" t="s">
        <v>812</v>
      </c>
      <c r="L144" s="754" t="s">
        <v>812</v>
      </c>
      <c r="M144" s="754"/>
      <c r="N144" s="754"/>
      <c r="O144" s="754"/>
      <c r="P144" s="754"/>
      <c r="Q144" s="754"/>
      <c r="R144" s="763"/>
      <c r="S144" s="764"/>
      <c r="T144" s="783"/>
      <c r="U144" s="765"/>
      <c r="V144" s="754"/>
      <c r="W144" s="754"/>
    </row>
    <row r="145" spans="1:23" s="75" customFormat="1" ht="14.25" customHeight="1">
      <c r="A145" s="764" t="s">
        <v>3006</v>
      </c>
      <c r="B145" s="760" t="s">
        <v>330</v>
      </c>
      <c r="C145" s="760" t="s">
        <v>2904</v>
      </c>
      <c r="D145" s="637"/>
      <c r="E145" s="754">
        <v>197036</v>
      </c>
      <c r="F145" s="754"/>
      <c r="G145" s="754"/>
      <c r="H145" s="754"/>
      <c r="I145" s="754"/>
      <c r="J145" s="754" t="s">
        <v>812</v>
      </c>
      <c r="K145" s="754" t="s">
        <v>812</v>
      </c>
      <c r="L145" s="754" t="s">
        <v>812</v>
      </c>
      <c r="M145" s="754"/>
      <c r="N145" s="754"/>
      <c r="O145" s="754"/>
      <c r="P145" s="754"/>
      <c r="Q145" s="754"/>
      <c r="R145" s="763"/>
      <c r="S145" s="764"/>
      <c r="T145" s="783"/>
      <c r="U145" s="765"/>
      <c r="V145" s="754"/>
      <c r="W145" s="754"/>
    </row>
    <row r="146" spans="1:23" s="75" customFormat="1" ht="14.25" customHeight="1">
      <c r="A146" s="764" t="s">
        <v>3006</v>
      </c>
      <c r="B146" s="760" t="s">
        <v>330</v>
      </c>
      <c r="C146" s="760" t="s">
        <v>2911</v>
      </c>
      <c r="D146" s="637"/>
      <c r="E146" s="754">
        <v>197089</v>
      </c>
      <c r="F146" s="754"/>
      <c r="G146" s="754"/>
      <c r="H146" s="754"/>
      <c r="I146" s="754"/>
      <c r="J146" s="754" t="s">
        <v>812</v>
      </c>
      <c r="K146" s="754" t="s">
        <v>812</v>
      </c>
      <c r="L146" s="754" t="s">
        <v>812</v>
      </c>
      <c r="M146" s="754"/>
      <c r="N146" s="754"/>
      <c r="O146" s="754"/>
      <c r="P146" s="754"/>
      <c r="Q146" s="754"/>
      <c r="R146" s="763"/>
      <c r="S146" s="764"/>
      <c r="T146" s="783"/>
      <c r="U146" s="765"/>
      <c r="V146" s="754"/>
      <c r="W146" s="754"/>
    </row>
    <row r="147" spans="1:23" s="75" customFormat="1" ht="14.25" customHeight="1">
      <c r="A147" s="764" t="s">
        <v>3006</v>
      </c>
      <c r="B147" s="760" t="s">
        <v>330</v>
      </c>
      <c r="C147" s="760" t="s">
        <v>2917</v>
      </c>
      <c r="D147" s="637"/>
      <c r="E147" s="754">
        <v>197102</v>
      </c>
      <c r="F147" s="754" t="s">
        <v>3079</v>
      </c>
      <c r="G147" s="754"/>
      <c r="H147" s="754"/>
      <c r="I147" s="754"/>
      <c r="J147" s="754" t="s">
        <v>812</v>
      </c>
      <c r="K147" s="754" t="s">
        <v>812</v>
      </c>
      <c r="L147" s="754" t="s">
        <v>812</v>
      </c>
      <c r="M147" s="754"/>
      <c r="N147" s="754"/>
      <c r="O147" s="754"/>
      <c r="P147" s="754"/>
      <c r="Q147" s="754"/>
      <c r="R147" s="763"/>
      <c r="S147" s="764"/>
      <c r="T147" s="783"/>
      <c r="U147" s="765"/>
      <c r="V147" s="754"/>
      <c r="W147" s="754"/>
    </row>
    <row r="148" spans="1:23" s="75" customFormat="1" ht="14.25" customHeight="1">
      <c r="A148" s="767" t="s">
        <v>3006</v>
      </c>
      <c r="B148" s="767" t="s">
        <v>330</v>
      </c>
      <c r="C148" s="768" t="s">
        <v>3142</v>
      </c>
      <c r="D148" s="761"/>
      <c r="E148" s="754">
        <v>197047</v>
      </c>
      <c r="F148" s="754"/>
      <c r="G148" s="754"/>
      <c r="H148" s="754"/>
      <c r="I148" s="754"/>
      <c r="J148" s="754" t="s">
        <v>3017</v>
      </c>
      <c r="K148" s="754" t="s">
        <v>2935</v>
      </c>
      <c r="L148" s="754" t="s">
        <v>2935</v>
      </c>
      <c r="M148" s="754"/>
      <c r="N148" s="754">
        <v>20.454280853271499</v>
      </c>
      <c r="O148" s="754">
        <v>93.281562805175795</v>
      </c>
      <c r="P148" s="754"/>
      <c r="Q148" s="754"/>
      <c r="R148" s="771"/>
      <c r="S148" s="764"/>
      <c r="T148" s="783">
        <v>43591</v>
      </c>
      <c r="U148" s="771"/>
      <c r="V148" s="754"/>
      <c r="W148" s="763"/>
    </row>
    <row r="149" spans="1:23" s="75" customFormat="1" ht="14.25" customHeight="1">
      <c r="A149" s="767" t="s">
        <v>3006</v>
      </c>
      <c r="B149" s="767" t="s">
        <v>330</v>
      </c>
      <c r="C149" s="768" t="s">
        <v>3162</v>
      </c>
      <c r="D149" s="761"/>
      <c r="E149" s="754">
        <v>197051</v>
      </c>
      <c r="F149" s="754"/>
      <c r="G149" s="754"/>
      <c r="H149" s="754"/>
      <c r="I149" s="754"/>
      <c r="J149" s="754" t="s">
        <v>3017</v>
      </c>
      <c r="K149" s="754" t="s">
        <v>2935</v>
      </c>
      <c r="L149" s="754" t="s">
        <v>2935</v>
      </c>
      <c r="M149" s="754"/>
      <c r="N149" s="754">
        <v>20.599809646606399</v>
      </c>
      <c r="O149" s="754">
        <v>93.265541076660199</v>
      </c>
      <c r="P149" s="754"/>
      <c r="Q149" s="754"/>
      <c r="R149" s="771"/>
      <c r="S149" s="764"/>
      <c r="T149" s="783">
        <v>43591</v>
      </c>
      <c r="U149" s="771"/>
      <c r="V149" s="754"/>
      <c r="W149" s="763"/>
    </row>
    <row r="150" spans="1:23" s="75" customFormat="1" ht="14.25" customHeight="1">
      <c r="A150" s="764" t="s">
        <v>3006</v>
      </c>
      <c r="B150" s="754" t="s">
        <v>489</v>
      </c>
      <c r="C150" s="754" t="s">
        <v>566</v>
      </c>
      <c r="D150" s="637" t="s">
        <v>1693</v>
      </c>
      <c r="E150" s="754">
        <v>196643</v>
      </c>
      <c r="F150" s="754"/>
      <c r="G150" s="754"/>
      <c r="H150" s="754"/>
      <c r="I150" s="754"/>
      <c r="J150" s="754" t="s">
        <v>812</v>
      </c>
      <c r="K150" s="754" t="s">
        <v>812</v>
      </c>
      <c r="L150" s="754" t="s">
        <v>812</v>
      </c>
      <c r="M150" s="754" t="s">
        <v>809</v>
      </c>
      <c r="N150" s="754">
        <v>20.69722939</v>
      </c>
      <c r="O150" s="754">
        <v>93.044059750000002</v>
      </c>
      <c r="P150" s="754" t="s">
        <v>813</v>
      </c>
      <c r="Q150" s="754" t="s">
        <v>794</v>
      </c>
      <c r="R150" s="763"/>
      <c r="S150" s="764"/>
      <c r="T150" s="783"/>
      <c r="U150" s="765"/>
      <c r="V150" s="754" t="s">
        <v>943</v>
      </c>
      <c r="W150" s="754"/>
    </row>
    <row r="151" spans="1:23" s="75" customFormat="1" ht="14.25" customHeight="1">
      <c r="A151" s="767" t="s">
        <v>3006</v>
      </c>
      <c r="B151" s="767" t="s">
        <v>489</v>
      </c>
      <c r="C151" s="768" t="s">
        <v>3217</v>
      </c>
      <c r="D151" s="761"/>
      <c r="E151" s="754">
        <v>196610</v>
      </c>
      <c r="F151" s="754"/>
      <c r="G151" s="754"/>
      <c r="H151" s="754"/>
      <c r="I151" s="754"/>
      <c r="J151" s="754" t="s">
        <v>3017</v>
      </c>
      <c r="K151" s="754" t="s">
        <v>2935</v>
      </c>
      <c r="L151" s="754" t="s">
        <v>2935</v>
      </c>
      <c r="M151" s="754"/>
      <c r="N151" s="754">
        <v>20.710781097412099</v>
      </c>
      <c r="O151" s="754">
        <v>93.127502441406307</v>
      </c>
      <c r="P151" s="754"/>
      <c r="Q151" s="754"/>
      <c r="R151" s="771"/>
      <c r="S151" s="764"/>
      <c r="T151" s="783">
        <v>43591</v>
      </c>
      <c r="U151" s="771"/>
      <c r="V151" s="754"/>
      <c r="W151" s="763"/>
    </row>
    <row r="152" spans="1:23" s="75" customFormat="1" ht="14.25" customHeight="1">
      <c r="A152" s="767" t="s">
        <v>3006</v>
      </c>
      <c r="B152" s="767" t="s">
        <v>489</v>
      </c>
      <c r="C152" s="768" t="s">
        <v>3152</v>
      </c>
      <c r="D152" s="761"/>
      <c r="E152" s="754" t="s">
        <v>3218</v>
      </c>
      <c r="F152" s="754"/>
      <c r="G152" s="754"/>
      <c r="H152" s="754"/>
      <c r="I152" s="754"/>
      <c r="J152" s="754" t="s">
        <v>3017</v>
      </c>
      <c r="K152" s="754" t="s">
        <v>2935</v>
      </c>
      <c r="L152" s="754" t="s">
        <v>2935</v>
      </c>
      <c r="M152" s="754"/>
      <c r="N152" s="754"/>
      <c r="O152" s="754"/>
      <c r="P152" s="754"/>
      <c r="Q152" s="754"/>
      <c r="R152" s="771"/>
      <c r="S152" s="764"/>
      <c r="T152" s="783">
        <v>43591</v>
      </c>
      <c r="U152" s="771"/>
      <c r="V152" s="754"/>
      <c r="W152" s="763"/>
    </row>
    <row r="153" spans="1:23" s="75" customFormat="1" ht="14.25" customHeight="1">
      <c r="A153" s="767" t="s">
        <v>3006</v>
      </c>
      <c r="B153" s="767" t="s">
        <v>489</v>
      </c>
      <c r="C153" s="768" t="s">
        <v>3153</v>
      </c>
      <c r="D153" s="761"/>
      <c r="E153" s="754" t="s">
        <v>3218</v>
      </c>
      <c r="F153" s="754"/>
      <c r="G153" s="754"/>
      <c r="H153" s="754"/>
      <c r="I153" s="754"/>
      <c r="J153" s="754" t="s">
        <v>3017</v>
      </c>
      <c r="K153" s="754" t="s">
        <v>2935</v>
      </c>
      <c r="L153" s="754" t="s">
        <v>2935</v>
      </c>
      <c r="M153" s="754"/>
      <c r="N153" s="754"/>
      <c r="O153" s="754"/>
      <c r="P153" s="754"/>
      <c r="Q153" s="754"/>
      <c r="R153" s="771"/>
      <c r="S153" s="764"/>
      <c r="T153" s="783">
        <v>43591</v>
      </c>
      <c r="U153" s="771"/>
      <c r="V153" s="754"/>
      <c r="W153" s="763"/>
    </row>
    <row r="154" spans="1:23" s="75" customFormat="1" ht="14.25" customHeight="1">
      <c r="A154" s="767" t="s">
        <v>3006</v>
      </c>
      <c r="B154" s="767" t="s">
        <v>489</v>
      </c>
      <c r="C154" s="768" t="s">
        <v>3154</v>
      </c>
      <c r="D154" s="761"/>
      <c r="E154" s="754" t="s">
        <v>3218</v>
      </c>
      <c r="F154" s="754"/>
      <c r="G154" s="754"/>
      <c r="H154" s="754"/>
      <c r="I154" s="754"/>
      <c r="J154" s="754" t="s">
        <v>3017</v>
      </c>
      <c r="K154" s="754" t="s">
        <v>2935</v>
      </c>
      <c r="L154" s="754" t="s">
        <v>2935</v>
      </c>
      <c r="M154" s="754"/>
      <c r="N154" s="754"/>
      <c r="O154" s="754"/>
      <c r="P154" s="754"/>
      <c r="Q154" s="754"/>
      <c r="R154" s="771"/>
      <c r="S154" s="764"/>
      <c r="T154" s="783">
        <v>43591</v>
      </c>
      <c r="U154" s="771"/>
      <c r="V154" s="754"/>
      <c r="W154" s="763"/>
    </row>
    <row r="155" spans="1:23" s="75" customFormat="1" ht="14.25" customHeight="1">
      <c r="A155" s="767" t="s">
        <v>3006</v>
      </c>
      <c r="B155" s="767" t="s">
        <v>489</v>
      </c>
      <c r="C155" s="768" t="s">
        <v>3155</v>
      </c>
      <c r="D155" s="761"/>
      <c r="E155" s="754" t="s">
        <v>3218</v>
      </c>
      <c r="F155" s="754"/>
      <c r="G155" s="754"/>
      <c r="H155" s="754"/>
      <c r="I155" s="754"/>
      <c r="J155" s="754" t="s">
        <v>3017</v>
      </c>
      <c r="K155" s="754" t="s">
        <v>2935</v>
      </c>
      <c r="L155" s="754" t="s">
        <v>2935</v>
      </c>
      <c r="M155" s="754"/>
      <c r="N155" s="754"/>
      <c r="O155" s="754"/>
      <c r="P155" s="754"/>
      <c r="Q155" s="754"/>
      <c r="R155" s="771"/>
      <c r="S155" s="764"/>
      <c r="T155" s="783">
        <v>43591</v>
      </c>
      <c r="U155" s="771"/>
      <c r="V155" s="754"/>
      <c r="W155" s="763"/>
    </row>
    <row r="156" spans="1:23" s="75" customFormat="1" ht="14.25" customHeight="1">
      <c r="A156" s="767" t="s">
        <v>3006</v>
      </c>
      <c r="B156" s="767" t="s">
        <v>489</v>
      </c>
      <c r="C156" s="768" t="s">
        <v>3156</v>
      </c>
      <c r="D156" s="761"/>
      <c r="E156" s="754" t="s">
        <v>3218</v>
      </c>
      <c r="F156" s="754"/>
      <c r="G156" s="754"/>
      <c r="H156" s="754"/>
      <c r="I156" s="754"/>
      <c r="J156" s="754" t="s">
        <v>3017</v>
      </c>
      <c r="K156" s="754" t="s">
        <v>2935</v>
      </c>
      <c r="L156" s="754" t="s">
        <v>2935</v>
      </c>
      <c r="M156" s="754"/>
      <c r="N156" s="754"/>
      <c r="O156" s="754"/>
      <c r="P156" s="754"/>
      <c r="Q156" s="754"/>
      <c r="R156" s="771"/>
      <c r="S156" s="764"/>
      <c r="T156" s="783">
        <v>43591</v>
      </c>
      <c r="U156" s="771"/>
      <c r="V156" s="754"/>
      <c r="W156" s="763"/>
    </row>
    <row r="157" spans="1:23" s="75" customFormat="1" ht="14.25" customHeight="1">
      <c r="A157" s="764" t="s">
        <v>3006</v>
      </c>
      <c r="B157" s="754" t="s">
        <v>489</v>
      </c>
      <c r="C157" s="754" t="s">
        <v>501</v>
      </c>
      <c r="D157" s="637" t="s">
        <v>1693</v>
      </c>
      <c r="E157" s="754">
        <v>196508</v>
      </c>
      <c r="F157" s="754"/>
      <c r="G157" s="754"/>
      <c r="H157" s="754"/>
      <c r="I157" s="754"/>
      <c r="J157" s="754" t="s">
        <v>812</v>
      </c>
      <c r="K157" s="754" t="s">
        <v>812</v>
      </c>
      <c r="L157" s="754" t="s">
        <v>812</v>
      </c>
      <c r="M157" s="754" t="s">
        <v>312</v>
      </c>
      <c r="N157" s="754">
        <v>20.489089969999998</v>
      </c>
      <c r="O157" s="754">
        <v>93.211738589999996</v>
      </c>
      <c r="P157" s="754" t="s">
        <v>813</v>
      </c>
      <c r="Q157" s="754" t="s">
        <v>794</v>
      </c>
      <c r="R157" s="763"/>
      <c r="S157" s="764"/>
      <c r="T157" s="783"/>
      <c r="U157" s="765"/>
      <c r="V157" s="754" t="s">
        <v>914</v>
      </c>
      <c r="W157" s="754"/>
    </row>
    <row r="158" spans="1:23" s="75" customFormat="1" ht="14.25" customHeight="1">
      <c r="A158" s="764" t="s">
        <v>3006</v>
      </c>
      <c r="B158" s="754" t="s">
        <v>489</v>
      </c>
      <c r="C158" s="754" t="s">
        <v>2876</v>
      </c>
      <c r="D158" s="637"/>
      <c r="E158" s="754"/>
      <c r="F158" s="754"/>
      <c r="G158" s="754"/>
      <c r="H158" s="754"/>
      <c r="I158" s="754"/>
      <c r="J158" s="754" t="s">
        <v>3017</v>
      </c>
      <c r="K158" s="754" t="s">
        <v>2935</v>
      </c>
      <c r="L158" s="754" t="s">
        <v>2935</v>
      </c>
      <c r="M158" s="754"/>
      <c r="N158" s="754"/>
      <c r="O158" s="754"/>
      <c r="P158" s="754"/>
      <c r="Q158" s="754"/>
      <c r="R158" s="763"/>
      <c r="S158" s="764"/>
      <c r="T158" s="783"/>
      <c r="U158" s="765"/>
      <c r="V158" s="754"/>
      <c r="W158" s="754"/>
    </row>
    <row r="159" spans="1:23" s="75" customFormat="1" ht="14.25" customHeight="1">
      <c r="A159" s="767" t="s">
        <v>3006</v>
      </c>
      <c r="B159" s="767" t="s">
        <v>489</v>
      </c>
      <c r="C159" s="768" t="s">
        <v>569</v>
      </c>
      <c r="D159" s="761"/>
      <c r="E159" s="754"/>
      <c r="F159" s="754"/>
      <c r="G159" s="754"/>
      <c r="H159" s="754"/>
      <c r="I159" s="754"/>
      <c r="J159" s="754" t="s">
        <v>3017</v>
      </c>
      <c r="K159" s="754" t="s">
        <v>2935</v>
      </c>
      <c r="L159" s="754" t="s">
        <v>2935</v>
      </c>
      <c r="M159" s="754"/>
      <c r="N159" s="754"/>
      <c r="O159" s="754"/>
      <c r="P159" s="754"/>
      <c r="Q159" s="754"/>
      <c r="R159" s="771"/>
      <c r="S159" s="764"/>
      <c r="T159" s="783">
        <v>43591</v>
      </c>
      <c r="U159" s="771"/>
      <c r="V159" s="754"/>
      <c r="W159" s="763"/>
    </row>
    <row r="160" spans="1:23" s="75" customFormat="1" ht="14.25" customHeight="1">
      <c r="A160" s="767" t="s">
        <v>3006</v>
      </c>
      <c r="B160" s="767" t="s">
        <v>489</v>
      </c>
      <c r="C160" s="768" t="s">
        <v>3219</v>
      </c>
      <c r="D160" s="761"/>
      <c r="E160" s="754">
        <v>196475</v>
      </c>
      <c r="F160" s="754"/>
      <c r="G160" s="754"/>
      <c r="H160" s="754"/>
      <c r="I160" s="754"/>
      <c r="J160" s="754" t="s">
        <v>3017</v>
      </c>
      <c r="K160" s="754" t="s">
        <v>2935</v>
      </c>
      <c r="L160" s="754" t="s">
        <v>2935</v>
      </c>
      <c r="M160" s="754"/>
      <c r="N160" s="754"/>
      <c r="O160" s="754"/>
      <c r="P160" s="754"/>
      <c r="Q160" s="754"/>
      <c r="R160" s="771"/>
      <c r="S160" s="764"/>
      <c r="T160" s="783">
        <v>43591</v>
      </c>
      <c r="U160" s="771"/>
      <c r="V160" s="754"/>
      <c r="W160" s="763"/>
    </row>
    <row r="161" spans="1:23" s="75" customFormat="1" ht="14.25" customHeight="1">
      <c r="A161" s="767" t="s">
        <v>3006</v>
      </c>
      <c r="B161" s="767" t="s">
        <v>489</v>
      </c>
      <c r="C161" s="768" t="s">
        <v>3159</v>
      </c>
      <c r="D161" s="761"/>
      <c r="E161" s="754"/>
      <c r="F161" s="754"/>
      <c r="G161" s="754"/>
      <c r="H161" s="754"/>
      <c r="I161" s="754"/>
      <c r="J161" s="754" t="s">
        <v>3017</v>
      </c>
      <c r="K161" s="754" t="s">
        <v>2935</v>
      </c>
      <c r="L161" s="754" t="s">
        <v>2935</v>
      </c>
      <c r="M161" s="754"/>
      <c r="N161" s="754"/>
      <c r="O161" s="754"/>
      <c r="P161" s="754"/>
      <c r="Q161" s="754"/>
      <c r="R161" s="771"/>
      <c r="S161" s="764"/>
      <c r="T161" s="783">
        <v>43591</v>
      </c>
      <c r="U161" s="771"/>
      <c r="V161" s="754"/>
      <c r="W161" s="763"/>
    </row>
    <row r="162" spans="1:23" s="75" customFormat="1" ht="14.25" customHeight="1">
      <c r="A162" s="764" t="s">
        <v>3006</v>
      </c>
      <c r="B162" s="754" t="s">
        <v>489</v>
      </c>
      <c r="C162" s="754" t="s">
        <v>2869</v>
      </c>
      <c r="D162" s="637"/>
      <c r="E162" s="754"/>
      <c r="F162" s="754"/>
      <c r="G162" s="754"/>
      <c r="H162" s="754"/>
      <c r="I162" s="754"/>
      <c r="J162" s="754" t="s">
        <v>3017</v>
      </c>
      <c r="K162" s="754" t="s">
        <v>2935</v>
      </c>
      <c r="L162" s="754" t="s">
        <v>3016</v>
      </c>
      <c r="M162" s="754"/>
      <c r="N162" s="754"/>
      <c r="O162" s="754"/>
      <c r="P162" s="754"/>
      <c r="Q162" s="754"/>
      <c r="R162" s="763"/>
      <c r="S162" s="764"/>
      <c r="T162" s="783"/>
      <c r="U162" s="765" t="s">
        <v>2865</v>
      </c>
      <c r="V162" s="754"/>
      <c r="W162" s="754"/>
    </row>
    <row r="163" spans="1:23" s="75" customFormat="1" ht="14.25" customHeight="1">
      <c r="A163" s="764" t="s">
        <v>3006</v>
      </c>
      <c r="B163" s="754" t="s">
        <v>489</v>
      </c>
      <c r="C163" s="754" t="s">
        <v>492</v>
      </c>
      <c r="D163" s="637" t="s">
        <v>1693</v>
      </c>
      <c r="E163" s="754">
        <v>196496</v>
      </c>
      <c r="F163" s="754"/>
      <c r="G163" s="754"/>
      <c r="H163" s="754"/>
      <c r="I163" s="754"/>
      <c r="J163" s="754" t="s">
        <v>812</v>
      </c>
      <c r="K163" s="754" t="s">
        <v>812</v>
      </c>
      <c r="L163" s="754" t="s">
        <v>812</v>
      </c>
      <c r="M163" s="754" t="s">
        <v>312</v>
      </c>
      <c r="N163" s="754">
        <v>20.46477509</v>
      </c>
      <c r="O163" s="754">
        <v>93.269363400000003</v>
      </c>
      <c r="P163" s="754" t="s">
        <v>813</v>
      </c>
      <c r="Q163" s="754" t="s">
        <v>794</v>
      </c>
      <c r="R163" s="763"/>
      <c r="S163" s="764"/>
      <c r="T163" s="783"/>
      <c r="U163" s="765"/>
      <c r="V163" s="754" t="s">
        <v>492</v>
      </c>
      <c r="W163" s="754"/>
    </row>
    <row r="164" spans="1:23" s="75" customFormat="1" ht="14.25" customHeight="1">
      <c r="A164" s="764" t="s">
        <v>3006</v>
      </c>
      <c r="B164" s="754" t="s">
        <v>489</v>
      </c>
      <c r="C164" s="754" t="s">
        <v>490</v>
      </c>
      <c r="D164" s="637" t="s">
        <v>1693</v>
      </c>
      <c r="E164" s="754">
        <v>220626</v>
      </c>
      <c r="F164" s="754"/>
      <c r="G164" s="754"/>
      <c r="H164" s="754"/>
      <c r="I164" s="754"/>
      <c r="J164" s="754" t="s">
        <v>812</v>
      </c>
      <c r="K164" s="754" t="s">
        <v>812</v>
      </c>
      <c r="L164" s="754" t="s">
        <v>812</v>
      </c>
      <c r="M164" s="754" t="s">
        <v>312</v>
      </c>
      <c r="N164" s="754">
        <v>20.46252441</v>
      </c>
      <c r="O164" s="754">
        <v>93.257278439999993</v>
      </c>
      <c r="P164" s="754" t="s">
        <v>813</v>
      </c>
      <c r="Q164" s="754" t="s">
        <v>794</v>
      </c>
      <c r="R164" s="763"/>
      <c r="S164" s="764"/>
      <c r="T164" s="783"/>
      <c r="U164" s="765"/>
      <c r="V164" s="754" t="s">
        <v>912</v>
      </c>
      <c r="W164" s="754"/>
    </row>
    <row r="165" spans="1:23" s="75" customFormat="1" ht="14.25" customHeight="1">
      <c r="A165" s="764" t="s">
        <v>3006</v>
      </c>
      <c r="B165" s="760" t="s">
        <v>489</v>
      </c>
      <c r="C165" s="760" t="s">
        <v>3220</v>
      </c>
      <c r="D165" s="637"/>
      <c r="E165" s="754">
        <v>196661</v>
      </c>
      <c r="F165" s="754"/>
      <c r="G165" s="754"/>
      <c r="H165" s="754"/>
      <c r="I165" s="754"/>
      <c r="J165" s="754" t="s">
        <v>3017</v>
      </c>
      <c r="K165" s="754" t="s">
        <v>2935</v>
      </c>
      <c r="L165" s="754" t="s">
        <v>2935</v>
      </c>
      <c r="M165" s="754"/>
      <c r="N165" s="754">
        <v>20.829959869384801</v>
      </c>
      <c r="O165" s="754">
        <v>93.073478698730497</v>
      </c>
      <c r="P165" s="754"/>
      <c r="Q165" s="754"/>
      <c r="R165" s="763"/>
      <c r="S165" s="764"/>
      <c r="T165" s="783"/>
      <c r="U165" s="765"/>
      <c r="V165" s="754"/>
      <c r="W165" s="754"/>
    </row>
    <row r="166" spans="1:23" s="75" customFormat="1" ht="14.25" customHeight="1">
      <c r="A166" s="764" t="s">
        <v>3006</v>
      </c>
      <c r="B166" s="754" t="s">
        <v>489</v>
      </c>
      <c r="C166" s="754" t="s">
        <v>2868</v>
      </c>
      <c r="D166" s="637"/>
      <c r="E166" s="754"/>
      <c r="F166" s="754"/>
      <c r="G166" s="754"/>
      <c r="H166" s="754"/>
      <c r="I166" s="754"/>
      <c r="J166" s="754" t="s">
        <v>3017</v>
      </c>
      <c r="K166" s="754" t="s">
        <v>2935</v>
      </c>
      <c r="L166" s="754" t="s">
        <v>3016</v>
      </c>
      <c r="M166" s="754"/>
      <c r="N166" s="754"/>
      <c r="O166" s="754"/>
      <c r="P166" s="754"/>
      <c r="Q166" s="754"/>
      <c r="R166" s="763"/>
      <c r="S166" s="764"/>
      <c r="T166" s="783"/>
      <c r="U166" s="765" t="s">
        <v>2865</v>
      </c>
      <c r="V166" s="754"/>
      <c r="W166" s="754"/>
    </row>
    <row r="167" spans="1:23" s="75" customFormat="1" ht="14.25" customHeight="1">
      <c r="A167" s="764" t="s">
        <v>3006</v>
      </c>
      <c r="B167" s="754" t="s">
        <v>489</v>
      </c>
      <c r="C167" s="754" t="s">
        <v>2875</v>
      </c>
      <c r="D167" s="637"/>
      <c r="E167" s="754"/>
      <c r="F167" s="754"/>
      <c r="G167" s="754"/>
      <c r="H167" s="754"/>
      <c r="I167" s="754"/>
      <c r="J167" s="754" t="s">
        <v>3017</v>
      </c>
      <c r="K167" s="754" t="s">
        <v>2935</v>
      </c>
      <c r="L167" s="754" t="s">
        <v>2935</v>
      </c>
      <c r="M167" s="754"/>
      <c r="N167" s="754"/>
      <c r="O167" s="754"/>
      <c r="P167" s="754"/>
      <c r="Q167" s="754"/>
      <c r="R167" s="763"/>
      <c r="S167" s="764"/>
      <c r="T167" s="783"/>
      <c r="U167" s="765"/>
      <c r="V167" s="754"/>
      <c r="W167" s="754"/>
    </row>
    <row r="168" spans="1:23" s="75" customFormat="1" ht="14.25" customHeight="1">
      <c r="A168" s="767" t="s">
        <v>3006</v>
      </c>
      <c r="B168" s="767" t="s">
        <v>489</v>
      </c>
      <c r="C168" s="768" t="s">
        <v>3157</v>
      </c>
      <c r="D168" s="761"/>
      <c r="E168" s="754"/>
      <c r="F168" s="754"/>
      <c r="G168" s="754"/>
      <c r="H168" s="754"/>
      <c r="I168" s="754"/>
      <c r="J168" s="754" t="s">
        <v>3017</v>
      </c>
      <c r="K168" s="754" t="s">
        <v>2935</v>
      </c>
      <c r="L168" s="754" t="s">
        <v>2935</v>
      </c>
      <c r="M168" s="754"/>
      <c r="N168" s="754"/>
      <c r="O168" s="754"/>
      <c r="P168" s="754"/>
      <c r="Q168" s="754"/>
      <c r="R168" s="771"/>
      <c r="S168" s="764"/>
      <c r="T168" s="783">
        <v>43591</v>
      </c>
      <c r="U168" s="771"/>
      <c r="V168" s="754"/>
      <c r="W168" s="763"/>
    </row>
    <row r="169" spans="1:23" s="75" customFormat="1" ht="14.25" customHeight="1">
      <c r="A169" s="767" t="s">
        <v>3006</v>
      </c>
      <c r="B169" s="767" t="s">
        <v>489</v>
      </c>
      <c r="C169" s="768" t="s">
        <v>3160</v>
      </c>
      <c r="D169" s="761"/>
      <c r="E169" s="754">
        <v>196448</v>
      </c>
      <c r="F169" s="754"/>
      <c r="G169" s="754"/>
      <c r="H169" s="754"/>
      <c r="I169" s="754"/>
      <c r="J169" s="754" t="s">
        <v>3017</v>
      </c>
      <c r="K169" s="754" t="s">
        <v>2935</v>
      </c>
      <c r="L169" s="754" t="s">
        <v>2935</v>
      </c>
      <c r="M169" s="754"/>
      <c r="N169" s="754">
        <v>20.6728000640869</v>
      </c>
      <c r="O169" s="754">
        <v>93.243469238281307</v>
      </c>
      <c r="P169" s="754"/>
      <c r="Q169" s="754"/>
      <c r="R169" s="771"/>
      <c r="S169" s="764"/>
      <c r="T169" s="783">
        <v>43591</v>
      </c>
      <c r="U169" s="771"/>
      <c r="V169" s="754"/>
      <c r="W169" s="763"/>
    </row>
    <row r="170" spans="1:23" s="75" customFormat="1" ht="14.25" customHeight="1">
      <c r="A170" s="764" t="s">
        <v>3006</v>
      </c>
      <c r="B170" s="754" t="s">
        <v>489</v>
      </c>
      <c r="C170" s="754" t="s">
        <v>567</v>
      </c>
      <c r="D170" s="637" t="s">
        <v>1693</v>
      </c>
      <c r="E170" s="754">
        <v>196642</v>
      </c>
      <c r="F170" s="754"/>
      <c r="G170" s="754"/>
      <c r="H170" s="754"/>
      <c r="I170" s="754"/>
      <c r="J170" s="754" t="s">
        <v>812</v>
      </c>
      <c r="K170" s="754" t="s">
        <v>812</v>
      </c>
      <c r="L170" s="754" t="s">
        <v>812</v>
      </c>
      <c r="M170" s="754" t="s">
        <v>312</v>
      </c>
      <c r="N170" s="754">
        <v>20.70355034</v>
      </c>
      <c r="O170" s="754">
        <v>93.060462950000002</v>
      </c>
      <c r="P170" s="754" t="s">
        <v>813</v>
      </c>
      <c r="Q170" s="754" t="s">
        <v>794</v>
      </c>
      <c r="R170" s="763"/>
      <c r="S170" s="764"/>
      <c r="T170" s="783"/>
      <c r="U170" s="765"/>
      <c r="V170" s="754" t="s">
        <v>567</v>
      </c>
      <c r="W170" s="754"/>
    </row>
    <row r="171" spans="1:23" s="75" customFormat="1" ht="14.25" customHeight="1">
      <c r="A171" s="764" t="s">
        <v>3006</v>
      </c>
      <c r="B171" s="754" t="s">
        <v>489</v>
      </c>
      <c r="C171" s="754" t="s">
        <v>2872</v>
      </c>
      <c r="D171" s="637"/>
      <c r="E171" s="754"/>
      <c r="F171" s="754"/>
      <c r="G171" s="754"/>
      <c r="H171" s="754"/>
      <c r="I171" s="754"/>
      <c r="J171" s="754" t="s">
        <v>3017</v>
      </c>
      <c r="K171" s="754" t="s">
        <v>2935</v>
      </c>
      <c r="L171" s="754" t="s">
        <v>2935</v>
      </c>
      <c r="M171" s="754"/>
      <c r="N171" s="754"/>
      <c r="O171" s="754"/>
      <c r="P171" s="754"/>
      <c r="Q171" s="754"/>
      <c r="R171" s="763"/>
      <c r="S171" s="764"/>
      <c r="T171" s="783"/>
      <c r="U171" s="765"/>
      <c r="V171" s="754"/>
      <c r="W171" s="754"/>
    </row>
    <row r="172" spans="1:23" s="75" customFormat="1" ht="14.25" customHeight="1">
      <c r="A172" s="764" t="s">
        <v>3006</v>
      </c>
      <c r="B172" s="767" t="s">
        <v>489</v>
      </c>
      <c r="C172" s="760" t="s">
        <v>923</v>
      </c>
      <c r="D172" s="637" t="s">
        <v>3117</v>
      </c>
      <c r="E172" s="754" t="s">
        <v>1414</v>
      </c>
      <c r="F172" s="760" t="s">
        <v>1895</v>
      </c>
      <c r="G172" s="754" t="s">
        <v>1895</v>
      </c>
      <c r="H172" s="754"/>
      <c r="I172" s="754"/>
      <c r="J172" s="754" t="s">
        <v>812</v>
      </c>
      <c r="K172" s="754" t="s">
        <v>812</v>
      </c>
      <c r="L172" s="754" t="s">
        <v>897</v>
      </c>
      <c r="M172" s="754" t="s">
        <v>809</v>
      </c>
      <c r="N172" s="754">
        <v>20.576577</v>
      </c>
      <c r="O172" s="754">
        <v>93.245551000000006</v>
      </c>
      <c r="P172" s="754" t="s">
        <v>813</v>
      </c>
      <c r="Q172" s="760"/>
      <c r="R172" s="763">
        <v>204</v>
      </c>
      <c r="S172" s="764">
        <v>1265</v>
      </c>
      <c r="T172" s="784"/>
      <c r="U172" s="765" t="s">
        <v>874</v>
      </c>
      <c r="V172" s="754" t="s">
        <v>923</v>
      </c>
      <c r="W172" s="754"/>
    </row>
    <row r="173" spans="1:23" s="75" customFormat="1" ht="14.25" customHeight="1">
      <c r="A173" s="764" t="s">
        <v>3006</v>
      </c>
      <c r="B173" s="754" t="s">
        <v>489</v>
      </c>
      <c r="C173" s="754" t="s">
        <v>2874</v>
      </c>
      <c r="D173" s="637"/>
      <c r="E173" s="754"/>
      <c r="F173" s="754"/>
      <c r="G173" s="754"/>
      <c r="H173" s="754"/>
      <c r="I173" s="754"/>
      <c r="J173" s="754" t="s">
        <v>3017</v>
      </c>
      <c r="K173" s="754" t="s">
        <v>2935</v>
      </c>
      <c r="L173" s="754" t="s">
        <v>3016</v>
      </c>
      <c r="M173" s="754"/>
      <c r="N173" s="754"/>
      <c r="O173" s="754"/>
      <c r="P173" s="754"/>
      <c r="Q173" s="754"/>
      <c r="R173" s="763"/>
      <c r="S173" s="764"/>
      <c r="T173" s="783"/>
      <c r="U173" s="765" t="s">
        <v>2865</v>
      </c>
      <c r="V173" s="754"/>
      <c r="W173" s="754"/>
    </row>
    <row r="174" spans="1:23" s="75" customFormat="1" ht="14.25" customHeight="1">
      <c r="A174" s="764" t="s">
        <v>3006</v>
      </c>
      <c r="B174" s="754" t="s">
        <v>489</v>
      </c>
      <c r="C174" s="754" t="s">
        <v>2870</v>
      </c>
      <c r="D174" s="637"/>
      <c r="E174" s="754"/>
      <c r="F174" s="754"/>
      <c r="G174" s="754"/>
      <c r="H174" s="754"/>
      <c r="I174" s="754"/>
      <c r="J174" s="754" t="s">
        <v>3017</v>
      </c>
      <c r="K174" s="754" t="s">
        <v>2935</v>
      </c>
      <c r="L174" s="754" t="s">
        <v>3016</v>
      </c>
      <c r="M174" s="754"/>
      <c r="N174" s="754"/>
      <c r="O174" s="754"/>
      <c r="P174" s="754"/>
      <c r="Q174" s="754"/>
      <c r="R174" s="763"/>
      <c r="S174" s="764"/>
      <c r="T174" s="783"/>
      <c r="U174" s="765" t="s">
        <v>2865</v>
      </c>
      <c r="V174" s="754"/>
      <c r="W174" s="754"/>
    </row>
    <row r="175" spans="1:23" s="75" customFormat="1" ht="14.25" customHeight="1">
      <c r="A175" s="767" t="s">
        <v>3006</v>
      </c>
      <c r="B175" s="767" t="s">
        <v>489</v>
      </c>
      <c r="C175" s="768" t="s">
        <v>3151</v>
      </c>
      <c r="D175" s="761"/>
      <c r="E175" s="754"/>
      <c r="F175" s="754"/>
      <c r="G175" s="754"/>
      <c r="H175" s="754"/>
      <c r="I175" s="754"/>
      <c r="J175" s="754" t="s">
        <v>3017</v>
      </c>
      <c r="K175" s="754" t="s">
        <v>2935</v>
      </c>
      <c r="L175" s="754" t="s">
        <v>2935</v>
      </c>
      <c r="M175" s="754"/>
      <c r="N175" s="754"/>
      <c r="O175" s="754"/>
      <c r="P175" s="754"/>
      <c r="Q175" s="754"/>
      <c r="R175" s="771"/>
      <c r="S175" s="764"/>
      <c r="T175" s="783">
        <v>43591</v>
      </c>
      <c r="U175" s="771"/>
      <c r="V175" s="754"/>
      <c r="W175" s="763"/>
    </row>
    <row r="176" spans="1:23" s="75" customFormat="1" ht="14.25" customHeight="1">
      <c r="A176" s="764" t="s">
        <v>3006</v>
      </c>
      <c r="B176" s="767" t="s">
        <v>489</v>
      </c>
      <c r="C176" s="760" t="s">
        <v>926</v>
      </c>
      <c r="D176" s="638" t="s">
        <v>1693</v>
      </c>
      <c r="E176" s="760">
        <v>196429</v>
      </c>
      <c r="F176" s="760"/>
      <c r="G176" s="760"/>
      <c r="H176" s="760"/>
      <c r="I176" s="760"/>
      <c r="J176" s="754" t="s">
        <v>812</v>
      </c>
      <c r="K176" s="754" t="s">
        <v>812</v>
      </c>
      <c r="L176" s="754" t="s">
        <v>812</v>
      </c>
      <c r="M176" s="760" t="s">
        <v>312</v>
      </c>
      <c r="N176" s="760">
        <v>20.58151054</v>
      </c>
      <c r="O176" s="760">
        <v>93.24609375</v>
      </c>
      <c r="P176" s="754" t="s">
        <v>813</v>
      </c>
      <c r="Q176" s="760"/>
      <c r="R176" s="772"/>
      <c r="S176" s="768"/>
      <c r="T176" s="784"/>
      <c r="U176" s="769"/>
      <c r="V176" s="760" t="s">
        <v>926</v>
      </c>
      <c r="W176" s="754"/>
    </row>
    <row r="177" spans="1:23" s="75" customFormat="1" ht="14.25" customHeight="1">
      <c r="A177" s="764" t="s">
        <v>3006</v>
      </c>
      <c r="B177" s="760" t="s">
        <v>489</v>
      </c>
      <c r="C177" s="760" t="s">
        <v>931</v>
      </c>
      <c r="D177" s="637" t="s">
        <v>3117</v>
      </c>
      <c r="E177" s="754" t="s">
        <v>1416</v>
      </c>
      <c r="F177" s="754" t="s">
        <v>509</v>
      </c>
      <c r="G177" s="754" t="s">
        <v>1896</v>
      </c>
      <c r="H177" s="754"/>
      <c r="I177" s="754"/>
      <c r="J177" s="754" t="s">
        <v>812</v>
      </c>
      <c r="K177" s="754" t="s">
        <v>812</v>
      </c>
      <c r="L177" s="754" t="s">
        <v>835</v>
      </c>
      <c r="M177" s="754" t="s">
        <v>312</v>
      </c>
      <c r="N177" s="754">
        <v>20.61692</v>
      </c>
      <c r="O177" s="754">
        <v>93.239519999999999</v>
      </c>
      <c r="P177" s="754" t="s">
        <v>813</v>
      </c>
      <c r="Q177" s="754"/>
      <c r="R177" s="763">
        <v>10</v>
      </c>
      <c r="S177" s="764">
        <v>64</v>
      </c>
      <c r="T177" s="783"/>
      <c r="U177" s="765" t="s">
        <v>874</v>
      </c>
      <c r="V177" s="754" t="s">
        <v>931</v>
      </c>
      <c r="W177" s="754"/>
    </row>
    <row r="178" spans="1:23" s="75" customFormat="1" ht="14.25" customHeight="1">
      <c r="A178" s="764" t="s">
        <v>3006</v>
      </c>
      <c r="B178" s="760" t="s">
        <v>489</v>
      </c>
      <c r="C178" s="760" t="s">
        <v>2867</v>
      </c>
      <c r="D178" s="637"/>
      <c r="E178" s="754">
        <v>196465</v>
      </c>
      <c r="F178" s="754"/>
      <c r="G178" s="754"/>
      <c r="H178" s="754"/>
      <c r="I178" s="754"/>
      <c r="J178" s="754" t="s">
        <v>3017</v>
      </c>
      <c r="K178" s="754" t="s">
        <v>2935</v>
      </c>
      <c r="L178" s="754" t="s">
        <v>2935</v>
      </c>
      <c r="M178" s="754"/>
      <c r="N178" s="754">
        <v>20.7270202636719</v>
      </c>
      <c r="O178" s="754">
        <v>93.249069213867202</v>
      </c>
      <c r="P178" s="754"/>
      <c r="Q178" s="754"/>
      <c r="R178" s="763"/>
      <c r="S178" s="764"/>
      <c r="T178" s="783"/>
      <c r="U178" s="765"/>
      <c r="V178" s="754"/>
      <c r="W178" s="754"/>
    </row>
    <row r="179" spans="1:23" s="75" customFormat="1" ht="14.25" customHeight="1">
      <c r="A179" s="764" t="s">
        <v>3006</v>
      </c>
      <c r="B179" s="760" t="s">
        <v>489</v>
      </c>
      <c r="C179" s="760" t="s">
        <v>2866</v>
      </c>
      <c r="D179" s="637"/>
      <c r="E179" s="754"/>
      <c r="F179" s="760"/>
      <c r="G179" s="754"/>
      <c r="H179" s="754"/>
      <c r="I179" s="754"/>
      <c r="J179" s="754" t="s">
        <v>3017</v>
      </c>
      <c r="K179" s="754" t="s">
        <v>2935</v>
      </c>
      <c r="L179" s="754" t="s">
        <v>3016</v>
      </c>
      <c r="M179" s="754"/>
      <c r="N179" s="754"/>
      <c r="O179" s="754"/>
      <c r="P179" s="754"/>
      <c r="Q179" s="754"/>
      <c r="R179" s="763"/>
      <c r="S179" s="764"/>
      <c r="T179" s="783"/>
      <c r="U179" s="765" t="s">
        <v>2865</v>
      </c>
      <c r="V179" s="754"/>
      <c r="W179" s="754"/>
    </row>
    <row r="180" spans="1:23" s="75" customFormat="1" ht="14.25" customHeight="1">
      <c r="A180" s="764" t="s">
        <v>3006</v>
      </c>
      <c r="B180" s="760" t="s">
        <v>489</v>
      </c>
      <c r="C180" s="760" t="s">
        <v>2873</v>
      </c>
      <c r="D180" s="637"/>
      <c r="E180" s="754"/>
      <c r="F180" s="754"/>
      <c r="G180" s="754"/>
      <c r="H180" s="754"/>
      <c r="I180" s="754"/>
      <c r="J180" s="754" t="s">
        <v>3017</v>
      </c>
      <c r="K180" s="754" t="s">
        <v>2935</v>
      </c>
      <c r="L180" s="754" t="s">
        <v>2935</v>
      </c>
      <c r="M180" s="754"/>
      <c r="N180" s="754"/>
      <c r="O180" s="754"/>
      <c r="P180" s="754"/>
      <c r="Q180" s="754"/>
      <c r="R180" s="763"/>
      <c r="S180" s="764"/>
      <c r="T180" s="783"/>
      <c r="U180" s="765"/>
      <c r="V180" s="754"/>
      <c r="W180" s="754"/>
    </row>
    <row r="181" spans="1:23" s="75" customFormat="1" ht="14.25" customHeight="1">
      <c r="A181" s="764" t="s">
        <v>3006</v>
      </c>
      <c r="B181" s="760" t="s">
        <v>489</v>
      </c>
      <c r="C181" s="760" t="s">
        <v>3221</v>
      </c>
      <c r="D181" s="637"/>
      <c r="E181" s="754">
        <v>196453</v>
      </c>
      <c r="F181" s="760"/>
      <c r="G181" s="754"/>
      <c r="H181" s="754"/>
      <c r="I181" s="754"/>
      <c r="J181" s="754" t="s">
        <v>3017</v>
      </c>
      <c r="K181" s="754" t="s">
        <v>2935</v>
      </c>
      <c r="L181" s="754" t="s">
        <v>2935</v>
      </c>
      <c r="M181" s="754"/>
      <c r="N181" s="754">
        <v>20.686229705810501</v>
      </c>
      <c r="O181" s="754">
        <v>93.220001220703097</v>
      </c>
      <c r="P181" s="754"/>
      <c r="Q181" s="754"/>
      <c r="R181" s="767"/>
      <c r="S181" s="768"/>
      <c r="T181" s="783"/>
      <c r="U181" s="765"/>
      <c r="V181" s="754"/>
      <c r="W181" s="754"/>
    </row>
    <row r="182" spans="1:23" s="75" customFormat="1" ht="14.25" customHeight="1">
      <c r="A182" s="764" t="s">
        <v>3006</v>
      </c>
      <c r="B182" s="760" t="s">
        <v>489</v>
      </c>
      <c r="C182" s="760" t="s">
        <v>3222</v>
      </c>
      <c r="D182" s="637"/>
      <c r="E182" s="754">
        <v>196453</v>
      </c>
      <c r="F182" s="754"/>
      <c r="G182" s="754"/>
      <c r="H182" s="754"/>
      <c r="I182" s="754"/>
      <c r="J182" s="754" t="s">
        <v>3017</v>
      </c>
      <c r="K182" s="754" t="s">
        <v>2935</v>
      </c>
      <c r="L182" s="754" t="s">
        <v>2935</v>
      </c>
      <c r="M182" s="754"/>
      <c r="N182" s="754">
        <v>20.686229705810501</v>
      </c>
      <c r="O182" s="754">
        <v>93.220001220703097</v>
      </c>
      <c r="P182" s="754"/>
      <c r="Q182" s="754"/>
      <c r="R182" s="767"/>
      <c r="S182" s="768"/>
      <c r="T182" s="783"/>
      <c r="U182" s="765"/>
      <c r="V182" s="754"/>
      <c r="W182" s="754"/>
    </row>
    <row r="183" spans="1:23" s="75" customFormat="1" ht="14.25" customHeight="1">
      <c r="A183" s="764" t="s">
        <v>3006</v>
      </c>
      <c r="B183" s="760" t="s">
        <v>489</v>
      </c>
      <c r="C183" s="760" t="s">
        <v>2877</v>
      </c>
      <c r="D183" s="637"/>
      <c r="E183" s="754">
        <v>196464</v>
      </c>
      <c r="F183" s="754"/>
      <c r="G183" s="754"/>
      <c r="H183" s="754"/>
      <c r="I183" s="754"/>
      <c r="J183" s="754" t="s">
        <v>3017</v>
      </c>
      <c r="K183" s="754" t="s">
        <v>2935</v>
      </c>
      <c r="L183" s="754" t="s">
        <v>2935</v>
      </c>
      <c r="M183" s="754"/>
      <c r="N183" s="754">
        <v>20.7529296875</v>
      </c>
      <c r="O183" s="754">
        <v>93.267311096191406</v>
      </c>
      <c r="P183" s="754"/>
      <c r="Q183" s="754"/>
      <c r="R183" s="763"/>
      <c r="S183" s="764"/>
      <c r="T183" s="783"/>
      <c r="U183" s="765"/>
      <c r="V183" s="754"/>
      <c r="W183" s="754"/>
    </row>
    <row r="184" spans="1:23" s="75" customFormat="1" ht="14.25" customHeight="1">
      <c r="A184" s="764" t="s">
        <v>3006</v>
      </c>
      <c r="B184" s="760" t="s">
        <v>489</v>
      </c>
      <c r="C184" s="760" t="s">
        <v>2878</v>
      </c>
      <c r="D184" s="637"/>
      <c r="E184" s="754"/>
      <c r="F184" s="754"/>
      <c r="G184" s="754"/>
      <c r="H184" s="754"/>
      <c r="I184" s="754"/>
      <c r="J184" s="754" t="s">
        <v>3017</v>
      </c>
      <c r="K184" s="754" t="s">
        <v>2935</v>
      </c>
      <c r="L184" s="754" t="s">
        <v>2935</v>
      </c>
      <c r="M184" s="754"/>
      <c r="N184" s="754"/>
      <c r="O184" s="754"/>
      <c r="P184" s="754"/>
      <c r="Q184" s="754"/>
      <c r="R184" s="763"/>
      <c r="S184" s="764"/>
      <c r="T184" s="783"/>
      <c r="U184" s="765"/>
      <c r="V184" s="754"/>
      <c r="W184" s="754"/>
    </row>
    <row r="185" spans="1:23" s="75" customFormat="1" ht="14.25" customHeight="1">
      <c r="A185" s="767" t="s">
        <v>3006</v>
      </c>
      <c r="B185" s="767" t="s">
        <v>489</v>
      </c>
      <c r="C185" s="768" t="s">
        <v>3150</v>
      </c>
      <c r="D185" s="761"/>
      <c r="E185" s="754">
        <v>196645</v>
      </c>
      <c r="F185" s="754"/>
      <c r="G185" s="754"/>
      <c r="H185" s="754"/>
      <c r="I185" s="754"/>
      <c r="J185" s="754" t="s">
        <v>3017</v>
      </c>
      <c r="K185" s="754" t="s">
        <v>2935</v>
      </c>
      <c r="L185" s="754" t="s">
        <v>2935</v>
      </c>
      <c r="M185" s="754"/>
      <c r="N185" s="754">
        <v>20.718429565429702</v>
      </c>
      <c r="O185" s="754">
        <v>93.059432983398395</v>
      </c>
      <c r="P185" s="754"/>
      <c r="Q185" s="754"/>
      <c r="R185" s="771"/>
      <c r="S185" s="764"/>
      <c r="T185" s="783">
        <v>43591</v>
      </c>
      <c r="U185" s="771"/>
      <c r="V185" s="754"/>
      <c r="W185" s="763"/>
    </row>
    <row r="186" spans="1:23" s="75" customFormat="1" ht="14.25" customHeight="1">
      <c r="A186" s="767" t="s">
        <v>3006</v>
      </c>
      <c r="B186" s="767" t="s">
        <v>489</v>
      </c>
      <c r="C186" s="768" t="s">
        <v>3158</v>
      </c>
      <c r="D186" s="761"/>
      <c r="E186" s="754"/>
      <c r="F186" s="754"/>
      <c r="G186" s="754"/>
      <c r="H186" s="754"/>
      <c r="I186" s="754"/>
      <c r="J186" s="754" t="s">
        <v>3017</v>
      </c>
      <c r="K186" s="754" t="s">
        <v>2935</v>
      </c>
      <c r="L186" s="754" t="s">
        <v>2935</v>
      </c>
      <c r="M186" s="754"/>
      <c r="N186" s="754"/>
      <c r="O186" s="754"/>
      <c r="P186" s="754"/>
      <c r="Q186" s="754"/>
      <c r="R186" s="771"/>
      <c r="S186" s="764"/>
      <c r="T186" s="783">
        <v>43591</v>
      </c>
      <c r="U186" s="771"/>
      <c r="V186" s="754"/>
      <c r="W186" s="763"/>
    </row>
    <row r="187" spans="1:23" s="75" customFormat="1" ht="14.25" customHeight="1">
      <c r="A187" s="764" t="s">
        <v>3006</v>
      </c>
      <c r="B187" s="760" t="s">
        <v>489</v>
      </c>
      <c r="C187" s="760" t="s">
        <v>916</v>
      </c>
      <c r="D187" s="637" t="s">
        <v>3117</v>
      </c>
      <c r="E187" s="754" t="s">
        <v>1411</v>
      </c>
      <c r="F187" s="754" t="s">
        <v>1893</v>
      </c>
      <c r="G187" s="754" t="s">
        <v>916</v>
      </c>
      <c r="H187" s="754"/>
      <c r="I187" s="754"/>
      <c r="J187" s="754" t="s">
        <v>812</v>
      </c>
      <c r="K187" s="754" t="s">
        <v>812</v>
      </c>
      <c r="L187" s="754" t="s">
        <v>835</v>
      </c>
      <c r="M187" s="754" t="s">
        <v>312</v>
      </c>
      <c r="N187" s="754">
        <v>20.495086000000001</v>
      </c>
      <c r="O187" s="754">
        <v>93.246863000000005</v>
      </c>
      <c r="P187" s="754" t="s">
        <v>813</v>
      </c>
      <c r="Q187" s="754"/>
      <c r="R187" s="763">
        <v>32</v>
      </c>
      <c r="S187" s="764">
        <v>131</v>
      </c>
      <c r="T187" s="783"/>
      <c r="U187" s="765" t="s">
        <v>874</v>
      </c>
      <c r="V187" s="754" t="s">
        <v>917</v>
      </c>
      <c r="W187" s="754"/>
    </row>
    <row r="188" spans="1:23" s="75" customFormat="1" ht="14.25" customHeight="1">
      <c r="A188" s="767" t="s">
        <v>3006</v>
      </c>
      <c r="B188" s="767" t="s">
        <v>489</v>
      </c>
      <c r="C188" s="768" t="s">
        <v>3148</v>
      </c>
      <c r="D188" s="761"/>
      <c r="E188" s="754">
        <v>196626</v>
      </c>
      <c r="F188" s="754"/>
      <c r="G188" s="754"/>
      <c r="H188" s="754"/>
      <c r="I188" s="754"/>
      <c r="J188" s="754" t="s">
        <v>3017</v>
      </c>
      <c r="K188" s="754" t="s">
        <v>2935</v>
      </c>
      <c r="L188" s="754" t="s">
        <v>2935</v>
      </c>
      <c r="M188" s="754"/>
      <c r="N188" s="754">
        <v>20.648319244384801</v>
      </c>
      <c r="O188" s="754">
        <v>93.085273742675795</v>
      </c>
      <c r="P188" s="754"/>
      <c r="Q188" s="754"/>
      <c r="R188" s="771"/>
      <c r="S188" s="764"/>
      <c r="T188" s="783">
        <v>43591</v>
      </c>
      <c r="U188" s="771"/>
      <c r="V188" s="754"/>
      <c r="W188" s="763"/>
    </row>
    <row r="189" spans="1:23" s="75" customFormat="1" ht="14.25" customHeight="1">
      <c r="A189" s="767" t="s">
        <v>3006</v>
      </c>
      <c r="B189" s="767" t="s">
        <v>489</v>
      </c>
      <c r="C189" s="768" t="s">
        <v>3145</v>
      </c>
      <c r="D189" s="761"/>
      <c r="E189" s="754"/>
      <c r="F189" s="754"/>
      <c r="G189" s="754"/>
      <c r="H189" s="754"/>
      <c r="I189" s="754"/>
      <c r="J189" s="754" t="s">
        <v>3017</v>
      </c>
      <c r="K189" s="754" t="s">
        <v>2935</v>
      </c>
      <c r="L189" s="754" t="s">
        <v>2935</v>
      </c>
      <c r="M189" s="754"/>
      <c r="N189" s="754"/>
      <c r="O189" s="754"/>
      <c r="P189" s="754"/>
      <c r="Q189" s="754"/>
      <c r="R189" s="771"/>
      <c r="S189" s="764"/>
      <c r="T189" s="783">
        <v>43591</v>
      </c>
      <c r="U189" s="771"/>
      <c r="V189" s="754"/>
      <c r="W189" s="763"/>
    </row>
    <row r="190" spans="1:23" s="75" customFormat="1" ht="14.25" customHeight="1">
      <c r="A190" s="767" t="s">
        <v>3006</v>
      </c>
      <c r="B190" s="767" t="s">
        <v>489</v>
      </c>
      <c r="C190" s="768" t="s">
        <v>3147</v>
      </c>
      <c r="D190" s="761"/>
      <c r="E190" s="754">
        <v>196621</v>
      </c>
      <c r="F190" s="754"/>
      <c r="G190" s="754"/>
      <c r="H190" s="754"/>
      <c r="I190" s="754"/>
      <c r="J190" s="754" t="s">
        <v>3017</v>
      </c>
      <c r="K190" s="754" t="s">
        <v>2935</v>
      </c>
      <c r="L190" s="754" t="s">
        <v>2935</v>
      </c>
      <c r="M190" s="754"/>
      <c r="N190" s="754">
        <v>20.675979614257798</v>
      </c>
      <c r="O190" s="754">
        <v>93.098922729492202</v>
      </c>
      <c r="P190" s="754"/>
      <c r="Q190" s="754"/>
      <c r="R190" s="771"/>
      <c r="S190" s="764"/>
      <c r="T190" s="783">
        <v>43591</v>
      </c>
      <c r="U190" s="771"/>
      <c r="V190" s="754"/>
      <c r="W190" s="763"/>
    </row>
    <row r="191" spans="1:23" s="75" customFormat="1" ht="14.25" customHeight="1">
      <c r="A191" s="764" t="s">
        <v>3006</v>
      </c>
      <c r="B191" s="760" t="s">
        <v>489</v>
      </c>
      <c r="C191" s="760" t="s">
        <v>2871</v>
      </c>
      <c r="D191" s="637"/>
      <c r="E191" s="754"/>
      <c r="F191" s="754"/>
      <c r="G191" s="754"/>
      <c r="H191" s="754"/>
      <c r="I191" s="754"/>
      <c r="J191" s="754" t="s">
        <v>3017</v>
      </c>
      <c r="K191" s="754" t="s">
        <v>2935</v>
      </c>
      <c r="L191" s="754" t="s">
        <v>2935</v>
      </c>
      <c r="M191" s="754"/>
      <c r="N191" s="754"/>
      <c r="O191" s="754"/>
      <c r="P191" s="754"/>
      <c r="Q191" s="754"/>
      <c r="R191" s="763"/>
      <c r="S191" s="764"/>
      <c r="T191" s="783"/>
      <c r="U191" s="765"/>
      <c r="V191" s="754"/>
      <c r="W191" s="754"/>
    </row>
    <row r="192" spans="1:23" s="75" customFormat="1" ht="14.25" customHeight="1">
      <c r="A192" s="767" t="s">
        <v>3006</v>
      </c>
      <c r="B192" s="767" t="s">
        <v>489</v>
      </c>
      <c r="C192" s="768" t="s">
        <v>3144</v>
      </c>
      <c r="D192" s="761"/>
      <c r="E192" s="754"/>
      <c r="F192" s="754"/>
      <c r="G192" s="754"/>
      <c r="H192" s="754"/>
      <c r="I192" s="754"/>
      <c r="J192" s="754" t="s">
        <v>3017</v>
      </c>
      <c r="K192" s="754" t="s">
        <v>2935</v>
      </c>
      <c r="L192" s="754" t="s">
        <v>2935</v>
      </c>
      <c r="M192" s="754"/>
      <c r="N192" s="754"/>
      <c r="O192" s="754"/>
      <c r="P192" s="754"/>
      <c r="Q192" s="754"/>
      <c r="R192" s="771"/>
      <c r="S192" s="764"/>
      <c r="T192" s="783">
        <v>43591</v>
      </c>
      <c r="U192" s="771"/>
      <c r="V192" s="754"/>
      <c r="W192" s="763"/>
    </row>
    <row r="193" spans="1:23" s="75" customFormat="1" ht="14.25" customHeight="1">
      <c r="A193" s="767" t="s">
        <v>3006</v>
      </c>
      <c r="B193" s="767" t="s">
        <v>489</v>
      </c>
      <c r="C193" s="768" t="s">
        <v>3149</v>
      </c>
      <c r="D193" s="761"/>
      <c r="E193" s="754">
        <v>196636</v>
      </c>
      <c r="F193" s="754"/>
      <c r="G193" s="754"/>
      <c r="H193" s="754"/>
      <c r="I193" s="754"/>
      <c r="J193" s="754" t="s">
        <v>3017</v>
      </c>
      <c r="K193" s="754" t="s">
        <v>2935</v>
      </c>
      <c r="L193" s="754" t="s">
        <v>2935</v>
      </c>
      <c r="M193" s="754"/>
      <c r="N193" s="754">
        <v>20.6698608398438</v>
      </c>
      <c r="O193" s="754">
        <v>93.087516784667997</v>
      </c>
      <c r="P193" s="754"/>
      <c r="Q193" s="754"/>
      <c r="R193" s="771"/>
      <c r="S193" s="764"/>
      <c r="T193" s="783">
        <v>43591</v>
      </c>
      <c r="U193" s="771"/>
      <c r="V193" s="754"/>
      <c r="W193" s="763"/>
    </row>
    <row r="194" spans="1:23" s="75" customFormat="1" ht="14.25" customHeight="1">
      <c r="A194" s="764" t="s">
        <v>3006</v>
      </c>
      <c r="B194" s="760" t="s">
        <v>489</v>
      </c>
      <c r="C194" s="760" t="s">
        <v>918</v>
      </c>
      <c r="D194" s="637" t="s">
        <v>3117</v>
      </c>
      <c r="E194" s="754" t="s">
        <v>1412</v>
      </c>
      <c r="F194" s="754" t="s">
        <v>1894</v>
      </c>
      <c r="G194" s="754" t="s">
        <v>1894</v>
      </c>
      <c r="H194" s="754"/>
      <c r="I194" s="754"/>
      <c r="J194" s="754" t="s">
        <v>812</v>
      </c>
      <c r="K194" s="754" t="s">
        <v>812</v>
      </c>
      <c r="L194" s="754" t="s">
        <v>897</v>
      </c>
      <c r="M194" s="754" t="s">
        <v>809</v>
      </c>
      <c r="N194" s="754">
        <v>20.501757999999999</v>
      </c>
      <c r="O194" s="754">
        <v>93.217039999999997</v>
      </c>
      <c r="P194" s="754" t="s">
        <v>813</v>
      </c>
      <c r="Q194" s="754"/>
      <c r="R194" s="763">
        <v>365</v>
      </c>
      <c r="S194" s="764">
        <v>2366</v>
      </c>
      <c r="T194" s="783"/>
      <c r="U194" s="765" t="s">
        <v>874</v>
      </c>
      <c r="V194" s="754" t="s">
        <v>919</v>
      </c>
      <c r="W194" s="760"/>
    </row>
    <row r="195" spans="1:23" s="75" customFormat="1" ht="14.25" customHeight="1">
      <c r="A195" s="767" t="s">
        <v>3006</v>
      </c>
      <c r="B195" s="767" t="s">
        <v>489</v>
      </c>
      <c r="C195" s="768" t="s">
        <v>3146</v>
      </c>
      <c r="D195" s="761"/>
      <c r="E195" s="754">
        <v>196622</v>
      </c>
      <c r="F195" s="754"/>
      <c r="G195" s="754"/>
      <c r="H195" s="754"/>
      <c r="I195" s="754"/>
      <c r="J195" s="754" t="s">
        <v>3017</v>
      </c>
      <c r="K195" s="754" t="s">
        <v>2935</v>
      </c>
      <c r="L195" s="754" t="s">
        <v>2935</v>
      </c>
      <c r="M195" s="754"/>
      <c r="N195" s="754">
        <v>20.666166305541999</v>
      </c>
      <c r="O195" s="754">
        <v>93.094825744628906</v>
      </c>
      <c r="P195" s="754"/>
      <c r="Q195" s="754"/>
      <c r="R195" s="771"/>
      <c r="S195" s="764"/>
      <c r="T195" s="783">
        <v>43591</v>
      </c>
      <c r="U195" s="771"/>
      <c r="V195" s="754"/>
      <c r="W195" s="763"/>
    </row>
    <row r="196" spans="1:23" s="75" customFormat="1" ht="14.25" customHeight="1">
      <c r="A196" s="764" t="s">
        <v>3006</v>
      </c>
      <c r="B196" s="760" t="s">
        <v>417</v>
      </c>
      <c r="C196" s="760" t="s">
        <v>830</v>
      </c>
      <c r="D196" s="637" t="s">
        <v>1693</v>
      </c>
      <c r="E196" s="754">
        <v>197254</v>
      </c>
      <c r="F196" s="754"/>
      <c r="G196" s="754"/>
      <c r="H196" s="754"/>
      <c r="I196" s="754"/>
      <c r="J196" s="754" t="s">
        <v>812</v>
      </c>
      <c r="K196" s="754" t="s">
        <v>812</v>
      </c>
      <c r="L196" s="754" t="s">
        <v>812</v>
      </c>
      <c r="M196" s="754" t="s">
        <v>312</v>
      </c>
      <c r="N196" s="754">
        <v>20.021469119999999</v>
      </c>
      <c r="O196" s="754">
        <v>93.367980959999997</v>
      </c>
      <c r="P196" s="754" t="s">
        <v>813</v>
      </c>
      <c r="Q196" s="754"/>
      <c r="R196" s="767"/>
      <c r="S196" s="768"/>
      <c r="T196" s="783"/>
      <c r="U196" s="765"/>
      <c r="V196" s="754" t="s">
        <v>830</v>
      </c>
      <c r="W196" s="754"/>
    </row>
    <row r="197" spans="1:23" s="75" customFormat="1" ht="14.25" customHeight="1">
      <c r="A197" s="764" t="s">
        <v>3006</v>
      </c>
      <c r="B197" s="760" t="s">
        <v>417</v>
      </c>
      <c r="C197" s="760" t="s">
        <v>831</v>
      </c>
      <c r="D197" s="637" t="s">
        <v>1693</v>
      </c>
      <c r="E197" s="754">
        <v>197253</v>
      </c>
      <c r="F197" s="760"/>
      <c r="G197" s="754"/>
      <c r="H197" s="754"/>
      <c r="I197" s="754"/>
      <c r="J197" s="754" t="s">
        <v>812</v>
      </c>
      <c r="K197" s="754" t="s">
        <v>812</v>
      </c>
      <c r="L197" s="754" t="s">
        <v>812</v>
      </c>
      <c r="M197" s="754" t="s">
        <v>312</v>
      </c>
      <c r="N197" s="754">
        <v>20.023879999999998</v>
      </c>
      <c r="O197" s="754">
        <v>93.376663210000004</v>
      </c>
      <c r="P197" s="754" t="s">
        <v>813</v>
      </c>
      <c r="Q197" s="754"/>
      <c r="R197" s="767"/>
      <c r="S197" s="768"/>
      <c r="T197" s="783"/>
      <c r="U197" s="765"/>
      <c r="V197" s="754" t="s">
        <v>831</v>
      </c>
      <c r="W197" s="754"/>
    </row>
    <row r="198" spans="1:23" s="75" customFormat="1" ht="14.25" customHeight="1">
      <c r="A198" s="764" t="s">
        <v>3006</v>
      </c>
      <c r="B198" s="760" t="s">
        <v>417</v>
      </c>
      <c r="C198" s="760" t="s">
        <v>833</v>
      </c>
      <c r="D198" s="637" t="s">
        <v>1693</v>
      </c>
      <c r="E198" s="754">
        <v>217974</v>
      </c>
      <c r="F198" s="760"/>
      <c r="G198" s="754"/>
      <c r="H198" s="754"/>
      <c r="I198" s="754"/>
      <c r="J198" s="754" t="s">
        <v>812</v>
      </c>
      <c r="K198" s="754" t="s">
        <v>812</v>
      </c>
      <c r="L198" s="754" t="s">
        <v>812</v>
      </c>
      <c r="M198" s="754" t="s">
        <v>312</v>
      </c>
      <c r="N198" s="754">
        <v>20.032299999999999</v>
      </c>
      <c r="O198" s="754">
        <v>93.375100000000003</v>
      </c>
      <c r="P198" s="754" t="s">
        <v>813</v>
      </c>
      <c r="Q198" s="754"/>
      <c r="R198" s="767"/>
      <c r="S198" s="768"/>
      <c r="T198" s="783"/>
      <c r="U198" s="765"/>
      <c r="V198" s="754" t="s">
        <v>833</v>
      </c>
      <c r="W198" s="754"/>
    </row>
    <row r="199" spans="1:23" s="75" customFormat="1" ht="14.25" customHeight="1">
      <c r="A199" s="764" t="s">
        <v>3006</v>
      </c>
      <c r="B199" s="760" t="s">
        <v>417</v>
      </c>
      <c r="C199" s="760" t="s">
        <v>848</v>
      </c>
      <c r="D199" s="637" t="s">
        <v>1693</v>
      </c>
      <c r="E199" s="754">
        <v>197279</v>
      </c>
      <c r="F199" s="754"/>
      <c r="G199" s="754"/>
      <c r="H199" s="754"/>
      <c r="I199" s="754"/>
      <c r="J199" s="754" t="s">
        <v>812</v>
      </c>
      <c r="K199" s="754" t="s">
        <v>812</v>
      </c>
      <c r="L199" s="754" t="s">
        <v>812</v>
      </c>
      <c r="M199" s="754" t="s">
        <v>312</v>
      </c>
      <c r="N199" s="754">
        <v>20.100000000000001</v>
      </c>
      <c r="O199" s="754">
        <v>93.35</v>
      </c>
      <c r="P199" s="754" t="s">
        <v>813</v>
      </c>
      <c r="Q199" s="754"/>
      <c r="R199" s="767"/>
      <c r="S199" s="768"/>
      <c r="T199" s="783"/>
      <c r="U199" s="765"/>
      <c r="V199" s="754" t="s">
        <v>848</v>
      </c>
      <c r="W199" s="754"/>
    </row>
    <row r="200" spans="1:23" s="75" customFormat="1" ht="14.25" customHeight="1">
      <c r="A200" s="764" t="s">
        <v>3006</v>
      </c>
      <c r="B200" s="760" t="s">
        <v>417</v>
      </c>
      <c r="C200" s="760" t="s">
        <v>846</v>
      </c>
      <c r="D200" s="637" t="s">
        <v>1693</v>
      </c>
      <c r="E200" s="754">
        <v>197277</v>
      </c>
      <c r="F200" s="754"/>
      <c r="G200" s="754"/>
      <c r="H200" s="754"/>
      <c r="I200" s="754"/>
      <c r="J200" s="754" t="s">
        <v>812</v>
      </c>
      <c r="K200" s="754" t="s">
        <v>812</v>
      </c>
      <c r="L200" s="754" t="s">
        <v>812</v>
      </c>
      <c r="M200" s="754" t="s">
        <v>312</v>
      </c>
      <c r="N200" s="754">
        <v>20.079999999999998</v>
      </c>
      <c r="O200" s="754">
        <v>93.36</v>
      </c>
      <c r="P200" s="754" t="s">
        <v>813</v>
      </c>
      <c r="Q200" s="754"/>
      <c r="R200" s="767"/>
      <c r="S200" s="768"/>
      <c r="T200" s="783"/>
      <c r="U200" s="765"/>
      <c r="V200" s="754" t="s">
        <v>846</v>
      </c>
      <c r="W200" s="754"/>
    </row>
    <row r="201" spans="1:23" s="75" customFormat="1" ht="14.25" customHeight="1">
      <c r="A201" s="764" t="s">
        <v>3006</v>
      </c>
      <c r="B201" s="760" t="s">
        <v>417</v>
      </c>
      <c r="C201" s="760" t="s">
        <v>419</v>
      </c>
      <c r="D201" s="637" t="s">
        <v>3117</v>
      </c>
      <c r="E201" s="754" t="s">
        <v>1371</v>
      </c>
      <c r="F201" s="754" t="s">
        <v>1723</v>
      </c>
      <c r="G201" s="754" t="s">
        <v>1775</v>
      </c>
      <c r="H201" s="754"/>
      <c r="I201" s="754"/>
      <c r="J201" s="754" t="s">
        <v>812</v>
      </c>
      <c r="K201" s="754" t="s">
        <v>812</v>
      </c>
      <c r="L201" s="754" t="s">
        <v>835</v>
      </c>
      <c r="M201" s="754" t="s">
        <v>312</v>
      </c>
      <c r="N201" s="754">
        <v>20.041981</v>
      </c>
      <c r="O201" s="754">
        <v>93.373951000000005</v>
      </c>
      <c r="P201" s="754" t="s">
        <v>813</v>
      </c>
      <c r="Q201" s="754" t="s">
        <v>794</v>
      </c>
      <c r="R201" s="763">
        <v>40</v>
      </c>
      <c r="S201" s="764">
        <v>204</v>
      </c>
      <c r="T201" s="783"/>
      <c r="U201" s="765"/>
      <c r="V201" s="754" t="s">
        <v>419</v>
      </c>
      <c r="W201" s="754"/>
    </row>
    <row r="202" spans="1:23" s="75" customFormat="1" ht="14.25" customHeight="1">
      <c r="A202" s="764" t="s">
        <v>3006</v>
      </c>
      <c r="B202" s="760" t="s">
        <v>417</v>
      </c>
      <c r="C202" s="760" t="s">
        <v>862</v>
      </c>
      <c r="D202" s="637" t="s">
        <v>1693</v>
      </c>
      <c r="E202" s="754">
        <v>197286</v>
      </c>
      <c r="F202" s="754"/>
      <c r="G202" s="754"/>
      <c r="H202" s="754"/>
      <c r="I202" s="754"/>
      <c r="J202" s="754" t="s">
        <v>812</v>
      </c>
      <c r="K202" s="754" t="s">
        <v>812</v>
      </c>
      <c r="L202" s="754" t="s">
        <v>812</v>
      </c>
      <c r="M202" s="754" t="s">
        <v>312</v>
      </c>
      <c r="N202" s="754">
        <v>20.149999999999999</v>
      </c>
      <c r="O202" s="754">
        <v>93.41</v>
      </c>
      <c r="P202" s="754" t="s">
        <v>813</v>
      </c>
      <c r="Q202" s="754"/>
      <c r="R202" s="767"/>
      <c r="S202" s="768"/>
      <c r="T202" s="783"/>
      <c r="U202" s="765"/>
      <c r="V202" s="754" t="s">
        <v>862</v>
      </c>
      <c r="W202" s="754"/>
    </row>
    <row r="203" spans="1:23" s="75" customFormat="1" ht="14.25" customHeight="1">
      <c r="A203" s="764" t="s">
        <v>3006</v>
      </c>
      <c r="B203" s="760" t="s">
        <v>417</v>
      </c>
      <c r="C203" s="760" t="s">
        <v>829</v>
      </c>
      <c r="D203" s="637" t="s">
        <v>1693</v>
      </c>
      <c r="E203" s="754">
        <v>197309</v>
      </c>
      <c r="F203" s="754"/>
      <c r="G203" s="754"/>
      <c r="H203" s="754"/>
      <c r="I203" s="754"/>
      <c r="J203" s="754" t="s">
        <v>812</v>
      </c>
      <c r="K203" s="754" t="s">
        <v>812</v>
      </c>
      <c r="L203" s="754" t="s">
        <v>812</v>
      </c>
      <c r="M203" s="754" t="s">
        <v>312</v>
      </c>
      <c r="N203" s="754">
        <v>20.010000000000002</v>
      </c>
      <c r="O203" s="754">
        <v>93.42</v>
      </c>
      <c r="P203" s="754" t="s">
        <v>813</v>
      </c>
      <c r="Q203" s="754"/>
      <c r="R203" s="767"/>
      <c r="S203" s="768"/>
      <c r="T203" s="783"/>
      <c r="U203" s="765"/>
      <c r="V203" s="754" t="s">
        <v>829</v>
      </c>
      <c r="W203" s="754"/>
    </row>
    <row r="204" spans="1:23" s="75" customFormat="1" ht="14.25" customHeight="1">
      <c r="A204" s="764" t="s">
        <v>3006</v>
      </c>
      <c r="B204" s="760" t="s">
        <v>417</v>
      </c>
      <c r="C204" s="760" t="s">
        <v>832</v>
      </c>
      <c r="D204" s="637" t="s">
        <v>1693</v>
      </c>
      <c r="E204" s="754">
        <v>197255</v>
      </c>
      <c r="F204" s="754"/>
      <c r="G204" s="754"/>
      <c r="H204" s="754"/>
      <c r="I204" s="754"/>
      <c r="J204" s="754" t="s">
        <v>812</v>
      </c>
      <c r="K204" s="754" t="s">
        <v>812</v>
      </c>
      <c r="L204" s="754" t="s">
        <v>812</v>
      </c>
      <c r="M204" s="754" t="s">
        <v>312</v>
      </c>
      <c r="N204" s="754">
        <v>20.03</v>
      </c>
      <c r="O204" s="754">
        <v>93.38</v>
      </c>
      <c r="P204" s="754" t="s">
        <v>813</v>
      </c>
      <c r="Q204" s="754"/>
      <c r="R204" s="767"/>
      <c r="S204" s="768"/>
      <c r="T204" s="783"/>
      <c r="U204" s="765"/>
      <c r="V204" s="754" t="s">
        <v>832</v>
      </c>
      <c r="W204" s="754"/>
    </row>
    <row r="205" spans="1:23" s="75" customFormat="1" ht="14.25" customHeight="1">
      <c r="A205" s="764" t="s">
        <v>3006</v>
      </c>
      <c r="B205" s="760" t="s">
        <v>417</v>
      </c>
      <c r="C205" s="760" t="s">
        <v>834</v>
      </c>
      <c r="D205" s="637" t="s">
        <v>1693</v>
      </c>
      <c r="E205" s="754">
        <v>217973</v>
      </c>
      <c r="F205" s="754"/>
      <c r="G205" s="754"/>
      <c r="H205" s="754"/>
      <c r="I205" s="754"/>
      <c r="J205" s="754" t="s">
        <v>812</v>
      </c>
      <c r="K205" s="754" t="s">
        <v>812</v>
      </c>
      <c r="L205" s="754" t="s">
        <v>812</v>
      </c>
      <c r="M205" s="754" t="s">
        <v>312</v>
      </c>
      <c r="N205" s="754">
        <v>20.032760620000001</v>
      </c>
      <c r="O205" s="754">
        <v>93.372978209999999</v>
      </c>
      <c r="P205" s="754" t="s">
        <v>813</v>
      </c>
      <c r="Q205" s="754"/>
      <c r="R205" s="767"/>
      <c r="S205" s="768"/>
      <c r="T205" s="783"/>
      <c r="U205" s="765"/>
      <c r="V205" s="754" t="s">
        <v>834</v>
      </c>
      <c r="W205" s="754"/>
    </row>
    <row r="206" spans="1:23" s="75" customFormat="1" ht="14.25" customHeight="1">
      <c r="A206" s="764" t="s">
        <v>3006</v>
      </c>
      <c r="B206" s="760" t="s">
        <v>417</v>
      </c>
      <c r="C206" s="760" t="s">
        <v>418</v>
      </c>
      <c r="D206" s="637" t="s">
        <v>3117</v>
      </c>
      <c r="E206" s="754" t="s">
        <v>1370</v>
      </c>
      <c r="F206" s="754"/>
      <c r="G206" s="754"/>
      <c r="H206" s="754" t="s">
        <v>43</v>
      </c>
      <c r="I206" s="754"/>
      <c r="J206" s="754" t="s">
        <v>45</v>
      </c>
      <c r="K206" s="754" t="s">
        <v>45</v>
      </c>
      <c r="L206" s="754" t="s">
        <v>808</v>
      </c>
      <c r="M206" s="754" t="s">
        <v>809</v>
      </c>
      <c r="N206" s="754">
        <v>20.037655000000001</v>
      </c>
      <c r="O206" s="754">
        <v>93.370037999999994</v>
      </c>
      <c r="P206" s="754" t="s">
        <v>775</v>
      </c>
      <c r="Q206" s="754" t="s">
        <v>794</v>
      </c>
      <c r="R206" s="763">
        <v>655</v>
      </c>
      <c r="S206" s="764">
        <v>2690</v>
      </c>
      <c r="T206" s="783"/>
      <c r="U206" s="765"/>
      <c r="V206" s="754" t="s">
        <v>418</v>
      </c>
      <c r="W206" s="754"/>
    </row>
    <row r="207" spans="1:23" s="75" customFormat="1" ht="14.25" customHeight="1">
      <c r="A207" s="764" t="s">
        <v>3006</v>
      </c>
      <c r="B207" s="760" t="s">
        <v>417</v>
      </c>
      <c r="C207" s="760" t="s">
        <v>839</v>
      </c>
      <c r="D207" s="637" t="s">
        <v>1693</v>
      </c>
      <c r="E207" s="754">
        <v>197378</v>
      </c>
      <c r="F207" s="760"/>
      <c r="G207" s="754"/>
      <c r="H207" s="754"/>
      <c r="I207" s="754"/>
      <c r="J207" s="754" t="s">
        <v>812</v>
      </c>
      <c r="K207" s="754" t="s">
        <v>812</v>
      </c>
      <c r="L207" s="754" t="s">
        <v>812</v>
      </c>
      <c r="M207" s="754" t="s">
        <v>312</v>
      </c>
      <c r="N207" s="754">
        <v>20.061309810000001</v>
      </c>
      <c r="O207" s="754">
        <v>93.540641780000001</v>
      </c>
      <c r="P207" s="754" t="s">
        <v>813</v>
      </c>
      <c r="Q207" s="754"/>
      <c r="R207" s="767"/>
      <c r="S207" s="768"/>
      <c r="T207" s="783"/>
      <c r="U207" s="765"/>
      <c r="V207" s="754" t="s">
        <v>839</v>
      </c>
      <c r="W207" s="754"/>
    </row>
    <row r="208" spans="1:23" s="75" customFormat="1" ht="14.25" customHeight="1">
      <c r="A208" s="764" t="s">
        <v>3006</v>
      </c>
      <c r="B208" s="760" t="s">
        <v>417</v>
      </c>
      <c r="C208" s="760" t="s">
        <v>852</v>
      </c>
      <c r="D208" s="637" t="s">
        <v>1693</v>
      </c>
      <c r="E208" s="754">
        <v>197280</v>
      </c>
      <c r="F208" s="754"/>
      <c r="G208" s="754"/>
      <c r="H208" s="754"/>
      <c r="I208" s="754"/>
      <c r="J208" s="754" t="s">
        <v>812</v>
      </c>
      <c r="K208" s="754" t="s">
        <v>812</v>
      </c>
      <c r="L208" s="754" t="s">
        <v>812</v>
      </c>
      <c r="M208" s="754" t="s">
        <v>312</v>
      </c>
      <c r="N208" s="754">
        <v>20.12</v>
      </c>
      <c r="O208" s="754">
        <v>93.34</v>
      </c>
      <c r="P208" s="754" t="s">
        <v>813</v>
      </c>
      <c r="Q208" s="754"/>
      <c r="R208" s="767"/>
      <c r="S208" s="768"/>
      <c r="T208" s="783"/>
      <c r="U208" s="765"/>
      <c r="V208" s="754" t="s">
        <v>852</v>
      </c>
      <c r="W208" s="754"/>
    </row>
    <row r="209" spans="1:23" s="75" customFormat="1" ht="14.25" customHeight="1">
      <c r="A209" s="764" t="s">
        <v>3006</v>
      </c>
      <c r="B209" s="760" t="s">
        <v>417</v>
      </c>
      <c r="C209" s="760" t="s">
        <v>847</v>
      </c>
      <c r="D209" s="637" t="s">
        <v>1693</v>
      </c>
      <c r="E209" s="754">
        <v>197366</v>
      </c>
      <c r="F209" s="760"/>
      <c r="G209" s="754"/>
      <c r="H209" s="754"/>
      <c r="I209" s="754"/>
      <c r="J209" s="754" t="s">
        <v>812</v>
      </c>
      <c r="K209" s="754" t="s">
        <v>812</v>
      </c>
      <c r="L209" s="754" t="s">
        <v>812</v>
      </c>
      <c r="M209" s="754" t="s">
        <v>312</v>
      </c>
      <c r="N209" s="754">
        <v>20.084</v>
      </c>
      <c r="O209" s="754">
        <v>93.483999999999995</v>
      </c>
      <c r="P209" s="754" t="s">
        <v>813</v>
      </c>
      <c r="Q209" s="754"/>
      <c r="R209" s="767"/>
      <c r="S209" s="768"/>
      <c r="T209" s="783"/>
      <c r="U209" s="765"/>
      <c r="V209" s="754" t="s">
        <v>847</v>
      </c>
      <c r="W209" s="754"/>
    </row>
    <row r="210" spans="1:23" s="75" customFormat="1" ht="14.25" customHeight="1">
      <c r="A210" s="764" t="s">
        <v>3006</v>
      </c>
      <c r="B210" s="760" t="s">
        <v>420</v>
      </c>
      <c r="C210" s="760" t="s">
        <v>3226</v>
      </c>
      <c r="D210" s="637"/>
      <c r="E210" s="760">
        <v>196310</v>
      </c>
      <c r="F210" s="754"/>
      <c r="G210" s="754"/>
      <c r="H210" s="754"/>
      <c r="I210" s="754"/>
      <c r="J210" s="754" t="s">
        <v>3017</v>
      </c>
      <c r="K210" s="754" t="s">
        <v>2935</v>
      </c>
      <c r="L210" s="754" t="s">
        <v>2935</v>
      </c>
      <c r="M210" s="754" t="s">
        <v>2937</v>
      </c>
      <c r="N210" s="754">
        <v>20.61741065979</v>
      </c>
      <c r="O210" s="754">
        <v>92.932502746582003</v>
      </c>
      <c r="P210" s="754"/>
      <c r="Q210" s="754"/>
      <c r="R210" s="763"/>
      <c r="S210" s="764"/>
      <c r="T210" s="783"/>
      <c r="U210" s="765"/>
      <c r="V210" s="754" t="s">
        <v>2829</v>
      </c>
      <c r="W210" s="754"/>
    </row>
    <row r="211" spans="1:23" s="75" customFormat="1" ht="14.25" customHeight="1">
      <c r="A211" s="764" t="s">
        <v>3006</v>
      </c>
      <c r="B211" s="760" t="s">
        <v>420</v>
      </c>
      <c r="C211" s="760" t="s">
        <v>429</v>
      </c>
      <c r="D211" s="637" t="s">
        <v>1693</v>
      </c>
      <c r="E211" s="754">
        <v>197558</v>
      </c>
      <c r="F211" s="754"/>
      <c r="G211" s="754"/>
      <c r="H211" s="754"/>
      <c r="I211" s="754"/>
      <c r="J211" s="754" t="s">
        <v>812</v>
      </c>
      <c r="K211" s="754" t="s">
        <v>812</v>
      </c>
      <c r="L211" s="754" t="s">
        <v>812</v>
      </c>
      <c r="M211" s="754" t="s">
        <v>809</v>
      </c>
      <c r="N211" s="754">
        <v>20.099340439999999</v>
      </c>
      <c r="O211" s="754">
        <v>92.989143369999994</v>
      </c>
      <c r="P211" s="754" t="s">
        <v>813</v>
      </c>
      <c r="Q211" s="754" t="s">
        <v>794</v>
      </c>
      <c r="R211" s="767"/>
      <c r="S211" s="768"/>
      <c r="T211" s="783"/>
      <c r="U211" s="765"/>
      <c r="V211" s="754"/>
      <c r="W211" s="754"/>
    </row>
    <row r="212" spans="1:23" s="75" customFormat="1" ht="14.25" customHeight="1">
      <c r="A212" s="764" t="s">
        <v>3006</v>
      </c>
      <c r="B212" s="760" t="s">
        <v>420</v>
      </c>
      <c r="C212" s="760" t="s">
        <v>430</v>
      </c>
      <c r="D212" s="637" t="s">
        <v>3117</v>
      </c>
      <c r="E212" s="754" t="s">
        <v>1376</v>
      </c>
      <c r="F212" s="754" t="s">
        <v>849</v>
      </c>
      <c r="G212" s="754" t="s">
        <v>550</v>
      </c>
      <c r="H212" s="754" t="s">
        <v>43</v>
      </c>
      <c r="I212" s="754"/>
      <c r="J212" s="754" t="s">
        <v>45</v>
      </c>
      <c r="K212" s="760" t="s">
        <v>45</v>
      </c>
      <c r="L212" s="760" t="s">
        <v>808</v>
      </c>
      <c r="M212" s="754" t="s">
        <v>809</v>
      </c>
      <c r="N212" s="754">
        <v>20.108101999999999</v>
      </c>
      <c r="O212" s="754">
        <v>92.985095000000001</v>
      </c>
      <c r="P212" s="754" t="s">
        <v>775</v>
      </c>
      <c r="Q212" s="754" t="s">
        <v>794</v>
      </c>
      <c r="R212" s="763">
        <v>1244</v>
      </c>
      <c r="S212" s="764">
        <v>4757</v>
      </c>
      <c r="T212" s="783"/>
      <c r="U212" s="765"/>
      <c r="V212" s="754" t="s">
        <v>851</v>
      </c>
      <c r="W212" s="754"/>
    </row>
    <row r="213" spans="1:23" s="75" customFormat="1" ht="14.25" customHeight="1">
      <c r="A213" s="764" t="s">
        <v>3006</v>
      </c>
      <c r="B213" s="760" t="s">
        <v>420</v>
      </c>
      <c r="C213" s="760" t="s">
        <v>2828</v>
      </c>
      <c r="D213" s="637"/>
      <c r="E213" s="760">
        <v>220611</v>
      </c>
      <c r="F213" s="754"/>
      <c r="G213" s="754"/>
      <c r="H213" s="754"/>
      <c r="I213" s="754"/>
      <c r="J213" s="754" t="s">
        <v>3017</v>
      </c>
      <c r="K213" s="754" t="s">
        <v>2935</v>
      </c>
      <c r="L213" s="754" t="s">
        <v>2935</v>
      </c>
      <c r="M213" s="754" t="s">
        <v>2937</v>
      </c>
      <c r="N213" s="754"/>
      <c r="O213" s="754"/>
      <c r="P213" s="754"/>
      <c r="Q213" s="754"/>
      <c r="R213" s="763"/>
      <c r="S213" s="764"/>
      <c r="T213" s="783"/>
      <c r="U213" s="765"/>
      <c r="V213" s="754"/>
      <c r="W213" s="754"/>
    </row>
    <row r="214" spans="1:23" s="75" customFormat="1" ht="14.25" customHeight="1">
      <c r="A214" s="764" t="s">
        <v>3006</v>
      </c>
      <c r="B214" s="760" t="s">
        <v>420</v>
      </c>
      <c r="C214" s="760" t="s">
        <v>873</v>
      </c>
      <c r="D214" s="637" t="s">
        <v>3117</v>
      </c>
      <c r="E214" s="754" t="s">
        <v>1388</v>
      </c>
      <c r="F214" s="754" t="s">
        <v>1723</v>
      </c>
      <c r="G214" s="754" t="s">
        <v>1888</v>
      </c>
      <c r="H214" s="754"/>
      <c r="I214" s="754"/>
      <c r="J214" s="754" t="s">
        <v>812</v>
      </c>
      <c r="K214" s="760" t="s">
        <v>812</v>
      </c>
      <c r="L214" s="760" t="s">
        <v>835</v>
      </c>
      <c r="M214" s="754" t="s">
        <v>312</v>
      </c>
      <c r="N214" s="754">
        <v>20.173468</v>
      </c>
      <c r="O214" s="754">
        <v>93.067891000000003</v>
      </c>
      <c r="P214" s="754" t="s">
        <v>813</v>
      </c>
      <c r="Q214" s="754"/>
      <c r="R214" s="763">
        <v>21</v>
      </c>
      <c r="S214" s="764">
        <v>122</v>
      </c>
      <c r="T214" s="783"/>
      <c r="U214" s="765" t="s">
        <v>874</v>
      </c>
      <c r="V214" s="754" t="s">
        <v>875</v>
      </c>
      <c r="W214" s="754"/>
    </row>
    <row r="215" spans="1:23" s="75" customFormat="1" ht="14.25" customHeight="1">
      <c r="A215" s="767" t="s">
        <v>3006</v>
      </c>
      <c r="B215" s="767" t="s">
        <v>420</v>
      </c>
      <c r="C215" s="768" t="s">
        <v>3191</v>
      </c>
      <c r="D215" s="761"/>
      <c r="E215" s="754" t="s">
        <v>3225</v>
      </c>
      <c r="F215" s="754"/>
      <c r="G215" s="754"/>
      <c r="H215" s="754"/>
      <c r="I215" s="754"/>
      <c r="J215" s="754" t="s">
        <v>3017</v>
      </c>
      <c r="K215" s="754" t="s">
        <v>2935</v>
      </c>
      <c r="L215" s="754" t="s">
        <v>2935</v>
      </c>
      <c r="M215" s="754"/>
      <c r="N215" s="754"/>
      <c r="O215" s="754"/>
      <c r="P215" s="754"/>
      <c r="Q215" s="754"/>
      <c r="R215" s="771"/>
      <c r="S215" s="764"/>
      <c r="T215" s="783">
        <v>43591</v>
      </c>
      <c r="U215" s="771"/>
      <c r="V215" s="754"/>
      <c r="W215" s="763"/>
    </row>
    <row r="216" spans="1:23" s="75" customFormat="1" ht="14.25" customHeight="1">
      <c r="A216" s="764" t="s">
        <v>3006</v>
      </c>
      <c r="B216" s="760" t="s">
        <v>420</v>
      </c>
      <c r="C216" s="760" t="s">
        <v>836</v>
      </c>
      <c r="D216" s="637" t="s">
        <v>1693</v>
      </c>
      <c r="E216" s="754">
        <v>197486</v>
      </c>
      <c r="F216" s="754"/>
      <c r="G216" s="754"/>
      <c r="H216" s="754"/>
      <c r="I216" s="754"/>
      <c r="J216" s="754" t="s">
        <v>812</v>
      </c>
      <c r="K216" s="760" t="s">
        <v>812</v>
      </c>
      <c r="L216" s="760" t="s">
        <v>812</v>
      </c>
      <c r="M216" s="754" t="s">
        <v>837</v>
      </c>
      <c r="N216" s="754">
        <v>20.05117035</v>
      </c>
      <c r="O216" s="754">
        <v>93.040992739999993</v>
      </c>
      <c r="P216" s="754" t="s">
        <v>813</v>
      </c>
      <c r="Q216" s="754"/>
      <c r="R216" s="763"/>
      <c r="S216" s="764"/>
      <c r="T216" s="783"/>
      <c r="U216" s="765"/>
      <c r="V216" s="754" t="s">
        <v>836</v>
      </c>
      <c r="W216" s="754"/>
    </row>
    <row r="217" spans="1:23" s="75" customFormat="1" ht="14.25" customHeight="1">
      <c r="A217" s="764" t="s">
        <v>3006</v>
      </c>
      <c r="B217" s="760" t="s">
        <v>420</v>
      </c>
      <c r="C217" s="760" t="s">
        <v>838</v>
      </c>
      <c r="D217" s="637" t="s">
        <v>1693</v>
      </c>
      <c r="E217" s="754">
        <v>197479</v>
      </c>
      <c r="F217" s="766"/>
      <c r="G217" s="754"/>
      <c r="H217" s="754"/>
      <c r="I217" s="754"/>
      <c r="J217" s="754" t="s">
        <v>812</v>
      </c>
      <c r="K217" s="760" t="s">
        <v>812</v>
      </c>
      <c r="L217" s="760" t="s">
        <v>812</v>
      </c>
      <c r="M217" s="754" t="s">
        <v>312</v>
      </c>
      <c r="N217" s="754">
        <v>20.05978966</v>
      </c>
      <c r="O217" s="754">
        <v>93.034988400000003</v>
      </c>
      <c r="P217" s="754" t="s">
        <v>813</v>
      </c>
      <c r="Q217" s="754"/>
      <c r="R217" s="763"/>
      <c r="S217" s="764"/>
      <c r="T217" s="783"/>
      <c r="U217" s="765"/>
      <c r="V217" s="754" t="s">
        <v>838</v>
      </c>
      <c r="W217" s="754"/>
    </row>
    <row r="218" spans="1:23" s="75" customFormat="1" ht="14.25" customHeight="1">
      <c r="A218" s="767" t="s">
        <v>3006</v>
      </c>
      <c r="B218" s="767" t="s">
        <v>420</v>
      </c>
      <c r="C218" s="768" t="s">
        <v>3190</v>
      </c>
      <c r="D218" s="761"/>
      <c r="E218" s="754">
        <v>197470</v>
      </c>
      <c r="F218" s="754"/>
      <c r="G218" s="754"/>
      <c r="H218" s="754"/>
      <c r="I218" s="754"/>
      <c r="J218" s="754" t="s">
        <v>3017</v>
      </c>
      <c r="K218" s="754" t="s">
        <v>2935</v>
      </c>
      <c r="L218" s="754" t="s">
        <v>2935</v>
      </c>
      <c r="M218" s="754"/>
      <c r="N218" s="754">
        <v>20.343349456787099</v>
      </c>
      <c r="O218" s="754">
        <v>93.121322631835895</v>
      </c>
      <c r="P218" s="754"/>
      <c r="Q218" s="754"/>
      <c r="R218" s="771"/>
      <c r="S218" s="764"/>
      <c r="T218" s="783">
        <v>43591</v>
      </c>
      <c r="U218" s="771"/>
      <c r="V218" s="754"/>
      <c r="W218" s="763"/>
    </row>
    <row r="219" spans="1:23" s="75" customFormat="1" ht="14.25" customHeight="1">
      <c r="A219" s="764" t="s">
        <v>3006</v>
      </c>
      <c r="B219" s="760" t="s">
        <v>420</v>
      </c>
      <c r="C219" s="760" t="s">
        <v>2819</v>
      </c>
      <c r="D219" s="637"/>
      <c r="E219" s="754">
        <v>197561</v>
      </c>
      <c r="F219" s="754" t="s">
        <v>2819</v>
      </c>
      <c r="G219" s="754"/>
      <c r="H219" s="754"/>
      <c r="I219" s="754"/>
      <c r="J219" s="754" t="s">
        <v>812</v>
      </c>
      <c r="K219" s="754" t="s">
        <v>812</v>
      </c>
      <c r="L219" s="754" t="s">
        <v>812</v>
      </c>
      <c r="M219" s="754"/>
      <c r="N219" s="754">
        <v>20.072999954223601</v>
      </c>
      <c r="O219" s="754">
        <v>92.924957275390597</v>
      </c>
      <c r="P219" s="754"/>
      <c r="Q219" s="754"/>
      <c r="R219" s="767"/>
      <c r="S219" s="768"/>
      <c r="T219" s="783"/>
      <c r="U219" s="765"/>
      <c r="V219" s="754"/>
      <c r="W219" s="754"/>
    </row>
    <row r="220" spans="1:23" s="75" customFormat="1" ht="14.25" customHeight="1">
      <c r="A220" s="764" t="s">
        <v>3006</v>
      </c>
      <c r="B220" s="760" t="s">
        <v>420</v>
      </c>
      <c r="C220" s="760" t="s">
        <v>2861</v>
      </c>
      <c r="D220" s="637" t="s">
        <v>1693</v>
      </c>
      <c r="E220" s="754">
        <v>197461</v>
      </c>
      <c r="F220" s="754"/>
      <c r="G220" s="754"/>
      <c r="H220" s="754"/>
      <c r="I220" s="754"/>
      <c r="J220" s="754" t="s">
        <v>812</v>
      </c>
      <c r="K220" s="754" t="s">
        <v>812</v>
      </c>
      <c r="L220" s="754" t="s">
        <v>812</v>
      </c>
      <c r="M220" s="754" t="s">
        <v>312</v>
      </c>
      <c r="N220" s="754"/>
      <c r="O220" s="754"/>
      <c r="P220" s="754"/>
      <c r="Q220" s="754"/>
      <c r="R220" s="767"/>
      <c r="S220" s="768"/>
      <c r="T220" s="783"/>
      <c r="U220" s="765"/>
      <c r="V220" s="754"/>
      <c r="W220" s="754"/>
    </row>
    <row r="221" spans="1:23" s="75" customFormat="1" ht="14.25" customHeight="1">
      <c r="A221" s="764" t="s">
        <v>3006</v>
      </c>
      <c r="B221" s="760" t="s">
        <v>420</v>
      </c>
      <c r="C221" s="760" t="s">
        <v>2853</v>
      </c>
      <c r="D221" s="637" t="s">
        <v>1693</v>
      </c>
      <c r="E221" s="754">
        <v>197441</v>
      </c>
      <c r="F221" s="754"/>
      <c r="G221" s="754"/>
      <c r="H221" s="754"/>
      <c r="I221" s="754"/>
      <c r="J221" s="754" t="s">
        <v>812</v>
      </c>
      <c r="K221" s="754" t="s">
        <v>812</v>
      </c>
      <c r="L221" s="754" t="s">
        <v>812</v>
      </c>
      <c r="M221" s="754" t="s">
        <v>312</v>
      </c>
      <c r="N221" s="754"/>
      <c r="O221" s="754"/>
      <c r="P221" s="754"/>
      <c r="Q221" s="754"/>
      <c r="R221" s="763"/>
      <c r="S221" s="764"/>
      <c r="T221" s="783"/>
      <c r="U221" s="765"/>
      <c r="V221" s="754"/>
      <c r="W221" s="754"/>
    </row>
    <row r="222" spans="1:23" s="75" customFormat="1" ht="14.25" customHeight="1">
      <c r="A222" s="764" t="s">
        <v>3006</v>
      </c>
      <c r="B222" s="760" t="s">
        <v>420</v>
      </c>
      <c r="C222" s="760" t="s">
        <v>2827</v>
      </c>
      <c r="D222" s="637"/>
      <c r="E222" s="754">
        <v>197546</v>
      </c>
      <c r="F222" s="754" t="s">
        <v>539</v>
      </c>
      <c r="G222" s="754"/>
      <c r="H222" s="754"/>
      <c r="I222" s="754"/>
      <c r="J222" s="754" t="s">
        <v>812</v>
      </c>
      <c r="K222" s="754" t="s">
        <v>812</v>
      </c>
      <c r="L222" s="754" t="s">
        <v>812</v>
      </c>
      <c r="M222" s="754"/>
      <c r="N222" s="754">
        <v>19.986650466918899</v>
      </c>
      <c r="O222" s="754">
        <v>92.986160278320298</v>
      </c>
      <c r="P222" s="754"/>
      <c r="Q222" s="754"/>
      <c r="R222" s="763"/>
      <c r="S222" s="764"/>
      <c r="T222" s="783"/>
      <c r="U222" s="765"/>
      <c r="V222" s="754"/>
      <c r="W222" s="754"/>
    </row>
    <row r="223" spans="1:23" s="75" customFormat="1" ht="14.25" customHeight="1">
      <c r="A223" s="764" t="s">
        <v>3006</v>
      </c>
      <c r="B223" s="760" t="s">
        <v>420</v>
      </c>
      <c r="C223" s="760" t="s">
        <v>2824</v>
      </c>
      <c r="D223" s="637"/>
      <c r="E223" s="754"/>
      <c r="F223" s="754"/>
      <c r="G223" s="754"/>
      <c r="H223" s="754"/>
      <c r="I223" s="754"/>
      <c r="J223" s="754" t="s">
        <v>812</v>
      </c>
      <c r="K223" s="754" t="s">
        <v>812</v>
      </c>
      <c r="L223" s="754" t="s">
        <v>812</v>
      </c>
      <c r="M223" s="754"/>
      <c r="N223" s="754"/>
      <c r="O223" s="754"/>
      <c r="P223" s="754"/>
      <c r="Q223" s="754"/>
      <c r="R223" s="767"/>
      <c r="S223" s="768"/>
      <c r="T223" s="783"/>
      <c r="U223" s="765"/>
      <c r="V223" s="754"/>
      <c r="W223" s="754"/>
    </row>
    <row r="224" spans="1:23" s="75" customFormat="1" ht="14.25" customHeight="1">
      <c r="A224" s="764" t="s">
        <v>3006</v>
      </c>
      <c r="B224" s="760" t="s">
        <v>420</v>
      </c>
      <c r="C224" s="760" t="s">
        <v>550</v>
      </c>
      <c r="D224" s="637" t="s">
        <v>1693</v>
      </c>
      <c r="E224" s="754">
        <v>197537</v>
      </c>
      <c r="F224" s="754" t="s">
        <v>849</v>
      </c>
      <c r="G224" s="754"/>
      <c r="H224" s="754"/>
      <c r="I224" s="754"/>
      <c r="J224" s="754" t="s">
        <v>812</v>
      </c>
      <c r="K224" s="760" t="s">
        <v>812</v>
      </c>
      <c r="L224" s="760" t="s">
        <v>812</v>
      </c>
      <c r="M224" s="754"/>
      <c r="N224" s="754">
        <v>20.109220499999999</v>
      </c>
      <c r="O224" s="754">
        <v>92.995483399999998</v>
      </c>
      <c r="P224" s="754" t="s">
        <v>813</v>
      </c>
      <c r="Q224" s="754"/>
      <c r="R224" s="763"/>
      <c r="S224" s="764"/>
      <c r="T224" s="783"/>
      <c r="U224" s="765"/>
      <c r="V224" s="754" t="s">
        <v>550</v>
      </c>
      <c r="W224" s="754"/>
    </row>
    <row r="225" spans="1:23" s="75" customFormat="1" ht="14.25" customHeight="1">
      <c r="A225" s="764" t="s">
        <v>3006</v>
      </c>
      <c r="B225" s="760" t="s">
        <v>420</v>
      </c>
      <c r="C225" s="760" t="s">
        <v>428</v>
      </c>
      <c r="D225" s="637" t="s">
        <v>3117</v>
      </c>
      <c r="E225" s="754" t="s">
        <v>1375</v>
      </c>
      <c r="F225" s="754" t="s">
        <v>849</v>
      </c>
      <c r="G225" s="754" t="s">
        <v>428</v>
      </c>
      <c r="H225" s="754" t="s">
        <v>43</v>
      </c>
      <c r="I225" s="754"/>
      <c r="J225" s="754" t="s">
        <v>45</v>
      </c>
      <c r="K225" s="760" t="s">
        <v>45</v>
      </c>
      <c r="L225" s="760" t="s">
        <v>808</v>
      </c>
      <c r="M225" s="754" t="s">
        <v>809</v>
      </c>
      <c r="N225" s="754">
        <v>20.090183</v>
      </c>
      <c r="O225" s="754">
        <v>93.010368999999997</v>
      </c>
      <c r="P225" s="754" t="s">
        <v>775</v>
      </c>
      <c r="Q225" s="754" t="s">
        <v>794</v>
      </c>
      <c r="R225" s="763">
        <v>1320</v>
      </c>
      <c r="S225" s="764">
        <v>6116</v>
      </c>
      <c r="T225" s="783"/>
      <c r="U225" s="765"/>
      <c r="V225" s="754" t="s">
        <v>428</v>
      </c>
      <c r="W225" s="754"/>
    </row>
    <row r="226" spans="1:23" s="75" customFormat="1" ht="14.25" customHeight="1">
      <c r="A226" s="764" t="s">
        <v>3006</v>
      </c>
      <c r="B226" s="760" t="s">
        <v>420</v>
      </c>
      <c r="C226" s="760" t="s">
        <v>3224</v>
      </c>
      <c r="D226" s="637"/>
      <c r="E226" s="754">
        <v>197547</v>
      </c>
      <c r="F226" s="754"/>
      <c r="G226" s="754"/>
      <c r="H226" s="754"/>
      <c r="I226" s="754"/>
      <c r="J226" s="754" t="s">
        <v>812</v>
      </c>
      <c r="K226" s="754" t="s">
        <v>812</v>
      </c>
      <c r="L226" s="754" t="s">
        <v>812</v>
      </c>
      <c r="M226" s="754"/>
      <c r="N226" s="754">
        <v>19.9233303070068</v>
      </c>
      <c r="O226" s="754">
        <v>93.018592834472699</v>
      </c>
      <c r="P226" s="754"/>
      <c r="Q226" s="754"/>
      <c r="R226" s="767"/>
      <c r="S226" s="768"/>
      <c r="T226" s="783"/>
      <c r="U226" s="765"/>
      <c r="V226" s="760" t="s">
        <v>2826</v>
      </c>
      <c r="W226" s="754"/>
    </row>
    <row r="227" spans="1:23" s="75" customFormat="1" ht="14.25" customHeight="1">
      <c r="A227" s="764" t="s">
        <v>3006</v>
      </c>
      <c r="B227" s="760" t="s">
        <v>420</v>
      </c>
      <c r="C227" s="760" t="s">
        <v>824</v>
      </c>
      <c r="D227" s="637" t="s">
        <v>1693</v>
      </c>
      <c r="E227" s="754">
        <v>197566</v>
      </c>
      <c r="F227" s="754"/>
      <c r="G227" s="754"/>
      <c r="H227" s="754"/>
      <c r="I227" s="754"/>
      <c r="J227" s="754" t="s">
        <v>812</v>
      </c>
      <c r="K227" s="754" t="s">
        <v>812</v>
      </c>
      <c r="L227" s="760" t="s">
        <v>812</v>
      </c>
      <c r="M227" s="754"/>
      <c r="N227" s="754">
        <v>19.94882965</v>
      </c>
      <c r="O227" s="754">
        <v>92.978782649999999</v>
      </c>
      <c r="P227" s="754" t="s">
        <v>813</v>
      </c>
      <c r="Q227" s="754"/>
      <c r="R227" s="763"/>
      <c r="S227" s="764"/>
      <c r="T227" s="783"/>
      <c r="U227" s="765"/>
      <c r="V227" s="754" t="s">
        <v>824</v>
      </c>
      <c r="W227" s="754"/>
    </row>
    <row r="228" spans="1:23" s="75" customFormat="1" ht="14.25" customHeight="1">
      <c r="A228" s="764" t="s">
        <v>3006</v>
      </c>
      <c r="B228" s="760" t="s">
        <v>420</v>
      </c>
      <c r="C228" s="760" t="s">
        <v>2852</v>
      </c>
      <c r="D228" s="761" t="s">
        <v>1693</v>
      </c>
      <c r="E228" s="754">
        <v>197450</v>
      </c>
      <c r="F228" s="754"/>
      <c r="G228" s="754"/>
      <c r="H228" s="754"/>
      <c r="I228" s="754"/>
      <c r="J228" s="754" t="s">
        <v>812</v>
      </c>
      <c r="K228" s="754" t="s">
        <v>812</v>
      </c>
      <c r="L228" s="754" t="s">
        <v>812</v>
      </c>
      <c r="M228" s="754" t="s">
        <v>312</v>
      </c>
      <c r="N228" s="754"/>
      <c r="O228" s="754"/>
      <c r="P228" s="754"/>
      <c r="Q228" s="754"/>
      <c r="R228" s="760"/>
      <c r="S228" s="760"/>
      <c r="T228" s="783"/>
      <c r="U228" s="765"/>
      <c r="V228" s="754"/>
      <c r="W228" s="754"/>
    </row>
    <row r="229" spans="1:23" s="75" customFormat="1" ht="14.25" customHeight="1">
      <c r="A229" s="764" t="s">
        <v>3006</v>
      </c>
      <c r="B229" s="760" t="s">
        <v>420</v>
      </c>
      <c r="C229" s="760" t="s">
        <v>2862</v>
      </c>
      <c r="D229" s="637" t="s">
        <v>1693</v>
      </c>
      <c r="E229" s="754">
        <v>197463</v>
      </c>
      <c r="F229" s="754"/>
      <c r="G229" s="754"/>
      <c r="H229" s="754"/>
      <c r="I229" s="754"/>
      <c r="J229" s="754" t="s">
        <v>812</v>
      </c>
      <c r="K229" s="754" t="s">
        <v>812</v>
      </c>
      <c r="L229" s="754" t="s">
        <v>812</v>
      </c>
      <c r="M229" s="754" t="s">
        <v>312</v>
      </c>
      <c r="N229" s="754"/>
      <c r="O229" s="754"/>
      <c r="P229" s="754"/>
      <c r="Q229" s="754"/>
      <c r="R229" s="763"/>
      <c r="S229" s="764"/>
      <c r="T229" s="783"/>
      <c r="U229" s="765"/>
      <c r="V229" s="754"/>
      <c r="W229" s="754"/>
    </row>
    <row r="230" spans="1:23" s="75" customFormat="1" ht="14.25" customHeight="1">
      <c r="A230" s="764" t="s">
        <v>3006</v>
      </c>
      <c r="B230" s="760" t="s">
        <v>420</v>
      </c>
      <c r="C230" s="760" t="s">
        <v>2822</v>
      </c>
      <c r="D230" s="637"/>
      <c r="E230" s="754">
        <v>197565</v>
      </c>
      <c r="F230" s="754" t="s">
        <v>2819</v>
      </c>
      <c r="G230" s="754"/>
      <c r="H230" s="754"/>
      <c r="I230" s="754"/>
      <c r="J230" s="754" t="s">
        <v>812</v>
      </c>
      <c r="K230" s="754" t="s">
        <v>812</v>
      </c>
      <c r="L230" s="754" t="s">
        <v>812</v>
      </c>
      <c r="M230" s="754"/>
      <c r="N230" s="754">
        <v>20.005199432373001</v>
      </c>
      <c r="O230" s="754">
        <v>92.948463439941406</v>
      </c>
      <c r="P230" s="754"/>
      <c r="Q230" s="754"/>
      <c r="R230" s="767"/>
      <c r="S230" s="768"/>
      <c r="T230" s="783"/>
      <c r="U230" s="765"/>
      <c r="V230" s="754"/>
      <c r="W230" s="754"/>
    </row>
    <row r="231" spans="1:23" s="75" customFormat="1" ht="14.25" customHeight="1">
      <c r="A231" s="764" t="s">
        <v>3006</v>
      </c>
      <c r="B231" s="760" t="s">
        <v>420</v>
      </c>
      <c r="C231" s="760" t="s">
        <v>2856</v>
      </c>
      <c r="D231" s="637" t="s">
        <v>1693</v>
      </c>
      <c r="E231" s="754">
        <v>197404</v>
      </c>
      <c r="F231" s="754"/>
      <c r="G231" s="754"/>
      <c r="H231" s="754"/>
      <c r="I231" s="754"/>
      <c r="J231" s="754" t="s">
        <v>812</v>
      </c>
      <c r="K231" s="754" t="s">
        <v>812</v>
      </c>
      <c r="L231" s="754" t="s">
        <v>812</v>
      </c>
      <c r="M231" s="754" t="s">
        <v>312</v>
      </c>
      <c r="N231" s="754"/>
      <c r="O231" s="754"/>
      <c r="P231" s="754"/>
      <c r="Q231" s="754"/>
      <c r="R231" s="763"/>
      <c r="S231" s="764"/>
      <c r="T231" s="783"/>
      <c r="U231" s="765"/>
      <c r="V231" s="754"/>
      <c r="W231" s="754"/>
    </row>
    <row r="232" spans="1:23" s="75" customFormat="1" ht="14.25" customHeight="1">
      <c r="A232" s="764" t="s">
        <v>3006</v>
      </c>
      <c r="B232" s="760" t="s">
        <v>420</v>
      </c>
      <c r="C232" s="760" t="s">
        <v>2860</v>
      </c>
      <c r="D232" s="637" t="s">
        <v>1693</v>
      </c>
      <c r="E232" s="754">
        <v>197464</v>
      </c>
      <c r="F232" s="754"/>
      <c r="G232" s="754"/>
      <c r="H232" s="754"/>
      <c r="I232" s="754"/>
      <c r="J232" s="754" t="s">
        <v>812</v>
      </c>
      <c r="K232" s="754" t="s">
        <v>812</v>
      </c>
      <c r="L232" s="754" t="s">
        <v>812</v>
      </c>
      <c r="M232" s="754" t="s">
        <v>312</v>
      </c>
      <c r="N232" s="754"/>
      <c r="O232" s="754"/>
      <c r="P232" s="754"/>
      <c r="Q232" s="754"/>
      <c r="R232" s="763"/>
      <c r="S232" s="764"/>
      <c r="T232" s="783"/>
      <c r="U232" s="765"/>
      <c r="V232" s="754"/>
      <c r="W232" s="754"/>
    </row>
    <row r="233" spans="1:23" s="75" customFormat="1" ht="14.25" customHeight="1">
      <c r="A233" s="764" t="s">
        <v>3006</v>
      </c>
      <c r="B233" s="767" t="s">
        <v>420</v>
      </c>
      <c r="C233" s="768" t="s">
        <v>845</v>
      </c>
      <c r="D233" s="761" t="s">
        <v>1693</v>
      </c>
      <c r="E233" s="754" t="s">
        <v>1374</v>
      </c>
      <c r="F233" s="789"/>
      <c r="G233" s="754"/>
      <c r="H233" s="754"/>
      <c r="I233" s="754"/>
      <c r="J233" s="754" t="s">
        <v>45</v>
      </c>
      <c r="K233" s="760" t="s">
        <v>45</v>
      </c>
      <c r="L233" s="760" t="s">
        <v>774</v>
      </c>
      <c r="M233" s="754" t="s">
        <v>809</v>
      </c>
      <c r="N233" s="754">
        <v>20.073437999999999</v>
      </c>
      <c r="O233" s="754">
        <v>93.154551999999995</v>
      </c>
      <c r="P233" s="754" t="s">
        <v>775</v>
      </c>
      <c r="Q233" s="754"/>
      <c r="R233" s="771"/>
      <c r="S233" s="764"/>
      <c r="T233" s="783"/>
      <c r="U233" s="765"/>
      <c r="V233" s="754"/>
      <c r="W233" s="754"/>
    </row>
    <row r="234" spans="1:23" s="75" customFormat="1" ht="14.25" customHeight="1">
      <c r="A234" s="764" t="s">
        <v>3006</v>
      </c>
      <c r="B234" s="760" t="s">
        <v>420</v>
      </c>
      <c r="C234" s="760" t="s">
        <v>424</v>
      </c>
      <c r="D234" s="637" t="s">
        <v>3117</v>
      </c>
      <c r="E234" s="754" t="s">
        <v>1374</v>
      </c>
      <c r="F234" s="760" t="s">
        <v>1776</v>
      </c>
      <c r="G234" s="754" t="s">
        <v>1777</v>
      </c>
      <c r="H234" s="754" t="s">
        <v>43</v>
      </c>
      <c r="I234" s="754"/>
      <c r="J234" s="754" t="s">
        <v>45</v>
      </c>
      <c r="K234" s="760" t="s">
        <v>45</v>
      </c>
      <c r="L234" s="760" t="s">
        <v>1912</v>
      </c>
      <c r="M234" s="754" t="s">
        <v>809</v>
      </c>
      <c r="N234" s="754">
        <v>20.073437999999999</v>
      </c>
      <c r="O234" s="754">
        <v>93.154551999999995</v>
      </c>
      <c r="P234" s="754" t="s">
        <v>813</v>
      </c>
      <c r="Q234" s="754" t="s">
        <v>794</v>
      </c>
      <c r="R234" s="763">
        <v>1010</v>
      </c>
      <c r="S234" s="764">
        <v>4686</v>
      </c>
      <c r="T234" s="783"/>
      <c r="U234" s="765"/>
      <c r="V234" s="754" t="s">
        <v>424</v>
      </c>
      <c r="W234" s="754"/>
    </row>
    <row r="235" spans="1:23" s="75" customFormat="1" ht="14.25" customHeight="1">
      <c r="A235" s="764" t="s">
        <v>3006</v>
      </c>
      <c r="B235" s="760" t="s">
        <v>420</v>
      </c>
      <c r="C235" s="760" t="s">
        <v>425</v>
      </c>
      <c r="D235" s="637" t="s">
        <v>3117</v>
      </c>
      <c r="E235" s="754" t="s">
        <v>1374</v>
      </c>
      <c r="F235" s="754" t="s">
        <v>1776</v>
      </c>
      <c r="G235" s="754" t="s">
        <v>1777</v>
      </c>
      <c r="H235" s="754" t="s">
        <v>43</v>
      </c>
      <c r="I235" s="754"/>
      <c r="J235" s="754" t="s">
        <v>45</v>
      </c>
      <c r="K235" s="760" t="s">
        <v>45</v>
      </c>
      <c r="L235" s="760" t="s">
        <v>808</v>
      </c>
      <c r="M235" s="754" t="s">
        <v>809</v>
      </c>
      <c r="N235" s="754">
        <v>20.073437999999999</v>
      </c>
      <c r="O235" s="760">
        <v>93.154551999999995</v>
      </c>
      <c r="P235" s="754" t="s">
        <v>775</v>
      </c>
      <c r="Q235" s="754" t="s">
        <v>794</v>
      </c>
      <c r="R235" s="763">
        <v>905</v>
      </c>
      <c r="S235" s="764">
        <v>4124</v>
      </c>
      <c r="T235" s="783"/>
      <c r="U235" s="765"/>
      <c r="V235" s="754" t="s">
        <v>425</v>
      </c>
      <c r="W235" s="754"/>
    </row>
    <row r="236" spans="1:23" s="75" customFormat="1" ht="14.25" customHeight="1">
      <c r="A236" s="764" t="s">
        <v>3006</v>
      </c>
      <c r="B236" s="760" t="s">
        <v>420</v>
      </c>
      <c r="C236" s="760" t="s">
        <v>2859</v>
      </c>
      <c r="D236" s="637" t="s">
        <v>1693</v>
      </c>
      <c r="E236" s="754">
        <v>197460</v>
      </c>
      <c r="F236" s="754"/>
      <c r="G236" s="754"/>
      <c r="H236" s="754"/>
      <c r="I236" s="754"/>
      <c r="J236" s="754" t="s">
        <v>812</v>
      </c>
      <c r="K236" s="754" t="s">
        <v>812</v>
      </c>
      <c r="L236" s="754" t="s">
        <v>812</v>
      </c>
      <c r="M236" s="754" t="s">
        <v>312</v>
      </c>
      <c r="N236" s="754"/>
      <c r="O236" s="754"/>
      <c r="P236" s="754"/>
      <c r="Q236" s="754"/>
      <c r="R236" s="763"/>
      <c r="S236" s="764"/>
      <c r="T236" s="783"/>
      <c r="U236" s="765"/>
      <c r="V236" s="754"/>
      <c r="W236" s="754"/>
    </row>
    <row r="237" spans="1:23" s="75" customFormat="1" ht="14.25" customHeight="1">
      <c r="A237" s="764" t="s">
        <v>3006</v>
      </c>
      <c r="B237" s="760" t="s">
        <v>420</v>
      </c>
      <c r="C237" s="760" t="s">
        <v>2850</v>
      </c>
      <c r="D237" s="637" t="s">
        <v>1693</v>
      </c>
      <c r="E237" s="754">
        <v>197449</v>
      </c>
      <c r="F237" s="754"/>
      <c r="G237" s="754"/>
      <c r="H237" s="754"/>
      <c r="I237" s="754"/>
      <c r="J237" s="754" t="s">
        <v>812</v>
      </c>
      <c r="K237" s="754" t="s">
        <v>812</v>
      </c>
      <c r="L237" s="754" t="s">
        <v>812</v>
      </c>
      <c r="M237" s="754" t="s">
        <v>312</v>
      </c>
      <c r="N237" s="754"/>
      <c r="O237" s="754"/>
      <c r="P237" s="754"/>
      <c r="Q237" s="754"/>
      <c r="R237" s="767"/>
      <c r="S237" s="768"/>
      <c r="T237" s="783"/>
      <c r="U237" s="765"/>
      <c r="V237" s="754"/>
      <c r="W237" s="754"/>
    </row>
    <row r="238" spans="1:23" s="75" customFormat="1" ht="14.25" customHeight="1">
      <c r="A238" s="764" t="s">
        <v>3006</v>
      </c>
      <c r="B238" s="760" t="s">
        <v>420</v>
      </c>
      <c r="C238" s="760" t="s">
        <v>849</v>
      </c>
      <c r="D238" s="637" t="s">
        <v>1693</v>
      </c>
      <c r="E238" s="754">
        <v>197531</v>
      </c>
      <c r="F238" s="754" t="s">
        <v>849</v>
      </c>
      <c r="G238" s="754"/>
      <c r="H238" s="754"/>
      <c r="I238" s="754"/>
      <c r="J238" s="754" t="s">
        <v>812</v>
      </c>
      <c r="K238" s="760" t="s">
        <v>812</v>
      </c>
      <c r="L238" s="760" t="s">
        <v>812</v>
      </c>
      <c r="M238" s="754"/>
      <c r="N238" s="754">
        <v>20.10293961</v>
      </c>
      <c r="O238" s="754">
        <v>93.000679020000007</v>
      </c>
      <c r="P238" s="754" t="s">
        <v>813</v>
      </c>
      <c r="Q238" s="754"/>
      <c r="R238" s="763"/>
      <c r="S238" s="764"/>
      <c r="T238" s="783"/>
      <c r="U238" s="765"/>
      <c r="V238" s="754" t="s">
        <v>850</v>
      </c>
      <c r="W238" s="754"/>
    </row>
    <row r="239" spans="1:23" s="75" customFormat="1" ht="14.25" customHeight="1">
      <c r="A239" s="764" t="s">
        <v>3006</v>
      </c>
      <c r="B239" s="760" t="s">
        <v>420</v>
      </c>
      <c r="C239" s="760" t="s">
        <v>842</v>
      </c>
      <c r="D239" s="637" t="s">
        <v>1693</v>
      </c>
      <c r="E239" s="754">
        <v>197430</v>
      </c>
      <c r="F239" s="760"/>
      <c r="G239" s="754"/>
      <c r="H239" s="754"/>
      <c r="I239" s="754"/>
      <c r="J239" s="754" t="s">
        <v>812</v>
      </c>
      <c r="K239" s="760" t="s">
        <v>812</v>
      </c>
      <c r="L239" s="760" t="s">
        <v>812</v>
      </c>
      <c r="M239" s="754" t="s">
        <v>312</v>
      </c>
      <c r="N239" s="754">
        <v>20.065919000000001</v>
      </c>
      <c r="O239" s="754">
        <v>93.004040000000003</v>
      </c>
      <c r="P239" s="754" t="s">
        <v>813</v>
      </c>
      <c r="Q239" s="754"/>
      <c r="R239" s="763"/>
      <c r="S239" s="764"/>
      <c r="T239" s="783"/>
      <c r="U239" s="765"/>
      <c r="V239" s="754" t="s">
        <v>842</v>
      </c>
      <c r="W239" s="754"/>
    </row>
    <row r="240" spans="1:23" s="75" customFormat="1" ht="14.25" customHeight="1">
      <c r="A240" s="764" t="s">
        <v>3006</v>
      </c>
      <c r="B240" s="760" t="s">
        <v>420</v>
      </c>
      <c r="C240" s="760" t="s">
        <v>2953</v>
      </c>
      <c r="D240" s="637" t="s">
        <v>1693</v>
      </c>
      <c r="E240" s="754">
        <v>197462</v>
      </c>
      <c r="F240" s="754"/>
      <c r="G240" s="754"/>
      <c r="H240" s="754"/>
      <c r="I240" s="754"/>
      <c r="J240" s="754" t="s">
        <v>812</v>
      </c>
      <c r="K240" s="754" t="s">
        <v>812</v>
      </c>
      <c r="L240" s="754" t="s">
        <v>812</v>
      </c>
      <c r="M240" s="754" t="s">
        <v>312</v>
      </c>
      <c r="N240" s="754"/>
      <c r="O240" s="754"/>
      <c r="P240" s="754"/>
      <c r="Q240" s="754"/>
      <c r="R240" s="767"/>
      <c r="S240" s="768"/>
      <c r="T240" s="783"/>
      <c r="U240" s="765"/>
      <c r="V240" s="754"/>
      <c r="W240" s="754"/>
    </row>
    <row r="241" spans="1:23" s="75" customFormat="1" ht="14.25" customHeight="1">
      <c r="A241" s="764" t="s">
        <v>3006</v>
      </c>
      <c r="B241" s="760" t="s">
        <v>420</v>
      </c>
      <c r="C241" s="760" t="s">
        <v>2854</v>
      </c>
      <c r="D241" s="761" t="s">
        <v>1693</v>
      </c>
      <c r="E241" s="754">
        <v>197442</v>
      </c>
      <c r="F241" s="754"/>
      <c r="G241" s="754"/>
      <c r="H241" s="754"/>
      <c r="I241" s="754"/>
      <c r="J241" s="754" t="s">
        <v>812</v>
      </c>
      <c r="K241" s="754" t="s">
        <v>812</v>
      </c>
      <c r="L241" s="754" t="s">
        <v>812</v>
      </c>
      <c r="M241" s="754" t="s">
        <v>2952</v>
      </c>
      <c r="N241" s="754"/>
      <c r="O241" s="754"/>
      <c r="P241" s="754"/>
      <c r="Q241" s="754"/>
      <c r="R241" s="760"/>
      <c r="S241" s="760"/>
      <c r="T241" s="783"/>
      <c r="U241" s="765"/>
      <c r="V241" s="754"/>
      <c r="W241" s="754"/>
    </row>
    <row r="242" spans="1:23" s="75" customFormat="1" ht="14.25" customHeight="1">
      <c r="A242" s="764" t="s">
        <v>3006</v>
      </c>
      <c r="B242" s="760" t="s">
        <v>420</v>
      </c>
      <c r="C242" s="760" t="s">
        <v>2855</v>
      </c>
      <c r="D242" s="637" t="s">
        <v>1693</v>
      </c>
      <c r="E242" s="754">
        <v>197405</v>
      </c>
      <c r="F242" s="754"/>
      <c r="G242" s="754"/>
      <c r="H242" s="754"/>
      <c r="I242" s="754"/>
      <c r="J242" s="754" t="s">
        <v>812</v>
      </c>
      <c r="K242" s="754" t="s">
        <v>812</v>
      </c>
      <c r="L242" s="754" t="s">
        <v>812</v>
      </c>
      <c r="M242" s="754" t="s">
        <v>312</v>
      </c>
      <c r="N242" s="754"/>
      <c r="O242" s="754"/>
      <c r="P242" s="754"/>
      <c r="Q242" s="754"/>
      <c r="R242" s="763"/>
      <c r="S242" s="764"/>
      <c r="T242" s="783"/>
      <c r="U242" s="765"/>
      <c r="V242" s="754"/>
      <c r="W242" s="754"/>
    </row>
    <row r="243" spans="1:23" s="75" customFormat="1" ht="14.25" customHeight="1">
      <c r="A243" s="764" t="s">
        <v>3006</v>
      </c>
      <c r="B243" s="760" t="s">
        <v>420</v>
      </c>
      <c r="C243" s="760" t="s">
        <v>426</v>
      </c>
      <c r="D243" s="761" t="s">
        <v>1693</v>
      </c>
      <c r="E243" s="770">
        <v>197557</v>
      </c>
      <c r="F243" s="588"/>
      <c r="G243" s="770"/>
      <c r="H243" s="770"/>
      <c r="I243" s="770"/>
      <c r="J243" s="754" t="s">
        <v>812</v>
      </c>
      <c r="K243" s="760" t="s">
        <v>812</v>
      </c>
      <c r="L243" s="760" t="s">
        <v>812</v>
      </c>
      <c r="M243" s="754" t="s">
        <v>312</v>
      </c>
      <c r="N243" s="754">
        <v>20.0839</v>
      </c>
      <c r="O243" s="754">
        <v>92.993799999999993</v>
      </c>
      <c r="P243" s="754" t="s">
        <v>813</v>
      </c>
      <c r="Q243" s="754" t="s">
        <v>794</v>
      </c>
      <c r="R243" s="760"/>
      <c r="S243" s="760"/>
      <c r="T243" s="783"/>
      <c r="U243" s="765"/>
      <c r="V243" s="754" t="s">
        <v>426</v>
      </c>
      <c r="W243" s="754"/>
    </row>
    <row r="244" spans="1:23" s="75" customFormat="1" ht="14.25" customHeight="1">
      <c r="A244" s="764" t="s">
        <v>3006</v>
      </c>
      <c r="B244" s="760" t="s">
        <v>420</v>
      </c>
      <c r="C244" s="760" t="s">
        <v>423</v>
      </c>
      <c r="D244" s="637" t="s">
        <v>3117</v>
      </c>
      <c r="E244" s="754" t="s">
        <v>1372</v>
      </c>
      <c r="F244" s="754" t="s">
        <v>423</v>
      </c>
      <c r="G244" s="754" t="s">
        <v>1722</v>
      </c>
      <c r="H244" s="754" t="s">
        <v>43</v>
      </c>
      <c r="I244" s="754"/>
      <c r="J244" s="754" t="s">
        <v>45</v>
      </c>
      <c r="K244" s="760" t="s">
        <v>45</v>
      </c>
      <c r="L244" s="760" t="s">
        <v>808</v>
      </c>
      <c r="M244" s="754" t="s">
        <v>809</v>
      </c>
      <c r="N244" s="754">
        <v>20.064226000000001</v>
      </c>
      <c r="O244" s="754">
        <v>92.993758999999997</v>
      </c>
      <c r="P244" s="754" t="s">
        <v>775</v>
      </c>
      <c r="Q244" s="754" t="s">
        <v>794</v>
      </c>
      <c r="R244" s="763">
        <v>617</v>
      </c>
      <c r="S244" s="764">
        <v>2852</v>
      </c>
      <c r="T244" s="783"/>
      <c r="U244" s="765"/>
      <c r="V244" s="754" t="s">
        <v>423</v>
      </c>
      <c r="W244" s="754"/>
    </row>
    <row r="245" spans="1:23" s="75" customFormat="1" ht="14.25" customHeight="1">
      <c r="A245" s="764" t="s">
        <v>3006</v>
      </c>
      <c r="B245" s="767" t="s">
        <v>420</v>
      </c>
      <c r="C245" s="767" t="s">
        <v>840</v>
      </c>
      <c r="D245" s="761" t="s">
        <v>1694</v>
      </c>
      <c r="E245" s="754" t="s">
        <v>1373</v>
      </c>
      <c r="F245" s="754" t="s">
        <v>423</v>
      </c>
      <c r="G245" s="754" t="s">
        <v>1722</v>
      </c>
      <c r="H245" s="754"/>
      <c r="I245" s="754"/>
      <c r="J245" s="754" t="s">
        <v>45</v>
      </c>
      <c r="K245" s="760" t="s">
        <v>45</v>
      </c>
      <c r="L245" s="760" t="s">
        <v>774</v>
      </c>
      <c r="M245" s="754" t="s">
        <v>809</v>
      </c>
      <c r="N245" s="754">
        <v>20.064226000000001</v>
      </c>
      <c r="O245" s="754">
        <v>92.993758999999997</v>
      </c>
      <c r="P245" s="754" t="s">
        <v>775</v>
      </c>
      <c r="Q245" s="754"/>
      <c r="R245" s="771"/>
      <c r="S245" s="764"/>
      <c r="T245" s="783"/>
      <c r="U245" s="765"/>
      <c r="V245" s="754" t="s">
        <v>841</v>
      </c>
      <c r="W245" s="754"/>
    </row>
    <row r="246" spans="1:23" s="75" customFormat="1" ht="14.25" customHeight="1">
      <c r="A246" s="764" t="s">
        <v>3006</v>
      </c>
      <c r="B246" s="760" t="s">
        <v>420</v>
      </c>
      <c r="C246" s="760" t="s">
        <v>422</v>
      </c>
      <c r="D246" s="637" t="s">
        <v>1693</v>
      </c>
      <c r="E246" s="754">
        <v>197548</v>
      </c>
      <c r="F246" s="754"/>
      <c r="G246" s="754"/>
      <c r="H246" s="754"/>
      <c r="I246" s="754"/>
      <c r="J246" s="754" t="s">
        <v>812</v>
      </c>
      <c r="K246" s="760" t="s">
        <v>812</v>
      </c>
      <c r="L246" s="760" t="s">
        <v>812</v>
      </c>
      <c r="M246" s="754" t="s">
        <v>809</v>
      </c>
      <c r="N246" s="754">
        <v>20.0641</v>
      </c>
      <c r="O246" s="760">
        <v>92.994600000000005</v>
      </c>
      <c r="P246" s="754" t="s">
        <v>813</v>
      </c>
      <c r="Q246" s="754" t="s">
        <v>794</v>
      </c>
      <c r="R246" s="763"/>
      <c r="S246" s="764"/>
      <c r="T246" s="783"/>
      <c r="U246" s="765"/>
      <c r="V246" s="754" t="s">
        <v>422</v>
      </c>
      <c r="W246" s="754"/>
    </row>
    <row r="247" spans="1:23" s="75" customFormat="1" ht="14.25" customHeight="1">
      <c r="A247" s="764" t="s">
        <v>3006</v>
      </c>
      <c r="B247" s="760" t="s">
        <v>420</v>
      </c>
      <c r="C247" s="760" t="s">
        <v>421</v>
      </c>
      <c r="D247" s="637" t="s">
        <v>1693</v>
      </c>
      <c r="E247" s="754">
        <v>197550</v>
      </c>
      <c r="F247" s="754"/>
      <c r="G247" s="754"/>
      <c r="H247" s="754"/>
      <c r="I247" s="754"/>
      <c r="J247" s="754" t="s">
        <v>812</v>
      </c>
      <c r="K247" s="760" t="s">
        <v>812</v>
      </c>
      <c r="L247" s="760" t="s">
        <v>812</v>
      </c>
      <c r="M247" s="754" t="s">
        <v>312</v>
      </c>
      <c r="N247" s="754">
        <v>20.057860999999999</v>
      </c>
      <c r="O247" s="760">
        <v>92.995181000000002</v>
      </c>
      <c r="P247" s="754" t="s">
        <v>813</v>
      </c>
      <c r="Q247" s="754" t="s">
        <v>794</v>
      </c>
      <c r="R247" s="763"/>
      <c r="S247" s="764"/>
      <c r="T247" s="783"/>
      <c r="U247" s="765"/>
      <c r="V247" s="754" t="s">
        <v>421</v>
      </c>
      <c r="W247" s="763"/>
    </row>
    <row r="248" spans="1:23" s="75" customFormat="1" ht="14.25" customHeight="1">
      <c r="A248" s="764" t="s">
        <v>3006</v>
      </c>
      <c r="B248" s="760" t="s">
        <v>420</v>
      </c>
      <c r="C248" s="760" t="s">
        <v>1159</v>
      </c>
      <c r="D248" s="637" t="s">
        <v>1693</v>
      </c>
      <c r="E248" s="754">
        <v>220691</v>
      </c>
      <c r="F248" s="760"/>
      <c r="G248" s="754"/>
      <c r="H248" s="754"/>
      <c r="I248" s="754"/>
      <c r="J248" s="754" t="s">
        <v>812</v>
      </c>
      <c r="K248" s="760" t="s">
        <v>812</v>
      </c>
      <c r="L248" s="760" t="s">
        <v>812</v>
      </c>
      <c r="M248" s="754"/>
      <c r="N248" s="754"/>
      <c r="O248" s="754"/>
      <c r="P248" s="754" t="s">
        <v>813</v>
      </c>
      <c r="Q248" s="754"/>
      <c r="R248" s="767"/>
      <c r="S248" s="768"/>
      <c r="T248" s="783"/>
      <c r="U248" s="765"/>
      <c r="V248" s="754" t="s">
        <v>1159</v>
      </c>
      <c r="W248" s="763"/>
    </row>
    <row r="249" spans="1:23" s="75" customFormat="1" ht="14.25" customHeight="1">
      <c r="A249" s="764" t="s">
        <v>3006</v>
      </c>
      <c r="B249" s="760" t="s">
        <v>420</v>
      </c>
      <c r="C249" s="760" t="s">
        <v>2858</v>
      </c>
      <c r="D249" s="637" t="s">
        <v>1693</v>
      </c>
      <c r="E249" s="754">
        <v>197403</v>
      </c>
      <c r="F249" s="754"/>
      <c r="G249" s="754"/>
      <c r="H249" s="754"/>
      <c r="I249" s="754"/>
      <c r="J249" s="754" t="s">
        <v>812</v>
      </c>
      <c r="K249" s="754" t="s">
        <v>812</v>
      </c>
      <c r="L249" s="754" t="s">
        <v>812</v>
      </c>
      <c r="M249" s="754" t="s">
        <v>312</v>
      </c>
      <c r="N249" s="754"/>
      <c r="O249" s="754"/>
      <c r="P249" s="754"/>
      <c r="Q249" s="754"/>
      <c r="R249" s="763"/>
      <c r="S249" s="764"/>
      <c r="T249" s="783"/>
      <c r="U249" s="765"/>
      <c r="V249" s="754"/>
      <c r="W249" s="754"/>
    </row>
    <row r="250" spans="1:23" s="75" customFormat="1" ht="14.25" customHeight="1">
      <c r="A250" s="764" t="s">
        <v>3006</v>
      </c>
      <c r="B250" s="760" t="s">
        <v>420</v>
      </c>
      <c r="C250" s="760" t="s">
        <v>2857</v>
      </c>
      <c r="D250" s="637" t="s">
        <v>1693</v>
      </c>
      <c r="E250" s="754">
        <v>197401</v>
      </c>
      <c r="F250" s="754" t="s">
        <v>2857</v>
      </c>
      <c r="G250" s="754"/>
      <c r="H250" s="754"/>
      <c r="I250" s="754"/>
      <c r="J250" s="754" t="s">
        <v>812</v>
      </c>
      <c r="K250" s="754" t="s">
        <v>812</v>
      </c>
      <c r="L250" s="754" t="s">
        <v>812</v>
      </c>
      <c r="M250" s="754" t="s">
        <v>312</v>
      </c>
      <c r="N250" s="754">
        <v>20.260679244995099</v>
      </c>
      <c r="O250" s="754">
        <v>93.051597595214801</v>
      </c>
      <c r="P250" s="754"/>
      <c r="Q250" s="754"/>
      <c r="R250" s="763"/>
      <c r="S250" s="764"/>
      <c r="T250" s="783"/>
      <c r="U250" s="765"/>
      <c r="V250" s="754"/>
      <c r="W250" s="754"/>
    </row>
    <row r="251" spans="1:23" s="75" customFormat="1" ht="14.25" customHeight="1">
      <c r="A251" s="764" t="s">
        <v>3006</v>
      </c>
      <c r="B251" s="760" t="s">
        <v>420</v>
      </c>
      <c r="C251" s="760" t="s">
        <v>843</v>
      </c>
      <c r="D251" s="637" t="s">
        <v>1693</v>
      </c>
      <c r="E251" s="754">
        <v>197562</v>
      </c>
      <c r="F251" s="760"/>
      <c r="G251" s="754"/>
      <c r="H251" s="754"/>
      <c r="I251" s="754"/>
      <c r="J251" s="754" t="s">
        <v>812</v>
      </c>
      <c r="K251" s="760" t="s">
        <v>812</v>
      </c>
      <c r="L251" s="760" t="s">
        <v>812</v>
      </c>
      <c r="M251" s="754"/>
      <c r="N251" s="754">
        <v>20.06903076</v>
      </c>
      <c r="O251" s="754">
        <v>92.930137630000004</v>
      </c>
      <c r="P251" s="754" t="s">
        <v>813</v>
      </c>
      <c r="Q251" s="754"/>
      <c r="R251" s="763"/>
      <c r="S251" s="764"/>
      <c r="T251" s="783"/>
      <c r="U251" s="765"/>
      <c r="V251" s="754" t="s">
        <v>844</v>
      </c>
      <c r="W251" s="763"/>
    </row>
    <row r="252" spans="1:23" s="75" customFormat="1" ht="14.25" customHeight="1">
      <c r="A252" s="764" t="s">
        <v>3006</v>
      </c>
      <c r="B252" s="760" t="s">
        <v>420</v>
      </c>
      <c r="C252" s="760" t="s">
        <v>3223</v>
      </c>
      <c r="D252" s="637"/>
      <c r="E252" s="754">
        <v>217986</v>
      </c>
      <c r="F252" s="754"/>
      <c r="G252" s="754"/>
      <c r="H252" s="754"/>
      <c r="I252" s="754"/>
      <c r="J252" s="754" t="s">
        <v>812</v>
      </c>
      <c r="K252" s="754" t="s">
        <v>812</v>
      </c>
      <c r="L252" s="754" t="s">
        <v>812</v>
      </c>
      <c r="M252" s="754"/>
      <c r="N252" s="754">
        <v>19.9964408874512</v>
      </c>
      <c r="O252" s="760">
        <v>92.951683044433594</v>
      </c>
      <c r="P252" s="754"/>
      <c r="Q252" s="754"/>
      <c r="R252" s="767"/>
      <c r="S252" s="768"/>
      <c r="T252" s="783"/>
      <c r="U252" s="765"/>
      <c r="V252" s="754"/>
      <c r="W252" s="754"/>
    </row>
    <row r="253" spans="1:23" s="75" customFormat="1" ht="14.25" customHeight="1">
      <c r="A253" s="764" t="s">
        <v>3006</v>
      </c>
      <c r="B253" s="760" t="s">
        <v>420</v>
      </c>
      <c r="C253" s="760" t="s">
        <v>2851</v>
      </c>
      <c r="D253" s="637" t="s">
        <v>1693</v>
      </c>
      <c r="E253" s="754">
        <v>197451</v>
      </c>
      <c r="F253" s="754"/>
      <c r="G253" s="754"/>
      <c r="H253" s="754"/>
      <c r="I253" s="754"/>
      <c r="J253" s="754" t="s">
        <v>812</v>
      </c>
      <c r="K253" s="754" t="s">
        <v>812</v>
      </c>
      <c r="L253" s="754" t="s">
        <v>812</v>
      </c>
      <c r="M253" s="754" t="s">
        <v>312</v>
      </c>
      <c r="N253" s="754"/>
      <c r="O253" s="754"/>
      <c r="P253" s="754"/>
      <c r="Q253" s="754"/>
      <c r="R253" s="763"/>
      <c r="S253" s="764"/>
      <c r="T253" s="783"/>
      <c r="U253" s="765"/>
      <c r="V253" s="754"/>
      <c r="W253" s="754"/>
    </row>
    <row r="254" spans="1:23" s="75" customFormat="1" ht="14.25" customHeight="1">
      <c r="A254" s="764" t="s">
        <v>3006</v>
      </c>
      <c r="B254" s="760" t="s">
        <v>420</v>
      </c>
      <c r="C254" s="760" t="s">
        <v>2820</v>
      </c>
      <c r="D254" s="637"/>
      <c r="E254" s="754"/>
      <c r="F254" s="760"/>
      <c r="G254" s="754"/>
      <c r="H254" s="754"/>
      <c r="I254" s="754"/>
      <c r="J254" s="754" t="s">
        <v>812</v>
      </c>
      <c r="K254" s="754" t="s">
        <v>812</v>
      </c>
      <c r="L254" s="754" t="s">
        <v>812</v>
      </c>
      <c r="M254" s="754"/>
      <c r="N254" s="754"/>
      <c r="O254" s="754"/>
      <c r="P254" s="754"/>
      <c r="Q254" s="754"/>
      <c r="R254" s="767"/>
      <c r="S254" s="768"/>
      <c r="T254" s="783"/>
      <c r="U254" s="765"/>
      <c r="V254" s="754"/>
      <c r="W254" s="754"/>
    </row>
    <row r="255" spans="1:23" s="75" customFormat="1" ht="14.25" customHeight="1">
      <c r="A255" s="764" t="s">
        <v>3006</v>
      </c>
      <c r="B255" s="760" t="s">
        <v>420</v>
      </c>
      <c r="C255" s="760" t="s">
        <v>2821</v>
      </c>
      <c r="D255" s="637"/>
      <c r="E255" s="754"/>
      <c r="F255" s="760"/>
      <c r="G255" s="754"/>
      <c r="H255" s="754"/>
      <c r="I255" s="754"/>
      <c r="J255" s="754" t="s">
        <v>812</v>
      </c>
      <c r="K255" s="754" t="s">
        <v>812</v>
      </c>
      <c r="L255" s="754" t="s">
        <v>812</v>
      </c>
      <c r="M255" s="754"/>
      <c r="N255" s="754"/>
      <c r="O255" s="754"/>
      <c r="P255" s="754"/>
      <c r="Q255" s="754"/>
      <c r="R255" s="767"/>
      <c r="S255" s="768"/>
      <c r="T255" s="783"/>
      <c r="U255" s="765"/>
      <c r="V255" s="754"/>
      <c r="W255" s="754"/>
    </row>
    <row r="256" spans="1:23" s="75" customFormat="1" ht="14.25" customHeight="1">
      <c r="A256" s="764" t="s">
        <v>3006</v>
      </c>
      <c r="B256" s="760" t="s">
        <v>420</v>
      </c>
      <c r="C256" s="760" t="s">
        <v>2825</v>
      </c>
      <c r="D256" s="637"/>
      <c r="E256" s="754">
        <v>197543</v>
      </c>
      <c r="F256" s="754" t="s">
        <v>539</v>
      </c>
      <c r="G256" s="754"/>
      <c r="H256" s="754"/>
      <c r="I256" s="754"/>
      <c r="J256" s="754" t="s">
        <v>812</v>
      </c>
      <c r="K256" s="754" t="s">
        <v>812</v>
      </c>
      <c r="L256" s="754" t="s">
        <v>812</v>
      </c>
      <c r="M256" s="754"/>
      <c r="N256" s="754">
        <v>19.9403591156006</v>
      </c>
      <c r="O256" s="754">
        <v>93.009452819824205</v>
      </c>
      <c r="P256" s="754"/>
      <c r="Q256" s="754"/>
      <c r="R256" s="767"/>
      <c r="S256" s="768"/>
      <c r="T256" s="783"/>
      <c r="U256" s="765"/>
      <c r="V256" s="754"/>
      <c r="W256" s="754"/>
    </row>
    <row r="257" spans="1:23" s="75" customFormat="1" ht="14.25" customHeight="1">
      <c r="A257" s="764" t="s">
        <v>3006</v>
      </c>
      <c r="B257" s="760" t="s">
        <v>420</v>
      </c>
      <c r="C257" s="760" t="s">
        <v>2823</v>
      </c>
      <c r="D257" s="637"/>
      <c r="E257" s="754">
        <v>197574</v>
      </c>
      <c r="F257" s="754" t="s">
        <v>3080</v>
      </c>
      <c r="G257" s="754"/>
      <c r="H257" s="754"/>
      <c r="I257" s="754"/>
      <c r="J257" s="754" t="s">
        <v>812</v>
      </c>
      <c r="K257" s="754" t="s">
        <v>812</v>
      </c>
      <c r="L257" s="754" t="s">
        <v>812</v>
      </c>
      <c r="M257" s="754"/>
      <c r="N257" s="754">
        <v>20.068620681762699</v>
      </c>
      <c r="O257" s="754">
        <v>92.934440612792997</v>
      </c>
      <c r="P257" s="754"/>
      <c r="Q257" s="754"/>
      <c r="R257" s="767"/>
      <c r="S257" s="768"/>
      <c r="T257" s="783"/>
      <c r="U257" s="765"/>
      <c r="V257" s="754"/>
      <c r="W257" s="754"/>
    </row>
    <row r="258" spans="1:23" s="75" customFormat="1" ht="14.25" customHeight="1">
      <c r="A258" s="764" t="s">
        <v>3006</v>
      </c>
      <c r="B258" s="760" t="s">
        <v>420</v>
      </c>
      <c r="C258" s="760" t="s">
        <v>2849</v>
      </c>
      <c r="D258" s="761" t="s">
        <v>1693</v>
      </c>
      <c r="E258" s="770">
        <v>197447</v>
      </c>
      <c r="F258" s="770"/>
      <c r="G258" s="770"/>
      <c r="H258" s="770"/>
      <c r="I258" s="770"/>
      <c r="J258" s="754" t="s">
        <v>812</v>
      </c>
      <c r="K258" s="754" t="s">
        <v>812</v>
      </c>
      <c r="L258" s="754" t="s">
        <v>812</v>
      </c>
      <c r="M258" s="754" t="s">
        <v>312</v>
      </c>
      <c r="N258" s="754"/>
      <c r="O258" s="754"/>
      <c r="P258" s="754"/>
      <c r="Q258" s="754"/>
      <c r="R258" s="760"/>
      <c r="S258" s="760"/>
      <c r="T258" s="783"/>
      <c r="U258" s="765"/>
      <c r="V258" s="754"/>
      <c r="W258" s="754"/>
    </row>
    <row r="259" spans="1:23" s="75" customFormat="1" ht="14.25" customHeight="1">
      <c r="A259" s="764" t="s">
        <v>3006</v>
      </c>
      <c r="B259" s="767" t="s">
        <v>470</v>
      </c>
      <c r="C259" s="768" t="s">
        <v>3125</v>
      </c>
      <c r="D259" s="761"/>
      <c r="E259" s="754">
        <v>196217</v>
      </c>
      <c r="F259" s="754"/>
      <c r="G259" s="754"/>
      <c r="H259" s="754"/>
      <c r="I259" s="754"/>
      <c r="J259" s="754" t="s">
        <v>3017</v>
      </c>
      <c r="K259" s="754" t="s">
        <v>2935</v>
      </c>
      <c r="L259" s="754" t="s">
        <v>2935</v>
      </c>
      <c r="M259" s="754"/>
      <c r="N259" s="754">
        <v>20.643140792846701</v>
      </c>
      <c r="O259" s="754">
        <v>92.851875305175795</v>
      </c>
      <c r="P259" s="754"/>
      <c r="Q259" s="754"/>
      <c r="R259" s="771"/>
      <c r="S259" s="764"/>
      <c r="T259" s="783">
        <v>43591</v>
      </c>
      <c r="U259" s="771"/>
      <c r="V259" s="754"/>
      <c r="W259" s="763"/>
    </row>
    <row r="260" spans="1:23" s="75" customFormat="1" ht="14.25" customHeight="1">
      <c r="A260" s="767" t="s">
        <v>3006</v>
      </c>
      <c r="B260" s="767" t="s">
        <v>470</v>
      </c>
      <c r="C260" s="768" t="s">
        <v>3227</v>
      </c>
      <c r="D260" s="761"/>
      <c r="E260" s="754">
        <v>196309</v>
      </c>
      <c r="F260" s="754"/>
      <c r="G260" s="754"/>
      <c r="H260" s="754"/>
      <c r="I260" s="754"/>
      <c r="J260" s="754" t="s">
        <v>3017</v>
      </c>
      <c r="K260" s="754" t="s">
        <v>2935</v>
      </c>
      <c r="L260" s="754" t="s">
        <v>2935</v>
      </c>
      <c r="M260" s="754"/>
      <c r="N260" s="754">
        <v>20.623949050903299</v>
      </c>
      <c r="O260" s="754">
        <v>92.950813293457003</v>
      </c>
      <c r="P260" s="754"/>
      <c r="Q260" s="754"/>
      <c r="R260" s="771"/>
      <c r="S260" s="764"/>
      <c r="T260" s="783">
        <v>43591</v>
      </c>
      <c r="U260" s="771"/>
      <c r="V260" s="754" t="s">
        <v>3167</v>
      </c>
      <c r="W260" s="763"/>
    </row>
    <row r="261" spans="1:23" s="75" customFormat="1" ht="14.25" customHeight="1">
      <c r="A261" s="767" t="s">
        <v>3006</v>
      </c>
      <c r="B261" s="767" t="s">
        <v>470</v>
      </c>
      <c r="C261" s="768" t="s">
        <v>3166</v>
      </c>
      <c r="D261" s="761"/>
      <c r="E261" s="754"/>
      <c r="F261" s="754"/>
      <c r="G261" s="754"/>
      <c r="H261" s="754"/>
      <c r="I261" s="754"/>
      <c r="J261" s="754" t="s">
        <v>3017</v>
      </c>
      <c r="K261" s="754" t="s">
        <v>2935</v>
      </c>
      <c r="L261" s="754" t="s">
        <v>2935</v>
      </c>
      <c r="M261" s="754"/>
      <c r="N261" s="754"/>
      <c r="O261" s="754"/>
      <c r="P261" s="754"/>
      <c r="Q261" s="754"/>
      <c r="R261" s="771"/>
      <c r="S261" s="764"/>
      <c r="T261" s="783">
        <v>43591</v>
      </c>
      <c r="U261" s="771"/>
      <c r="V261" s="754"/>
      <c r="W261" s="763"/>
    </row>
    <row r="262" spans="1:23" s="75" customFormat="1" ht="14.25" customHeight="1">
      <c r="A262" s="767" t="s">
        <v>3006</v>
      </c>
      <c r="B262" s="767" t="s">
        <v>470</v>
      </c>
      <c r="C262" s="768" t="s">
        <v>3170</v>
      </c>
      <c r="D262" s="761"/>
      <c r="E262" s="754">
        <v>196329</v>
      </c>
      <c r="F262" s="754"/>
      <c r="G262" s="754"/>
      <c r="H262" s="754"/>
      <c r="I262" s="754"/>
      <c r="J262" s="754" t="s">
        <v>3017</v>
      </c>
      <c r="K262" s="754" t="s">
        <v>2935</v>
      </c>
      <c r="L262" s="754" t="s">
        <v>2935</v>
      </c>
      <c r="M262" s="754"/>
      <c r="N262" s="754">
        <v>20.5511798858643</v>
      </c>
      <c r="O262" s="754">
        <v>93.065322875976605</v>
      </c>
      <c r="P262" s="754"/>
      <c r="Q262" s="754"/>
      <c r="R262" s="771"/>
      <c r="S262" s="764"/>
      <c r="T262" s="783">
        <v>43591</v>
      </c>
      <c r="U262" s="771"/>
      <c r="V262" s="754"/>
      <c r="W262" s="763"/>
    </row>
    <row r="263" spans="1:23" s="75" customFormat="1" ht="14.25" customHeight="1">
      <c r="A263" s="764" t="s">
        <v>3006</v>
      </c>
      <c r="B263" s="760" t="s">
        <v>470</v>
      </c>
      <c r="C263" s="760" t="s">
        <v>502</v>
      </c>
      <c r="D263" s="637" t="s">
        <v>1693</v>
      </c>
      <c r="E263" s="754">
        <v>196350</v>
      </c>
      <c r="F263" s="760"/>
      <c r="G263" s="754"/>
      <c r="H263" s="754"/>
      <c r="I263" s="754"/>
      <c r="J263" s="754" t="s">
        <v>812</v>
      </c>
      <c r="K263" s="760" t="s">
        <v>812</v>
      </c>
      <c r="L263" s="760" t="s">
        <v>812</v>
      </c>
      <c r="M263" s="754" t="s">
        <v>809</v>
      </c>
      <c r="N263" s="754">
        <v>20.494340900000001</v>
      </c>
      <c r="O263" s="754">
        <v>93.054298399999993</v>
      </c>
      <c r="P263" s="754" t="s">
        <v>813</v>
      </c>
      <c r="Q263" s="754" t="s">
        <v>794</v>
      </c>
      <c r="R263" s="763"/>
      <c r="S263" s="764"/>
      <c r="T263" s="783"/>
      <c r="U263" s="765"/>
      <c r="V263" s="754" t="s">
        <v>915</v>
      </c>
      <c r="W263" s="763"/>
    </row>
    <row r="264" spans="1:23" s="75" customFormat="1" ht="14.25" customHeight="1">
      <c r="A264" s="767" t="s">
        <v>3006</v>
      </c>
      <c r="B264" s="767" t="s">
        <v>470</v>
      </c>
      <c r="C264" s="768" t="s">
        <v>3163</v>
      </c>
      <c r="D264" s="761"/>
      <c r="E264" s="754">
        <v>196218</v>
      </c>
      <c r="F264" s="754"/>
      <c r="G264" s="754"/>
      <c r="H264" s="754"/>
      <c r="I264" s="754"/>
      <c r="J264" s="754" t="s">
        <v>3017</v>
      </c>
      <c r="K264" s="754" t="s">
        <v>2935</v>
      </c>
      <c r="L264" s="754" t="s">
        <v>2935</v>
      </c>
      <c r="M264" s="754"/>
      <c r="N264" s="754">
        <v>20.709392547607401</v>
      </c>
      <c r="O264" s="754">
        <v>92.815086364746094</v>
      </c>
      <c r="P264" s="754"/>
      <c r="Q264" s="754"/>
      <c r="R264" s="771"/>
      <c r="S264" s="764"/>
      <c r="T264" s="783">
        <v>43591</v>
      </c>
      <c r="U264" s="771"/>
      <c r="V264" s="754"/>
      <c r="W264" s="763"/>
    </row>
    <row r="265" spans="1:23" s="75" customFormat="1" ht="14.25" customHeight="1">
      <c r="A265" s="764" t="s">
        <v>3006</v>
      </c>
      <c r="B265" s="760" t="s">
        <v>470</v>
      </c>
      <c r="C265" s="760" t="s">
        <v>526</v>
      </c>
      <c r="D265" s="637" t="s">
        <v>1693</v>
      </c>
      <c r="E265" s="754">
        <v>196318</v>
      </c>
      <c r="F265" s="789" t="s">
        <v>526</v>
      </c>
      <c r="G265" s="754"/>
      <c r="H265" s="754"/>
      <c r="I265" s="754"/>
      <c r="J265" s="754" t="s">
        <v>812</v>
      </c>
      <c r="K265" s="760" t="s">
        <v>812</v>
      </c>
      <c r="L265" s="760" t="s">
        <v>812</v>
      </c>
      <c r="M265" s="754" t="s">
        <v>809</v>
      </c>
      <c r="N265" s="754">
        <v>20.608819960000002</v>
      </c>
      <c r="O265" s="754">
        <v>93.022407529999995</v>
      </c>
      <c r="P265" s="754" t="s">
        <v>813</v>
      </c>
      <c r="Q265" s="754" t="s">
        <v>794</v>
      </c>
      <c r="R265" s="763"/>
      <c r="S265" s="764"/>
      <c r="T265" s="783"/>
      <c r="U265" s="765"/>
      <c r="V265" s="754" t="s">
        <v>930</v>
      </c>
      <c r="W265" s="763"/>
    </row>
    <row r="266" spans="1:23" s="75" customFormat="1" ht="14.25" customHeight="1">
      <c r="A266" s="767" t="s">
        <v>3006</v>
      </c>
      <c r="B266" s="767" t="s">
        <v>470</v>
      </c>
      <c r="C266" s="768" t="s">
        <v>3164</v>
      </c>
      <c r="D266" s="761"/>
      <c r="E266" s="754">
        <v>196403</v>
      </c>
      <c r="F266" s="754"/>
      <c r="G266" s="754"/>
      <c r="H266" s="754"/>
      <c r="I266" s="754"/>
      <c r="J266" s="754" t="s">
        <v>3017</v>
      </c>
      <c r="K266" s="754" t="s">
        <v>2935</v>
      </c>
      <c r="L266" s="754" t="s">
        <v>2935</v>
      </c>
      <c r="M266" s="754"/>
      <c r="N266" s="754">
        <v>20.303350448608398</v>
      </c>
      <c r="O266" s="754">
        <v>92.927062988281307</v>
      </c>
      <c r="P266" s="754"/>
      <c r="Q266" s="754"/>
      <c r="R266" s="771"/>
      <c r="S266" s="764"/>
      <c r="T266" s="783">
        <v>43591</v>
      </c>
      <c r="U266" s="771"/>
      <c r="V266" s="754"/>
      <c r="W266" s="763"/>
    </row>
    <row r="267" spans="1:23" s="75" customFormat="1" ht="14.25" customHeight="1">
      <c r="A267" s="764" t="s">
        <v>3006</v>
      </c>
      <c r="B267" s="760" t="s">
        <v>470</v>
      </c>
      <c r="C267" s="760" t="s">
        <v>899</v>
      </c>
      <c r="D267" s="637" t="s">
        <v>1693</v>
      </c>
      <c r="E267" s="754">
        <v>196357</v>
      </c>
      <c r="F267" s="754" t="s">
        <v>899</v>
      </c>
      <c r="G267" s="754"/>
      <c r="H267" s="754"/>
      <c r="I267" s="754"/>
      <c r="J267" s="754" t="s">
        <v>812</v>
      </c>
      <c r="K267" s="760" t="s">
        <v>812</v>
      </c>
      <c r="L267" s="760" t="s">
        <v>812</v>
      </c>
      <c r="M267" s="754" t="s">
        <v>312</v>
      </c>
      <c r="N267" s="754">
        <v>20.369959999999999</v>
      </c>
      <c r="O267" s="754">
        <v>93.019220000000004</v>
      </c>
      <c r="P267" s="754" t="s">
        <v>813</v>
      </c>
      <c r="Q267" s="754"/>
      <c r="R267" s="763"/>
      <c r="S267" s="764"/>
      <c r="T267" s="783"/>
      <c r="U267" s="765"/>
      <c r="V267" s="754" t="s">
        <v>899</v>
      </c>
      <c r="W267" s="763"/>
    </row>
    <row r="268" spans="1:23" s="75" customFormat="1" ht="14.25" customHeight="1">
      <c r="A268" s="764" t="s">
        <v>3006</v>
      </c>
      <c r="B268" s="760" t="s">
        <v>470</v>
      </c>
      <c r="C268" s="760" t="s">
        <v>527</v>
      </c>
      <c r="D268" s="637" t="s">
        <v>1693</v>
      </c>
      <c r="E268" s="754">
        <v>196316</v>
      </c>
      <c r="F268" s="754"/>
      <c r="G268" s="754"/>
      <c r="H268" s="754"/>
      <c r="I268" s="754"/>
      <c r="J268" s="754" t="s">
        <v>812</v>
      </c>
      <c r="K268" s="760" t="s">
        <v>812</v>
      </c>
      <c r="L268" s="760" t="s">
        <v>812</v>
      </c>
      <c r="M268" s="754" t="s">
        <v>312</v>
      </c>
      <c r="N268" s="754">
        <v>20.630609509999999</v>
      </c>
      <c r="O268" s="754">
        <v>92.998641969999994</v>
      </c>
      <c r="P268" s="754" t="s">
        <v>813</v>
      </c>
      <c r="Q268" s="754" t="s">
        <v>794</v>
      </c>
      <c r="R268" s="763"/>
      <c r="S268" s="764"/>
      <c r="T268" s="783"/>
      <c r="U268" s="765"/>
      <c r="V268" s="754" t="s">
        <v>932</v>
      </c>
      <c r="W268" s="763"/>
    </row>
    <row r="269" spans="1:23" s="75" customFormat="1" ht="14.25" customHeight="1">
      <c r="A269" s="767" t="s">
        <v>3006</v>
      </c>
      <c r="B269" s="767" t="s">
        <v>470</v>
      </c>
      <c r="C269" s="768" t="s">
        <v>3168</v>
      </c>
      <c r="D269" s="761"/>
      <c r="E269" s="754">
        <v>196317</v>
      </c>
      <c r="F269" s="754"/>
      <c r="G269" s="754"/>
      <c r="H269" s="754"/>
      <c r="I269" s="754"/>
      <c r="J269" s="754" t="s">
        <v>3017</v>
      </c>
      <c r="K269" s="754" t="s">
        <v>2935</v>
      </c>
      <c r="L269" s="754" t="s">
        <v>2935</v>
      </c>
      <c r="M269" s="754"/>
      <c r="N269" s="754">
        <v>20.616569519043001</v>
      </c>
      <c r="O269" s="754">
        <v>92.991638183593807</v>
      </c>
      <c r="P269" s="754"/>
      <c r="Q269" s="754"/>
      <c r="R269" s="771"/>
      <c r="S269" s="764"/>
      <c r="T269" s="783">
        <v>43591</v>
      </c>
      <c r="U269" s="771"/>
      <c r="V269" s="754"/>
      <c r="W269" s="763"/>
    </row>
    <row r="270" spans="1:23" s="75" customFormat="1" ht="14.25" customHeight="1">
      <c r="A270" s="764" t="s">
        <v>3006</v>
      </c>
      <c r="B270" s="760" t="s">
        <v>470</v>
      </c>
      <c r="C270" s="760" t="s">
        <v>533</v>
      </c>
      <c r="D270" s="637" t="s">
        <v>1693</v>
      </c>
      <c r="E270" s="754">
        <v>196313</v>
      </c>
      <c r="F270" s="754" t="s">
        <v>528</v>
      </c>
      <c r="G270" s="754"/>
      <c r="H270" s="754"/>
      <c r="I270" s="754"/>
      <c r="J270" s="754" t="s">
        <v>812</v>
      </c>
      <c r="K270" s="754" t="s">
        <v>812</v>
      </c>
      <c r="L270" s="754" t="s">
        <v>812</v>
      </c>
      <c r="M270" s="754" t="s">
        <v>312</v>
      </c>
      <c r="N270" s="754">
        <v>20.645240780000002</v>
      </c>
      <c r="O270" s="754">
        <v>92.939758299999994</v>
      </c>
      <c r="P270" s="754" t="s">
        <v>813</v>
      </c>
      <c r="Q270" s="754" t="s">
        <v>794</v>
      </c>
      <c r="R270" s="763"/>
      <c r="S270" s="764"/>
      <c r="T270" s="783"/>
      <c r="U270" s="765"/>
      <c r="V270" s="754" t="s">
        <v>533</v>
      </c>
      <c r="W270" s="763"/>
    </row>
    <row r="271" spans="1:23" s="75" customFormat="1" ht="14.25" customHeight="1">
      <c r="A271" s="764" t="s">
        <v>3006</v>
      </c>
      <c r="B271" s="760" t="s">
        <v>470</v>
      </c>
      <c r="C271" s="760" t="s">
        <v>896</v>
      </c>
      <c r="D271" s="637" t="s">
        <v>1693</v>
      </c>
      <c r="E271" s="754">
        <v>196401</v>
      </c>
      <c r="F271" s="754"/>
      <c r="G271" s="754"/>
      <c r="H271" s="754"/>
      <c r="I271" s="754"/>
      <c r="J271" s="754" t="s">
        <v>812</v>
      </c>
      <c r="K271" s="754" t="s">
        <v>812</v>
      </c>
      <c r="L271" s="754" t="s">
        <v>812</v>
      </c>
      <c r="M271" s="754" t="s">
        <v>312</v>
      </c>
      <c r="N271" s="754">
        <v>20.327500000000001</v>
      </c>
      <c r="O271" s="754">
        <v>92.8947</v>
      </c>
      <c r="P271" s="754" t="s">
        <v>813</v>
      </c>
      <c r="Q271" s="754"/>
      <c r="R271" s="763"/>
      <c r="S271" s="764"/>
      <c r="T271" s="783"/>
      <c r="U271" s="765"/>
      <c r="V271" s="754" t="s">
        <v>896</v>
      </c>
      <c r="W271" s="763"/>
    </row>
    <row r="272" spans="1:23" s="75" customFormat="1" ht="14.25" customHeight="1">
      <c r="A272" s="764" t="s">
        <v>3006</v>
      </c>
      <c r="B272" s="760" t="s">
        <v>470</v>
      </c>
      <c r="C272" s="760" t="s">
        <v>499</v>
      </c>
      <c r="D272" s="637" t="s">
        <v>1693</v>
      </c>
      <c r="E272" s="754">
        <v>196349</v>
      </c>
      <c r="F272" s="754"/>
      <c r="G272" s="754"/>
      <c r="H272" s="754"/>
      <c r="I272" s="754"/>
      <c r="J272" s="754" t="s">
        <v>812</v>
      </c>
      <c r="K272" s="754" t="s">
        <v>812</v>
      </c>
      <c r="L272" s="754" t="s">
        <v>812</v>
      </c>
      <c r="M272" s="754" t="s">
        <v>312</v>
      </c>
      <c r="N272" s="754">
        <v>20.482030869999999</v>
      </c>
      <c r="O272" s="760">
        <v>93.045410160000003</v>
      </c>
      <c r="P272" s="754" t="s">
        <v>813</v>
      </c>
      <c r="Q272" s="754" t="s">
        <v>794</v>
      </c>
      <c r="R272" s="763"/>
      <c r="S272" s="764"/>
      <c r="T272" s="783"/>
      <c r="U272" s="765"/>
      <c r="V272" s="754" t="s">
        <v>499</v>
      </c>
      <c r="W272" s="763"/>
    </row>
    <row r="273" spans="1:23" s="75" customFormat="1" ht="14.25" customHeight="1">
      <c r="A273" s="764" t="s">
        <v>3006</v>
      </c>
      <c r="B273" s="760" t="s">
        <v>470</v>
      </c>
      <c r="C273" s="760" t="s">
        <v>895</v>
      </c>
      <c r="D273" s="637" t="s">
        <v>1693</v>
      </c>
      <c r="E273" s="754">
        <v>196375</v>
      </c>
      <c r="F273" s="754" t="s">
        <v>895</v>
      </c>
      <c r="G273" s="754"/>
      <c r="H273" s="754"/>
      <c r="I273" s="754"/>
      <c r="J273" s="754" t="s">
        <v>812</v>
      </c>
      <c r="K273" s="754" t="s">
        <v>812</v>
      </c>
      <c r="L273" s="754" t="s">
        <v>812</v>
      </c>
      <c r="M273" s="754" t="s">
        <v>312</v>
      </c>
      <c r="N273" s="754">
        <v>20.308</v>
      </c>
      <c r="O273" s="754">
        <v>93.01</v>
      </c>
      <c r="P273" s="754" t="s">
        <v>813</v>
      </c>
      <c r="Q273" s="754"/>
      <c r="R273" s="763"/>
      <c r="S273" s="764"/>
      <c r="T273" s="783"/>
      <c r="U273" s="765"/>
      <c r="V273" s="754" t="s">
        <v>895</v>
      </c>
      <c r="W273" s="763"/>
    </row>
    <row r="274" spans="1:23" s="75" customFormat="1" ht="14.25" customHeight="1">
      <c r="A274" s="767" t="s">
        <v>3006</v>
      </c>
      <c r="B274" s="767" t="s">
        <v>470</v>
      </c>
      <c r="C274" s="768" t="s">
        <v>3169</v>
      </c>
      <c r="D274" s="761"/>
      <c r="E274" s="754">
        <v>196315</v>
      </c>
      <c r="F274" s="754"/>
      <c r="G274" s="754"/>
      <c r="H274" s="754"/>
      <c r="I274" s="754"/>
      <c r="J274" s="754" t="s">
        <v>3017</v>
      </c>
      <c r="K274" s="754" t="s">
        <v>2935</v>
      </c>
      <c r="L274" s="754" t="s">
        <v>2935</v>
      </c>
      <c r="M274" s="754"/>
      <c r="N274" s="754">
        <v>20.622760772705099</v>
      </c>
      <c r="O274" s="754">
        <v>92.954826354980497</v>
      </c>
      <c r="P274" s="754"/>
      <c r="Q274" s="754"/>
      <c r="R274" s="771"/>
      <c r="S274" s="764"/>
      <c r="T274" s="783">
        <v>43591</v>
      </c>
      <c r="U274" s="771"/>
      <c r="V274" s="754"/>
      <c r="W274" s="763"/>
    </row>
    <row r="275" spans="1:23" s="75" customFormat="1" ht="14.25" customHeight="1">
      <c r="A275" s="764" t="s">
        <v>3006</v>
      </c>
      <c r="B275" s="760" t="s">
        <v>470</v>
      </c>
      <c r="C275" s="760" t="s">
        <v>528</v>
      </c>
      <c r="D275" s="637" t="s">
        <v>1693</v>
      </c>
      <c r="E275" s="754">
        <v>196312</v>
      </c>
      <c r="F275" s="760"/>
      <c r="G275" s="754"/>
      <c r="H275" s="754"/>
      <c r="I275" s="754"/>
      <c r="J275" s="754" t="s">
        <v>812</v>
      </c>
      <c r="K275" s="754" t="s">
        <v>812</v>
      </c>
      <c r="L275" s="754" t="s">
        <v>812</v>
      </c>
      <c r="M275" s="754" t="s">
        <v>312</v>
      </c>
      <c r="N275" s="754">
        <v>20.63272095</v>
      </c>
      <c r="O275" s="760">
        <v>92.940132140000003</v>
      </c>
      <c r="P275" s="754" t="s">
        <v>813</v>
      </c>
      <c r="Q275" s="754" t="s">
        <v>794</v>
      </c>
      <c r="R275" s="767"/>
      <c r="S275" s="768"/>
      <c r="T275" s="783"/>
      <c r="U275" s="765"/>
      <c r="V275" s="754" t="s">
        <v>933</v>
      </c>
      <c r="W275" s="763"/>
    </row>
    <row r="276" spans="1:23" s="75" customFormat="1" ht="14.25" customHeight="1">
      <c r="A276" s="764" t="s">
        <v>3006</v>
      </c>
      <c r="B276" s="760" t="s">
        <v>470</v>
      </c>
      <c r="C276" s="760" t="s">
        <v>525</v>
      </c>
      <c r="D276" s="637" t="s">
        <v>1693</v>
      </c>
      <c r="E276" s="754">
        <v>196321</v>
      </c>
      <c r="F276" s="760"/>
      <c r="G276" s="754"/>
      <c r="H276" s="754"/>
      <c r="I276" s="754"/>
      <c r="J276" s="754" t="s">
        <v>812</v>
      </c>
      <c r="K276" s="754" t="s">
        <v>812</v>
      </c>
      <c r="L276" s="754" t="s">
        <v>812</v>
      </c>
      <c r="M276" s="754" t="s">
        <v>312</v>
      </c>
      <c r="N276" s="754">
        <v>20.59627914</v>
      </c>
      <c r="O276" s="754">
        <v>92.987480160000004</v>
      </c>
      <c r="P276" s="754" t="s">
        <v>813</v>
      </c>
      <c r="Q276" s="754" t="s">
        <v>794</v>
      </c>
      <c r="R276" s="763"/>
      <c r="S276" s="764"/>
      <c r="T276" s="783"/>
      <c r="U276" s="765"/>
      <c r="V276" s="754" t="s">
        <v>525</v>
      </c>
      <c r="W276" s="763"/>
    </row>
    <row r="277" spans="1:23" s="75" customFormat="1" ht="14.25" customHeight="1">
      <c r="A277" s="764" t="s">
        <v>3006</v>
      </c>
      <c r="B277" s="760" t="s">
        <v>470</v>
      </c>
      <c r="C277" s="760" t="s">
        <v>894</v>
      </c>
      <c r="D277" s="637" t="s">
        <v>1693</v>
      </c>
      <c r="E277" s="754">
        <v>196412</v>
      </c>
      <c r="F277" s="760" t="s">
        <v>894</v>
      </c>
      <c r="G277" s="754"/>
      <c r="H277" s="754"/>
      <c r="I277" s="754"/>
      <c r="J277" s="754" t="s">
        <v>812</v>
      </c>
      <c r="K277" s="754" t="s">
        <v>812</v>
      </c>
      <c r="L277" s="754" t="s">
        <v>812</v>
      </c>
      <c r="M277" s="754" t="s">
        <v>312</v>
      </c>
      <c r="N277" s="754">
        <v>20.242139999999999</v>
      </c>
      <c r="O277" s="754">
        <v>92.921729999999997</v>
      </c>
      <c r="P277" s="754" t="s">
        <v>813</v>
      </c>
      <c r="Q277" s="754"/>
      <c r="R277" s="767"/>
      <c r="S277" s="768"/>
      <c r="T277" s="783"/>
      <c r="U277" s="765"/>
      <c r="V277" s="754" t="s">
        <v>894</v>
      </c>
      <c r="W277" s="763"/>
    </row>
    <row r="278" spans="1:23" s="75" customFormat="1" ht="14.25" customHeight="1">
      <c r="A278" s="764" t="s">
        <v>3006</v>
      </c>
      <c r="B278" s="767" t="s">
        <v>470</v>
      </c>
      <c r="C278" s="768" t="s">
        <v>3229</v>
      </c>
      <c r="D278" s="761"/>
      <c r="E278" s="754">
        <v>196234</v>
      </c>
      <c r="F278" s="754"/>
      <c r="G278" s="754"/>
      <c r="H278" s="754"/>
      <c r="I278" s="754"/>
      <c r="J278" s="754" t="s">
        <v>3017</v>
      </c>
      <c r="K278" s="754" t="s">
        <v>2935</v>
      </c>
      <c r="L278" s="754" t="s">
        <v>2935</v>
      </c>
      <c r="M278" s="754"/>
      <c r="N278" s="754">
        <v>20.580810546875</v>
      </c>
      <c r="O278" s="754">
        <v>92.869346618652301</v>
      </c>
      <c r="P278" s="754"/>
      <c r="Q278" s="754"/>
      <c r="R278" s="771"/>
      <c r="S278" s="764"/>
      <c r="T278" s="783">
        <v>43591</v>
      </c>
      <c r="U278" s="771"/>
      <c r="V278" s="754" t="s">
        <v>3127</v>
      </c>
      <c r="W278" s="763"/>
    </row>
    <row r="279" spans="1:23" s="75" customFormat="1" ht="14.25" customHeight="1">
      <c r="A279" s="764" t="s">
        <v>3006</v>
      </c>
      <c r="B279" s="760" t="s">
        <v>470</v>
      </c>
      <c r="C279" s="760" t="s">
        <v>471</v>
      </c>
      <c r="D279" s="637" t="s">
        <v>1693</v>
      </c>
      <c r="E279" s="754">
        <v>196408</v>
      </c>
      <c r="F279" s="760"/>
      <c r="G279" s="754"/>
      <c r="H279" s="754"/>
      <c r="I279" s="754"/>
      <c r="J279" s="754" t="s">
        <v>812</v>
      </c>
      <c r="K279" s="754" t="s">
        <v>812</v>
      </c>
      <c r="L279" s="754" t="s">
        <v>812</v>
      </c>
      <c r="M279" s="754" t="s">
        <v>312</v>
      </c>
      <c r="N279" s="754">
        <v>20.268000000000001</v>
      </c>
      <c r="O279" s="754">
        <v>92.977999999999994</v>
      </c>
      <c r="P279" s="754" t="s">
        <v>813</v>
      </c>
      <c r="Q279" s="754" t="s">
        <v>794</v>
      </c>
      <c r="R279" s="763"/>
      <c r="S279" s="764"/>
      <c r="T279" s="783"/>
      <c r="U279" s="765"/>
      <c r="V279" s="754" t="s">
        <v>471</v>
      </c>
      <c r="W279" s="763"/>
    </row>
    <row r="280" spans="1:23" s="75" customFormat="1" ht="14.25" customHeight="1">
      <c r="A280" s="764" t="s">
        <v>3006</v>
      </c>
      <c r="B280" s="767" t="s">
        <v>470</v>
      </c>
      <c r="C280" s="768" t="s">
        <v>474</v>
      </c>
      <c r="D280" s="761" t="s">
        <v>1693</v>
      </c>
      <c r="E280" s="754">
        <v>196377</v>
      </c>
      <c r="F280" s="754"/>
      <c r="G280" s="754"/>
      <c r="H280" s="754"/>
      <c r="I280" s="754"/>
      <c r="J280" s="754" t="s">
        <v>812</v>
      </c>
      <c r="K280" s="754" t="s">
        <v>812</v>
      </c>
      <c r="L280" s="754" t="s">
        <v>812</v>
      </c>
      <c r="M280" s="754" t="s">
        <v>312</v>
      </c>
      <c r="N280" s="754">
        <v>20.292100000000001</v>
      </c>
      <c r="O280" s="754">
        <v>92.994100000000003</v>
      </c>
      <c r="P280" s="754" t="s">
        <v>813</v>
      </c>
      <c r="Q280" s="754" t="s">
        <v>794</v>
      </c>
      <c r="R280" s="771"/>
      <c r="S280" s="764"/>
      <c r="T280" s="783"/>
      <c r="U280" s="765"/>
      <c r="V280" s="754" t="s">
        <v>474</v>
      </c>
      <c r="W280" s="763"/>
    </row>
    <row r="281" spans="1:23" s="75" customFormat="1" ht="14.25" customHeight="1">
      <c r="A281" s="764" t="s">
        <v>3006</v>
      </c>
      <c r="B281" s="760" t="s">
        <v>470</v>
      </c>
      <c r="C281" s="760" t="s">
        <v>505</v>
      </c>
      <c r="D281" s="637" t="s">
        <v>1693</v>
      </c>
      <c r="E281" s="754">
        <v>196337</v>
      </c>
      <c r="F281" s="754"/>
      <c r="G281" s="754"/>
      <c r="H281" s="754"/>
      <c r="I281" s="754"/>
      <c r="J281" s="754" t="s">
        <v>812</v>
      </c>
      <c r="K281" s="754" t="s">
        <v>812</v>
      </c>
      <c r="L281" s="754" t="s">
        <v>812</v>
      </c>
      <c r="M281" s="754" t="s">
        <v>312</v>
      </c>
      <c r="N281" s="754">
        <v>20.509660719999999</v>
      </c>
      <c r="O281" s="754">
        <v>92.997230529999996</v>
      </c>
      <c r="P281" s="754" t="s">
        <v>813</v>
      </c>
      <c r="Q281" s="754" t="s">
        <v>794</v>
      </c>
      <c r="R281" s="763"/>
      <c r="S281" s="764"/>
      <c r="T281" s="783"/>
      <c r="U281" s="765"/>
      <c r="V281" s="754" t="s">
        <v>505</v>
      </c>
      <c r="W281" s="763"/>
    </row>
    <row r="282" spans="1:23" s="75" customFormat="1" ht="14.25" customHeight="1">
      <c r="A282" s="767" t="s">
        <v>3006</v>
      </c>
      <c r="B282" s="767" t="s">
        <v>470</v>
      </c>
      <c r="C282" s="768" t="s">
        <v>1772</v>
      </c>
      <c r="D282" s="761"/>
      <c r="E282" s="754">
        <v>196369</v>
      </c>
      <c r="F282" s="754"/>
      <c r="G282" s="754"/>
      <c r="H282" s="754"/>
      <c r="I282" s="754"/>
      <c r="J282" s="754" t="s">
        <v>3017</v>
      </c>
      <c r="K282" s="754" t="s">
        <v>2935</v>
      </c>
      <c r="L282" s="754" t="s">
        <v>2935</v>
      </c>
      <c r="M282" s="754"/>
      <c r="N282" s="754">
        <v>20.337610244751001</v>
      </c>
      <c r="O282" s="754">
        <v>92.969711303710895</v>
      </c>
      <c r="P282" s="754"/>
      <c r="Q282" s="754"/>
      <c r="R282" s="771"/>
      <c r="S282" s="764"/>
      <c r="T282" s="783">
        <v>43591</v>
      </c>
      <c r="U282" s="771"/>
      <c r="V282" s="754"/>
      <c r="W282" s="763"/>
    </row>
    <row r="283" spans="1:23" s="75" customFormat="1" ht="14.25" customHeight="1">
      <c r="A283" s="767" t="s">
        <v>3006</v>
      </c>
      <c r="B283" s="767" t="s">
        <v>470</v>
      </c>
      <c r="C283" s="768" t="s">
        <v>3165</v>
      </c>
      <c r="D283" s="761"/>
      <c r="E283" s="754">
        <v>196369</v>
      </c>
      <c r="F283" s="754"/>
      <c r="G283" s="754"/>
      <c r="H283" s="754"/>
      <c r="I283" s="754"/>
      <c r="J283" s="754" t="s">
        <v>3017</v>
      </c>
      <c r="K283" s="754" t="s">
        <v>2935</v>
      </c>
      <c r="L283" s="754" t="s">
        <v>2935</v>
      </c>
      <c r="M283" s="754"/>
      <c r="N283" s="754">
        <v>20.337610244751001</v>
      </c>
      <c r="O283" s="754">
        <v>92.969711303710895</v>
      </c>
      <c r="P283" s="754"/>
      <c r="Q283" s="754"/>
      <c r="R283" s="771"/>
      <c r="S283" s="764"/>
      <c r="T283" s="783">
        <v>43591</v>
      </c>
      <c r="U283" s="771"/>
      <c r="V283" s="754"/>
      <c r="W283" s="763"/>
    </row>
    <row r="284" spans="1:23" s="75" customFormat="1" ht="14.25" customHeight="1">
      <c r="A284" s="764" t="s">
        <v>3006</v>
      </c>
      <c r="B284" s="760" t="s">
        <v>470</v>
      </c>
      <c r="C284" s="760" t="s">
        <v>477</v>
      </c>
      <c r="D284" s="637" t="s">
        <v>1693</v>
      </c>
      <c r="E284" s="754">
        <v>196359</v>
      </c>
      <c r="F284" s="754" t="s">
        <v>477</v>
      </c>
      <c r="G284" s="754"/>
      <c r="H284" s="754"/>
      <c r="I284" s="754"/>
      <c r="J284" s="754" t="s">
        <v>812</v>
      </c>
      <c r="K284" s="754" t="s">
        <v>812</v>
      </c>
      <c r="L284" s="754" t="s">
        <v>812</v>
      </c>
      <c r="M284" s="754" t="s">
        <v>312</v>
      </c>
      <c r="N284" s="754">
        <v>20.361530299999998</v>
      </c>
      <c r="O284" s="754">
        <v>92.992073059999996</v>
      </c>
      <c r="P284" s="754" t="s">
        <v>813</v>
      </c>
      <c r="Q284" s="754" t="s">
        <v>794</v>
      </c>
      <c r="R284" s="763"/>
      <c r="S284" s="764"/>
      <c r="T284" s="783"/>
      <c r="U284" s="765"/>
      <c r="V284" s="754" t="s">
        <v>477</v>
      </c>
      <c r="W284" s="763"/>
    </row>
    <row r="285" spans="1:23" s="75" customFormat="1" ht="14.25" customHeight="1">
      <c r="A285" s="764" t="s">
        <v>3006</v>
      </c>
      <c r="B285" s="760" t="s">
        <v>470</v>
      </c>
      <c r="C285" s="760" t="s">
        <v>504</v>
      </c>
      <c r="D285" s="637" t="s">
        <v>1693</v>
      </c>
      <c r="E285" s="754">
        <v>196351</v>
      </c>
      <c r="F285" s="754"/>
      <c r="G285" s="754"/>
      <c r="H285" s="754"/>
      <c r="I285" s="754"/>
      <c r="J285" s="754" t="s">
        <v>812</v>
      </c>
      <c r="K285" s="754" t="s">
        <v>812</v>
      </c>
      <c r="L285" s="754" t="s">
        <v>812</v>
      </c>
      <c r="M285" s="754" t="s">
        <v>312</v>
      </c>
      <c r="N285" s="754">
        <v>20.50658035</v>
      </c>
      <c r="O285" s="754">
        <v>93.0434494</v>
      </c>
      <c r="P285" s="754" t="s">
        <v>813</v>
      </c>
      <c r="Q285" s="754" t="s">
        <v>794</v>
      </c>
      <c r="R285" s="763"/>
      <c r="S285" s="764"/>
      <c r="T285" s="783"/>
      <c r="U285" s="765"/>
      <c r="V285" s="754" t="s">
        <v>504</v>
      </c>
      <c r="W285" s="763"/>
    </row>
    <row r="286" spans="1:23" s="75" customFormat="1" ht="14.25" customHeight="1">
      <c r="A286" s="764" t="s">
        <v>3006</v>
      </c>
      <c r="B286" s="760" t="s">
        <v>470</v>
      </c>
      <c r="C286" s="760" t="s">
        <v>518</v>
      </c>
      <c r="D286" s="637" t="s">
        <v>1693</v>
      </c>
      <c r="E286" s="754">
        <v>196331</v>
      </c>
      <c r="F286" s="754" t="s">
        <v>518</v>
      </c>
      <c r="G286" s="754"/>
      <c r="H286" s="754"/>
      <c r="I286" s="754"/>
      <c r="J286" s="754" t="s">
        <v>812</v>
      </c>
      <c r="K286" s="754" t="s">
        <v>812</v>
      </c>
      <c r="L286" s="754" t="s">
        <v>812</v>
      </c>
      <c r="M286" s="754" t="s">
        <v>312</v>
      </c>
      <c r="N286" s="754">
        <v>20.564739230000001</v>
      </c>
      <c r="O286" s="754">
        <v>93.064781190000005</v>
      </c>
      <c r="P286" s="754" t="s">
        <v>813</v>
      </c>
      <c r="Q286" s="754" t="s">
        <v>794</v>
      </c>
      <c r="R286" s="763"/>
      <c r="S286" s="764"/>
      <c r="T286" s="783"/>
      <c r="U286" s="765"/>
      <c r="V286" s="754" t="s">
        <v>518</v>
      </c>
      <c r="W286" s="763"/>
    </row>
    <row r="287" spans="1:23" s="75" customFormat="1" ht="14.25" customHeight="1">
      <c r="A287" s="764" t="s">
        <v>3006</v>
      </c>
      <c r="B287" s="760" t="s">
        <v>470</v>
      </c>
      <c r="C287" s="760" t="s">
        <v>486</v>
      </c>
      <c r="D287" s="637" t="s">
        <v>1693</v>
      </c>
      <c r="E287" s="754">
        <v>196356</v>
      </c>
      <c r="F287" s="754"/>
      <c r="G287" s="754"/>
      <c r="H287" s="754"/>
      <c r="I287" s="754"/>
      <c r="J287" s="754" t="s">
        <v>812</v>
      </c>
      <c r="K287" s="754" t="s">
        <v>812</v>
      </c>
      <c r="L287" s="754" t="s">
        <v>812</v>
      </c>
      <c r="M287" s="754" t="s">
        <v>312</v>
      </c>
      <c r="N287" s="754">
        <v>20.424389999999999</v>
      </c>
      <c r="O287" s="754">
        <v>93.012960000000007</v>
      </c>
      <c r="P287" s="754" t="s">
        <v>813</v>
      </c>
      <c r="Q287" s="754" t="s">
        <v>794</v>
      </c>
      <c r="R287" s="763"/>
      <c r="S287" s="764"/>
      <c r="T287" s="783"/>
      <c r="U287" s="765"/>
      <c r="V287" s="754" t="s">
        <v>486</v>
      </c>
      <c r="W287" s="763"/>
    </row>
    <row r="288" spans="1:23" s="75" customFormat="1" ht="14.25" customHeight="1">
      <c r="A288" s="764" t="s">
        <v>3006</v>
      </c>
      <c r="B288" s="767" t="s">
        <v>470</v>
      </c>
      <c r="C288" s="768" t="s">
        <v>3228</v>
      </c>
      <c r="D288" s="761"/>
      <c r="E288" s="754">
        <v>196302</v>
      </c>
      <c r="F288" s="754"/>
      <c r="G288" s="754"/>
      <c r="H288" s="754"/>
      <c r="I288" s="754"/>
      <c r="J288" s="754" t="s">
        <v>3017</v>
      </c>
      <c r="K288" s="754" t="s">
        <v>2935</v>
      </c>
      <c r="L288" s="754" t="s">
        <v>2935</v>
      </c>
      <c r="M288" s="754"/>
      <c r="N288" s="754">
        <v>20.5702304840088</v>
      </c>
      <c r="O288" s="754">
        <v>92.977378845214801</v>
      </c>
      <c r="P288" s="754"/>
      <c r="Q288" s="754"/>
      <c r="R288" s="771"/>
      <c r="S288" s="764"/>
      <c r="T288" s="783">
        <v>43591</v>
      </c>
      <c r="U288" s="771"/>
      <c r="V288" s="717" t="s">
        <v>3126</v>
      </c>
      <c r="W288" s="763"/>
    </row>
    <row r="289" spans="1:23" s="75" customFormat="1" ht="14.25" customHeight="1">
      <c r="A289" s="764" t="s">
        <v>3006</v>
      </c>
      <c r="B289" s="760" t="s">
        <v>372</v>
      </c>
      <c r="C289" s="760" t="s">
        <v>374</v>
      </c>
      <c r="D289" s="637" t="s">
        <v>1694</v>
      </c>
      <c r="E289" s="754" t="s">
        <v>1367</v>
      </c>
      <c r="F289" s="754" t="s">
        <v>1697</v>
      </c>
      <c r="G289" s="754" t="s">
        <v>1699</v>
      </c>
      <c r="H289" s="754" t="s">
        <v>43</v>
      </c>
      <c r="I289" s="754"/>
      <c r="J289" s="754" t="s">
        <v>45</v>
      </c>
      <c r="K289" s="754" t="s">
        <v>45</v>
      </c>
      <c r="L289" s="754" t="s">
        <v>774</v>
      </c>
      <c r="M289" s="754" t="s">
        <v>312</v>
      </c>
      <c r="N289" s="754">
        <v>19.091054</v>
      </c>
      <c r="O289" s="754">
        <v>93.865170000000006</v>
      </c>
      <c r="P289" s="754" t="s">
        <v>775</v>
      </c>
      <c r="Q289" s="754" t="s">
        <v>794</v>
      </c>
      <c r="R289" s="763"/>
      <c r="S289" s="764"/>
      <c r="T289" s="783"/>
      <c r="U289" s="765"/>
      <c r="V289" s="754" t="s">
        <v>374</v>
      </c>
      <c r="W289" s="763"/>
    </row>
    <row r="290" spans="1:23" s="75" customFormat="1" ht="14.25" customHeight="1">
      <c r="A290" s="764" t="s">
        <v>3006</v>
      </c>
      <c r="B290" s="760" t="s">
        <v>372</v>
      </c>
      <c r="C290" s="760" t="s">
        <v>373</v>
      </c>
      <c r="D290" s="637" t="s">
        <v>1694</v>
      </c>
      <c r="E290" s="754" t="s">
        <v>1366</v>
      </c>
      <c r="F290" s="754" t="s">
        <v>1697</v>
      </c>
      <c r="G290" s="754" t="s">
        <v>1698</v>
      </c>
      <c r="H290" s="754" t="s">
        <v>43</v>
      </c>
      <c r="I290" s="754"/>
      <c r="J290" s="754" t="s">
        <v>45</v>
      </c>
      <c r="K290" s="754" t="s">
        <v>45</v>
      </c>
      <c r="L290" s="754" t="s">
        <v>774</v>
      </c>
      <c r="M290" s="754" t="s">
        <v>809</v>
      </c>
      <c r="N290" s="754">
        <v>19.088283000000001</v>
      </c>
      <c r="O290" s="754">
        <v>93.857592999999994</v>
      </c>
      <c r="P290" s="754" t="s">
        <v>775</v>
      </c>
      <c r="Q290" s="754" t="s">
        <v>794</v>
      </c>
      <c r="R290" s="763"/>
      <c r="S290" s="764"/>
      <c r="T290" s="783"/>
      <c r="U290" s="765" t="s">
        <v>1694</v>
      </c>
      <c r="V290" s="754" t="s">
        <v>810</v>
      </c>
      <c r="W290" s="763"/>
    </row>
    <row r="291" spans="1:23" s="75" customFormat="1" ht="14.25" customHeight="1">
      <c r="A291" s="764" t="s">
        <v>3006</v>
      </c>
      <c r="B291" s="767" t="s">
        <v>313</v>
      </c>
      <c r="C291" s="768" t="s">
        <v>466</v>
      </c>
      <c r="D291" s="761" t="s">
        <v>1693</v>
      </c>
      <c r="E291" s="754">
        <v>196143</v>
      </c>
      <c r="F291" s="754" t="s">
        <v>1701</v>
      </c>
      <c r="G291" s="754"/>
      <c r="H291" s="754"/>
      <c r="I291" s="754"/>
      <c r="J291" s="754" t="s">
        <v>812</v>
      </c>
      <c r="K291" s="754" t="s">
        <v>812</v>
      </c>
      <c r="L291" s="754" t="s">
        <v>812</v>
      </c>
      <c r="M291" s="754" t="s">
        <v>809</v>
      </c>
      <c r="N291" s="754">
        <v>20.235199999999999</v>
      </c>
      <c r="O291" s="754">
        <v>92.805000000000007</v>
      </c>
      <c r="P291" s="754" t="s">
        <v>813</v>
      </c>
      <c r="Q291" s="754" t="s">
        <v>794</v>
      </c>
      <c r="R291" s="771"/>
      <c r="S291" s="764"/>
      <c r="T291" s="783"/>
      <c r="U291" s="765"/>
      <c r="V291" s="754" t="s">
        <v>466</v>
      </c>
      <c r="W291" s="763"/>
    </row>
    <row r="292" spans="1:23" s="75" customFormat="1" ht="14.25" customHeight="1">
      <c r="A292" s="764" t="s">
        <v>3006</v>
      </c>
      <c r="B292" s="767" t="s">
        <v>313</v>
      </c>
      <c r="C292" s="768" t="s">
        <v>1701</v>
      </c>
      <c r="D292" s="761" t="s">
        <v>1913</v>
      </c>
      <c r="E292" s="754">
        <v>196138</v>
      </c>
      <c r="F292" s="754"/>
      <c r="G292" s="754"/>
      <c r="H292" s="754"/>
      <c r="I292" s="754"/>
      <c r="J292" s="754" t="s">
        <v>812</v>
      </c>
      <c r="K292" s="754" t="s">
        <v>812</v>
      </c>
      <c r="L292" s="754" t="s">
        <v>812</v>
      </c>
      <c r="M292" s="754"/>
      <c r="N292" s="754">
        <v>20.2351894378662</v>
      </c>
      <c r="O292" s="754">
        <v>92.790191650390597</v>
      </c>
      <c r="P292" s="754" t="s">
        <v>813</v>
      </c>
      <c r="Q292" s="754"/>
      <c r="R292" s="771"/>
      <c r="S292" s="764"/>
      <c r="T292" s="783"/>
      <c r="U292" s="765"/>
      <c r="V292" s="754"/>
      <c r="W292" s="763"/>
    </row>
    <row r="293" spans="1:23" s="75" customFormat="1" ht="14.25" customHeight="1">
      <c r="A293" s="764" t="s">
        <v>3006</v>
      </c>
      <c r="B293" s="767" t="s">
        <v>313</v>
      </c>
      <c r="C293" s="768" t="s">
        <v>467</v>
      </c>
      <c r="D293" s="761" t="s">
        <v>1693</v>
      </c>
      <c r="E293" s="754">
        <v>196152</v>
      </c>
      <c r="F293" s="754"/>
      <c r="G293" s="754"/>
      <c r="H293" s="754"/>
      <c r="I293" s="754"/>
      <c r="J293" s="754" t="s">
        <v>812</v>
      </c>
      <c r="K293" s="754" t="s">
        <v>812</v>
      </c>
      <c r="L293" s="754" t="s">
        <v>812</v>
      </c>
      <c r="M293" s="754" t="s">
        <v>312</v>
      </c>
      <c r="N293" s="754">
        <v>20.235199999999999</v>
      </c>
      <c r="O293" s="754">
        <v>92.790199999999999</v>
      </c>
      <c r="P293" s="754" t="s">
        <v>813</v>
      </c>
      <c r="Q293" s="754" t="s">
        <v>794</v>
      </c>
      <c r="R293" s="771"/>
      <c r="S293" s="764"/>
      <c r="T293" s="783"/>
      <c r="U293" s="765"/>
      <c r="V293" s="754" t="s">
        <v>467</v>
      </c>
      <c r="W293" s="763"/>
    </row>
    <row r="294" spans="1:23" s="75" customFormat="1" ht="14.25" customHeight="1">
      <c r="A294" s="764" t="s">
        <v>3006</v>
      </c>
      <c r="B294" s="767" t="s">
        <v>313</v>
      </c>
      <c r="C294" s="768" t="s">
        <v>1918</v>
      </c>
      <c r="D294" s="761" t="s">
        <v>1913</v>
      </c>
      <c r="E294" s="754"/>
      <c r="F294" s="754"/>
      <c r="G294" s="754"/>
      <c r="H294" s="754"/>
      <c r="I294" s="754"/>
      <c r="J294" s="754" t="s">
        <v>812</v>
      </c>
      <c r="K294" s="754" t="s">
        <v>812</v>
      </c>
      <c r="L294" s="754" t="s">
        <v>812</v>
      </c>
      <c r="M294" s="754"/>
      <c r="N294" s="754"/>
      <c r="O294" s="754"/>
      <c r="P294" s="754" t="s">
        <v>813</v>
      </c>
      <c r="Q294" s="754"/>
      <c r="R294" s="771"/>
      <c r="S294" s="764"/>
      <c r="T294" s="783"/>
      <c r="U294" s="765"/>
      <c r="V294" s="754"/>
      <c r="W294" s="763"/>
    </row>
    <row r="295" spans="1:23" s="75" customFormat="1" ht="14.25" customHeight="1">
      <c r="A295" s="764" t="s">
        <v>3006</v>
      </c>
      <c r="B295" s="767" t="s">
        <v>313</v>
      </c>
      <c r="C295" s="768" t="s">
        <v>431</v>
      </c>
      <c r="D295" s="761" t="s">
        <v>1693</v>
      </c>
      <c r="E295" s="754"/>
      <c r="F295" s="754"/>
      <c r="G295" s="754"/>
      <c r="H295" s="754"/>
      <c r="I295" s="754"/>
      <c r="J295" s="754" t="s">
        <v>812</v>
      </c>
      <c r="K295" s="754" t="s">
        <v>812</v>
      </c>
      <c r="L295" s="754" t="s">
        <v>812</v>
      </c>
      <c r="M295" s="754" t="s">
        <v>809</v>
      </c>
      <c r="N295" s="754"/>
      <c r="O295" s="754"/>
      <c r="P295" s="754" t="s">
        <v>813</v>
      </c>
      <c r="Q295" s="754" t="s">
        <v>794</v>
      </c>
      <c r="R295" s="771"/>
      <c r="S295" s="764"/>
      <c r="T295" s="783"/>
      <c r="U295" s="765"/>
      <c r="V295" s="754" t="s">
        <v>431</v>
      </c>
      <c r="W295" s="763"/>
    </row>
    <row r="296" spans="1:23" s="75" customFormat="1" ht="14.25" customHeight="1">
      <c r="A296" s="764" t="s">
        <v>3006</v>
      </c>
      <c r="B296" s="767" t="s">
        <v>313</v>
      </c>
      <c r="C296" s="768" t="s">
        <v>432</v>
      </c>
      <c r="D296" s="637" t="s">
        <v>3117</v>
      </c>
      <c r="E296" s="754" t="s">
        <v>1377</v>
      </c>
      <c r="F296" s="754" t="s">
        <v>1778</v>
      </c>
      <c r="G296" s="754" t="s">
        <v>1779</v>
      </c>
      <c r="H296" s="754" t="s">
        <v>43</v>
      </c>
      <c r="I296" s="754"/>
      <c r="J296" s="754" t="s">
        <v>45</v>
      </c>
      <c r="K296" s="754" t="s">
        <v>45</v>
      </c>
      <c r="L296" s="754" t="s">
        <v>808</v>
      </c>
      <c r="M296" s="754" t="s">
        <v>809</v>
      </c>
      <c r="N296" s="754">
        <v>20.128488999999998</v>
      </c>
      <c r="O296" s="754">
        <v>92.875814000000005</v>
      </c>
      <c r="P296" s="754" t="s">
        <v>775</v>
      </c>
      <c r="Q296" s="754" t="s">
        <v>794</v>
      </c>
      <c r="R296" s="763">
        <v>396</v>
      </c>
      <c r="S296" s="764">
        <v>2285</v>
      </c>
      <c r="T296" s="783"/>
      <c r="U296" s="765"/>
      <c r="V296" s="754" t="s">
        <v>854</v>
      </c>
      <c r="W296" s="763"/>
    </row>
    <row r="297" spans="1:23" s="75" customFormat="1" ht="14.25" customHeight="1">
      <c r="A297" s="764" t="s">
        <v>3006</v>
      </c>
      <c r="B297" s="767" t="s">
        <v>313</v>
      </c>
      <c r="C297" s="768" t="s">
        <v>879</v>
      </c>
      <c r="D297" s="761" t="s">
        <v>1694</v>
      </c>
      <c r="E297" s="754" t="s">
        <v>1391</v>
      </c>
      <c r="F297" s="754" t="s">
        <v>1700</v>
      </c>
      <c r="G297" s="754" t="s">
        <v>1726</v>
      </c>
      <c r="H297" s="754"/>
      <c r="I297" s="754"/>
      <c r="J297" s="754" t="s">
        <v>45</v>
      </c>
      <c r="K297" s="754" t="s">
        <v>45</v>
      </c>
      <c r="L297" s="754" t="s">
        <v>774</v>
      </c>
      <c r="M297" s="754" t="s">
        <v>809</v>
      </c>
      <c r="N297" s="754">
        <v>20.181238</v>
      </c>
      <c r="O297" s="754">
        <v>92.807418999999996</v>
      </c>
      <c r="P297" s="754" t="s">
        <v>775</v>
      </c>
      <c r="Q297" s="754" t="s">
        <v>794</v>
      </c>
      <c r="R297" s="771"/>
      <c r="S297" s="764"/>
      <c r="T297" s="783"/>
      <c r="U297" s="765"/>
      <c r="V297" s="754" t="s">
        <v>879</v>
      </c>
      <c r="W297" s="763"/>
    </row>
    <row r="298" spans="1:23" s="75" customFormat="1" ht="14.25" customHeight="1">
      <c r="A298" s="764" t="s">
        <v>3006</v>
      </c>
      <c r="B298" s="767" t="s">
        <v>313</v>
      </c>
      <c r="C298" s="768" t="s">
        <v>443</v>
      </c>
      <c r="D298" s="637" t="s">
        <v>3117</v>
      </c>
      <c r="E298" s="754" t="s">
        <v>1389</v>
      </c>
      <c r="F298" s="754" t="s">
        <v>1700</v>
      </c>
      <c r="G298" s="754" t="s">
        <v>1726</v>
      </c>
      <c r="H298" s="754" t="s">
        <v>43</v>
      </c>
      <c r="I298" s="754"/>
      <c r="J298" s="754" t="s">
        <v>45</v>
      </c>
      <c r="K298" s="754" t="s">
        <v>45</v>
      </c>
      <c r="L298" s="754" t="s">
        <v>808</v>
      </c>
      <c r="M298" s="754" t="s">
        <v>809</v>
      </c>
      <c r="N298" s="754">
        <v>20.179417000000001</v>
      </c>
      <c r="O298" s="754">
        <v>92.813028000000003</v>
      </c>
      <c r="P298" s="754" t="s">
        <v>775</v>
      </c>
      <c r="Q298" s="754"/>
      <c r="R298" s="763">
        <v>1013</v>
      </c>
      <c r="S298" s="764">
        <v>4774</v>
      </c>
      <c r="T298" s="783"/>
      <c r="U298" s="765" t="s">
        <v>876</v>
      </c>
      <c r="V298" s="754"/>
      <c r="W298" s="763"/>
    </row>
    <row r="299" spans="1:23" s="75" customFormat="1" ht="14.25" customHeight="1">
      <c r="A299" s="764" t="s">
        <v>3006</v>
      </c>
      <c r="B299" s="767" t="s">
        <v>313</v>
      </c>
      <c r="C299" s="768" t="s">
        <v>445</v>
      </c>
      <c r="D299" s="637" t="s">
        <v>3117</v>
      </c>
      <c r="E299" s="754" t="s">
        <v>1392</v>
      </c>
      <c r="F299" s="754" t="s">
        <v>1700</v>
      </c>
      <c r="G299" s="754" t="s">
        <v>1726</v>
      </c>
      <c r="H299" s="754" t="s">
        <v>43</v>
      </c>
      <c r="I299" s="754"/>
      <c r="J299" s="754" t="s">
        <v>45</v>
      </c>
      <c r="K299" s="754" t="s">
        <v>45</v>
      </c>
      <c r="L299" s="754" t="s">
        <v>808</v>
      </c>
      <c r="M299" s="754" t="s">
        <v>809</v>
      </c>
      <c r="N299" s="754">
        <v>20.181405999999999</v>
      </c>
      <c r="O299" s="754">
        <v>92.807552000000001</v>
      </c>
      <c r="P299" s="754" t="s">
        <v>775</v>
      </c>
      <c r="Q299" s="754"/>
      <c r="R299" s="763">
        <v>1334</v>
      </c>
      <c r="S299" s="764">
        <v>6643</v>
      </c>
      <c r="T299" s="783"/>
      <c r="U299" s="765" t="s">
        <v>876</v>
      </c>
      <c r="V299" s="754"/>
      <c r="W299" s="763"/>
    </row>
    <row r="300" spans="1:23" s="75" customFormat="1" ht="14.25" customHeight="1">
      <c r="A300" s="764" t="s">
        <v>3006</v>
      </c>
      <c r="B300" s="767" t="s">
        <v>313</v>
      </c>
      <c r="C300" s="768" t="s">
        <v>1107</v>
      </c>
      <c r="D300" s="761" t="s">
        <v>1693</v>
      </c>
      <c r="E300" s="754"/>
      <c r="F300" s="754"/>
      <c r="G300" s="754"/>
      <c r="H300" s="754"/>
      <c r="I300" s="754"/>
      <c r="J300" s="754" t="s">
        <v>812</v>
      </c>
      <c r="K300" s="754" t="s">
        <v>812</v>
      </c>
      <c r="L300" s="754" t="s">
        <v>812</v>
      </c>
      <c r="M300" s="754" t="s">
        <v>809</v>
      </c>
      <c r="N300" s="754"/>
      <c r="O300" s="754"/>
      <c r="P300" s="754" t="s">
        <v>813</v>
      </c>
      <c r="Q300" s="754" t="s">
        <v>776</v>
      </c>
      <c r="R300" s="771"/>
      <c r="S300" s="764"/>
      <c r="T300" s="783">
        <v>42804</v>
      </c>
      <c r="U300" s="765"/>
      <c r="V300" s="754" t="s">
        <v>1107</v>
      </c>
      <c r="W300" s="763"/>
    </row>
    <row r="301" spans="1:23" s="75" customFormat="1" ht="14.25" customHeight="1">
      <c r="A301" s="764" t="s">
        <v>3006</v>
      </c>
      <c r="B301" s="767" t="s">
        <v>313</v>
      </c>
      <c r="C301" s="768" t="s">
        <v>2997</v>
      </c>
      <c r="D301" s="637" t="s">
        <v>3117</v>
      </c>
      <c r="E301" s="754" t="s">
        <v>1395</v>
      </c>
      <c r="F301" s="754" t="s">
        <v>1700</v>
      </c>
      <c r="G301" s="754" t="s">
        <v>1726</v>
      </c>
      <c r="H301" s="754" t="s">
        <v>43</v>
      </c>
      <c r="I301" s="754"/>
      <c r="J301" s="754" t="s">
        <v>45</v>
      </c>
      <c r="K301" s="754" t="s">
        <v>45</v>
      </c>
      <c r="L301" s="754" t="s">
        <v>786</v>
      </c>
      <c r="M301" s="754" t="s">
        <v>809</v>
      </c>
      <c r="N301" s="754">
        <v>20.182987000000001</v>
      </c>
      <c r="O301" s="754">
        <v>92.804803000000007</v>
      </c>
      <c r="P301" s="754" t="s">
        <v>787</v>
      </c>
      <c r="Q301" s="754" t="s">
        <v>794</v>
      </c>
      <c r="R301" s="763">
        <v>41</v>
      </c>
      <c r="S301" s="764">
        <v>226</v>
      </c>
      <c r="T301" s="783"/>
      <c r="U301" s="765"/>
      <c r="V301" s="754" t="s">
        <v>881</v>
      </c>
      <c r="W301" s="763"/>
    </row>
    <row r="302" spans="1:23" s="75" customFormat="1" ht="14.25" customHeight="1">
      <c r="A302" s="764" t="s">
        <v>3006</v>
      </c>
      <c r="B302" s="767" t="s">
        <v>313</v>
      </c>
      <c r="C302" s="768" t="s">
        <v>433</v>
      </c>
      <c r="D302" s="761" t="s">
        <v>1693</v>
      </c>
      <c r="E302" s="754">
        <v>196200</v>
      </c>
      <c r="F302" s="754"/>
      <c r="G302" s="754"/>
      <c r="H302" s="754"/>
      <c r="I302" s="754"/>
      <c r="J302" s="754" t="s">
        <v>818</v>
      </c>
      <c r="K302" s="754" t="s">
        <v>812</v>
      </c>
      <c r="L302" s="754" t="s">
        <v>818</v>
      </c>
      <c r="M302" s="754" t="s">
        <v>809</v>
      </c>
      <c r="N302" s="754">
        <v>20.143859859999999</v>
      </c>
      <c r="O302" s="754">
        <v>92.867576600000007</v>
      </c>
      <c r="P302" s="754" t="s">
        <v>937</v>
      </c>
      <c r="Q302" s="754" t="s">
        <v>776</v>
      </c>
      <c r="R302" s="771"/>
      <c r="S302" s="764"/>
      <c r="T302" s="783">
        <v>42811</v>
      </c>
      <c r="U302" s="765"/>
      <c r="V302" s="754"/>
      <c r="W302" s="763"/>
    </row>
    <row r="303" spans="1:23" s="75" customFormat="1" ht="14.25" customHeight="1">
      <c r="A303" s="764" t="s">
        <v>3006</v>
      </c>
      <c r="B303" s="760" t="s">
        <v>313</v>
      </c>
      <c r="C303" s="760" t="s">
        <v>2892</v>
      </c>
      <c r="D303" s="637"/>
      <c r="E303" s="754">
        <v>196203</v>
      </c>
      <c r="F303" s="760"/>
      <c r="G303" s="754"/>
      <c r="H303" s="754"/>
      <c r="I303" s="754"/>
      <c r="J303" s="754" t="s">
        <v>812</v>
      </c>
      <c r="K303" s="760" t="s">
        <v>812</v>
      </c>
      <c r="L303" s="760" t="s">
        <v>812</v>
      </c>
      <c r="M303" s="754"/>
      <c r="N303" s="754">
        <v>20.142469406127901</v>
      </c>
      <c r="O303" s="754">
        <v>92.863967895507798</v>
      </c>
      <c r="P303" s="754"/>
      <c r="Q303" s="754"/>
      <c r="R303" s="767"/>
      <c r="S303" s="768"/>
      <c r="T303" s="783"/>
      <c r="U303" s="765"/>
      <c r="V303" s="754"/>
      <c r="W303" s="763"/>
    </row>
    <row r="304" spans="1:23" s="75" customFormat="1" ht="14.25" customHeight="1">
      <c r="A304" s="764" t="s">
        <v>3006</v>
      </c>
      <c r="B304" s="760" t="s">
        <v>313</v>
      </c>
      <c r="C304" s="760" t="s">
        <v>2879</v>
      </c>
      <c r="D304" s="637"/>
      <c r="E304" s="754">
        <v>196132</v>
      </c>
      <c r="F304" s="754"/>
      <c r="G304" s="754"/>
      <c r="H304" s="754"/>
      <c r="I304" s="754"/>
      <c r="J304" s="754" t="s">
        <v>812</v>
      </c>
      <c r="K304" s="754" t="s">
        <v>812</v>
      </c>
      <c r="L304" s="754" t="s">
        <v>812</v>
      </c>
      <c r="M304" s="754"/>
      <c r="N304" s="754"/>
      <c r="O304" s="754"/>
      <c r="P304" s="754"/>
      <c r="Q304" s="754"/>
      <c r="R304" s="763"/>
      <c r="S304" s="763"/>
      <c r="T304" s="783"/>
      <c r="U304" s="765"/>
      <c r="V304" s="754"/>
      <c r="W304" s="763"/>
    </row>
    <row r="305" spans="1:23" s="75" customFormat="1" ht="14.25" customHeight="1">
      <c r="A305" s="764" t="s">
        <v>3006</v>
      </c>
      <c r="B305" s="767" t="s">
        <v>313</v>
      </c>
      <c r="C305" s="768" t="s">
        <v>473</v>
      </c>
      <c r="D305" s="761" t="s">
        <v>1693</v>
      </c>
      <c r="E305" s="754">
        <v>196172</v>
      </c>
      <c r="F305" s="754"/>
      <c r="G305" s="754"/>
      <c r="H305" s="754"/>
      <c r="I305" s="754"/>
      <c r="J305" s="754" t="s">
        <v>818</v>
      </c>
      <c r="K305" s="754" t="s">
        <v>812</v>
      </c>
      <c r="L305" s="754" t="s">
        <v>818</v>
      </c>
      <c r="M305" s="754" t="s">
        <v>312</v>
      </c>
      <c r="N305" s="754">
        <v>20.286720280000001</v>
      </c>
      <c r="O305" s="754">
        <v>92.882843019999996</v>
      </c>
      <c r="P305" s="754" t="s">
        <v>937</v>
      </c>
      <c r="Q305" s="754" t="s">
        <v>776</v>
      </c>
      <c r="R305" s="771"/>
      <c r="S305" s="764"/>
      <c r="T305" s="783">
        <v>42811</v>
      </c>
      <c r="U305" s="765"/>
      <c r="V305" s="754"/>
      <c r="W305" s="763"/>
    </row>
    <row r="306" spans="1:23" s="75" customFormat="1" ht="14.25" customHeight="1">
      <c r="A306" s="764" t="s">
        <v>3006</v>
      </c>
      <c r="B306" s="767" t="s">
        <v>313</v>
      </c>
      <c r="C306" s="768" t="s">
        <v>442</v>
      </c>
      <c r="D306" s="637" t="s">
        <v>3117</v>
      </c>
      <c r="E306" s="754" t="s">
        <v>1387</v>
      </c>
      <c r="F306" s="754" t="s">
        <v>433</v>
      </c>
      <c r="G306" s="754" t="s">
        <v>1780</v>
      </c>
      <c r="H306" s="754" t="s">
        <v>43</v>
      </c>
      <c r="I306" s="754"/>
      <c r="J306" s="754" t="s">
        <v>45</v>
      </c>
      <c r="K306" s="754" t="s">
        <v>45</v>
      </c>
      <c r="L306" s="754" t="s">
        <v>808</v>
      </c>
      <c r="M306" s="754" t="s">
        <v>809</v>
      </c>
      <c r="N306" s="754">
        <v>20.16846</v>
      </c>
      <c r="O306" s="754">
        <v>92.827427</v>
      </c>
      <c r="P306" s="754" t="s">
        <v>775</v>
      </c>
      <c r="Q306" s="754" t="s">
        <v>794</v>
      </c>
      <c r="R306" s="763">
        <v>1983</v>
      </c>
      <c r="S306" s="764">
        <v>11391</v>
      </c>
      <c r="T306" s="783"/>
      <c r="U306" s="765"/>
      <c r="V306" s="754" t="s">
        <v>442</v>
      </c>
      <c r="W306" s="763"/>
    </row>
    <row r="307" spans="1:23" s="75" customFormat="1" ht="14.25" customHeight="1">
      <c r="A307" s="764" t="s">
        <v>3006</v>
      </c>
      <c r="B307" s="767" t="s">
        <v>313</v>
      </c>
      <c r="C307" s="768" t="s">
        <v>441</v>
      </c>
      <c r="D307" s="637" t="s">
        <v>3117</v>
      </c>
      <c r="E307" s="754" t="s">
        <v>1386</v>
      </c>
      <c r="F307" s="754" t="s">
        <v>433</v>
      </c>
      <c r="G307" s="754" t="s">
        <v>1780</v>
      </c>
      <c r="H307" s="754" t="s">
        <v>43</v>
      </c>
      <c r="I307" s="754"/>
      <c r="J307" s="754" t="s">
        <v>45</v>
      </c>
      <c r="K307" s="754" t="s">
        <v>45</v>
      </c>
      <c r="L307" s="754" t="s">
        <v>786</v>
      </c>
      <c r="M307" s="754" t="s">
        <v>809</v>
      </c>
      <c r="N307" s="754">
        <v>20.167421999999998</v>
      </c>
      <c r="O307" s="754">
        <v>92.830074999999994</v>
      </c>
      <c r="P307" s="754" t="s">
        <v>787</v>
      </c>
      <c r="Q307" s="754"/>
      <c r="R307" s="763">
        <v>518</v>
      </c>
      <c r="S307" s="764">
        <v>2951</v>
      </c>
      <c r="T307" s="783"/>
      <c r="U307" s="765" t="s">
        <v>871</v>
      </c>
      <c r="V307" s="754" t="s">
        <v>872</v>
      </c>
      <c r="W307" s="763"/>
    </row>
    <row r="308" spans="1:23" s="75" customFormat="1" ht="14.25" customHeight="1">
      <c r="A308" s="764" t="s">
        <v>3006</v>
      </c>
      <c r="B308" s="767" t="s">
        <v>313</v>
      </c>
      <c r="C308" s="768" t="s">
        <v>316</v>
      </c>
      <c r="D308" s="761" t="s">
        <v>1693</v>
      </c>
      <c r="E308" s="754"/>
      <c r="F308" s="754"/>
      <c r="G308" s="754"/>
      <c r="H308" s="754"/>
      <c r="I308" s="754"/>
      <c r="J308" s="754" t="s">
        <v>812</v>
      </c>
      <c r="K308" s="754" t="s">
        <v>812</v>
      </c>
      <c r="L308" s="754" t="s">
        <v>812</v>
      </c>
      <c r="M308" s="754" t="s">
        <v>809</v>
      </c>
      <c r="N308" s="754"/>
      <c r="O308" s="754"/>
      <c r="P308" s="754" t="s">
        <v>813</v>
      </c>
      <c r="Q308" s="754" t="s">
        <v>794</v>
      </c>
      <c r="R308" s="771"/>
      <c r="S308" s="764"/>
      <c r="T308" s="783"/>
      <c r="U308" s="765"/>
      <c r="V308" s="754" t="s">
        <v>316</v>
      </c>
      <c r="W308" s="763"/>
    </row>
    <row r="309" spans="1:23" s="75" customFormat="1" ht="14.25" customHeight="1">
      <c r="A309" s="764" t="s">
        <v>3006</v>
      </c>
      <c r="B309" s="760" t="s">
        <v>313</v>
      </c>
      <c r="C309" s="768" t="s">
        <v>2893</v>
      </c>
      <c r="D309" s="761"/>
      <c r="E309" s="754">
        <v>196202</v>
      </c>
      <c r="F309" s="754" t="s">
        <v>433</v>
      </c>
      <c r="G309" s="754"/>
      <c r="H309" s="754"/>
      <c r="I309" s="754"/>
      <c r="J309" s="754" t="s">
        <v>812</v>
      </c>
      <c r="K309" s="754" t="s">
        <v>812</v>
      </c>
      <c r="L309" s="760" t="s">
        <v>812</v>
      </c>
      <c r="M309" s="754"/>
      <c r="N309" s="754">
        <v>20.170469284057599</v>
      </c>
      <c r="O309" s="754">
        <v>92.8343505859375</v>
      </c>
      <c r="P309" s="754"/>
      <c r="Q309" s="754"/>
      <c r="R309" s="771"/>
      <c r="S309" s="764"/>
      <c r="T309" s="783"/>
      <c r="U309" s="765"/>
      <c r="V309" s="754"/>
      <c r="W309" s="763"/>
    </row>
    <row r="310" spans="1:23" s="75" customFormat="1" ht="14.25" customHeight="1">
      <c r="A310" s="764" t="s">
        <v>3006</v>
      </c>
      <c r="B310" s="760" t="s">
        <v>313</v>
      </c>
      <c r="C310" s="760" t="s">
        <v>1780</v>
      </c>
      <c r="D310" s="637"/>
      <c r="E310" s="754">
        <v>196206</v>
      </c>
      <c r="F310" s="760" t="s">
        <v>433</v>
      </c>
      <c r="G310" s="754"/>
      <c r="H310" s="754"/>
      <c r="I310" s="754"/>
      <c r="J310" s="754" t="s">
        <v>812</v>
      </c>
      <c r="K310" s="760" t="s">
        <v>812</v>
      </c>
      <c r="L310" s="760" t="s">
        <v>812</v>
      </c>
      <c r="M310" s="754"/>
      <c r="N310" s="754">
        <v>20.168970108032202</v>
      </c>
      <c r="O310" s="754">
        <v>92.826896667480497</v>
      </c>
      <c r="P310" s="754"/>
      <c r="Q310" s="754"/>
      <c r="R310" s="763"/>
      <c r="S310" s="764"/>
      <c r="T310" s="783"/>
      <c r="U310" s="765"/>
      <c r="V310" s="754"/>
      <c r="W310" s="763"/>
    </row>
    <row r="311" spans="1:23" s="75" customFormat="1" ht="14.25" customHeight="1">
      <c r="A311" s="764" t="s">
        <v>3006</v>
      </c>
      <c r="B311" s="767" t="s">
        <v>313</v>
      </c>
      <c r="C311" s="768" t="s">
        <v>1916</v>
      </c>
      <c r="D311" s="761" t="s">
        <v>1913</v>
      </c>
      <c r="E311" s="754"/>
      <c r="F311" s="754"/>
      <c r="G311" s="754"/>
      <c r="H311" s="754"/>
      <c r="I311" s="754"/>
      <c r="J311" s="754" t="s">
        <v>812</v>
      </c>
      <c r="K311" s="754" t="s">
        <v>812</v>
      </c>
      <c r="L311" s="754" t="s">
        <v>812</v>
      </c>
      <c r="M311" s="754"/>
      <c r="N311" s="754"/>
      <c r="O311" s="754"/>
      <c r="P311" s="754" t="s">
        <v>813</v>
      </c>
      <c r="Q311" s="754"/>
      <c r="R311" s="771"/>
      <c r="S311" s="764"/>
      <c r="T311" s="783"/>
      <c r="U311" s="765"/>
      <c r="V311" s="754"/>
      <c r="W311" s="763"/>
    </row>
    <row r="312" spans="1:23" s="75" customFormat="1" ht="14.25" customHeight="1">
      <c r="A312" s="764" t="s">
        <v>3006</v>
      </c>
      <c r="B312" s="767" t="s">
        <v>313</v>
      </c>
      <c r="C312" s="768" t="s">
        <v>461</v>
      </c>
      <c r="D312" s="761" t="s">
        <v>1693</v>
      </c>
      <c r="E312" s="754">
        <v>196140</v>
      </c>
      <c r="F312" s="754"/>
      <c r="G312" s="754"/>
      <c r="H312" s="754"/>
      <c r="I312" s="754"/>
      <c r="J312" s="754" t="s">
        <v>812</v>
      </c>
      <c r="K312" s="754" t="s">
        <v>812</v>
      </c>
      <c r="L312" s="754" t="s">
        <v>812</v>
      </c>
      <c r="M312" s="754" t="s">
        <v>312</v>
      </c>
      <c r="N312" s="754">
        <v>20.218299999999999</v>
      </c>
      <c r="O312" s="754">
        <v>92.805999999999997</v>
      </c>
      <c r="P312" s="754" t="s">
        <v>813</v>
      </c>
      <c r="Q312" s="754" t="s">
        <v>794</v>
      </c>
      <c r="R312" s="771"/>
      <c r="S312" s="764"/>
      <c r="T312" s="783"/>
      <c r="U312" s="765"/>
      <c r="V312" s="754" t="s">
        <v>461</v>
      </c>
      <c r="W312" s="763"/>
    </row>
    <row r="313" spans="1:23" s="75" customFormat="1" ht="14.25" customHeight="1">
      <c r="A313" s="764" t="s">
        <v>3006</v>
      </c>
      <c r="B313" s="767" t="s">
        <v>313</v>
      </c>
      <c r="C313" s="768" t="s">
        <v>864</v>
      </c>
      <c r="D313" s="761" t="s">
        <v>1694</v>
      </c>
      <c r="E313" s="754" t="s">
        <v>1382</v>
      </c>
      <c r="F313" s="754" t="s">
        <v>1725</v>
      </c>
      <c r="G313" s="754">
        <v>0</v>
      </c>
      <c r="H313" s="754"/>
      <c r="I313" s="754"/>
      <c r="J313" s="754" t="s">
        <v>45</v>
      </c>
      <c r="K313" s="754" t="s">
        <v>45</v>
      </c>
      <c r="L313" s="754" t="s">
        <v>774</v>
      </c>
      <c r="M313" s="754"/>
      <c r="N313" s="754">
        <v>20.153129</v>
      </c>
      <c r="O313" s="754">
        <v>92.897177999999997</v>
      </c>
      <c r="P313" s="754" t="s">
        <v>775</v>
      </c>
      <c r="Q313" s="754"/>
      <c r="R313" s="771"/>
      <c r="S313" s="764"/>
      <c r="T313" s="783"/>
      <c r="U313" s="765"/>
      <c r="V313" s="754" t="s">
        <v>865</v>
      </c>
      <c r="W313" s="763"/>
    </row>
    <row r="314" spans="1:23" s="75" customFormat="1" ht="14.25" customHeight="1">
      <c r="A314" s="764" t="s">
        <v>3006</v>
      </c>
      <c r="B314" s="760" t="s">
        <v>313</v>
      </c>
      <c r="C314" s="760" t="s">
        <v>2886</v>
      </c>
      <c r="D314" s="637"/>
      <c r="E314" s="760">
        <v>196126</v>
      </c>
      <c r="F314" s="754" t="s">
        <v>2888</v>
      </c>
      <c r="G314" s="754"/>
      <c r="H314" s="754"/>
      <c r="I314" s="754"/>
      <c r="J314" s="754" t="s">
        <v>812</v>
      </c>
      <c r="K314" s="760" t="s">
        <v>812</v>
      </c>
      <c r="L314" s="760" t="s">
        <v>812</v>
      </c>
      <c r="M314" s="754"/>
      <c r="N314" s="754">
        <v>20.199499130248999</v>
      </c>
      <c r="O314" s="754">
        <v>92.834327697753906</v>
      </c>
      <c r="P314" s="754"/>
      <c r="Q314" s="754"/>
      <c r="R314" s="763"/>
      <c r="S314" s="764"/>
      <c r="T314" s="783"/>
      <c r="U314" s="765"/>
      <c r="V314" s="754"/>
      <c r="W314" s="763"/>
    </row>
    <row r="315" spans="1:23" s="75" customFormat="1" ht="14.25" customHeight="1">
      <c r="A315" s="764" t="s">
        <v>3006</v>
      </c>
      <c r="B315" s="760" t="s">
        <v>313</v>
      </c>
      <c r="C315" s="760" t="s">
        <v>2887</v>
      </c>
      <c r="D315" s="637"/>
      <c r="E315" s="754">
        <v>196128</v>
      </c>
      <c r="F315" s="754" t="s">
        <v>2888</v>
      </c>
      <c r="G315" s="754"/>
      <c r="H315" s="754"/>
      <c r="I315" s="754"/>
      <c r="J315" s="754" t="s">
        <v>812</v>
      </c>
      <c r="K315" s="760" t="s">
        <v>812</v>
      </c>
      <c r="L315" s="760" t="s">
        <v>812</v>
      </c>
      <c r="M315" s="754"/>
      <c r="N315" s="754">
        <v>20.194370269775401</v>
      </c>
      <c r="O315" s="754">
        <v>92.834007263183594</v>
      </c>
      <c r="P315" s="754"/>
      <c r="Q315" s="754"/>
      <c r="R315" s="763"/>
      <c r="S315" s="763"/>
      <c r="T315" s="783"/>
      <c r="U315" s="765"/>
      <c r="V315" s="754"/>
      <c r="W315" s="763"/>
    </row>
    <row r="316" spans="1:23" s="75" customFormat="1" ht="14.25" customHeight="1">
      <c r="A316" s="764" t="s">
        <v>3006</v>
      </c>
      <c r="B316" s="767" t="s">
        <v>313</v>
      </c>
      <c r="C316" s="768" t="s">
        <v>453</v>
      </c>
      <c r="D316" s="761" t="s">
        <v>1693</v>
      </c>
      <c r="E316" s="760">
        <v>196128</v>
      </c>
      <c r="F316" s="754"/>
      <c r="G316" s="754"/>
      <c r="H316" s="754"/>
      <c r="I316" s="754"/>
      <c r="J316" s="754" t="s">
        <v>818</v>
      </c>
      <c r="K316" s="754" t="s">
        <v>812</v>
      </c>
      <c r="L316" s="754" t="s">
        <v>818</v>
      </c>
      <c r="M316" s="754" t="s">
        <v>809</v>
      </c>
      <c r="N316" s="754">
        <v>20.19437027</v>
      </c>
      <c r="O316" s="754">
        <v>92.834007260000007</v>
      </c>
      <c r="P316" s="754" t="s">
        <v>937</v>
      </c>
      <c r="Q316" s="754" t="s">
        <v>776</v>
      </c>
      <c r="R316" s="771"/>
      <c r="S316" s="764"/>
      <c r="T316" s="783">
        <v>42811</v>
      </c>
      <c r="U316" s="765"/>
      <c r="V316" s="754"/>
      <c r="W316" s="763"/>
    </row>
    <row r="317" spans="1:23" s="75" customFormat="1" ht="14.25" customHeight="1">
      <c r="A317" s="764" t="s">
        <v>3006</v>
      </c>
      <c r="B317" s="767" t="s">
        <v>313</v>
      </c>
      <c r="C317" s="768" t="s">
        <v>447</v>
      </c>
      <c r="D317" s="761" t="s">
        <v>1913</v>
      </c>
      <c r="E317" s="754">
        <v>196197</v>
      </c>
      <c r="F317" s="754"/>
      <c r="G317" s="754"/>
      <c r="H317" s="754"/>
      <c r="I317" s="754"/>
      <c r="J317" s="754" t="s">
        <v>812</v>
      </c>
      <c r="K317" s="754" t="s">
        <v>812</v>
      </c>
      <c r="L317" s="754" t="s">
        <v>812</v>
      </c>
      <c r="M317" s="754"/>
      <c r="N317" s="754">
        <v>20.183790210000002</v>
      </c>
      <c r="O317" s="754">
        <v>92.864143369999994</v>
      </c>
      <c r="P317" s="754" t="s">
        <v>813</v>
      </c>
      <c r="Q317" s="754"/>
      <c r="R317" s="771"/>
      <c r="S317" s="764"/>
      <c r="T317" s="783"/>
      <c r="U317" s="765"/>
      <c r="V317" s="754"/>
      <c r="W317" s="763"/>
    </row>
    <row r="318" spans="1:23" s="75" customFormat="1" ht="14.25" customHeight="1">
      <c r="A318" s="764" t="s">
        <v>3006</v>
      </c>
      <c r="B318" s="760" t="s">
        <v>313</v>
      </c>
      <c r="C318" s="760" t="s">
        <v>2880</v>
      </c>
      <c r="D318" s="637"/>
      <c r="E318" s="754">
        <v>196135</v>
      </c>
      <c r="F318" s="754"/>
      <c r="G318" s="754"/>
      <c r="H318" s="754"/>
      <c r="I318" s="754"/>
      <c r="J318" s="754" t="s">
        <v>812</v>
      </c>
      <c r="K318" s="754" t="s">
        <v>812</v>
      </c>
      <c r="L318" s="754" t="s">
        <v>812</v>
      </c>
      <c r="M318" s="754"/>
      <c r="N318" s="754"/>
      <c r="O318" s="754"/>
      <c r="P318" s="754"/>
      <c r="Q318" s="754"/>
      <c r="R318" s="763"/>
      <c r="S318" s="763"/>
      <c r="T318" s="783"/>
      <c r="U318" s="765"/>
      <c r="V318" s="754"/>
      <c r="W318" s="763"/>
    </row>
    <row r="319" spans="1:23" s="75" customFormat="1" ht="14.25" customHeight="1">
      <c r="A319" s="764" t="s">
        <v>3006</v>
      </c>
      <c r="B319" s="760" t="s">
        <v>313</v>
      </c>
      <c r="C319" s="760" t="s">
        <v>2881</v>
      </c>
      <c r="D319" s="637"/>
      <c r="E319" s="754">
        <v>196134</v>
      </c>
      <c r="F319" s="754" t="s">
        <v>3084</v>
      </c>
      <c r="G319" s="754"/>
      <c r="H319" s="754"/>
      <c r="I319" s="754"/>
      <c r="J319" s="754" t="s">
        <v>812</v>
      </c>
      <c r="K319" s="754" t="s">
        <v>812</v>
      </c>
      <c r="L319" s="754" t="s">
        <v>812</v>
      </c>
      <c r="M319" s="754"/>
      <c r="N319" s="754">
        <v>20.187860488891602</v>
      </c>
      <c r="O319" s="754">
        <v>92.903419494628906</v>
      </c>
      <c r="P319" s="754"/>
      <c r="Q319" s="754"/>
      <c r="R319" s="763"/>
      <c r="S319" s="764"/>
      <c r="T319" s="783"/>
      <c r="U319" s="765"/>
      <c r="V319" s="754"/>
      <c r="W319" s="763"/>
    </row>
    <row r="320" spans="1:23" s="75" customFormat="1" ht="14.25" customHeight="1">
      <c r="A320" s="764" t="s">
        <v>3006</v>
      </c>
      <c r="B320" s="760" t="s">
        <v>313</v>
      </c>
      <c r="C320" s="760" t="s">
        <v>2078</v>
      </c>
      <c r="D320" s="637"/>
      <c r="E320" s="754">
        <v>196160</v>
      </c>
      <c r="F320" s="754" t="s">
        <v>2078</v>
      </c>
      <c r="G320" s="754"/>
      <c r="H320" s="754"/>
      <c r="I320" s="754"/>
      <c r="J320" s="754" t="s">
        <v>812</v>
      </c>
      <c r="K320" s="760" t="s">
        <v>812</v>
      </c>
      <c r="L320" s="760" t="s">
        <v>812</v>
      </c>
      <c r="M320" s="754"/>
      <c r="N320" s="754">
        <v>20.246250152587901</v>
      </c>
      <c r="O320" s="754">
        <v>92.822059631347699</v>
      </c>
      <c r="P320" s="754"/>
      <c r="Q320" s="754"/>
      <c r="R320" s="763"/>
      <c r="S320" s="764"/>
      <c r="T320" s="783"/>
      <c r="U320" s="765"/>
      <c r="V320" s="754" t="s">
        <v>3091</v>
      </c>
      <c r="W320" s="763"/>
    </row>
    <row r="321" spans="1:23" s="75" customFormat="1" ht="14.25" customHeight="1">
      <c r="A321" s="764" t="s">
        <v>3006</v>
      </c>
      <c r="B321" s="767" t="s">
        <v>313</v>
      </c>
      <c r="C321" s="768" t="s">
        <v>2373</v>
      </c>
      <c r="D321" s="637" t="s">
        <v>3117</v>
      </c>
      <c r="E321" s="754" t="s">
        <v>1394</v>
      </c>
      <c r="F321" s="754" t="s">
        <v>1700</v>
      </c>
      <c r="G321" s="754" t="s">
        <v>1700</v>
      </c>
      <c r="H321" s="754" t="s">
        <v>43</v>
      </c>
      <c r="I321" s="754"/>
      <c r="J321" s="754" t="s">
        <v>45</v>
      </c>
      <c r="K321" s="754" t="s">
        <v>45</v>
      </c>
      <c r="L321" s="754" t="s">
        <v>808</v>
      </c>
      <c r="M321" s="754" t="s">
        <v>809</v>
      </c>
      <c r="N321" s="754">
        <v>20.181778000000001</v>
      </c>
      <c r="O321" s="754">
        <v>92.823166999999998</v>
      </c>
      <c r="P321" s="754" t="s">
        <v>775</v>
      </c>
      <c r="Q321" s="754" t="s">
        <v>794</v>
      </c>
      <c r="R321" s="763">
        <v>400</v>
      </c>
      <c r="S321" s="764">
        <v>2325</v>
      </c>
      <c r="T321" s="783"/>
      <c r="U321" s="765"/>
      <c r="V321" s="754" t="s">
        <v>880</v>
      </c>
      <c r="W321" s="763"/>
    </row>
    <row r="322" spans="1:23" s="75" customFormat="1" ht="14.25" customHeight="1">
      <c r="A322" s="764" t="s">
        <v>3006</v>
      </c>
      <c r="B322" s="767" t="s">
        <v>313</v>
      </c>
      <c r="C322" s="768" t="s">
        <v>2374</v>
      </c>
      <c r="D322" s="637" t="s">
        <v>3117</v>
      </c>
      <c r="E322" s="754" t="s">
        <v>1394</v>
      </c>
      <c r="F322" s="754" t="s">
        <v>1700</v>
      </c>
      <c r="G322" s="754">
        <v>0</v>
      </c>
      <c r="H322" s="754"/>
      <c r="I322" s="754"/>
      <c r="J322" s="754" t="s">
        <v>45</v>
      </c>
      <c r="K322" s="754" t="s">
        <v>45</v>
      </c>
      <c r="L322" s="754" t="s">
        <v>808</v>
      </c>
      <c r="M322" s="754" t="s">
        <v>809</v>
      </c>
      <c r="N322" s="754">
        <v>20.180194</v>
      </c>
      <c r="O322" s="754">
        <v>92.816638999999995</v>
      </c>
      <c r="P322" s="754" t="s">
        <v>775</v>
      </c>
      <c r="Q322" s="754" t="s">
        <v>794</v>
      </c>
      <c r="R322" s="763">
        <v>399</v>
      </c>
      <c r="S322" s="764">
        <v>2230</v>
      </c>
      <c r="T322" s="783">
        <v>43488</v>
      </c>
      <c r="U322" s="765"/>
      <c r="V322" s="754" t="s">
        <v>878</v>
      </c>
      <c r="W322" s="763"/>
    </row>
    <row r="323" spans="1:23" s="75" customFormat="1" ht="14.25" customHeight="1">
      <c r="A323" s="764" t="s">
        <v>3006</v>
      </c>
      <c r="B323" s="767" t="s">
        <v>313</v>
      </c>
      <c r="C323" s="768" t="s">
        <v>2895</v>
      </c>
      <c r="D323" s="761"/>
      <c r="E323" s="754">
        <v>196195</v>
      </c>
      <c r="F323" s="754"/>
      <c r="G323" s="754"/>
      <c r="H323" s="754"/>
      <c r="I323" s="754"/>
      <c r="J323" s="754" t="s">
        <v>812</v>
      </c>
      <c r="K323" s="754" t="s">
        <v>812</v>
      </c>
      <c r="L323" s="754" t="s">
        <v>812</v>
      </c>
      <c r="M323" s="754"/>
      <c r="N323" s="754">
        <v>20.172649383544901</v>
      </c>
      <c r="O323" s="754">
        <v>92.874351501464801</v>
      </c>
      <c r="P323" s="754"/>
      <c r="Q323" s="754"/>
      <c r="R323" s="771"/>
      <c r="S323" s="764"/>
      <c r="T323" s="783"/>
      <c r="U323" s="765"/>
      <c r="V323" s="754"/>
      <c r="W323" s="763"/>
    </row>
    <row r="324" spans="1:23" s="75" customFormat="1" ht="14.25" customHeight="1">
      <c r="A324" s="764" t="s">
        <v>3006</v>
      </c>
      <c r="B324" s="767" t="s">
        <v>313</v>
      </c>
      <c r="C324" s="768" t="s">
        <v>2896</v>
      </c>
      <c r="D324" s="761"/>
      <c r="E324" s="754"/>
      <c r="F324" s="754"/>
      <c r="G324" s="754"/>
      <c r="H324" s="754"/>
      <c r="I324" s="754"/>
      <c r="J324" s="754" t="s">
        <v>812</v>
      </c>
      <c r="K324" s="754" t="s">
        <v>812</v>
      </c>
      <c r="L324" s="754" t="s">
        <v>812</v>
      </c>
      <c r="M324" s="754"/>
      <c r="N324" s="754"/>
      <c r="O324" s="754"/>
      <c r="P324" s="754"/>
      <c r="Q324" s="754"/>
      <c r="R324" s="771"/>
      <c r="S324" s="764"/>
      <c r="T324" s="783"/>
      <c r="U324" s="765"/>
      <c r="V324" s="754"/>
      <c r="W324" s="763"/>
    </row>
    <row r="325" spans="1:23" s="75" customFormat="1" ht="14.25" customHeight="1">
      <c r="A325" s="764" t="s">
        <v>3006</v>
      </c>
      <c r="B325" s="767" t="s">
        <v>313</v>
      </c>
      <c r="C325" s="768" t="s">
        <v>2074</v>
      </c>
      <c r="D325" s="761"/>
      <c r="E325" s="754">
        <v>196180</v>
      </c>
      <c r="F325" s="754" t="s">
        <v>2075</v>
      </c>
      <c r="G325" s="754"/>
      <c r="H325" s="754"/>
      <c r="I325" s="754"/>
      <c r="J325" s="754" t="s">
        <v>812</v>
      </c>
      <c r="K325" s="754" t="s">
        <v>812</v>
      </c>
      <c r="L325" s="754" t="s">
        <v>812</v>
      </c>
      <c r="M325" s="754" t="s">
        <v>1952</v>
      </c>
      <c r="N325" s="754">
        <v>20.2315197</v>
      </c>
      <c r="O325" s="754">
        <v>92.876129149999997</v>
      </c>
      <c r="P325" s="754" t="s">
        <v>813</v>
      </c>
      <c r="Q325" s="754"/>
      <c r="R325" s="771"/>
      <c r="S325" s="764"/>
      <c r="T325" s="783">
        <v>43294</v>
      </c>
      <c r="U325" s="765"/>
      <c r="V325" s="754"/>
      <c r="W325" s="763"/>
    </row>
    <row r="326" spans="1:23" s="75" customFormat="1" ht="14.25" customHeight="1">
      <c r="A326" s="764" t="s">
        <v>3006</v>
      </c>
      <c r="B326" s="760" t="s">
        <v>313</v>
      </c>
      <c r="C326" s="760" t="s">
        <v>2885</v>
      </c>
      <c r="D326" s="637"/>
      <c r="E326" s="754">
        <v>196169</v>
      </c>
      <c r="F326" s="754" t="s">
        <v>2885</v>
      </c>
      <c r="G326" s="754"/>
      <c r="H326" s="754"/>
      <c r="I326" s="754"/>
      <c r="J326" s="754" t="s">
        <v>812</v>
      </c>
      <c r="K326" s="754" t="s">
        <v>812</v>
      </c>
      <c r="L326" s="754" t="s">
        <v>812</v>
      </c>
      <c r="M326" s="754"/>
      <c r="N326" s="754">
        <v>20.2375602722168</v>
      </c>
      <c r="O326" s="754">
        <v>92.861152648925795</v>
      </c>
      <c r="P326" s="754"/>
      <c r="Q326" s="754"/>
      <c r="R326" s="763"/>
      <c r="S326" s="764"/>
      <c r="T326" s="783"/>
      <c r="U326" s="765"/>
      <c r="V326" s="754"/>
      <c r="W326" s="763"/>
    </row>
    <row r="327" spans="1:23" s="75" customFormat="1" ht="14.25" customHeight="1">
      <c r="A327" s="764" t="s">
        <v>3006</v>
      </c>
      <c r="B327" s="760" t="s">
        <v>313</v>
      </c>
      <c r="C327" s="760" t="s">
        <v>2884</v>
      </c>
      <c r="D327" s="637"/>
      <c r="E327" s="754">
        <v>196170</v>
      </c>
      <c r="F327" s="754" t="s">
        <v>2885</v>
      </c>
      <c r="G327" s="754"/>
      <c r="H327" s="754"/>
      <c r="I327" s="754"/>
      <c r="J327" s="754" t="s">
        <v>812</v>
      </c>
      <c r="K327" s="754" t="s">
        <v>812</v>
      </c>
      <c r="L327" s="754" t="s">
        <v>812</v>
      </c>
      <c r="M327" s="754"/>
      <c r="N327" s="754">
        <v>20.248519897460898</v>
      </c>
      <c r="O327" s="754">
        <v>92.8621826171875</v>
      </c>
      <c r="P327" s="754"/>
      <c r="Q327" s="754"/>
      <c r="R327" s="763"/>
      <c r="S327" s="764"/>
      <c r="T327" s="783"/>
      <c r="U327" s="765"/>
      <c r="V327" s="754"/>
      <c r="W327" s="763"/>
    </row>
    <row r="328" spans="1:23" s="75" customFormat="1" ht="14.25" customHeight="1">
      <c r="A328" s="764" t="s">
        <v>3006</v>
      </c>
      <c r="B328" s="760" t="s">
        <v>313</v>
      </c>
      <c r="C328" s="760" t="s">
        <v>2883</v>
      </c>
      <c r="D328" s="637"/>
      <c r="E328" s="754">
        <v>196166</v>
      </c>
      <c r="F328" s="754" t="s">
        <v>472</v>
      </c>
      <c r="G328" s="754"/>
      <c r="H328" s="754"/>
      <c r="I328" s="754"/>
      <c r="J328" s="754" t="s">
        <v>812</v>
      </c>
      <c r="K328" s="754" t="s">
        <v>812</v>
      </c>
      <c r="L328" s="754" t="s">
        <v>812</v>
      </c>
      <c r="M328" s="754"/>
      <c r="N328" s="754">
        <v>20.2630290985107</v>
      </c>
      <c r="O328" s="754">
        <v>92.858856201171903</v>
      </c>
      <c r="P328" s="754"/>
      <c r="Q328" s="754"/>
      <c r="R328" s="763"/>
      <c r="S328" s="764"/>
      <c r="T328" s="783"/>
      <c r="U328" s="765"/>
      <c r="V328" s="754"/>
      <c r="W328" s="763"/>
    </row>
    <row r="329" spans="1:23" s="75" customFormat="1" ht="14.25" customHeight="1">
      <c r="A329" s="764" t="s">
        <v>3006</v>
      </c>
      <c r="B329" s="767" t="s">
        <v>313</v>
      </c>
      <c r="C329" s="768" t="s">
        <v>468</v>
      </c>
      <c r="D329" s="761" t="s">
        <v>1693</v>
      </c>
      <c r="E329" s="754">
        <v>196137</v>
      </c>
      <c r="F329" s="760" t="s">
        <v>468</v>
      </c>
      <c r="G329" s="754"/>
      <c r="H329" s="754"/>
      <c r="I329" s="754"/>
      <c r="J329" s="754" t="s">
        <v>812</v>
      </c>
      <c r="K329" s="754" t="s">
        <v>812</v>
      </c>
      <c r="L329" s="754" t="s">
        <v>812</v>
      </c>
      <c r="M329" s="754" t="s">
        <v>312</v>
      </c>
      <c r="N329" s="754">
        <v>20.245159149999999</v>
      </c>
      <c r="O329" s="754">
        <v>92.807418819999995</v>
      </c>
      <c r="P329" s="754" t="s">
        <v>813</v>
      </c>
      <c r="Q329" s="754" t="s">
        <v>794</v>
      </c>
      <c r="R329" s="771"/>
      <c r="S329" s="764"/>
      <c r="T329" s="783"/>
      <c r="U329" s="765"/>
      <c r="V329" s="754" t="s">
        <v>468</v>
      </c>
      <c r="W329" s="763"/>
    </row>
    <row r="330" spans="1:23" s="75" customFormat="1" ht="14.25" customHeight="1">
      <c r="A330" s="764" t="s">
        <v>3006</v>
      </c>
      <c r="B330" s="767" t="s">
        <v>313</v>
      </c>
      <c r="C330" s="768" t="s">
        <v>472</v>
      </c>
      <c r="D330" s="761" t="s">
        <v>1693</v>
      </c>
      <c r="E330" s="754">
        <v>196163</v>
      </c>
      <c r="F330" s="754"/>
      <c r="G330" s="754"/>
      <c r="H330" s="754"/>
      <c r="I330" s="754"/>
      <c r="J330" s="754" t="s">
        <v>818</v>
      </c>
      <c r="K330" s="754" t="s">
        <v>812</v>
      </c>
      <c r="L330" s="754" t="s">
        <v>818</v>
      </c>
      <c r="M330" s="754" t="s">
        <v>312</v>
      </c>
      <c r="N330" s="754">
        <v>20.27263069</v>
      </c>
      <c r="O330" s="754">
        <v>92.843261720000001</v>
      </c>
      <c r="P330" s="754" t="s">
        <v>937</v>
      </c>
      <c r="Q330" s="754" t="s">
        <v>776</v>
      </c>
      <c r="R330" s="771"/>
      <c r="S330" s="764"/>
      <c r="T330" s="783">
        <v>42811</v>
      </c>
      <c r="U330" s="765"/>
      <c r="V330" s="754"/>
      <c r="W330" s="763"/>
    </row>
    <row r="331" spans="1:23" s="75" customFormat="1" ht="14.25" customHeight="1">
      <c r="A331" s="764" t="s">
        <v>3006</v>
      </c>
      <c r="B331" s="760" t="s">
        <v>313</v>
      </c>
      <c r="C331" s="760" t="s">
        <v>2888</v>
      </c>
      <c r="D331" s="637"/>
      <c r="E331" s="754">
        <v>196125</v>
      </c>
      <c r="F331" s="754" t="s">
        <v>2888</v>
      </c>
      <c r="G331" s="754"/>
      <c r="H331" s="754"/>
      <c r="I331" s="754"/>
      <c r="J331" s="754" t="s">
        <v>812</v>
      </c>
      <c r="K331" s="760" t="s">
        <v>812</v>
      </c>
      <c r="L331" s="754" t="s">
        <v>812</v>
      </c>
      <c r="M331" s="754"/>
      <c r="N331" s="754">
        <v>20.2105598449707</v>
      </c>
      <c r="O331" s="754">
        <v>92.836456298828097</v>
      </c>
      <c r="P331" s="754"/>
      <c r="Q331" s="754"/>
      <c r="R331" s="763"/>
      <c r="S331" s="763"/>
      <c r="T331" s="783"/>
      <c r="U331" s="765"/>
      <c r="V331" s="754"/>
      <c r="W331" s="763"/>
    </row>
    <row r="332" spans="1:23" s="75" customFormat="1" ht="14.25" customHeight="1">
      <c r="A332" s="764" t="s">
        <v>3006</v>
      </c>
      <c r="B332" s="767" t="s">
        <v>313</v>
      </c>
      <c r="C332" s="768" t="s">
        <v>449</v>
      </c>
      <c r="D332" s="637" t="s">
        <v>3117</v>
      </c>
      <c r="E332" s="754" t="s">
        <v>1397</v>
      </c>
      <c r="F332" s="754" t="s">
        <v>433</v>
      </c>
      <c r="G332" s="754" t="s">
        <v>433</v>
      </c>
      <c r="H332" s="754" t="s">
        <v>43</v>
      </c>
      <c r="I332" s="754"/>
      <c r="J332" s="754" t="s">
        <v>45</v>
      </c>
      <c r="K332" s="754" t="s">
        <v>45</v>
      </c>
      <c r="L332" s="754" t="s">
        <v>808</v>
      </c>
      <c r="M332" s="754" t="s">
        <v>809</v>
      </c>
      <c r="N332" s="754">
        <v>20.185917</v>
      </c>
      <c r="O332" s="754">
        <v>92.831000000000003</v>
      </c>
      <c r="P332" s="754" t="s">
        <v>775</v>
      </c>
      <c r="Q332" s="754" t="s">
        <v>794</v>
      </c>
      <c r="R332" s="763">
        <v>621</v>
      </c>
      <c r="S332" s="764">
        <v>3379</v>
      </c>
      <c r="T332" s="783"/>
      <c r="U332" s="765"/>
      <c r="V332" s="754" t="s">
        <v>883</v>
      </c>
      <c r="W332" s="763"/>
    </row>
    <row r="333" spans="1:23" s="75" customFormat="1" ht="14.25" customHeight="1">
      <c r="A333" s="764" t="s">
        <v>3006</v>
      </c>
      <c r="B333" s="767" t="s">
        <v>313</v>
      </c>
      <c r="C333" s="768" t="s">
        <v>465</v>
      </c>
      <c r="D333" s="761" t="s">
        <v>1693</v>
      </c>
      <c r="E333" s="754">
        <v>196139</v>
      </c>
      <c r="F333" s="754"/>
      <c r="G333" s="754"/>
      <c r="H333" s="754"/>
      <c r="I333" s="754"/>
      <c r="J333" s="754" t="s">
        <v>812</v>
      </c>
      <c r="K333" s="754" t="s">
        <v>812</v>
      </c>
      <c r="L333" s="754" t="s">
        <v>812</v>
      </c>
      <c r="M333" s="754" t="s">
        <v>809</v>
      </c>
      <c r="N333" s="754">
        <v>20.2302</v>
      </c>
      <c r="O333" s="754">
        <v>92.817999999999998</v>
      </c>
      <c r="P333" s="754" t="s">
        <v>813</v>
      </c>
      <c r="Q333" s="754" t="s">
        <v>794</v>
      </c>
      <c r="R333" s="771"/>
      <c r="S333" s="764"/>
      <c r="T333" s="783"/>
      <c r="U333" s="765"/>
      <c r="V333" s="754" t="s">
        <v>465</v>
      </c>
      <c r="W333" s="763"/>
    </row>
    <row r="334" spans="1:23" s="75" customFormat="1" ht="14.25" customHeight="1">
      <c r="A334" s="764" t="s">
        <v>3006</v>
      </c>
      <c r="B334" s="767" t="s">
        <v>313</v>
      </c>
      <c r="C334" s="768" t="s">
        <v>1919</v>
      </c>
      <c r="D334" s="761" t="s">
        <v>1913</v>
      </c>
      <c r="E334" s="754"/>
      <c r="F334" s="754"/>
      <c r="G334" s="754"/>
      <c r="H334" s="754"/>
      <c r="I334" s="754"/>
      <c r="J334" s="754" t="s">
        <v>812</v>
      </c>
      <c r="K334" s="754" t="s">
        <v>812</v>
      </c>
      <c r="L334" s="754" t="s">
        <v>812</v>
      </c>
      <c r="M334" s="754"/>
      <c r="N334" s="754"/>
      <c r="O334" s="754"/>
      <c r="P334" s="754" t="s">
        <v>813</v>
      </c>
      <c r="Q334" s="754"/>
      <c r="R334" s="771"/>
      <c r="S334" s="764"/>
      <c r="T334" s="783"/>
      <c r="U334" s="765"/>
      <c r="V334" s="754"/>
      <c r="W334" s="763"/>
    </row>
    <row r="335" spans="1:23" s="75" customFormat="1" ht="14.25" customHeight="1">
      <c r="A335" s="764" t="s">
        <v>3006</v>
      </c>
      <c r="B335" s="767" t="s">
        <v>313</v>
      </c>
      <c r="C335" s="768" t="s">
        <v>1917</v>
      </c>
      <c r="D335" s="761" t="s">
        <v>1913</v>
      </c>
      <c r="E335" s="754"/>
      <c r="F335" s="754"/>
      <c r="G335" s="754"/>
      <c r="H335" s="754"/>
      <c r="I335" s="754"/>
      <c r="J335" s="754" t="s">
        <v>812</v>
      </c>
      <c r="K335" s="754" t="s">
        <v>812</v>
      </c>
      <c r="L335" s="754" t="s">
        <v>812</v>
      </c>
      <c r="M335" s="754"/>
      <c r="N335" s="754"/>
      <c r="O335" s="754"/>
      <c r="P335" s="754" t="s">
        <v>813</v>
      </c>
      <c r="Q335" s="754"/>
      <c r="R335" s="771"/>
      <c r="S335" s="764"/>
      <c r="T335" s="783"/>
      <c r="U335" s="765"/>
      <c r="V335" s="754"/>
      <c r="W335" s="763"/>
    </row>
    <row r="336" spans="1:23" s="75" customFormat="1" ht="14.25" customHeight="1">
      <c r="A336" s="764" t="s">
        <v>3006</v>
      </c>
      <c r="B336" s="767" t="s">
        <v>313</v>
      </c>
      <c r="C336" s="768" t="s">
        <v>2081</v>
      </c>
      <c r="D336" s="761"/>
      <c r="E336" s="754"/>
      <c r="F336" s="754"/>
      <c r="G336" s="754"/>
      <c r="H336" s="754"/>
      <c r="I336" s="754"/>
      <c r="J336" s="754" t="s">
        <v>812</v>
      </c>
      <c r="K336" s="754" t="s">
        <v>812</v>
      </c>
      <c r="L336" s="754" t="s">
        <v>812</v>
      </c>
      <c r="M336" s="754"/>
      <c r="N336" s="754"/>
      <c r="O336" s="754"/>
      <c r="P336" s="754" t="s">
        <v>813</v>
      </c>
      <c r="Q336" s="754"/>
      <c r="R336" s="771"/>
      <c r="S336" s="764"/>
      <c r="T336" s="783">
        <v>43297</v>
      </c>
      <c r="U336" s="765"/>
      <c r="V336" s="754"/>
      <c r="W336" s="763"/>
    </row>
    <row r="337" spans="1:23" s="75" customFormat="1" ht="14.25" customHeight="1">
      <c r="A337" s="764" t="s">
        <v>3006</v>
      </c>
      <c r="B337" s="767" t="s">
        <v>313</v>
      </c>
      <c r="C337" s="768" t="s">
        <v>460</v>
      </c>
      <c r="D337" s="761" t="s">
        <v>1693</v>
      </c>
      <c r="E337" s="754">
        <v>196144</v>
      </c>
      <c r="F337" s="754"/>
      <c r="G337" s="754"/>
      <c r="H337" s="754"/>
      <c r="I337" s="754"/>
      <c r="J337" s="754" t="s">
        <v>812</v>
      </c>
      <c r="K337" s="754" t="s">
        <v>812</v>
      </c>
      <c r="L337" s="754" t="s">
        <v>812</v>
      </c>
      <c r="M337" s="754" t="s">
        <v>809</v>
      </c>
      <c r="N337" s="754">
        <v>20.212700000000002</v>
      </c>
      <c r="O337" s="754">
        <v>92.820800000000006</v>
      </c>
      <c r="P337" s="754" t="s">
        <v>813</v>
      </c>
      <c r="Q337" s="754" t="s">
        <v>794</v>
      </c>
      <c r="R337" s="771"/>
      <c r="S337" s="764"/>
      <c r="T337" s="783"/>
      <c r="U337" s="765"/>
      <c r="V337" s="754" t="s">
        <v>460</v>
      </c>
      <c r="W337" s="763"/>
    </row>
    <row r="338" spans="1:23" s="75" customFormat="1" ht="14.25" customHeight="1">
      <c r="A338" s="764" t="s">
        <v>3006</v>
      </c>
      <c r="B338" s="767" t="s">
        <v>313</v>
      </c>
      <c r="C338" s="768" t="s">
        <v>889</v>
      </c>
      <c r="D338" s="761" t="s">
        <v>1693</v>
      </c>
      <c r="E338" s="754">
        <v>196145</v>
      </c>
      <c r="F338" s="754"/>
      <c r="G338" s="754"/>
      <c r="H338" s="754"/>
      <c r="I338" s="754"/>
      <c r="J338" s="754" t="s">
        <v>812</v>
      </c>
      <c r="K338" s="754" t="s">
        <v>812</v>
      </c>
      <c r="L338" s="754" t="s">
        <v>812</v>
      </c>
      <c r="M338" s="754" t="s">
        <v>809</v>
      </c>
      <c r="N338" s="754">
        <v>20.219509120000001</v>
      </c>
      <c r="O338" s="754">
        <v>92.811332699999994</v>
      </c>
      <c r="P338" s="754" t="s">
        <v>813</v>
      </c>
      <c r="Q338" s="754" t="s">
        <v>776</v>
      </c>
      <c r="R338" s="771"/>
      <c r="S338" s="764"/>
      <c r="T338" s="783">
        <v>42811</v>
      </c>
      <c r="U338" s="765"/>
      <c r="V338" s="754"/>
      <c r="W338" s="763"/>
    </row>
    <row r="339" spans="1:23" s="75" customFormat="1" ht="14.25" customHeight="1">
      <c r="A339" s="764" t="s">
        <v>3006</v>
      </c>
      <c r="B339" s="767" t="s">
        <v>313</v>
      </c>
      <c r="C339" s="768" t="s">
        <v>469</v>
      </c>
      <c r="D339" s="761" t="s">
        <v>1693</v>
      </c>
      <c r="E339" s="754">
        <v>196178</v>
      </c>
      <c r="F339" s="754"/>
      <c r="G339" s="754"/>
      <c r="H339" s="754"/>
      <c r="I339" s="754"/>
      <c r="J339" s="754" t="s">
        <v>818</v>
      </c>
      <c r="K339" s="754" t="s">
        <v>812</v>
      </c>
      <c r="L339" s="754" t="s">
        <v>818</v>
      </c>
      <c r="M339" s="754" t="s">
        <v>312</v>
      </c>
      <c r="N339" s="754">
        <v>20.26078987</v>
      </c>
      <c r="O339" s="754">
        <v>92.878593440000003</v>
      </c>
      <c r="P339" s="754" t="s">
        <v>937</v>
      </c>
      <c r="Q339" s="754" t="s">
        <v>776</v>
      </c>
      <c r="R339" s="771"/>
      <c r="S339" s="764"/>
      <c r="T339" s="783">
        <v>42811</v>
      </c>
      <c r="U339" s="765"/>
      <c r="V339" s="754"/>
      <c r="W339" s="763"/>
    </row>
    <row r="340" spans="1:23" s="75" customFormat="1" ht="14.25" customHeight="1">
      <c r="A340" s="764" t="s">
        <v>3006</v>
      </c>
      <c r="B340" s="767" t="s">
        <v>313</v>
      </c>
      <c r="C340" s="768" t="s">
        <v>459</v>
      </c>
      <c r="D340" s="637" t="s">
        <v>3117</v>
      </c>
      <c r="E340" s="754" t="s">
        <v>1400</v>
      </c>
      <c r="F340" s="754" t="s">
        <v>1782</v>
      </c>
      <c r="G340" s="754" t="s">
        <v>458</v>
      </c>
      <c r="H340" s="754" t="s">
        <v>43</v>
      </c>
      <c r="I340" s="754"/>
      <c r="J340" s="754" t="s">
        <v>45</v>
      </c>
      <c r="K340" s="754" t="s">
        <v>45</v>
      </c>
      <c r="L340" s="754" t="s">
        <v>808</v>
      </c>
      <c r="M340" s="754" t="s">
        <v>809</v>
      </c>
      <c r="N340" s="754">
        <v>20.206778</v>
      </c>
      <c r="O340" s="754">
        <v>92.774193999999994</v>
      </c>
      <c r="P340" s="754" t="s">
        <v>775</v>
      </c>
      <c r="Q340" s="754" t="s">
        <v>794</v>
      </c>
      <c r="R340" s="763">
        <v>729</v>
      </c>
      <c r="S340" s="764">
        <v>4175</v>
      </c>
      <c r="T340" s="783"/>
      <c r="U340" s="765"/>
      <c r="V340" s="754" t="s">
        <v>459</v>
      </c>
      <c r="W340" s="763"/>
    </row>
    <row r="341" spans="1:23" s="75" customFormat="1" ht="14.25" customHeight="1">
      <c r="A341" s="764" t="s">
        <v>3006</v>
      </c>
      <c r="B341" s="767" t="s">
        <v>313</v>
      </c>
      <c r="C341" s="768" t="s">
        <v>454</v>
      </c>
      <c r="D341" s="761" t="s">
        <v>1693</v>
      </c>
      <c r="E341" s="754">
        <v>196156</v>
      </c>
      <c r="F341" s="754" t="s">
        <v>1782</v>
      </c>
      <c r="G341" s="754"/>
      <c r="H341" s="754"/>
      <c r="I341" s="754"/>
      <c r="J341" s="754" t="s">
        <v>812</v>
      </c>
      <c r="K341" s="754" t="s">
        <v>812</v>
      </c>
      <c r="L341" s="754" t="s">
        <v>812</v>
      </c>
      <c r="M341" s="754" t="s">
        <v>809</v>
      </c>
      <c r="N341" s="754">
        <v>20.197549819999999</v>
      </c>
      <c r="O341" s="754">
        <v>92.785682679999994</v>
      </c>
      <c r="P341" s="754" t="s">
        <v>813</v>
      </c>
      <c r="Q341" s="754" t="s">
        <v>794</v>
      </c>
      <c r="R341" s="771"/>
      <c r="S341" s="764"/>
      <c r="T341" s="783"/>
      <c r="U341" s="765"/>
      <c r="V341" s="754" t="s">
        <v>454</v>
      </c>
      <c r="W341" s="763"/>
    </row>
    <row r="342" spans="1:23" s="75" customFormat="1" ht="14.25" customHeight="1">
      <c r="A342" s="764" t="s">
        <v>3006</v>
      </c>
      <c r="B342" s="767" t="s">
        <v>313</v>
      </c>
      <c r="C342" s="768" t="s">
        <v>450</v>
      </c>
      <c r="D342" s="637" t="s">
        <v>3117</v>
      </c>
      <c r="E342" s="754" t="s">
        <v>1398</v>
      </c>
      <c r="F342" s="754" t="s">
        <v>1700</v>
      </c>
      <c r="G342" s="754" t="s">
        <v>1726</v>
      </c>
      <c r="H342" s="754" t="s">
        <v>43</v>
      </c>
      <c r="I342" s="754"/>
      <c r="J342" s="754" t="s">
        <v>45</v>
      </c>
      <c r="K342" s="754" t="s">
        <v>45</v>
      </c>
      <c r="L342" s="754" t="s">
        <v>808</v>
      </c>
      <c r="M342" s="754" t="s">
        <v>809</v>
      </c>
      <c r="N342" s="754">
        <v>20.18994</v>
      </c>
      <c r="O342" s="754">
        <v>92.798880999999994</v>
      </c>
      <c r="P342" s="754" t="s">
        <v>775</v>
      </c>
      <c r="Q342" s="754" t="s">
        <v>794</v>
      </c>
      <c r="R342" s="763">
        <v>2728</v>
      </c>
      <c r="S342" s="764">
        <v>13812</v>
      </c>
      <c r="T342" s="783"/>
      <c r="U342" s="765"/>
      <c r="V342" s="754" t="s">
        <v>884</v>
      </c>
      <c r="W342" s="763"/>
    </row>
    <row r="343" spans="1:23" s="75" customFormat="1" ht="14.25" customHeight="1">
      <c r="A343" s="764" t="s">
        <v>3006</v>
      </c>
      <c r="B343" s="767" t="s">
        <v>313</v>
      </c>
      <c r="C343" s="768" t="s">
        <v>448</v>
      </c>
      <c r="D343" s="637" t="s">
        <v>3117</v>
      </c>
      <c r="E343" s="754" t="s">
        <v>1396</v>
      </c>
      <c r="F343" s="754" t="s">
        <v>1700</v>
      </c>
      <c r="G343" s="754" t="s">
        <v>1726</v>
      </c>
      <c r="H343" s="754" t="s">
        <v>43</v>
      </c>
      <c r="I343" s="754"/>
      <c r="J343" s="754" t="s">
        <v>45</v>
      </c>
      <c r="K343" s="754" t="s">
        <v>45</v>
      </c>
      <c r="L343" s="754" t="s">
        <v>808</v>
      </c>
      <c r="M343" s="754" t="s">
        <v>809</v>
      </c>
      <c r="N343" s="754">
        <v>20.185092000000001</v>
      </c>
      <c r="O343" s="754">
        <v>92.802295999999998</v>
      </c>
      <c r="P343" s="754" t="s">
        <v>775</v>
      </c>
      <c r="Q343" s="754" t="s">
        <v>794</v>
      </c>
      <c r="R343" s="763">
        <v>2259</v>
      </c>
      <c r="S343" s="764">
        <v>11375</v>
      </c>
      <c r="T343" s="783"/>
      <c r="U343" s="765"/>
      <c r="V343" s="754" t="s">
        <v>882</v>
      </c>
      <c r="W343" s="763"/>
    </row>
    <row r="344" spans="1:23" s="75" customFormat="1" ht="14.25" customHeight="1">
      <c r="A344" s="764" t="s">
        <v>3006</v>
      </c>
      <c r="B344" s="767" t="s">
        <v>313</v>
      </c>
      <c r="C344" s="768" t="s">
        <v>458</v>
      </c>
      <c r="D344" s="761" t="s">
        <v>1693</v>
      </c>
      <c r="E344" s="754">
        <v>196158</v>
      </c>
      <c r="F344" s="754"/>
      <c r="G344" s="754"/>
      <c r="H344" s="754"/>
      <c r="I344" s="754"/>
      <c r="J344" s="754" t="s">
        <v>818</v>
      </c>
      <c r="K344" s="754" t="s">
        <v>812</v>
      </c>
      <c r="L344" s="754" t="s">
        <v>818</v>
      </c>
      <c r="M344" s="754" t="s">
        <v>809</v>
      </c>
      <c r="N344" s="754">
        <v>20.2043705</v>
      </c>
      <c r="O344" s="754">
        <v>92.780357359999996</v>
      </c>
      <c r="P344" s="754" t="s">
        <v>937</v>
      </c>
      <c r="Q344" s="754" t="s">
        <v>776</v>
      </c>
      <c r="R344" s="771"/>
      <c r="S344" s="764"/>
      <c r="T344" s="783">
        <v>42811</v>
      </c>
      <c r="U344" s="765"/>
      <c r="V344" s="754"/>
      <c r="W344" s="763"/>
    </row>
    <row r="345" spans="1:23" s="75" customFormat="1" ht="14.25" customHeight="1">
      <c r="A345" s="764" t="s">
        <v>3006</v>
      </c>
      <c r="B345" s="760" t="s">
        <v>313</v>
      </c>
      <c r="C345" s="760" t="s">
        <v>2890</v>
      </c>
      <c r="D345" s="637"/>
      <c r="E345" s="754">
        <v>220593</v>
      </c>
      <c r="F345" s="760" t="s">
        <v>468</v>
      </c>
      <c r="G345" s="754"/>
      <c r="H345" s="754"/>
      <c r="I345" s="754"/>
      <c r="J345" s="754" t="s">
        <v>812</v>
      </c>
      <c r="K345" s="760" t="s">
        <v>812</v>
      </c>
      <c r="L345" s="760" t="s">
        <v>812</v>
      </c>
      <c r="M345" s="754"/>
      <c r="N345" s="754">
        <v>20.261358000000001</v>
      </c>
      <c r="O345" s="754">
        <v>92.805672999999999</v>
      </c>
      <c r="P345" s="754"/>
      <c r="Q345" s="754"/>
      <c r="R345" s="763"/>
      <c r="S345" s="763"/>
      <c r="T345" s="783"/>
      <c r="U345" s="765"/>
      <c r="V345" s="754"/>
      <c r="W345" s="763"/>
    </row>
    <row r="346" spans="1:23" s="75" customFormat="1" ht="14.25" customHeight="1">
      <c r="A346" s="764" t="s">
        <v>3006</v>
      </c>
      <c r="B346" s="767" t="s">
        <v>313</v>
      </c>
      <c r="C346" s="768" t="s">
        <v>853</v>
      </c>
      <c r="D346" s="761" t="s">
        <v>1693</v>
      </c>
      <c r="E346" s="754">
        <v>196142</v>
      </c>
      <c r="F346" s="754"/>
      <c r="G346" s="754"/>
      <c r="H346" s="754"/>
      <c r="I346" s="754"/>
      <c r="J346" s="754" t="s">
        <v>812</v>
      </c>
      <c r="K346" s="754" t="s">
        <v>812</v>
      </c>
      <c r="L346" s="754" t="s">
        <v>812</v>
      </c>
      <c r="M346" s="754" t="s">
        <v>809</v>
      </c>
      <c r="N346" s="754">
        <v>20.122990000000001</v>
      </c>
      <c r="O346" s="754">
        <v>92.474298000000005</v>
      </c>
      <c r="P346" s="754" t="s">
        <v>813</v>
      </c>
      <c r="Q346" s="754"/>
      <c r="R346" s="771"/>
      <c r="S346" s="764"/>
      <c r="T346" s="783"/>
      <c r="U346" s="765"/>
      <c r="V346" s="754" t="s">
        <v>853</v>
      </c>
      <c r="W346" s="763"/>
    </row>
    <row r="347" spans="1:23" s="75" customFormat="1" ht="14.25" customHeight="1">
      <c r="A347" s="764" t="s">
        <v>3006</v>
      </c>
      <c r="B347" s="767" t="s">
        <v>313</v>
      </c>
      <c r="C347" s="768" t="s">
        <v>855</v>
      </c>
      <c r="D347" s="761" t="s">
        <v>1693</v>
      </c>
      <c r="E347" s="754">
        <v>196141</v>
      </c>
      <c r="F347" s="754"/>
      <c r="G347" s="754"/>
      <c r="H347" s="754"/>
      <c r="I347" s="754"/>
      <c r="J347" s="754" t="s">
        <v>812</v>
      </c>
      <c r="K347" s="754" t="s">
        <v>812</v>
      </c>
      <c r="L347" s="754" t="s">
        <v>812</v>
      </c>
      <c r="M347" s="754" t="s">
        <v>312</v>
      </c>
      <c r="N347" s="754">
        <v>20.131148</v>
      </c>
      <c r="O347" s="754">
        <v>92.462236000000004</v>
      </c>
      <c r="P347" s="754" t="s">
        <v>813</v>
      </c>
      <c r="Q347" s="754"/>
      <c r="R347" s="771"/>
      <c r="S347" s="764"/>
      <c r="T347" s="783"/>
      <c r="U347" s="765"/>
      <c r="V347" s="754" t="s">
        <v>855</v>
      </c>
      <c r="W347" s="763"/>
    </row>
    <row r="348" spans="1:23" s="75" customFormat="1" ht="14.25" customHeight="1">
      <c r="A348" s="764" t="s">
        <v>3006</v>
      </c>
      <c r="B348" s="767" t="s">
        <v>313</v>
      </c>
      <c r="C348" s="768" t="s">
        <v>856</v>
      </c>
      <c r="D348" s="761" t="s">
        <v>1693</v>
      </c>
      <c r="E348" s="754">
        <v>196141</v>
      </c>
      <c r="F348" s="754"/>
      <c r="G348" s="754"/>
      <c r="H348" s="754"/>
      <c r="I348" s="754"/>
      <c r="J348" s="754" t="s">
        <v>812</v>
      </c>
      <c r="K348" s="754" t="s">
        <v>812</v>
      </c>
      <c r="L348" s="754" t="s">
        <v>812</v>
      </c>
      <c r="M348" s="754" t="s">
        <v>312</v>
      </c>
      <c r="N348" s="754">
        <v>20.131148</v>
      </c>
      <c r="O348" s="754">
        <v>92.462236000000004</v>
      </c>
      <c r="P348" s="754" t="s">
        <v>813</v>
      </c>
      <c r="Q348" s="754"/>
      <c r="R348" s="771"/>
      <c r="S348" s="764"/>
      <c r="T348" s="783"/>
      <c r="U348" s="765"/>
      <c r="V348" s="754" t="s">
        <v>856</v>
      </c>
      <c r="W348" s="763"/>
    </row>
    <row r="349" spans="1:23" s="75" customFormat="1" ht="14.25" customHeight="1">
      <c r="A349" s="764" t="s">
        <v>3006</v>
      </c>
      <c r="B349" s="767" t="s">
        <v>313</v>
      </c>
      <c r="C349" s="768" t="s">
        <v>318</v>
      </c>
      <c r="D349" s="761" t="s">
        <v>1693</v>
      </c>
      <c r="E349" s="754"/>
      <c r="F349" s="754"/>
      <c r="G349" s="754"/>
      <c r="H349" s="754"/>
      <c r="I349" s="754"/>
      <c r="J349" s="754" t="s">
        <v>812</v>
      </c>
      <c r="K349" s="754" t="s">
        <v>812</v>
      </c>
      <c r="L349" s="754" t="s">
        <v>812</v>
      </c>
      <c r="M349" s="754" t="s">
        <v>809</v>
      </c>
      <c r="N349" s="754"/>
      <c r="O349" s="754"/>
      <c r="P349" s="754" t="s">
        <v>813</v>
      </c>
      <c r="Q349" s="754" t="s">
        <v>794</v>
      </c>
      <c r="R349" s="771"/>
      <c r="S349" s="764"/>
      <c r="T349" s="783"/>
      <c r="U349" s="765"/>
      <c r="V349" s="754" t="s">
        <v>887</v>
      </c>
      <c r="W349" s="763"/>
    </row>
    <row r="350" spans="1:23" s="75" customFormat="1" ht="14.25" customHeight="1">
      <c r="A350" s="764" t="s">
        <v>3006</v>
      </c>
      <c r="B350" s="767" t="s">
        <v>313</v>
      </c>
      <c r="C350" s="768" t="s">
        <v>2375</v>
      </c>
      <c r="D350" s="761"/>
      <c r="E350" s="754" t="s">
        <v>1399</v>
      </c>
      <c r="F350" s="754" t="s">
        <v>1701</v>
      </c>
      <c r="G350" s="754" t="s">
        <v>1702</v>
      </c>
      <c r="H350" s="754"/>
      <c r="I350" s="754"/>
      <c r="J350" s="754" t="s">
        <v>45</v>
      </c>
      <c r="K350" s="754" t="s">
        <v>45</v>
      </c>
      <c r="L350" s="754" t="s">
        <v>808</v>
      </c>
      <c r="M350" s="754" t="s">
        <v>809</v>
      </c>
      <c r="N350" s="754">
        <v>20.207284999999999</v>
      </c>
      <c r="O350" s="754">
        <v>92.788177000000005</v>
      </c>
      <c r="P350" s="754" t="s">
        <v>775</v>
      </c>
      <c r="Q350" s="754" t="s">
        <v>794</v>
      </c>
      <c r="R350" s="771"/>
      <c r="S350" s="764"/>
      <c r="T350" s="783">
        <v>43488</v>
      </c>
      <c r="U350" s="765"/>
      <c r="V350" s="754" t="s">
        <v>887</v>
      </c>
      <c r="W350" s="763"/>
    </row>
    <row r="351" spans="1:23" s="75" customFormat="1" ht="14.25" customHeight="1">
      <c r="A351" s="764" t="s">
        <v>3006</v>
      </c>
      <c r="B351" s="767" t="s">
        <v>313</v>
      </c>
      <c r="C351" s="768" t="s">
        <v>857</v>
      </c>
      <c r="D351" s="761" t="s">
        <v>1693</v>
      </c>
      <c r="E351" s="754">
        <v>196130</v>
      </c>
      <c r="F351" s="754"/>
      <c r="G351" s="754"/>
      <c r="H351" s="754"/>
      <c r="I351" s="754"/>
      <c r="J351" s="754" t="s">
        <v>812</v>
      </c>
      <c r="K351" s="754" t="s">
        <v>812</v>
      </c>
      <c r="L351" s="754" t="s">
        <v>812</v>
      </c>
      <c r="M351" s="754" t="s">
        <v>312</v>
      </c>
      <c r="N351" s="754">
        <v>20.142474</v>
      </c>
      <c r="O351" s="754">
        <v>92.494243999999995</v>
      </c>
      <c r="P351" s="754" t="s">
        <v>813</v>
      </c>
      <c r="Q351" s="754"/>
      <c r="R351" s="771"/>
      <c r="S351" s="764"/>
      <c r="T351" s="783"/>
      <c r="U351" s="765"/>
      <c r="V351" s="754" t="s">
        <v>857</v>
      </c>
      <c r="W351" s="763"/>
    </row>
    <row r="352" spans="1:23" s="75" customFormat="1" ht="14.25" customHeight="1">
      <c r="A352" s="764" t="s">
        <v>3006</v>
      </c>
      <c r="B352" s="760" t="s">
        <v>313</v>
      </c>
      <c r="C352" s="760" t="s">
        <v>2889</v>
      </c>
      <c r="D352" s="637"/>
      <c r="E352" s="754">
        <v>196130</v>
      </c>
      <c r="F352" s="754"/>
      <c r="G352" s="754"/>
      <c r="H352" s="754"/>
      <c r="I352" s="754"/>
      <c r="J352" s="754" t="s">
        <v>812</v>
      </c>
      <c r="K352" s="760" t="s">
        <v>812</v>
      </c>
      <c r="L352" s="760" t="s">
        <v>812</v>
      </c>
      <c r="M352" s="754" t="s">
        <v>312</v>
      </c>
      <c r="N352" s="754">
        <v>20.142474</v>
      </c>
      <c r="O352" s="754">
        <v>92.494243999999995</v>
      </c>
      <c r="P352" s="754" t="s">
        <v>813</v>
      </c>
      <c r="Q352" s="754"/>
      <c r="R352" s="767"/>
      <c r="S352" s="768"/>
      <c r="T352" s="783"/>
      <c r="U352" s="765"/>
      <c r="V352" s="754"/>
      <c r="W352" s="763"/>
    </row>
    <row r="353" spans="1:23" s="75" customFormat="1" ht="14.25" customHeight="1">
      <c r="A353" s="764" t="s">
        <v>3006</v>
      </c>
      <c r="B353" s="767" t="s">
        <v>313</v>
      </c>
      <c r="C353" s="768" t="s">
        <v>2079</v>
      </c>
      <c r="D353" s="761"/>
      <c r="E353" s="754">
        <v>196162</v>
      </c>
      <c r="F353" s="754" t="s">
        <v>2078</v>
      </c>
      <c r="G353" s="754"/>
      <c r="H353" s="754"/>
      <c r="I353" s="754"/>
      <c r="J353" s="754" t="s">
        <v>812</v>
      </c>
      <c r="K353" s="754" t="s">
        <v>812</v>
      </c>
      <c r="L353" s="754" t="s">
        <v>812</v>
      </c>
      <c r="M353" s="754" t="s">
        <v>809</v>
      </c>
      <c r="N353" s="754">
        <v>20.239929199999999</v>
      </c>
      <c r="O353" s="754">
        <v>92.827529909999996</v>
      </c>
      <c r="P353" s="754" t="s">
        <v>813</v>
      </c>
      <c r="Q353" s="754"/>
      <c r="R353" s="771"/>
      <c r="S353" s="764"/>
      <c r="T353" s="783">
        <v>43294</v>
      </c>
      <c r="U353" s="765"/>
      <c r="V353" s="754"/>
      <c r="W353" s="763"/>
    </row>
    <row r="354" spans="1:23" s="75" customFormat="1" ht="14.25" customHeight="1">
      <c r="A354" s="764" t="s">
        <v>3006</v>
      </c>
      <c r="B354" s="760" t="s">
        <v>313</v>
      </c>
      <c r="C354" s="760" t="s">
        <v>2891</v>
      </c>
      <c r="D354" s="637"/>
      <c r="E354" s="760">
        <v>196131</v>
      </c>
      <c r="F354" s="760" t="s">
        <v>892</v>
      </c>
      <c r="G354" s="754"/>
      <c r="H354" s="754"/>
      <c r="I354" s="754"/>
      <c r="J354" s="754" t="s">
        <v>812</v>
      </c>
      <c r="K354" s="760" t="s">
        <v>812</v>
      </c>
      <c r="L354" s="760" t="s">
        <v>812</v>
      </c>
      <c r="M354" s="754"/>
      <c r="N354" s="754">
        <v>20.239799499511701</v>
      </c>
      <c r="O354" s="754">
        <v>92.825088500976605</v>
      </c>
      <c r="P354" s="754"/>
      <c r="Q354" s="754"/>
      <c r="R354" s="763"/>
      <c r="S354" s="764"/>
      <c r="T354" s="783"/>
      <c r="U354" s="765"/>
      <c r="V354" s="754"/>
      <c r="W354" s="763"/>
    </row>
    <row r="355" spans="1:23" s="75" customFormat="1" ht="14.25" customHeight="1">
      <c r="A355" s="764" t="s">
        <v>3006</v>
      </c>
      <c r="B355" s="760" t="s">
        <v>313</v>
      </c>
      <c r="C355" s="760" t="s">
        <v>2894</v>
      </c>
      <c r="D355" s="761"/>
      <c r="E355" s="754"/>
      <c r="F355" s="754"/>
      <c r="G355" s="754"/>
      <c r="H355" s="754"/>
      <c r="I355" s="754"/>
      <c r="J355" s="754" t="s">
        <v>812</v>
      </c>
      <c r="K355" s="760" t="s">
        <v>812</v>
      </c>
      <c r="L355" s="760" t="s">
        <v>812</v>
      </c>
      <c r="M355" s="754"/>
      <c r="N355" s="754"/>
      <c r="O355" s="754"/>
      <c r="P355" s="754"/>
      <c r="Q355" s="754"/>
      <c r="R355" s="760"/>
      <c r="S355" s="760"/>
      <c r="T355" s="783"/>
      <c r="U355" s="765"/>
      <c r="V355" s="754"/>
      <c r="W355" s="763"/>
    </row>
    <row r="356" spans="1:23" s="75" customFormat="1" ht="14.25" customHeight="1">
      <c r="A356" s="764" t="s">
        <v>3006</v>
      </c>
      <c r="B356" s="767" t="s">
        <v>313</v>
      </c>
      <c r="C356" s="768" t="s">
        <v>863</v>
      </c>
      <c r="D356" s="761" t="s">
        <v>1694</v>
      </c>
      <c r="E356" s="754" t="s">
        <v>1379</v>
      </c>
      <c r="F356" s="754" t="s">
        <v>1723</v>
      </c>
      <c r="G356" s="754" t="s">
        <v>1724</v>
      </c>
      <c r="H356" s="754"/>
      <c r="I356" s="754"/>
      <c r="J356" s="754" t="s">
        <v>45</v>
      </c>
      <c r="K356" s="754" t="s">
        <v>45</v>
      </c>
      <c r="L356" s="754" t="s">
        <v>774</v>
      </c>
      <c r="M356" s="754" t="s">
        <v>312</v>
      </c>
      <c r="N356" s="754">
        <v>20.151471999999998</v>
      </c>
      <c r="O356" s="754">
        <v>92.887277999999995</v>
      </c>
      <c r="P356" s="754" t="s">
        <v>775</v>
      </c>
      <c r="Q356" s="754"/>
      <c r="R356" s="771"/>
      <c r="S356" s="764"/>
      <c r="T356" s="783"/>
      <c r="U356" s="765"/>
      <c r="V356" s="754" t="s">
        <v>863</v>
      </c>
      <c r="W356" s="763"/>
    </row>
    <row r="357" spans="1:23" s="75" customFormat="1" ht="14.25" customHeight="1">
      <c r="A357" s="764" t="s">
        <v>3006</v>
      </c>
      <c r="B357" s="767" t="s">
        <v>313</v>
      </c>
      <c r="C357" s="768" t="s">
        <v>436</v>
      </c>
      <c r="D357" s="637" t="s">
        <v>3117</v>
      </c>
      <c r="E357" s="754" t="s">
        <v>1380</v>
      </c>
      <c r="F357" s="754" t="s">
        <v>1723</v>
      </c>
      <c r="G357" s="754" t="s">
        <v>1724</v>
      </c>
      <c r="H357" s="754"/>
      <c r="I357" s="754"/>
      <c r="J357" s="754" t="s">
        <v>812</v>
      </c>
      <c r="K357" s="754" t="s">
        <v>812</v>
      </c>
      <c r="L357" s="754" t="s">
        <v>835</v>
      </c>
      <c r="M357" s="754" t="s">
        <v>312</v>
      </c>
      <c r="N357" s="754">
        <v>20.151471999999998</v>
      </c>
      <c r="O357" s="754">
        <v>92.887277999999995</v>
      </c>
      <c r="P357" s="754" t="s">
        <v>813</v>
      </c>
      <c r="Q357" s="754" t="s">
        <v>794</v>
      </c>
      <c r="R357" s="763">
        <v>249</v>
      </c>
      <c r="S357" s="764">
        <v>1282</v>
      </c>
      <c r="T357" s="783"/>
      <c r="U357" s="765"/>
      <c r="V357" s="754" t="s">
        <v>436</v>
      </c>
      <c r="W357" s="763"/>
    </row>
    <row r="358" spans="1:23" s="75" customFormat="1" ht="14.25" customHeight="1">
      <c r="A358" s="764" t="s">
        <v>3006</v>
      </c>
      <c r="B358" s="767" t="s">
        <v>313</v>
      </c>
      <c r="C358" s="768" t="s">
        <v>437</v>
      </c>
      <c r="D358" s="637" t="s">
        <v>3117</v>
      </c>
      <c r="E358" s="754" t="s">
        <v>1381</v>
      </c>
      <c r="F358" s="754" t="s">
        <v>1723</v>
      </c>
      <c r="G358" s="754" t="s">
        <v>1724</v>
      </c>
      <c r="H358" s="754"/>
      <c r="I358" s="754"/>
      <c r="J358" s="754" t="s">
        <v>812</v>
      </c>
      <c r="K358" s="754" t="s">
        <v>812</v>
      </c>
      <c r="L358" s="754" t="s">
        <v>835</v>
      </c>
      <c r="M358" s="754" t="s">
        <v>312</v>
      </c>
      <c r="N358" s="754">
        <v>20.151471999999998</v>
      </c>
      <c r="O358" s="754">
        <v>92.887277999999995</v>
      </c>
      <c r="P358" s="754" t="s">
        <v>813</v>
      </c>
      <c r="Q358" s="754" t="s">
        <v>794</v>
      </c>
      <c r="R358" s="763">
        <v>420</v>
      </c>
      <c r="S358" s="764">
        <v>2200</v>
      </c>
      <c r="T358" s="783"/>
      <c r="U358" s="765"/>
      <c r="V358" s="754" t="s">
        <v>437</v>
      </c>
      <c r="W358" s="763"/>
    </row>
    <row r="359" spans="1:23" s="75" customFormat="1" ht="14.25" customHeight="1">
      <c r="A359" s="764" t="s">
        <v>3006</v>
      </c>
      <c r="B359" s="767" t="s">
        <v>313</v>
      </c>
      <c r="C359" s="768" t="s">
        <v>457</v>
      </c>
      <c r="D359" s="637" t="s">
        <v>3117</v>
      </c>
      <c r="E359" s="754" t="s">
        <v>1399</v>
      </c>
      <c r="F359" s="754" t="s">
        <v>1782</v>
      </c>
      <c r="G359" s="754" t="s">
        <v>457</v>
      </c>
      <c r="H359" s="754" t="s">
        <v>43</v>
      </c>
      <c r="I359" s="754"/>
      <c r="J359" s="754" t="s">
        <v>45</v>
      </c>
      <c r="K359" s="754" t="s">
        <v>45</v>
      </c>
      <c r="L359" s="754" t="s">
        <v>808</v>
      </c>
      <c r="M359" s="754" t="s">
        <v>809</v>
      </c>
      <c r="N359" s="754">
        <v>20.202525000000001</v>
      </c>
      <c r="O359" s="754">
        <v>92.792479999999998</v>
      </c>
      <c r="P359" s="754" t="s">
        <v>775</v>
      </c>
      <c r="Q359" s="754" t="s">
        <v>794</v>
      </c>
      <c r="R359" s="763">
        <v>2682</v>
      </c>
      <c r="S359" s="764">
        <v>13653</v>
      </c>
      <c r="T359" s="783"/>
      <c r="U359" s="765"/>
      <c r="V359" s="754" t="s">
        <v>457</v>
      </c>
      <c r="W359" s="763"/>
    </row>
    <row r="360" spans="1:23" s="75" customFormat="1" ht="14.25" customHeight="1">
      <c r="A360" s="764" t="s">
        <v>3006</v>
      </c>
      <c r="B360" s="760" t="s">
        <v>313</v>
      </c>
      <c r="C360" s="768" t="s">
        <v>455</v>
      </c>
      <c r="D360" s="637"/>
      <c r="E360" s="754">
        <v>196154</v>
      </c>
      <c r="F360" s="754"/>
      <c r="G360" s="754"/>
      <c r="H360" s="754"/>
      <c r="I360" s="754"/>
      <c r="J360" s="754" t="s">
        <v>812</v>
      </c>
      <c r="K360" s="760" t="s">
        <v>812</v>
      </c>
      <c r="L360" s="760" t="s">
        <v>812</v>
      </c>
      <c r="M360" s="754"/>
      <c r="N360" s="754"/>
      <c r="O360" s="754"/>
      <c r="P360" s="754"/>
      <c r="Q360" s="754"/>
      <c r="R360" s="763"/>
      <c r="S360" s="763"/>
      <c r="T360" s="783"/>
      <c r="U360" s="765"/>
      <c r="V360" s="754"/>
      <c r="W360" s="763"/>
    </row>
    <row r="361" spans="1:23" s="75" customFormat="1" ht="14.25" customHeight="1">
      <c r="A361" s="764" t="s">
        <v>3006</v>
      </c>
      <c r="B361" s="767" t="s">
        <v>313</v>
      </c>
      <c r="C361" s="768" t="s">
        <v>455</v>
      </c>
      <c r="D361" s="761" t="s">
        <v>1693</v>
      </c>
      <c r="E361" s="754">
        <v>196154</v>
      </c>
      <c r="F361" s="754"/>
      <c r="G361" s="754"/>
      <c r="H361" s="754"/>
      <c r="I361" s="754"/>
      <c r="J361" s="754" t="s">
        <v>812</v>
      </c>
      <c r="K361" s="754" t="s">
        <v>812</v>
      </c>
      <c r="L361" s="754" t="s">
        <v>812</v>
      </c>
      <c r="M361" s="754" t="s">
        <v>809</v>
      </c>
      <c r="N361" s="754">
        <v>20.201499999999999</v>
      </c>
      <c r="O361" s="754">
        <v>92.796599999999998</v>
      </c>
      <c r="P361" s="754" t="s">
        <v>813</v>
      </c>
      <c r="Q361" s="754" t="s">
        <v>794</v>
      </c>
      <c r="R361" s="771"/>
      <c r="S361" s="764"/>
      <c r="T361" s="783">
        <v>42745</v>
      </c>
      <c r="U361" s="765"/>
      <c r="V361" s="754"/>
      <c r="W361" s="763"/>
    </row>
    <row r="362" spans="1:23" s="75" customFormat="1" ht="14.25" customHeight="1">
      <c r="A362" s="764" t="s">
        <v>3006</v>
      </c>
      <c r="B362" s="767" t="s">
        <v>313</v>
      </c>
      <c r="C362" s="768" t="s">
        <v>451</v>
      </c>
      <c r="D362" s="761" t="s">
        <v>1693</v>
      </c>
      <c r="E362" s="754">
        <v>196155</v>
      </c>
      <c r="F362" s="754"/>
      <c r="G362" s="754"/>
      <c r="H362" s="754"/>
      <c r="I362" s="754"/>
      <c r="J362" s="754" t="s">
        <v>812</v>
      </c>
      <c r="K362" s="754" t="s">
        <v>812</v>
      </c>
      <c r="L362" s="754" t="s">
        <v>812</v>
      </c>
      <c r="M362" s="754" t="s">
        <v>809</v>
      </c>
      <c r="N362" s="754">
        <v>20.19171906</v>
      </c>
      <c r="O362" s="754">
        <v>92.808166499999999</v>
      </c>
      <c r="P362" s="754" t="s">
        <v>813</v>
      </c>
      <c r="Q362" s="754" t="s">
        <v>794</v>
      </c>
      <c r="R362" s="771"/>
      <c r="S362" s="764"/>
      <c r="T362" s="783"/>
      <c r="U362" s="765"/>
      <c r="V362" s="754" t="s">
        <v>451</v>
      </c>
      <c r="W362" s="763"/>
    </row>
    <row r="363" spans="1:23" s="75" customFormat="1" ht="14.25" customHeight="1">
      <c r="A363" s="764" t="s">
        <v>3006</v>
      </c>
      <c r="B363" s="767" t="s">
        <v>313</v>
      </c>
      <c r="C363" s="768" t="s">
        <v>434</v>
      </c>
      <c r="D363" s="637" t="s">
        <v>3117</v>
      </c>
      <c r="E363" s="754" t="s">
        <v>1378</v>
      </c>
      <c r="F363" s="754" t="s">
        <v>1911</v>
      </c>
      <c r="G363" s="754" t="s">
        <v>1911</v>
      </c>
      <c r="H363" s="754"/>
      <c r="I363" s="754"/>
      <c r="J363" s="754" t="s">
        <v>812</v>
      </c>
      <c r="K363" s="754" t="s">
        <v>812</v>
      </c>
      <c r="L363" s="754" t="s">
        <v>835</v>
      </c>
      <c r="M363" s="754" t="s">
        <v>860</v>
      </c>
      <c r="N363" s="754">
        <v>20.148584</v>
      </c>
      <c r="O363" s="754">
        <v>92.880319999999998</v>
      </c>
      <c r="P363" s="754" t="s">
        <v>813</v>
      </c>
      <c r="Q363" s="754" t="s">
        <v>794</v>
      </c>
      <c r="R363" s="763">
        <v>72</v>
      </c>
      <c r="S363" s="764">
        <v>462</v>
      </c>
      <c r="T363" s="783"/>
      <c r="U363" s="765"/>
      <c r="V363" s="754" t="s">
        <v>434</v>
      </c>
      <c r="W363" s="763"/>
    </row>
    <row r="364" spans="1:23" s="75" customFormat="1" ht="14.25" customHeight="1">
      <c r="A364" s="764" t="s">
        <v>3006</v>
      </c>
      <c r="B364" s="767" t="s">
        <v>313</v>
      </c>
      <c r="C364" s="768" t="s">
        <v>1944</v>
      </c>
      <c r="D364" s="637" t="s">
        <v>3117</v>
      </c>
      <c r="E364" s="754" t="s">
        <v>1383</v>
      </c>
      <c r="F364" s="754" t="s">
        <v>1911</v>
      </c>
      <c r="G364" s="754" t="s">
        <v>1911</v>
      </c>
      <c r="H364" s="754"/>
      <c r="I364" s="754"/>
      <c r="J364" s="754" t="s">
        <v>812</v>
      </c>
      <c r="K364" s="754" t="s">
        <v>812</v>
      </c>
      <c r="L364" s="754" t="s">
        <v>835</v>
      </c>
      <c r="M364" s="754" t="s">
        <v>312</v>
      </c>
      <c r="N364" s="754">
        <v>20.155805999999998</v>
      </c>
      <c r="O364" s="754">
        <v>92.879138999999995</v>
      </c>
      <c r="P364" s="754" t="s">
        <v>813</v>
      </c>
      <c r="Q364" s="754" t="s">
        <v>794</v>
      </c>
      <c r="R364" s="763">
        <v>151</v>
      </c>
      <c r="S364" s="764">
        <v>654</v>
      </c>
      <c r="T364" s="783"/>
      <c r="U364" s="765"/>
      <c r="V364" s="754" t="s">
        <v>438</v>
      </c>
      <c r="W364" s="763"/>
    </row>
    <row r="365" spans="1:23" s="75" customFormat="1" ht="14.25" customHeight="1">
      <c r="A365" s="764" t="s">
        <v>3006</v>
      </c>
      <c r="B365" s="767" t="s">
        <v>313</v>
      </c>
      <c r="C365" s="768" t="s">
        <v>2075</v>
      </c>
      <c r="D365" s="761"/>
      <c r="E365" s="754">
        <v>196179</v>
      </c>
      <c r="F365" s="754" t="s">
        <v>2075</v>
      </c>
      <c r="G365" s="754"/>
      <c r="H365" s="754"/>
      <c r="I365" s="754"/>
      <c r="J365" s="754" t="s">
        <v>812</v>
      </c>
      <c r="K365" s="754" t="s">
        <v>812</v>
      </c>
      <c r="L365" s="754" t="s">
        <v>812</v>
      </c>
      <c r="M365" s="754" t="s">
        <v>1952</v>
      </c>
      <c r="N365" s="754">
        <v>20.236970899999999</v>
      </c>
      <c r="O365" s="754">
        <v>92.877876279999995</v>
      </c>
      <c r="P365" s="754" t="s">
        <v>813</v>
      </c>
      <c r="Q365" s="754"/>
      <c r="R365" s="771"/>
      <c r="S365" s="764"/>
      <c r="T365" s="783">
        <v>43294</v>
      </c>
      <c r="U365" s="765"/>
      <c r="V365" s="754"/>
      <c r="W365" s="763"/>
    </row>
    <row r="366" spans="1:23" s="75" customFormat="1" ht="14.25" customHeight="1">
      <c r="A366" s="764" t="s">
        <v>3006</v>
      </c>
      <c r="B366" s="767" t="s">
        <v>313</v>
      </c>
      <c r="C366" s="768" t="s">
        <v>440</v>
      </c>
      <c r="D366" s="637" t="s">
        <v>3117</v>
      </c>
      <c r="E366" s="754" t="s">
        <v>1385</v>
      </c>
      <c r="F366" s="754" t="s">
        <v>433</v>
      </c>
      <c r="G366" s="754" t="s">
        <v>439</v>
      </c>
      <c r="H366" s="754" t="s">
        <v>43</v>
      </c>
      <c r="I366" s="754"/>
      <c r="J366" s="754" t="s">
        <v>45</v>
      </c>
      <c r="K366" s="754" t="s">
        <v>45</v>
      </c>
      <c r="L366" s="754" t="s">
        <v>811</v>
      </c>
      <c r="M366" s="754" t="s">
        <v>809</v>
      </c>
      <c r="N366" s="754">
        <v>20.1585</v>
      </c>
      <c r="O366" s="754">
        <v>92.839416999999997</v>
      </c>
      <c r="P366" s="754" t="s">
        <v>775</v>
      </c>
      <c r="Q366" s="754" t="s">
        <v>794</v>
      </c>
      <c r="R366" s="763">
        <v>2270</v>
      </c>
      <c r="S366" s="764">
        <v>13069</v>
      </c>
      <c r="T366" s="783"/>
      <c r="U366" s="765"/>
      <c r="V366" s="754" t="s">
        <v>870</v>
      </c>
      <c r="W366" s="763"/>
    </row>
    <row r="367" spans="1:23" s="75" customFormat="1" ht="14.25" customHeight="1">
      <c r="A367" s="764" t="s">
        <v>3006</v>
      </c>
      <c r="B367" s="767" t="s">
        <v>313</v>
      </c>
      <c r="C367" s="768" t="s">
        <v>866</v>
      </c>
      <c r="D367" s="761" t="s">
        <v>1694</v>
      </c>
      <c r="E367" s="754" t="s">
        <v>1384</v>
      </c>
      <c r="F367" s="754" t="s">
        <v>433</v>
      </c>
      <c r="G367" s="754" t="s">
        <v>439</v>
      </c>
      <c r="H367" s="754"/>
      <c r="I367" s="754"/>
      <c r="J367" s="754" t="s">
        <v>45</v>
      </c>
      <c r="K367" s="754" t="s">
        <v>45</v>
      </c>
      <c r="L367" s="754" t="s">
        <v>774</v>
      </c>
      <c r="M367" s="754"/>
      <c r="N367" s="754">
        <v>20.156842000000001</v>
      </c>
      <c r="O367" s="754">
        <v>92.837576999999996</v>
      </c>
      <c r="P367" s="754" t="s">
        <v>775</v>
      </c>
      <c r="Q367" s="754"/>
      <c r="R367" s="771"/>
      <c r="S367" s="764"/>
      <c r="T367" s="783"/>
      <c r="U367" s="765"/>
      <c r="V367" s="754" t="s">
        <v>867</v>
      </c>
      <c r="W367" s="763"/>
    </row>
    <row r="368" spans="1:23" s="75" customFormat="1" ht="14.25" customHeight="1">
      <c r="A368" s="764" t="s">
        <v>3006</v>
      </c>
      <c r="B368" s="767" t="s">
        <v>313</v>
      </c>
      <c r="C368" s="768" t="s">
        <v>707</v>
      </c>
      <c r="D368" s="761" t="s">
        <v>1693</v>
      </c>
      <c r="E368" s="754">
        <v>196210</v>
      </c>
      <c r="F368" s="754"/>
      <c r="G368" s="754"/>
      <c r="H368" s="754"/>
      <c r="I368" s="754"/>
      <c r="J368" s="754" t="s">
        <v>812</v>
      </c>
      <c r="K368" s="754" t="s">
        <v>812</v>
      </c>
      <c r="L368" s="754" t="s">
        <v>812</v>
      </c>
      <c r="M368" s="754" t="s">
        <v>312</v>
      </c>
      <c r="N368" s="754">
        <v>20.16259956</v>
      </c>
      <c r="O368" s="754">
        <v>92.834457400000005</v>
      </c>
      <c r="P368" s="754" t="s">
        <v>813</v>
      </c>
      <c r="Q368" s="754" t="s">
        <v>794</v>
      </c>
      <c r="R368" s="771"/>
      <c r="S368" s="764"/>
      <c r="T368" s="783"/>
      <c r="U368" s="765"/>
      <c r="V368" s="754"/>
      <c r="W368" s="763"/>
    </row>
    <row r="369" spans="1:23" s="75" customFormat="1" ht="14.25" customHeight="1">
      <c r="A369" s="764" t="s">
        <v>3006</v>
      </c>
      <c r="B369" s="767" t="s">
        <v>313</v>
      </c>
      <c r="C369" s="768" t="s">
        <v>319</v>
      </c>
      <c r="D369" s="761" t="s">
        <v>1693</v>
      </c>
      <c r="E369" s="754"/>
      <c r="F369" s="754"/>
      <c r="G369" s="754"/>
      <c r="H369" s="754"/>
      <c r="I369" s="754"/>
      <c r="J369" s="754" t="s">
        <v>812</v>
      </c>
      <c r="K369" s="754" t="s">
        <v>812</v>
      </c>
      <c r="L369" s="754" t="s">
        <v>812</v>
      </c>
      <c r="M369" s="754" t="s">
        <v>809</v>
      </c>
      <c r="N369" s="754"/>
      <c r="O369" s="754"/>
      <c r="P369" s="754" t="s">
        <v>813</v>
      </c>
      <c r="Q369" s="754" t="s">
        <v>776</v>
      </c>
      <c r="R369" s="771"/>
      <c r="S369" s="764"/>
      <c r="T369" s="783">
        <v>42811</v>
      </c>
      <c r="U369" s="765"/>
      <c r="V369" s="754"/>
      <c r="W369" s="763"/>
    </row>
    <row r="370" spans="1:23" s="75" customFormat="1" ht="14.25" customHeight="1">
      <c r="A370" s="764" t="s">
        <v>3006</v>
      </c>
      <c r="B370" s="767" t="s">
        <v>313</v>
      </c>
      <c r="C370" s="768" t="s">
        <v>439</v>
      </c>
      <c r="D370" s="761" t="s">
        <v>1693</v>
      </c>
      <c r="E370" s="754">
        <v>196211</v>
      </c>
      <c r="F370" s="754"/>
      <c r="G370" s="754"/>
      <c r="H370" s="754"/>
      <c r="I370" s="754"/>
      <c r="J370" s="754" t="s">
        <v>812</v>
      </c>
      <c r="K370" s="754" t="s">
        <v>812</v>
      </c>
      <c r="L370" s="754" t="s">
        <v>812</v>
      </c>
      <c r="M370" s="754" t="s">
        <v>809</v>
      </c>
      <c r="N370" s="754">
        <v>20.15736008</v>
      </c>
      <c r="O370" s="754">
        <v>92.838653559999997</v>
      </c>
      <c r="P370" s="754" t="s">
        <v>813</v>
      </c>
      <c r="Q370" s="754" t="s">
        <v>794</v>
      </c>
      <c r="R370" s="771"/>
      <c r="S370" s="764"/>
      <c r="T370" s="783"/>
      <c r="U370" s="765"/>
      <c r="V370" s="754" t="s">
        <v>868</v>
      </c>
      <c r="W370" s="763"/>
    </row>
    <row r="371" spans="1:23" s="75" customFormat="1" ht="14.25" customHeight="1">
      <c r="A371" s="764" t="s">
        <v>3006</v>
      </c>
      <c r="B371" s="767" t="s">
        <v>313</v>
      </c>
      <c r="C371" s="768" t="s">
        <v>435</v>
      </c>
      <c r="D371" s="761" t="s">
        <v>1693</v>
      </c>
      <c r="E371" s="754">
        <v>196209</v>
      </c>
      <c r="F371" s="760" t="s">
        <v>433</v>
      </c>
      <c r="G371" s="754"/>
      <c r="H371" s="754"/>
      <c r="I371" s="754"/>
      <c r="J371" s="754" t="s">
        <v>812</v>
      </c>
      <c r="K371" s="754" t="s">
        <v>812</v>
      </c>
      <c r="L371" s="754" t="s">
        <v>812</v>
      </c>
      <c r="M371" s="754" t="s">
        <v>809</v>
      </c>
      <c r="N371" s="754">
        <v>20.147863431600001</v>
      </c>
      <c r="O371" s="754">
        <v>92.846768572000002</v>
      </c>
      <c r="P371" s="754" t="s">
        <v>813</v>
      </c>
      <c r="Q371" s="754" t="s">
        <v>776</v>
      </c>
      <c r="R371" s="771"/>
      <c r="S371" s="764"/>
      <c r="T371" s="783"/>
      <c r="U371" s="765"/>
      <c r="V371" s="754" t="s">
        <v>861</v>
      </c>
      <c r="W371" s="763"/>
    </row>
    <row r="372" spans="1:23" s="75" customFormat="1" ht="14.25" customHeight="1">
      <c r="A372" s="764" t="s">
        <v>3006</v>
      </c>
      <c r="B372" s="767" t="s">
        <v>313</v>
      </c>
      <c r="C372" s="768" t="s">
        <v>869</v>
      </c>
      <c r="D372" s="761" t="s">
        <v>1693</v>
      </c>
      <c r="E372" s="754">
        <v>196211</v>
      </c>
      <c r="F372" s="754"/>
      <c r="G372" s="754"/>
      <c r="H372" s="754"/>
      <c r="I372" s="754"/>
      <c r="J372" s="754" t="s">
        <v>812</v>
      </c>
      <c r="K372" s="754" t="s">
        <v>812</v>
      </c>
      <c r="L372" s="754" t="s">
        <v>812</v>
      </c>
      <c r="M372" s="754" t="s">
        <v>809</v>
      </c>
      <c r="N372" s="754">
        <v>20.15736008</v>
      </c>
      <c r="O372" s="754">
        <v>92.838653559999997</v>
      </c>
      <c r="P372" s="754" t="s">
        <v>813</v>
      </c>
      <c r="Q372" s="754"/>
      <c r="R372" s="771"/>
      <c r="S372" s="764"/>
      <c r="T372" s="783"/>
      <c r="U372" s="765"/>
      <c r="V372" s="754" t="s">
        <v>869</v>
      </c>
      <c r="W372" s="763"/>
    </row>
    <row r="373" spans="1:23" s="75" customFormat="1" ht="14.25" customHeight="1">
      <c r="A373" s="764" t="s">
        <v>3006</v>
      </c>
      <c r="B373" s="767" t="s">
        <v>313</v>
      </c>
      <c r="C373" s="768" t="s">
        <v>464</v>
      </c>
      <c r="D373" s="761" t="s">
        <v>1693</v>
      </c>
      <c r="E373" s="754">
        <v>196167</v>
      </c>
      <c r="F373" s="754" t="s">
        <v>464</v>
      </c>
      <c r="G373" s="754"/>
      <c r="H373" s="754"/>
      <c r="I373" s="754"/>
      <c r="J373" s="754" t="s">
        <v>812</v>
      </c>
      <c r="K373" s="754" t="s">
        <v>812</v>
      </c>
      <c r="L373" s="754" t="s">
        <v>812</v>
      </c>
      <c r="M373" s="754" t="s">
        <v>312</v>
      </c>
      <c r="N373" s="754">
        <v>20.22929001</v>
      </c>
      <c r="O373" s="754">
        <v>92.864669800000001</v>
      </c>
      <c r="P373" s="754" t="s">
        <v>813</v>
      </c>
      <c r="Q373" s="754" t="s">
        <v>776</v>
      </c>
      <c r="R373" s="771"/>
      <c r="S373" s="764"/>
      <c r="T373" s="783">
        <v>42811</v>
      </c>
      <c r="U373" s="765"/>
      <c r="V373" s="754"/>
      <c r="W373" s="763"/>
    </row>
    <row r="374" spans="1:23" s="75" customFormat="1" ht="14.25" customHeight="1">
      <c r="A374" s="764" t="s">
        <v>3006</v>
      </c>
      <c r="B374" s="767" t="s">
        <v>313</v>
      </c>
      <c r="C374" s="768" t="s">
        <v>444</v>
      </c>
      <c r="D374" s="637" t="s">
        <v>3117</v>
      </c>
      <c r="E374" s="754" t="s">
        <v>1390</v>
      </c>
      <c r="F374" s="754" t="s">
        <v>433</v>
      </c>
      <c r="G374" s="754" t="s">
        <v>1781</v>
      </c>
      <c r="H374" s="754" t="s">
        <v>43</v>
      </c>
      <c r="I374" s="754"/>
      <c r="J374" s="754" t="s">
        <v>45</v>
      </c>
      <c r="K374" s="754" t="s">
        <v>45</v>
      </c>
      <c r="L374" s="754" t="s">
        <v>808</v>
      </c>
      <c r="M374" s="754" t="s">
        <v>809</v>
      </c>
      <c r="N374" s="754">
        <v>20.179939999999998</v>
      </c>
      <c r="O374" s="754">
        <v>92.831879000000001</v>
      </c>
      <c r="P374" s="754" t="s">
        <v>775</v>
      </c>
      <c r="Q374" s="754" t="s">
        <v>794</v>
      </c>
      <c r="R374" s="763">
        <v>981</v>
      </c>
      <c r="S374" s="764">
        <v>5936</v>
      </c>
      <c r="T374" s="783"/>
      <c r="U374" s="765"/>
      <c r="V374" s="754" t="s">
        <v>877</v>
      </c>
      <c r="W374" s="763"/>
    </row>
    <row r="375" spans="1:23" s="75" customFormat="1" ht="14.25" customHeight="1">
      <c r="A375" s="764" t="s">
        <v>3006</v>
      </c>
      <c r="B375" s="767" t="s">
        <v>313</v>
      </c>
      <c r="C375" s="768" t="s">
        <v>446</v>
      </c>
      <c r="D375" s="637" t="s">
        <v>3117</v>
      </c>
      <c r="E375" s="754" t="s">
        <v>1393</v>
      </c>
      <c r="F375" s="754"/>
      <c r="G375" s="754"/>
      <c r="H375" s="754" t="s">
        <v>43</v>
      </c>
      <c r="I375" s="754"/>
      <c r="J375" s="754" t="s">
        <v>45</v>
      </c>
      <c r="K375" s="754" t="s">
        <v>45</v>
      </c>
      <c r="L375" s="754" t="s">
        <v>786</v>
      </c>
      <c r="M375" s="754" t="s">
        <v>809</v>
      </c>
      <c r="N375" s="754">
        <v>20.181742</v>
      </c>
      <c r="O375" s="754">
        <v>92.842230000000001</v>
      </c>
      <c r="P375" s="754" t="s">
        <v>787</v>
      </c>
      <c r="Q375" s="754"/>
      <c r="R375" s="763">
        <v>496</v>
      </c>
      <c r="S375" s="764">
        <v>2942</v>
      </c>
      <c r="T375" s="783">
        <v>42745</v>
      </c>
      <c r="U375" s="765" t="s">
        <v>871</v>
      </c>
      <c r="V375" s="754"/>
      <c r="W375" s="763"/>
    </row>
    <row r="376" spans="1:23" s="75" customFormat="1" ht="14.25" customHeight="1">
      <c r="A376" s="764" t="s">
        <v>3006</v>
      </c>
      <c r="B376" s="767" t="s">
        <v>313</v>
      </c>
      <c r="C376" s="768" t="s">
        <v>2897</v>
      </c>
      <c r="D376" s="761" t="s">
        <v>1693</v>
      </c>
      <c r="E376" s="754"/>
      <c r="F376" s="754"/>
      <c r="G376" s="754"/>
      <c r="H376" s="754"/>
      <c r="I376" s="754"/>
      <c r="J376" s="754" t="s">
        <v>812</v>
      </c>
      <c r="K376" s="754" t="s">
        <v>812</v>
      </c>
      <c r="L376" s="754" t="s">
        <v>812</v>
      </c>
      <c r="M376" s="754" t="s">
        <v>809</v>
      </c>
      <c r="N376" s="754"/>
      <c r="O376" s="754"/>
      <c r="P376" s="754" t="s">
        <v>937</v>
      </c>
      <c r="Q376" s="754" t="s">
        <v>776</v>
      </c>
      <c r="R376" s="771"/>
      <c r="S376" s="764"/>
      <c r="T376" s="783">
        <v>42811</v>
      </c>
      <c r="U376" s="765"/>
      <c r="V376" s="754"/>
      <c r="W376" s="763"/>
    </row>
    <row r="377" spans="1:23" s="75" customFormat="1" ht="14.25" customHeight="1">
      <c r="A377" s="764" t="s">
        <v>3006</v>
      </c>
      <c r="B377" s="767" t="s">
        <v>313</v>
      </c>
      <c r="C377" s="768" t="s">
        <v>452</v>
      </c>
      <c r="D377" s="761" t="s">
        <v>1693</v>
      </c>
      <c r="E377" s="754">
        <v>196147</v>
      </c>
      <c r="F377" s="754"/>
      <c r="G377" s="754"/>
      <c r="H377" s="754"/>
      <c r="I377" s="754"/>
      <c r="J377" s="754" t="s">
        <v>812</v>
      </c>
      <c r="K377" s="754" t="s">
        <v>812</v>
      </c>
      <c r="L377" s="754" t="s">
        <v>812</v>
      </c>
      <c r="M377" s="754" t="s">
        <v>809</v>
      </c>
      <c r="N377" s="754">
        <v>20.193460460000001</v>
      </c>
      <c r="O377" s="754">
        <v>92.867782590000004</v>
      </c>
      <c r="P377" s="754" t="s">
        <v>813</v>
      </c>
      <c r="Q377" s="754" t="s">
        <v>776</v>
      </c>
      <c r="R377" s="771"/>
      <c r="S377" s="764"/>
      <c r="T377" s="783">
        <v>42811</v>
      </c>
      <c r="U377" s="765"/>
      <c r="V377" s="754"/>
      <c r="W377" s="763"/>
    </row>
    <row r="378" spans="1:23" s="75" customFormat="1" ht="14.25" customHeight="1">
      <c r="A378" s="764" t="s">
        <v>3006</v>
      </c>
      <c r="B378" s="767" t="s">
        <v>313</v>
      </c>
      <c r="C378" s="768" t="s">
        <v>1160</v>
      </c>
      <c r="D378" s="761" t="s">
        <v>1693</v>
      </c>
      <c r="E378" s="754"/>
      <c r="F378" s="754"/>
      <c r="G378" s="754"/>
      <c r="H378" s="754"/>
      <c r="I378" s="754"/>
      <c r="J378" s="754" t="s">
        <v>812</v>
      </c>
      <c r="K378" s="754" t="s">
        <v>812</v>
      </c>
      <c r="L378" s="754" t="s">
        <v>812</v>
      </c>
      <c r="M378" s="754" t="s">
        <v>809</v>
      </c>
      <c r="N378" s="754"/>
      <c r="O378" s="754"/>
      <c r="P378" s="754" t="s">
        <v>813</v>
      </c>
      <c r="Q378" s="754" t="s">
        <v>794</v>
      </c>
      <c r="R378" s="771"/>
      <c r="S378" s="764"/>
      <c r="T378" s="783"/>
      <c r="U378" s="765"/>
      <c r="V378" s="754" t="s">
        <v>1160</v>
      </c>
      <c r="W378" s="763"/>
    </row>
    <row r="379" spans="1:23" s="75" customFormat="1" ht="14.25" customHeight="1">
      <c r="A379" s="764" t="s">
        <v>3006</v>
      </c>
      <c r="B379" s="767" t="s">
        <v>313</v>
      </c>
      <c r="C379" s="768" t="s">
        <v>2311</v>
      </c>
      <c r="D379" s="761"/>
      <c r="E379" s="754">
        <v>196193</v>
      </c>
      <c r="F379" s="754" t="s">
        <v>2311</v>
      </c>
      <c r="G379" s="754"/>
      <c r="H379" s="754"/>
      <c r="I379" s="754"/>
      <c r="J379" s="754" t="s">
        <v>812</v>
      </c>
      <c r="K379" s="754" t="s">
        <v>812</v>
      </c>
      <c r="L379" s="754" t="s">
        <v>812</v>
      </c>
      <c r="M379" s="754"/>
      <c r="N379" s="754">
        <v>20.1663494110107</v>
      </c>
      <c r="O379" s="754">
        <v>92.871902465820298</v>
      </c>
      <c r="P379" s="754"/>
      <c r="Q379" s="754"/>
      <c r="R379" s="771"/>
      <c r="S379" s="764"/>
      <c r="T379" s="783"/>
      <c r="U379" s="765"/>
      <c r="V379" s="754"/>
      <c r="W379" s="763"/>
    </row>
    <row r="380" spans="1:23" s="75" customFormat="1" ht="14.25" customHeight="1">
      <c r="A380" s="764" t="s">
        <v>3006</v>
      </c>
      <c r="B380" s="767" t="s">
        <v>313</v>
      </c>
      <c r="C380" s="768" t="s">
        <v>892</v>
      </c>
      <c r="D380" s="761" t="s">
        <v>1693</v>
      </c>
      <c r="E380" s="754">
        <v>196129</v>
      </c>
      <c r="F380" s="754" t="s">
        <v>892</v>
      </c>
      <c r="G380" s="754"/>
      <c r="H380" s="754"/>
      <c r="I380" s="754"/>
      <c r="J380" s="754" t="s">
        <v>893</v>
      </c>
      <c r="K380" s="754" t="s">
        <v>812</v>
      </c>
      <c r="L380" s="754" t="s">
        <v>893</v>
      </c>
      <c r="M380" s="754" t="s">
        <v>312</v>
      </c>
      <c r="N380" s="754">
        <v>20.226730346679702</v>
      </c>
      <c r="O380" s="754">
        <v>92.836929321289105</v>
      </c>
      <c r="P380" s="754" t="s">
        <v>813</v>
      </c>
      <c r="Q380" s="754" t="s">
        <v>816</v>
      </c>
      <c r="R380" s="771"/>
      <c r="S380" s="764"/>
      <c r="T380" s="783">
        <v>42926</v>
      </c>
      <c r="U380" s="765"/>
      <c r="V380" s="754" t="s">
        <v>892</v>
      </c>
      <c r="W380" s="763"/>
    </row>
    <row r="381" spans="1:23" s="75" customFormat="1" ht="14.25" customHeight="1">
      <c r="A381" s="764" t="s">
        <v>3006</v>
      </c>
      <c r="B381" s="760" t="s">
        <v>313</v>
      </c>
      <c r="C381" s="760" t="s">
        <v>2882</v>
      </c>
      <c r="D381" s="637"/>
      <c r="E381" s="754">
        <v>196136</v>
      </c>
      <c r="F381" s="754" t="s">
        <v>3084</v>
      </c>
      <c r="G381" s="754"/>
      <c r="H381" s="754"/>
      <c r="I381" s="754"/>
      <c r="J381" s="754" t="s">
        <v>812</v>
      </c>
      <c r="K381" s="754" t="s">
        <v>812</v>
      </c>
      <c r="L381" s="754" t="s">
        <v>812</v>
      </c>
      <c r="M381" s="754"/>
      <c r="N381" s="754">
        <v>20.1899604797363</v>
      </c>
      <c r="O381" s="754">
        <v>92.895767211914105</v>
      </c>
      <c r="P381" s="754"/>
      <c r="Q381" s="754"/>
      <c r="R381" s="763"/>
      <c r="S381" s="764"/>
      <c r="T381" s="783"/>
      <c r="U381" s="765"/>
      <c r="V381" s="754"/>
      <c r="W381" s="763"/>
    </row>
    <row r="382" spans="1:23" s="75" customFormat="1" ht="14.25" customHeight="1">
      <c r="A382" s="764" t="s">
        <v>3006</v>
      </c>
      <c r="B382" s="767" t="s">
        <v>313</v>
      </c>
      <c r="C382" s="768" t="s">
        <v>2082</v>
      </c>
      <c r="D382" s="761"/>
      <c r="E382" s="754">
        <v>196181</v>
      </c>
      <c r="F382" s="754" t="s">
        <v>2082</v>
      </c>
      <c r="G382" s="754"/>
      <c r="H382" s="754"/>
      <c r="I382" s="754"/>
      <c r="J382" s="754" t="s">
        <v>812</v>
      </c>
      <c r="K382" s="754" t="s">
        <v>812</v>
      </c>
      <c r="L382" s="754" t="s">
        <v>812</v>
      </c>
      <c r="M382" s="754"/>
      <c r="N382" s="754">
        <v>20.227340699999999</v>
      </c>
      <c r="O382" s="754">
        <v>92.893341059999997</v>
      </c>
      <c r="P382" s="754" t="s">
        <v>813</v>
      </c>
      <c r="Q382" s="754"/>
      <c r="R382" s="771"/>
      <c r="S382" s="764"/>
      <c r="T382" s="783">
        <v>43297</v>
      </c>
      <c r="U382" s="765"/>
      <c r="V382" s="754"/>
      <c r="W382" s="763"/>
    </row>
    <row r="383" spans="1:23" s="75" customFormat="1" ht="14.25" customHeight="1">
      <c r="A383" s="764" t="s">
        <v>3006</v>
      </c>
      <c r="B383" s="767" t="s">
        <v>313</v>
      </c>
      <c r="C383" s="768" t="s">
        <v>2077</v>
      </c>
      <c r="D383" s="761"/>
      <c r="E383" s="754">
        <v>196161</v>
      </c>
      <c r="F383" s="754" t="s">
        <v>2078</v>
      </c>
      <c r="G383" s="754"/>
      <c r="H383" s="754"/>
      <c r="I383" s="754"/>
      <c r="J383" s="754" t="s">
        <v>812</v>
      </c>
      <c r="K383" s="754" t="s">
        <v>812</v>
      </c>
      <c r="L383" s="754" t="s">
        <v>812</v>
      </c>
      <c r="M383" s="754" t="s">
        <v>312</v>
      </c>
      <c r="N383" s="754">
        <v>20.257850650000002</v>
      </c>
      <c r="O383" s="754">
        <v>92.811126709999996</v>
      </c>
      <c r="P383" s="754" t="s">
        <v>813</v>
      </c>
      <c r="Q383" s="754"/>
      <c r="R383" s="771"/>
      <c r="S383" s="764"/>
      <c r="T383" s="783">
        <v>43294</v>
      </c>
      <c r="U383" s="765"/>
      <c r="V383" s="754"/>
      <c r="W383" s="763"/>
    </row>
    <row r="384" spans="1:23" s="75" customFormat="1" ht="14.25" customHeight="1">
      <c r="A384" s="764" t="s">
        <v>3006</v>
      </c>
      <c r="B384" s="767" t="s">
        <v>313</v>
      </c>
      <c r="C384" s="768" t="s">
        <v>2076</v>
      </c>
      <c r="D384" s="761"/>
      <c r="E384" s="754">
        <v>196168</v>
      </c>
      <c r="F384" s="754" t="s">
        <v>464</v>
      </c>
      <c r="G384" s="754"/>
      <c r="H384" s="754"/>
      <c r="I384" s="754"/>
      <c r="J384" s="754" t="s">
        <v>812</v>
      </c>
      <c r="K384" s="754" t="s">
        <v>812</v>
      </c>
      <c r="L384" s="754" t="s">
        <v>812</v>
      </c>
      <c r="M384" s="754" t="s">
        <v>1952</v>
      </c>
      <c r="N384" s="754">
        <v>20.223510739999998</v>
      </c>
      <c r="O384" s="754">
        <v>92.86984253</v>
      </c>
      <c r="P384" s="754" t="s">
        <v>813</v>
      </c>
      <c r="Q384" s="754"/>
      <c r="R384" s="771"/>
      <c r="S384" s="764"/>
      <c r="T384" s="783">
        <v>43294</v>
      </c>
      <c r="U384" s="765"/>
      <c r="V384" s="754"/>
      <c r="W384" s="763"/>
    </row>
    <row r="385" spans="1:23" s="75" customFormat="1" ht="14.25" customHeight="1">
      <c r="A385" s="764" t="s">
        <v>3006</v>
      </c>
      <c r="B385" s="760" t="s">
        <v>313</v>
      </c>
      <c r="C385" s="760" t="s">
        <v>687</v>
      </c>
      <c r="D385" s="637"/>
      <c r="E385" s="760">
        <v>196208</v>
      </c>
      <c r="F385" s="760" t="s">
        <v>687</v>
      </c>
      <c r="G385" s="754"/>
      <c r="H385" s="754"/>
      <c r="I385" s="754"/>
      <c r="J385" s="754" t="s">
        <v>812</v>
      </c>
      <c r="K385" s="760" t="s">
        <v>812</v>
      </c>
      <c r="L385" s="760" t="s">
        <v>812</v>
      </c>
      <c r="M385" s="754"/>
      <c r="N385" s="754">
        <v>20.128850936889599</v>
      </c>
      <c r="O385" s="760">
        <v>92.872497558593807</v>
      </c>
      <c r="P385" s="754"/>
      <c r="Q385" s="754"/>
      <c r="R385" s="763"/>
      <c r="S385" s="763"/>
      <c r="T385" s="783"/>
      <c r="U385" s="765"/>
      <c r="V385" s="754"/>
      <c r="W385" s="763"/>
    </row>
    <row r="386" spans="1:23" s="75" customFormat="1" ht="14.25" customHeight="1">
      <c r="A386" s="764" t="s">
        <v>3006</v>
      </c>
      <c r="B386" s="767" t="s">
        <v>313</v>
      </c>
      <c r="C386" s="768" t="s">
        <v>1915</v>
      </c>
      <c r="D386" s="761" t="s">
        <v>1913</v>
      </c>
      <c r="E386" s="754"/>
      <c r="F386" s="754"/>
      <c r="G386" s="754"/>
      <c r="H386" s="754"/>
      <c r="I386" s="754"/>
      <c r="J386" s="754" t="s">
        <v>812</v>
      </c>
      <c r="K386" s="754" t="s">
        <v>812</v>
      </c>
      <c r="L386" s="754" t="s">
        <v>812</v>
      </c>
      <c r="M386" s="754"/>
      <c r="N386" s="754"/>
      <c r="O386" s="754"/>
      <c r="P386" s="754" t="s">
        <v>813</v>
      </c>
      <c r="Q386" s="754"/>
      <c r="R386" s="771"/>
      <c r="S386" s="764"/>
      <c r="T386" s="783"/>
      <c r="U386" s="765"/>
      <c r="V386" s="754"/>
      <c r="W386" s="763"/>
    </row>
    <row r="387" spans="1:23" s="75" customFormat="1" ht="14.25" customHeight="1">
      <c r="A387" s="764" t="s">
        <v>3006</v>
      </c>
      <c r="B387" s="767" t="s">
        <v>313</v>
      </c>
      <c r="C387" s="768" t="s">
        <v>456</v>
      </c>
      <c r="D387" s="761" t="s">
        <v>1693</v>
      </c>
      <c r="E387" s="754">
        <v>196159</v>
      </c>
      <c r="F387" s="754"/>
      <c r="G387" s="754"/>
      <c r="H387" s="754"/>
      <c r="I387" s="754"/>
      <c r="J387" s="754" t="s">
        <v>812</v>
      </c>
      <c r="K387" s="754" t="s">
        <v>812</v>
      </c>
      <c r="L387" s="754" t="s">
        <v>812</v>
      </c>
      <c r="M387" s="754" t="s">
        <v>312</v>
      </c>
      <c r="N387" s="754">
        <v>20.2023601531982</v>
      </c>
      <c r="O387" s="754">
        <v>92.812782287597699</v>
      </c>
      <c r="P387" s="754" t="s">
        <v>813</v>
      </c>
      <c r="Q387" s="754" t="s">
        <v>794</v>
      </c>
      <c r="R387" s="771"/>
      <c r="S387" s="764"/>
      <c r="T387" s="783"/>
      <c r="U387" s="765"/>
      <c r="V387" s="754" t="s">
        <v>456</v>
      </c>
      <c r="W387" s="763"/>
    </row>
    <row r="388" spans="1:23" s="75" customFormat="1" ht="14.25" customHeight="1">
      <c r="A388" s="754" t="s">
        <v>39</v>
      </c>
      <c r="B388" s="754" t="s">
        <v>203</v>
      </c>
      <c r="C388" s="754" t="s">
        <v>1100</v>
      </c>
      <c r="D388" s="637" t="s">
        <v>1693</v>
      </c>
      <c r="E388" s="754"/>
      <c r="F388" s="754"/>
      <c r="G388" s="754"/>
      <c r="H388" s="754"/>
      <c r="I388" s="754"/>
      <c r="J388" s="754" t="s">
        <v>1481</v>
      </c>
      <c r="K388" s="754" t="s">
        <v>45</v>
      </c>
      <c r="L388" s="754" t="s">
        <v>1101</v>
      </c>
      <c r="M388" s="754" t="s">
        <v>46</v>
      </c>
      <c r="N388" s="754"/>
      <c r="O388" s="754"/>
      <c r="P388" s="754" t="s">
        <v>775</v>
      </c>
      <c r="Q388" s="754"/>
      <c r="R388" s="763"/>
      <c r="S388" s="764"/>
      <c r="T388" s="783"/>
      <c r="U388" s="765"/>
      <c r="V388" s="754" t="s">
        <v>1100</v>
      </c>
      <c r="W388" s="754"/>
    </row>
    <row r="389" spans="1:23" s="75" customFormat="1" ht="14.25" customHeight="1">
      <c r="A389" s="754" t="s">
        <v>39</v>
      </c>
      <c r="B389" s="754" t="s">
        <v>203</v>
      </c>
      <c r="C389" s="754" t="s">
        <v>285</v>
      </c>
      <c r="D389" s="637" t="s">
        <v>3257</v>
      </c>
      <c r="E389" s="754" t="s">
        <v>1514</v>
      </c>
      <c r="F389" s="754" t="s">
        <v>1823</v>
      </c>
      <c r="G389" s="754" t="s">
        <v>1823</v>
      </c>
      <c r="H389" s="754" t="s">
        <v>43</v>
      </c>
      <c r="I389" s="754" t="s">
        <v>44</v>
      </c>
      <c r="J389" s="754" t="s">
        <v>45</v>
      </c>
      <c r="K389" s="754" t="s">
        <v>45</v>
      </c>
      <c r="L389" s="754" t="s">
        <v>45</v>
      </c>
      <c r="M389" s="754" t="s">
        <v>46</v>
      </c>
      <c r="N389" s="754">
        <v>24.260719999999999</v>
      </c>
      <c r="O389" s="754">
        <v>97.238829999999993</v>
      </c>
      <c r="P389" s="754" t="s">
        <v>775</v>
      </c>
      <c r="Q389" s="754" t="s">
        <v>794</v>
      </c>
      <c r="R389" s="763">
        <v>218</v>
      </c>
      <c r="S389" s="763">
        <v>1067</v>
      </c>
      <c r="T389" s="783"/>
      <c r="U389" s="765"/>
      <c r="V389" s="754" t="s">
        <v>285</v>
      </c>
      <c r="W389" s="754"/>
    </row>
    <row r="390" spans="1:23" s="75" customFormat="1" ht="14.25" customHeight="1">
      <c r="A390" s="754" t="s">
        <v>39</v>
      </c>
      <c r="B390" s="754" t="s">
        <v>203</v>
      </c>
      <c r="C390" s="754" t="s">
        <v>204</v>
      </c>
      <c r="D390" s="637" t="s">
        <v>3257</v>
      </c>
      <c r="E390" s="754" t="s">
        <v>1513</v>
      </c>
      <c r="F390" s="754" t="s">
        <v>1822</v>
      </c>
      <c r="G390" s="754" t="s">
        <v>1822</v>
      </c>
      <c r="H390" s="754" t="s">
        <v>43</v>
      </c>
      <c r="I390" s="754" t="s">
        <v>149</v>
      </c>
      <c r="J390" s="754" t="s">
        <v>45</v>
      </c>
      <c r="K390" s="754" t="s">
        <v>45</v>
      </c>
      <c r="L390" s="754" t="s">
        <v>45</v>
      </c>
      <c r="M390" s="754" t="s">
        <v>46</v>
      </c>
      <c r="N390" s="754">
        <v>24.260466999999998</v>
      </c>
      <c r="O390" s="754">
        <v>97.252650000000003</v>
      </c>
      <c r="P390" s="754" t="s">
        <v>775</v>
      </c>
      <c r="Q390" s="754" t="s">
        <v>794</v>
      </c>
      <c r="R390" s="763">
        <v>12</v>
      </c>
      <c r="S390" s="763">
        <v>52</v>
      </c>
      <c r="T390" s="783"/>
      <c r="U390" s="765"/>
      <c r="V390" s="754" t="s">
        <v>204</v>
      </c>
      <c r="W390" s="754"/>
    </row>
    <row r="391" spans="1:23" s="75" customFormat="1" ht="14.25" customHeight="1">
      <c r="A391" s="754" t="s">
        <v>39</v>
      </c>
      <c r="B391" s="754" t="s">
        <v>203</v>
      </c>
      <c r="C391" s="754" t="s">
        <v>1108</v>
      </c>
      <c r="D391" s="637" t="s">
        <v>1693</v>
      </c>
      <c r="E391" s="754"/>
      <c r="F391" s="754"/>
      <c r="G391" s="754"/>
      <c r="H391" s="754"/>
      <c r="I391" s="754"/>
      <c r="J391" s="754" t="s">
        <v>812</v>
      </c>
      <c r="K391" s="754" t="s">
        <v>812</v>
      </c>
      <c r="L391" s="754" t="s">
        <v>812</v>
      </c>
      <c r="M391" s="754" t="s">
        <v>46</v>
      </c>
      <c r="N391" s="754"/>
      <c r="O391" s="754"/>
      <c r="P391" s="754" t="s">
        <v>813</v>
      </c>
      <c r="Q391" s="754"/>
      <c r="R391" s="763"/>
      <c r="S391" s="764"/>
      <c r="T391" s="783"/>
      <c r="U391" s="765"/>
      <c r="V391" s="754"/>
      <c r="W391" s="754"/>
    </row>
    <row r="392" spans="1:23" s="75" customFormat="1" ht="14.25" customHeight="1">
      <c r="A392" s="754" t="s">
        <v>39</v>
      </c>
      <c r="B392" s="754" t="s">
        <v>203</v>
      </c>
      <c r="C392" s="754" t="s">
        <v>1023</v>
      </c>
      <c r="D392" s="637" t="s">
        <v>3257</v>
      </c>
      <c r="E392" s="754" t="s">
        <v>1517</v>
      </c>
      <c r="F392" s="754"/>
      <c r="G392" s="754"/>
      <c r="H392" s="754"/>
      <c r="I392" s="754" t="s">
        <v>2199</v>
      </c>
      <c r="J392" s="754" t="s">
        <v>45</v>
      </c>
      <c r="K392" s="754" t="s">
        <v>45</v>
      </c>
      <c r="L392" s="754" t="s">
        <v>786</v>
      </c>
      <c r="M392" s="754" t="s">
        <v>46</v>
      </c>
      <c r="N392" s="754">
        <v>24.263786</v>
      </c>
      <c r="O392" s="754">
        <v>97.228835000000004</v>
      </c>
      <c r="P392" s="754" t="s">
        <v>787</v>
      </c>
      <c r="Q392" s="754" t="s">
        <v>776</v>
      </c>
      <c r="R392" s="763">
        <v>181</v>
      </c>
      <c r="S392" s="763">
        <v>906</v>
      </c>
      <c r="T392" s="783"/>
      <c r="U392" s="765" t="s">
        <v>1024</v>
      </c>
      <c r="V392" s="754" t="s">
        <v>786</v>
      </c>
      <c r="W392" s="754"/>
    </row>
    <row r="393" spans="1:23" s="75" customFormat="1" ht="14.25" customHeight="1">
      <c r="A393" s="754" t="s">
        <v>39</v>
      </c>
      <c r="B393" s="754" t="s">
        <v>203</v>
      </c>
      <c r="C393" s="754" t="s">
        <v>782</v>
      </c>
      <c r="D393" s="637" t="s">
        <v>1694</v>
      </c>
      <c r="E393" s="754" t="s">
        <v>1344</v>
      </c>
      <c r="F393" s="754">
        <v>0</v>
      </c>
      <c r="G393" s="754">
        <v>0</v>
      </c>
      <c r="H393" s="754"/>
      <c r="I393" s="754">
        <v>0</v>
      </c>
      <c r="J393" s="754" t="s">
        <v>45</v>
      </c>
      <c r="K393" s="754" t="s">
        <v>45</v>
      </c>
      <c r="L393" s="754" t="s">
        <v>774</v>
      </c>
      <c r="M393" s="754" t="s">
        <v>46</v>
      </c>
      <c r="N393" s="754"/>
      <c r="O393" s="754"/>
      <c r="P393" s="754" t="s">
        <v>775</v>
      </c>
      <c r="Q393" s="754"/>
      <c r="R393" s="763"/>
      <c r="S393" s="764"/>
      <c r="T393" s="783"/>
      <c r="U393" s="765"/>
      <c r="V393" s="754" t="s">
        <v>782</v>
      </c>
      <c r="W393" s="754" t="s">
        <v>2200</v>
      </c>
    </row>
    <row r="394" spans="1:23" s="75" customFormat="1" ht="14.25" customHeight="1">
      <c r="A394" s="754" t="s">
        <v>39</v>
      </c>
      <c r="B394" s="754" t="s">
        <v>203</v>
      </c>
      <c r="C394" s="754" t="s">
        <v>206</v>
      </c>
      <c r="D394" s="637" t="s">
        <v>3257</v>
      </c>
      <c r="E394" s="754" t="s">
        <v>1505</v>
      </c>
      <c r="F394" s="754" t="s">
        <v>1820</v>
      </c>
      <c r="G394" s="754" t="s">
        <v>1821</v>
      </c>
      <c r="H394" s="754" t="s">
        <v>43</v>
      </c>
      <c r="I394" s="754" t="s">
        <v>149</v>
      </c>
      <c r="J394" s="754" t="s">
        <v>45</v>
      </c>
      <c r="K394" s="754" t="s">
        <v>45</v>
      </c>
      <c r="L394" s="754" t="s">
        <v>45</v>
      </c>
      <c r="M394" s="754" t="s">
        <v>46</v>
      </c>
      <c r="N394" s="754">
        <v>24.24766</v>
      </c>
      <c r="O394" s="754">
        <v>97.236919999999998</v>
      </c>
      <c r="P394" s="754" t="s">
        <v>775</v>
      </c>
      <c r="Q394" s="754" t="s">
        <v>794</v>
      </c>
      <c r="R394" s="763">
        <v>40</v>
      </c>
      <c r="S394" s="763">
        <v>232</v>
      </c>
      <c r="T394" s="783"/>
      <c r="U394" s="765"/>
      <c r="V394" s="754" t="s">
        <v>206</v>
      </c>
      <c r="W394" s="754"/>
    </row>
    <row r="395" spans="1:23" s="75" customFormat="1" ht="14.25" customHeight="1">
      <c r="A395" s="754" t="s">
        <v>39</v>
      </c>
      <c r="B395" s="754" t="s">
        <v>203</v>
      </c>
      <c r="C395" s="754" t="s">
        <v>1022</v>
      </c>
      <c r="D395" s="637" t="s">
        <v>1694</v>
      </c>
      <c r="E395" s="754" t="s">
        <v>1515</v>
      </c>
      <c r="F395" s="754">
        <v>0</v>
      </c>
      <c r="G395" s="754">
        <v>0</v>
      </c>
      <c r="H395" s="754"/>
      <c r="I395" s="754">
        <v>0</v>
      </c>
      <c r="J395" s="754" t="s">
        <v>45</v>
      </c>
      <c r="K395" s="754" t="s">
        <v>45</v>
      </c>
      <c r="L395" s="754" t="s">
        <v>774</v>
      </c>
      <c r="M395" s="754" t="s">
        <v>46</v>
      </c>
      <c r="N395" s="754">
        <v>24.262418019999998</v>
      </c>
      <c r="O395" s="754">
        <v>97.221556500000005</v>
      </c>
      <c r="P395" s="754" t="s">
        <v>775</v>
      </c>
      <c r="Q395" s="754"/>
      <c r="R395" s="763"/>
      <c r="S395" s="764"/>
      <c r="T395" s="783"/>
      <c r="U395" s="765"/>
      <c r="V395" s="754" t="s">
        <v>1022</v>
      </c>
      <c r="W395" s="754" t="s">
        <v>2201</v>
      </c>
    </row>
    <row r="396" spans="1:23" s="75" customFormat="1" ht="14.25" customHeight="1">
      <c r="A396" s="754" t="s">
        <v>39</v>
      </c>
      <c r="B396" s="754" t="s">
        <v>203</v>
      </c>
      <c r="C396" s="754" t="s">
        <v>208</v>
      </c>
      <c r="D396" s="637" t="s">
        <v>3257</v>
      </c>
      <c r="E396" s="754" t="s">
        <v>1516</v>
      </c>
      <c r="F396" s="754" t="s">
        <v>1823</v>
      </c>
      <c r="G396" s="754" t="s">
        <v>1823</v>
      </c>
      <c r="H396" s="754" t="s">
        <v>43</v>
      </c>
      <c r="I396" s="754" t="s">
        <v>250</v>
      </c>
      <c r="J396" s="754" t="s">
        <v>45</v>
      </c>
      <c r="K396" s="754" t="s">
        <v>45</v>
      </c>
      <c r="L396" s="754" t="s">
        <v>45</v>
      </c>
      <c r="M396" s="754" t="s">
        <v>46</v>
      </c>
      <c r="N396" s="754">
        <v>24.263174360000001</v>
      </c>
      <c r="O396" s="754">
        <v>97.240183459999997</v>
      </c>
      <c r="P396" s="754" t="s">
        <v>775</v>
      </c>
      <c r="Q396" s="754" t="s">
        <v>794</v>
      </c>
      <c r="R396" s="763">
        <v>139</v>
      </c>
      <c r="S396" s="763">
        <v>777</v>
      </c>
      <c r="T396" s="783"/>
      <c r="U396" s="765"/>
      <c r="V396" s="754" t="s">
        <v>208</v>
      </c>
      <c r="W396" s="754"/>
    </row>
    <row r="397" spans="1:23" s="75" customFormat="1" ht="14.25" customHeight="1">
      <c r="A397" s="764" t="s">
        <v>39</v>
      </c>
      <c r="B397" s="754" t="s">
        <v>203</v>
      </c>
      <c r="C397" s="569" t="s">
        <v>2087</v>
      </c>
      <c r="D397" s="761"/>
      <c r="E397" s="754"/>
      <c r="F397" s="754"/>
      <c r="G397" s="754"/>
      <c r="H397" s="754"/>
      <c r="I397" s="754"/>
      <c r="J397" s="754" t="s">
        <v>1481</v>
      </c>
      <c r="K397" s="754" t="s">
        <v>45</v>
      </c>
      <c r="L397" s="754" t="s">
        <v>1101</v>
      </c>
      <c r="M397" s="754" t="s">
        <v>46</v>
      </c>
      <c r="N397" s="754"/>
      <c r="O397" s="754"/>
      <c r="P397" s="754" t="s">
        <v>2044</v>
      </c>
      <c r="Q397" s="754"/>
      <c r="R397" s="771"/>
      <c r="S397" s="764"/>
      <c r="T397" s="783">
        <v>43298</v>
      </c>
      <c r="U397" s="765"/>
      <c r="V397" s="754"/>
      <c r="W397" s="754"/>
    </row>
    <row r="398" spans="1:23" s="75" customFormat="1" ht="14.25" customHeight="1">
      <c r="A398" s="754" t="s">
        <v>39</v>
      </c>
      <c r="B398" s="754" t="s">
        <v>203</v>
      </c>
      <c r="C398" s="754" t="s">
        <v>209</v>
      </c>
      <c r="D398" s="637" t="s">
        <v>3257</v>
      </c>
      <c r="E398" s="754" t="s">
        <v>1511</v>
      </c>
      <c r="F398" s="754" t="s">
        <v>1820</v>
      </c>
      <c r="G398" s="754" t="s">
        <v>1821</v>
      </c>
      <c r="H398" s="754" t="s">
        <v>43</v>
      </c>
      <c r="I398" s="754" t="s">
        <v>250</v>
      </c>
      <c r="J398" s="754" t="s">
        <v>45</v>
      </c>
      <c r="K398" s="754" t="s">
        <v>45</v>
      </c>
      <c r="L398" s="754" t="s">
        <v>45</v>
      </c>
      <c r="M398" s="754" t="s">
        <v>46</v>
      </c>
      <c r="N398" s="754">
        <v>24.253067000000001</v>
      </c>
      <c r="O398" s="754">
        <v>97.234200000000001</v>
      </c>
      <c r="P398" s="754" t="s">
        <v>775</v>
      </c>
      <c r="Q398" s="754" t="s">
        <v>794</v>
      </c>
      <c r="R398" s="763">
        <v>14</v>
      </c>
      <c r="S398" s="763">
        <v>55</v>
      </c>
      <c r="T398" s="783"/>
      <c r="U398" s="765"/>
      <c r="V398" s="754" t="s">
        <v>209</v>
      </c>
      <c r="W398" s="754"/>
    </row>
    <row r="399" spans="1:23" s="75" customFormat="1" ht="14.25" customHeight="1">
      <c r="A399" s="754" t="s">
        <v>39</v>
      </c>
      <c r="B399" s="754" t="s">
        <v>203</v>
      </c>
      <c r="C399" s="754" t="s">
        <v>211</v>
      </c>
      <c r="D399" s="637" t="s">
        <v>3257</v>
      </c>
      <c r="E399" s="754" t="s">
        <v>1521</v>
      </c>
      <c r="F399" s="754" t="s">
        <v>1827</v>
      </c>
      <c r="G399" s="754" t="s">
        <v>1827</v>
      </c>
      <c r="H399" s="754" t="s">
        <v>43</v>
      </c>
      <c r="I399" s="754" t="s">
        <v>44</v>
      </c>
      <c r="J399" s="754" t="s">
        <v>45</v>
      </c>
      <c r="K399" s="754" t="s">
        <v>45</v>
      </c>
      <c r="L399" s="754" t="s">
        <v>774</v>
      </c>
      <c r="M399" s="754" t="s">
        <v>46</v>
      </c>
      <c r="N399" s="754">
        <v>24.32638</v>
      </c>
      <c r="O399" s="754">
        <v>97.315860000000001</v>
      </c>
      <c r="P399" s="754" t="s">
        <v>775</v>
      </c>
      <c r="Q399" s="754" t="s">
        <v>794</v>
      </c>
      <c r="R399" s="763"/>
      <c r="S399" s="763"/>
      <c r="T399" s="783"/>
      <c r="U399" s="765"/>
      <c r="V399" s="754" t="s">
        <v>211</v>
      </c>
      <c r="W399" s="754"/>
    </row>
    <row r="400" spans="1:23" s="75" customFormat="1" ht="14.25" customHeight="1">
      <c r="A400" s="754" t="s">
        <v>39</v>
      </c>
      <c r="B400" s="754" t="s">
        <v>203</v>
      </c>
      <c r="C400" s="754" t="s">
        <v>287</v>
      </c>
      <c r="D400" s="637" t="s">
        <v>3257</v>
      </c>
      <c r="E400" s="754" t="s">
        <v>1502</v>
      </c>
      <c r="F400" s="754" t="s">
        <v>1817</v>
      </c>
      <c r="G400" s="754" t="s">
        <v>1818</v>
      </c>
      <c r="H400" s="754" t="s">
        <v>43</v>
      </c>
      <c r="I400" s="754" t="s">
        <v>149</v>
      </c>
      <c r="J400" s="754" t="s">
        <v>45</v>
      </c>
      <c r="K400" s="754" t="s">
        <v>45</v>
      </c>
      <c r="L400" s="754" t="s">
        <v>45</v>
      </c>
      <c r="M400" s="754" t="s">
        <v>46</v>
      </c>
      <c r="N400" s="754">
        <v>24.222349999999999</v>
      </c>
      <c r="O400" s="754">
        <v>97.252650000000003</v>
      </c>
      <c r="P400" s="754" t="s">
        <v>775</v>
      </c>
      <c r="Q400" s="754" t="s">
        <v>794</v>
      </c>
      <c r="R400" s="763">
        <v>147</v>
      </c>
      <c r="S400" s="763">
        <v>783</v>
      </c>
      <c r="T400" s="783"/>
      <c r="U400" s="765"/>
      <c r="V400" s="754" t="s">
        <v>287</v>
      </c>
      <c r="W400" s="754"/>
    </row>
    <row r="401" spans="1:23" s="75" customFormat="1" ht="14.25" customHeight="1">
      <c r="A401" s="754" t="s">
        <v>39</v>
      </c>
      <c r="B401" s="760" t="s">
        <v>203</v>
      </c>
      <c r="C401" s="760" t="s">
        <v>288</v>
      </c>
      <c r="D401" s="637" t="s">
        <v>3257</v>
      </c>
      <c r="E401" s="754" t="s">
        <v>1518</v>
      </c>
      <c r="F401" s="760" t="s">
        <v>1820</v>
      </c>
      <c r="G401" s="754" t="s">
        <v>1824</v>
      </c>
      <c r="H401" s="754" t="s">
        <v>43</v>
      </c>
      <c r="I401" s="754" t="s">
        <v>149</v>
      </c>
      <c r="J401" s="754" t="s">
        <v>45</v>
      </c>
      <c r="K401" s="754" t="s">
        <v>45</v>
      </c>
      <c r="L401" s="754" t="s">
        <v>45</v>
      </c>
      <c r="M401" s="754" t="s">
        <v>46</v>
      </c>
      <c r="N401" s="754">
        <v>24.26829283</v>
      </c>
      <c r="O401" s="754">
        <v>97.229116809999994</v>
      </c>
      <c r="P401" s="754" t="s">
        <v>775</v>
      </c>
      <c r="Q401" s="754" t="s">
        <v>794</v>
      </c>
      <c r="R401" s="763">
        <v>641</v>
      </c>
      <c r="S401" s="763">
        <v>4027</v>
      </c>
      <c r="T401" s="783"/>
      <c r="U401" s="765"/>
      <c r="V401" s="754" t="s">
        <v>288</v>
      </c>
      <c r="W401" s="570" t="s">
        <v>2331</v>
      </c>
    </row>
    <row r="402" spans="1:23" s="75" customFormat="1" ht="14.25" customHeight="1">
      <c r="A402" s="768" t="s">
        <v>39</v>
      </c>
      <c r="B402" s="767" t="s">
        <v>203</v>
      </c>
      <c r="C402" s="773" t="s">
        <v>1685</v>
      </c>
      <c r="D402" s="637" t="s">
        <v>1693</v>
      </c>
      <c r="E402" s="760"/>
      <c r="F402" s="760"/>
      <c r="G402" s="760"/>
      <c r="H402" s="760" t="s">
        <v>144</v>
      </c>
      <c r="I402" s="760"/>
      <c r="J402" s="760" t="s">
        <v>1481</v>
      </c>
      <c r="K402" s="754" t="s">
        <v>45</v>
      </c>
      <c r="L402" s="754" t="s">
        <v>45</v>
      </c>
      <c r="M402" s="754" t="s">
        <v>46</v>
      </c>
      <c r="N402" s="760"/>
      <c r="O402" s="760"/>
      <c r="P402" s="754" t="s">
        <v>775</v>
      </c>
      <c r="Q402" s="760"/>
      <c r="R402" s="772"/>
      <c r="S402" s="768"/>
      <c r="T402" s="784">
        <v>43245</v>
      </c>
      <c r="U402" s="769"/>
      <c r="V402" s="760"/>
      <c r="W402" s="754"/>
    </row>
    <row r="403" spans="1:23" s="75" customFormat="1" ht="14.25" customHeight="1">
      <c r="A403" s="754" t="s">
        <v>39</v>
      </c>
      <c r="B403" s="760" t="s">
        <v>203</v>
      </c>
      <c r="C403" s="760" t="s">
        <v>1025</v>
      </c>
      <c r="D403" s="637" t="s">
        <v>2010</v>
      </c>
      <c r="E403" s="760" t="s">
        <v>1520</v>
      </c>
      <c r="F403" s="754" t="s">
        <v>1820</v>
      </c>
      <c r="G403" s="754" t="s">
        <v>1900</v>
      </c>
      <c r="H403" s="754" t="s">
        <v>43</v>
      </c>
      <c r="I403" s="754" t="s">
        <v>250</v>
      </c>
      <c r="J403" s="754" t="s">
        <v>45</v>
      </c>
      <c r="K403" s="754" t="s">
        <v>45</v>
      </c>
      <c r="L403" s="754" t="s">
        <v>774</v>
      </c>
      <c r="M403" s="754" t="s">
        <v>46</v>
      </c>
      <c r="N403" s="754">
        <v>24.29138</v>
      </c>
      <c r="O403" s="754">
        <v>97.227789999999999</v>
      </c>
      <c r="P403" s="754" t="s">
        <v>775</v>
      </c>
      <c r="Q403" s="754" t="s">
        <v>776</v>
      </c>
      <c r="R403" s="763"/>
      <c r="S403" s="764"/>
      <c r="T403" s="783">
        <v>43276</v>
      </c>
      <c r="U403" s="765" t="s">
        <v>2011</v>
      </c>
      <c r="V403" s="754" t="s">
        <v>1025</v>
      </c>
      <c r="W403" s="570" t="s">
        <v>2202</v>
      </c>
    </row>
    <row r="404" spans="1:23" s="75" customFormat="1" ht="14.25" customHeight="1">
      <c r="A404" s="754" t="s">
        <v>39</v>
      </c>
      <c r="B404" s="760" t="s">
        <v>203</v>
      </c>
      <c r="C404" s="760" t="s">
        <v>805</v>
      </c>
      <c r="D404" s="637" t="s">
        <v>1694</v>
      </c>
      <c r="E404" s="760" t="s">
        <v>1364</v>
      </c>
      <c r="F404" s="754">
        <v>0</v>
      </c>
      <c r="G404" s="754">
        <v>0</v>
      </c>
      <c r="H404" s="754"/>
      <c r="I404" s="754">
        <v>0</v>
      </c>
      <c r="J404" s="754" t="s">
        <v>45</v>
      </c>
      <c r="K404" s="754" t="s">
        <v>45</v>
      </c>
      <c r="L404" s="754" t="s">
        <v>774</v>
      </c>
      <c r="M404" s="754" t="s">
        <v>46</v>
      </c>
      <c r="N404" s="754"/>
      <c r="O404" s="754"/>
      <c r="P404" s="754" t="s">
        <v>775</v>
      </c>
      <c r="Q404" s="754"/>
      <c r="R404" s="763"/>
      <c r="S404" s="764"/>
      <c r="T404" s="783"/>
      <c r="U404" s="765"/>
      <c r="V404" s="754" t="s">
        <v>805</v>
      </c>
      <c r="W404" s="754" t="s">
        <v>2203</v>
      </c>
    </row>
    <row r="405" spans="1:23" s="75" customFormat="1" ht="14.25" customHeight="1">
      <c r="A405" s="754" t="s">
        <v>39</v>
      </c>
      <c r="B405" s="760" t="s">
        <v>203</v>
      </c>
      <c r="C405" s="760" t="s">
        <v>212</v>
      </c>
      <c r="D405" s="637" t="s">
        <v>3033</v>
      </c>
      <c r="E405" s="760" t="s">
        <v>1506</v>
      </c>
      <c r="F405" s="754" t="s">
        <v>1817</v>
      </c>
      <c r="G405" s="754" t="s">
        <v>1817</v>
      </c>
      <c r="H405" s="754" t="s">
        <v>43</v>
      </c>
      <c r="I405" s="754" t="s">
        <v>250</v>
      </c>
      <c r="J405" s="754" t="s">
        <v>45</v>
      </c>
      <c r="K405" s="754" t="s">
        <v>45</v>
      </c>
      <c r="L405" s="754" t="s">
        <v>774</v>
      </c>
      <c r="M405" s="754" t="s">
        <v>46</v>
      </c>
      <c r="N405" s="754">
        <v>24.24953</v>
      </c>
      <c r="O405" s="754">
        <v>97.240639999999999</v>
      </c>
      <c r="P405" s="754" t="s">
        <v>775</v>
      </c>
      <c r="Q405" s="754" t="s">
        <v>794</v>
      </c>
      <c r="R405" s="763"/>
      <c r="S405" s="763"/>
      <c r="T405" s="783"/>
      <c r="U405" s="765"/>
      <c r="V405" s="754" t="s">
        <v>212</v>
      </c>
      <c r="W405" s="754"/>
    </row>
    <row r="406" spans="1:23" s="75" customFormat="1" ht="14.25" customHeight="1">
      <c r="A406" s="754" t="s">
        <v>39</v>
      </c>
      <c r="B406" s="754" t="s">
        <v>154</v>
      </c>
      <c r="C406" s="754" t="s">
        <v>1112</v>
      </c>
      <c r="D406" s="637" t="s">
        <v>1693</v>
      </c>
      <c r="E406" s="754"/>
      <c r="F406" s="754"/>
      <c r="G406" s="754"/>
      <c r="H406" s="754"/>
      <c r="I406" s="754"/>
      <c r="J406" s="754" t="s">
        <v>45</v>
      </c>
      <c r="K406" s="754" t="s">
        <v>45</v>
      </c>
      <c r="L406" s="754" t="s">
        <v>1113</v>
      </c>
      <c r="M406" s="754" t="s">
        <v>46</v>
      </c>
      <c r="N406" s="754"/>
      <c r="O406" s="754"/>
      <c r="P406" s="754" t="s">
        <v>775</v>
      </c>
      <c r="Q406" s="754"/>
      <c r="R406" s="763"/>
      <c r="S406" s="764"/>
      <c r="T406" s="783"/>
      <c r="U406" s="765"/>
      <c r="V406" s="754" t="s">
        <v>1112</v>
      </c>
      <c r="W406" s="754"/>
    </row>
    <row r="407" spans="1:23" s="75" customFormat="1" ht="14.25" customHeight="1">
      <c r="A407" s="754" t="s">
        <v>39</v>
      </c>
      <c r="B407" s="754" t="s">
        <v>154</v>
      </c>
      <c r="C407" s="754" t="s">
        <v>253</v>
      </c>
      <c r="D407" s="637" t="s">
        <v>3257</v>
      </c>
      <c r="E407" s="754" t="s">
        <v>1626</v>
      </c>
      <c r="F407" s="754" t="s">
        <v>1881</v>
      </c>
      <c r="G407" s="754" t="s">
        <v>1882</v>
      </c>
      <c r="H407" s="754" t="s">
        <v>43</v>
      </c>
      <c r="I407" s="754" t="s">
        <v>250</v>
      </c>
      <c r="J407" s="754" t="s">
        <v>45</v>
      </c>
      <c r="K407" s="754" t="s">
        <v>45</v>
      </c>
      <c r="L407" s="754" t="s">
        <v>45</v>
      </c>
      <c r="M407" s="754" t="s">
        <v>46</v>
      </c>
      <c r="N407" s="754">
        <v>25.889410000000002</v>
      </c>
      <c r="O407" s="754">
        <v>98.131550000000004</v>
      </c>
      <c r="P407" s="754" t="s">
        <v>775</v>
      </c>
      <c r="Q407" s="754" t="s">
        <v>794</v>
      </c>
      <c r="R407" s="763">
        <v>163</v>
      </c>
      <c r="S407" s="763">
        <v>830</v>
      </c>
      <c r="T407" s="783"/>
      <c r="U407" s="765"/>
      <c r="V407" s="754" t="s">
        <v>253</v>
      </c>
      <c r="W407" s="754"/>
    </row>
    <row r="408" spans="1:23" s="75" customFormat="1" ht="14.25" customHeight="1">
      <c r="A408" s="754" t="s">
        <v>39</v>
      </c>
      <c r="B408" s="754" t="s">
        <v>154</v>
      </c>
      <c r="C408" s="754" t="s">
        <v>783</v>
      </c>
      <c r="D408" s="637" t="s">
        <v>1694</v>
      </c>
      <c r="E408" s="754" t="s">
        <v>1345</v>
      </c>
      <c r="F408" s="754">
        <v>0</v>
      </c>
      <c r="G408" s="754">
        <v>0</v>
      </c>
      <c r="H408" s="754" t="s">
        <v>43</v>
      </c>
      <c r="I408" s="754" t="s">
        <v>1346</v>
      </c>
      <c r="J408" s="754" t="s">
        <v>45</v>
      </c>
      <c r="K408" s="754" t="s">
        <v>45</v>
      </c>
      <c r="L408" s="754" t="s">
        <v>774</v>
      </c>
      <c r="M408" s="754" t="s">
        <v>46</v>
      </c>
      <c r="N408" s="754"/>
      <c r="O408" s="754"/>
      <c r="P408" s="754" t="s">
        <v>775</v>
      </c>
      <c r="Q408" s="754"/>
      <c r="R408" s="763"/>
      <c r="S408" s="764"/>
      <c r="T408" s="783"/>
      <c r="U408" s="765"/>
      <c r="V408" s="754" t="s">
        <v>783</v>
      </c>
      <c r="W408" s="570" t="s">
        <v>2204</v>
      </c>
    </row>
    <row r="409" spans="1:23" s="75" customFormat="1" ht="14.25" customHeight="1">
      <c r="A409" s="754" t="s">
        <v>39</v>
      </c>
      <c r="B409" s="754" t="s">
        <v>154</v>
      </c>
      <c r="C409" s="754" t="s">
        <v>155</v>
      </c>
      <c r="D409" s="637" t="s">
        <v>3257</v>
      </c>
      <c r="E409" s="754" t="s">
        <v>1622</v>
      </c>
      <c r="F409" s="754" t="s">
        <v>1878</v>
      </c>
      <c r="G409" s="754" t="s">
        <v>1879</v>
      </c>
      <c r="H409" s="754" t="s">
        <v>43</v>
      </c>
      <c r="I409" s="754" t="s">
        <v>149</v>
      </c>
      <c r="J409" s="754" t="s">
        <v>45</v>
      </c>
      <c r="K409" s="754" t="s">
        <v>45</v>
      </c>
      <c r="L409" s="754" t="s">
        <v>45</v>
      </c>
      <c r="M409" s="754" t="s">
        <v>792</v>
      </c>
      <c r="N409" s="754">
        <v>25.754110000000001</v>
      </c>
      <c r="O409" s="754">
        <v>98.475719999999995</v>
      </c>
      <c r="P409" s="754" t="s">
        <v>775</v>
      </c>
      <c r="Q409" s="754" t="s">
        <v>794</v>
      </c>
      <c r="R409" s="763">
        <v>163</v>
      </c>
      <c r="S409" s="763">
        <v>967</v>
      </c>
      <c r="T409" s="783"/>
      <c r="U409" s="765"/>
      <c r="V409" s="754" t="s">
        <v>155</v>
      </c>
      <c r="W409" s="570" t="s">
        <v>2332</v>
      </c>
    </row>
    <row r="410" spans="1:23" s="75" customFormat="1" ht="14.25" customHeight="1">
      <c r="A410" s="754" t="s">
        <v>39</v>
      </c>
      <c r="B410" s="754" t="s">
        <v>154</v>
      </c>
      <c r="C410" s="754" t="s">
        <v>1076</v>
      </c>
      <c r="D410" s="637" t="s">
        <v>1694</v>
      </c>
      <c r="E410" s="754" t="s">
        <v>1620</v>
      </c>
      <c r="F410" s="754" t="s">
        <v>1759</v>
      </c>
      <c r="G410" s="754" t="s">
        <v>1760</v>
      </c>
      <c r="H410" s="754"/>
      <c r="I410" s="754">
        <v>0</v>
      </c>
      <c r="J410" s="754" t="s">
        <v>45</v>
      </c>
      <c r="K410" s="754" t="s">
        <v>45</v>
      </c>
      <c r="L410" s="754" t="s">
        <v>774</v>
      </c>
      <c r="M410" s="754" t="s">
        <v>46</v>
      </c>
      <c r="N410" s="754">
        <v>25.708763000000001</v>
      </c>
      <c r="O410" s="754">
        <v>98.354146999999998</v>
      </c>
      <c r="P410" s="754" t="s">
        <v>787</v>
      </c>
      <c r="Q410" s="754" t="s">
        <v>776</v>
      </c>
      <c r="R410" s="763"/>
      <c r="S410" s="764"/>
      <c r="T410" s="783">
        <v>42983</v>
      </c>
      <c r="U410" s="765" t="s">
        <v>1077</v>
      </c>
      <c r="V410" s="754" t="s">
        <v>1076</v>
      </c>
      <c r="W410" s="754" t="s">
        <v>2205</v>
      </c>
    </row>
    <row r="411" spans="1:23" s="75" customFormat="1" ht="14.25" customHeight="1">
      <c r="A411" s="754" t="s">
        <v>39</v>
      </c>
      <c r="B411" s="754" t="s">
        <v>154</v>
      </c>
      <c r="C411" s="754" t="s">
        <v>255</v>
      </c>
      <c r="D411" s="637" t="s">
        <v>3257</v>
      </c>
      <c r="E411" s="754" t="s">
        <v>1625</v>
      </c>
      <c r="F411" s="754" t="s">
        <v>1723</v>
      </c>
      <c r="G411" s="754" t="s">
        <v>1880</v>
      </c>
      <c r="H411" s="754" t="s">
        <v>43</v>
      </c>
      <c r="I411" s="754" t="s">
        <v>250</v>
      </c>
      <c r="J411" s="754" t="s">
        <v>45</v>
      </c>
      <c r="K411" s="754" t="s">
        <v>45</v>
      </c>
      <c r="L411" s="754" t="s">
        <v>45</v>
      </c>
      <c r="M411" s="754" t="s">
        <v>46</v>
      </c>
      <c r="N411" s="754">
        <v>25.887339999999998</v>
      </c>
      <c r="O411" s="754">
        <v>98.129990000000006</v>
      </c>
      <c r="P411" s="754" t="s">
        <v>775</v>
      </c>
      <c r="Q411" s="754" t="s">
        <v>794</v>
      </c>
      <c r="R411" s="763">
        <v>206</v>
      </c>
      <c r="S411" s="763">
        <v>856</v>
      </c>
      <c r="T411" s="783"/>
      <c r="U411" s="765"/>
      <c r="V411" s="754" t="s">
        <v>255</v>
      </c>
      <c r="W411" s="754"/>
    </row>
    <row r="412" spans="1:23" s="75" customFormat="1" ht="14.25" customHeight="1">
      <c r="A412" s="754" t="s">
        <v>39</v>
      </c>
      <c r="B412" s="754" t="s">
        <v>154</v>
      </c>
      <c r="C412" s="754" t="s">
        <v>233</v>
      </c>
      <c r="D412" s="637" t="s">
        <v>3257</v>
      </c>
      <c r="E412" s="754" t="s">
        <v>1603</v>
      </c>
      <c r="F412" s="754" t="s">
        <v>1873</v>
      </c>
      <c r="G412" s="754" t="s">
        <v>1743</v>
      </c>
      <c r="H412" s="754" t="s">
        <v>43</v>
      </c>
      <c r="I412" s="754" t="s">
        <v>1346</v>
      </c>
      <c r="J412" s="754" t="s">
        <v>45</v>
      </c>
      <c r="K412" s="754" t="s">
        <v>45</v>
      </c>
      <c r="L412" s="754" t="s">
        <v>45</v>
      </c>
      <c r="M412" s="754" t="s">
        <v>46</v>
      </c>
      <c r="N412" s="754">
        <v>25.60867</v>
      </c>
      <c r="O412" s="754">
        <v>98.377780000000001</v>
      </c>
      <c r="P412" s="754" t="s">
        <v>775</v>
      </c>
      <c r="Q412" s="754" t="s">
        <v>794</v>
      </c>
      <c r="R412" s="763">
        <v>57</v>
      </c>
      <c r="S412" s="763">
        <v>274</v>
      </c>
      <c r="T412" s="783"/>
      <c r="U412" s="765"/>
      <c r="V412" s="754" t="s">
        <v>233</v>
      </c>
      <c r="W412" s="754"/>
    </row>
    <row r="413" spans="1:23" s="75" customFormat="1" ht="14.25" customHeight="1">
      <c r="A413" s="754" t="s">
        <v>39</v>
      </c>
      <c r="B413" s="760" t="s">
        <v>154</v>
      </c>
      <c r="C413" s="760" t="s">
        <v>235</v>
      </c>
      <c r="D413" s="637" t="s">
        <v>3257</v>
      </c>
      <c r="E413" s="754" t="s">
        <v>1613</v>
      </c>
      <c r="F413" s="754" t="s">
        <v>1760</v>
      </c>
      <c r="G413" s="754" t="s">
        <v>235</v>
      </c>
      <c r="H413" s="754" t="s">
        <v>43</v>
      </c>
      <c r="I413" s="754" t="s">
        <v>1346</v>
      </c>
      <c r="J413" s="754" t="s">
        <v>45</v>
      </c>
      <c r="K413" s="754" t="s">
        <v>45</v>
      </c>
      <c r="L413" s="754" t="s">
        <v>45</v>
      </c>
      <c r="M413" s="754" t="s">
        <v>46</v>
      </c>
      <c r="N413" s="754">
        <v>25.645959999999999</v>
      </c>
      <c r="O413" s="754">
        <v>98.356260000000006</v>
      </c>
      <c r="P413" s="754" t="s">
        <v>775</v>
      </c>
      <c r="Q413" s="754" t="s">
        <v>794</v>
      </c>
      <c r="R413" s="763">
        <v>32</v>
      </c>
      <c r="S413" s="763">
        <v>167</v>
      </c>
      <c r="T413" s="783"/>
      <c r="U413" s="765"/>
      <c r="V413" s="754" t="s">
        <v>1071</v>
      </c>
      <c r="W413" s="754"/>
    </row>
    <row r="414" spans="1:23" s="75" customFormat="1" ht="14.25" customHeight="1">
      <c r="A414" s="754" t="s">
        <v>39</v>
      </c>
      <c r="B414" s="754" t="s">
        <v>156</v>
      </c>
      <c r="C414" s="754" t="s">
        <v>1072</v>
      </c>
      <c r="D414" s="637" t="s">
        <v>1694</v>
      </c>
      <c r="E414" s="754" t="s">
        <v>1616</v>
      </c>
      <c r="F414" s="754" t="s">
        <v>1757</v>
      </c>
      <c r="G414" s="754" t="s">
        <v>1757</v>
      </c>
      <c r="H414" s="754" t="s">
        <v>43</v>
      </c>
      <c r="I414" s="754" t="s">
        <v>149</v>
      </c>
      <c r="J414" s="754" t="s">
        <v>45</v>
      </c>
      <c r="K414" s="754" t="s">
        <v>45</v>
      </c>
      <c r="L414" s="754" t="s">
        <v>774</v>
      </c>
      <c r="M414" s="754" t="s">
        <v>46</v>
      </c>
      <c r="N414" s="754">
        <v>25.656130000000001</v>
      </c>
      <c r="O414" s="754">
        <v>96.355270000000004</v>
      </c>
      <c r="P414" s="754" t="s">
        <v>775</v>
      </c>
      <c r="Q414" s="754" t="s">
        <v>794</v>
      </c>
      <c r="R414" s="763"/>
      <c r="S414" s="764"/>
      <c r="T414" s="783">
        <v>42983</v>
      </c>
      <c r="U414" s="765" t="s">
        <v>1073</v>
      </c>
      <c r="V414" s="754" t="s">
        <v>1072</v>
      </c>
      <c r="W414" s="570" t="s">
        <v>2206</v>
      </c>
    </row>
    <row r="415" spans="1:23" s="75" customFormat="1" ht="14.25" customHeight="1">
      <c r="A415" s="754" t="s">
        <v>39</v>
      </c>
      <c r="B415" s="754" t="s">
        <v>156</v>
      </c>
      <c r="C415" s="754" t="s">
        <v>238</v>
      </c>
      <c r="D415" s="637" t="s">
        <v>3257</v>
      </c>
      <c r="E415" s="754" t="s">
        <v>1615</v>
      </c>
      <c r="F415" s="754" t="s">
        <v>1757</v>
      </c>
      <c r="G415" s="754" t="s">
        <v>1757</v>
      </c>
      <c r="H415" s="754" t="s">
        <v>43</v>
      </c>
      <c r="I415" s="754" t="s">
        <v>1346</v>
      </c>
      <c r="J415" s="754" t="s">
        <v>45</v>
      </c>
      <c r="K415" s="754" t="s">
        <v>45</v>
      </c>
      <c r="L415" s="754" t="s">
        <v>45</v>
      </c>
      <c r="M415" s="754" t="s">
        <v>46</v>
      </c>
      <c r="N415" s="754">
        <v>25.656009999999998</v>
      </c>
      <c r="O415" s="754">
        <v>96.361609999999999</v>
      </c>
      <c r="P415" s="754" t="s">
        <v>775</v>
      </c>
      <c r="Q415" s="754" t="s">
        <v>794</v>
      </c>
      <c r="R415" s="763">
        <v>68</v>
      </c>
      <c r="S415" s="763">
        <v>343</v>
      </c>
      <c r="T415" s="783"/>
      <c r="U415" s="765"/>
      <c r="V415" s="754" t="s">
        <v>238</v>
      </c>
      <c r="W415" s="754"/>
    </row>
    <row r="416" spans="1:23" s="75" customFormat="1" ht="14.25" customHeight="1">
      <c r="A416" s="754" t="s">
        <v>39</v>
      </c>
      <c r="B416" s="754" t="s">
        <v>156</v>
      </c>
      <c r="C416" s="754" t="s">
        <v>1082</v>
      </c>
      <c r="D416" s="637" t="s">
        <v>1694</v>
      </c>
      <c r="E416" s="754" t="s">
        <v>1627</v>
      </c>
      <c r="F416" s="754" t="s">
        <v>1764</v>
      </c>
      <c r="G416" s="754" t="s">
        <v>1765</v>
      </c>
      <c r="H416" s="754"/>
      <c r="I416" s="754">
        <v>0</v>
      </c>
      <c r="J416" s="754" t="s">
        <v>45</v>
      </c>
      <c r="K416" s="754" t="s">
        <v>45</v>
      </c>
      <c r="L416" s="754" t="s">
        <v>774</v>
      </c>
      <c r="M416" s="754" t="s">
        <v>46</v>
      </c>
      <c r="N416" s="754">
        <v>25.920006000000001</v>
      </c>
      <c r="O416" s="754">
        <v>96.662092000000001</v>
      </c>
      <c r="P416" s="754" t="s">
        <v>775</v>
      </c>
      <c r="Q416" s="754" t="s">
        <v>776</v>
      </c>
      <c r="R416" s="763"/>
      <c r="S416" s="764"/>
      <c r="T416" s="783"/>
      <c r="U416" s="765"/>
      <c r="V416" s="754"/>
      <c r="W416" s="570" t="s">
        <v>2207</v>
      </c>
    </row>
    <row r="417" spans="1:23" s="75" customFormat="1" ht="14.25" customHeight="1">
      <c r="A417" s="754" t="s">
        <v>39</v>
      </c>
      <c r="B417" s="754" t="s">
        <v>156</v>
      </c>
      <c r="C417" s="754" t="s">
        <v>256</v>
      </c>
      <c r="D417" s="637" t="s">
        <v>3257</v>
      </c>
      <c r="E417" s="754" t="s">
        <v>1611</v>
      </c>
      <c r="F417" s="754" t="s">
        <v>1757</v>
      </c>
      <c r="G417" s="754" t="s">
        <v>1757</v>
      </c>
      <c r="H417" s="754" t="s">
        <v>43</v>
      </c>
      <c r="I417" s="754" t="s">
        <v>250</v>
      </c>
      <c r="J417" s="754" t="s">
        <v>45</v>
      </c>
      <c r="K417" s="754" t="s">
        <v>45</v>
      </c>
      <c r="L417" s="754" t="s">
        <v>45</v>
      </c>
      <c r="M417" s="754" t="s">
        <v>46</v>
      </c>
      <c r="N417" s="754">
        <v>25.635300000000001</v>
      </c>
      <c r="O417" s="754">
        <v>96.345569999999995</v>
      </c>
      <c r="P417" s="754" t="s">
        <v>775</v>
      </c>
      <c r="Q417" s="754" t="s">
        <v>794</v>
      </c>
      <c r="R417" s="763">
        <v>70</v>
      </c>
      <c r="S417" s="763">
        <v>372</v>
      </c>
      <c r="T417" s="783"/>
      <c r="U417" s="765"/>
      <c r="V417" s="754" t="s">
        <v>256</v>
      </c>
      <c r="W417" s="754"/>
    </row>
    <row r="418" spans="1:23" s="75" customFormat="1" ht="14.25" customHeight="1">
      <c r="A418" s="754" t="s">
        <v>39</v>
      </c>
      <c r="B418" s="754" t="s">
        <v>156</v>
      </c>
      <c r="C418" s="754" t="s">
        <v>257</v>
      </c>
      <c r="D418" s="637" t="s">
        <v>3257</v>
      </c>
      <c r="E418" s="754" t="s">
        <v>1608</v>
      </c>
      <c r="F418" s="754" t="s">
        <v>1874</v>
      </c>
      <c r="G418" s="754" t="s">
        <v>1875</v>
      </c>
      <c r="H418" s="754" t="s">
        <v>43</v>
      </c>
      <c r="I418" s="754" t="s">
        <v>250</v>
      </c>
      <c r="J418" s="754" t="s">
        <v>45</v>
      </c>
      <c r="K418" s="754" t="s">
        <v>45</v>
      </c>
      <c r="L418" s="754" t="s">
        <v>45</v>
      </c>
      <c r="M418" s="754" t="s">
        <v>46</v>
      </c>
      <c r="N418" s="754">
        <v>25.616509000000001</v>
      </c>
      <c r="O418" s="754">
        <v>96.317350000000005</v>
      </c>
      <c r="P418" s="754" t="s">
        <v>775</v>
      </c>
      <c r="Q418" s="754" t="s">
        <v>794</v>
      </c>
      <c r="R418" s="763">
        <v>13</v>
      </c>
      <c r="S418" s="763">
        <v>84</v>
      </c>
      <c r="T418" s="783"/>
      <c r="U418" s="765"/>
      <c r="V418" s="754" t="s">
        <v>257</v>
      </c>
      <c r="W418" s="754"/>
    </row>
    <row r="419" spans="1:23" s="75" customFormat="1" ht="14.25" customHeight="1">
      <c r="A419" s="754" t="s">
        <v>39</v>
      </c>
      <c r="B419" s="754" t="s">
        <v>156</v>
      </c>
      <c r="C419" s="754" t="s">
        <v>258</v>
      </c>
      <c r="D419" s="637" t="s">
        <v>3257</v>
      </c>
      <c r="E419" s="754" t="s">
        <v>1614</v>
      </c>
      <c r="F419" s="754" t="s">
        <v>1757</v>
      </c>
      <c r="G419" s="754" t="s">
        <v>1877</v>
      </c>
      <c r="H419" s="754" t="s">
        <v>43</v>
      </c>
      <c r="I419" s="754" t="s">
        <v>149</v>
      </c>
      <c r="J419" s="754" t="s">
        <v>45</v>
      </c>
      <c r="K419" s="754" t="s">
        <v>45</v>
      </c>
      <c r="L419" s="754" t="s">
        <v>45</v>
      </c>
      <c r="M419" s="754" t="s">
        <v>46</v>
      </c>
      <c r="N419" s="754">
        <v>25.647649999999999</v>
      </c>
      <c r="O419" s="754">
        <v>96.346469999999997</v>
      </c>
      <c r="P419" s="754" t="s">
        <v>775</v>
      </c>
      <c r="Q419" s="754" t="s">
        <v>794</v>
      </c>
      <c r="R419" s="763">
        <v>36</v>
      </c>
      <c r="S419" s="763">
        <v>227</v>
      </c>
      <c r="T419" s="783"/>
      <c r="U419" s="765"/>
      <c r="V419" s="754" t="s">
        <v>258</v>
      </c>
      <c r="W419" s="754"/>
    </row>
    <row r="420" spans="1:23" s="75" customFormat="1" ht="14.25" customHeight="1">
      <c r="A420" s="754" t="s">
        <v>39</v>
      </c>
      <c r="B420" s="754" t="s">
        <v>156</v>
      </c>
      <c r="C420" s="754" t="s">
        <v>1078</v>
      </c>
      <c r="D420" s="637" t="s">
        <v>1694</v>
      </c>
      <c r="E420" s="754" t="s">
        <v>1621</v>
      </c>
      <c r="F420" s="754" t="s">
        <v>1761</v>
      </c>
      <c r="G420" s="754" t="s">
        <v>1762</v>
      </c>
      <c r="H420" s="754" t="s">
        <v>43</v>
      </c>
      <c r="I420" s="754" t="s">
        <v>250</v>
      </c>
      <c r="J420" s="754" t="s">
        <v>45</v>
      </c>
      <c r="K420" s="754" t="s">
        <v>45</v>
      </c>
      <c r="L420" s="754" t="s">
        <v>774</v>
      </c>
      <c r="M420" s="754" t="s">
        <v>46</v>
      </c>
      <c r="N420" s="754">
        <v>25.728653000000001</v>
      </c>
      <c r="O420" s="754">
        <v>96.673805000000002</v>
      </c>
      <c r="P420" s="754" t="s">
        <v>775</v>
      </c>
      <c r="Q420" s="754"/>
      <c r="R420" s="763"/>
      <c r="S420" s="764"/>
      <c r="T420" s="783"/>
      <c r="U420" s="765"/>
      <c r="V420" s="754" t="s">
        <v>1078</v>
      </c>
      <c r="W420" s="570" t="s">
        <v>2208</v>
      </c>
    </row>
    <row r="421" spans="1:23" s="75" customFormat="1" ht="14.25" customHeight="1">
      <c r="A421" s="754" t="s">
        <v>39</v>
      </c>
      <c r="B421" s="754" t="s">
        <v>156</v>
      </c>
      <c r="C421" s="754" t="s">
        <v>1075</v>
      </c>
      <c r="D421" s="637" t="s">
        <v>1694</v>
      </c>
      <c r="E421" s="754" t="s">
        <v>1619</v>
      </c>
      <c r="F421" s="754" t="s">
        <v>1757</v>
      </c>
      <c r="G421" s="754" t="s">
        <v>1758</v>
      </c>
      <c r="H421" s="754"/>
      <c r="I421" s="754">
        <v>0</v>
      </c>
      <c r="J421" s="754" t="s">
        <v>45</v>
      </c>
      <c r="K421" s="754" t="s">
        <v>45</v>
      </c>
      <c r="L421" s="754" t="s">
        <v>774</v>
      </c>
      <c r="M421" s="754" t="s">
        <v>46</v>
      </c>
      <c r="N421" s="754">
        <v>25.668469999999999</v>
      </c>
      <c r="O421" s="754">
        <v>96.353070000000002</v>
      </c>
      <c r="P421" s="754" t="s">
        <v>775</v>
      </c>
      <c r="Q421" s="754"/>
      <c r="R421" s="763"/>
      <c r="S421" s="764"/>
      <c r="T421" s="783"/>
      <c r="U421" s="765"/>
      <c r="V421" s="754" t="s">
        <v>1075</v>
      </c>
      <c r="W421" s="754" t="s">
        <v>2209</v>
      </c>
    </row>
    <row r="422" spans="1:23" s="75" customFormat="1" ht="14.25" customHeight="1">
      <c r="A422" s="754" t="s">
        <v>39</v>
      </c>
      <c r="B422" s="754" t="s">
        <v>156</v>
      </c>
      <c r="C422" s="754" t="s">
        <v>259</v>
      </c>
      <c r="D422" s="637" t="s">
        <v>3257</v>
      </c>
      <c r="E422" s="754" t="s">
        <v>1601</v>
      </c>
      <c r="F422" s="754" t="s">
        <v>1710</v>
      </c>
      <c r="G422" s="754" t="s">
        <v>1710</v>
      </c>
      <c r="H422" s="754" t="s">
        <v>43</v>
      </c>
      <c r="I422" s="754" t="s">
        <v>2199</v>
      </c>
      <c r="J422" s="754" t="s">
        <v>45</v>
      </c>
      <c r="K422" s="754" t="s">
        <v>45</v>
      </c>
      <c r="L422" s="754" t="s">
        <v>790</v>
      </c>
      <c r="M422" s="754" t="s">
        <v>46</v>
      </c>
      <c r="N422" s="754">
        <v>25.582065</v>
      </c>
      <c r="O422" s="754">
        <v>96.283377000000002</v>
      </c>
      <c r="P422" s="754" t="s">
        <v>775</v>
      </c>
      <c r="Q422" s="754" t="s">
        <v>794</v>
      </c>
      <c r="R422" s="763">
        <v>6</v>
      </c>
      <c r="S422" s="763">
        <v>31</v>
      </c>
      <c r="T422" s="783"/>
      <c r="U422" s="765"/>
      <c r="V422" s="754" t="s">
        <v>259</v>
      </c>
      <c r="W422" s="754"/>
    </row>
    <row r="423" spans="1:23" s="75" customFormat="1" ht="14.25" customHeight="1">
      <c r="A423" s="754" t="s">
        <v>39</v>
      </c>
      <c r="B423" s="754" t="s">
        <v>156</v>
      </c>
      <c r="C423" s="754" t="s">
        <v>260</v>
      </c>
      <c r="D423" s="637" t="s">
        <v>3257</v>
      </c>
      <c r="E423" s="754" t="s">
        <v>1612</v>
      </c>
      <c r="F423" s="754" t="s">
        <v>1757</v>
      </c>
      <c r="G423" s="754" t="s">
        <v>1876</v>
      </c>
      <c r="H423" s="754" t="s">
        <v>43</v>
      </c>
      <c r="I423" s="754" t="s">
        <v>250</v>
      </c>
      <c r="J423" s="754" t="s">
        <v>45</v>
      </c>
      <c r="K423" s="754" t="s">
        <v>45</v>
      </c>
      <c r="L423" s="754" t="s">
        <v>45</v>
      </c>
      <c r="M423" s="754" t="s">
        <v>46</v>
      </c>
      <c r="N423" s="754">
        <v>25.637309999999999</v>
      </c>
      <c r="O423" s="754">
        <v>96.35257</v>
      </c>
      <c r="P423" s="754" t="s">
        <v>775</v>
      </c>
      <c r="Q423" s="754" t="s">
        <v>794</v>
      </c>
      <c r="R423" s="763">
        <v>70</v>
      </c>
      <c r="S423" s="763">
        <v>376</v>
      </c>
      <c r="T423" s="783"/>
      <c r="U423" s="765"/>
      <c r="V423" s="754" t="s">
        <v>260</v>
      </c>
      <c r="W423" s="754"/>
    </row>
    <row r="424" spans="1:23" s="75" customFormat="1" ht="14.25" customHeight="1">
      <c r="A424" s="754" t="s">
        <v>39</v>
      </c>
      <c r="B424" s="754" t="s">
        <v>156</v>
      </c>
      <c r="C424" s="754" t="s">
        <v>157</v>
      </c>
      <c r="D424" s="637" t="s">
        <v>3257</v>
      </c>
      <c r="E424" s="754" t="s">
        <v>1596</v>
      </c>
      <c r="F424" s="754" t="s">
        <v>1869</v>
      </c>
      <c r="G424" s="754" t="s">
        <v>1870</v>
      </c>
      <c r="H424" s="754" t="s">
        <v>43</v>
      </c>
      <c r="I424" s="754" t="s">
        <v>149</v>
      </c>
      <c r="J424" s="754" t="s">
        <v>45</v>
      </c>
      <c r="K424" s="754" t="s">
        <v>45</v>
      </c>
      <c r="L424" s="754" t="s">
        <v>45</v>
      </c>
      <c r="M424" s="754" t="s">
        <v>46</v>
      </c>
      <c r="N424" s="754">
        <v>25.51352</v>
      </c>
      <c r="O424" s="754">
        <v>96.705960000000005</v>
      </c>
      <c r="P424" s="754" t="s">
        <v>775</v>
      </c>
      <c r="Q424" s="754" t="s">
        <v>794</v>
      </c>
      <c r="R424" s="763">
        <v>34</v>
      </c>
      <c r="S424" s="763">
        <v>137</v>
      </c>
      <c r="T424" s="783"/>
      <c r="U424" s="765"/>
      <c r="V424" s="754" t="s">
        <v>157</v>
      </c>
      <c r="W424" s="754"/>
    </row>
    <row r="425" spans="1:23" s="75" customFormat="1" ht="14.25" customHeight="1">
      <c r="A425" s="754" t="s">
        <v>39</v>
      </c>
      <c r="B425" s="754" t="s">
        <v>156</v>
      </c>
      <c r="C425" s="754" t="s">
        <v>261</v>
      </c>
      <c r="D425" s="637" t="s">
        <v>3257</v>
      </c>
      <c r="E425" s="754" t="s">
        <v>1607</v>
      </c>
      <c r="F425" s="754" t="s">
        <v>1874</v>
      </c>
      <c r="G425" s="754" t="s">
        <v>1875</v>
      </c>
      <c r="H425" s="754" t="s">
        <v>43</v>
      </c>
      <c r="I425" s="754" t="s">
        <v>2199</v>
      </c>
      <c r="J425" s="754" t="s">
        <v>45</v>
      </c>
      <c r="K425" s="754" t="s">
        <v>45</v>
      </c>
      <c r="L425" s="754" t="s">
        <v>790</v>
      </c>
      <c r="M425" s="754" t="s">
        <v>46</v>
      </c>
      <c r="N425" s="754">
        <v>25.615960999999999</v>
      </c>
      <c r="O425" s="754">
        <v>96.316564</v>
      </c>
      <c r="P425" s="754" t="s">
        <v>775</v>
      </c>
      <c r="Q425" s="754" t="s">
        <v>794</v>
      </c>
      <c r="R425" s="763">
        <v>2</v>
      </c>
      <c r="S425" s="763">
        <v>14</v>
      </c>
      <c r="T425" s="783"/>
      <c r="U425" s="765"/>
      <c r="V425" s="754" t="s">
        <v>261</v>
      </c>
      <c r="W425" s="754"/>
    </row>
    <row r="426" spans="1:23" s="75" customFormat="1" ht="14.25" customHeight="1">
      <c r="A426" s="754" t="s">
        <v>39</v>
      </c>
      <c r="B426" s="754" t="s">
        <v>156</v>
      </c>
      <c r="C426" s="754" t="s">
        <v>262</v>
      </c>
      <c r="D426" s="637" t="s">
        <v>3257</v>
      </c>
      <c r="E426" s="754" t="s">
        <v>1604</v>
      </c>
      <c r="F426" s="754" t="s">
        <v>1872</v>
      </c>
      <c r="G426" s="754" t="s">
        <v>1872</v>
      </c>
      <c r="H426" s="754" t="s">
        <v>43</v>
      </c>
      <c r="I426" s="754" t="s">
        <v>149</v>
      </c>
      <c r="J426" s="754" t="s">
        <v>45</v>
      </c>
      <c r="K426" s="754" t="s">
        <v>45</v>
      </c>
      <c r="L426" s="754" t="s">
        <v>45</v>
      </c>
      <c r="M426" s="754" t="s">
        <v>46</v>
      </c>
      <c r="N426" s="754">
        <v>25.611160000000002</v>
      </c>
      <c r="O426" s="754">
        <v>96.312790000000007</v>
      </c>
      <c r="P426" s="754" t="s">
        <v>775</v>
      </c>
      <c r="Q426" s="754" t="s">
        <v>794</v>
      </c>
      <c r="R426" s="763">
        <v>107</v>
      </c>
      <c r="S426" s="763">
        <v>519</v>
      </c>
      <c r="T426" s="783"/>
      <c r="U426" s="765"/>
      <c r="V426" s="754" t="s">
        <v>262</v>
      </c>
      <c r="W426" s="754"/>
    </row>
    <row r="427" spans="1:23" s="75" customFormat="1" ht="14.25" customHeight="1">
      <c r="A427" s="768" t="s">
        <v>39</v>
      </c>
      <c r="B427" s="767" t="s">
        <v>156</v>
      </c>
      <c r="C427" s="760" t="s">
        <v>1998</v>
      </c>
      <c r="D427" s="761" t="s">
        <v>1693</v>
      </c>
      <c r="E427" s="754"/>
      <c r="F427" s="754"/>
      <c r="G427" s="754"/>
      <c r="H427" s="754"/>
      <c r="I427" s="754"/>
      <c r="J427" s="754" t="s">
        <v>1481</v>
      </c>
      <c r="K427" s="754" t="s">
        <v>45</v>
      </c>
      <c r="L427" s="754" t="s">
        <v>45</v>
      </c>
      <c r="M427" s="754" t="s">
        <v>46</v>
      </c>
      <c r="N427" s="754"/>
      <c r="O427" s="754"/>
      <c r="P427" s="754" t="s">
        <v>775</v>
      </c>
      <c r="Q427" s="754" t="s">
        <v>1999</v>
      </c>
      <c r="R427" s="771"/>
      <c r="S427" s="764"/>
      <c r="T427" s="783">
        <v>43270</v>
      </c>
      <c r="U427" s="765"/>
      <c r="V427" s="754"/>
      <c r="W427" s="754"/>
    </row>
    <row r="428" spans="1:23" s="75" customFormat="1" ht="14.25" customHeight="1">
      <c r="A428" s="768" t="s">
        <v>39</v>
      </c>
      <c r="B428" s="767" t="s">
        <v>156</v>
      </c>
      <c r="C428" s="760" t="s">
        <v>2032</v>
      </c>
      <c r="D428" s="637" t="s">
        <v>3257</v>
      </c>
      <c r="E428" s="760" t="s">
        <v>2033</v>
      </c>
      <c r="F428" s="760"/>
      <c r="G428" s="760"/>
      <c r="H428" s="760"/>
      <c r="I428" s="754" t="s">
        <v>1346</v>
      </c>
      <c r="J428" s="754" t="s">
        <v>45</v>
      </c>
      <c r="K428" s="754" t="s">
        <v>45</v>
      </c>
      <c r="L428" s="760" t="s">
        <v>45</v>
      </c>
      <c r="M428" s="754" t="s">
        <v>46</v>
      </c>
      <c r="N428" s="760"/>
      <c r="O428" s="760"/>
      <c r="P428" s="760" t="s">
        <v>775</v>
      </c>
      <c r="Q428" s="754" t="s">
        <v>1999</v>
      </c>
      <c r="R428" s="763">
        <v>16</v>
      </c>
      <c r="S428" s="763">
        <v>66</v>
      </c>
      <c r="T428" s="783">
        <v>43276</v>
      </c>
      <c r="U428" s="769" t="s">
        <v>2051</v>
      </c>
      <c r="V428" s="760"/>
      <c r="W428" s="570" t="s">
        <v>2333</v>
      </c>
    </row>
    <row r="429" spans="1:23" s="75" customFormat="1" ht="14.25" customHeight="1">
      <c r="A429" s="754" t="s">
        <v>39</v>
      </c>
      <c r="B429" s="754" t="s">
        <v>156</v>
      </c>
      <c r="C429" s="754" t="s">
        <v>1079</v>
      </c>
      <c r="D429" s="637" t="s">
        <v>1694</v>
      </c>
      <c r="E429" s="754" t="s">
        <v>1623</v>
      </c>
      <c r="F429" s="754" t="s">
        <v>1757</v>
      </c>
      <c r="G429" s="754" t="s">
        <v>1763</v>
      </c>
      <c r="H429" s="754" t="s">
        <v>43</v>
      </c>
      <c r="I429" s="754" t="s">
        <v>149</v>
      </c>
      <c r="J429" s="754" t="s">
        <v>45</v>
      </c>
      <c r="K429" s="754" t="s">
        <v>45</v>
      </c>
      <c r="L429" s="754" t="s">
        <v>774</v>
      </c>
      <c r="M429" s="754" t="s">
        <v>46</v>
      </c>
      <c r="N429" s="754">
        <v>25.806999999999999</v>
      </c>
      <c r="O429" s="754">
        <v>96.637</v>
      </c>
      <c r="P429" s="754" t="s">
        <v>775</v>
      </c>
      <c r="Q429" s="754" t="s">
        <v>794</v>
      </c>
      <c r="R429" s="763"/>
      <c r="S429" s="764"/>
      <c r="T429" s="783">
        <v>42983</v>
      </c>
      <c r="U429" s="765" t="s">
        <v>1073</v>
      </c>
      <c r="V429" s="754" t="s">
        <v>1079</v>
      </c>
      <c r="W429" s="570" t="s">
        <v>2211</v>
      </c>
    </row>
    <row r="430" spans="1:23" s="75" customFormat="1" ht="14.25" customHeight="1">
      <c r="A430" s="768" t="s">
        <v>39</v>
      </c>
      <c r="B430" s="767" t="s">
        <v>156</v>
      </c>
      <c r="C430" s="760" t="s">
        <v>2030</v>
      </c>
      <c r="D430" s="637" t="s">
        <v>3257</v>
      </c>
      <c r="E430" s="760" t="s">
        <v>2031</v>
      </c>
      <c r="F430" s="760"/>
      <c r="G430" s="760"/>
      <c r="H430" s="760"/>
      <c r="I430" s="754" t="s">
        <v>1346</v>
      </c>
      <c r="J430" s="754" t="s">
        <v>45</v>
      </c>
      <c r="K430" s="754" t="s">
        <v>45</v>
      </c>
      <c r="L430" s="760" t="s">
        <v>45</v>
      </c>
      <c r="M430" s="754" t="s">
        <v>46</v>
      </c>
      <c r="N430" s="760"/>
      <c r="O430" s="760"/>
      <c r="P430" s="760" t="s">
        <v>775</v>
      </c>
      <c r="Q430" s="754" t="s">
        <v>1999</v>
      </c>
      <c r="R430" s="763">
        <v>47</v>
      </c>
      <c r="S430" s="763">
        <v>218</v>
      </c>
      <c r="T430" s="783">
        <v>43276</v>
      </c>
      <c r="U430" s="769" t="s">
        <v>2051</v>
      </c>
      <c r="V430" s="760"/>
      <c r="W430" s="570" t="s">
        <v>2334</v>
      </c>
    </row>
    <row r="431" spans="1:23" s="75" customFormat="1" ht="14.25" customHeight="1">
      <c r="A431" s="768" t="s">
        <v>39</v>
      </c>
      <c r="B431" s="767" t="s">
        <v>156</v>
      </c>
      <c r="C431" s="760" t="s">
        <v>2000</v>
      </c>
      <c r="D431" s="761"/>
      <c r="E431" s="754"/>
      <c r="F431" s="754"/>
      <c r="G431" s="754"/>
      <c r="H431" s="754"/>
      <c r="I431" s="754"/>
      <c r="J431" s="754" t="s">
        <v>1481</v>
      </c>
      <c r="K431" s="754" t="s">
        <v>45</v>
      </c>
      <c r="L431" s="754" t="s">
        <v>45</v>
      </c>
      <c r="M431" s="754" t="s">
        <v>46</v>
      </c>
      <c r="N431" s="754"/>
      <c r="O431" s="754"/>
      <c r="P431" s="754" t="s">
        <v>775</v>
      </c>
      <c r="Q431" s="754" t="s">
        <v>1999</v>
      </c>
      <c r="R431" s="771"/>
      <c r="S431" s="764"/>
      <c r="T431" s="783">
        <v>43270</v>
      </c>
      <c r="U431" s="765"/>
      <c r="V431" s="754"/>
      <c r="W431" s="754"/>
    </row>
    <row r="432" spans="1:23" s="75" customFormat="1" ht="14.25" customHeight="1">
      <c r="A432" s="754" t="s">
        <v>39</v>
      </c>
      <c r="B432" s="754" t="s">
        <v>156</v>
      </c>
      <c r="C432" s="754" t="s">
        <v>251</v>
      </c>
      <c r="D432" s="637" t="s">
        <v>3257</v>
      </c>
      <c r="E432" s="754" t="s">
        <v>1642</v>
      </c>
      <c r="F432" s="754" t="s">
        <v>1757</v>
      </c>
      <c r="G432" s="754" t="s">
        <v>1886</v>
      </c>
      <c r="H432" s="754" t="s">
        <v>43</v>
      </c>
      <c r="I432" s="754" t="s">
        <v>149</v>
      </c>
      <c r="J432" s="754" t="s">
        <v>45</v>
      </c>
      <c r="K432" s="754" t="s">
        <v>45</v>
      </c>
      <c r="L432" s="754" t="s">
        <v>1101</v>
      </c>
      <c r="M432" s="754" t="s">
        <v>46</v>
      </c>
      <c r="N432" s="754"/>
      <c r="O432" s="754"/>
      <c r="P432" s="17" t="s">
        <v>2046</v>
      </c>
      <c r="Q432" s="754" t="s">
        <v>940</v>
      </c>
      <c r="R432" s="763">
        <v>124</v>
      </c>
      <c r="S432" s="763">
        <v>673</v>
      </c>
      <c r="T432" s="783">
        <v>42983</v>
      </c>
      <c r="U432" s="765" t="s">
        <v>1119</v>
      </c>
      <c r="V432" s="754"/>
      <c r="W432" s="570" t="s">
        <v>2938</v>
      </c>
    </row>
    <row r="433" spans="1:23" s="75" customFormat="1" ht="14.25" customHeight="1">
      <c r="A433" s="754" t="s">
        <v>39</v>
      </c>
      <c r="B433" s="754" t="s">
        <v>156</v>
      </c>
      <c r="C433" s="754" t="s">
        <v>263</v>
      </c>
      <c r="D433" s="637" t="s">
        <v>3257</v>
      </c>
      <c r="E433" s="754" t="s">
        <v>1598</v>
      </c>
      <c r="F433" s="754" t="s">
        <v>1710</v>
      </c>
      <c r="G433" s="754" t="s">
        <v>1711</v>
      </c>
      <c r="H433" s="754" t="s">
        <v>43</v>
      </c>
      <c r="I433" s="754" t="s">
        <v>250</v>
      </c>
      <c r="J433" s="754" t="s">
        <v>45</v>
      </c>
      <c r="K433" s="754" t="s">
        <v>45</v>
      </c>
      <c r="L433" s="754" t="s">
        <v>45</v>
      </c>
      <c r="M433" s="754" t="s">
        <v>46</v>
      </c>
      <c r="N433" s="754">
        <v>25.566510000000001</v>
      </c>
      <c r="O433" s="754">
        <v>96.269199999999998</v>
      </c>
      <c r="P433" s="754" t="s">
        <v>775</v>
      </c>
      <c r="Q433" s="754" t="s">
        <v>794</v>
      </c>
      <c r="R433" s="763">
        <v>18</v>
      </c>
      <c r="S433" s="763">
        <v>105</v>
      </c>
      <c r="T433" s="783"/>
      <c r="U433" s="765"/>
      <c r="V433" s="754" t="s">
        <v>263</v>
      </c>
      <c r="W433" s="754"/>
    </row>
    <row r="434" spans="1:23" s="75" customFormat="1" ht="14.25" customHeight="1">
      <c r="A434" s="754" t="s">
        <v>39</v>
      </c>
      <c r="B434" s="754" t="s">
        <v>156</v>
      </c>
      <c r="C434" s="754" t="s">
        <v>264</v>
      </c>
      <c r="D434" s="637" t="s">
        <v>3257</v>
      </c>
      <c r="E434" s="754" t="s">
        <v>1610</v>
      </c>
      <c r="F434" s="754" t="s">
        <v>1874</v>
      </c>
      <c r="G434" s="754" t="s">
        <v>1875</v>
      </c>
      <c r="H434" s="754" t="s">
        <v>43</v>
      </c>
      <c r="I434" s="754" t="s">
        <v>250</v>
      </c>
      <c r="J434" s="754" t="s">
        <v>45</v>
      </c>
      <c r="K434" s="754" t="s">
        <v>45</v>
      </c>
      <c r="L434" s="754" t="s">
        <v>45</v>
      </c>
      <c r="M434" s="754" t="s">
        <v>46</v>
      </c>
      <c r="N434" s="754">
        <v>25.61842</v>
      </c>
      <c r="O434" s="754">
        <v>96.316400000000002</v>
      </c>
      <c r="P434" s="754" t="s">
        <v>775</v>
      </c>
      <c r="Q434" s="754" t="s">
        <v>794</v>
      </c>
      <c r="R434" s="763">
        <v>12</v>
      </c>
      <c r="S434" s="763">
        <v>60</v>
      </c>
      <c r="T434" s="783"/>
      <c r="U434" s="765"/>
      <c r="V434" s="754" t="s">
        <v>264</v>
      </c>
      <c r="W434" s="754"/>
    </row>
    <row r="435" spans="1:23" s="75" customFormat="1" ht="14.25" customHeight="1">
      <c r="A435" s="764" t="s">
        <v>39</v>
      </c>
      <c r="B435" s="767" t="s">
        <v>156</v>
      </c>
      <c r="C435" s="768" t="s">
        <v>2086</v>
      </c>
      <c r="D435" s="761"/>
      <c r="E435" s="754"/>
      <c r="F435" s="754"/>
      <c r="G435" s="754"/>
      <c r="H435" s="754"/>
      <c r="I435" s="754"/>
      <c r="J435" s="754" t="s">
        <v>1481</v>
      </c>
      <c r="K435" s="760" t="s">
        <v>45</v>
      </c>
      <c r="L435" s="760" t="s">
        <v>790</v>
      </c>
      <c r="M435" s="754" t="s">
        <v>46</v>
      </c>
      <c r="N435" s="754"/>
      <c r="O435" s="754"/>
      <c r="P435" s="754" t="s">
        <v>775</v>
      </c>
      <c r="Q435" s="754"/>
      <c r="R435" s="771"/>
      <c r="S435" s="764"/>
      <c r="T435" s="783">
        <v>43297</v>
      </c>
      <c r="U435" s="765"/>
      <c r="V435" s="754"/>
      <c r="W435" s="754"/>
    </row>
    <row r="436" spans="1:23" s="75" customFormat="1" ht="14.25" customHeight="1">
      <c r="A436" s="754" t="s">
        <v>39</v>
      </c>
      <c r="B436" s="754" t="s">
        <v>156</v>
      </c>
      <c r="C436" s="754" t="s">
        <v>265</v>
      </c>
      <c r="D436" s="637" t="s">
        <v>3257</v>
      </c>
      <c r="E436" s="754" t="s">
        <v>1606</v>
      </c>
      <c r="F436" s="754" t="s">
        <v>1874</v>
      </c>
      <c r="G436" s="754" t="s">
        <v>1875</v>
      </c>
      <c r="H436" s="754" t="s">
        <v>43</v>
      </c>
      <c r="I436" s="754" t="s">
        <v>2199</v>
      </c>
      <c r="J436" s="754" t="s">
        <v>45</v>
      </c>
      <c r="K436" s="754" t="s">
        <v>45</v>
      </c>
      <c r="L436" s="754" t="s">
        <v>790</v>
      </c>
      <c r="M436" s="754" t="s">
        <v>46</v>
      </c>
      <c r="N436" s="754">
        <v>25.6145</v>
      </c>
      <c r="O436" s="754">
        <v>96.319829999999996</v>
      </c>
      <c r="P436" s="754" t="s">
        <v>775</v>
      </c>
      <c r="Q436" s="754" t="s">
        <v>794</v>
      </c>
      <c r="R436" s="763">
        <v>3</v>
      </c>
      <c r="S436" s="763">
        <v>15</v>
      </c>
      <c r="T436" s="783"/>
      <c r="U436" s="765"/>
      <c r="V436" s="754" t="s">
        <v>265</v>
      </c>
      <c r="W436" s="754"/>
    </row>
    <row r="437" spans="1:23" s="75" customFormat="1" ht="14.25" customHeight="1">
      <c r="A437" s="754" t="s">
        <v>39</v>
      </c>
      <c r="B437" s="754" t="s">
        <v>156</v>
      </c>
      <c r="C437" s="754" t="s">
        <v>1074</v>
      </c>
      <c r="D437" s="637" t="s">
        <v>1694</v>
      </c>
      <c r="E437" s="754" t="s">
        <v>1617</v>
      </c>
      <c r="F437" s="754" t="s">
        <v>1757</v>
      </c>
      <c r="G437" s="754" t="s">
        <v>1757</v>
      </c>
      <c r="H437" s="754"/>
      <c r="I437" s="754">
        <v>0</v>
      </c>
      <c r="J437" s="754" t="s">
        <v>45</v>
      </c>
      <c r="K437" s="754" t="s">
        <v>45</v>
      </c>
      <c r="L437" s="754" t="s">
        <v>774</v>
      </c>
      <c r="M437" s="754" t="s">
        <v>46</v>
      </c>
      <c r="N437" s="754">
        <v>25.658670000000001</v>
      </c>
      <c r="O437" s="754">
        <v>96.354159999999993</v>
      </c>
      <c r="P437" s="754" t="s">
        <v>775</v>
      </c>
      <c r="Q437" s="754"/>
      <c r="R437" s="763"/>
      <c r="S437" s="764"/>
      <c r="T437" s="783"/>
      <c r="U437" s="765"/>
      <c r="V437" s="754" t="s">
        <v>1074</v>
      </c>
      <c r="W437" s="754" t="s">
        <v>2212</v>
      </c>
    </row>
    <row r="438" spans="1:23" s="75" customFormat="1" ht="14.25" customHeight="1">
      <c r="A438" s="754" t="s">
        <v>39</v>
      </c>
      <c r="B438" s="754" t="s">
        <v>156</v>
      </c>
      <c r="C438" s="754" t="s">
        <v>198</v>
      </c>
      <c r="D438" s="637" t="s">
        <v>3257</v>
      </c>
      <c r="E438" s="754" t="s">
        <v>1628</v>
      </c>
      <c r="F438" s="754" t="s">
        <v>1764</v>
      </c>
      <c r="G438" s="754" t="s">
        <v>1765</v>
      </c>
      <c r="H438" s="754" t="s">
        <v>43</v>
      </c>
      <c r="I438" s="754" t="s">
        <v>1346</v>
      </c>
      <c r="J438" s="754" t="s">
        <v>45</v>
      </c>
      <c r="K438" s="754" t="s">
        <v>45</v>
      </c>
      <c r="L438" s="754" t="s">
        <v>45</v>
      </c>
      <c r="M438" s="754" t="s">
        <v>46</v>
      </c>
      <c r="N438" s="754">
        <v>25.920006000000001</v>
      </c>
      <c r="O438" s="754">
        <v>96.662092000000001</v>
      </c>
      <c r="P438" s="754" t="s">
        <v>775</v>
      </c>
      <c r="Q438" s="754" t="s">
        <v>776</v>
      </c>
      <c r="R438" s="763">
        <v>25</v>
      </c>
      <c r="S438" s="763">
        <v>113</v>
      </c>
      <c r="T438" s="783"/>
      <c r="U438" s="765"/>
      <c r="V438" s="754"/>
      <c r="W438" s="754"/>
    </row>
    <row r="439" spans="1:23" s="75" customFormat="1" ht="14.25" customHeight="1">
      <c r="A439" s="754" t="s">
        <v>39</v>
      </c>
      <c r="B439" s="754" t="s">
        <v>156</v>
      </c>
      <c r="C439" s="754" t="s">
        <v>266</v>
      </c>
      <c r="D439" s="637" t="s">
        <v>3257</v>
      </c>
      <c r="E439" s="754" t="s">
        <v>1609</v>
      </c>
      <c r="F439" s="754" t="s">
        <v>1872</v>
      </c>
      <c r="G439" s="754" t="s">
        <v>1872</v>
      </c>
      <c r="H439" s="754" t="s">
        <v>43</v>
      </c>
      <c r="I439" s="754" t="s">
        <v>2199</v>
      </c>
      <c r="J439" s="754" t="s">
        <v>45</v>
      </c>
      <c r="K439" s="754" t="s">
        <v>45</v>
      </c>
      <c r="L439" s="754" t="s">
        <v>790</v>
      </c>
      <c r="M439" s="754" t="s">
        <v>46</v>
      </c>
      <c r="N439" s="754">
        <v>25.617998</v>
      </c>
      <c r="O439" s="754">
        <v>96.339590000000001</v>
      </c>
      <c r="P439" s="754" t="s">
        <v>775</v>
      </c>
      <c r="Q439" s="754" t="s">
        <v>794</v>
      </c>
      <c r="R439" s="763">
        <v>11</v>
      </c>
      <c r="S439" s="763">
        <v>43</v>
      </c>
      <c r="T439" s="783"/>
      <c r="U439" s="765"/>
      <c r="V439" s="754" t="s">
        <v>266</v>
      </c>
      <c r="W439" s="754"/>
    </row>
    <row r="440" spans="1:23" s="75" customFormat="1" ht="14.25" customHeight="1">
      <c r="A440" s="754" t="s">
        <v>39</v>
      </c>
      <c r="B440" s="754" t="s">
        <v>156</v>
      </c>
      <c r="C440" s="754" t="s">
        <v>239</v>
      </c>
      <c r="D440" s="637" t="s">
        <v>3257</v>
      </c>
      <c r="E440" s="754" t="s">
        <v>1605</v>
      </c>
      <c r="F440" s="754" t="s">
        <v>1872</v>
      </c>
      <c r="G440" s="754" t="s">
        <v>1872</v>
      </c>
      <c r="H440" s="754" t="s">
        <v>43</v>
      </c>
      <c r="I440" s="754" t="s">
        <v>1346</v>
      </c>
      <c r="J440" s="754" t="s">
        <v>45</v>
      </c>
      <c r="K440" s="754" t="s">
        <v>45</v>
      </c>
      <c r="L440" s="754" t="s">
        <v>45</v>
      </c>
      <c r="M440" s="754" t="s">
        <v>46</v>
      </c>
      <c r="N440" s="754">
        <v>25.613894999999999</v>
      </c>
      <c r="O440" s="754">
        <v>96.341352999999998</v>
      </c>
      <c r="P440" s="754" t="s">
        <v>775</v>
      </c>
      <c r="Q440" s="754" t="s">
        <v>794</v>
      </c>
      <c r="R440" s="763">
        <v>47</v>
      </c>
      <c r="S440" s="763">
        <v>225</v>
      </c>
      <c r="T440" s="783"/>
      <c r="U440" s="765"/>
      <c r="V440" s="754" t="s">
        <v>239</v>
      </c>
      <c r="W440" s="754"/>
    </row>
    <row r="441" spans="1:23" s="75" customFormat="1" ht="14.25" customHeight="1">
      <c r="A441" s="760" t="s">
        <v>39</v>
      </c>
      <c r="B441" s="760" t="s">
        <v>156</v>
      </c>
      <c r="C441" s="760" t="s">
        <v>267</v>
      </c>
      <c r="D441" s="637" t="s">
        <v>3257</v>
      </c>
      <c r="E441" s="754" t="s">
        <v>1597</v>
      </c>
      <c r="F441" s="754" t="s">
        <v>1710</v>
      </c>
      <c r="G441" s="754" t="s">
        <v>1711</v>
      </c>
      <c r="H441" s="754" t="s">
        <v>43</v>
      </c>
      <c r="I441" s="754" t="s">
        <v>2199</v>
      </c>
      <c r="J441" s="754" t="s">
        <v>45</v>
      </c>
      <c r="K441" s="754" t="s">
        <v>45</v>
      </c>
      <c r="L441" s="754" t="s">
        <v>790</v>
      </c>
      <c r="M441" s="754" t="s">
        <v>46</v>
      </c>
      <c r="N441" s="754">
        <v>25.56551</v>
      </c>
      <c r="O441" s="754">
        <v>96.279200000000003</v>
      </c>
      <c r="P441" s="754" t="s">
        <v>775</v>
      </c>
      <c r="Q441" s="754" t="s">
        <v>794</v>
      </c>
      <c r="R441" s="763">
        <v>10</v>
      </c>
      <c r="S441" s="763">
        <v>38</v>
      </c>
      <c r="T441" s="783"/>
      <c r="U441" s="765"/>
      <c r="V441" s="754" t="s">
        <v>267</v>
      </c>
      <c r="W441" s="754"/>
    </row>
    <row r="442" spans="1:23" s="75" customFormat="1" ht="14.25" customHeight="1">
      <c r="A442" s="754" t="s">
        <v>39</v>
      </c>
      <c r="B442" s="760" t="s">
        <v>156</v>
      </c>
      <c r="C442" s="760" t="s">
        <v>268</v>
      </c>
      <c r="D442" s="637" t="s">
        <v>1694</v>
      </c>
      <c r="E442" s="754" t="s">
        <v>1618</v>
      </c>
      <c r="F442" s="754" t="s">
        <v>1710</v>
      </c>
      <c r="G442" s="754" t="s">
        <v>1711</v>
      </c>
      <c r="H442" s="754" t="s">
        <v>43</v>
      </c>
      <c r="I442" s="754" t="s">
        <v>149</v>
      </c>
      <c r="J442" s="754" t="s">
        <v>45</v>
      </c>
      <c r="K442" s="754" t="s">
        <v>45</v>
      </c>
      <c r="L442" s="754" t="s">
        <v>774</v>
      </c>
      <c r="M442" s="754" t="s">
        <v>46</v>
      </c>
      <c r="N442" s="754">
        <v>25.668399999999998</v>
      </c>
      <c r="O442" s="754">
        <v>96.353030000000004</v>
      </c>
      <c r="P442" s="754" t="s">
        <v>775</v>
      </c>
      <c r="Q442" s="754" t="s">
        <v>794</v>
      </c>
      <c r="R442" s="763"/>
      <c r="S442" s="764"/>
      <c r="T442" s="783"/>
      <c r="U442" s="765"/>
      <c r="V442" s="754" t="s">
        <v>268</v>
      </c>
      <c r="W442" s="570" t="s">
        <v>2939</v>
      </c>
    </row>
    <row r="443" spans="1:23" s="75" customFormat="1" ht="14.25" customHeight="1">
      <c r="A443" s="754" t="s">
        <v>39</v>
      </c>
      <c r="B443" s="760" t="s">
        <v>156</v>
      </c>
      <c r="C443" s="760" t="s">
        <v>196</v>
      </c>
      <c r="D443" s="637" t="s">
        <v>3257</v>
      </c>
      <c r="E443" s="754" t="s">
        <v>1629</v>
      </c>
      <c r="F443" s="754" t="s">
        <v>1764</v>
      </c>
      <c r="G443" s="754" t="s">
        <v>1765</v>
      </c>
      <c r="H443" s="754" t="s">
        <v>43</v>
      </c>
      <c r="I443" s="754" t="s">
        <v>149</v>
      </c>
      <c r="J443" s="754" t="s">
        <v>45</v>
      </c>
      <c r="K443" s="760" t="s">
        <v>45</v>
      </c>
      <c r="L443" s="760" t="s">
        <v>45</v>
      </c>
      <c r="M443" s="754" t="s">
        <v>46</v>
      </c>
      <c r="N443" s="754">
        <v>25.920006000000001</v>
      </c>
      <c r="O443" s="754">
        <v>96.662092000000001</v>
      </c>
      <c r="P443" s="754" t="s">
        <v>775</v>
      </c>
      <c r="Q443" s="754" t="s">
        <v>776</v>
      </c>
      <c r="R443" s="763">
        <v>28</v>
      </c>
      <c r="S443" s="763">
        <v>126</v>
      </c>
      <c r="T443" s="783"/>
      <c r="U443" s="765"/>
      <c r="V443" s="754"/>
      <c r="W443" s="754"/>
    </row>
    <row r="444" spans="1:23" s="75" customFormat="1" ht="14.25" customHeight="1">
      <c r="A444" s="760" t="s">
        <v>39</v>
      </c>
      <c r="B444" s="760" t="s">
        <v>156</v>
      </c>
      <c r="C444" s="760" t="s">
        <v>197</v>
      </c>
      <c r="D444" s="637" t="s">
        <v>3257</v>
      </c>
      <c r="E444" s="754" t="s">
        <v>1630</v>
      </c>
      <c r="F444" s="754" t="s">
        <v>1764</v>
      </c>
      <c r="G444" s="754" t="s">
        <v>1765</v>
      </c>
      <c r="H444" s="754" t="s">
        <v>43</v>
      </c>
      <c r="I444" s="754" t="s">
        <v>2199</v>
      </c>
      <c r="J444" s="754" t="s">
        <v>45</v>
      </c>
      <c r="K444" s="760" t="s">
        <v>45</v>
      </c>
      <c r="L444" s="760" t="s">
        <v>790</v>
      </c>
      <c r="M444" s="754" t="s">
        <v>46</v>
      </c>
      <c r="N444" s="754">
        <v>25.920006000000001</v>
      </c>
      <c r="O444" s="754">
        <v>96.662092000000001</v>
      </c>
      <c r="P444" s="754" t="s">
        <v>775</v>
      </c>
      <c r="Q444" s="754" t="s">
        <v>776</v>
      </c>
      <c r="R444" s="763">
        <v>4</v>
      </c>
      <c r="S444" s="763">
        <v>11</v>
      </c>
      <c r="T444" s="783"/>
      <c r="U444" s="765" t="s">
        <v>3114</v>
      </c>
      <c r="V444" s="754"/>
      <c r="W444" s="754"/>
    </row>
    <row r="445" spans="1:23" s="75" customFormat="1" ht="14.25" customHeight="1">
      <c r="A445" s="754" t="s">
        <v>39</v>
      </c>
      <c r="B445" s="754" t="s">
        <v>156</v>
      </c>
      <c r="C445" s="760" t="s">
        <v>199</v>
      </c>
      <c r="D445" s="637" t="s">
        <v>1693</v>
      </c>
      <c r="E445" s="754"/>
      <c r="F445" s="754"/>
      <c r="G445" s="754"/>
      <c r="H445" s="754"/>
      <c r="I445" s="754"/>
      <c r="J445" s="754" t="s">
        <v>1481</v>
      </c>
      <c r="K445" s="760" t="s">
        <v>45</v>
      </c>
      <c r="L445" s="760" t="s">
        <v>45</v>
      </c>
      <c r="M445" s="754" t="s">
        <v>46</v>
      </c>
      <c r="N445" s="754"/>
      <c r="O445" s="754"/>
      <c r="P445" s="754" t="s">
        <v>775</v>
      </c>
      <c r="Q445" s="754" t="s">
        <v>776</v>
      </c>
      <c r="R445" s="763"/>
      <c r="S445" s="764"/>
      <c r="T445" s="783">
        <v>42824</v>
      </c>
      <c r="U445" s="765"/>
      <c r="V445" s="754"/>
      <c r="W445" s="754"/>
    </row>
    <row r="446" spans="1:23" s="75" customFormat="1" ht="14.25" customHeight="1">
      <c r="A446" s="754" t="s">
        <v>39</v>
      </c>
      <c r="B446" s="760" t="s">
        <v>156</v>
      </c>
      <c r="C446" s="760" t="s">
        <v>1083</v>
      </c>
      <c r="D446" s="637" t="s">
        <v>1694</v>
      </c>
      <c r="E446" s="754" t="s">
        <v>1631</v>
      </c>
      <c r="F446" s="754" t="s">
        <v>1764</v>
      </c>
      <c r="G446" s="754" t="s">
        <v>1765</v>
      </c>
      <c r="H446" s="754"/>
      <c r="I446" s="754">
        <v>0</v>
      </c>
      <c r="J446" s="754" t="s">
        <v>45</v>
      </c>
      <c r="K446" s="754" t="s">
        <v>45</v>
      </c>
      <c r="L446" s="754" t="s">
        <v>774</v>
      </c>
      <c r="M446" s="754" t="s">
        <v>46</v>
      </c>
      <c r="N446" s="754">
        <v>25.920006000000001</v>
      </c>
      <c r="O446" s="754">
        <v>96.662092000000001</v>
      </c>
      <c r="P446" s="754" t="s">
        <v>775</v>
      </c>
      <c r="Q446" s="754" t="s">
        <v>776</v>
      </c>
      <c r="R446" s="763"/>
      <c r="S446" s="764"/>
      <c r="T446" s="783"/>
      <c r="U446" s="765"/>
      <c r="V446" s="754"/>
      <c r="W446" s="570" t="s">
        <v>2207</v>
      </c>
    </row>
    <row r="447" spans="1:23" s="75" customFormat="1" ht="14.25" customHeight="1">
      <c r="A447" s="754" t="s">
        <v>39</v>
      </c>
      <c r="B447" s="760" t="s">
        <v>156</v>
      </c>
      <c r="C447" s="760" t="s">
        <v>1080</v>
      </c>
      <c r="D447" s="637" t="s">
        <v>1694</v>
      </c>
      <c r="E447" s="760" t="s">
        <v>1624</v>
      </c>
      <c r="F447" s="754" t="s">
        <v>1764</v>
      </c>
      <c r="G447" s="754" t="s">
        <v>1764</v>
      </c>
      <c r="H447" s="754"/>
      <c r="I447" s="754">
        <v>0</v>
      </c>
      <c r="J447" s="754" t="s">
        <v>45</v>
      </c>
      <c r="K447" s="754" t="s">
        <v>45</v>
      </c>
      <c r="L447" s="754" t="s">
        <v>774</v>
      </c>
      <c r="M447" s="754" t="s">
        <v>46</v>
      </c>
      <c r="N447" s="754">
        <v>25.806999999999999</v>
      </c>
      <c r="O447" s="754">
        <v>96.637</v>
      </c>
      <c r="P447" s="754" t="s">
        <v>775</v>
      </c>
      <c r="Q447" s="754" t="s">
        <v>776</v>
      </c>
      <c r="R447" s="763"/>
      <c r="S447" s="764"/>
      <c r="T447" s="783">
        <v>42983</v>
      </c>
      <c r="U447" s="765" t="s">
        <v>1081</v>
      </c>
      <c r="V447" s="754"/>
      <c r="W447" s="570" t="s">
        <v>2213</v>
      </c>
    </row>
    <row r="448" spans="1:23" s="75" customFormat="1" ht="14.25" customHeight="1">
      <c r="A448" s="754" t="s">
        <v>39</v>
      </c>
      <c r="B448" s="760" t="s">
        <v>156</v>
      </c>
      <c r="C448" s="760" t="s">
        <v>1070</v>
      </c>
      <c r="D448" s="637" t="s">
        <v>1694</v>
      </c>
      <c r="E448" s="754" t="s">
        <v>1600</v>
      </c>
      <c r="F448" s="754" t="s">
        <v>1710</v>
      </c>
      <c r="G448" s="754" t="s">
        <v>1710</v>
      </c>
      <c r="H448" s="754" t="s">
        <v>43</v>
      </c>
      <c r="I448" s="754" t="s">
        <v>1346</v>
      </c>
      <c r="J448" s="754" t="s">
        <v>45</v>
      </c>
      <c r="K448" s="754" t="s">
        <v>45</v>
      </c>
      <c r="L448" s="754" t="s">
        <v>774</v>
      </c>
      <c r="M448" s="754" t="s">
        <v>46</v>
      </c>
      <c r="N448" s="754">
        <v>25.57921</v>
      </c>
      <c r="O448" s="754">
        <v>96.288250000000005</v>
      </c>
      <c r="P448" s="754" t="s">
        <v>775</v>
      </c>
      <c r="Q448" s="754"/>
      <c r="R448" s="763"/>
      <c r="S448" s="764"/>
      <c r="T448" s="783"/>
      <c r="U448" s="765"/>
      <c r="V448" s="754" t="s">
        <v>1070</v>
      </c>
      <c r="W448" s="754" t="s">
        <v>2214</v>
      </c>
    </row>
    <row r="449" spans="1:23" s="75" customFormat="1" ht="14.25" customHeight="1">
      <c r="A449" s="754" t="s">
        <v>39</v>
      </c>
      <c r="B449" s="760" t="s">
        <v>156</v>
      </c>
      <c r="C449" s="760" t="s">
        <v>269</v>
      </c>
      <c r="D449" s="637" t="s">
        <v>3257</v>
      </c>
      <c r="E449" s="754" t="s">
        <v>1599</v>
      </c>
      <c r="F449" s="754" t="s">
        <v>1710</v>
      </c>
      <c r="G449" s="754" t="s">
        <v>1871</v>
      </c>
      <c r="H449" s="754" t="s">
        <v>43</v>
      </c>
      <c r="I449" s="754" t="s">
        <v>149</v>
      </c>
      <c r="J449" s="754" t="s">
        <v>45</v>
      </c>
      <c r="K449" s="754" t="s">
        <v>45</v>
      </c>
      <c r="L449" s="754" t="s">
        <v>45</v>
      </c>
      <c r="M449" s="754" t="s">
        <v>46</v>
      </c>
      <c r="N449" s="754">
        <v>25.577559999999998</v>
      </c>
      <c r="O449" s="754">
        <v>96.286680000000004</v>
      </c>
      <c r="P449" s="754" t="s">
        <v>775</v>
      </c>
      <c r="Q449" s="754" t="s">
        <v>794</v>
      </c>
      <c r="R449" s="763">
        <v>32</v>
      </c>
      <c r="S449" s="763">
        <v>173</v>
      </c>
      <c r="T449" s="783"/>
      <c r="U449" s="765"/>
      <c r="V449" s="754" t="s">
        <v>269</v>
      </c>
      <c r="W449" s="754"/>
    </row>
    <row r="450" spans="1:23" s="75" customFormat="1" ht="14.25" customHeight="1">
      <c r="A450" s="754" t="s">
        <v>39</v>
      </c>
      <c r="B450" s="760" t="s">
        <v>156</v>
      </c>
      <c r="C450" s="760" t="s">
        <v>270</v>
      </c>
      <c r="D450" s="637" t="s">
        <v>3257</v>
      </c>
      <c r="E450" s="754" t="s">
        <v>1602</v>
      </c>
      <c r="F450" s="754" t="s">
        <v>1872</v>
      </c>
      <c r="G450" s="754" t="s">
        <v>1872</v>
      </c>
      <c r="H450" s="754" t="s">
        <v>43</v>
      </c>
      <c r="I450" s="754" t="s">
        <v>149</v>
      </c>
      <c r="J450" s="754" t="s">
        <v>45</v>
      </c>
      <c r="K450" s="754" t="s">
        <v>45</v>
      </c>
      <c r="L450" s="754" t="s">
        <v>45</v>
      </c>
      <c r="M450" s="754" t="s">
        <v>46</v>
      </c>
      <c r="N450" s="754">
        <v>25.599250000000001</v>
      </c>
      <c r="O450" s="754">
        <v>96.306910999999999</v>
      </c>
      <c r="P450" s="754" t="s">
        <v>775</v>
      </c>
      <c r="Q450" s="754" t="s">
        <v>794</v>
      </c>
      <c r="R450" s="763">
        <v>16</v>
      </c>
      <c r="S450" s="763">
        <v>69</v>
      </c>
      <c r="T450" s="783"/>
      <c r="U450" s="765"/>
      <c r="V450" s="754" t="s">
        <v>270</v>
      </c>
      <c r="W450" s="754"/>
    </row>
    <row r="451" spans="1:23" s="75" customFormat="1" ht="14.25" customHeight="1">
      <c r="A451" s="754" t="s">
        <v>39</v>
      </c>
      <c r="B451" s="754" t="s">
        <v>789</v>
      </c>
      <c r="C451" s="754" t="s">
        <v>788</v>
      </c>
      <c r="D451" s="637" t="s">
        <v>1694</v>
      </c>
      <c r="E451" s="754" t="s">
        <v>1350</v>
      </c>
      <c r="F451" s="754">
        <v>0</v>
      </c>
      <c r="G451" s="754">
        <v>0</v>
      </c>
      <c r="H451" s="754"/>
      <c r="I451" s="754">
        <v>0</v>
      </c>
      <c r="J451" s="754" t="s">
        <v>45</v>
      </c>
      <c r="K451" s="754" t="s">
        <v>45</v>
      </c>
      <c r="L451" s="754" t="s">
        <v>774</v>
      </c>
      <c r="M451" s="754" t="s">
        <v>46</v>
      </c>
      <c r="N451" s="754"/>
      <c r="O451" s="754"/>
      <c r="P451" s="754" t="s">
        <v>775</v>
      </c>
      <c r="Q451" s="754"/>
      <c r="R451" s="763"/>
      <c r="S451" s="764"/>
      <c r="T451" s="783"/>
      <c r="U451" s="765"/>
      <c r="V451" s="754" t="s">
        <v>788</v>
      </c>
      <c r="W451" s="754" t="s">
        <v>2215</v>
      </c>
    </row>
    <row r="452" spans="1:23" s="75" customFormat="1" ht="14.25" customHeight="1">
      <c r="A452" s="754" t="s">
        <v>39</v>
      </c>
      <c r="B452" s="754" t="s">
        <v>1087</v>
      </c>
      <c r="C452" s="754" t="s">
        <v>1086</v>
      </c>
      <c r="D452" s="637" t="s">
        <v>1694</v>
      </c>
      <c r="E452" s="760" t="s">
        <v>1635</v>
      </c>
      <c r="F452" s="754" t="s">
        <v>1766</v>
      </c>
      <c r="G452" s="754" t="s">
        <v>1086</v>
      </c>
      <c r="H452" s="754"/>
      <c r="I452" s="754">
        <v>0</v>
      </c>
      <c r="J452" s="754" t="s">
        <v>45</v>
      </c>
      <c r="K452" s="754" t="s">
        <v>45</v>
      </c>
      <c r="L452" s="754" t="s">
        <v>774</v>
      </c>
      <c r="M452" s="754" t="s">
        <v>46</v>
      </c>
      <c r="N452" s="754">
        <v>26.890058</v>
      </c>
      <c r="O452" s="754">
        <v>98.144502500000002</v>
      </c>
      <c r="P452" s="754" t="s">
        <v>775</v>
      </c>
      <c r="Q452" s="754"/>
      <c r="R452" s="763"/>
      <c r="S452" s="764"/>
      <c r="T452" s="783"/>
      <c r="U452" s="765"/>
      <c r="V452" s="754" t="s">
        <v>1086</v>
      </c>
      <c r="W452" s="570" t="s">
        <v>2216</v>
      </c>
    </row>
    <row r="453" spans="1:23" s="75" customFormat="1" ht="14.25" customHeight="1">
      <c r="A453" s="754" t="s">
        <v>39</v>
      </c>
      <c r="B453" s="754" t="s">
        <v>1092</v>
      </c>
      <c r="C453" s="754" t="s">
        <v>1091</v>
      </c>
      <c r="D453" s="637" t="s">
        <v>1694</v>
      </c>
      <c r="E453" s="754" t="s">
        <v>1638</v>
      </c>
      <c r="F453" s="754">
        <v>0</v>
      </c>
      <c r="G453" s="754">
        <v>0</v>
      </c>
      <c r="H453" s="754"/>
      <c r="I453" s="754">
        <v>0</v>
      </c>
      <c r="J453" s="754" t="s">
        <v>45</v>
      </c>
      <c r="K453" s="754" t="s">
        <v>45</v>
      </c>
      <c r="L453" s="754" t="s">
        <v>774</v>
      </c>
      <c r="M453" s="754" t="s">
        <v>46</v>
      </c>
      <c r="N453" s="754">
        <v>27.274059999999999</v>
      </c>
      <c r="O453" s="754">
        <v>97.586470000000006</v>
      </c>
      <c r="P453" s="754" t="s">
        <v>775</v>
      </c>
      <c r="Q453" s="754"/>
      <c r="R453" s="763"/>
      <c r="S453" s="764"/>
      <c r="T453" s="783"/>
      <c r="U453" s="765"/>
      <c r="V453" s="754" t="s">
        <v>1093</v>
      </c>
      <c r="W453" s="570" t="s">
        <v>2217</v>
      </c>
    </row>
    <row r="454" spans="1:23" s="75" customFormat="1" ht="14.25" customHeight="1">
      <c r="A454" s="760" t="s">
        <v>39</v>
      </c>
      <c r="B454" s="760" t="s">
        <v>1336</v>
      </c>
      <c r="C454" s="760" t="s">
        <v>1920</v>
      </c>
      <c r="D454" s="761" t="s">
        <v>1913</v>
      </c>
      <c r="E454" s="770"/>
      <c r="F454" s="770"/>
      <c r="G454" s="770"/>
      <c r="H454" s="770"/>
      <c r="I454" s="770"/>
      <c r="J454" s="754" t="s">
        <v>1481</v>
      </c>
      <c r="K454" s="770"/>
      <c r="L454" s="770"/>
      <c r="M454" s="754"/>
      <c r="N454" s="754"/>
      <c r="O454" s="754"/>
      <c r="P454" s="754" t="s">
        <v>775</v>
      </c>
      <c r="Q454" s="754"/>
      <c r="R454" s="771"/>
      <c r="S454" s="764"/>
      <c r="T454" s="783"/>
      <c r="U454" s="765"/>
      <c r="V454" s="754"/>
      <c r="W454" s="754"/>
    </row>
    <row r="455" spans="1:23" s="75" customFormat="1" ht="14.25" customHeight="1">
      <c r="A455" s="760" t="s">
        <v>39</v>
      </c>
      <c r="B455" s="760" t="s">
        <v>1336</v>
      </c>
      <c r="C455" s="760" t="s">
        <v>1337</v>
      </c>
      <c r="D455" s="761" t="s">
        <v>1913</v>
      </c>
      <c r="E455" s="770"/>
      <c r="F455" s="770"/>
      <c r="G455" s="770"/>
      <c r="H455" s="770"/>
      <c r="I455" s="770"/>
      <c r="J455" s="754" t="s">
        <v>1481</v>
      </c>
      <c r="K455" s="770"/>
      <c r="L455" s="770"/>
      <c r="M455" s="760"/>
      <c r="N455" s="760"/>
      <c r="O455" s="760"/>
      <c r="P455" s="754" t="s">
        <v>775</v>
      </c>
      <c r="Q455" s="760"/>
      <c r="R455" s="772"/>
      <c r="S455" s="768"/>
      <c r="T455" s="784"/>
      <c r="U455" s="769"/>
      <c r="V455" s="760"/>
      <c r="W455" s="754"/>
    </row>
    <row r="456" spans="1:23" s="75" customFormat="1" ht="14.25" customHeight="1">
      <c r="A456" s="754" t="s">
        <v>39</v>
      </c>
      <c r="B456" s="754" t="s">
        <v>40</v>
      </c>
      <c r="C456" s="754" t="s">
        <v>779</v>
      </c>
      <c r="D456" s="637" t="s">
        <v>1694</v>
      </c>
      <c r="E456" s="754" t="s">
        <v>1341</v>
      </c>
      <c r="F456" s="754">
        <v>0</v>
      </c>
      <c r="G456" s="754">
        <v>0</v>
      </c>
      <c r="H456" s="754"/>
      <c r="I456" s="754">
        <v>0</v>
      </c>
      <c r="J456" s="754" t="s">
        <v>45</v>
      </c>
      <c r="K456" s="754" t="s">
        <v>45</v>
      </c>
      <c r="L456" s="754" t="s">
        <v>774</v>
      </c>
      <c r="M456" s="754" t="s">
        <v>46</v>
      </c>
      <c r="N456" s="754"/>
      <c r="O456" s="754"/>
      <c r="P456" s="754" t="s">
        <v>775</v>
      </c>
      <c r="Q456" s="754"/>
      <c r="R456" s="763"/>
      <c r="S456" s="764"/>
      <c r="T456" s="783"/>
      <c r="U456" s="765"/>
      <c r="V456" s="754" t="s">
        <v>779</v>
      </c>
      <c r="W456" s="754" t="s">
        <v>2218</v>
      </c>
    </row>
    <row r="457" spans="1:23" s="75" customFormat="1" ht="14.25" customHeight="1">
      <c r="A457" s="754" t="s">
        <v>39</v>
      </c>
      <c r="B457" s="754" t="s">
        <v>40</v>
      </c>
      <c r="C457" s="754" t="s">
        <v>780</v>
      </c>
      <c r="D457" s="637" t="s">
        <v>1694</v>
      </c>
      <c r="E457" s="754" t="s">
        <v>1342</v>
      </c>
      <c r="F457" s="754">
        <v>0</v>
      </c>
      <c r="G457" s="754">
        <v>0</v>
      </c>
      <c r="H457" s="754"/>
      <c r="I457" s="754">
        <v>0</v>
      </c>
      <c r="J457" s="754" t="s">
        <v>45</v>
      </c>
      <c r="K457" s="754" t="s">
        <v>45</v>
      </c>
      <c r="L457" s="754" t="s">
        <v>774</v>
      </c>
      <c r="M457" s="754" t="s">
        <v>46</v>
      </c>
      <c r="N457" s="754"/>
      <c r="O457" s="754"/>
      <c r="P457" s="754" t="s">
        <v>775</v>
      </c>
      <c r="Q457" s="754"/>
      <c r="R457" s="763"/>
      <c r="S457" s="764"/>
      <c r="T457" s="783"/>
      <c r="U457" s="765"/>
      <c r="V457" s="754" t="s">
        <v>780</v>
      </c>
      <c r="W457" s="570" t="s">
        <v>2219</v>
      </c>
    </row>
    <row r="458" spans="1:23" s="75" customFormat="1" ht="14.25" customHeight="1">
      <c r="A458" s="754" t="s">
        <v>39</v>
      </c>
      <c r="B458" s="754" t="s">
        <v>40</v>
      </c>
      <c r="C458" s="754" t="s">
        <v>781</v>
      </c>
      <c r="D458" s="637" t="s">
        <v>1694</v>
      </c>
      <c r="E458" s="754" t="s">
        <v>1343</v>
      </c>
      <c r="F458" s="754">
        <v>0</v>
      </c>
      <c r="G458" s="754">
        <v>0</v>
      </c>
      <c r="H458" s="754"/>
      <c r="I458" s="754">
        <v>0</v>
      </c>
      <c r="J458" s="754" t="s">
        <v>45</v>
      </c>
      <c r="K458" s="754" t="s">
        <v>45</v>
      </c>
      <c r="L458" s="754" t="s">
        <v>774</v>
      </c>
      <c r="M458" s="754" t="s">
        <v>46</v>
      </c>
      <c r="N458" s="754"/>
      <c r="O458" s="754"/>
      <c r="P458" s="754" t="s">
        <v>775</v>
      </c>
      <c r="Q458" s="754"/>
      <c r="R458" s="763"/>
      <c r="S458" s="764"/>
      <c r="T458" s="783"/>
      <c r="U458" s="765"/>
      <c r="V458" s="754" t="s">
        <v>781</v>
      </c>
      <c r="W458" s="754" t="s">
        <v>2218</v>
      </c>
    </row>
    <row r="459" spans="1:23" s="75" customFormat="1" ht="14.25" customHeight="1">
      <c r="A459" s="754" t="s">
        <v>39</v>
      </c>
      <c r="B459" s="754" t="s">
        <v>40</v>
      </c>
      <c r="C459" s="754" t="s">
        <v>1940</v>
      </c>
      <c r="D459" s="637" t="s">
        <v>3257</v>
      </c>
      <c r="E459" s="754" t="s">
        <v>1483</v>
      </c>
      <c r="F459" s="754" t="s">
        <v>1734</v>
      </c>
      <c r="G459" s="754" t="s">
        <v>1734</v>
      </c>
      <c r="H459" s="754" t="s">
        <v>43</v>
      </c>
      <c r="I459" s="754" t="s">
        <v>44</v>
      </c>
      <c r="J459" s="754" t="s">
        <v>45</v>
      </c>
      <c r="K459" s="754" t="s">
        <v>45</v>
      </c>
      <c r="L459" s="754" t="s">
        <v>45</v>
      </c>
      <c r="M459" s="754" t="s">
        <v>792</v>
      </c>
      <c r="N459" s="754">
        <v>24.002433</v>
      </c>
      <c r="O459" s="754">
        <v>97.609832999999995</v>
      </c>
      <c r="P459" s="754" t="s">
        <v>775</v>
      </c>
      <c r="Q459" s="754" t="s">
        <v>776</v>
      </c>
      <c r="R459" s="763">
        <v>357</v>
      </c>
      <c r="S459" s="763">
        <v>1692</v>
      </c>
      <c r="T459" s="783"/>
      <c r="U459" s="765"/>
      <c r="V459" s="754"/>
      <c r="W459" s="754"/>
    </row>
    <row r="460" spans="1:23" s="75" customFormat="1" ht="14.25" customHeight="1">
      <c r="A460" s="754" t="s">
        <v>39</v>
      </c>
      <c r="B460" s="754" t="s">
        <v>40</v>
      </c>
      <c r="C460" s="754" t="s">
        <v>1921</v>
      </c>
      <c r="D460" s="637" t="s">
        <v>1693</v>
      </c>
      <c r="E460" s="754"/>
      <c r="F460" s="754"/>
      <c r="G460" s="754"/>
      <c r="H460" s="754"/>
      <c r="I460" s="754"/>
      <c r="J460" s="754" t="s">
        <v>1481</v>
      </c>
      <c r="K460" s="754" t="s">
        <v>45</v>
      </c>
      <c r="L460" s="754" t="s">
        <v>1101</v>
      </c>
      <c r="M460" s="754" t="s">
        <v>792</v>
      </c>
      <c r="N460" s="754"/>
      <c r="O460" s="754"/>
      <c r="P460" s="754" t="s">
        <v>775</v>
      </c>
      <c r="Q460" s="754"/>
      <c r="R460" s="763"/>
      <c r="S460" s="764"/>
      <c r="T460" s="783"/>
      <c r="U460" s="765"/>
      <c r="V460" s="754" t="s">
        <v>1110</v>
      </c>
      <c r="W460" s="754"/>
    </row>
    <row r="461" spans="1:23" s="75" customFormat="1" ht="14.25" customHeight="1">
      <c r="A461" s="754" t="s">
        <v>39</v>
      </c>
      <c r="B461" s="754" t="s">
        <v>40</v>
      </c>
      <c r="C461" s="754" t="s">
        <v>1941</v>
      </c>
      <c r="D461" s="637" t="s">
        <v>1694</v>
      </c>
      <c r="E461" s="754" t="s">
        <v>1482</v>
      </c>
      <c r="F461" s="754" t="s">
        <v>1734</v>
      </c>
      <c r="G461" s="754" t="s">
        <v>1734</v>
      </c>
      <c r="H461" s="754" t="s">
        <v>43</v>
      </c>
      <c r="I461" s="754" t="s">
        <v>44</v>
      </c>
      <c r="J461" s="754" t="s">
        <v>45</v>
      </c>
      <c r="K461" s="754" t="s">
        <v>45</v>
      </c>
      <c r="L461" s="754" t="s">
        <v>774</v>
      </c>
      <c r="M461" s="754" t="s">
        <v>792</v>
      </c>
      <c r="N461" s="754">
        <v>24.000250000000001</v>
      </c>
      <c r="O461" s="754">
        <v>97.608249999999998</v>
      </c>
      <c r="P461" s="754" t="s">
        <v>775</v>
      </c>
      <c r="Q461" s="754"/>
      <c r="R461" s="763"/>
      <c r="S461" s="764"/>
      <c r="T461" s="783"/>
      <c r="U461" s="765"/>
      <c r="V461" s="754" t="s">
        <v>1003</v>
      </c>
      <c r="W461" s="570" t="s">
        <v>2220</v>
      </c>
    </row>
    <row r="462" spans="1:23" s="75" customFormat="1" ht="14.25" customHeight="1">
      <c r="A462" s="754" t="s">
        <v>39</v>
      </c>
      <c r="B462" s="754" t="s">
        <v>40</v>
      </c>
      <c r="C462" s="754" t="s">
        <v>997</v>
      </c>
      <c r="D462" s="637" t="s">
        <v>1694</v>
      </c>
      <c r="E462" s="754" t="s">
        <v>1475</v>
      </c>
      <c r="F462" s="754" t="s">
        <v>1728</v>
      </c>
      <c r="G462" s="754">
        <v>0</v>
      </c>
      <c r="H462" s="754" t="s">
        <v>43</v>
      </c>
      <c r="I462" s="754" t="s">
        <v>44</v>
      </c>
      <c r="J462" s="754" t="s">
        <v>45</v>
      </c>
      <c r="K462" s="754" t="s">
        <v>45</v>
      </c>
      <c r="L462" s="754" t="s">
        <v>774</v>
      </c>
      <c r="M462" s="754" t="s">
        <v>792</v>
      </c>
      <c r="N462" s="754">
        <v>23.867713999999999</v>
      </c>
      <c r="O462" s="754">
        <v>97.601243999999994</v>
      </c>
      <c r="P462" s="754" t="s">
        <v>775</v>
      </c>
      <c r="Q462" s="754"/>
      <c r="R462" s="763"/>
      <c r="S462" s="764"/>
      <c r="T462" s="783"/>
      <c r="U462" s="765"/>
      <c r="V462" s="754" t="s">
        <v>997</v>
      </c>
      <c r="W462" s="754" t="s">
        <v>2221</v>
      </c>
    </row>
    <row r="463" spans="1:23" s="75" customFormat="1" ht="14.25" customHeight="1">
      <c r="A463" s="754" t="s">
        <v>39</v>
      </c>
      <c r="B463" s="754" t="s">
        <v>40</v>
      </c>
      <c r="C463" s="754" t="s">
        <v>302</v>
      </c>
      <c r="D463" s="637" t="s">
        <v>3257</v>
      </c>
      <c r="E463" s="754" t="s">
        <v>1487</v>
      </c>
      <c r="F463" s="754"/>
      <c r="G463" s="754"/>
      <c r="H463" s="754" t="s">
        <v>43</v>
      </c>
      <c r="I463" s="754" t="s">
        <v>44</v>
      </c>
      <c r="J463" s="754" t="s">
        <v>45</v>
      </c>
      <c r="K463" s="754" t="s">
        <v>45</v>
      </c>
      <c r="L463" s="754" t="s">
        <v>45</v>
      </c>
      <c r="M463" s="754" t="s">
        <v>792</v>
      </c>
      <c r="N463" s="754">
        <v>24.056132999999999</v>
      </c>
      <c r="O463" s="754">
        <v>97.625617000000005</v>
      </c>
      <c r="P463" s="754" t="s">
        <v>775</v>
      </c>
      <c r="Q463" s="754" t="s">
        <v>776</v>
      </c>
      <c r="R463" s="763">
        <v>522</v>
      </c>
      <c r="S463" s="763">
        <v>2536</v>
      </c>
      <c r="T463" s="783"/>
      <c r="U463" s="765"/>
      <c r="V463" s="754"/>
      <c r="W463" s="754"/>
    </row>
    <row r="464" spans="1:23" s="75" customFormat="1" ht="14.25" customHeight="1">
      <c r="A464" s="754" t="s">
        <v>39</v>
      </c>
      <c r="B464" s="754" t="s">
        <v>40</v>
      </c>
      <c r="C464" s="754" t="s">
        <v>998</v>
      </c>
      <c r="D464" s="637" t="s">
        <v>1694</v>
      </c>
      <c r="E464" s="754" t="s">
        <v>1476</v>
      </c>
      <c r="F464" s="754" t="s">
        <v>1729</v>
      </c>
      <c r="G464" s="754">
        <v>0</v>
      </c>
      <c r="H464" s="754" t="s">
        <v>43</v>
      </c>
      <c r="I464" s="754" t="s">
        <v>44</v>
      </c>
      <c r="J464" s="754" t="s">
        <v>45</v>
      </c>
      <c r="K464" s="754" t="s">
        <v>45</v>
      </c>
      <c r="L464" s="754" t="s">
        <v>774</v>
      </c>
      <c r="M464" s="754" t="s">
        <v>792</v>
      </c>
      <c r="N464" s="754">
        <v>23.9055</v>
      </c>
      <c r="O464" s="754">
        <v>97.585667000000001</v>
      </c>
      <c r="P464" s="754" t="s">
        <v>775</v>
      </c>
      <c r="Q464" s="754"/>
      <c r="R464" s="763"/>
      <c r="S464" s="764"/>
      <c r="T464" s="783"/>
      <c r="U464" s="765"/>
      <c r="V464" s="754" t="s">
        <v>998</v>
      </c>
      <c r="W464" s="570" t="s">
        <v>2222</v>
      </c>
    </row>
    <row r="465" spans="1:23" s="75" customFormat="1" ht="14.25" customHeight="1">
      <c r="A465" s="754" t="s">
        <v>39</v>
      </c>
      <c r="B465" s="754" t="s">
        <v>40</v>
      </c>
      <c r="C465" s="754" t="s">
        <v>191</v>
      </c>
      <c r="D465" s="637" t="s">
        <v>3257</v>
      </c>
      <c r="E465" s="754" t="s">
        <v>1478</v>
      </c>
      <c r="F465" s="754" t="s">
        <v>191</v>
      </c>
      <c r="G465" s="754" t="s">
        <v>191</v>
      </c>
      <c r="H465" s="754" t="s">
        <v>43</v>
      </c>
      <c r="I465" s="754" t="s">
        <v>149</v>
      </c>
      <c r="J465" s="754" t="s">
        <v>45</v>
      </c>
      <c r="K465" s="754" t="s">
        <v>45</v>
      </c>
      <c r="L465" s="754" t="s">
        <v>45</v>
      </c>
      <c r="M465" s="754" t="s">
        <v>46</v>
      </c>
      <c r="N465" s="754">
        <v>23.972453000000002</v>
      </c>
      <c r="O465" s="754">
        <v>97.225881000000001</v>
      </c>
      <c r="P465" s="754" t="s">
        <v>775</v>
      </c>
      <c r="Q465" s="754" t="s">
        <v>794</v>
      </c>
      <c r="R465" s="763">
        <v>432</v>
      </c>
      <c r="S465" s="763">
        <v>2528</v>
      </c>
      <c r="T465" s="783"/>
      <c r="U465" s="765"/>
      <c r="V465" s="754" t="s">
        <v>191</v>
      </c>
      <c r="W465" s="570" t="s">
        <v>2335</v>
      </c>
    </row>
    <row r="466" spans="1:23" s="75" customFormat="1" ht="14.25" customHeight="1">
      <c r="A466" s="754" t="s">
        <v>39</v>
      </c>
      <c r="B466" s="754" t="s">
        <v>40</v>
      </c>
      <c r="C466" s="754" t="s">
        <v>41</v>
      </c>
      <c r="D466" s="637" t="s">
        <v>3257</v>
      </c>
      <c r="E466" s="754" t="s">
        <v>1479</v>
      </c>
      <c r="F466" s="754" t="s">
        <v>191</v>
      </c>
      <c r="G466" s="754" t="s">
        <v>191</v>
      </c>
      <c r="H466" s="754" t="s">
        <v>43</v>
      </c>
      <c r="I466" s="754" t="s">
        <v>44</v>
      </c>
      <c r="J466" s="754" t="s">
        <v>45</v>
      </c>
      <c r="K466" s="754" t="s">
        <v>45</v>
      </c>
      <c r="L466" s="754" t="s">
        <v>45</v>
      </c>
      <c r="M466" s="754" t="s">
        <v>46</v>
      </c>
      <c r="N466" s="754">
        <v>23.976571</v>
      </c>
      <c r="O466" s="754">
        <v>97.227057000000002</v>
      </c>
      <c r="P466" s="754" t="s">
        <v>775</v>
      </c>
      <c r="Q466" s="754" t="s">
        <v>794</v>
      </c>
      <c r="R466" s="763">
        <v>156</v>
      </c>
      <c r="S466" s="763">
        <v>694</v>
      </c>
      <c r="T466" s="783"/>
      <c r="U466" s="765"/>
      <c r="V466" s="754" t="s">
        <v>41</v>
      </c>
      <c r="W466" s="754"/>
    </row>
    <row r="467" spans="1:23" s="75" customFormat="1" ht="14.25" customHeight="1">
      <c r="A467" s="754" t="s">
        <v>39</v>
      </c>
      <c r="B467" s="754" t="s">
        <v>40</v>
      </c>
      <c r="C467" s="754" t="s">
        <v>1001</v>
      </c>
      <c r="D467" s="637" t="s">
        <v>1693</v>
      </c>
      <c r="E467" s="754"/>
      <c r="F467" s="754"/>
      <c r="G467" s="754"/>
      <c r="H467" s="754"/>
      <c r="I467" s="754"/>
      <c r="J467" s="754" t="s">
        <v>1481</v>
      </c>
      <c r="K467" s="754" t="s">
        <v>45</v>
      </c>
      <c r="L467" s="754" t="s">
        <v>45</v>
      </c>
      <c r="M467" s="754" t="s">
        <v>46</v>
      </c>
      <c r="N467" s="754">
        <v>23.989049999999999</v>
      </c>
      <c r="O467" s="754">
        <v>97.225311000000005</v>
      </c>
      <c r="P467" s="754" t="s">
        <v>775</v>
      </c>
      <c r="Q467" s="754" t="s">
        <v>776</v>
      </c>
      <c r="R467" s="763"/>
      <c r="S467" s="764"/>
      <c r="T467" s="783">
        <v>42849</v>
      </c>
      <c r="U467" s="765" t="s">
        <v>1002</v>
      </c>
      <c r="V467" s="754"/>
      <c r="W467" s="754"/>
    </row>
    <row r="468" spans="1:23" s="75" customFormat="1" ht="14.25" customHeight="1">
      <c r="A468" s="754" t="s">
        <v>39</v>
      </c>
      <c r="B468" s="754" t="s">
        <v>40</v>
      </c>
      <c r="C468" s="754" t="s">
        <v>1012</v>
      </c>
      <c r="D468" s="637" t="s">
        <v>1694</v>
      </c>
      <c r="E468" s="754" t="s">
        <v>1492</v>
      </c>
      <c r="F468" s="754" t="s">
        <v>1735</v>
      </c>
      <c r="G468" s="754" t="s">
        <v>1736</v>
      </c>
      <c r="H468" s="754"/>
      <c r="I468" s="754">
        <v>0</v>
      </c>
      <c r="J468" s="754" t="s">
        <v>45</v>
      </c>
      <c r="K468" s="754" t="s">
        <v>45</v>
      </c>
      <c r="L468" s="754" t="s">
        <v>774</v>
      </c>
      <c r="M468" s="754" t="s">
        <v>46</v>
      </c>
      <c r="N468" s="754">
        <v>24.181640000000002</v>
      </c>
      <c r="O468" s="754">
        <v>97.710989999999995</v>
      </c>
      <c r="P468" s="754" t="s">
        <v>775</v>
      </c>
      <c r="Q468" s="754" t="s">
        <v>794</v>
      </c>
      <c r="R468" s="763"/>
      <c r="S468" s="764"/>
      <c r="T468" s="783"/>
      <c r="U468" s="765" t="s">
        <v>1013</v>
      </c>
      <c r="V468" s="754" t="s">
        <v>1012</v>
      </c>
      <c r="W468" s="754" t="s">
        <v>2223</v>
      </c>
    </row>
    <row r="469" spans="1:23" s="75" customFormat="1" ht="14.25" customHeight="1">
      <c r="A469" s="754" t="s">
        <v>39</v>
      </c>
      <c r="B469" s="754" t="s">
        <v>40</v>
      </c>
      <c r="C469" s="754" t="s">
        <v>1014</v>
      </c>
      <c r="D469" s="637" t="s">
        <v>1694</v>
      </c>
      <c r="E469" s="754" t="s">
        <v>1493</v>
      </c>
      <c r="F469" s="754" t="s">
        <v>1735</v>
      </c>
      <c r="G469" s="754" t="s">
        <v>1736</v>
      </c>
      <c r="H469" s="754"/>
      <c r="I469" s="754">
        <v>0</v>
      </c>
      <c r="J469" s="754" t="s">
        <v>45</v>
      </c>
      <c r="K469" s="754" t="s">
        <v>45</v>
      </c>
      <c r="L469" s="754" t="s">
        <v>774</v>
      </c>
      <c r="M469" s="754" t="s">
        <v>46</v>
      </c>
      <c r="N469" s="754">
        <v>24.181640000000002</v>
      </c>
      <c r="O469" s="754">
        <v>97.710989999999995</v>
      </c>
      <c r="P469" s="754" t="s">
        <v>775</v>
      </c>
      <c r="Q469" s="754"/>
      <c r="R469" s="763"/>
      <c r="S469" s="764"/>
      <c r="T469" s="783"/>
      <c r="U469" s="765"/>
      <c r="V469" s="754" t="s">
        <v>1014</v>
      </c>
      <c r="W469" s="754" t="s">
        <v>2223</v>
      </c>
    </row>
    <row r="470" spans="1:23" s="75" customFormat="1" ht="14.25" customHeight="1">
      <c r="A470" s="754" t="s">
        <v>39</v>
      </c>
      <c r="B470" s="754" t="s">
        <v>40</v>
      </c>
      <c r="C470" s="754" t="s">
        <v>306</v>
      </c>
      <c r="D470" s="637" t="s">
        <v>3257</v>
      </c>
      <c r="E470" s="754" t="s">
        <v>1469</v>
      </c>
      <c r="F470" s="754" t="s">
        <v>1715</v>
      </c>
      <c r="G470" s="754" t="s">
        <v>1715</v>
      </c>
      <c r="H470" s="754" t="s">
        <v>43</v>
      </c>
      <c r="I470" s="754" t="s">
        <v>149</v>
      </c>
      <c r="J470" s="754" t="s">
        <v>45</v>
      </c>
      <c r="K470" s="754" t="s">
        <v>45</v>
      </c>
      <c r="L470" s="754" t="s">
        <v>45</v>
      </c>
      <c r="M470" s="754" t="s">
        <v>46</v>
      </c>
      <c r="N470" s="754">
        <v>23.83013</v>
      </c>
      <c r="O470" s="754">
        <v>97.589979999999997</v>
      </c>
      <c r="P470" s="754" t="s">
        <v>775</v>
      </c>
      <c r="Q470" s="754" t="s">
        <v>794</v>
      </c>
      <c r="R470" s="763">
        <v>127</v>
      </c>
      <c r="S470" s="763">
        <v>653</v>
      </c>
      <c r="T470" s="783"/>
      <c r="U470" s="765"/>
      <c r="V470" s="754" t="s">
        <v>306</v>
      </c>
      <c r="W470" s="754"/>
    </row>
    <row r="471" spans="1:23" s="75" customFormat="1" ht="14.25" customHeight="1">
      <c r="A471" s="754" t="s">
        <v>39</v>
      </c>
      <c r="B471" s="754" t="s">
        <v>40</v>
      </c>
      <c r="C471" s="754" t="s">
        <v>1128</v>
      </c>
      <c r="D471" s="637" t="s">
        <v>1693</v>
      </c>
      <c r="E471" s="754"/>
      <c r="F471" s="754"/>
      <c r="G471" s="754"/>
      <c r="H471" s="754"/>
      <c r="I471" s="754"/>
      <c r="J471" s="754" t="s">
        <v>45</v>
      </c>
      <c r="K471" s="754" t="s">
        <v>45</v>
      </c>
      <c r="L471" s="754" t="s">
        <v>774</v>
      </c>
      <c r="M471" s="754" t="s">
        <v>46</v>
      </c>
      <c r="N471" s="754"/>
      <c r="O471" s="754"/>
      <c r="P471" s="754" t="s">
        <v>775</v>
      </c>
      <c r="Q471" s="754"/>
      <c r="R471" s="763"/>
      <c r="S471" s="764"/>
      <c r="T471" s="783"/>
      <c r="U471" s="765"/>
      <c r="V471" s="754"/>
      <c r="W471" s="754"/>
    </row>
    <row r="472" spans="1:23" s="75" customFormat="1" ht="14.25" customHeight="1">
      <c r="A472" s="754" t="s">
        <v>39</v>
      </c>
      <c r="B472" s="754" t="s">
        <v>40</v>
      </c>
      <c r="C472" s="754" t="s">
        <v>308</v>
      </c>
      <c r="D472" s="637" t="s">
        <v>3257</v>
      </c>
      <c r="E472" s="754" t="s">
        <v>1468</v>
      </c>
      <c r="F472" s="754" t="s">
        <v>1715</v>
      </c>
      <c r="G472" s="754" t="s">
        <v>1715</v>
      </c>
      <c r="H472" s="754" t="s">
        <v>43</v>
      </c>
      <c r="I472" s="754" t="s">
        <v>149</v>
      </c>
      <c r="J472" s="754" t="s">
        <v>45</v>
      </c>
      <c r="K472" s="754" t="s">
        <v>45</v>
      </c>
      <c r="L472" s="754" t="s">
        <v>45</v>
      </c>
      <c r="M472" s="754" t="s">
        <v>46</v>
      </c>
      <c r="N472" s="754">
        <v>23.829599000000002</v>
      </c>
      <c r="O472" s="754">
        <v>97.590767</v>
      </c>
      <c r="P472" s="754" t="s">
        <v>775</v>
      </c>
      <c r="Q472" s="754" t="s">
        <v>794</v>
      </c>
      <c r="R472" s="763">
        <v>156</v>
      </c>
      <c r="S472" s="763">
        <v>650</v>
      </c>
      <c r="T472" s="783"/>
      <c r="U472" s="765"/>
      <c r="V472" s="754" t="s">
        <v>992</v>
      </c>
      <c r="W472" s="754"/>
    </row>
    <row r="473" spans="1:23" s="75" customFormat="1" ht="14.25" customHeight="1">
      <c r="A473" s="754" t="s">
        <v>39</v>
      </c>
      <c r="B473" s="754" t="s">
        <v>40</v>
      </c>
      <c r="C473" s="754" t="s">
        <v>309</v>
      </c>
      <c r="D473" s="637" t="s">
        <v>3257</v>
      </c>
      <c r="E473" s="754" t="s">
        <v>1471</v>
      </c>
      <c r="F473" s="754" t="s">
        <v>1715</v>
      </c>
      <c r="G473" s="754" t="s">
        <v>1715</v>
      </c>
      <c r="H473" s="754" t="s">
        <v>43</v>
      </c>
      <c r="I473" s="754" t="s">
        <v>44</v>
      </c>
      <c r="J473" s="754" t="s">
        <v>45</v>
      </c>
      <c r="K473" s="754" t="s">
        <v>45</v>
      </c>
      <c r="L473" s="754" t="s">
        <v>45</v>
      </c>
      <c r="M473" s="754" t="s">
        <v>46</v>
      </c>
      <c r="N473" s="754">
        <v>23.835319999999999</v>
      </c>
      <c r="O473" s="754">
        <v>97.578490000000002</v>
      </c>
      <c r="P473" s="754" t="s">
        <v>775</v>
      </c>
      <c r="Q473" s="754" t="s">
        <v>794</v>
      </c>
      <c r="R473" s="763">
        <v>437</v>
      </c>
      <c r="S473" s="763">
        <v>2316</v>
      </c>
      <c r="T473" s="783"/>
      <c r="U473" s="765"/>
      <c r="V473" s="754" t="s">
        <v>309</v>
      </c>
      <c r="W473" s="754"/>
    </row>
    <row r="474" spans="1:23" s="75" customFormat="1" ht="14.25" customHeight="1">
      <c r="A474" s="754" t="s">
        <v>39</v>
      </c>
      <c r="B474" s="754" t="s">
        <v>40</v>
      </c>
      <c r="C474" s="754" t="s">
        <v>310</v>
      </c>
      <c r="D474" s="637" t="s">
        <v>3257</v>
      </c>
      <c r="E474" s="754" t="s">
        <v>1470</v>
      </c>
      <c r="F474" s="754" t="s">
        <v>1715</v>
      </c>
      <c r="G474" s="754" t="s">
        <v>1715</v>
      </c>
      <c r="H474" s="754" t="s">
        <v>43</v>
      </c>
      <c r="I474" s="754" t="s">
        <v>44</v>
      </c>
      <c r="J474" s="754" t="s">
        <v>45</v>
      </c>
      <c r="K474" s="754" t="s">
        <v>45</v>
      </c>
      <c r="L474" s="754" t="s">
        <v>45</v>
      </c>
      <c r="M474" s="754" t="s">
        <v>46</v>
      </c>
      <c r="N474" s="754">
        <v>23.833477999999999</v>
      </c>
      <c r="O474" s="754">
        <v>97.578367</v>
      </c>
      <c r="P474" s="754" t="s">
        <v>775</v>
      </c>
      <c r="Q474" s="754" t="s">
        <v>794</v>
      </c>
      <c r="R474" s="763">
        <v>138</v>
      </c>
      <c r="S474" s="763">
        <v>732</v>
      </c>
      <c r="T474" s="783"/>
      <c r="U474" s="765"/>
      <c r="V474" s="754" t="s">
        <v>993</v>
      </c>
      <c r="W474" s="754"/>
    </row>
    <row r="475" spans="1:23" s="75" customFormat="1" ht="14.25" customHeight="1">
      <c r="A475" s="754" t="s">
        <v>39</v>
      </c>
      <c r="B475" s="754" t="s">
        <v>40</v>
      </c>
      <c r="C475" s="754" t="s">
        <v>1129</v>
      </c>
      <c r="D475" s="637" t="s">
        <v>1693</v>
      </c>
      <c r="E475" s="754"/>
      <c r="F475" s="754"/>
      <c r="G475" s="754"/>
      <c r="H475" s="754"/>
      <c r="I475" s="754"/>
      <c r="J475" s="754" t="s">
        <v>1481</v>
      </c>
      <c r="K475" s="754" t="s">
        <v>45</v>
      </c>
      <c r="L475" s="754" t="s">
        <v>1113</v>
      </c>
      <c r="M475" s="754" t="s">
        <v>46</v>
      </c>
      <c r="N475" s="754"/>
      <c r="O475" s="754"/>
      <c r="P475" s="754" t="s">
        <v>775</v>
      </c>
      <c r="Q475" s="754" t="s">
        <v>794</v>
      </c>
      <c r="R475" s="763"/>
      <c r="S475" s="764"/>
      <c r="T475" s="783"/>
      <c r="U475" s="765" t="s">
        <v>1109</v>
      </c>
      <c r="V475" s="754" t="s">
        <v>1129</v>
      </c>
      <c r="W475" s="754"/>
    </row>
    <row r="476" spans="1:23" s="75" customFormat="1" ht="14.25" customHeight="1">
      <c r="A476" s="754" t="s">
        <v>39</v>
      </c>
      <c r="B476" s="754" t="s">
        <v>40</v>
      </c>
      <c r="C476" s="754" t="s">
        <v>991</v>
      </c>
      <c r="D476" s="637" t="s">
        <v>3257</v>
      </c>
      <c r="E476" s="754" t="s">
        <v>1465</v>
      </c>
      <c r="F476" s="754" t="s">
        <v>1715</v>
      </c>
      <c r="G476" s="754" t="s">
        <v>1715</v>
      </c>
      <c r="H476" s="754"/>
      <c r="I476" s="754" t="s">
        <v>2199</v>
      </c>
      <c r="J476" s="754" t="s">
        <v>45</v>
      </c>
      <c r="K476" s="754" t="s">
        <v>45</v>
      </c>
      <c r="L476" s="754" t="s">
        <v>786</v>
      </c>
      <c r="M476" s="754" t="s">
        <v>46</v>
      </c>
      <c r="N476" s="754">
        <v>23.827870999999998</v>
      </c>
      <c r="O476" s="754">
        <v>97.588291999999996</v>
      </c>
      <c r="P476" s="754" t="s">
        <v>787</v>
      </c>
      <c r="Q476" s="754" t="s">
        <v>776</v>
      </c>
      <c r="R476" s="763">
        <v>175</v>
      </c>
      <c r="S476" s="763">
        <v>834</v>
      </c>
      <c r="T476" s="783"/>
      <c r="U476" s="765"/>
      <c r="V476" s="754" t="s">
        <v>991</v>
      </c>
      <c r="W476" s="754"/>
    </row>
    <row r="477" spans="1:23" s="75" customFormat="1" ht="14.25" customHeight="1">
      <c r="A477" s="754" t="s">
        <v>39</v>
      </c>
      <c r="B477" s="754" t="s">
        <v>40</v>
      </c>
      <c r="C477" s="754" t="s">
        <v>201</v>
      </c>
      <c r="D477" s="637" t="s">
        <v>3257</v>
      </c>
      <c r="E477" s="754" t="s">
        <v>1491</v>
      </c>
      <c r="F477" s="754" t="s">
        <v>1810</v>
      </c>
      <c r="G477" s="754" t="s">
        <v>1811</v>
      </c>
      <c r="H477" s="754" t="s">
        <v>43</v>
      </c>
      <c r="I477" s="754" t="s">
        <v>149</v>
      </c>
      <c r="J477" s="754" t="s">
        <v>45</v>
      </c>
      <c r="K477" s="754" t="s">
        <v>45</v>
      </c>
      <c r="L477" s="754" t="s">
        <v>45</v>
      </c>
      <c r="M477" s="754" t="s">
        <v>46</v>
      </c>
      <c r="N477" s="754">
        <v>24.129059999999999</v>
      </c>
      <c r="O477" s="754">
        <v>97.291820000000001</v>
      </c>
      <c r="P477" s="754" t="s">
        <v>775</v>
      </c>
      <c r="Q477" s="754" t="s">
        <v>794</v>
      </c>
      <c r="R477" s="763">
        <v>190</v>
      </c>
      <c r="S477" s="763">
        <v>853</v>
      </c>
      <c r="T477" s="783"/>
      <c r="U477" s="765"/>
      <c r="V477" s="754" t="s">
        <v>201</v>
      </c>
      <c r="W477" s="754"/>
    </row>
    <row r="478" spans="1:23" s="75" customFormat="1" ht="14.25" customHeight="1">
      <c r="A478" s="754" t="s">
        <v>39</v>
      </c>
      <c r="B478" s="754" t="s">
        <v>40</v>
      </c>
      <c r="C478" s="754" t="s">
        <v>1009</v>
      </c>
      <c r="D478" s="637" t="s">
        <v>3257</v>
      </c>
      <c r="E478" s="754" t="s">
        <v>1490</v>
      </c>
      <c r="F478" s="754"/>
      <c r="G478" s="754"/>
      <c r="H478" s="754"/>
      <c r="I478" s="754" t="s">
        <v>2199</v>
      </c>
      <c r="J478" s="754" t="s">
        <v>45</v>
      </c>
      <c r="K478" s="754" t="s">
        <v>45</v>
      </c>
      <c r="L478" s="754" t="s">
        <v>786</v>
      </c>
      <c r="M478" s="754" t="s">
        <v>46</v>
      </c>
      <c r="N478" s="754">
        <v>24.118618999999999</v>
      </c>
      <c r="O478" s="754">
        <v>97.298055000000005</v>
      </c>
      <c r="P478" s="754" t="s">
        <v>787</v>
      </c>
      <c r="Q478" s="754" t="s">
        <v>776</v>
      </c>
      <c r="R478" s="763">
        <v>67</v>
      </c>
      <c r="S478" s="763">
        <v>324</v>
      </c>
      <c r="T478" s="783"/>
      <c r="U478" s="765" t="s">
        <v>1010</v>
      </c>
      <c r="V478" s="754" t="s">
        <v>1011</v>
      </c>
      <c r="W478" s="754"/>
    </row>
    <row r="479" spans="1:23" s="75" customFormat="1" ht="14.25" customHeight="1">
      <c r="A479" s="754" t="s">
        <v>39</v>
      </c>
      <c r="B479" s="754" t="s">
        <v>40</v>
      </c>
      <c r="C479" s="754" t="s">
        <v>1015</v>
      </c>
      <c r="D479" s="637" t="s">
        <v>1694</v>
      </c>
      <c r="E479" s="754" t="s">
        <v>1500</v>
      </c>
      <c r="F479" s="754" t="s">
        <v>1737</v>
      </c>
      <c r="G479" s="754">
        <v>0</v>
      </c>
      <c r="H479" s="754"/>
      <c r="I479" s="754">
        <v>0</v>
      </c>
      <c r="J479" s="754" t="s">
        <v>45</v>
      </c>
      <c r="K479" s="754" t="s">
        <v>45</v>
      </c>
      <c r="L479" s="754" t="s">
        <v>774</v>
      </c>
      <c r="M479" s="754" t="s">
        <v>792</v>
      </c>
      <c r="N479" s="754">
        <v>24.20645</v>
      </c>
      <c r="O479" s="754">
        <v>96.808850000000007</v>
      </c>
      <c r="P479" s="754" t="s">
        <v>775</v>
      </c>
      <c r="Q479" s="754"/>
      <c r="R479" s="763"/>
      <c r="S479" s="764"/>
      <c r="T479" s="783"/>
      <c r="U479" s="765"/>
      <c r="V479" s="754" t="s">
        <v>1015</v>
      </c>
      <c r="W479" s="754" t="s">
        <v>2201</v>
      </c>
    </row>
    <row r="480" spans="1:23" s="75" customFormat="1" ht="14.25" customHeight="1">
      <c r="A480" s="754" t="s">
        <v>39</v>
      </c>
      <c r="B480" s="754" t="s">
        <v>40</v>
      </c>
      <c r="C480" s="754" t="s">
        <v>791</v>
      </c>
      <c r="D480" s="637" t="s">
        <v>1694</v>
      </c>
      <c r="E480" s="754" t="s">
        <v>1354</v>
      </c>
      <c r="F480" s="754" t="s">
        <v>1715</v>
      </c>
      <c r="G480" s="754">
        <v>0</v>
      </c>
      <c r="H480" s="754"/>
      <c r="I480" s="754">
        <v>0</v>
      </c>
      <c r="J480" s="754" t="s">
        <v>45</v>
      </c>
      <c r="K480" s="754" t="s">
        <v>45</v>
      </c>
      <c r="L480" s="754" t="s">
        <v>774</v>
      </c>
      <c r="M480" s="754" t="s">
        <v>792</v>
      </c>
      <c r="N480" s="754"/>
      <c r="O480" s="754"/>
      <c r="P480" s="754" t="s">
        <v>775</v>
      </c>
      <c r="Q480" s="754"/>
      <c r="R480" s="763"/>
      <c r="S480" s="764"/>
      <c r="T480" s="783"/>
      <c r="U480" s="765"/>
      <c r="V480" s="754" t="s">
        <v>791</v>
      </c>
      <c r="W480" s="754" t="s">
        <v>2224</v>
      </c>
    </row>
    <row r="481" spans="1:23" s="75" customFormat="1" ht="14.25" customHeight="1">
      <c r="A481" s="754" t="s">
        <v>39</v>
      </c>
      <c r="B481" s="754" t="s">
        <v>40</v>
      </c>
      <c r="C481" s="754" t="s">
        <v>989</v>
      </c>
      <c r="D481" s="637" t="s">
        <v>1694</v>
      </c>
      <c r="E481" s="754" t="s">
        <v>1462</v>
      </c>
      <c r="F481" s="754" t="s">
        <v>1717</v>
      </c>
      <c r="G481" s="754">
        <v>0</v>
      </c>
      <c r="H481" s="754"/>
      <c r="I481" s="754">
        <v>0</v>
      </c>
      <c r="J481" s="754" t="s">
        <v>45</v>
      </c>
      <c r="K481" s="754" t="s">
        <v>45</v>
      </c>
      <c r="L481" s="754" t="s">
        <v>774</v>
      </c>
      <c r="M481" s="754" t="s">
        <v>792</v>
      </c>
      <c r="N481" s="754">
        <v>23.75817</v>
      </c>
      <c r="O481" s="754">
        <v>97.132339999999999</v>
      </c>
      <c r="P481" s="754" t="s">
        <v>775</v>
      </c>
      <c r="Q481" s="754"/>
      <c r="R481" s="763"/>
      <c r="S481" s="764"/>
      <c r="T481" s="783"/>
      <c r="U481" s="765"/>
      <c r="V481" s="754" t="s">
        <v>989</v>
      </c>
      <c r="W481" s="754" t="s">
        <v>2201</v>
      </c>
    </row>
    <row r="482" spans="1:23" s="75" customFormat="1" ht="14.25" customHeight="1">
      <c r="A482" s="754" t="s">
        <v>39</v>
      </c>
      <c r="B482" s="754" t="s">
        <v>40</v>
      </c>
      <c r="C482" s="754" t="s">
        <v>795</v>
      </c>
      <c r="D482" s="637" t="s">
        <v>1694</v>
      </c>
      <c r="E482" s="754" t="s">
        <v>1357</v>
      </c>
      <c r="F482" s="754" t="s">
        <v>1717</v>
      </c>
      <c r="G482" s="754">
        <v>0</v>
      </c>
      <c r="H482" s="754"/>
      <c r="I482" s="754">
        <v>0</v>
      </c>
      <c r="J482" s="754" t="s">
        <v>45</v>
      </c>
      <c r="K482" s="754" t="s">
        <v>45</v>
      </c>
      <c r="L482" s="754" t="s">
        <v>774</v>
      </c>
      <c r="M482" s="754" t="s">
        <v>792</v>
      </c>
      <c r="N482" s="754"/>
      <c r="O482" s="754"/>
      <c r="P482" s="754" t="s">
        <v>775</v>
      </c>
      <c r="Q482" s="754"/>
      <c r="R482" s="763"/>
      <c r="S482" s="764"/>
      <c r="T482" s="783"/>
      <c r="U482" s="765"/>
      <c r="V482" s="754" t="s">
        <v>795</v>
      </c>
      <c r="W482" s="754" t="s">
        <v>2201</v>
      </c>
    </row>
    <row r="483" spans="1:23" s="75" customFormat="1" ht="14.25" customHeight="1">
      <c r="A483" s="754" t="s">
        <v>39</v>
      </c>
      <c r="B483" s="754" t="s">
        <v>40</v>
      </c>
      <c r="C483" s="754" t="s">
        <v>990</v>
      </c>
      <c r="D483" s="637" t="s">
        <v>1694</v>
      </c>
      <c r="E483" s="754" t="s">
        <v>1463</v>
      </c>
      <c r="F483" s="754" t="s">
        <v>1717</v>
      </c>
      <c r="G483" s="754">
        <v>0</v>
      </c>
      <c r="H483" s="754"/>
      <c r="I483" s="754">
        <v>0</v>
      </c>
      <c r="J483" s="754" t="s">
        <v>45</v>
      </c>
      <c r="K483" s="754" t="s">
        <v>45</v>
      </c>
      <c r="L483" s="754" t="s">
        <v>774</v>
      </c>
      <c r="M483" s="754" t="s">
        <v>792</v>
      </c>
      <c r="N483" s="754">
        <v>23.75817</v>
      </c>
      <c r="O483" s="754">
        <v>97.132339999999999</v>
      </c>
      <c r="P483" s="754" t="s">
        <v>775</v>
      </c>
      <c r="Q483" s="754"/>
      <c r="R483" s="763"/>
      <c r="S483" s="764"/>
      <c r="T483" s="783"/>
      <c r="U483" s="765"/>
      <c r="V483" s="754" t="s">
        <v>990</v>
      </c>
      <c r="W483" s="754" t="s">
        <v>2225</v>
      </c>
    </row>
    <row r="484" spans="1:23" s="75" customFormat="1" ht="14.25" customHeight="1">
      <c r="A484" s="754" t="s">
        <v>39</v>
      </c>
      <c r="B484" s="760" t="s">
        <v>40</v>
      </c>
      <c r="C484" s="760" t="s">
        <v>803</v>
      </c>
      <c r="D484" s="637" t="s">
        <v>1694</v>
      </c>
      <c r="E484" s="754" t="s">
        <v>1362</v>
      </c>
      <c r="F484" s="754">
        <v>0</v>
      </c>
      <c r="G484" s="754">
        <v>0</v>
      </c>
      <c r="H484" s="754"/>
      <c r="I484" s="754">
        <v>0</v>
      </c>
      <c r="J484" s="754" t="s">
        <v>45</v>
      </c>
      <c r="K484" s="754" t="s">
        <v>45</v>
      </c>
      <c r="L484" s="754" t="s">
        <v>774</v>
      </c>
      <c r="M484" s="754" t="s">
        <v>46</v>
      </c>
      <c r="N484" s="754"/>
      <c r="O484" s="754"/>
      <c r="P484" s="754" t="s">
        <v>775</v>
      </c>
      <c r="Q484" s="754"/>
      <c r="R484" s="763"/>
      <c r="S484" s="764"/>
      <c r="T484" s="783"/>
      <c r="U484" s="765"/>
      <c r="V484" s="754"/>
      <c r="W484" s="754" t="s">
        <v>2226</v>
      </c>
    </row>
    <row r="485" spans="1:23" s="75" customFormat="1" ht="14.25" customHeight="1">
      <c r="A485" s="754" t="s">
        <v>39</v>
      </c>
      <c r="B485" s="760" t="s">
        <v>40</v>
      </c>
      <c r="C485" s="760" t="s">
        <v>147</v>
      </c>
      <c r="D485" s="637" t="s">
        <v>1693</v>
      </c>
      <c r="E485" s="754"/>
      <c r="F485" s="754"/>
      <c r="G485" s="754"/>
      <c r="H485" s="754"/>
      <c r="I485" s="754"/>
      <c r="J485" s="754" t="s">
        <v>1481</v>
      </c>
      <c r="K485" s="754" t="s">
        <v>45</v>
      </c>
      <c r="L485" s="754" t="s">
        <v>45</v>
      </c>
      <c r="M485" s="754" t="s">
        <v>46</v>
      </c>
      <c r="N485" s="754"/>
      <c r="O485" s="754"/>
      <c r="P485" s="754" t="s">
        <v>775</v>
      </c>
      <c r="Q485" s="754" t="s">
        <v>794</v>
      </c>
      <c r="R485" s="763"/>
      <c r="S485" s="764"/>
      <c r="T485" s="783">
        <v>42747</v>
      </c>
      <c r="U485" s="765" t="s">
        <v>1109</v>
      </c>
      <c r="V485" s="754"/>
      <c r="W485" s="754"/>
    </row>
    <row r="486" spans="1:23" s="75" customFormat="1" ht="14.25" customHeight="1">
      <c r="A486" s="768" t="s">
        <v>39</v>
      </c>
      <c r="B486" s="767" t="s">
        <v>160</v>
      </c>
      <c r="C486" s="760" t="s">
        <v>2015</v>
      </c>
      <c r="D486" s="637" t="s">
        <v>3257</v>
      </c>
      <c r="E486" s="754" t="s">
        <v>2021</v>
      </c>
      <c r="F486" s="754"/>
      <c r="G486" s="754"/>
      <c r="H486" s="754"/>
      <c r="I486" s="754" t="s">
        <v>2199</v>
      </c>
      <c r="J486" s="754" t="s">
        <v>45</v>
      </c>
      <c r="K486" s="754" t="s">
        <v>45</v>
      </c>
      <c r="L486" s="754" t="s">
        <v>790</v>
      </c>
      <c r="M486" s="754" t="s">
        <v>46</v>
      </c>
      <c r="N486" s="754"/>
      <c r="O486" s="754"/>
      <c r="P486" s="760" t="s">
        <v>775</v>
      </c>
      <c r="Q486" s="754" t="s">
        <v>1999</v>
      </c>
      <c r="R486" s="763">
        <v>6</v>
      </c>
      <c r="S486" s="763">
        <v>32</v>
      </c>
      <c r="T486" s="783">
        <v>43276</v>
      </c>
      <c r="U486" s="765" t="s">
        <v>2050</v>
      </c>
      <c r="V486" s="754"/>
      <c r="W486" s="570" t="s">
        <v>2336</v>
      </c>
    </row>
    <row r="487" spans="1:23" s="75" customFormat="1" ht="14.25" customHeight="1">
      <c r="A487" s="754" t="s">
        <v>39</v>
      </c>
      <c r="B487" s="754" t="s">
        <v>160</v>
      </c>
      <c r="C487" s="754" t="s">
        <v>161</v>
      </c>
      <c r="D487" s="637" t="s">
        <v>3257</v>
      </c>
      <c r="E487" s="754" t="s">
        <v>1555</v>
      </c>
      <c r="F487" s="754" t="s">
        <v>1770</v>
      </c>
      <c r="G487" s="754" t="s">
        <v>1845</v>
      </c>
      <c r="H487" s="754" t="s">
        <v>43</v>
      </c>
      <c r="I487" s="754" t="s">
        <v>149</v>
      </c>
      <c r="J487" s="754" t="s">
        <v>45</v>
      </c>
      <c r="K487" s="754" t="s">
        <v>45</v>
      </c>
      <c r="L487" s="754" t="s">
        <v>45</v>
      </c>
      <c r="M487" s="754" t="s">
        <v>46</v>
      </c>
      <c r="N487" s="754">
        <v>25.305669999999999</v>
      </c>
      <c r="O487" s="754">
        <v>96.922619999999995</v>
      </c>
      <c r="P487" s="754" t="s">
        <v>775</v>
      </c>
      <c r="Q487" s="754" t="s">
        <v>794</v>
      </c>
      <c r="R487" s="763">
        <v>13</v>
      </c>
      <c r="S487" s="763">
        <v>72</v>
      </c>
      <c r="T487" s="783"/>
      <c r="U487" s="765"/>
      <c r="V487" s="754" t="s">
        <v>161</v>
      </c>
      <c r="W487" s="754"/>
    </row>
    <row r="488" spans="1:23" s="75" customFormat="1" ht="14.25" customHeight="1">
      <c r="A488" s="768" t="s">
        <v>39</v>
      </c>
      <c r="B488" s="767" t="s">
        <v>160</v>
      </c>
      <c r="C488" s="768" t="s">
        <v>2047</v>
      </c>
      <c r="D488" s="761"/>
      <c r="E488" s="754"/>
      <c r="F488" s="754"/>
      <c r="G488" s="754"/>
      <c r="H488" s="754"/>
      <c r="I488" s="754"/>
      <c r="J488" s="754" t="s">
        <v>1481</v>
      </c>
      <c r="K488" s="760" t="s">
        <v>45</v>
      </c>
      <c r="L488" s="760" t="s">
        <v>790</v>
      </c>
      <c r="M488" s="754"/>
      <c r="N488" s="754"/>
      <c r="O488" s="754"/>
      <c r="P488" s="754" t="s">
        <v>2046</v>
      </c>
      <c r="Q488" s="754" t="s">
        <v>1999</v>
      </c>
      <c r="R488" s="771"/>
      <c r="S488" s="764"/>
      <c r="T488" s="783">
        <v>43285</v>
      </c>
      <c r="U488" s="765" t="s">
        <v>2052</v>
      </c>
      <c r="V488" s="754"/>
      <c r="W488" s="754"/>
    </row>
    <row r="489" spans="1:23" s="75" customFormat="1" ht="14.25" customHeight="1">
      <c r="A489" s="768" t="s">
        <v>39</v>
      </c>
      <c r="B489" s="767" t="s">
        <v>160</v>
      </c>
      <c r="C489" s="760" t="s">
        <v>2014</v>
      </c>
      <c r="D489" s="637" t="s">
        <v>3257</v>
      </c>
      <c r="E489" s="754" t="s">
        <v>2019</v>
      </c>
      <c r="F489" s="754"/>
      <c r="G489" s="754"/>
      <c r="H489" s="754"/>
      <c r="I489" s="754" t="s">
        <v>1346</v>
      </c>
      <c r="J489" s="754" t="s">
        <v>45</v>
      </c>
      <c r="K489" s="754" t="s">
        <v>45</v>
      </c>
      <c r="L489" s="760" t="s">
        <v>45</v>
      </c>
      <c r="M489" s="754" t="s">
        <v>46</v>
      </c>
      <c r="N489" s="754">
        <v>97.013800000000003</v>
      </c>
      <c r="O489" s="754">
        <v>25.383465999999999</v>
      </c>
      <c r="P489" s="760" t="s">
        <v>775</v>
      </c>
      <c r="Q489" s="754" t="s">
        <v>1999</v>
      </c>
      <c r="R489" s="763">
        <v>76</v>
      </c>
      <c r="S489" s="763">
        <v>381</v>
      </c>
      <c r="T489" s="783">
        <v>43276</v>
      </c>
      <c r="U489" s="765" t="s">
        <v>2292</v>
      </c>
      <c r="V489" s="754"/>
      <c r="W489" s="570" t="s">
        <v>2337</v>
      </c>
    </row>
    <row r="490" spans="1:23" s="75" customFormat="1" ht="14.25" customHeight="1">
      <c r="A490" s="768" t="s">
        <v>39</v>
      </c>
      <c r="B490" s="767" t="s">
        <v>160</v>
      </c>
      <c r="C490" s="760" t="s">
        <v>2002</v>
      </c>
      <c r="D490" s="761"/>
      <c r="E490" s="754"/>
      <c r="F490" s="754"/>
      <c r="G490" s="754"/>
      <c r="H490" s="754"/>
      <c r="I490" s="754"/>
      <c r="J490" s="754" t="s">
        <v>1481</v>
      </c>
      <c r="K490" s="754" t="s">
        <v>45</v>
      </c>
      <c r="L490" s="754" t="s">
        <v>45</v>
      </c>
      <c r="M490" s="754" t="s">
        <v>46</v>
      </c>
      <c r="N490" s="754"/>
      <c r="O490" s="754"/>
      <c r="P490" s="754" t="s">
        <v>775</v>
      </c>
      <c r="Q490" s="754" t="s">
        <v>1999</v>
      </c>
      <c r="R490" s="771"/>
      <c r="S490" s="764"/>
      <c r="T490" s="783">
        <v>43270</v>
      </c>
      <c r="U490" s="765"/>
      <c r="V490" s="754"/>
      <c r="W490" s="754"/>
    </row>
    <row r="491" spans="1:23" s="75" customFormat="1" ht="14.25" customHeight="1">
      <c r="A491" s="768" t="s">
        <v>39</v>
      </c>
      <c r="B491" s="767" t="s">
        <v>160</v>
      </c>
      <c r="C491" s="760" t="s">
        <v>2001</v>
      </c>
      <c r="D491" s="761"/>
      <c r="E491" s="754"/>
      <c r="F491" s="754"/>
      <c r="G491" s="754"/>
      <c r="H491" s="754"/>
      <c r="I491" s="754"/>
      <c r="J491" s="754" t="s">
        <v>1481</v>
      </c>
      <c r="K491" s="754" t="s">
        <v>45</v>
      </c>
      <c r="L491" s="754" t="s">
        <v>45</v>
      </c>
      <c r="M491" s="754" t="s">
        <v>46</v>
      </c>
      <c r="N491" s="754"/>
      <c r="O491" s="754"/>
      <c r="P491" s="754" t="s">
        <v>775</v>
      </c>
      <c r="Q491" s="754" t="s">
        <v>1999</v>
      </c>
      <c r="R491" s="771"/>
      <c r="S491" s="764"/>
      <c r="T491" s="783">
        <v>43270</v>
      </c>
      <c r="U491" s="765"/>
      <c r="V491" s="754"/>
      <c r="W491" s="754"/>
    </row>
    <row r="492" spans="1:23" s="75" customFormat="1" ht="14.25" customHeight="1">
      <c r="A492" s="754" t="s">
        <v>39</v>
      </c>
      <c r="B492" s="754" t="s">
        <v>160</v>
      </c>
      <c r="C492" s="754" t="s">
        <v>2193</v>
      </c>
      <c r="D492" s="637" t="s">
        <v>3257</v>
      </c>
      <c r="E492" s="754" t="s">
        <v>1551</v>
      </c>
      <c r="F492" s="754"/>
      <c r="G492" s="754"/>
      <c r="H492" s="754" t="s">
        <v>43</v>
      </c>
      <c r="I492" s="754" t="s">
        <v>149</v>
      </c>
      <c r="J492" s="754" t="s">
        <v>45</v>
      </c>
      <c r="K492" s="754" t="s">
        <v>45</v>
      </c>
      <c r="L492" s="754" t="s">
        <v>45</v>
      </c>
      <c r="M492" s="754" t="s">
        <v>46</v>
      </c>
      <c r="N492" s="754">
        <v>25.296579999999999</v>
      </c>
      <c r="O492" s="754">
        <v>96.942279999999997</v>
      </c>
      <c r="P492" s="754" t="s">
        <v>775</v>
      </c>
      <c r="Q492" s="754" t="s">
        <v>794</v>
      </c>
      <c r="R492" s="763">
        <v>15</v>
      </c>
      <c r="S492" s="763">
        <v>74</v>
      </c>
      <c r="T492" s="783"/>
      <c r="U492" s="765"/>
      <c r="V492" s="754" t="s">
        <v>162</v>
      </c>
      <c r="W492" s="754"/>
    </row>
    <row r="493" spans="1:23" s="75" customFormat="1" ht="14.25" customHeight="1">
      <c r="A493" s="754" t="s">
        <v>39</v>
      </c>
      <c r="B493" s="754" t="s">
        <v>160</v>
      </c>
      <c r="C493" s="754" t="s">
        <v>248</v>
      </c>
      <c r="D493" s="637" t="s">
        <v>1771</v>
      </c>
      <c r="E493" s="754" t="s">
        <v>1552</v>
      </c>
      <c r="F493" s="754" t="s">
        <v>1842</v>
      </c>
      <c r="G493" s="754" t="s">
        <v>1843</v>
      </c>
      <c r="H493" s="754"/>
      <c r="I493" s="754">
        <v>0</v>
      </c>
      <c r="J493" s="754" t="s">
        <v>45</v>
      </c>
      <c r="K493" s="754" t="s">
        <v>45</v>
      </c>
      <c r="L493" s="754" t="s">
        <v>774</v>
      </c>
      <c r="M493" s="754" t="s">
        <v>46</v>
      </c>
      <c r="N493" s="754">
        <v>25.299679999999999</v>
      </c>
      <c r="O493" s="754">
        <v>96.942279999999997</v>
      </c>
      <c r="P493" s="754" t="s">
        <v>775</v>
      </c>
      <c r="Q493" s="754" t="s">
        <v>794</v>
      </c>
      <c r="R493" s="763"/>
      <c r="S493" s="764"/>
      <c r="T493" s="783">
        <v>42836</v>
      </c>
      <c r="U493" s="765" t="s">
        <v>3045</v>
      </c>
      <c r="V493" s="754" t="s">
        <v>248</v>
      </c>
      <c r="W493" s="570" t="s">
        <v>2227</v>
      </c>
    </row>
    <row r="494" spans="1:23" s="75" customFormat="1" ht="14.25" customHeight="1">
      <c r="A494" s="768" t="s">
        <v>39</v>
      </c>
      <c r="B494" s="767" t="s">
        <v>160</v>
      </c>
      <c r="C494" s="760" t="s">
        <v>2013</v>
      </c>
      <c r="D494" s="637" t="s">
        <v>3257</v>
      </c>
      <c r="E494" s="754" t="s">
        <v>2018</v>
      </c>
      <c r="F494" s="754"/>
      <c r="G494" s="754"/>
      <c r="H494" s="754"/>
      <c r="I494" s="754" t="s">
        <v>1346</v>
      </c>
      <c r="J494" s="754" t="s">
        <v>45</v>
      </c>
      <c r="K494" s="754" t="s">
        <v>45</v>
      </c>
      <c r="L494" s="760" t="s">
        <v>45</v>
      </c>
      <c r="M494" s="754" t="s">
        <v>46</v>
      </c>
      <c r="N494" s="754">
        <v>97.010629910000006</v>
      </c>
      <c r="O494" s="754">
        <v>25.37033053</v>
      </c>
      <c r="P494" s="760" t="s">
        <v>775</v>
      </c>
      <c r="Q494" s="754" t="s">
        <v>1999</v>
      </c>
      <c r="R494" s="763">
        <v>45</v>
      </c>
      <c r="S494" s="763">
        <v>235</v>
      </c>
      <c r="T494" s="783">
        <v>43276</v>
      </c>
      <c r="U494" s="769" t="s">
        <v>2051</v>
      </c>
      <c r="V494" s="754"/>
      <c r="W494" s="570" t="s">
        <v>2337</v>
      </c>
    </row>
    <row r="495" spans="1:23" s="75" customFormat="1" ht="14.25" customHeight="1">
      <c r="A495" s="764" t="s">
        <v>39</v>
      </c>
      <c r="B495" s="767" t="s">
        <v>160</v>
      </c>
      <c r="C495" s="768" t="s">
        <v>2088</v>
      </c>
      <c r="D495" s="761"/>
      <c r="E495" s="754"/>
      <c r="F495" s="754"/>
      <c r="G495" s="754"/>
      <c r="H495" s="754"/>
      <c r="I495" s="754"/>
      <c r="J495" s="754" t="s">
        <v>1481</v>
      </c>
      <c r="K495" s="754" t="s">
        <v>45</v>
      </c>
      <c r="L495" s="754" t="s">
        <v>790</v>
      </c>
      <c r="M495" s="754" t="s">
        <v>46</v>
      </c>
      <c r="N495" s="754"/>
      <c r="O495" s="754"/>
      <c r="P495" s="760" t="s">
        <v>2044</v>
      </c>
      <c r="Q495" s="754"/>
      <c r="R495" s="771"/>
      <c r="S495" s="764"/>
      <c r="T495" s="783">
        <v>43298</v>
      </c>
      <c r="U495" s="765"/>
      <c r="V495" s="754"/>
      <c r="W495" s="754"/>
    </row>
    <row r="496" spans="1:23" s="75" customFormat="1" ht="14.25" customHeight="1">
      <c r="A496" s="754" t="s">
        <v>39</v>
      </c>
      <c r="B496" s="754" t="s">
        <v>160</v>
      </c>
      <c r="C496" s="754" t="s">
        <v>1136</v>
      </c>
      <c r="D496" s="637" t="s">
        <v>1694</v>
      </c>
      <c r="E496" s="754" t="s">
        <v>2028</v>
      </c>
      <c r="F496" s="754" t="s">
        <v>1770</v>
      </c>
      <c r="G496" s="754" t="s">
        <v>1136</v>
      </c>
      <c r="H496" s="754"/>
      <c r="I496" s="754">
        <v>0</v>
      </c>
      <c r="J496" s="754" t="s">
        <v>45</v>
      </c>
      <c r="K496" s="754" t="s">
        <v>45</v>
      </c>
      <c r="L496" s="754" t="s">
        <v>774</v>
      </c>
      <c r="M496" s="754" t="s">
        <v>46</v>
      </c>
      <c r="N496" s="754"/>
      <c r="O496" s="754"/>
      <c r="P496" s="754" t="s">
        <v>775</v>
      </c>
      <c r="Q496" s="754" t="s">
        <v>940</v>
      </c>
      <c r="R496" s="763"/>
      <c r="S496" s="764"/>
      <c r="T496" s="783"/>
      <c r="U496" s="765" t="s">
        <v>1137</v>
      </c>
      <c r="V496" s="754"/>
      <c r="W496" s="754" t="s">
        <v>2228</v>
      </c>
    </row>
    <row r="497" spans="1:23" s="75" customFormat="1" ht="14.25" customHeight="1">
      <c r="A497" s="768" t="s">
        <v>39</v>
      </c>
      <c r="B497" s="767" t="s">
        <v>160</v>
      </c>
      <c r="C497" s="760" t="s">
        <v>2192</v>
      </c>
      <c r="D497" s="637" t="s">
        <v>3257</v>
      </c>
      <c r="E497" s="754" t="s">
        <v>2020</v>
      </c>
      <c r="F497" s="754"/>
      <c r="G497" s="754"/>
      <c r="H497" s="754"/>
      <c r="I497" s="754" t="s">
        <v>149</v>
      </c>
      <c r="J497" s="754" t="s">
        <v>45</v>
      </c>
      <c r="K497" s="754" t="s">
        <v>45</v>
      </c>
      <c r="L497" s="754" t="s">
        <v>45</v>
      </c>
      <c r="M497" s="754" t="s">
        <v>46</v>
      </c>
      <c r="N497" s="754">
        <v>97.104997409999996</v>
      </c>
      <c r="O497" s="754">
        <v>25.379014999999999</v>
      </c>
      <c r="P497" s="760" t="s">
        <v>775</v>
      </c>
      <c r="Q497" s="754" t="s">
        <v>1999</v>
      </c>
      <c r="R497" s="763">
        <v>112</v>
      </c>
      <c r="S497" s="763">
        <v>487</v>
      </c>
      <c r="T497" s="783">
        <v>43276</v>
      </c>
      <c r="U497" s="769" t="s">
        <v>2051</v>
      </c>
      <c r="V497" s="754"/>
      <c r="W497" s="570" t="s">
        <v>2338</v>
      </c>
    </row>
    <row r="498" spans="1:23" s="75" customFormat="1" ht="14.25" customHeight="1">
      <c r="A498" s="754" t="s">
        <v>39</v>
      </c>
      <c r="B498" s="754" t="s">
        <v>160</v>
      </c>
      <c r="C498" s="754" t="s">
        <v>163</v>
      </c>
      <c r="D498" s="637" t="s">
        <v>3257</v>
      </c>
      <c r="E498" s="754" t="s">
        <v>1553</v>
      </c>
      <c r="F498" s="754" t="s">
        <v>1770</v>
      </c>
      <c r="G498" s="754" t="s">
        <v>1844</v>
      </c>
      <c r="H498" s="754" t="s">
        <v>43</v>
      </c>
      <c r="I498" s="754" t="s">
        <v>149</v>
      </c>
      <c r="J498" s="754" t="s">
        <v>45</v>
      </c>
      <c r="K498" s="754" t="s">
        <v>45</v>
      </c>
      <c r="L498" s="754" t="s">
        <v>45</v>
      </c>
      <c r="M498" s="754" t="s">
        <v>46</v>
      </c>
      <c r="N498" s="754">
        <v>25.30442</v>
      </c>
      <c r="O498" s="754">
        <v>96.948740000000001</v>
      </c>
      <c r="P498" s="754" t="s">
        <v>775</v>
      </c>
      <c r="Q498" s="754" t="s">
        <v>794</v>
      </c>
      <c r="R498" s="763">
        <v>10</v>
      </c>
      <c r="S498" s="763">
        <v>43</v>
      </c>
      <c r="T498" s="783"/>
      <c r="U498" s="765"/>
      <c r="V498" s="754" t="s">
        <v>163</v>
      </c>
      <c r="W498" s="754"/>
    </row>
    <row r="499" spans="1:23" s="75" customFormat="1" ht="14.25" customHeight="1">
      <c r="A499" s="754" t="s">
        <v>39</v>
      </c>
      <c r="B499" s="760" t="s">
        <v>160</v>
      </c>
      <c r="C499" s="760" t="s">
        <v>1054</v>
      </c>
      <c r="D499" s="637" t="s">
        <v>1694</v>
      </c>
      <c r="E499" s="754" t="s">
        <v>1548</v>
      </c>
      <c r="F499" s="754" t="s">
        <v>1752</v>
      </c>
      <c r="G499" s="754" t="s">
        <v>1752</v>
      </c>
      <c r="H499" s="754"/>
      <c r="I499" s="754">
        <v>0</v>
      </c>
      <c r="J499" s="754" t="s">
        <v>45</v>
      </c>
      <c r="K499" s="754" t="s">
        <v>45</v>
      </c>
      <c r="L499" s="754" t="s">
        <v>774</v>
      </c>
      <c r="M499" s="754" t="s">
        <v>46</v>
      </c>
      <c r="N499" s="754">
        <v>25.225000000000001</v>
      </c>
      <c r="O499" s="754">
        <v>96.793999999999997</v>
      </c>
      <c r="P499" s="754" t="s">
        <v>787</v>
      </c>
      <c r="Q499" s="754" t="s">
        <v>794</v>
      </c>
      <c r="R499" s="763"/>
      <c r="S499" s="764"/>
      <c r="T499" s="783">
        <v>42983</v>
      </c>
      <c r="U499" s="765" t="s">
        <v>1055</v>
      </c>
      <c r="V499" s="754" t="s">
        <v>1056</v>
      </c>
      <c r="W499" s="570" t="s">
        <v>2229</v>
      </c>
    </row>
    <row r="500" spans="1:23" s="75" customFormat="1" ht="14.25" customHeight="1">
      <c r="A500" s="754" t="s">
        <v>39</v>
      </c>
      <c r="B500" s="760" t="s">
        <v>160</v>
      </c>
      <c r="C500" s="760" t="s">
        <v>164</v>
      </c>
      <c r="D500" s="637" t="s">
        <v>3257</v>
      </c>
      <c r="E500" s="754" t="s">
        <v>1549</v>
      </c>
      <c r="F500" s="754" t="s">
        <v>1752</v>
      </c>
      <c r="G500" s="754" t="s">
        <v>1752</v>
      </c>
      <c r="H500" s="754" t="s">
        <v>43</v>
      </c>
      <c r="I500" s="754" t="s">
        <v>149</v>
      </c>
      <c r="J500" s="754" t="s">
        <v>45</v>
      </c>
      <c r="K500" s="754" t="s">
        <v>45</v>
      </c>
      <c r="L500" s="754" t="s">
        <v>45</v>
      </c>
      <c r="M500" s="754" t="s">
        <v>46</v>
      </c>
      <c r="N500" s="754">
        <v>25.225000000000001</v>
      </c>
      <c r="O500" s="754">
        <v>96.793999999999997</v>
      </c>
      <c r="P500" s="754" t="s">
        <v>775</v>
      </c>
      <c r="Q500" s="754" t="s">
        <v>794</v>
      </c>
      <c r="R500" s="763">
        <v>27</v>
      </c>
      <c r="S500" s="763">
        <v>135</v>
      </c>
      <c r="T500" s="783"/>
      <c r="U500" s="765"/>
      <c r="V500" s="754" t="s">
        <v>164</v>
      </c>
      <c r="W500" s="754"/>
    </row>
    <row r="501" spans="1:23" s="75" customFormat="1" ht="14.25" customHeight="1">
      <c r="A501" s="754" t="s">
        <v>39</v>
      </c>
      <c r="B501" s="754" t="s">
        <v>165</v>
      </c>
      <c r="C501" s="754" t="s">
        <v>1048</v>
      </c>
      <c r="D501" s="637" t="s">
        <v>3257</v>
      </c>
      <c r="E501" s="754" t="s">
        <v>1541</v>
      </c>
      <c r="F501" s="754" t="s">
        <v>1903</v>
      </c>
      <c r="G501" s="754" t="s">
        <v>1904</v>
      </c>
      <c r="H501" s="754"/>
      <c r="I501" s="754" t="s">
        <v>2199</v>
      </c>
      <c r="J501" s="754" t="s">
        <v>45</v>
      </c>
      <c r="K501" s="754" t="s">
        <v>45</v>
      </c>
      <c r="L501" s="754" t="s">
        <v>786</v>
      </c>
      <c r="M501" s="754" t="s">
        <v>46</v>
      </c>
      <c r="N501" s="754">
        <v>24.996279999999999</v>
      </c>
      <c r="O501" s="754">
        <v>96.52534</v>
      </c>
      <c r="P501" s="754" t="s">
        <v>787</v>
      </c>
      <c r="Q501" s="754" t="s">
        <v>776</v>
      </c>
      <c r="R501" s="763">
        <v>27</v>
      </c>
      <c r="S501" s="763">
        <v>126</v>
      </c>
      <c r="T501" s="783"/>
      <c r="U501" s="765" t="s">
        <v>1045</v>
      </c>
      <c r="V501" s="754" t="s">
        <v>1048</v>
      </c>
      <c r="W501" s="754"/>
    </row>
    <row r="502" spans="1:23" s="75" customFormat="1" ht="14.25" customHeight="1">
      <c r="A502" s="754" t="s">
        <v>39</v>
      </c>
      <c r="B502" s="754" t="s">
        <v>165</v>
      </c>
      <c r="C502" s="754" t="s">
        <v>1044</v>
      </c>
      <c r="D502" s="637" t="s">
        <v>3257</v>
      </c>
      <c r="E502" s="754" t="s">
        <v>1538</v>
      </c>
      <c r="F502" s="754" t="s">
        <v>1834</v>
      </c>
      <c r="G502" s="754">
        <v>0</v>
      </c>
      <c r="H502" s="754"/>
      <c r="I502" s="754" t="s">
        <v>2199</v>
      </c>
      <c r="J502" s="754" t="s">
        <v>45</v>
      </c>
      <c r="K502" s="754" t="s">
        <v>45</v>
      </c>
      <c r="L502" s="754" t="s">
        <v>786</v>
      </c>
      <c r="M502" s="754" t="s">
        <v>46</v>
      </c>
      <c r="N502" s="754">
        <v>24.764959999999999</v>
      </c>
      <c r="O502" s="754">
        <v>96.366919999999993</v>
      </c>
      <c r="P502" s="754" t="s">
        <v>787</v>
      </c>
      <c r="Q502" s="754" t="s">
        <v>776</v>
      </c>
      <c r="R502" s="763">
        <v>15</v>
      </c>
      <c r="S502" s="763">
        <v>71</v>
      </c>
      <c r="T502" s="783"/>
      <c r="U502" s="765" t="s">
        <v>1045</v>
      </c>
      <c r="V502" s="754" t="s">
        <v>1044</v>
      </c>
      <c r="W502" s="754"/>
    </row>
    <row r="503" spans="1:23" s="75" customFormat="1" ht="14.25" customHeight="1">
      <c r="A503" s="754" t="s">
        <v>39</v>
      </c>
      <c r="B503" s="754" t="s">
        <v>165</v>
      </c>
      <c r="C503" s="754" t="s">
        <v>165</v>
      </c>
      <c r="D503" s="637" t="s">
        <v>1693</v>
      </c>
      <c r="E503" s="754"/>
      <c r="F503" s="754"/>
      <c r="G503" s="754"/>
      <c r="H503" s="754"/>
      <c r="I503" s="754"/>
      <c r="J503" s="754" t="s">
        <v>812</v>
      </c>
      <c r="K503" s="754" t="s">
        <v>812</v>
      </c>
      <c r="L503" s="754" t="s">
        <v>812</v>
      </c>
      <c r="M503" s="754"/>
      <c r="N503" s="754"/>
      <c r="O503" s="754"/>
      <c r="P503" s="754" t="s">
        <v>813</v>
      </c>
      <c r="Q503" s="754"/>
      <c r="R503" s="763"/>
      <c r="S503" s="764"/>
      <c r="T503" s="783"/>
      <c r="U503" s="765"/>
      <c r="V503" s="754" t="s">
        <v>165</v>
      </c>
      <c r="W503" s="754"/>
    </row>
    <row r="504" spans="1:23" s="75" customFormat="1" ht="14.25" customHeight="1">
      <c r="A504" s="754" t="s">
        <v>39</v>
      </c>
      <c r="B504" s="754" t="s">
        <v>165</v>
      </c>
      <c r="C504" s="754" t="s">
        <v>1049</v>
      </c>
      <c r="D504" s="637" t="s">
        <v>1694</v>
      </c>
      <c r="E504" s="754" t="s">
        <v>1542</v>
      </c>
      <c r="F504" s="754" t="s">
        <v>1749</v>
      </c>
      <c r="G504" s="754" t="s">
        <v>1749</v>
      </c>
      <c r="H504" s="754" t="s">
        <v>43</v>
      </c>
      <c r="I504" s="754" t="s">
        <v>149</v>
      </c>
      <c r="J504" s="754" t="s">
        <v>45</v>
      </c>
      <c r="K504" s="754" t="s">
        <v>45</v>
      </c>
      <c r="L504" s="754" t="s">
        <v>774</v>
      </c>
      <c r="M504" s="754" t="s">
        <v>46</v>
      </c>
      <c r="N504" s="754">
        <v>24.998349999999999</v>
      </c>
      <c r="O504" s="754">
        <v>96.364949999999993</v>
      </c>
      <c r="P504" s="754" t="s">
        <v>775</v>
      </c>
      <c r="Q504" s="754"/>
      <c r="R504" s="763"/>
      <c r="S504" s="764"/>
      <c r="T504" s="783"/>
      <c r="U504" s="765"/>
      <c r="V504" s="754" t="s">
        <v>1049</v>
      </c>
      <c r="W504" s="754" t="s">
        <v>2230</v>
      </c>
    </row>
    <row r="505" spans="1:23" s="75" customFormat="1" ht="14.25" customHeight="1">
      <c r="A505" s="754" t="s">
        <v>39</v>
      </c>
      <c r="B505" s="754" t="s">
        <v>165</v>
      </c>
      <c r="C505" s="754" t="s">
        <v>166</v>
      </c>
      <c r="D505" s="637" t="s">
        <v>3257</v>
      </c>
      <c r="E505" s="754" t="s">
        <v>1543</v>
      </c>
      <c r="F505" s="754"/>
      <c r="G505" s="754"/>
      <c r="H505" s="754" t="s">
        <v>43</v>
      </c>
      <c r="I505" s="754" t="s">
        <v>149</v>
      </c>
      <c r="J505" s="754" t="s">
        <v>45</v>
      </c>
      <c r="K505" s="754" t="s">
        <v>45</v>
      </c>
      <c r="L505" s="754" t="s">
        <v>45</v>
      </c>
      <c r="M505" s="754" t="s">
        <v>46</v>
      </c>
      <c r="N505" s="754">
        <v>24.998349999999999</v>
      </c>
      <c r="O505" s="754">
        <v>96.364949999999993</v>
      </c>
      <c r="P505" s="754" t="s">
        <v>775</v>
      </c>
      <c r="Q505" s="754" t="s">
        <v>794</v>
      </c>
      <c r="R505" s="763">
        <v>26</v>
      </c>
      <c r="S505" s="763">
        <v>117</v>
      </c>
      <c r="T505" s="783"/>
      <c r="U505" s="765"/>
      <c r="V505" s="754" t="s">
        <v>1050</v>
      </c>
      <c r="W505" s="570" t="s">
        <v>2339</v>
      </c>
    </row>
    <row r="506" spans="1:23" s="75" customFormat="1" ht="14.25" customHeight="1">
      <c r="A506" s="754" t="s">
        <v>39</v>
      </c>
      <c r="B506" s="760" t="s">
        <v>165</v>
      </c>
      <c r="C506" s="760" t="s">
        <v>247</v>
      </c>
      <c r="D506" s="637" t="s">
        <v>3257</v>
      </c>
      <c r="E506" s="754" t="s">
        <v>1537</v>
      </c>
      <c r="F506" s="754" t="s">
        <v>1834</v>
      </c>
      <c r="G506" s="754" t="s">
        <v>1835</v>
      </c>
      <c r="H506" s="754" t="s">
        <v>43</v>
      </c>
      <c r="I506" s="754" t="s">
        <v>1346</v>
      </c>
      <c r="J506" s="754" t="s">
        <v>45</v>
      </c>
      <c r="K506" s="754" t="s">
        <v>45</v>
      </c>
      <c r="L506" s="754" t="s">
        <v>45</v>
      </c>
      <c r="M506" s="754" t="s">
        <v>46</v>
      </c>
      <c r="N506" s="754">
        <v>24.764800000000001</v>
      </c>
      <c r="O506" s="754">
        <v>96.367059999999995</v>
      </c>
      <c r="P506" s="754" t="s">
        <v>775</v>
      </c>
      <c r="Q506" s="754" t="s">
        <v>794</v>
      </c>
      <c r="R506" s="763">
        <v>11</v>
      </c>
      <c r="S506" s="763">
        <v>68</v>
      </c>
      <c r="T506" s="783"/>
      <c r="U506" s="765"/>
      <c r="V506" s="754" t="s">
        <v>247</v>
      </c>
      <c r="W506" s="754"/>
    </row>
    <row r="507" spans="1:23" s="75" customFormat="1" ht="14.25" customHeight="1">
      <c r="A507" s="764" t="s">
        <v>39</v>
      </c>
      <c r="B507" s="767" t="s">
        <v>2089</v>
      </c>
      <c r="C507" s="768" t="s">
        <v>2094</v>
      </c>
      <c r="D507" s="761"/>
      <c r="E507" s="754"/>
      <c r="F507" s="754"/>
      <c r="G507" s="754"/>
      <c r="H507" s="754"/>
      <c r="I507" s="754"/>
      <c r="J507" s="754" t="s">
        <v>1481</v>
      </c>
      <c r="K507" s="760" t="s">
        <v>45</v>
      </c>
      <c r="L507" s="760" t="s">
        <v>790</v>
      </c>
      <c r="M507" s="754" t="s">
        <v>792</v>
      </c>
      <c r="N507" s="754"/>
      <c r="O507" s="754"/>
      <c r="P507" s="754" t="s">
        <v>775</v>
      </c>
      <c r="Q507" s="754"/>
      <c r="R507" s="771"/>
      <c r="S507" s="764"/>
      <c r="T507" s="783">
        <v>43298</v>
      </c>
      <c r="U507" s="765"/>
      <c r="V507" s="754"/>
      <c r="W507" s="754"/>
    </row>
    <row r="508" spans="1:23" s="75" customFormat="1" ht="14.25" customHeight="1">
      <c r="A508" s="754" t="s">
        <v>39</v>
      </c>
      <c r="B508" s="754" t="s">
        <v>213</v>
      </c>
      <c r="C508" s="754" t="s">
        <v>214</v>
      </c>
      <c r="D508" s="637" t="s">
        <v>1693</v>
      </c>
      <c r="E508" s="754"/>
      <c r="F508" s="754"/>
      <c r="G508" s="754"/>
      <c r="H508" s="754"/>
      <c r="I508" s="754"/>
      <c r="J508" s="754" t="s">
        <v>1481</v>
      </c>
      <c r="K508" s="754" t="s">
        <v>45</v>
      </c>
      <c r="L508" s="754" t="s">
        <v>45</v>
      </c>
      <c r="M508" s="754" t="s">
        <v>46</v>
      </c>
      <c r="N508" s="754"/>
      <c r="O508" s="754"/>
      <c r="P508" s="754" t="s">
        <v>775</v>
      </c>
      <c r="Q508" s="754" t="s">
        <v>794</v>
      </c>
      <c r="R508" s="763"/>
      <c r="S508" s="764"/>
      <c r="T508" s="783"/>
      <c r="U508" s="765" t="s">
        <v>1104</v>
      </c>
      <c r="V508" s="754" t="s">
        <v>214</v>
      </c>
      <c r="W508" s="754"/>
    </row>
    <row r="509" spans="1:23" s="75" customFormat="1" ht="14.25" customHeight="1">
      <c r="A509" s="754" t="s">
        <v>39</v>
      </c>
      <c r="B509" s="754" t="s">
        <v>213</v>
      </c>
      <c r="C509" s="754" t="s">
        <v>1035</v>
      </c>
      <c r="D509" s="637" t="s">
        <v>1694</v>
      </c>
      <c r="E509" s="754" t="s">
        <v>1529</v>
      </c>
      <c r="F509" s="754" t="s">
        <v>1742</v>
      </c>
      <c r="G509" s="754" t="s">
        <v>1743</v>
      </c>
      <c r="H509" s="754"/>
      <c r="I509" s="754">
        <v>0</v>
      </c>
      <c r="J509" s="754" t="s">
        <v>45</v>
      </c>
      <c r="K509" s="754" t="s">
        <v>45</v>
      </c>
      <c r="L509" s="754" t="s">
        <v>774</v>
      </c>
      <c r="M509" s="754" t="s">
        <v>46</v>
      </c>
      <c r="N509" s="754">
        <v>24.613976000000001</v>
      </c>
      <c r="O509" s="754">
        <v>97.461271999999994</v>
      </c>
      <c r="P509" s="754" t="s">
        <v>775</v>
      </c>
      <c r="Q509" s="754" t="s">
        <v>776</v>
      </c>
      <c r="R509" s="763"/>
      <c r="S509" s="764"/>
      <c r="T509" s="783">
        <v>42983</v>
      </c>
      <c r="U509" s="765" t="s">
        <v>1036</v>
      </c>
      <c r="V509" s="754" t="s">
        <v>1035</v>
      </c>
      <c r="W509" s="570" t="s">
        <v>2231</v>
      </c>
    </row>
    <row r="510" spans="1:23" s="75" customFormat="1" ht="14.25" customHeight="1">
      <c r="A510" s="754" t="s">
        <v>39</v>
      </c>
      <c r="B510" s="754" t="s">
        <v>213</v>
      </c>
      <c r="C510" s="754" t="s">
        <v>240</v>
      </c>
      <c r="D510" s="637" t="s">
        <v>3257</v>
      </c>
      <c r="E510" s="754" t="s">
        <v>1527</v>
      </c>
      <c r="F510" s="754" t="s">
        <v>1830</v>
      </c>
      <c r="G510" s="754" t="s">
        <v>1831</v>
      </c>
      <c r="H510" s="754" t="s">
        <v>43</v>
      </c>
      <c r="I510" s="754" t="s">
        <v>1346</v>
      </c>
      <c r="J510" s="754" t="s">
        <v>45</v>
      </c>
      <c r="K510" s="754" t="s">
        <v>45</v>
      </c>
      <c r="L510" s="754" t="s">
        <v>45</v>
      </c>
      <c r="M510" s="754" t="s">
        <v>792</v>
      </c>
      <c r="N510" s="754">
        <v>24.461033</v>
      </c>
      <c r="O510" s="754">
        <v>97.537099999999995</v>
      </c>
      <c r="P510" s="754" t="s">
        <v>775</v>
      </c>
      <c r="Q510" s="754" t="s">
        <v>794</v>
      </c>
      <c r="R510" s="763">
        <v>80</v>
      </c>
      <c r="S510" s="763">
        <v>378</v>
      </c>
      <c r="T510" s="783"/>
      <c r="U510" s="765"/>
      <c r="V510" s="754" t="s">
        <v>240</v>
      </c>
      <c r="W510" s="754"/>
    </row>
    <row r="511" spans="1:23" s="75" customFormat="1" ht="14.25" customHeight="1">
      <c r="A511" s="754" t="s">
        <v>39</v>
      </c>
      <c r="B511" s="754" t="s">
        <v>213</v>
      </c>
      <c r="C511" s="754" t="s">
        <v>225</v>
      </c>
      <c r="D511" s="637" t="s">
        <v>3257</v>
      </c>
      <c r="E511" s="754" t="s">
        <v>1531</v>
      </c>
      <c r="F511" s="754" t="s">
        <v>1832</v>
      </c>
      <c r="G511" s="754" t="s">
        <v>1833</v>
      </c>
      <c r="H511" s="754" t="s">
        <v>43</v>
      </c>
      <c r="I511" s="754" t="s">
        <v>1346</v>
      </c>
      <c r="J511" s="754" t="s">
        <v>45</v>
      </c>
      <c r="K511" s="754" t="s">
        <v>45</v>
      </c>
      <c r="L511" s="754" t="s">
        <v>45</v>
      </c>
      <c r="M511" s="754" t="s">
        <v>792</v>
      </c>
      <c r="N511" s="754">
        <v>24.661905999999998</v>
      </c>
      <c r="O511" s="754">
        <v>97.573126000000002</v>
      </c>
      <c r="P511" s="17" t="s">
        <v>2046</v>
      </c>
      <c r="Q511" s="754" t="s">
        <v>794</v>
      </c>
      <c r="R511" s="763">
        <v>717</v>
      </c>
      <c r="S511" s="763">
        <v>3658</v>
      </c>
      <c r="T511" s="783"/>
      <c r="U511" s="765"/>
      <c r="V511" s="754" t="s">
        <v>225</v>
      </c>
      <c r="W511" s="754"/>
    </row>
    <row r="512" spans="1:23" s="75" customFormat="1" ht="14.25" customHeight="1">
      <c r="A512" s="764" t="s">
        <v>39</v>
      </c>
      <c r="B512" s="767" t="s">
        <v>213</v>
      </c>
      <c r="C512" s="582" t="s">
        <v>3269</v>
      </c>
      <c r="D512" s="761"/>
      <c r="E512" s="754"/>
      <c r="F512" s="754"/>
      <c r="G512" s="754"/>
      <c r="H512" s="754"/>
      <c r="I512" s="754"/>
      <c r="J512" s="754" t="s">
        <v>1481</v>
      </c>
      <c r="K512" s="754" t="s">
        <v>45</v>
      </c>
      <c r="L512" s="754"/>
      <c r="M512" s="754" t="s">
        <v>46</v>
      </c>
      <c r="N512" s="754"/>
      <c r="O512" s="754"/>
      <c r="P512" s="754" t="s">
        <v>775</v>
      </c>
      <c r="Q512" s="754" t="s">
        <v>3261</v>
      </c>
      <c r="R512" s="771"/>
      <c r="S512" s="764"/>
      <c r="T512" s="783">
        <v>42554</v>
      </c>
      <c r="U512" s="771"/>
      <c r="V512" s="754"/>
      <c r="W512" s="763"/>
    </row>
    <row r="513" spans="1:23" s="75" customFormat="1" ht="14.25" customHeight="1">
      <c r="A513" s="754" t="s">
        <v>39</v>
      </c>
      <c r="B513" s="754" t="s">
        <v>213</v>
      </c>
      <c r="C513" s="754" t="s">
        <v>298</v>
      </c>
      <c r="D513" s="637" t="s">
        <v>3257</v>
      </c>
      <c r="E513" s="754" t="s">
        <v>1532</v>
      </c>
      <c r="F513" s="754" t="s">
        <v>1832</v>
      </c>
      <c r="G513" s="754" t="s">
        <v>1833</v>
      </c>
      <c r="H513" s="754" t="s">
        <v>43</v>
      </c>
      <c r="I513" s="754" t="s">
        <v>1346</v>
      </c>
      <c r="J513" s="754" t="s">
        <v>45</v>
      </c>
      <c r="K513" s="754" t="s">
        <v>45</v>
      </c>
      <c r="L513" s="754" t="s">
        <v>45</v>
      </c>
      <c r="M513" s="754" t="s">
        <v>792</v>
      </c>
      <c r="N513" s="754">
        <v>24.688338999999999</v>
      </c>
      <c r="O513" s="754">
        <v>97.568331999999998</v>
      </c>
      <c r="P513" s="17" t="s">
        <v>2046</v>
      </c>
      <c r="Q513" s="754" t="s">
        <v>794</v>
      </c>
      <c r="R513" s="763">
        <v>1527</v>
      </c>
      <c r="S513" s="763">
        <v>8721</v>
      </c>
      <c r="T513" s="783"/>
      <c r="U513" s="765"/>
      <c r="V513" s="754" t="s">
        <v>298</v>
      </c>
      <c r="W513" s="754"/>
    </row>
    <row r="514" spans="1:23" s="75" customFormat="1" ht="14.25" customHeight="1">
      <c r="A514" s="754" t="s">
        <v>39</v>
      </c>
      <c r="B514" s="754" t="s">
        <v>213</v>
      </c>
      <c r="C514" s="754" t="s">
        <v>215</v>
      </c>
      <c r="D514" s="637" t="s">
        <v>1693</v>
      </c>
      <c r="E514" s="754"/>
      <c r="F514" s="754"/>
      <c r="G514" s="754"/>
      <c r="H514" s="754"/>
      <c r="I514" s="754"/>
      <c r="J514" s="754" t="s">
        <v>1481</v>
      </c>
      <c r="K514" s="754" t="s">
        <v>45</v>
      </c>
      <c r="L514" s="754" t="s">
        <v>45</v>
      </c>
      <c r="M514" s="754" t="s">
        <v>46</v>
      </c>
      <c r="N514" s="754"/>
      <c r="O514" s="754"/>
      <c r="P514" s="754" t="s">
        <v>775</v>
      </c>
      <c r="Q514" s="754" t="s">
        <v>794</v>
      </c>
      <c r="R514" s="763"/>
      <c r="S514" s="764"/>
      <c r="T514" s="783"/>
      <c r="U514" s="765" t="s">
        <v>1104</v>
      </c>
      <c r="V514" s="754" t="s">
        <v>215</v>
      </c>
      <c r="W514" s="754"/>
    </row>
    <row r="515" spans="1:23" s="75" customFormat="1" ht="14.25" customHeight="1">
      <c r="A515" s="754" t="s">
        <v>39</v>
      </c>
      <c r="B515" s="754" t="s">
        <v>213</v>
      </c>
      <c r="C515" s="754" t="s">
        <v>217</v>
      </c>
      <c r="D515" s="637" t="s">
        <v>1693</v>
      </c>
      <c r="E515" s="754"/>
      <c r="F515" s="754"/>
      <c r="G515" s="754"/>
      <c r="H515" s="754"/>
      <c r="I515" s="754"/>
      <c r="J515" s="754" t="s">
        <v>1481</v>
      </c>
      <c r="K515" s="754" t="s">
        <v>45</v>
      </c>
      <c r="L515" s="754" t="s">
        <v>45</v>
      </c>
      <c r="M515" s="754" t="s">
        <v>46</v>
      </c>
      <c r="N515" s="754"/>
      <c r="O515" s="754"/>
      <c r="P515" s="754" t="s">
        <v>775</v>
      </c>
      <c r="Q515" s="754" t="s">
        <v>794</v>
      </c>
      <c r="R515" s="763"/>
      <c r="S515" s="764"/>
      <c r="T515" s="783"/>
      <c r="U515" s="765" t="s">
        <v>1104</v>
      </c>
      <c r="V515" s="754" t="s">
        <v>217</v>
      </c>
      <c r="W515" s="754"/>
    </row>
    <row r="516" spans="1:23" s="75" customFormat="1" ht="14.25" customHeight="1">
      <c r="A516" s="754" t="s">
        <v>39</v>
      </c>
      <c r="B516" s="754" t="s">
        <v>213</v>
      </c>
      <c r="C516" s="754" t="s">
        <v>1026</v>
      </c>
      <c r="D516" s="637" t="s">
        <v>3257</v>
      </c>
      <c r="E516" s="754" t="s">
        <v>1522</v>
      </c>
      <c r="F516" s="754" t="s">
        <v>1901</v>
      </c>
      <c r="G516" s="754" t="s">
        <v>1902</v>
      </c>
      <c r="H516" s="754"/>
      <c r="I516" s="754" t="s">
        <v>2199</v>
      </c>
      <c r="J516" s="754" t="s">
        <v>45</v>
      </c>
      <c r="K516" s="754" t="s">
        <v>45</v>
      </c>
      <c r="L516" s="754" t="s">
        <v>786</v>
      </c>
      <c r="M516" s="754" t="s">
        <v>46</v>
      </c>
      <c r="N516" s="754">
        <v>24.377054000000001</v>
      </c>
      <c r="O516" s="754">
        <v>97.343406999999999</v>
      </c>
      <c r="P516" s="754" t="s">
        <v>787</v>
      </c>
      <c r="Q516" s="754" t="s">
        <v>776</v>
      </c>
      <c r="R516" s="763">
        <v>3</v>
      </c>
      <c r="S516" s="763">
        <v>18</v>
      </c>
      <c r="T516" s="783"/>
      <c r="U516" s="765" t="s">
        <v>1027</v>
      </c>
      <c r="V516" s="754" t="s">
        <v>1026</v>
      </c>
      <c r="W516" s="754"/>
    </row>
    <row r="517" spans="1:23" s="75" customFormat="1" ht="14.25" customHeight="1">
      <c r="A517" s="754" t="s">
        <v>39</v>
      </c>
      <c r="B517" s="754" t="s">
        <v>213</v>
      </c>
      <c r="C517" s="754" t="s">
        <v>297</v>
      </c>
      <c r="D517" s="637" t="s">
        <v>1693</v>
      </c>
      <c r="E517" s="754"/>
      <c r="F517" s="754"/>
      <c r="G517" s="754"/>
      <c r="H517" s="754"/>
      <c r="I517" s="754"/>
      <c r="J517" s="754" t="s">
        <v>1481</v>
      </c>
      <c r="K517" s="754" t="s">
        <v>45</v>
      </c>
      <c r="L517" s="754" t="s">
        <v>1113</v>
      </c>
      <c r="M517" s="754" t="s">
        <v>792</v>
      </c>
      <c r="N517" s="754"/>
      <c r="O517" s="754"/>
      <c r="P517" s="754" t="s">
        <v>775</v>
      </c>
      <c r="Q517" s="754" t="s">
        <v>776</v>
      </c>
      <c r="R517" s="763"/>
      <c r="S517" s="764"/>
      <c r="T517" s="783">
        <v>42849</v>
      </c>
      <c r="U517" s="765"/>
      <c r="V517" s="754"/>
      <c r="W517" s="754"/>
    </row>
    <row r="518" spans="1:23" s="75" customFormat="1" ht="14.25" customHeight="1">
      <c r="A518" s="754" t="s">
        <v>39</v>
      </c>
      <c r="B518" s="754" t="s">
        <v>213</v>
      </c>
      <c r="C518" s="754" t="s">
        <v>289</v>
      </c>
      <c r="D518" s="637" t="s">
        <v>3257</v>
      </c>
      <c r="E518" s="754" t="s">
        <v>1497</v>
      </c>
      <c r="F518" s="754" t="s">
        <v>1813</v>
      </c>
      <c r="G518" s="754" t="s">
        <v>1815</v>
      </c>
      <c r="H518" s="754" t="s">
        <v>43</v>
      </c>
      <c r="I518" s="754" t="s">
        <v>149</v>
      </c>
      <c r="J518" s="754" t="s">
        <v>45</v>
      </c>
      <c r="K518" s="754" t="s">
        <v>45</v>
      </c>
      <c r="L518" s="754" t="s">
        <v>45</v>
      </c>
      <c r="M518" s="754" t="s">
        <v>46</v>
      </c>
      <c r="N518" s="754">
        <v>24.200972</v>
      </c>
      <c r="O518" s="754">
        <v>97.718582999999995</v>
      </c>
      <c r="P518" s="754" t="s">
        <v>775</v>
      </c>
      <c r="Q518" s="754" t="s">
        <v>794</v>
      </c>
      <c r="R518" s="763">
        <v>38</v>
      </c>
      <c r="S518" s="763">
        <v>244</v>
      </c>
      <c r="T518" s="783"/>
      <c r="U518" s="765"/>
      <c r="V518" s="754" t="s">
        <v>289</v>
      </c>
      <c r="W518" s="754"/>
    </row>
    <row r="519" spans="1:23" s="75" customFormat="1" ht="14.25" customHeight="1">
      <c r="A519" s="754" t="s">
        <v>39</v>
      </c>
      <c r="B519" s="754" t="s">
        <v>213</v>
      </c>
      <c r="C519" s="754" t="s">
        <v>290</v>
      </c>
      <c r="D519" s="637" t="s">
        <v>3257</v>
      </c>
      <c r="E519" s="754" t="s">
        <v>1498</v>
      </c>
      <c r="F519" s="754" t="s">
        <v>1813</v>
      </c>
      <c r="G519" s="754" t="s">
        <v>1815</v>
      </c>
      <c r="H519" s="754" t="s">
        <v>43</v>
      </c>
      <c r="I519" s="754" t="s">
        <v>44</v>
      </c>
      <c r="J519" s="754" t="s">
        <v>45</v>
      </c>
      <c r="K519" s="754" t="s">
        <v>45</v>
      </c>
      <c r="L519" s="754" t="s">
        <v>45</v>
      </c>
      <c r="M519" s="754" t="s">
        <v>46</v>
      </c>
      <c r="N519" s="754">
        <v>24.205417000000001</v>
      </c>
      <c r="O519" s="754">
        <v>97.724566999999993</v>
      </c>
      <c r="P519" s="754" t="s">
        <v>775</v>
      </c>
      <c r="Q519" s="754" t="s">
        <v>794</v>
      </c>
      <c r="R519" s="763">
        <v>129</v>
      </c>
      <c r="S519" s="763">
        <v>646</v>
      </c>
      <c r="T519" s="783"/>
      <c r="U519" s="765"/>
      <c r="V519" s="754" t="s">
        <v>290</v>
      </c>
      <c r="W519" s="754"/>
    </row>
    <row r="520" spans="1:23" s="75" customFormat="1" ht="14.25" customHeight="1">
      <c r="A520" s="754" t="s">
        <v>39</v>
      </c>
      <c r="B520" s="754" t="s">
        <v>213</v>
      </c>
      <c r="C520" s="754" t="s">
        <v>1121</v>
      </c>
      <c r="D520" s="637" t="s">
        <v>1693</v>
      </c>
      <c r="E520" s="754"/>
      <c r="F520" s="754"/>
      <c r="G520" s="754"/>
      <c r="H520" s="754"/>
      <c r="I520" s="754"/>
      <c r="J520" s="754" t="s">
        <v>45</v>
      </c>
      <c r="K520" s="754" t="s">
        <v>45</v>
      </c>
      <c r="L520" s="754" t="s">
        <v>1101</v>
      </c>
      <c r="M520" s="754" t="s">
        <v>46</v>
      </c>
      <c r="N520" s="754"/>
      <c r="O520" s="754"/>
      <c r="P520" s="754" t="s">
        <v>775</v>
      </c>
      <c r="Q520" s="754"/>
      <c r="R520" s="763"/>
      <c r="S520" s="764"/>
      <c r="T520" s="783"/>
      <c r="U520" s="765"/>
      <c r="V520" s="754" t="s">
        <v>1122</v>
      </c>
      <c r="W520" s="754"/>
    </row>
    <row r="521" spans="1:23" s="75" customFormat="1" ht="14.25" customHeight="1">
      <c r="A521" s="754" t="s">
        <v>39</v>
      </c>
      <c r="B521" s="754" t="s">
        <v>213</v>
      </c>
      <c r="C521" s="754" t="s">
        <v>1123</v>
      </c>
      <c r="D521" s="637" t="s">
        <v>1693</v>
      </c>
      <c r="E521" s="754"/>
      <c r="F521" s="754"/>
      <c r="G521" s="754"/>
      <c r="H521" s="754"/>
      <c r="I521" s="754"/>
      <c r="J521" s="754" t="s">
        <v>45</v>
      </c>
      <c r="K521" s="754" t="s">
        <v>45</v>
      </c>
      <c r="L521" s="754" t="s">
        <v>1101</v>
      </c>
      <c r="M521" s="754" t="s">
        <v>46</v>
      </c>
      <c r="N521" s="754"/>
      <c r="O521" s="754"/>
      <c r="P521" s="754" t="s">
        <v>775</v>
      </c>
      <c r="Q521" s="754"/>
      <c r="R521" s="763"/>
      <c r="S521" s="764"/>
      <c r="T521" s="783"/>
      <c r="U521" s="765"/>
      <c r="V521" s="754" t="s">
        <v>1124</v>
      </c>
      <c r="W521" s="754"/>
    </row>
    <row r="522" spans="1:23" s="75" customFormat="1" ht="14.25" customHeight="1">
      <c r="A522" s="754" t="s">
        <v>39</v>
      </c>
      <c r="B522" s="754" t="s">
        <v>213</v>
      </c>
      <c r="C522" s="754" t="s">
        <v>1125</v>
      </c>
      <c r="D522" s="637" t="s">
        <v>1693</v>
      </c>
      <c r="E522" s="754"/>
      <c r="F522" s="754"/>
      <c r="G522" s="754"/>
      <c r="H522" s="754"/>
      <c r="I522" s="754"/>
      <c r="J522" s="754" t="s">
        <v>45</v>
      </c>
      <c r="K522" s="754" t="s">
        <v>45</v>
      </c>
      <c r="L522" s="754" t="s">
        <v>1101</v>
      </c>
      <c r="M522" s="754" t="s">
        <v>46</v>
      </c>
      <c r="N522" s="754"/>
      <c r="O522" s="754"/>
      <c r="P522" s="754" t="s">
        <v>775</v>
      </c>
      <c r="Q522" s="754"/>
      <c r="R522" s="763"/>
      <c r="S522" s="764"/>
      <c r="T522" s="783"/>
      <c r="U522" s="765"/>
      <c r="V522" s="754" t="s">
        <v>1126</v>
      </c>
      <c r="W522" s="754"/>
    </row>
    <row r="523" spans="1:23" s="75" customFormat="1" ht="14.25" customHeight="1">
      <c r="A523" s="754" t="s">
        <v>39</v>
      </c>
      <c r="B523" s="754" t="s">
        <v>213</v>
      </c>
      <c r="C523" s="754" t="s">
        <v>291</v>
      </c>
      <c r="D523" s="637" t="s">
        <v>3257</v>
      </c>
      <c r="E523" s="754" t="s">
        <v>1496</v>
      </c>
      <c r="F523" s="754" t="s">
        <v>1813</v>
      </c>
      <c r="G523" s="754" t="s">
        <v>1814</v>
      </c>
      <c r="H523" s="754" t="s">
        <v>43</v>
      </c>
      <c r="I523" s="754" t="s">
        <v>149</v>
      </c>
      <c r="J523" s="754" t="s">
        <v>45</v>
      </c>
      <c r="K523" s="754" t="s">
        <v>45</v>
      </c>
      <c r="L523" s="754" t="s">
        <v>45</v>
      </c>
      <c r="M523" s="754" t="s">
        <v>46</v>
      </c>
      <c r="N523" s="754">
        <v>24.200433</v>
      </c>
      <c r="O523" s="754">
        <v>97.717133000000004</v>
      </c>
      <c r="P523" s="754" t="s">
        <v>775</v>
      </c>
      <c r="Q523" s="754" t="s">
        <v>794</v>
      </c>
      <c r="R523" s="763">
        <v>210</v>
      </c>
      <c r="S523" s="763">
        <v>1212</v>
      </c>
      <c r="T523" s="783"/>
      <c r="U523" s="765"/>
      <c r="V523" s="754" t="s">
        <v>291</v>
      </c>
      <c r="W523" s="754"/>
    </row>
    <row r="524" spans="1:23" s="75" customFormat="1" ht="14.25" customHeight="1">
      <c r="A524" s="754" t="s">
        <v>39</v>
      </c>
      <c r="B524" s="754" t="s">
        <v>213</v>
      </c>
      <c r="C524" s="754" t="s">
        <v>1127</v>
      </c>
      <c r="D524" s="637" t="s">
        <v>1693</v>
      </c>
      <c r="E524" s="754"/>
      <c r="F524" s="754"/>
      <c r="G524" s="754"/>
      <c r="H524" s="754"/>
      <c r="I524" s="754"/>
      <c r="J524" s="754" t="s">
        <v>1113</v>
      </c>
      <c r="K524" s="754" t="s">
        <v>45</v>
      </c>
      <c r="L524" s="754" t="s">
        <v>774</v>
      </c>
      <c r="M524" s="754" t="s">
        <v>46</v>
      </c>
      <c r="N524" s="754"/>
      <c r="O524" s="754"/>
      <c r="P524" s="754" t="s">
        <v>775</v>
      </c>
      <c r="Q524" s="754"/>
      <c r="R524" s="763"/>
      <c r="S524" s="764"/>
      <c r="T524" s="783"/>
      <c r="U524" s="765"/>
      <c r="V524" s="754" t="s">
        <v>1127</v>
      </c>
      <c r="W524" s="754"/>
    </row>
    <row r="525" spans="1:23" s="75" customFormat="1" ht="14.25" customHeight="1">
      <c r="A525" s="754" t="s">
        <v>39</v>
      </c>
      <c r="B525" s="754" t="s">
        <v>213</v>
      </c>
      <c r="C525" s="754" t="s">
        <v>296</v>
      </c>
      <c r="D525" s="637" t="s">
        <v>1693</v>
      </c>
      <c r="E525" s="754"/>
      <c r="F525" s="754"/>
      <c r="G525" s="754"/>
      <c r="H525" s="754"/>
      <c r="I525" s="754"/>
      <c r="J525" s="754" t="s">
        <v>1481</v>
      </c>
      <c r="K525" s="754" t="s">
        <v>45</v>
      </c>
      <c r="L525" s="754" t="s">
        <v>1113</v>
      </c>
      <c r="M525" s="754" t="s">
        <v>46</v>
      </c>
      <c r="N525" s="754"/>
      <c r="O525" s="754"/>
      <c r="P525" s="754" t="s">
        <v>775</v>
      </c>
      <c r="Q525" s="754" t="s">
        <v>776</v>
      </c>
      <c r="R525" s="763"/>
      <c r="S525" s="764"/>
      <c r="T525" s="783">
        <v>42849</v>
      </c>
      <c r="U525" s="765"/>
      <c r="V525" s="754"/>
      <c r="W525" s="754"/>
    </row>
    <row r="526" spans="1:23" s="75" customFormat="1" ht="14.25" customHeight="1">
      <c r="A526" s="754" t="s">
        <v>39</v>
      </c>
      <c r="B526" s="754" t="s">
        <v>213</v>
      </c>
      <c r="C526" s="754" t="s">
        <v>1032</v>
      </c>
      <c r="D526" s="637" t="s">
        <v>1694</v>
      </c>
      <c r="E526" s="754" t="s">
        <v>1526</v>
      </c>
      <c r="F526" s="754" t="s">
        <v>1740</v>
      </c>
      <c r="G526" s="754" t="s">
        <v>1740</v>
      </c>
      <c r="H526" s="754"/>
      <c r="I526" s="754">
        <v>0</v>
      </c>
      <c r="J526" s="754" t="s">
        <v>45</v>
      </c>
      <c r="K526" s="754" t="s">
        <v>45</v>
      </c>
      <c r="L526" s="754" t="s">
        <v>774</v>
      </c>
      <c r="M526" s="754" t="s">
        <v>46</v>
      </c>
      <c r="N526" s="754">
        <v>24.441697000000001</v>
      </c>
      <c r="O526" s="754">
        <v>97.409474000000003</v>
      </c>
      <c r="P526" s="754" t="s">
        <v>787</v>
      </c>
      <c r="Q526" s="754" t="s">
        <v>776</v>
      </c>
      <c r="R526" s="763"/>
      <c r="S526" s="764"/>
      <c r="T526" s="783">
        <v>42983</v>
      </c>
      <c r="U526" s="765" t="s">
        <v>1033</v>
      </c>
      <c r="V526" s="754" t="s">
        <v>1032</v>
      </c>
      <c r="W526" s="570" t="s">
        <v>2232</v>
      </c>
    </row>
    <row r="527" spans="1:23" s="75" customFormat="1" ht="14.25" customHeight="1">
      <c r="A527" s="754" t="s">
        <v>39</v>
      </c>
      <c r="B527" s="754" t="s">
        <v>213</v>
      </c>
      <c r="C527" s="754" t="s">
        <v>218</v>
      </c>
      <c r="D527" s="637" t="s">
        <v>3257</v>
      </c>
      <c r="E527" s="754" t="s">
        <v>1504</v>
      </c>
      <c r="F527" s="754" t="s">
        <v>1819</v>
      </c>
      <c r="G527" s="754" t="s">
        <v>1819</v>
      </c>
      <c r="H527" s="754" t="s">
        <v>43</v>
      </c>
      <c r="I527" s="754" t="s">
        <v>44</v>
      </c>
      <c r="J527" s="754" t="s">
        <v>45</v>
      </c>
      <c r="K527" s="754" t="s">
        <v>45</v>
      </c>
      <c r="L527" s="754" t="s">
        <v>45</v>
      </c>
      <c r="M527" s="754" t="s">
        <v>46</v>
      </c>
      <c r="N527" s="754">
        <v>24.245100000000001</v>
      </c>
      <c r="O527" s="754">
        <v>97.325019999999995</v>
      </c>
      <c r="P527" s="754" t="s">
        <v>775</v>
      </c>
      <c r="Q527" s="754" t="s">
        <v>794</v>
      </c>
      <c r="R527" s="763">
        <v>299</v>
      </c>
      <c r="S527" s="763">
        <v>1373</v>
      </c>
      <c r="T527" s="783"/>
      <c r="U527" s="765"/>
      <c r="V527" s="754" t="s">
        <v>218</v>
      </c>
      <c r="W527" s="754"/>
    </row>
    <row r="528" spans="1:23" s="75" customFormat="1" ht="14.25" customHeight="1">
      <c r="A528" s="754" t="s">
        <v>39</v>
      </c>
      <c r="B528" s="754" t="s">
        <v>213</v>
      </c>
      <c r="C528" s="754" t="s">
        <v>295</v>
      </c>
      <c r="D528" s="637" t="s">
        <v>1693</v>
      </c>
      <c r="E528" s="754"/>
      <c r="F528" s="754"/>
      <c r="G528" s="754"/>
      <c r="H528" s="754"/>
      <c r="I528" s="754"/>
      <c r="J528" s="754" t="s">
        <v>1481</v>
      </c>
      <c r="K528" s="754" t="s">
        <v>45</v>
      </c>
      <c r="L528" s="754" t="s">
        <v>45</v>
      </c>
      <c r="M528" s="754" t="s">
        <v>46</v>
      </c>
      <c r="N528" s="754"/>
      <c r="O528" s="754"/>
      <c r="P528" s="754" t="s">
        <v>775</v>
      </c>
      <c r="Q528" s="754" t="s">
        <v>794</v>
      </c>
      <c r="R528" s="763"/>
      <c r="S528" s="764"/>
      <c r="T528" s="783"/>
      <c r="U528" s="765" t="s">
        <v>1104</v>
      </c>
      <c r="V528" s="754" t="s">
        <v>295</v>
      </c>
      <c r="W528" s="754"/>
    </row>
    <row r="529" spans="1:23" s="75" customFormat="1" ht="14.25" customHeight="1">
      <c r="A529" s="754" t="s">
        <v>39</v>
      </c>
      <c r="B529" s="754" t="s">
        <v>213</v>
      </c>
      <c r="C529" s="754" t="s">
        <v>1030</v>
      </c>
      <c r="D529" s="637" t="s">
        <v>1694</v>
      </c>
      <c r="E529" s="754" t="s">
        <v>1525</v>
      </c>
      <c r="F529" s="754" t="s">
        <v>1739</v>
      </c>
      <c r="G529" s="754" t="s">
        <v>1739</v>
      </c>
      <c r="H529" s="754"/>
      <c r="I529" s="754">
        <v>0</v>
      </c>
      <c r="J529" s="754" t="s">
        <v>45</v>
      </c>
      <c r="K529" s="754" t="s">
        <v>45</v>
      </c>
      <c r="L529" s="754" t="s">
        <v>774</v>
      </c>
      <c r="M529" s="754" t="s">
        <v>46</v>
      </c>
      <c r="N529" s="754">
        <v>24.410008999999999</v>
      </c>
      <c r="O529" s="754">
        <v>97.321659999999994</v>
      </c>
      <c r="P529" s="754" t="s">
        <v>787</v>
      </c>
      <c r="Q529" s="754" t="s">
        <v>776</v>
      </c>
      <c r="R529" s="763"/>
      <c r="S529" s="764"/>
      <c r="T529" s="783">
        <v>42983</v>
      </c>
      <c r="U529" s="765" t="s">
        <v>1031</v>
      </c>
      <c r="V529" s="754" t="s">
        <v>1030</v>
      </c>
      <c r="W529" s="754" t="s">
        <v>2233</v>
      </c>
    </row>
    <row r="530" spans="1:23" s="75" customFormat="1" ht="14.25" customHeight="1">
      <c r="A530" s="754" t="s">
        <v>39</v>
      </c>
      <c r="B530" s="754" t="s">
        <v>213</v>
      </c>
      <c r="C530" s="754" t="s">
        <v>1042</v>
      </c>
      <c r="D530" s="637" t="s">
        <v>1694</v>
      </c>
      <c r="E530" s="754" t="s">
        <v>1536</v>
      </c>
      <c r="F530" s="754" t="s">
        <v>1747</v>
      </c>
      <c r="G530" s="754" t="s">
        <v>1748</v>
      </c>
      <c r="H530" s="754"/>
      <c r="I530" s="754">
        <v>0</v>
      </c>
      <c r="J530" s="754" t="s">
        <v>45</v>
      </c>
      <c r="K530" s="754" t="s">
        <v>45</v>
      </c>
      <c r="L530" s="754" t="s">
        <v>774</v>
      </c>
      <c r="M530" s="754" t="s">
        <v>46</v>
      </c>
      <c r="N530" s="754">
        <v>24.759551999999999</v>
      </c>
      <c r="O530" s="754">
        <v>97.276591999999994</v>
      </c>
      <c r="P530" s="754" t="s">
        <v>787</v>
      </c>
      <c r="Q530" s="754" t="s">
        <v>776</v>
      </c>
      <c r="R530" s="763"/>
      <c r="S530" s="764"/>
      <c r="T530" s="783">
        <v>42983</v>
      </c>
      <c r="U530" s="765" t="s">
        <v>1043</v>
      </c>
      <c r="V530" s="754" t="s">
        <v>1042</v>
      </c>
      <c r="W530" s="570" t="s">
        <v>2234</v>
      </c>
    </row>
    <row r="531" spans="1:23" s="577" customFormat="1" ht="14.25" customHeight="1">
      <c r="A531" s="754" t="s">
        <v>39</v>
      </c>
      <c r="B531" s="754" t="s">
        <v>213</v>
      </c>
      <c r="C531" s="754" t="s">
        <v>219</v>
      </c>
      <c r="D531" s="637" t="s">
        <v>1694</v>
      </c>
      <c r="E531" s="754" t="s">
        <v>1510</v>
      </c>
      <c r="F531" s="754" t="s">
        <v>1708</v>
      </c>
      <c r="G531" s="754" t="s">
        <v>1709</v>
      </c>
      <c r="H531" s="754"/>
      <c r="I531" s="754">
        <v>0</v>
      </c>
      <c r="J531" s="754" t="s">
        <v>45</v>
      </c>
      <c r="K531" s="754" t="s">
        <v>45</v>
      </c>
      <c r="L531" s="754" t="s">
        <v>774</v>
      </c>
      <c r="M531" s="754" t="s">
        <v>46</v>
      </c>
      <c r="N531" s="754">
        <v>24.251860000000001</v>
      </c>
      <c r="O531" s="754">
        <v>97.346940000000004</v>
      </c>
      <c r="P531" s="754" t="s">
        <v>775</v>
      </c>
      <c r="Q531" s="754" t="s">
        <v>794</v>
      </c>
      <c r="R531" s="763"/>
      <c r="S531" s="764"/>
      <c r="T531" s="783"/>
      <c r="U531" s="765" t="s">
        <v>1013</v>
      </c>
      <c r="V531" s="754" t="s">
        <v>219</v>
      </c>
      <c r="W531" s="570" t="s">
        <v>2235</v>
      </c>
    </row>
    <row r="532" spans="1:23" s="75" customFormat="1" ht="14.25" customHeight="1">
      <c r="A532" s="754" t="s">
        <v>39</v>
      </c>
      <c r="B532" s="754" t="s">
        <v>213</v>
      </c>
      <c r="C532" s="754" t="s">
        <v>221</v>
      </c>
      <c r="D532" s="637" t="s">
        <v>3257</v>
      </c>
      <c r="E532" s="754" t="s">
        <v>1507</v>
      </c>
      <c r="F532" s="754" t="s">
        <v>1708</v>
      </c>
      <c r="G532" s="754" t="s">
        <v>1709</v>
      </c>
      <c r="H532" s="754" t="s">
        <v>43</v>
      </c>
      <c r="I532" s="754" t="s">
        <v>149</v>
      </c>
      <c r="J532" s="754" t="s">
        <v>45</v>
      </c>
      <c r="K532" s="754" t="s">
        <v>45</v>
      </c>
      <c r="L532" s="754" t="s">
        <v>45</v>
      </c>
      <c r="M532" s="754" t="s">
        <v>46</v>
      </c>
      <c r="N532" s="754">
        <v>24.250689999999999</v>
      </c>
      <c r="O532" s="754">
        <v>97.344359999999995</v>
      </c>
      <c r="P532" s="754" t="s">
        <v>775</v>
      </c>
      <c r="Q532" s="754" t="s">
        <v>794</v>
      </c>
      <c r="R532" s="763">
        <v>427</v>
      </c>
      <c r="S532" s="763">
        <v>2006</v>
      </c>
      <c r="T532" s="783"/>
      <c r="U532" s="765"/>
      <c r="V532" s="754" t="s">
        <v>221</v>
      </c>
      <c r="W532" s="754"/>
    </row>
    <row r="533" spans="1:23" s="75" customFormat="1" ht="14.25" customHeight="1">
      <c r="A533" s="754" t="s">
        <v>39</v>
      </c>
      <c r="B533" s="754" t="s">
        <v>213</v>
      </c>
      <c r="C533" s="754" t="s">
        <v>1020</v>
      </c>
      <c r="D533" s="637" t="s">
        <v>1694</v>
      </c>
      <c r="E533" s="754" t="s">
        <v>1509</v>
      </c>
      <c r="F533" s="754" t="s">
        <v>1708</v>
      </c>
      <c r="G533" s="754" t="s">
        <v>1738</v>
      </c>
      <c r="H533" s="754" t="s">
        <v>43</v>
      </c>
      <c r="I533" s="754" t="s">
        <v>44</v>
      </c>
      <c r="J533" s="754" t="s">
        <v>45</v>
      </c>
      <c r="K533" s="754" t="s">
        <v>45</v>
      </c>
      <c r="L533" s="754" t="s">
        <v>774</v>
      </c>
      <c r="M533" s="754" t="s">
        <v>46</v>
      </c>
      <c r="N533" s="754">
        <v>24.25177</v>
      </c>
      <c r="O533" s="754">
        <v>97.346950000000007</v>
      </c>
      <c r="P533" s="754" t="s">
        <v>775</v>
      </c>
      <c r="Q533" s="754"/>
      <c r="R533" s="763"/>
      <c r="S533" s="764"/>
      <c r="T533" s="783"/>
      <c r="U533" s="765"/>
      <c r="V533" s="754" t="s">
        <v>1020</v>
      </c>
      <c r="W533" s="754" t="s">
        <v>2236</v>
      </c>
    </row>
    <row r="534" spans="1:23" s="75" customFormat="1" ht="14.25" customHeight="1">
      <c r="A534" s="768" t="s">
        <v>39</v>
      </c>
      <c r="B534" s="767" t="s">
        <v>213</v>
      </c>
      <c r="C534" s="760" t="s">
        <v>2003</v>
      </c>
      <c r="D534" s="761"/>
      <c r="E534" s="754"/>
      <c r="F534" s="754"/>
      <c r="G534" s="754"/>
      <c r="H534" s="754"/>
      <c r="I534" s="754"/>
      <c r="J534" s="754" t="s">
        <v>1481</v>
      </c>
      <c r="K534" s="754" t="s">
        <v>45</v>
      </c>
      <c r="L534" s="754" t="s">
        <v>45</v>
      </c>
      <c r="M534" s="754" t="s">
        <v>46</v>
      </c>
      <c r="N534" s="754"/>
      <c r="O534" s="754"/>
      <c r="P534" s="754" t="s">
        <v>775</v>
      </c>
      <c r="Q534" s="754" t="s">
        <v>1999</v>
      </c>
      <c r="R534" s="771"/>
      <c r="S534" s="764"/>
      <c r="T534" s="783">
        <v>43270</v>
      </c>
      <c r="U534" s="765"/>
      <c r="V534" s="754"/>
      <c r="W534" s="754"/>
    </row>
    <row r="535" spans="1:23" s="75" customFormat="1" ht="14.25" customHeight="1">
      <c r="A535" s="754" t="s">
        <v>39</v>
      </c>
      <c r="B535" s="754" t="s">
        <v>213</v>
      </c>
      <c r="C535" s="754" t="s">
        <v>1018</v>
      </c>
      <c r="D535" s="637" t="s">
        <v>3257</v>
      </c>
      <c r="E535" s="754" t="s">
        <v>1508</v>
      </c>
      <c r="F535" s="754"/>
      <c r="G535" s="754"/>
      <c r="H535" s="754"/>
      <c r="I535" s="754" t="s">
        <v>2199</v>
      </c>
      <c r="J535" s="754" t="s">
        <v>45</v>
      </c>
      <c r="K535" s="754" t="s">
        <v>45</v>
      </c>
      <c r="L535" s="754" t="s">
        <v>786</v>
      </c>
      <c r="M535" s="754" t="s">
        <v>46</v>
      </c>
      <c r="N535" s="754">
        <v>24.251232000000002</v>
      </c>
      <c r="O535" s="754">
        <v>97.348405</v>
      </c>
      <c r="P535" s="754" t="s">
        <v>787</v>
      </c>
      <c r="Q535" s="754" t="s">
        <v>776</v>
      </c>
      <c r="R535" s="763">
        <v>223</v>
      </c>
      <c r="S535" s="763">
        <v>1067</v>
      </c>
      <c r="T535" s="783"/>
      <c r="U535" s="765" t="s">
        <v>1010</v>
      </c>
      <c r="V535" s="754" t="s">
        <v>1019</v>
      </c>
      <c r="W535" s="754"/>
    </row>
    <row r="536" spans="1:23" s="75" customFormat="1" ht="14.25" customHeight="1">
      <c r="A536" s="754" t="s">
        <v>39</v>
      </c>
      <c r="B536" s="754" t="s">
        <v>213</v>
      </c>
      <c r="C536" s="754" t="s">
        <v>1028</v>
      </c>
      <c r="D536" s="637" t="s">
        <v>3257</v>
      </c>
      <c r="E536" s="754" t="s">
        <v>1524</v>
      </c>
      <c r="F536" s="754" t="s">
        <v>1901</v>
      </c>
      <c r="G536" s="754" t="s">
        <v>1901</v>
      </c>
      <c r="H536" s="754"/>
      <c r="I536" s="754" t="s">
        <v>2199</v>
      </c>
      <c r="J536" s="754" t="s">
        <v>45</v>
      </c>
      <c r="K536" s="754" t="s">
        <v>45</v>
      </c>
      <c r="L536" s="754" t="s">
        <v>786</v>
      </c>
      <c r="M536" s="754" t="s">
        <v>46</v>
      </c>
      <c r="N536" s="754">
        <v>24.404876999999999</v>
      </c>
      <c r="O536" s="754">
        <v>97.407787999999996</v>
      </c>
      <c r="P536" s="754" t="s">
        <v>787</v>
      </c>
      <c r="Q536" s="754" t="s">
        <v>776</v>
      </c>
      <c r="R536" s="763">
        <v>26</v>
      </c>
      <c r="S536" s="763">
        <v>137</v>
      </c>
      <c r="T536" s="783"/>
      <c r="U536" s="765" t="s">
        <v>1029</v>
      </c>
      <c r="V536" s="754" t="s">
        <v>1028</v>
      </c>
      <c r="W536" s="754"/>
    </row>
    <row r="537" spans="1:23" s="75" customFormat="1" ht="14.25" customHeight="1">
      <c r="A537" s="754" t="s">
        <v>39</v>
      </c>
      <c r="B537" s="754" t="s">
        <v>213</v>
      </c>
      <c r="C537" s="754" t="s">
        <v>303</v>
      </c>
      <c r="D537" s="637" t="s">
        <v>3257</v>
      </c>
      <c r="E537" s="754" t="s">
        <v>1523</v>
      </c>
      <c r="F537" s="754" t="s">
        <v>1828</v>
      </c>
      <c r="G537" s="754" t="s">
        <v>1829</v>
      </c>
      <c r="H537" s="754" t="s">
        <v>43</v>
      </c>
      <c r="I537" s="754" t="s">
        <v>44</v>
      </c>
      <c r="J537" s="754" t="s">
        <v>45</v>
      </c>
      <c r="K537" s="754" t="s">
        <v>45</v>
      </c>
      <c r="L537" s="754" t="s">
        <v>45</v>
      </c>
      <c r="M537" s="754" t="s">
        <v>792</v>
      </c>
      <c r="N537" s="754">
        <v>24.378167000000001</v>
      </c>
      <c r="O537" s="754">
        <v>97.669366999999994</v>
      </c>
      <c r="P537" s="754" t="s">
        <v>775</v>
      </c>
      <c r="Q537" s="754" t="s">
        <v>776</v>
      </c>
      <c r="R537" s="763">
        <v>354</v>
      </c>
      <c r="S537" s="763">
        <v>1546</v>
      </c>
      <c r="T537" s="783"/>
      <c r="U537" s="765"/>
      <c r="V537" s="754" t="s">
        <v>303</v>
      </c>
      <c r="W537" s="754"/>
    </row>
    <row r="538" spans="1:23" s="75" customFormat="1" ht="14.25" customHeight="1">
      <c r="A538" s="754" t="s">
        <v>39</v>
      </c>
      <c r="B538" s="754" t="s">
        <v>213</v>
      </c>
      <c r="C538" s="754" t="s">
        <v>1021</v>
      </c>
      <c r="D538" s="637" t="s">
        <v>1694</v>
      </c>
      <c r="E538" s="754" t="s">
        <v>1512</v>
      </c>
      <c r="F538" s="754" t="s">
        <v>1708</v>
      </c>
      <c r="G538" s="754" t="s">
        <v>1709</v>
      </c>
      <c r="H538" s="754" t="s">
        <v>43</v>
      </c>
      <c r="I538" s="754" t="s">
        <v>250</v>
      </c>
      <c r="J538" s="754" t="s">
        <v>45</v>
      </c>
      <c r="K538" s="754" t="s">
        <v>45</v>
      </c>
      <c r="L538" s="754" t="s">
        <v>774</v>
      </c>
      <c r="M538" s="754" t="s">
        <v>46</v>
      </c>
      <c r="N538" s="754">
        <v>24.253769999999999</v>
      </c>
      <c r="O538" s="754">
        <v>97.347740000000002</v>
      </c>
      <c r="P538" s="754" t="s">
        <v>775</v>
      </c>
      <c r="Q538" s="754"/>
      <c r="R538" s="763"/>
      <c r="S538" s="764"/>
      <c r="T538" s="783"/>
      <c r="U538" s="765"/>
      <c r="V538" s="754" t="s">
        <v>1021</v>
      </c>
      <c r="W538" s="570" t="s">
        <v>2237</v>
      </c>
    </row>
    <row r="539" spans="1:23" s="75" customFormat="1" ht="14.25" customHeight="1">
      <c r="A539" s="754" t="s">
        <v>39</v>
      </c>
      <c r="B539" s="754" t="s">
        <v>213</v>
      </c>
      <c r="C539" s="754" t="s">
        <v>292</v>
      </c>
      <c r="D539" s="637" t="s">
        <v>3257</v>
      </c>
      <c r="E539" s="754" t="s">
        <v>1499</v>
      </c>
      <c r="F539" s="754" t="s">
        <v>1813</v>
      </c>
      <c r="G539" s="754" t="s">
        <v>1814</v>
      </c>
      <c r="H539" s="754" t="s">
        <v>43</v>
      </c>
      <c r="I539" s="754" t="s">
        <v>149</v>
      </c>
      <c r="J539" s="754" t="s">
        <v>45</v>
      </c>
      <c r="K539" s="754" t="s">
        <v>45</v>
      </c>
      <c r="L539" s="754" t="s">
        <v>45</v>
      </c>
      <c r="M539" s="754" t="s">
        <v>46</v>
      </c>
      <c r="N539" s="754">
        <v>24.205417000000001</v>
      </c>
      <c r="O539" s="754">
        <v>97.724483000000006</v>
      </c>
      <c r="P539" s="754" t="s">
        <v>775</v>
      </c>
      <c r="Q539" s="754" t="s">
        <v>794</v>
      </c>
      <c r="R539" s="763">
        <v>49</v>
      </c>
      <c r="S539" s="763">
        <v>300</v>
      </c>
      <c r="T539" s="783"/>
      <c r="U539" s="765"/>
      <c r="V539" s="754" t="s">
        <v>292</v>
      </c>
      <c r="W539" s="754"/>
    </row>
    <row r="540" spans="1:23" s="75" customFormat="1" ht="14.25" customHeight="1">
      <c r="A540" s="754" t="s">
        <v>39</v>
      </c>
      <c r="B540" s="754" t="s">
        <v>213</v>
      </c>
      <c r="C540" s="754" t="s">
        <v>304</v>
      </c>
      <c r="D540" s="637" t="s">
        <v>3257</v>
      </c>
      <c r="E540" s="754" t="s">
        <v>1519</v>
      </c>
      <c r="F540" s="754" t="s">
        <v>1825</v>
      </c>
      <c r="G540" s="754" t="s">
        <v>1826</v>
      </c>
      <c r="H540" s="754" t="s">
        <v>43</v>
      </c>
      <c r="I540" s="754" t="s">
        <v>44</v>
      </c>
      <c r="J540" s="754" t="s">
        <v>45</v>
      </c>
      <c r="K540" s="754" t="s">
        <v>45</v>
      </c>
      <c r="L540" s="754" t="s">
        <v>45</v>
      </c>
      <c r="M540" s="754" t="s">
        <v>792</v>
      </c>
      <c r="N540" s="754">
        <v>24.2744</v>
      </c>
      <c r="O540" s="754">
        <v>97.752667000000002</v>
      </c>
      <c r="P540" s="754" t="s">
        <v>775</v>
      </c>
      <c r="Q540" s="754" t="s">
        <v>776</v>
      </c>
      <c r="R540" s="763">
        <v>632</v>
      </c>
      <c r="S540" s="763">
        <v>3550</v>
      </c>
      <c r="T540" s="783"/>
      <c r="U540" s="765"/>
      <c r="V540" s="754" t="s">
        <v>304</v>
      </c>
      <c r="W540" s="754"/>
    </row>
    <row r="541" spans="1:23" s="75" customFormat="1" ht="14.25" customHeight="1">
      <c r="A541" s="754" t="s">
        <v>39</v>
      </c>
      <c r="B541" s="754" t="s">
        <v>213</v>
      </c>
      <c r="C541" s="754" t="s">
        <v>1142</v>
      </c>
      <c r="D541" s="637" t="s">
        <v>1693</v>
      </c>
      <c r="E541" s="754"/>
      <c r="F541" s="754"/>
      <c r="G541" s="754"/>
      <c r="H541" s="754"/>
      <c r="I541" s="754"/>
      <c r="J541" s="754" t="s">
        <v>45</v>
      </c>
      <c r="K541" s="754" t="s">
        <v>45</v>
      </c>
      <c r="L541" s="754" t="s">
        <v>1101</v>
      </c>
      <c r="M541" s="754" t="s">
        <v>792</v>
      </c>
      <c r="N541" s="754"/>
      <c r="O541" s="754"/>
      <c r="P541" s="754" t="s">
        <v>775</v>
      </c>
      <c r="Q541" s="754"/>
      <c r="R541" s="763"/>
      <c r="S541" s="764"/>
      <c r="T541" s="783"/>
      <c r="U541" s="765"/>
      <c r="V541" s="754" t="s">
        <v>1142</v>
      </c>
      <c r="W541" s="754"/>
    </row>
    <row r="542" spans="1:23" s="75" customFormat="1" ht="14.25" customHeight="1">
      <c r="A542" s="754" t="s">
        <v>39</v>
      </c>
      <c r="B542" s="754" t="s">
        <v>213</v>
      </c>
      <c r="C542" s="754" t="s">
        <v>1143</v>
      </c>
      <c r="D542" s="637" t="s">
        <v>1693</v>
      </c>
      <c r="E542" s="754"/>
      <c r="F542" s="754"/>
      <c r="G542" s="754"/>
      <c r="H542" s="754"/>
      <c r="I542" s="754"/>
      <c r="J542" s="754" t="s">
        <v>45</v>
      </c>
      <c r="K542" s="754" t="s">
        <v>45</v>
      </c>
      <c r="L542" s="754" t="s">
        <v>1101</v>
      </c>
      <c r="M542" s="754" t="s">
        <v>792</v>
      </c>
      <c r="N542" s="754"/>
      <c r="O542" s="754"/>
      <c r="P542" s="754" t="s">
        <v>775</v>
      </c>
      <c r="Q542" s="754"/>
      <c r="R542" s="763"/>
      <c r="S542" s="764"/>
      <c r="T542" s="783"/>
      <c r="U542" s="765"/>
      <c r="V542" s="754" t="s">
        <v>1143</v>
      </c>
      <c r="W542" s="754"/>
    </row>
    <row r="543" spans="1:23" s="75" customFormat="1" ht="14.25" customHeight="1">
      <c r="A543" s="754" t="s">
        <v>39</v>
      </c>
      <c r="B543" s="754" t="s">
        <v>213</v>
      </c>
      <c r="C543" s="754" t="s">
        <v>1144</v>
      </c>
      <c r="D543" s="637" t="s">
        <v>1693</v>
      </c>
      <c r="E543" s="754"/>
      <c r="F543" s="754"/>
      <c r="G543" s="754"/>
      <c r="H543" s="754"/>
      <c r="I543" s="754"/>
      <c r="J543" s="754" t="s">
        <v>1113</v>
      </c>
      <c r="K543" s="754" t="s">
        <v>45</v>
      </c>
      <c r="L543" s="754" t="s">
        <v>774</v>
      </c>
      <c r="M543" s="754" t="s">
        <v>792</v>
      </c>
      <c r="N543" s="754"/>
      <c r="O543" s="754"/>
      <c r="P543" s="754" t="s">
        <v>775</v>
      </c>
      <c r="Q543" s="754"/>
      <c r="R543" s="763"/>
      <c r="S543" s="764"/>
      <c r="T543" s="783"/>
      <c r="U543" s="765"/>
      <c r="V543" s="754" t="s">
        <v>1144</v>
      </c>
      <c r="W543" s="754"/>
    </row>
    <row r="544" spans="1:23" s="75" customFormat="1" ht="14.25" customHeight="1">
      <c r="A544" s="760" t="s">
        <v>39</v>
      </c>
      <c r="B544" s="760" t="s">
        <v>213</v>
      </c>
      <c r="C544" s="760" t="s">
        <v>1145</v>
      </c>
      <c r="D544" s="639" t="s">
        <v>1693</v>
      </c>
      <c r="E544" s="760"/>
      <c r="F544" s="760"/>
      <c r="G544" s="760"/>
      <c r="H544" s="760"/>
      <c r="I544" s="760"/>
      <c r="J544" s="760" t="s">
        <v>1113</v>
      </c>
      <c r="K544" s="760" t="s">
        <v>45</v>
      </c>
      <c r="L544" s="760" t="s">
        <v>774</v>
      </c>
      <c r="M544" s="760" t="s">
        <v>792</v>
      </c>
      <c r="N544" s="760"/>
      <c r="O544" s="760"/>
      <c r="P544" s="754" t="s">
        <v>775</v>
      </c>
      <c r="Q544" s="760"/>
      <c r="R544" s="767"/>
      <c r="S544" s="768"/>
      <c r="T544" s="784"/>
      <c r="U544" s="769"/>
      <c r="V544" s="760" t="s">
        <v>1145</v>
      </c>
      <c r="W544" s="754"/>
    </row>
    <row r="545" spans="1:23" s="75" customFormat="1" ht="14.25" customHeight="1">
      <c r="A545" s="754" t="s">
        <v>39</v>
      </c>
      <c r="B545" s="754" t="s">
        <v>213</v>
      </c>
      <c r="C545" s="754" t="s">
        <v>1146</v>
      </c>
      <c r="D545" s="637" t="s">
        <v>1693</v>
      </c>
      <c r="E545" s="754"/>
      <c r="F545" s="754"/>
      <c r="G545" s="754"/>
      <c r="H545" s="754"/>
      <c r="I545" s="754"/>
      <c r="J545" s="754" t="s">
        <v>812</v>
      </c>
      <c r="K545" s="754" t="s">
        <v>812</v>
      </c>
      <c r="L545" s="754" t="s">
        <v>812</v>
      </c>
      <c r="M545" s="754" t="s">
        <v>792</v>
      </c>
      <c r="N545" s="754"/>
      <c r="O545" s="754"/>
      <c r="P545" s="754" t="s">
        <v>813</v>
      </c>
      <c r="Q545" s="754"/>
      <c r="R545" s="763"/>
      <c r="S545" s="764"/>
      <c r="T545" s="783"/>
      <c r="U545" s="765"/>
      <c r="V545" s="754" t="s">
        <v>1146</v>
      </c>
      <c r="W545" s="754"/>
    </row>
    <row r="546" spans="1:23" s="75" customFormat="1" ht="14.25" customHeight="1">
      <c r="A546" s="754" t="s">
        <v>39</v>
      </c>
      <c r="B546" s="754" t="s">
        <v>213</v>
      </c>
      <c r="C546" s="754" t="s">
        <v>1147</v>
      </c>
      <c r="D546" s="637" t="s">
        <v>1693</v>
      </c>
      <c r="E546" s="754"/>
      <c r="F546" s="754"/>
      <c r="G546" s="754"/>
      <c r="H546" s="754"/>
      <c r="I546" s="754"/>
      <c r="J546" s="754" t="s">
        <v>1113</v>
      </c>
      <c r="K546" s="754" t="s">
        <v>45</v>
      </c>
      <c r="L546" s="754" t="s">
        <v>774</v>
      </c>
      <c r="M546" s="754" t="s">
        <v>792</v>
      </c>
      <c r="N546" s="754"/>
      <c r="O546" s="754"/>
      <c r="P546" s="754" t="s">
        <v>775</v>
      </c>
      <c r="Q546" s="754"/>
      <c r="R546" s="763"/>
      <c r="S546" s="764"/>
      <c r="T546" s="783"/>
      <c r="U546" s="765"/>
      <c r="V546" s="754" t="s">
        <v>1147</v>
      </c>
      <c r="W546" s="754"/>
    </row>
    <row r="547" spans="1:23" s="75" customFormat="1" ht="14.25" customHeight="1">
      <c r="A547" s="754" t="s">
        <v>39</v>
      </c>
      <c r="B547" s="754" t="s">
        <v>213</v>
      </c>
      <c r="C547" s="754" t="s">
        <v>1037</v>
      </c>
      <c r="D547" s="637" t="s">
        <v>1694</v>
      </c>
      <c r="E547" s="754" t="s">
        <v>1530</v>
      </c>
      <c r="F547" s="754" t="s">
        <v>1744</v>
      </c>
      <c r="G547" s="754" t="s">
        <v>1745</v>
      </c>
      <c r="H547" s="754"/>
      <c r="I547" s="754">
        <v>0</v>
      </c>
      <c r="J547" s="754" t="s">
        <v>45</v>
      </c>
      <c r="K547" s="754" t="s">
        <v>45</v>
      </c>
      <c r="L547" s="754" t="s">
        <v>774</v>
      </c>
      <c r="M547" s="754" t="s">
        <v>46</v>
      </c>
      <c r="N547" s="754">
        <v>24.630859999999998</v>
      </c>
      <c r="O547" s="754">
        <v>97.429860000000005</v>
      </c>
      <c r="P547" s="754" t="s">
        <v>787</v>
      </c>
      <c r="Q547" s="754" t="s">
        <v>776</v>
      </c>
      <c r="R547" s="763"/>
      <c r="S547" s="764"/>
      <c r="T547" s="783">
        <v>42983</v>
      </c>
      <c r="U547" s="765" t="s">
        <v>1038</v>
      </c>
      <c r="V547" s="754" t="s">
        <v>1037</v>
      </c>
      <c r="W547" s="570" t="s">
        <v>2238</v>
      </c>
    </row>
    <row r="548" spans="1:23" s="75" customFormat="1" ht="14.25" customHeight="1">
      <c r="A548" s="754" t="s">
        <v>39</v>
      </c>
      <c r="B548" s="760" t="s">
        <v>213</v>
      </c>
      <c r="C548" s="760" t="s">
        <v>294</v>
      </c>
      <c r="D548" s="637" t="s">
        <v>3257</v>
      </c>
      <c r="E548" s="754" t="s">
        <v>1501</v>
      </c>
      <c r="F548" s="754" t="s">
        <v>1813</v>
      </c>
      <c r="G548" s="754" t="s">
        <v>1816</v>
      </c>
      <c r="H548" s="754" t="s">
        <v>43</v>
      </c>
      <c r="I548" s="754" t="s">
        <v>149</v>
      </c>
      <c r="J548" s="754" t="s">
        <v>45</v>
      </c>
      <c r="K548" s="754" t="s">
        <v>45</v>
      </c>
      <c r="L548" s="754" t="s">
        <v>45</v>
      </c>
      <c r="M548" s="754" t="s">
        <v>46</v>
      </c>
      <c r="N548" s="754">
        <v>24.207332999999998</v>
      </c>
      <c r="O548" s="754">
        <v>97.710864000000001</v>
      </c>
      <c r="P548" s="754" t="s">
        <v>775</v>
      </c>
      <c r="Q548" s="754" t="s">
        <v>794</v>
      </c>
      <c r="R548" s="763">
        <v>44</v>
      </c>
      <c r="S548" s="763">
        <v>276</v>
      </c>
      <c r="T548" s="783"/>
      <c r="U548" s="765"/>
      <c r="V548" s="754" t="s">
        <v>294</v>
      </c>
      <c r="W548" s="754"/>
    </row>
    <row r="549" spans="1:23" s="75" customFormat="1" ht="14.25" customHeight="1">
      <c r="A549" s="754" t="s">
        <v>39</v>
      </c>
      <c r="B549" s="760" t="s">
        <v>213</v>
      </c>
      <c r="C549" s="760" t="s">
        <v>1034</v>
      </c>
      <c r="D549" s="637" t="s">
        <v>1694</v>
      </c>
      <c r="E549" s="754" t="s">
        <v>1528</v>
      </c>
      <c r="F549" s="754" t="s">
        <v>1741</v>
      </c>
      <c r="G549" s="754" t="s">
        <v>1741</v>
      </c>
      <c r="H549" s="754"/>
      <c r="I549" s="754">
        <v>0</v>
      </c>
      <c r="J549" s="754" t="s">
        <v>45</v>
      </c>
      <c r="K549" s="754" t="s">
        <v>45</v>
      </c>
      <c r="L549" s="754" t="s">
        <v>774</v>
      </c>
      <c r="M549" s="754" t="s">
        <v>46</v>
      </c>
      <c r="N549" s="754">
        <v>24.492493</v>
      </c>
      <c r="O549" s="754">
        <v>97.416826999999998</v>
      </c>
      <c r="P549" s="754" t="s">
        <v>787</v>
      </c>
      <c r="Q549" s="754" t="s">
        <v>776</v>
      </c>
      <c r="R549" s="763"/>
      <c r="S549" s="764"/>
      <c r="T549" s="783">
        <v>42983</v>
      </c>
      <c r="U549" s="765" t="s">
        <v>1031</v>
      </c>
      <c r="V549" s="754" t="s">
        <v>1034</v>
      </c>
      <c r="W549" s="570" t="s">
        <v>2239</v>
      </c>
    </row>
    <row r="550" spans="1:23" s="75" customFormat="1" ht="14.25" customHeight="1">
      <c r="A550" s="754" t="s">
        <v>39</v>
      </c>
      <c r="B550" s="754" t="s">
        <v>167</v>
      </c>
      <c r="C550" s="754" t="s">
        <v>1102</v>
      </c>
      <c r="D550" s="637" t="s">
        <v>1694</v>
      </c>
      <c r="E550" s="754" t="s">
        <v>2027</v>
      </c>
      <c r="F550" s="754" t="s">
        <v>1754</v>
      </c>
      <c r="G550" s="754" t="s">
        <v>1769</v>
      </c>
      <c r="H550" s="754"/>
      <c r="I550" s="754" t="s">
        <v>2199</v>
      </c>
      <c r="J550" s="754" t="s">
        <v>45</v>
      </c>
      <c r="K550" s="754" t="s">
        <v>45</v>
      </c>
      <c r="L550" s="754" t="s">
        <v>774</v>
      </c>
      <c r="M550" s="754" t="s">
        <v>46</v>
      </c>
      <c r="N550" s="754"/>
      <c r="O550" s="754"/>
      <c r="P550" s="754" t="s">
        <v>775</v>
      </c>
      <c r="Q550" s="754" t="s">
        <v>940</v>
      </c>
      <c r="R550" s="763"/>
      <c r="S550" s="764"/>
      <c r="T550" s="783"/>
      <c r="U550" s="765" t="s">
        <v>1103</v>
      </c>
      <c r="V550" s="754"/>
      <c r="W550" s="754" t="s">
        <v>2240</v>
      </c>
    </row>
    <row r="551" spans="1:23" s="75" customFormat="1" ht="14.25" customHeight="1">
      <c r="A551" s="764" t="s">
        <v>39</v>
      </c>
      <c r="B551" s="767" t="s">
        <v>167</v>
      </c>
      <c r="C551" s="768" t="s">
        <v>2091</v>
      </c>
      <c r="D551" s="761"/>
      <c r="E551" s="754"/>
      <c r="F551" s="754"/>
      <c r="G551" s="754"/>
      <c r="H551" s="754"/>
      <c r="I551" s="754"/>
      <c r="J551" s="754" t="s">
        <v>1481</v>
      </c>
      <c r="K551" s="760" t="s">
        <v>45</v>
      </c>
      <c r="L551" s="760" t="s">
        <v>790</v>
      </c>
      <c r="M551" s="754" t="s">
        <v>792</v>
      </c>
      <c r="N551" s="754"/>
      <c r="O551" s="754"/>
      <c r="P551" s="754" t="s">
        <v>775</v>
      </c>
      <c r="Q551" s="754"/>
      <c r="R551" s="771"/>
      <c r="S551" s="764"/>
      <c r="T551" s="783">
        <v>43298</v>
      </c>
      <c r="U551" s="765"/>
      <c r="V551" s="754"/>
      <c r="W551" s="754"/>
    </row>
    <row r="552" spans="1:23" s="75" customFormat="1" ht="14.25" customHeight="1">
      <c r="A552" s="754" t="s">
        <v>39</v>
      </c>
      <c r="B552" s="754" t="s">
        <v>167</v>
      </c>
      <c r="C552" s="754" t="s">
        <v>168</v>
      </c>
      <c r="D552" s="637" t="s">
        <v>3257</v>
      </c>
      <c r="E552" s="754" t="s">
        <v>1574</v>
      </c>
      <c r="F552" s="754" t="s">
        <v>1754</v>
      </c>
      <c r="G552" s="754" t="s">
        <v>1856</v>
      </c>
      <c r="H552" s="754" t="s">
        <v>43</v>
      </c>
      <c r="I552" s="754" t="s">
        <v>149</v>
      </c>
      <c r="J552" s="754" t="s">
        <v>45</v>
      </c>
      <c r="K552" s="754" t="s">
        <v>45</v>
      </c>
      <c r="L552" s="754" t="s">
        <v>45</v>
      </c>
      <c r="M552" s="754" t="s">
        <v>46</v>
      </c>
      <c r="N552" s="754">
        <v>25.395974089999999</v>
      </c>
      <c r="O552" s="754">
        <v>97.382997579999994</v>
      </c>
      <c r="P552" s="754" t="s">
        <v>775</v>
      </c>
      <c r="Q552" s="754" t="s">
        <v>794</v>
      </c>
      <c r="R552" s="763">
        <v>44</v>
      </c>
      <c r="S552" s="763">
        <v>197</v>
      </c>
      <c r="T552" s="783">
        <v>42983</v>
      </c>
      <c r="U552" s="765" t="s">
        <v>1065</v>
      </c>
      <c r="V552" s="754" t="s">
        <v>1066</v>
      </c>
      <c r="W552" s="754"/>
    </row>
    <row r="553" spans="1:23" s="75" customFormat="1" ht="14.25" customHeight="1">
      <c r="A553" s="754" t="s">
        <v>39</v>
      </c>
      <c r="B553" s="754" t="s">
        <v>167</v>
      </c>
      <c r="C553" s="754" t="s">
        <v>1068</v>
      </c>
      <c r="D553" s="637" t="s">
        <v>1693</v>
      </c>
      <c r="E553" s="754" t="s">
        <v>1576</v>
      </c>
      <c r="F553" s="754"/>
      <c r="G553" s="754"/>
      <c r="H553" s="754"/>
      <c r="I553" s="754"/>
      <c r="J553" s="754" t="s">
        <v>45</v>
      </c>
      <c r="K553" s="754" t="s">
        <v>45</v>
      </c>
      <c r="L553" s="754" t="s">
        <v>774</v>
      </c>
      <c r="M553" s="754" t="s">
        <v>46</v>
      </c>
      <c r="N553" s="754">
        <v>25.400270190000001</v>
      </c>
      <c r="O553" s="754">
        <v>97.384729629999995</v>
      </c>
      <c r="P553" s="754" t="s">
        <v>775</v>
      </c>
      <c r="Q553" s="754" t="s">
        <v>794</v>
      </c>
      <c r="R553" s="763"/>
      <c r="S553" s="764"/>
      <c r="T553" s="783"/>
      <c r="U553" s="765" t="s">
        <v>1065</v>
      </c>
      <c r="V553" s="754" t="s">
        <v>1068</v>
      </c>
      <c r="W553" s="754"/>
    </row>
    <row r="554" spans="1:23" s="75" customFormat="1" ht="14.25" customHeight="1">
      <c r="A554" s="754" t="s">
        <v>39</v>
      </c>
      <c r="B554" s="754" t="s">
        <v>167</v>
      </c>
      <c r="C554" s="754" t="s">
        <v>1066</v>
      </c>
      <c r="D554" s="637" t="s">
        <v>1693</v>
      </c>
      <c r="E554" s="754"/>
      <c r="F554" s="754"/>
      <c r="G554" s="754"/>
      <c r="H554" s="754"/>
      <c r="I554" s="754"/>
      <c r="J554" s="754" t="s">
        <v>45</v>
      </c>
      <c r="K554" s="754" t="s">
        <v>45</v>
      </c>
      <c r="L554" s="754" t="s">
        <v>774</v>
      </c>
      <c r="M554" s="754" t="s">
        <v>46</v>
      </c>
      <c r="N554" s="754">
        <v>25.395974089999999</v>
      </c>
      <c r="O554" s="754">
        <v>97.382997579999994</v>
      </c>
      <c r="P554" s="754" t="s">
        <v>775</v>
      </c>
      <c r="Q554" s="754" t="s">
        <v>794</v>
      </c>
      <c r="R554" s="763"/>
      <c r="S554" s="764"/>
      <c r="T554" s="783"/>
      <c r="U554" s="765"/>
      <c r="V554" s="754" t="s">
        <v>1066</v>
      </c>
      <c r="W554" s="754"/>
    </row>
    <row r="555" spans="1:23" s="75" customFormat="1" ht="14.25" customHeight="1">
      <c r="A555" s="754" t="s">
        <v>39</v>
      </c>
      <c r="B555" s="754" t="s">
        <v>167</v>
      </c>
      <c r="C555" s="754" t="s">
        <v>1067</v>
      </c>
      <c r="D555" s="637" t="s">
        <v>1693</v>
      </c>
      <c r="E555" s="754" t="s">
        <v>1575</v>
      </c>
      <c r="F555" s="754"/>
      <c r="G555" s="754"/>
      <c r="H555" s="754"/>
      <c r="I555" s="754"/>
      <c r="J555" s="754" t="s">
        <v>45</v>
      </c>
      <c r="K555" s="754" t="s">
        <v>45</v>
      </c>
      <c r="L555" s="754" t="s">
        <v>774</v>
      </c>
      <c r="M555" s="754" t="s">
        <v>46</v>
      </c>
      <c r="N555" s="754">
        <v>25.396492500000001</v>
      </c>
      <c r="O555" s="754">
        <v>97.381325000000004</v>
      </c>
      <c r="P555" s="754" t="s">
        <v>775</v>
      </c>
      <c r="Q555" s="754" t="s">
        <v>794</v>
      </c>
      <c r="R555" s="763"/>
      <c r="S555" s="764"/>
      <c r="T555" s="783"/>
      <c r="U555" s="765" t="s">
        <v>1065</v>
      </c>
      <c r="V555" s="754" t="s">
        <v>1067</v>
      </c>
      <c r="W555" s="754"/>
    </row>
    <row r="556" spans="1:23" s="75" customFormat="1" ht="14.25" customHeight="1">
      <c r="A556" s="754" t="s">
        <v>39</v>
      </c>
      <c r="B556" s="754" t="s">
        <v>167</v>
      </c>
      <c r="C556" s="754" t="s">
        <v>169</v>
      </c>
      <c r="D556" s="637" t="s">
        <v>3257</v>
      </c>
      <c r="E556" s="754" t="s">
        <v>1578</v>
      </c>
      <c r="F556" s="754" t="s">
        <v>1754</v>
      </c>
      <c r="G556" s="754" t="s">
        <v>1857</v>
      </c>
      <c r="H556" s="754" t="s">
        <v>43</v>
      </c>
      <c r="I556" s="754" t="s">
        <v>149</v>
      </c>
      <c r="J556" s="754" t="s">
        <v>45</v>
      </c>
      <c r="K556" s="754" t="s">
        <v>45</v>
      </c>
      <c r="L556" s="754" t="s">
        <v>45</v>
      </c>
      <c r="M556" s="754" t="s">
        <v>46</v>
      </c>
      <c r="N556" s="754">
        <v>25.403476999999999</v>
      </c>
      <c r="O556" s="754">
        <v>97.373361000000003</v>
      </c>
      <c r="P556" s="754" t="s">
        <v>775</v>
      </c>
      <c r="Q556" s="754" t="s">
        <v>794</v>
      </c>
      <c r="R556" s="763">
        <v>199</v>
      </c>
      <c r="S556" s="763">
        <v>1131</v>
      </c>
      <c r="T556" s="783"/>
      <c r="U556" s="765"/>
      <c r="V556" s="754" t="s">
        <v>169</v>
      </c>
      <c r="W556" s="754"/>
    </row>
    <row r="557" spans="1:23" s="75" customFormat="1" ht="14.25" customHeight="1">
      <c r="A557" s="754" t="s">
        <v>39</v>
      </c>
      <c r="B557" s="754" t="s">
        <v>167</v>
      </c>
      <c r="C557" s="754" t="s">
        <v>241</v>
      </c>
      <c r="D557" s="637" t="s">
        <v>3257</v>
      </c>
      <c r="E557" s="754" t="s">
        <v>1577</v>
      </c>
      <c r="F557" s="754" t="s">
        <v>1754</v>
      </c>
      <c r="G557" s="754" t="s">
        <v>1857</v>
      </c>
      <c r="H557" s="754" t="s">
        <v>43</v>
      </c>
      <c r="I557" s="754" t="s">
        <v>1346</v>
      </c>
      <c r="J557" s="754" t="s">
        <v>45</v>
      </c>
      <c r="K557" s="754" t="s">
        <v>45</v>
      </c>
      <c r="L557" s="754" t="s">
        <v>45</v>
      </c>
      <c r="M557" s="754" t="s">
        <v>46</v>
      </c>
      <c r="N557" s="754">
        <v>25.401061110000001</v>
      </c>
      <c r="O557" s="754">
        <v>97.379594999999995</v>
      </c>
      <c r="P557" s="754" t="s">
        <v>775</v>
      </c>
      <c r="Q557" s="754" t="s">
        <v>794</v>
      </c>
      <c r="R557" s="763">
        <v>100</v>
      </c>
      <c r="S557" s="763">
        <v>485</v>
      </c>
      <c r="T557" s="783"/>
      <c r="U557" s="765"/>
      <c r="V557" s="754" t="s">
        <v>241</v>
      </c>
      <c r="W557" s="754"/>
    </row>
    <row r="558" spans="1:23" s="75" customFormat="1" ht="14.25" customHeight="1">
      <c r="A558" s="768" t="s">
        <v>39</v>
      </c>
      <c r="B558" s="767" t="s">
        <v>167</v>
      </c>
      <c r="C558" s="760" t="s">
        <v>2184</v>
      </c>
      <c r="D558" s="637" t="s">
        <v>3257</v>
      </c>
      <c r="E558" s="754" t="s">
        <v>2024</v>
      </c>
      <c r="F558" s="754"/>
      <c r="G558" s="754"/>
      <c r="H558" s="754"/>
      <c r="I558" s="754" t="s">
        <v>149</v>
      </c>
      <c r="J558" s="754" t="s">
        <v>45</v>
      </c>
      <c r="K558" s="754" t="s">
        <v>45</v>
      </c>
      <c r="L558" s="754" t="s">
        <v>45</v>
      </c>
      <c r="M558" s="754" t="s">
        <v>46</v>
      </c>
      <c r="N558" s="754"/>
      <c r="O558" s="754"/>
      <c r="P558" s="760" t="s">
        <v>775</v>
      </c>
      <c r="Q558" s="754" t="s">
        <v>1999</v>
      </c>
      <c r="R558" s="763">
        <v>140</v>
      </c>
      <c r="S558" s="763">
        <v>620</v>
      </c>
      <c r="T558" s="783">
        <v>43276</v>
      </c>
      <c r="U558" s="765" t="s">
        <v>2051</v>
      </c>
      <c r="V558" s="754"/>
      <c r="W558" s="570" t="s">
        <v>2340</v>
      </c>
    </row>
    <row r="559" spans="1:23" s="75" customFormat="1" ht="14.25" customHeight="1">
      <c r="A559" s="768" t="s">
        <v>39</v>
      </c>
      <c r="B559" s="767" t="s">
        <v>167</v>
      </c>
      <c r="C559" s="760" t="s">
        <v>2006</v>
      </c>
      <c r="D559" s="761"/>
      <c r="E559" s="754"/>
      <c r="F559" s="754"/>
      <c r="G559" s="754"/>
      <c r="H559" s="754"/>
      <c r="I559" s="754"/>
      <c r="J559" s="754" t="s">
        <v>1481</v>
      </c>
      <c r="K559" s="754" t="s">
        <v>45</v>
      </c>
      <c r="L559" s="754" t="s">
        <v>45</v>
      </c>
      <c r="M559" s="754" t="s">
        <v>46</v>
      </c>
      <c r="N559" s="754"/>
      <c r="O559" s="754"/>
      <c r="P559" s="754" t="s">
        <v>775</v>
      </c>
      <c r="Q559" s="754" t="s">
        <v>1999</v>
      </c>
      <c r="R559" s="771"/>
      <c r="S559" s="764"/>
      <c r="T559" s="783">
        <v>43270</v>
      </c>
      <c r="U559" s="765"/>
      <c r="V559" s="754"/>
      <c r="W559" s="754"/>
    </row>
    <row r="560" spans="1:23" s="75" customFormat="1" ht="14.25" customHeight="1">
      <c r="A560" s="754" t="s">
        <v>39</v>
      </c>
      <c r="B560" s="754" t="s">
        <v>167</v>
      </c>
      <c r="C560" s="754" t="s">
        <v>1116</v>
      </c>
      <c r="D560" s="637" t="s">
        <v>3257</v>
      </c>
      <c r="E560" s="754" t="s">
        <v>2012</v>
      </c>
      <c r="F560" s="754" t="s">
        <v>1754</v>
      </c>
      <c r="G560" s="754" t="s">
        <v>1910</v>
      </c>
      <c r="H560" s="754"/>
      <c r="I560" s="754" t="s">
        <v>1346</v>
      </c>
      <c r="J560" s="754" t="s">
        <v>45</v>
      </c>
      <c r="K560" s="754" t="s">
        <v>45</v>
      </c>
      <c r="L560" s="760" t="s">
        <v>45</v>
      </c>
      <c r="M560" s="754" t="s">
        <v>46</v>
      </c>
      <c r="N560" s="754"/>
      <c r="O560" s="754"/>
      <c r="P560" s="754" t="s">
        <v>775</v>
      </c>
      <c r="Q560" s="754" t="s">
        <v>940</v>
      </c>
      <c r="R560" s="763">
        <v>14</v>
      </c>
      <c r="S560" s="763">
        <v>40</v>
      </c>
      <c r="T560" s="783">
        <v>42983</v>
      </c>
      <c r="U560" s="765" t="s">
        <v>1117</v>
      </c>
      <c r="V560" s="754"/>
      <c r="W560" s="570" t="s">
        <v>2341</v>
      </c>
    </row>
    <row r="561" spans="1:23" s="75" customFormat="1" ht="14.25" customHeight="1">
      <c r="A561" s="754" t="s">
        <v>39</v>
      </c>
      <c r="B561" s="754" t="s">
        <v>167</v>
      </c>
      <c r="C561" s="754" t="s">
        <v>170</v>
      </c>
      <c r="D561" s="637" t="s">
        <v>3033</v>
      </c>
      <c r="E561" s="754" t="s">
        <v>1569</v>
      </c>
      <c r="F561" s="754" t="s">
        <v>1754</v>
      </c>
      <c r="G561" s="754" t="s">
        <v>1854</v>
      </c>
      <c r="H561" s="754" t="s">
        <v>43</v>
      </c>
      <c r="I561" s="754" t="s">
        <v>149</v>
      </c>
      <c r="J561" s="754" t="s">
        <v>45</v>
      </c>
      <c r="K561" s="754" t="s">
        <v>45</v>
      </c>
      <c r="L561" s="754" t="s">
        <v>774</v>
      </c>
      <c r="M561" s="754" t="s">
        <v>46</v>
      </c>
      <c r="N561" s="754">
        <v>25.36600361</v>
      </c>
      <c r="O561" s="754">
        <v>97.405202779999996</v>
      </c>
      <c r="P561" s="754" t="s">
        <v>775</v>
      </c>
      <c r="Q561" s="754" t="s">
        <v>794</v>
      </c>
      <c r="R561" s="763"/>
      <c r="S561" s="763"/>
      <c r="T561" s="783"/>
      <c r="U561" s="765"/>
      <c r="V561" s="754" t="s">
        <v>170</v>
      </c>
      <c r="W561" s="754"/>
    </row>
    <row r="562" spans="1:23" s="75" customFormat="1" ht="14.25" customHeight="1">
      <c r="A562" s="768" t="s">
        <v>39</v>
      </c>
      <c r="B562" s="767" t="s">
        <v>167</v>
      </c>
      <c r="C562" s="822" t="s">
        <v>785</v>
      </c>
      <c r="D562" s="637" t="s">
        <v>3257</v>
      </c>
      <c r="E562" s="795" t="s">
        <v>1349</v>
      </c>
      <c r="F562" s="754"/>
      <c r="G562" s="754"/>
      <c r="H562" s="754"/>
      <c r="I562" s="754" t="s">
        <v>2199</v>
      </c>
      <c r="J562" s="754" t="s">
        <v>45</v>
      </c>
      <c r="K562" s="754" t="s">
        <v>45</v>
      </c>
      <c r="L562" s="754" t="s">
        <v>774</v>
      </c>
      <c r="M562" s="754" t="s">
        <v>46</v>
      </c>
      <c r="N562" s="754">
        <v>0</v>
      </c>
      <c r="O562" s="754">
        <v>0</v>
      </c>
      <c r="P562" s="754" t="s">
        <v>775</v>
      </c>
      <c r="Q562" s="754" t="s">
        <v>2187</v>
      </c>
      <c r="R562" s="763"/>
      <c r="S562" s="763"/>
      <c r="T562" s="783">
        <v>43360</v>
      </c>
      <c r="U562" s="765" t="s">
        <v>2189</v>
      </c>
      <c r="V562" s="754"/>
      <c r="W562" s="754"/>
    </row>
    <row r="563" spans="1:23" s="75" customFormat="1" ht="14.25" customHeight="1">
      <c r="A563" s="764" t="s">
        <v>39</v>
      </c>
      <c r="B563" s="767" t="s">
        <v>167</v>
      </c>
      <c r="C563" s="768" t="s">
        <v>2095</v>
      </c>
      <c r="D563" s="761"/>
      <c r="E563" s="754"/>
      <c r="F563" s="754"/>
      <c r="G563" s="754"/>
      <c r="H563" s="754"/>
      <c r="I563" s="754"/>
      <c r="J563" s="754" t="s">
        <v>1481</v>
      </c>
      <c r="K563" s="760" t="s">
        <v>45</v>
      </c>
      <c r="L563" s="760" t="s">
        <v>790</v>
      </c>
      <c r="M563" s="754" t="s">
        <v>792</v>
      </c>
      <c r="N563" s="754"/>
      <c r="O563" s="754"/>
      <c r="P563" s="754" t="s">
        <v>775</v>
      </c>
      <c r="Q563" s="754"/>
      <c r="R563" s="771"/>
      <c r="S563" s="764"/>
      <c r="T563" s="783">
        <v>43298</v>
      </c>
      <c r="U563" s="765"/>
      <c r="V563" s="754"/>
      <c r="W563" s="754"/>
    </row>
    <row r="564" spans="1:23" s="75" customFormat="1" ht="14.25" customHeight="1">
      <c r="A564" s="754" t="s">
        <v>39</v>
      </c>
      <c r="B564" s="754" t="s">
        <v>167</v>
      </c>
      <c r="C564" s="754" t="s">
        <v>171</v>
      </c>
      <c r="D564" s="637" t="s">
        <v>3257</v>
      </c>
      <c r="E564" s="754" t="s">
        <v>1568</v>
      </c>
      <c r="F564" s="754" t="s">
        <v>1754</v>
      </c>
      <c r="G564" s="754" t="s">
        <v>1848</v>
      </c>
      <c r="H564" s="754" t="s">
        <v>43</v>
      </c>
      <c r="I564" s="754" t="s">
        <v>3037</v>
      </c>
      <c r="J564" s="754" t="s">
        <v>45</v>
      </c>
      <c r="K564" s="754" t="s">
        <v>45</v>
      </c>
      <c r="L564" s="754" t="s">
        <v>45</v>
      </c>
      <c r="M564" s="754" t="s">
        <v>46</v>
      </c>
      <c r="N564" s="754">
        <v>25.362420757575801</v>
      </c>
      <c r="O564" s="754">
        <v>97.409035000000003</v>
      </c>
      <c r="P564" s="754" t="s">
        <v>775</v>
      </c>
      <c r="Q564" s="754" t="s">
        <v>794</v>
      </c>
      <c r="R564" s="763">
        <v>152</v>
      </c>
      <c r="S564" s="763">
        <v>770</v>
      </c>
      <c r="T564" s="783"/>
      <c r="U564" s="765"/>
      <c r="V564" s="754" t="s">
        <v>171</v>
      </c>
      <c r="W564" s="570" t="s">
        <v>2342</v>
      </c>
    </row>
    <row r="565" spans="1:23" s="75" customFormat="1" ht="14.25" customHeight="1">
      <c r="A565" s="754" t="s">
        <v>39</v>
      </c>
      <c r="B565" s="754" t="s">
        <v>167</v>
      </c>
      <c r="C565" s="754" t="s">
        <v>172</v>
      </c>
      <c r="D565" s="637" t="s">
        <v>3257</v>
      </c>
      <c r="E565" s="754" t="s">
        <v>1560</v>
      </c>
      <c r="F565" s="754" t="s">
        <v>1754</v>
      </c>
      <c r="G565" s="754" t="s">
        <v>1848</v>
      </c>
      <c r="H565" s="754" t="s">
        <v>43</v>
      </c>
      <c r="I565" s="754" t="s">
        <v>3037</v>
      </c>
      <c r="J565" s="754" t="s">
        <v>45</v>
      </c>
      <c r="K565" s="754" t="s">
        <v>45</v>
      </c>
      <c r="L565" s="754" t="s">
        <v>45</v>
      </c>
      <c r="M565" s="754" t="s">
        <v>46</v>
      </c>
      <c r="N565" s="754">
        <v>25.3510167948718</v>
      </c>
      <c r="O565" s="754">
        <v>97.403402307692303</v>
      </c>
      <c r="P565" s="754" t="s">
        <v>775</v>
      </c>
      <c r="Q565" s="754" t="s">
        <v>794</v>
      </c>
      <c r="R565" s="763">
        <v>138</v>
      </c>
      <c r="S565" s="763">
        <v>709</v>
      </c>
      <c r="T565" s="783"/>
      <c r="U565" s="765"/>
      <c r="V565" s="754" t="s">
        <v>172</v>
      </c>
      <c r="W565" s="754"/>
    </row>
    <row r="566" spans="1:23" s="75" customFormat="1" ht="14.25" customHeight="1">
      <c r="A566" s="754" t="s">
        <v>39</v>
      </c>
      <c r="B566" s="754" t="s">
        <v>167</v>
      </c>
      <c r="C566" s="754" t="s">
        <v>173</v>
      </c>
      <c r="D566" s="637" t="s">
        <v>3257</v>
      </c>
      <c r="E566" s="754" t="s">
        <v>1567</v>
      </c>
      <c r="F566" s="754" t="s">
        <v>1754</v>
      </c>
      <c r="G566" s="754" t="s">
        <v>1853</v>
      </c>
      <c r="H566" s="754" t="s">
        <v>43</v>
      </c>
      <c r="I566" s="754" t="s">
        <v>3037</v>
      </c>
      <c r="J566" s="754" t="s">
        <v>45</v>
      </c>
      <c r="K566" s="754" t="s">
        <v>45</v>
      </c>
      <c r="L566" s="754" t="s">
        <v>45</v>
      </c>
      <c r="M566" s="754" t="s">
        <v>46</v>
      </c>
      <c r="N566" s="754">
        <v>25.360463124999999</v>
      </c>
      <c r="O566" s="754">
        <v>97.4113064583333</v>
      </c>
      <c r="P566" s="17" t="s">
        <v>775</v>
      </c>
      <c r="Q566" s="754" t="s">
        <v>794</v>
      </c>
      <c r="R566" s="763">
        <v>61</v>
      </c>
      <c r="S566" s="763">
        <v>312</v>
      </c>
      <c r="T566" s="783"/>
      <c r="U566" s="765"/>
      <c r="V566" s="754" t="s">
        <v>173</v>
      </c>
      <c r="W566" s="754"/>
    </row>
    <row r="567" spans="1:23" s="75" customFormat="1" ht="14.25" customHeight="1">
      <c r="A567" s="754" t="s">
        <v>39</v>
      </c>
      <c r="B567" s="754" t="s">
        <v>167</v>
      </c>
      <c r="C567" s="754" t="s">
        <v>174</v>
      </c>
      <c r="D567" s="637" t="s">
        <v>3257</v>
      </c>
      <c r="E567" s="754" t="s">
        <v>1593</v>
      </c>
      <c r="F567" s="754" t="s">
        <v>1754</v>
      </c>
      <c r="G567" s="754" t="s">
        <v>1865</v>
      </c>
      <c r="H567" s="754" t="s">
        <v>43</v>
      </c>
      <c r="I567" s="754" t="s">
        <v>3037</v>
      </c>
      <c r="J567" s="754" t="s">
        <v>45</v>
      </c>
      <c r="K567" s="754" t="s">
        <v>45</v>
      </c>
      <c r="L567" s="754" t="s">
        <v>45</v>
      </c>
      <c r="M567" s="754" t="s">
        <v>46</v>
      </c>
      <c r="N567" s="754">
        <v>25.428910999999999</v>
      </c>
      <c r="O567" s="754">
        <v>97.418694000000002</v>
      </c>
      <c r="P567" s="754" t="s">
        <v>775</v>
      </c>
      <c r="Q567" s="754" t="s">
        <v>794</v>
      </c>
      <c r="R567" s="763">
        <v>103</v>
      </c>
      <c r="S567" s="763">
        <v>586</v>
      </c>
      <c r="T567" s="783"/>
      <c r="U567" s="765"/>
      <c r="V567" s="754" t="s">
        <v>174</v>
      </c>
      <c r="W567" s="754"/>
    </row>
    <row r="568" spans="1:23" s="75" customFormat="1" ht="14.25" customHeight="1">
      <c r="A568" s="754" t="s">
        <v>39</v>
      </c>
      <c r="B568" s="754" t="s">
        <v>167</v>
      </c>
      <c r="C568" s="754" t="s">
        <v>271</v>
      </c>
      <c r="D568" s="637" t="s">
        <v>3257</v>
      </c>
      <c r="E568" s="754" t="s">
        <v>1571</v>
      </c>
      <c r="F568" s="754" t="s">
        <v>1855</v>
      </c>
      <c r="G568" s="754" t="s">
        <v>1855</v>
      </c>
      <c r="H568" s="754" t="s">
        <v>43</v>
      </c>
      <c r="I568" s="754" t="s">
        <v>250</v>
      </c>
      <c r="J568" s="754" t="s">
        <v>45</v>
      </c>
      <c r="K568" s="754" t="s">
        <v>45</v>
      </c>
      <c r="L568" s="754" t="s">
        <v>45</v>
      </c>
      <c r="M568" s="754" t="s">
        <v>46</v>
      </c>
      <c r="N568" s="754">
        <v>25.374343974359</v>
      </c>
      <c r="O568" s="754">
        <v>97.2843958974359</v>
      </c>
      <c r="P568" s="754" t="s">
        <v>775</v>
      </c>
      <c r="Q568" s="754" t="s">
        <v>794</v>
      </c>
      <c r="R568" s="763">
        <v>22</v>
      </c>
      <c r="S568" s="763">
        <v>92</v>
      </c>
      <c r="T568" s="783"/>
      <c r="U568" s="765"/>
      <c r="V568" s="754" t="s">
        <v>271</v>
      </c>
      <c r="W568" s="754"/>
    </row>
    <row r="569" spans="1:23" s="75" customFormat="1" ht="14.25" customHeight="1">
      <c r="A569" s="754" t="s">
        <v>39</v>
      </c>
      <c r="B569" s="754" t="s">
        <v>167</v>
      </c>
      <c r="C569" s="754" t="s">
        <v>272</v>
      </c>
      <c r="D569" s="637" t="s">
        <v>3257</v>
      </c>
      <c r="E569" s="754" t="s">
        <v>1570</v>
      </c>
      <c r="F569" s="754" t="s">
        <v>1855</v>
      </c>
      <c r="G569" s="754" t="s">
        <v>1855</v>
      </c>
      <c r="H569" s="754" t="s">
        <v>43</v>
      </c>
      <c r="I569" s="754" t="s">
        <v>250</v>
      </c>
      <c r="J569" s="754" t="s">
        <v>45</v>
      </c>
      <c r="K569" s="754" t="s">
        <v>45</v>
      </c>
      <c r="L569" s="754" t="s">
        <v>45</v>
      </c>
      <c r="M569" s="754" t="s">
        <v>46</v>
      </c>
      <c r="N569" s="754">
        <v>25.371049444444399</v>
      </c>
      <c r="O569" s="754">
        <v>97.290952037037002</v>
      </c>
      <c r="P569" s="754" t="s">
        <v>775</v>
      </c>
      <c r="Q569" s="754" t="s">
        <v>794</v>
      </c>
      <c r="R569" s="763">
        <v>21</v>
      </c>
      <c r="S569" s="763">
        <v>123</v>
      </c>
      <c r="T569" s="783"/>
      <c r="U569" s="765"/>
      <c r="V569" s="754" t="s">
        <v>272</v>
      </c>
      <c r="W569" s="754"/>
    </row>
    <row r="570" spans="1:23" s="75" customFormat="1" ht="14.25" customHeight="1">
      <c r="A570" s="754" t="s">
        <v>39</v>
      </c>
      <c r="B570" s="754" t="s">
        <v>167</v>
      </c>
      <c r="C570" s="754" t="s">
        <v>1063</v>
      </c>
      <c r="D570" s="637" t="s">
        <v>1694</v>
      </c>
      <c r="E570" s="754" t="s">
        <v>1573</v>
      </c>
      <c r="F570" s="754" t="s">
        <v>1754</v>
      </c>
      <c r="G570" s="754" t="s">
        <v>1756</v>
      </c>
      <c r="H570" s="754" t="s">
        <v>43</v>
      </c>
      <c r="I570" s="754" t="s">
        <v>250</v>
      </c>
      <c r="J570" s="754" t="s">
        <v>45</v>
      </c>
      <c r="K570" s="754" t="s">
        <v>45</v>
      </c>
      <c r="L570" s="754" t="s">
        <v>774</v>
      </c>
      <c r="M570" s="754" t="s">
        <v>46</v>
      </c>
      <c r="N570" s="754">
        <v>25.387862999999999</v>
      </c>
      <c r="O570" s="754">
        <v>97.376671999999999</v>
      </c>
      <c r="P570" s="754" t="s">
        <v>775</v>
      </c>
      <c r="Q570" s="754"/>
      <c r="R570" s="763"/>
      <c r="S570" s="764"/>
      <c r="T570" s="783"/>
      <c r="U570" s="765"/>
      <c r="V570" s="754" t="s">
        <v>1063</v>
      </c>
      <c r="W570" s="570" t="s">
        <v>2241</v>
      </c>
    </row>
    <row r="571" spans="1:23" s="75" customFormat="1" ht="14.25" customHeight="1">
      <c r="A571" s="754" t="s">
        <v>39</v>
      </c>
      <c r="B571" s="754" t="s">
        <v>167</v>
      </c>
      <c r="C571" s="754" t="s">
        <v>242</v>
      </c>
      <c r="D571" s="637" t="s">
        <v>3257</v>
      </c>
      <c r="E571" s="754" t="s">
        <v>1582</v>
      </c>
      <c r="F571" s="754" t="s">
        <v>1860</v>
      </c>
      <c r="G571" s="754" t="s">
        <v>1860</v>
      </c>
      <c r="H571" s="754" t="s">
        <v>43</v>
      </c>
      <c r="I571" s="754" t="s">
        <v>1346</v>
      </c>
      <c r="J571" s="754" t="s">
        <v>45</v>
      </c>
      <c r="K571" s="754" t="s">
        <v>45</v>
      </c>
      <c r="L571" s="754" t="s">
        <v>45</v>
      </c>
      <c r="M571" s="754" t="s">
        <v>46</v>
      </c>
      <c r="N571" s="754">
        <v>25.410569299999999</v>
      </c>
      <c r="O571" s="754">
        <v>97.359320179999997</v>
      </c>
      <c r="P571" s="754" t="s">
        <v>775</v>
      </c>
      <c r="Q571" s="754" t="s">
        <v>794</v>
      </c>
      <c r="R571" s="763">
        <v>60</v>
      </c>
      <c r="S571" s="763">
        <v>316</v>
      </c>
      <c r="T571" s="783"/>
      <c r="U571" s="765"/>
      <c r="V571" s="754" t="s">
        <v>242</v>
      </c>
      <c r="W571" s="754"/>
    </row>
    <row r="572" spans="1:23" s="75" customFormat="1" ht="14.25" customHeight="1">
      <c r="A572" s="754" t="s">
        <v>39</v>
      </c>
      <c r="B572" s="754" t="s">
        <v>167</v>
      </c>
      <c r="C572" s="754" t="s">
        <v>175</v>
      </c>
      <c r="D572" s="637" t="s">
        <v>3257</v>
      </c>
      <c r="E572" s="754" t="s">
        <v>1589</v>
      </c>
      <c r="F572" s="754" t="s">
        <v>1754</v>
      </c>
      <c r="G572" s="754" t="s">
        <v>1864</v>
      </c>
      <c r="H572" s="754" t="s">
        <v>43</v>
      </c>
      <c r="I572" s="754" t="s">
        <v>3037</v>
      </c>
      <c r="J572" s="754" t="s">
        <v>45</v>
      </c>
      <c r="K572" s="754" t="s">
        <v>45</v>
      </c>
      <c r="L572" s="754" t="s">
        <v>45</v>
      </c>
      <c r="M572" s="754" t="s">
        <v>46</v>
      </c>
      <c r="N572" s="754">
        <v>25.422194000000001</v>
      </c>
      <c r="O572" s="754">
        <v>97.394547000000003</v>
      </c>
      <c r="P572" s="754" t="s">
        <v>775</v>
      </c>
      <c r="Q572" s="754" t="s">
        <v>794</v>
      </c>
      <c r="R572" s="763">
        <v>67</v>
      </c>
      <c r="S572" s="763">
        <v>291</v>
      </c>
      <c r="T572" s="783"/>
      <c r="U572" s="765"/>
      <c r="V572" s="754" t="s">
        <v>175</v>
      </c>
      <c r="W572" s="754"/>
    </row>
    <row r="573" spans="1:23" s="75" customFormat="1" ht="14.25" customHeight="1">
      <c r="A573" s="754" t="s">
        <v>39</v>
      </c>
      <c r="B573" s="754" t="s">
        <v>167</v>
      </c>
      <c r="C573" s="754" t="s">
        <v>243</v>
      </c>
      <c r="D573" s="637" t="s">
        <v>3257</v>
      </c>
      <c r="E573" s="754" t="s">
        <v>1595</v>
      </c>
      <c r="F573" s="754" t="s">
        <v>1867</v>
      </c>
      <c r="G573" s="754" t="s">
        <v>1868</v>
      </c>
      <c r="H573" s="754" t="s">
        <v>43</v>
      </c>
      <c r="I573" s="754" t="s">
        <v>1346</v>
      </c>
      <c r="J573" s="754" t="s">
        <v>45</v>
      </c>
      <c r="K573" s="754" t="s">
        <v>45</v>
      </c>
      <c r="L573" s="754" t="s">
        <v>45</v>
      </c>
      <c r="M573" s="754" t="s">
        <v>46</v>
      </c>
      <c r="N573" s="754">
        <v>25.493819999999999</v>
      </c>
      <c r="O573" s="754">
        <v>97.4345</v>
      </c>
      <c r="P573" s="754" t="s">
        <v>775</v>
      </c>
      <c r="Q573" s="754" t="s">
        <v>794</v>
      </c>
      <c r="R573" s="763">
        <v>149</v>
      </c>
      <c r="S573" s="763">
        <v>885</v>
      </c>
      <c r="T573" s="783"/>
      <c r="U573" s="765"/>
      <c r="V573" s="754" t="s">
        <v>243</v>
      </c>
      <c r="W573" s="754"/>
    </row>
    <row r="574" spans="1:23" s="75" customFormat="1" ht="14.25" customHeight="1">
      <c r="A574" s="768" t="s">
        <v>39</v>
      </c>
      <c r="B574" s="767" t="s">
        <v>167</v>
      </c>
      <c r="C574" s="768" t="s">
        <v>2185</v>
      </c>
      <c r="D574" s="637" t="s">
        <v>3257</v>
      </c>
      <c r="E574" s="754" t="s">
        <v>2186</v>
      </c>
      <c r="F574" s="754"/>
      <c r="G574" s="754"/>
      <c r="H574" s="754" t="s">
        <v>43</v>
      </c>
      <c r="I574" s="754" t="s">
        <v>1346</v>
      </c>
      <c r="J574" s="754" t="s">
        <v>45</v>
      </c>
      <c r="K574" s="760" t="s">
        <v>45</v>
      </c>
      <c r="L574" s="760" t="s">
        <v>45</v>
      </c>
      <c r="M574" s="754" t="s">
        <v>46</v>
      </c>
      <c r="N574" s="754">
        <v>25.493819999999999</v>
      </c>
      <c r="O574" s="754">
        <v>97.4345</v>
      </c>
      <c r="P574" s="760" t="s">
        <v>775</v>
      </c>
      <c r="Q574" s="754" t="s">
        <v>2187</v>
      </c>
      <c r="R574" s="763">
        <v>255</v>
      </c>
      <c r="S574" s="763">
        <v>1373</v>
      </c>
      <c r="T574" s="783">
        <v>43360</v>
      </c>
      <c r="U574" s="765" t="s">
        <v>2188</v>
      </c>
      <c r="V574" s="754"/>
      <c r="W574" s="570" t="s">
        <v>2343</v>
      </c>
    </row>
    <row r="575" spans="1:23" s="75" customFormat="1" ht="14.25" customHeight="1">
      <c r="A575" s="754" t="s">
        <v>39</v>
      </c>
      <c r="B575" s="754" t="s">
        <v>167</v>
      </c>
      <c r="C575" s="760" t="s">
        <v>176</v>
      </c>
      <c r="D575" s="637" t="s">
        <v>3257</v>
      </c>
      <c r="E575" s="754" t="s">
        <v>1584</v>
      </c>
      <c r="F575" s="754" t="s">
        <v>1754</v>
      </c>
      <c r="G575" s="754" t="s">
        <v>1861</v>
      </c>
      <c r="H575" s="754" t="s">
        <v>43</v>
      </c>
      <c r="I575" s="754" t="s">
        <v>3037</v>
      </c>
      <c r="J575" s="754" t="s">
        <v>45</v>
      </c>
      <c r="K575" s="754" t="s">
        <v>45</v>
      </c>
      <c r="L575" s="754" t="s">
        <v>45</v>
      </c>
      <c r="M575" s="754" t="s">
        <v>46</v>
      </c>
      <c r="N575" s="754">
        <v>25.412313000000001</v>
      </c>
      <c r="O575" s="754">
        <v>97.399628000000007</v>
      </c>
      <c r="P575" s="754" t="s">
        <v>775</v>
      </c>
      <c r="Q575" s="754" t="s">
        <v>794</v>
      </c>
      <c r="R575" s="763">
        <v>124</v>
      </c>
      <c r="S575" s="763">
        <v>609</v>
      </c>
      <c r="T575" s="783"/>
      <c r="U575" s="765"/>
      <c r="V575" s="754" t="s">
        <v>176</v>
      </c>
      <c r="W575" s="754"/>
    </row>
    <row r="576" spans="1:23" s="75" customFormat="1" ht="14.25" customHeight="1">
      <c r="A576" s="754" t="s">
        <v>39</v>
      </c>
      <c r="B576" s="754" t="s">
        <v>167</v>
      </c>
      <c r="C576" s="760" t="s">
        <v>273</v>
      </c>
      <c r="D576" s="637" t="s">
        <v>3257</v>
      </c>
      <c r="E576" s="754" t="s">
        <v>1591</v>
      </c>
      <c r="F576" s="754" t="s">
        <v>1754</v>
      </c>
      <c r="G576" s="754" t="s">
        <v>1861</v>
      </c>
      <c r="H576" s="754" t="s">
        <v>43</v>
      </c>
      <c r="I576" s="754" t="s">
        <v>250</v>
      </c>
      <c r="J576" s="754" t="s">
        <v>45</v>
      </c>
      <c r="K576" s="754" t="s">
        <v>45</v>
      </c>
      <c r="L576" s="754" t="s">
        <v>45</v>
      </c>
      <c r="M576" s="754" t="s">
        <v>46</v>
      </c>
      <c r="N576" s="754">
        <v>25.423817</v>
      </c>
      <c r="O576" s="754">
        <v>97.418004999999994</v>
      </c>
      <c r="P576" s="754" t="s">
        <v>775</v>
      </c>
      <c r="Q576" s="754" t="s">
        <v>794</v>
      </c>
      <c r="R576" s="763">
        <v>24</v>
      </c>
      <c r="S576" s="763">
        <v>111</v>
      </c>
      <c r="T576" s="783"/>
      <c r="U576" s="765"/>
      <c r="V576" s="754" t="s">
        <v>273</v>
      </c>
      <c r="W576" s="754"/>
    </row>
    <row r="577" spans="1:23" s="75" customFormat="1" ht="14.25" customHeight="1">
      <c r="A577" s="754" t="s">
        <v>39</v>
      </c>
      <c r="B577" s="760" t="s">
        <v>167</v>
      </c>
      <c r="C577" s="760" t="s">
        <v>177</v>
      </c>
      <c r="D577" s="637" t="s">
        <v>3257</v>
      </c>
      <c r="E577" s="754" t="s">
        <v>1594</v>
      </c>
      <c r="F577" s="754" t="s">
        <v>1754</v>
      </c>
      <c r="G577" s="754" t="s">
        <v>1866</v>
      </c>
      <c r="H577" s="754" t="s">
        <v>43</v>
      </c>
      <c r="I577" s="754" t="s">
        <v>3037</v>
      </c>
      <c r="J577" s="754" t="s">
        <v>45</v>
      </c>
      <c r="K577" s="754" t="s">
        <v>45</v>
      </c>
      <c r="L577" s="754" t="s">
        <v>45</v>
      </c>
      <c r="M577" s="754" t="s">
        <v>46</v>
      </c>
      <c r="N577" s="754">
        <v>25.440928</v>
      </c>
      <c r="O577" s="754">
        <v>97.419403000000003</v>
      </c>
      <c r="P577" s="754" t="s">
        <v>775</v>
      </c>
      <c r="Q577" s="754" t="s">
        <v>794</v>
      </c>
      <c r="R577" s="763">
        <v>95</v>
      </c>
      <c r="S577" s="763">
        <v>549</v>
      </c>
      <c r="T577" s="783"/>
      <c r="U577" s="765"/>
      <c r="V577" s="754" t="s">
        <v>177</v>
      </c>
      <c r="W577" s="754"/>
    </row>
    <row r="578" spans="1:23" s="75" customFormat="1" ht="14.25" customHeight="1">
      <c r="A578" s="768" t="s">
        <v>39</v>
      </c>
      <c r="B578" s="767" t="s">
        <v>167</v>
      </c>
      <c r="C578" s="760" t="s">
        <v>2016</v>
      </c>
      <c r="D578" s="637" t="s">
        <v>3033</v>
      </c>
      <c r="E578" s="754" t="s">
        <v>2023</v>
      </c>
      <c r="F578" s="754"/>
      <c r="G578" s="754"/>
      <c r="H578" s="754"/>
      <c r="I578" s="754" t="s">
        <v>2199</v>
      </c>
      <c r="J578" s="754" t="s">
        <v>45</v>
      </c>
      <c r="K578" s="754" t="s">
        <v>45</v>
      </c>
      <c r="L578" s="754" t="s">
        <v>774</v>
      </c>
      <c r="M578" s="754" t="s">
        <v>46</v>
      </c>
      <c r="N578" s="754">
        <v>97.49136</v>
      </c>
      <c r="O578" s="754">
        <v>25.717300000000002</v>
      </c>
      <c r="P578" s="760" t="s">
        <v>775</v>
      </c>
      <c r="Q578" s="754" t="s">
        <v>1999</v>
      </c>
      <c r="R578" s="763"/>
      <c r="S578" s="763"/>
      <c r="T578" s="783">
        <v>43276</v>
      </c>
      <c r="U578" s="765" t="s">
        <v>2050</v>
      </c>
      <c r="V578" s="754"/>
      <c r="W578" s="570" t="s">
        <v>2344</v>
      </c>
    </row>
    <row r="579" spans="1:23" s="75" customFormat="1" ht="14.25" customHeight="1">
      <c r="A579" s="754" t="s">
        <v>39</v>
      </c>
      <c r="B579" s="760" t="s">
        <v>167</v>
      </c>
      <c r="C579" s="760" t="s">
        <v>1158</v>
      </c>
      <c r="D579" s="637" t="s">
        <v>1693</v>
      </c>
      <c r="E579" s="754"/>
      <c r="F579" s="754"/>
      <c r="G579" s="754"/>
      <c r="H579" s="754"/>
      <c r="I579" s="754"/>
      <c r="J579" s="754" t="s">
        <v>45</v>
      </c>
      <c r="K579" s="754" t="s">
        <v>45</v>
      </c>
      <c r="L579" s="754" t="s">
        <v>1101</v>
      </c>
      <c r="M579" s="754" t="s">
        <v>46</v>
      </c>
      <c r="N579" s="754"/>
      <c r="O579" s="754"/>
      <c r="P579" s="754" t="s">
        <v>775</v>
      </c>
      <c r="Q579" s="754"/>
      <c r="R579" s="763"/>
      <c r="S579" s="764"/>
      <c r="T579" s="783"/>
      <c r="U579" s="765"/>
      <c r="V579" s="754" t="s">
        <v>1158</v>
      </c>
      <c r="W579" s="754"/>
    </row>
    <row r="580" spans="1:23" s="75" customFormat="1" ht="14.25" customHeight="1">
      <c r="A580" s="754" t="s">
        <v>39</v>
      </c>
      <c r="B580" s="760" t="s">
        <v>167</v>
      </c>
      <c r="C580" s="760" t="s">
        <v>178</v>
      </c>
      <c r="D580" s="637" t="s">
        <v>3257</v>
      </c>
      <c r="E580" s="754" t="s">
        <v>1585</v>
      </c>
      <c r="F580" s="754" t="s">
        <v>1754</v>
      </c>
      <c r="G580" s="754" t="s">
        <v>1858</v>
      </c>
      <c r="H580" s="754" t="s">
        <v>43</v>
      </c>
      <c r="I580" s="754" t="s">
        <v>3037</v>
      </c>
      <c r="J580" s="754" t="s">
        <v>45</v>
      </c>
      <c r="K580" s="754" t="s">
        <v>45</v>
      </c>
      <c r="L580" s="754" t="s">
        <v>45</v>
      </c>
      <c r="M580" s="754" t="s">
        <v>46</v>
      </c>
      <c r="N580" s="754">
        <v>25.415482000000001</v>
      </c>
      <c r="O580" s="754">
        <v>97.386718999999999</v>
      </c>
      <c r="P580" s="754" t="s">
        <v>775</v>
      </c>
      <c r="Q580" s="754" t="s">
        <v>794</v>
      </c>
      <c r="R580" s="763">
        <v>78</v>
      </c>
      <c r="S580" s="763">
        <v>424</v>
      </c>
      <c r="T580" s="783"/>
      <c r="U580" s="765"/>
      <c r="V580" s="754" t="s">
        <v>178</v>
      </c>
      <c r="W580" s="754"/>
    </row>
    <row r="581" spans="1:23" s="75" customFormat="1" ht="14.25" customHeight="1">
      <c r="A581" s="754" t="s">
        <v>39</v>
      </c>
      <c r="B581" s="760" t="s">
        <v>167</v>
      </c>
      <c r="C581" s="760" t="s">
        <v>274</v>
      </c>
      <c r="D581" s="637" t="s">
        <v>3257</v>
      </c>
      <c r="E581" s="754" t="s">
        <v>1590</v>
      </c>
      <c r="F581" s="754" t="s">
        <v>1754</v>
      </c>
      <c r="G581" s="754" t="s">
        <v>1858</v>
      </c>
      <c r="H581" s="754" t="s">
        <v>43</v>
      </c>
      <c r="I581" s="754" t="s">
        <v>250</v>
      </c>
      <c r="J581" s="754" t="s">
        <v>45</v>
      </c>
      <c r="K581" s="754" t="s">
        <v>45</v>
      </c>
      <c r="L581" s="754" t="s">
        <v>45</v>
      </c>
      <c r="M581" s="754" t="s">
        <v>46</v>
      </c>
      <c r="N581" s="754">
        <v>25.423209</v>
      </c>
      <c r="O581" s="754">
        <v>97.379987</v>
      </c>
      <c r="P581" s="754" t="s">
        <v>775</v>
      </c>
      <c r="Q581" s="754" t="s">
        <v>794</v>
      </c>
      <c r="R581" s="763">
        <v>54</v>
      </c>
      <c r="S581" s="763">
        <v>250</v>
      </c>
      <c r="T581" s="783"/>
      <c r="U581" s="765"/>
      <c r="V581" s="754" t="s">
        <v>1069</v>
      </c>
      <c r="W581" s="754"/>
    </row>
    <row r="582" spans="1:23" s="75" customFormat="1" ht="14.25" customHeight="1">
      <c r="A582" s="754" t="s">
        <v>39</v>
      </c>
      <c r="B582" s="760" t="s">
        <v>167</v>
      </c>
      <c r="C582" s="760" t="s">
        <v>275</v>
      </c>
      <c r="D582" s="637" t="s">
        <v>3257</v>
      </c>
      <c r="E582" s="754" t="s">
        <v>1587</v>
      </c>
      <c r="F582" s="754" t="s">
        <v>1754</v>
      </c>
      <c r="G582" s="754" t="s">
        <v>1858</v>
      </c>
      <c r="H582" s="754" t="s">
        <v>43</v>
      </c>
      <c r="I582" s="754" t="s">
        <v>250</v>
      </c>
      <c r="J582" s="754" t="s">
        <v>45</v>
      </c>
      <c r="K582" s="754" t="s">
        <v>45</v>
      </c>
      <c r="L582" s="754" t="s">
        <v>45</v>
      </c>
      <c r="M582" s="754" t="s">
        <v>46</v>
      </c>
      <c r="N582" s="754">
        <v>25.417733999999999</v>
      </c>
      <c r="O582" s="754">
        <v>97.389778000000007</v>
      </c>
      <c r="P582" s="754" t="s">
        <v>775</v>
      </c>
      <c r="Q582" s="754" t="s">
        <v>794</v>
      </c>
      <c r="R582" s="763">
        <v>17</v>
      </c>
      <c r="S582" s="763">
        <v>83</v>
      </c>
      <c r="T582" s="783"/>
      <c r="U582" s="765"/>
      <c r="V582" s="754" t="s">
        <v>275</v>
      </c>
      <c r="W582" s="754"/>
    </row>
    <row r="583" spans="1:23" s="75" customFormat="1" ht="14.25" customHeight="1">
      <c r="A583" s="754" t="s">
        <v>39</v>
      </c>
      <c r="B583" s="760" t="s">
        <v>167</v>
      </c>
      <c r="C583" s="760" t="s">
        <v>179</v>
      </c>
      <c r="D583" s="637" t="s">
        <v>3257</v>
      </c>
      <c r="E583" s="754" t="s">
        <v>1580</v>
      </c>
      <c r="F583" s="754" t="s">
        <v>1754</v>
      </c>
      <c r="G583" s="754" t="s">
        <v>1858</v>
      </c>
      <c r="H583" s="754" t="s">
        <v>43</v>
      </c>
      <c r="I583" s="754" t="s">
        <v>3037</v>
      </c>
      <c r="J583" s="754" t="s">
        <v>45</v>
      </c>
      <c r="K583" s="754" t="s">
        <v>45</v>
      </c>
      <c r="L583" s="754" t="s">
        <v>45</v>
      </c>
      <c r="M583" s="754" t="s">
        <v>46</v>
      </c>
      <c r="N583" s="754">
        <v>25.404752999999999</v>
      </c>
      <c r="O583" s="754">
        <v>97.377662999999998</v>
      </c>
      <c r="P583" s="754" t="s">
        <v>775</v>
      </c>
      <c r="Q583" s="754" t="s">
        <v>794</v>
      </c>
      <c r="R583" s="763">
        <v>33</v>
      </c>
      <c r="S583" s="763">
        <v>184</v>
      </c>
      <c r="T583" s="783"/>
      <c r="U583" s="765"/>
      <c r="V583" s="754" t="s">
        <v>179</v>
      </c>
      <c r="W583" s="754"/>
    </row>
    <row r="584" spans="1:23" s="75" customFormat="1" ht="14.25" customHeight="1">
      <c r="A584" s="754" t="s">
        <v>39</v>
      </c>
      <c r="B584" s="760" t="s">
        <v>167</v>
      </c>
      <c r="C584" s="760" t="s">
        <v>180</v>
      </c>
      <c r="D584" s="637" t="s">
        <v>3257</v>
      </c>
      <c r="E584" s="754" t="s">
        <v>1579</v>
      </c>
      <c r="F584" s="754" t="s">
        <v>1754</v>
      </c>
      <c r="G584" s="754" t="s">
        <v>1858</v>
      </c>
      <c r="H584" s="754" t="s">
        <v>43</v>
      </c>
      <c r="I584" s="754" t="s">
        <v>3037</v>
      </c>
      <c r="J584" s="754" t="s">
        <v>45</v>
      </c>
      <c r="K584" s="754" t="s">
        <v>45</v>
      </c>
      <c r="L584" s="754" t="s">
        <v>45</v>
      </c>
      <c r="M584" s="754" t="s">
        <v>46</v>
      </c>
      <c r="N584" s="754">
        <v>25.404015000000001</v>
      </c>
      <c r="O584" s="754">
        <v>97.382192000000003</v>
      </c>
      <c r="P584" s="754" t="s">
        <v>775</v>
      </c>
      <c r="Q584" s="754" t="s">
        <v>794</v>
      </c>
      <c r="R584" s="763">
        <v>46</v>
      </c>
      <c r="S584" s="763">
        <v>242</v>
      </c>
      <c r="T584" s="783"/>
      <c r="U584" s="765"/>
      <c r="V584" s="754" t="s">
        <v>180</v>
      </c>
      <c r="W584" s="754"/>
    </row>
    <row r="585" spans="1:23" s="75" customFormat="1" ht="14.25" customHeight="1">
      <c r="A585" s="768" t="s">
        <v>39</v>
      </c>
      <c r="B585" s="767" t="s">
        <v>167</v>
      </c>
      <c r="C585" s="760" t="s">
        <v>2004</v>
      </c>
      <c r="D585" s="761"/>
      <c r="E585" s="754"/>
      <c r="F585" s="754"/>
      <c r="G585" s="754"/>
      <c r="H585" s="754"/>
      <c r="I585" s="754"/>
      <c r="J585" s="754" t="s">
        <v>1481</v>
      </c>
      <c r="K585" s="754" t="s">
        <v>45</v>
      </c>
      <c r="L585" s="754" t="s">
        <v>45</v>
      </c>
      <c r="M585" s="754" t="s">
        <v>46</v>
      </c>
      <c r="N585" s="754"/>
      <c r="O585" s="754"/>
      <c r="P585" s="754" t="s">
        <v>775</v>
      </c>
      <c r="Q585" s="754" t="s">
        <v>1999</v>
      </c>
      <c r="R585" s="771"/>
      <c r="S585" s="764"/>
      <c r="T585" s="783">
        <v>43270</v>
      </c>
      <c r="U585" s="765"/>
      <c r="V585" s="754"/>
      <c r="W585" s="754"/>
    </row>
    <row r="586" spans="1:23" s="75" customFormat="1" ht="14.25" customHeight="1">
      <c r="A586" s="768" t="s">
        <v>39</v>
      </c>
      <c r="B586" s="767" t="s">
        <v>167</v>
      </c>
      <c r="C586" s="760" t="s">
        <v>2017</v>
      </c>
      <c r="D586" s="637" t="s">
        <v>3257</v>
      </c>
      <c r="E586" s="760" t="s">
        <v>2025</v>
      </c>
      <c r="F586" s="760"/>
      <c r="G586" s="760"/>
      <c r="H586" s="760"/>
      <c r="I586" s="760" t="s">
        <v>2199</v>
      </c>
      <c r="J586" s="754" t="s">
        <v>45</v>
      </c>
      <c r="K586" s="754" t="s">
        <v>45</v>
      </c>
      <c r="L586" s="760" t="s">
        <v>790</v>
      </c>
      <c r="M586" s="754" t="s">
        <v>46</v>
      </c>
      <c r="N586" s="754">
        <v>0</v>
      </c>
      <c r="O586" s="754">
        <v>0</v>
      </c>
      <c r="P586" s="17" t="s">
        <v>775</v>
      </c>
      <c r="Q586" s="754" t="s">
        <v>1999</v>
      </c>
      <c r="R586" s="763">
        <v>8</v>
      </c>
      <c r="S586" s="763">
        <v>32</v>
      </c>
      <c r="T586" s="783">
        <v>43276</v>
      </c>
      <c r="U586" s="769" t="s">
        <v>2051</v>
      </c>
      <c r="V586" s="760"/>
      <c r="W586" s="570" t="s">
        <v>2210</v>
      </c>
    </row>
    <row r="587" spans="1:23" s="75" customFormat="1" ht="14.25" customHeight="1">
      <c r="A587" s="768" t="s">
        <v>39</v>
      </c>
      <c r="B587" s="767" t="s">
        <v>167</v>
      </c>
      <c r="C587" s="760" t="s">
        <v>2194</v>
      </c>
      <c r="D587" s="637" t="s">
        <v>3257</v>
      </c>
      <c r="E587" s="754" t="s">
        <v>2022</v>
      </c>
      <c r="F587" s="754"/>
      <c r="G587" s="754"/>
      <c r="H587" s="754" t="s">
        <v>43</v>
      </c>
      <c r="I587" s="754" t="s">
        <v>3037</v>
      </c>
      <c r="J587" s="754" t="s">
        <v>45</v>
      </c>
      <c r="K587" s="754" t="s">
        <v>45</v>
      </c>
      <c r="L587" s="754" t="s">
        <v>45</v>
      </c>
      <c r="M587" s="754" t="s">
        <v>46</v>
      </c>
      <c r="N587" s="754">
        <v>25.480989999999998</v>
      </c>
      <c r="O587" s="754">
        <v>97.431079999999994</v>
      </c>
      <c r="P587" s="760" t="s">
        <v>775</v>
      </c>
      <c r="Q587" s="754" t="s">
        <v>1999</v>
      </c>
      <c r="R587" s="763">
        <v>205</v>
      </c>
      <c r="S587" s="763">
        <v>960</v>
      </c>
      <c r="T587" s="783">
        <v>43276</v>
      </c>
      <c r="U587" s="765" t="s">
        <v>2050</v>
      </c>
      <c r="V587" s="754"/>
      <c r="W587" s="570" t="s">
        <v>2345</v>
      </c>
    </row>
    <row r="588" spans="1:23" s="75" customFormat="1" ht="14.25" customHeight="1">
      <c r="A588" s="768" t="s">
        <v>39</v>
      </c>
      <c r="B588" s="767" t="s">
        <v>167</v>
      </c>
      <c r="C588" s="760" t="s">
        <v>2005</v>
      </c>
      <c r="D588" s="761"/>
      <c r="E588" s="754"/>
      <c r="F588" s="754"/>
      <c r="G588" s="754"/>
      <c r="H588" s="754"/>
      <c r="I588" s="754"/>
      <c r="J588" s="754" t="s">
        <v>1481</v>
      </c>
      <c r="K588" s="754" t="s">
        <v>45</v>
      </c>
      <c r="L588" s="754" t="s">
        <v>45</v>
      </c>
      <c r="M588" s="754" t="s">
        <v>46</v>
      </c>
      <c r="N588" s="754"/>
      <c r="O588" s="754"/>
      <c r="P588" s="754" t="s">
        <v>775</v>
      </c>
      <c r="Q588" s="754" t="s">
        <v>1999</v>
      </c>
      <c r="R588" s="771"/>
      <c r="S588" s="764"/>
      <c r="T588" s="783">
        <v>43270</v>
      </c>
      <c r="U588" s="765"/>
      <c r="V588" s="754"/>
      <c r="W588" s="754"/>
    </row>
    <row r="589" spans="1:23" s="75" customFormat="1" ht="14.25" customHeight="1">
      <c r="A589" s="754" t="s">
        <v>39</v>
      </c>
      <c r="B589" s="760" t="s">
        <v>167</v>
      </c>
      <c r="C589" s="760" t="s">
        <v>1061</v>
      </c>
      <c r="D589" s="637" t="s">
        <v>1694</v>
      </c>
      <c r="E589" s="754" t="s">
        <v>1572</v>
      </c>
      <c r="F589" s="754" t="s">
        <v>1754</v>
      </c>
      <c r="G589" s="754" t="s">
        <v>1755</v>
      </c>
      <c r="H589" s="754" t="s">
        <v>43</v>
      </c>
      <c r="I589" s="754" t="s">
        <v>250</v>
      </c>
      <c r="J589" s="754" t="s">
        <v>45</v>
      </c>
      <c r="K589" s="754" t="s">
        <v>45</v>
      </c>
      <c r="L589" s="754" t="s">
        <v>774</v>
      </c>
      <c r="M589" s="754" t="s">
        <v>46</v>
      </c>
      <c r="N589" s="754">
        <v>25.377038169999999</v>
      </c>
      <c r="O589" s="754">
        <v>97.403878500000005</v>
      </c>
      <c r="P589" s="754" t="s">
        <v>775</v>
      </c>
      <c r="Q589" s="754" t="s">
        <v>794</v>
      </c>
      <c r="R589" s="763"/>
      <c r="S589" s="764"/>
      <c r="T589" s="783">
        <v>42983</v>
      </c>
      <c r="U589" s="765" t="s">
        <v>1062</v>
      </c>
      <c r="V589" s="754" t="s">
        <v>1061</v>
      </c>
      <c r="W589" s="754" t="s">
        <v>2242</v>
      </c>
    </row>
    <row r="590" spans="1:23" s="75" customFormat="1" ht="14.25" customHeight="1">
      <c r="A590" s="754" t="s">
        <v>39</v>
      </c>
      <c r="B590" s="754" t="s">
        <v>181</v>
      </c>
      <c r="C590" s="754" t="s">
        <v>1114</v>
      </c>
      <c r="D590" s="637" t="s">
        <v>1693</v>
      </c>
      <c r="E590" s="754"/>
      <c r="F590" s="754"/>
      <c r="G590" s="754"/>
      <c r="H590" s="754"/>
      <c r="I590" s="754"/>
      <c r="J590" s="754" t="s">
        <v>45</v>
      </c>
      <c r="K590" s="754" t="s">
        <v>45</v>
      </c>
      <c r="L590" s="754" t="s">
        <v>1101</v>
      </c>
      <c r="M590" s="754" t="s">
        <v>46</v>
      </c>
      <c r="N590" s="754"/>
      <c r="O590" s="754"/>
      <c r="P590" s="754" t="s">
        <v>775</v>
      </c>
      <c r="Q590" s="754"/>
      <c r="R590" s="763"/>
      <c r="S590" s="764"/>
      <c r="T590" s="783"/>
      <c r="U590" s="765"/>
      <c r="V590" s="754" t="s">
        <v>1114</v>
      </c>
      <c r="W590" s="754"/>
    </row>
    <row r="591" spans="1:23" s="75" customFormat="1" ht="14.25" customHeight="1">
      <c r="A591" s="754" t="s">
        <v>39</v>
      </c>
      <c r="B591" s="754" t="s">
        <v>181</v>
      </c>
      <c r="C591" s="754" t="s">
        <v>1088</v>
      </c>
      <c r="D591" s="637" t="s">
        <v>3257</v>
      </c>
      <c r="E591" s="754" t="s">
        <v>1636</v>
      </c>
      <c r="F591" s="754" t="s">
        <v>1767</v>
      </c>
      <c r="G591" s="754" t="s">
        <v>1908</v>
      </c>
      <c r="H591" s="754"/>
      <c r="I591" s="760" t="s">
        <v>2199</v>
      </c>
      <c r="J591" s="754" t="s">
        <v>45</v>
      </c>
      <c r="K591" s="754" t="s">
        <v>45</v>
      </c>
      <c r="L591" s="754" t="s">
        <v>786</v>
      </c>
      <c r="M591" s="754" t="s">
        <v>46</v>
      </c>
      <c r="N591" s="754">
        <v>27.248964999999998</v>
      </c>
      <c r="O591" s="754">
        <v>97.561105999999995</v>
      </c>
      <c r="P591" s="754" t="s">
        <v>787</v>
      </c>
      <c r="Q591" s="754" t="s">
        <v>776</v>
      </c>
      <c r="R591" s="763">
        <v>10</v>
      </c>
      <c r="S591" s="763">
        <v>56</v>
      </c>
      <c r="T591" s="783"/>
      <c r="U591" s="765" t="s">
        <v>1089</v>
      </c>
      <c r="V591" s="754"/>
      <c r="W591" s="754"/>
    </row>
    <row r="592" spans="1:23" s="75" customFormat="1" ht="14.25" customHeight="1">
      <c r="A592" s="754" t="s">
        <v>39</v>
      </c>
      <c r="B592" s="754" t="s">
        <v>181</v>
      </c>
      <c r="C592" s="754" t="s">
        <v>182</v>
      </c>
      <c r="D592" s="637" t="s">
        <v>3257</v>
      </c>
      <c r="E592" s="754" t="s">
        <v>1640</v>
      </c>
      <c r="F592" s="754" t="s">
        <v>1883</v>
      </c>
      <c r="G592" s="754" t="s">
        <v>1884</v>
      </c>
      <c r="H592" s="754" t="s">
        <v>43</v>
      </c>
      <c r="I592" s="754" t="s">
        <v>3037</v>
      </c>
      <c r="J592" s="754" t="s">
        <v>45</v>
      </c>
      <c r="K592" s="754" t="s">
        <v>45</v>
      </c>
      <c r="L592" s="754" t="s">
        <v>45</v>
      </c>
      <c r="M592" s="754" t="s">
        <v>46</v>
      </c>
      <c r="N592" s="754">
        <v>27.337499999999999</v>
      </c>
      <c r="O592" s="754">
        <v>97.416121000000004</v>
      </c>
      <c r="P592" s="754" t="s">
        <v>775</v>
      </c>
      <c r="Q592" s="754" t="s">
        <v>794</v>
      </c>
      <c r="R592" s="763">
        <v>61</v>
      </c>
      <c r="S592" s="763">
        <v>281</v>
      </c>
      <c r="T592" s="783"/>
      <c r="U592" s="765"/>
      <c r="V592" s="754" t="s">
        <v>1096</v>
      </c>
      <c r="W592" s="754"/>
    </row>
    <row r="593" spans="1:23" s="75" customFormat="1" ht="14.25" customHeight="1">
      <c r="A593" s="754" t="s">
        <v>39</v>
      </c>
      <c r="B593" s="754" t="s">
        <v>181</v>
      </c>
      <c r="C593" s="754" t="s">
        <v>1090</v>
      </c>
      <c r="D593" s="637" t="s">
        <v>1694</v>
      </c>
      <c r="E593" s="754" t="s">
        <v>1637</v>
      </c>
      <c r="F593" s="754" t="s">
        <v>1767</v>
      </c>
      <c r="G593" s="754" t="s">
        <v>1768</v>
      </c>
      <c r="H593" s="754"/>
      <c r="I593" s="754">
        <v>0</v>
      </c>
      <c r="J593" s="754" t="s">
        <v>45</v>
      </c>
      <c r="K593" s="754" t="s">
        <v>45</v>
      </c>
      <c r="L593" s="754" t="s">
        <v>774</v>
      </c>
      <c r="M593" s="754" t="s">
        <v>46</v>
      </c>
      <c r="N593" s="754">
        <v>27.270199999999999</v>
      </c>
      <c r="O593" s="754">
        <v>97.58184</v>
      </c>
      <c r="P593" s="754" t="s">
        <v>775</v>
      </c>
      <c r="Q593" s="754"/>
      <c r="R593" s="763"/>
      <c r="S593" s="764"/>
      <c r="T593" s="783"/>
      <c r="U593" s="765"/>
      <c r="V593" s="754" t="s">
        <v>1090</v>
      </c>
      <c r="W593" s="570" t="s">
        <v>2243</v>
      </c>
    </row>
    <row r="594" spans="1:23" s="75" customFormat="1" ht="14.25" customHeight="1">
      <c r="A594" s="754" t="s">
        <v>39</v>
      </c>
      <c r="B594" s="754" t="s">
        <v>181</v>
      </c>
      <c r="C594" s="754" t="s">
        <v>1139</v>
      </c>
      <c r="D594" s="637" t="s">
        <v>1693</v>
      </c>
      <c r="E594" s="754"/>
      <c r="F594" s="754"/>
      <c r="G594" s="754"/>
      <c r="H594" s="754"/>
      <c r="I594" s="754"/>
      <c r="J594" s="754" t="s">
        <v>45</v>
      </c>
      <c r="K594" s="754" t="s">
        <v>45</v>
      </c>
      <c r="L594" s="754" t="s">
        <v>1101</v>
      </c>
      <c r="M594" s="754" t="s">
        <v>46</v>
      </c>
      <c r="N594" s="754"/>
      <c r="O594" s="754"/>
      <c r="P594" s="754" t="s">
        <v>775</v>
      </c>
      <c r="Q594" s="754"/>
      <c r="R594" s="763"/>
      <c r="S594" s="764"/>
      <c r="T594" s="783"/>
      <c r="U594" s="765"/>
      <c r="V594" s="754" t="s">
        <v>1139</v>
      </c>
      <c r="W594" s="754"/>
    </row>
    <row r="595" spans="1:23" s="75" customFormat="1" ht="14.25" customHeight="1">
      <c r="A595" s="754" t="s">
        <v>39</v>
      </c>
      <c r="B595" s="760" t="s">
        <v>181</v>
      </c>
      <c r="C595" s="760" t="s">
        <v>1094</v>
      </c>
      <c r="D595" s="637" t="s">
        <v>3257</v>
      </c>
      <c r="E595" s="754" t="s">
        <v>1639</v>
      </c>
      <c r="F595" s="754" t="s">
        <v>1883</v>
      </c>
      <c r="G595" s="754" t="s">
        <v>1909</v>
      </c>
      <c r="H595" s="754"/>
      <c r="I595" s="760" t="s">
        <v>2199</v>
      </c>
      <c r="J595" s="754" t="s">
        <v>45</v>
      </c>
      <c r="K595" s="754" t="s">
        <v>45</v>
      </c>
      <c r="L595" s="754" t="s">
        <v>786</v>
      </c>
      <c r="M595" s="754" t="s">
        <v>46</v>
      </c>
      <c r="N595" s="754">
        <v>27.311699999999998</v>
      </c>
      <c r="O595" s="754">
        <v>97.415289999999999</v>
      </c>
      <c r="P595" s="754" t="s">
        <v>787</v>
      </c>
      <c r="Q595" s="754" t="s">
        <v>776</v>
      </c>
      <c r="R595" s="763">
        <v>17</v>
      </c>
      <c r="S595" s="763">
        <v>92</v>
      </c>
      <c r="T595" s="783"/>
      <c r="U595" s="765" t="s">
        <v>1095</v>
      </c>
      <c r="V595" s="754" t="s">
        <v>1094</v>
      </c>
      <c r="W595" s="754"/>
    </row>
    <row r="596" spans="1:23" s="75" customFormat="1" ht="14.25" customHeight="1">
      <c r="A596" s="764" t="s">
        <v>39</v>
      </c>
      <c r="B596" s="767" t="s">
        <v>222</v>
      </c>
      <c r="C596" s="768" t="s">
        <v>2093</v>
      </c>
      <c r="D596" s="761"/>
      <c r="E596" s="754"/>
      <c r="F596" s="754"/>
      <c r="G596" s="754"/>
      <c r="H596" s="754"/>
      <c r="I596" s="754"/>
      <c r="J596" s="754" t="s">
        <v>1481</v>
      </c>
      <c r="K596" s="760" t="s">
        <v>45</v>
      </c>
      <c r="L596" s="760" t="s">
        <v>790</v>
      </c>
      <c r="M596" s="754" t="s">
        <v>792</v>
      </c>
      <c r="N596" s="754"/>
      <c r="O596" s="754"/>
      <c r="P596" s="754" t="s">
        <v>775</v>
      </c>
      <c r="Q596" s="754"/>
      <c r="R596" s="771"/>
      <c r="S596" s="764"/>
      <c r="T596" s="783">
        <v>43298</v>
      </c>
      <c r="U596" s="765"/>
      <c r="V596" s="754"/>
      <c r="W596" s="754"/>
    </row>
    <row r="597" spans="1:23" s="75" customFormat="1" ht="14.25" customHeight="1">
      <c r="A597" s="768" t="s">
        <v>39</v>
      </c>
      <c r="B597" s="767" t="s">
        <v>222</v>
      </c>
      <c r="C597" s="582" t="s">
        <v>2085</v>
      </c>
      <c r="D597" s="637" t="s">
        <v>3257</v>
      </c>
      <c r="E597" s="754" t="s">
        <v>3258</v>
      </c>
      <c r="F597" s="754"/>
      <c r="G597" s="754"/>
      <c r="H597" s="754"/>
      <c r="I597" s="754"/>
      <c r="J597" s="754" t="s">
        <v>45</v>
      </c>
      <c r="K597" s="760" t="s">
        <v>45</v>
      </c>
      <c r="L597" s="760" t="s">
        <v>790</v>
      </c>
      <c r="M597" s="754" t="s">
        <v>792</v>
      </c>
      <c r="N597" s="754"/>
      <c r="O597" s="754"/>
      <c r="P597" s="754" t="s">
        <v>775</v>
      </c>
      <c r="Q597" s="754"/>
      <c r="R597" s="771">
        <v>361</v>
      </c>
      <c r="S597" s="764">
        <v>1397</v>
      </c>
      <c r="T597" s="783">
        <v>43628</v>
      </c>
      <c r="U597" s="765"/>
      <c r="V597" s="754"/>
      <c r="W597" s="754" t="s">
        <v>3259</v>
      </c>
    </row>
    <row r="598" spans="1:23" s="75" customFormat="1" ht="14.25" customHeight="1">
      <c r="A598" s="754" t="s">
        <v>39</v>
      </c>
      <c r="B598" s="760" t="s">
        <v>222</v>
      </c>
      <c r="C598" s="760" t="s">
        <v>223</v>
      </c>
      <c r="D598" s="637" t="s">
        <v>3257</v>
      </c>
      <c r="E598" s="754" t="s">
        <v>1494</v>
      </c>
      <c r="F598" s="754" t="s">
        <v>1812</v>
      </c>
      <c r="G598" s="754" t="s">
        <v>1812</v>
      </c>
      <c r="H598" s="754" t="s">
        <v>43</v>
      </c>
      <c r="I598" s="754" t="s">
        <v>3036</v>
      </c>
      <c r="J598" s="754" t="s">
        <v>45</v>
      </c>
      <c r="K598" s="754" t="s">
        <v>45</v>
      </c>
      <c r="L598" s="754" t="s">
        <v>45</v>
      </c>
      <c r="M598" s="754" t="s">
        <v>46</v>
      </c>
      <c r="N598" s="754">
        <v>24.200361000000001</v>
      </c>
      <c r="O598" s="754">
        <v>96.807353000000006</v>
      </c>
      <c r="P598" s="754" t="s">
        <v>775</v>
      </c>
      <c r="Q598" s="754" t="s">
        <v>794</v>
      </c>
      <c r="R598" s="763">
        <v>47</v>
      </c>
      <c r="S598" s="763">
        <v>276</v>
      </c>
      <c r="T598" s="783"/>
      <c r="U598" s="765"/>
      <c r="V598" s="754" t="s">
        <v>223</v>
      </c>
      <c r="W598" s="754"/>
    </row>
    <row r="599" spans="1:23" s="75" customFormat="1" ht="14.25" customHeight="1">
      <c r="A599" s="754" t="s">
        <v>39</v>
      </c>
      <c r="B599" s="760" t="s">
        <v>222</v>
      </c>
      <c r="C599" s="760" t="s">
        <v>224</v>
      </c>
      <c r="D599" s="637" t="s">
        <v>3257</v>
      </c>
      <c r="E599" s="754" t="s">
        <v>1495</v>
      </c>
      <c r="F599" s="754" t="s">
        <v>1812</v>
      </c>
      <c r="G599" s="754" t="s">
        <v>1812</v>
      </c>
      <c r="H599" s="754" t="s">
        <v>43</v>
      </c>
      <c r="I599" s="754" t="s">
        <v>44</v>
      </c>
      <c r="J599" s="754" t="s">
        <v>45</v>
      </c>
      <c r="K599" s="754" t="s">
        <v>45</v>
      </c>
      <c r="L599" s="754" t="s">
        <v>45</v>
      </c>
      <c r="M599" s="754" t="s">
        <v>46</v>
      </c>
      <c r="N599" s="754">
        <v>24.200367</v>
      </c>
      <c r="O599" s="754">
        <v>96.807353000000006</v>
      </c>
      <c r="P599" s="754" t="s">
        <v>775</v>
      </c>
      <c r="Q599" s="754" t="s">
        <v>794</v>
      </c>
      <c r="R599" s="763">
        <v>47</v>
      </c>
      <c r="S599" s="763">
        <v>194</v>
      </c>
      <c r="T599" s="783"/>
      <c r="U599" s="765"/>
      <c r="V599" s="754" t="s">
        <v>224</v>
      </c>
      <c r="W599" s="754"/>
    </row>
    <row r="600" spans="1:23" s="75" customFormat="1" ht="14.25" customHeight="1">
      <c r="A600" s="754" t="s">
        <v>39</v>
      </c>
      <c r="B600" s="760" t="s">
        <v>222</v>
      </c>
      <c r="C600" s="760" t="s">
        <v>1152</v>
      </c>
      <c r="D600" s="637" t="s">
        <v>1693</v>
      </c>
      <c r="E600" s="754"/>
      <c r="F600" s="754"/>
      <c r="G600" s="754"/>
      <c r="H600" s="754"/>
      <c r="I600" s="754"/>
      <c r="J600" s="754" t="s">
        <v>1101</v>
      </c>
      <c r="K600" s="754" t="s">
        <v>45</v>
      </c>
      <c r="L600" s="754" t="s">
        <v>774</v>
      </c>
      <c r="M600" s="754" t="s">
        <v>46</v>
      </c>
      <c r="N600" s="754"/>
      <c r="O600" s="754"/>
      <c r="P600" s="754" t="s">
        <v>775</v>
      </c>
      <c r="Q600" s="754"/>
      <c r="R600" s="763"/>
      <c r="S600" s="764"/>
      <c r="T600" s="783"/>
      <c r="U600" s="765"/>
      <c r="V600" s="754" t="s">
        <v>1152</v>
      </c>
      <c r="W600" s="754"/>
    </row>
    <row r="601" spans="1:23" s="75" customFormat="1" ht="14.25" customHeight="1">
      <c r="A601" s="754" t="s">
        <v>39</v>
      </c>
      <c r="B601" s="760" t="s">
        <v>222</v>
      </c>
      <c r="C601" s="760" t="s">
        <v>1016</v>
      </c>
      <c r="D601" s="637" t="s">
        <v>1693</v>
      </c>
      <c r="E601" s="754" t="s">
        <v>1503</v>
      </c>
      <c r="F601" s="754"/>
      <c r="G601" s="754"/>
      <c r="H601" s="754"/>
      <c r="I601" s="754">
        <v>0</v>
      </c>
      <c r="J601" s="754" t="s">
        <v>45</v>
      </c>
      <c r="K601" s="754" t="s">
        <v>45</v>
      </c>
      <c r="L601" s="754" t="s">
        <v>774</v>
      </c>
      <c r="M601" s="754" t="s">
        <v>46</v>
      </c>
      <c r="N601" s="754">
        <v>24.224830999999998</v>
      </c>
      <c r="O601" s="754">
        <v>96.793177</v>
      </c>
      <c r="P601" s="754" t="s">
        <v>775</v>
      </c>
      <c r="Q601" s="754" t="s">
        <v>776</v>
      </c>
      <c r="R601" s="763"/>
      <c r="S601" s="764"/>
      <c r="T601" s="783">
        <v>42983</v>
      </c>
      <c r="U601" s="765" t="s">
        <v>1017</v>
      </c>
      <c r="V601" s="754"/>
      <c r="W601" s="754" t="s">
        <v>2244</v>
      </c>
    </row>
    <row r="602" spans="1:23" s="75" customFormat="1" ht="14.25" customHeight="1">
      <c r="A602" s="764" t="s">
        <v>39</v>
      </c>
      <c r="B602" s="767" t="s">
        <v>222</v>
      </c>
      <c r="C602" s="768" t="s">
        <v>2092</v>
      </c>
      <c r="D602" s="761"/>
      <c r="E602" s="754"/>
      <c r="F602" s="754"/>
      <c r="G602" s="754"/>
      <c r="H602" s="754"/>
      <c r="I602" s="754"/>
      <c r="J602" s="754" t="s">
        <v>1481</v>
      </c>
      <c r="K602" s="760" t="s">
        <v>45</v>
      </c>
      <c r="L602" s="760" t="s">
        <v>790</v>
      </c>
      <c r="M602" s="754" t="s">
        <v>792</v>
      </c>
      <c r="N602" s="754"/>
      <c r="O602" s="754"/>
      <c r="P602" s="754" t="s">
        <v>775</v>
      </c>
      <c r="Q602" s="754"/>
      <c r="R602" s="771"/>
      <c r="S602" s="764"/>
      <c r="T602" s="783">
        <v>43298</v>
      </c>
      <c r="U602" s="765"/>
      <c r="V602" s="754"/>
      <c r="W602" s="754"/>
    </row>
    <row r="603" spans="1:23" s="75" customFormat="1" ht="14.25" customHeight="1">
      <c r="A603" s="764" t="s">
        <v>39</v>
      </c>
      <c r="B603" s="767" t="s">
        <v>222</v>
      </c>
      <c r="C603" s="768" t="s">
        <v>2090</v>
      </c>
      <c r="D603" s="761"/>
      <c r="E603" s="754"/>
      <c r="F603" s="754"/>
      <c r="G603" s="754"/>
      <c r="H603" s="754"/>
      <c r="I603" s="754"/>
      <c r="J603" s="754" t="s">
        <v>1481</v>
      </c>
      <c r="K603" s="760" t="s">
        <v>45</v>
      </c>
      <c r="L603" s="760" t="s">
        <v>790</v>
      </c>
      <c r="M603" s="754" t="s">
        <v>792</v>
      </c>
      <c r="N603" s="754"/>
      <c r="O603" s="754"/>
      <c r="P603" s="754" t="s">
        <v>775</v>
      </c>
      <c r="Q603" s="754"/>
      <c r="R603" s="771"/>
      <c r="S603" s="764"/>
      <c r="T603" s="783">
        <v>43298</v>
      </c>
      <c r="U603" s="765"/>
      <c r="V603" s="754"/>
      <c r="W603" s="754"/>
    </row>
    <row r="604" spans="1:23" s="75" customFormat="1" ht="14.25" customHeight="1">
      <c r="A604" s="754" t="s">
        <v>39</v>
      </c>
      <c r="B604" s="754" t="s">
        <v>192</v>
      </c>
      <c r="C604" s="636" t="s">
        <v>3034</v>
      </c>
      <c r="D604" s="637" t="s">
        <v>3257</v>
      </c>
      <c r="E604" s="754" t="s">
        <v>3035</v>
      </c>
      <c r="F604" s="754">
        <v>0</v>
      </c>
      <c r="G604" s="754">
        <v>0</v>
      </c>
      <c r="H604" s="754"/>
      <c r="I604" s="760" t="s">
        <v>2199</v>
      </c>
      <c r="J604" s="754" t="s">
        <v>45</v>
      </c>
      <c r="K604" s="754" t="s">
        <v>45</v>
      </c>
      <c r="L604" s="635" t="s">
        <v>790</v>
      </c>
      <c r="M604" s="754" t="s">
        <v>46</v>
      </c>
      <c r="N604" s="754">
        <v>25.415667500000001</v>
      </c>
      <c r="O604" s="754">
        <v>97.437782499999997</v>
      </c>
      <c r="P604" s="17" t="s">
        <v>775</v>
      </c>
      <c r="Q604" s="754" t="s">
        <v>2940</v>
      </c>
      <c r="R604" s="763">
        <v>29</v>
      </c>
      <c r="S604" s="763">
        <v>140</v>
      </c>
      <c r="T604" s="783">
        <v>43579</v>
      </c>
      <c r="U604" s="765"/>
      <c r="V604" s="754"/>
      <c r="W604" s="754"/>
    </row>
    <row r="605" spans="1:23" s="75" customFormat="1" ht="14.25" customHeight="1">
      <c r="A605" s="754" t="s">
        <v>39</v>
      </c>
      <c r="B605" s="754" t="s">
        <v>192</v>
      </c>
      <c r="C605" s="754" t="s">
        <v>193</v>
      </c>
      <c r="D605" s="637" t="s">
        <v>3257</v>
      </c>
      <c r="E605" s="754" t="s">
        <v>1634</v>
      </c>
      <c r="F605" s="754">
        <v>0</v>
      </c>
      <c r="G605" s="754">
        <v>0</v>
      </c>
      <c r="H605" s="754" t="s">
        <v>43</v>
      </c>
      <c r="I605" s="754" t="s">
        <v>3037</v>
      </c>
      <c r="J605" s="754" t="s">
        <v>45</v>
      </c>
      <c r="K605" s="754" t="s">
        <v>45</v>
      </c>
      <c r="L605" s="754" t="s">
        <v>45</v>
      </c>
      <c r="M605" s="754" t="s">
        <v>792</v>
      </c>
      <c r="N605" s="754">
        <v>26.569633</v>
      </c>
      <c r="O605" s="754">
        <v>97.745480999999998</v>
      </c>
      <c r="P605" s="17" t="s">
        <v>775</v>
      </c>
      <c r="Q605" s="754" t="s">
        <v>776</v>
      </c>
      <c r="R605" s="763">
        <v>111</v>
      </c>
      <c r="S605" s="763">
        <v>564</v>
      </c>
      <c r="T605" s="783"/>
      <c r="U605" s="765"/>
      <c r="V605" s="754" t="s">
        <v>1085</v>
      </c>
      <c r="W605" s="754"/>
    </row>
    <row r="606" spans="1:23" s="75" customFormat="1" ht="14.25" customHeight="1">
      <c r="A606" s="754" t="s">
        <v>39</v>
      </c>
      <c r="B606" s="754" t="s">
        <v>192</v>
      </c>
      <c r="C606" s="754" t="s">
        <v>1138</v>
      </c>
      <c r="D606" s="637" t="s">
        <v>1693</v>
      </c>
      <c r="E606" s="754"/>
      <c r="F606" s="754"/>
      <c r="G606" s="754"/>
      <c r="H606" s="754"/>
      <c r="I606" s="754"/>
      <c r="J606" s="754" t="s">
        <v>45</v>
      </c>
      <c r="K606" s="754" t="s">
        <v>45</v>
      </c>
      <c r="L606" s="754" t="s">
        <v>1101</v>
      </c>
      <c r="M606" s="754" t="s">
        <v>46</v>
      </c>
      <c r="N606" s="754"/>
      <c r="O606" s="754"/>
      <c r="P606" s="754" t="s">
        <v>775</v>
      </c>
      <c r="Q606" s="754"/>
      <c r="R606" s="763"/>
      <c r="S606" s="764"/>
      <c r="T606" s="783"/>
      <c r="U606" s="765"/>
      <c r="V606" s="754" t="s">
        <v>1138</v>
      </c>
      <c r="W606" s="754"/>
    </row>
    <row r="607" spans="1:23" s="75" customFormat="1" ht="14.25" customHeight="1">
      <c r="A607" s="754" t="s">
        <v>39</v>
      </c>
      <c r="B607" s="760" t="s">
        <v>192</v>
      </c>
      <c r="C607" s="760" t="s">
        <v>195</v>
      </c>
      <c r="D607" s="637" t="s">
        <v>3257</v>
      </c>
      <c r="E607" s="754" t="s">
        <v>1633</v>
      </c>
      <c r="F607" s="754">
        <v>0</v>
      </c>
      <c r="G607" s="754">
        <v>0</v>
      </c>
      <c r="H607" s="754" t="s">
        <v>43</v>
      </c>
      <c r="I607" s="754" t="s">
        <v>3037</v>
      </c>
      <c r="J607" s="754" t="s">
        <v>45</v>
      </c>
      <c r="K607" s="754" t="s">
        <v>45</v>
      </c>
      <c r="L607" s="754" t="s">
        <v>45</v>
      </c>
      <c r="M607" s="754" t="s">
        <v>792</v>
      </c>
      <c r="N607" s="754">
        <v>26.548506</v>
      </c>
      <c r="O607" s="754">
        <v>97.75609</v>
      </c>
      <c r="P607" s="17" t="s">
        <v>775</v>
      </c>
      <c r="Q607" s="754" t="s">
        <v>776</v>
      </c>
      <c r="R607" s="763">
        <v>67</v>
      </c>
      <c r="S607" s="763">
        <v>311</v>
      </c>
      <c r="T607" s="783">
        <v>42788</v>
      </c>
      <c r="U607" s="765"/>
      <c r="V607" s="754"/>
      <c r="W607" s="754"/>
    </row>
    <row r="608" spans="1:23" s="75" customFormat="1" ht="14.25" customHeight="1">
      <c r="A608" s="760" t="s">
        <v>39</v>
      </c>
      <c r="B608" s="760" t="s">
        <v>192</v>
      </c>
      <c r="C608" s="760" t="s">
        <v>192</v>
      </c>
      <c r="D608" s="637" t="s">
        <v>3257</v>
      </c>
      <c r="E608" s="754" t="s">
        <v>1632</v>
      </c>
      <c r="F608" s="754" t="s">
        <v>1907</v>
      </c>
      <c r="G608" s="754">
        <v>0</v>
      </c>
      <c r="H608" s="754"/>
      <c r="I608" s="760" t="s">
        <v>2199</v>
      </c>
      <c r="J608" s="754" t="s">
        <v>45</v>
      </c>
      <c r="K608" s="754" t="s">
        <v>45</v>
      </c>
      <c r="L608" s="754" t="s">
        <v>790</v>
      </c>
      <c r="M608" s="754" t="s">
        <v>46</v>
      </c>
      <c r="N608" s="754">
        <v>26.541930000000001</v>
      </c>
      <c r="O608" s="754">
        <v>97.568836000000005</v>
      </c>
      <c r="P608" s="754" t="s">
        <v>775</v>
      </c>
      <c r="Q608" s="754" t="s">
        <v>776</v>
      </c>
      <c r="R608" s="763">
        <v>5</v>
      </c>
      <c r="S608" s="763">
        <v>32</v>
      </c>
      <c r="T608" s="783"/>
      <c r="U608" s="765" t="s">
        <v>1084</v>
      </c>
      <c r="V608" s="754" t="s">
        <v>192</v>
      </c>
      <c r="W608" s="754"/>
    </row>
    <row r="609" spans="1:23" s="75" customFormat="1" ht="14.25" customHeight="1">
      <c r="A609" s="760" t="s">
        <v>39</v>
      </c>
      <c r="B609" s="760" t="s">
        <v>192</v>
      </c>
      <c r="C609" s="760" t="s">
        <v>1166</v>
      </c>
      <c r="D609" s="637" t="s">
        <v>1693</v>
      </c>
      <c r="E609" s="760"/>
      <c r="F609" s="754"/>
      <c r="G609" s="754"/>
      <c r="H609" s="760"/>
      <c r="I609" s="760"/>
      <c r="J609" s="760" t="s">
        <v>1481</v>
      </c>
      <c r="K609" s="760" t="s">
        <v>45</v>
      </c>
      <c r="L609" s="760" t="s">
        <v>774</v>
      </c>
      <c r="M609" s="760" t="s">
        <v>46</v>
      </c>
      <c r="N609" s="760"/>
      <c r="O609" s="760"/>
      <c r="P609" s="754" t="s">
        <v>775</v>
      </c>
      <c r="Q609" s="760" t="s">
        <v>776</v>
      </c>
      <c r="R609" s="767"/>
      <c r="S609" s="768"/>
      <c r="T609" s="784">
        <v>42788</v>
      </c>
      <c r="U609" s="769"/>
      <c r="V609" s="754"/>
      <c r="W609" s="754"/>
    </row>
    <row r="610" spans="1:23" s="75" customFormat="1" ht="14.25" customHeight="1">
      <c r="A610" s="768" t="s">
        <v>39</v>
      </c>
      <c r="B610" s="767" t="s">
        <v>1153</v>
      </c>
      <c r="C610" s="768" t="s">
        <v>2048</v>
      </c>
      <c r="D610" s="638"/>
      <c r="E610" s="760"/>
      <c r="F610" s="760"/>
      <c r="G610" s="760"/>
      <c r="H610" s="760"/>
      <c r="I610" s="760"/>
      <c r="J610" s="760" t="s">
        <v>1481</v>
      </c>
      <c r="K610" s="760" t="s">
        <v>45</v>
      </c>
      <c r="L610" s="760" t="s">
        <v>790</v>
      </c>
      <c r="M610" s="760"/>
      <c r="N610" s="760"/>
      <c r="O610" s="760"/>
      <c r="P610" s="760" t="s">
        <v>2046</v>
      </c>
      <c r="Q610" s="760" t="s">
        <v>1999</v>
      </c>
      <c r="R610" s="772"/>
      <c r="S610" s="768"/>
      <c r="T610" s="784">
        <v>43285</v>
      </c>
      <c r="U610" s="769" t="s">
        <v>2053</v>
      </c>
      <c r="V610" s="760"/>
      <c r="W610" s="754"/>
    </row>
    <row r="611" spans="1:23" s="75" customFormat="1" ht="14.25" customHeight="1">
      <c r="A611" s="768" t="s">
        <v>39</v>
      </c>
      <c r="B611" s="767" t="s">
        <v>1153</v>
      </c>
      <c r="C611" s="768" t="s">
        <v>2049</v>
      </c>
      <c r="D611" s="761"/>
      <c r="E611" s="754"/>
      <c r="F611" s="754"/>
      <c r="G611" s="754"/>
      <c r="H611" s="754"/>
      <c r="I611" s="754"/>
      <c r="J611" s="754" t="s">
        <v>1481</v>
      </c>
      <c r="K611" s="760" t="s">
        <v>45</v>
      </c>
      <c r="L611" s="760" t="s">
        <v>790</v>
      </c>
      <c r="M611" s="754"/>
      <c r="N611" s="754"/>
      <c r="O611" s="754"/>
      <c r="P611" s="754" t="s">
        <v>2046</v>
      </c>
      <c r="Q611" s="754" t="s">
        <v>1999</v>
      </c>
      <c r="R611" s="771"/>
      <c r="S611" s="764"/>
      <c r="T611" s="783">
        <v>43285</v>
      </c>
      <c r="U611" s="769" t="s">
        <v>2053</v>
      </c>
      <c r="V611" s="754"/>
      <c r="W611" s="754"/>
    </row>
    <row r="612" spans="1:23" s="75" customFormat="1" ht="14.25" customHeight="1">
      <c r="A612" s="754" t="s">
        <v>39</v>
      </c>
      <c r="B612" s="760" t="s">
        <v>1153</v>
      </c>
      <c r="C612" s="760" t="s">
        <v>2315</v>
      </c>
      <c r="D612" s="637" t="s">
        <v>3257</v>
      </c>
      <c r="E612" s="754" t="s">
        <v>1648</v>
      </c>
      <c r="F612" s="754" t="s">
        <v>1153</v>
      </c>
      <c r="G612" s="754">
        <v>0</v>
      </c>
      <c r="H612" s="754" t="s">
        <v>43</v>
      </c>
      <c r="I612" s="754" t="s">
        <v>1346</v>
      </c>
      <c r="J612" s="754" t="s">
        <v>45</v>
      </c>
      <c r="K612" s="754" t="s">
        <v>45</v>
      </c>
      <c r="L612" s="760" t="s">
        <v>45</v>
      </c>
      <c r="M612" s="754" t="s">
        <v>46</v>
      </c>
      <c r="N612" s="754">
        <v>0</v>
      </c>
      <c r="O612" s="754">
        <v>0</v>
      </c>
      <c r="P612" s="754" t="s">
        <v>775</v>
      </c>
      <c r="Q612" s="754" t="s">
        <v>940</v>
      </c>
      <c r="R612" s="763">
        <v>145</v>
      </c>
      <c r="S612" s="763">
        <v>644</v>
      </c>
      <c r="T612" s="783">
        <v>43444</v>
      </c>
      <c r="U612" s="243" t="s">
        <v>2314</v>
      </c>
      <c r="V612" s="754" t="s">
        <v>1157</v>
      </c>
      <c r="W612" s="570" t="s">
        <v>2314</v>
      </c>
    </row>
    <row r="613" spans="1:23" s="75" customFormat="1" ht="14.25" customHeight="1">
      <c r="A613" s="754" t="s">
        <v>39</v>
      </c>
      <c r="B613" s="760" t="s">
        <v>1153</v>
      </c>
      <c r="C613" s="760" t="s">
        <v>2036</v>
      </c>
      <c r="D613" s="637" t="s">
        <v>2317</v>
      </c>
      <c r="E613" s="754" t="s">
        <v>1645</v>
      </c>
      <c r="F613" s="754" t="s">
        <v>1153</v>
      </c>
      <c r="G613" s="754">
        <v>0</v>
      </c>
      <c r="H613" s="754"/>
      <c r="I613" s="754" t="s">
        <v>2199</v>
      </c>
      <c r="J613" s="754" t="s">
        <v>45</v>
      </c>
      <c r="K613" s="754" t="s">
        <v>45</v>
      </c>
      <c r="L613" s="754" t="s">
        <v>774</v>
      </c>
      <c r="M613" s="754" t="s">
        <v>46</v>
      </c>
      <c r="N613" s="754"/>
      <c r="O613" s="754"/>
      <c r="P613" s="754" t="s">
        <v>775</v>
      </c>
      <c r="Q613" s="754" t="s">
        <v>940</v>
      </c>
      <c r="R613" s="763"/>
      <c r="S613" s="763"/>
      <c r="T613" s="783">
        <v>43444</v>
      </c>
      <c r="U613" s="765" t="s">
        <v>3044</v>
      </c>
      <c r="V613" s="754"/>
      <c r="W613" s="754" t="s">
        <v>2316</v>
      </c>
    </row>
    <row r="614" spans="1:23" s="75" customFormat="1" ht="14.25" customHeight="1">
      <c r="A614" s="754" t="s">
        <v>39</v>
      </c>
      <c r="B614" s="760" t="s">
        <v>1153</v>
      </c>
      <c r="C614" s="760" t="s">
        <v>1155</v>
      </c>
      <c r="D614" s="637" t="s">
        <v>3257</v>
      </c>
      <c r="E614" s="754" t="s">
        <v>1646</v>
      </c>
      <c r="F614" s="754" t="s">
        <v>1153</v>
      </c>
      <c r="G614" s="754">
        <v>0</v>
      </c>
      <c r="H614" s="754" t="s">
        <v>43</v>
      </c>
      <c r="I614" s="754" t="s">
        <v>1346</v>
      </c>
      <c r="J614" s="754" t="s">
        <v>45</v>
      </c>
      <c r="K614" s="754" t="s">
        <v>45</v>
      </c>
      <c r="L614" s="760" t="s">
        <v>45</v>
      </c>
      <c r="M614" s="754" t="s">
        <v>46</v>
      </c>
      <c r="N614" s="754">
        <v>0</v>
      </c>
      <c r="O614" s="754">
        <v>0</v>
      </c>
      <c r="P614" s="754" t="s">
        <v>775</v>
      </c>
      <c r="Q614" s="754" t="s">
        <v>940</v>
      </c>
      <c r="R614" s="763">
        <v>34</v>
      </c>
      <c r="S614" s="763">
        <v>147</v>
      </c>
      <c r="T614" s="783">
        <v>42983</v>
      </c>
      <c r="U614" s="765" t="s">
        <v>1154</v>
      </c>
      <c r="V614" s="754"/>
      <c r="W614" s="570" t="s">
        <v>2346</v>
      </c>
    </row>
    <row r="615" spans="1:23" s="75" customFormat="1" ht="14.25" customHeight="1">
      <c r="A615" s="754" t="s">
        <v>39</v>
      </c>
      <c r="B615" s="760" t="s">
        <v>1153</v>
      </c>
      <c r="C615" s="760" t="s">
        <v>2195</v>
      </c>
      <c r="D615" s="637" t="s">
        <v>3257</v>
      </c>
      <c r="E615" s="754" t="s">
        <v>1647</v>
      </c>
      <c r="F615" s="754" t="s">
        <v>1153</v>
      </c>
      <c r="G615" s="754">
        <v>0</v>
      </c>
      <c r="H615" s="754" t="s">
        <v>43</v>
      </c>
      <c r="I615" s="754" t="s">
        <v>3037</v>
      </c>
      <c r="J615" s="754" t="s">
        <v>45</v>
      </c>
      <c r="K615" s="754" t="s">
        <v>45</v>
      </c>
      <c r="L615" s="754" t="s">
        <v>45</v>
      </c>
      <c r="M615" s="754" t="s">
        <v>46</v>
      </c>
      <c r="N615" s="754">
        <v>0</v>
      </c>
      <c r="O615" s="754">
        <v>0</v>
      </c>
      <c r="P615" s="754" t="s">
        <v>775</v>
      </c>
      <c r="Q615" s="754" t="s">
        <v>940</v>
      </c>
      <c r="R615" s="763">
        <v>97</v>
      </c>
      <c r="S615" s="763">
        <v>365</v>
      </c>
      <c r="T615" s="783">
        <v>42983</v>
      </c>
      <c r="U615" s="765" t="s">
        <v>1156</v>
      </c>
      <c r="V615" s="754"/>
      <c r="W615" s="570" t="s">
        <v>2347</v>
      </c>
    </row>
    <row r="616" spans="1:23" s="75" customFormat="1" ht="14.25" customHeight="1">
      <c r="A616" s="768" t="s">
        <v>39</v>
      </c>
      <c r="B616" s="767" t="s">
        <v>1153</v>
      </c>
      <c r="C616" s="760" t="s">
        <v>2008</v>
      </c>
      <c r="D616" s="761"/>
      <c r="E616" s="754"/>
      <c r="F616" s="754"/>
      <c r="G616" s="754"/>
      <c r="H616" s="754"/>
      <c r="I616" s="754"/>
      <c r="J616" s="754" t="s">
        <v>1481</v>
      </c>
      <c r="K616" s="754" t="s">
        <v>45</v>
      </c>
      <c r="L616" s="754" t="s">
        <v>45</v>
      </c>
      <c r="M616" s="754" t="s">
        <v>46</v>
      </c>
      <c r="N616" s="754"/>
      <c r="O616" s="754"/>
      <c r="P616" s="754" t="s">
        <v>775</v>
      </c>
      <c r="Q616" s="754" t="s">
        <v>1999</v>
      </c>
      <c r="R616" s="771"/>
      <c r="S616" s="764"/>
      <c r="T616" s="783">
        <v>43270</v>
      </c>
      <c r="U616" s="765"/>
      <c r="V616" s="754"/>
      <c r="W616" s="754"/>
    </row>
    <row r="617" spans="1:23" s="75" customFormat="1" ht="14.25" customHeight="1">
      <c r="A617" s="754" t="s">
        <v>39</v>
      </c>
      <c r="B617" s="754" t="s">
        <v>150</v>
      </c>
      <c r="C617" s="754" t="s">
        <v>244</v>
      </c>
      <c r="D617" s="637" t="s">
        <v>3257</v>
      </c>
      <c r="E617" s="754" t="s">
        <v>1547</v>
      </c>
      <c r="F617" s="754" t="s">
        <v>1841</v>
      </c>
      <c r="G617" s="754" t="s">
        <v>1839</v>
      </c>
      <c r="H617" s="754" t="s">
        <v>43</v>
      </c>
      <c r="I617" s="754" t="s">
        <v>1346</v>
      </c>
      <c r="J617" s="754" t="s">
        <v>45</v>
      </c>
      <c r="K617" s="754" t="s">
        <v>45</v>
      </c>
      <c r="L617" s="754" t="s">
        <v>45</v>
      </c>
      <c r="M617" s="754" t="s">
        <v>792</v>
      </c>
      <c r="N617" s="754">
        <v>25.220278</v>
      </c>
      <c r="O617" s="754">
        <v>97.915833000000006</v>
      </c>
      <c r="P617" s="754" t="s">
        <v>775</v>
      </c>
      <c r="Q617" s="754" t="s">
        <v>794</v>
      </c>
      <c r="R617" s="763">
        <v>117</v>
      </c>
      <c r="S617" s="763">
        <v>421</v>
      </c>
      <c r="T617" s="783"/>
      <c r="U617" s="765"/>
      <c r="V617" s="754" t="s">
        <v>244</v>
      </c>
      <c r="W617" s="754"/>
    </row>
    <row r="618" spans="1:23" s="75" customFormat="1" ht="14.25" customHeight="1">
      <c r="A618" s="754" t="s">
        <v>39</v>
      </c>
      <c r="B618" s="754" t="s">
        <v>150</v>
      </c>
      <c r="C618" s="754" t="s">
        <v>227</v>
      </c>
      <c r="D618" s="637" t="s">
        <v>1693</v>
      </c>
      <c r="E618" s="754"/>
      <c r="F618" s="754"/>
      <c r="G618" s="754"/>
      <c r="H618" s="754"/>
      <c r="I618" s="754"/>
      <c r="J618" s="754" t="s">
        <v>1481</v>
      </c>
      <c r="K618" s="754" t="s">
        <v>45</v>
      </c>
      <c r="L618" s="754" t="s">
        <v>1041</v>
      </c>
      <c r="M618" s="754" t="s">
        <v>792</v>
      </c>
      <c r="N618" s="754"/>
      <c r="O618" s="754"/>
      <c r="P618" s="754" t="s">
        <v>775</v>
      </c>
      <c r="Q618" s="754" t="s">
        <v>794</v>
      </c>
      <c r="R618" s="763"/>
      <c r="S618" s="764"/>
      <c r="T618" s="783"/>
      <c r="U618" s="765" t="s">
        <v>1109</v>
      </c>
      <c r="V618" s="754" t="s">
        <v>227</v>
      </c>
      <c r="W618" s="754"/>
    </row>
    <row r="619" spans="1:23" s="75" customFormat="1" ht="14.25" customHeight="1">
      <c r="A619" s="754" t="s">
        <v>39</v>
      </c>
      <c r="B619" s="754" t="s">
        <v>150</v>
      </c>
      <c r="C619" s="754" t="s">
        <v>228</v>
      </c>
      <c r="D619" s="637" t="s">
        <v>1693</v>
      </c>
      <c r="E619" s="754"/>
      <c r="F619" s="754"/>
      <c r="G619" s="754"/>
      <c r="H619" s="754"/>
      <c r="I619" s="754"/>
      <c r="J619" s="754" t="s">
        <v>1481</v>
      </c>
      <c r="K619" s="754" t="s">
        <v>45</v>
      </c>
      <c r="L619" s="754" t="s">
        <v>1041</v>
      </c>
      <c r="M619" s="754" t="s">
        <v>792</v>
      </c>
      <c r="N619" s="754"/>
      <c r="O619" s="754"/>
      <c r="P619" s="754" t="s">
        <v>775</v>
      </c>
      <c r="Q619" s="754" t="s">
        <v>794</v>
      </c>
      <c r="R619" s="763"/>
      <c r="S619" s="764"/>
      <c r="T619" s="783"/>
      <c r="U619" s="765" t="s">
        <v>1109</v>
      </c>
      <c r="V619" s="754" t="s">
        <v>228</v>
      </c>
      <c r="W619" s="754"/>
    </row>
    <row r="620" spans="1:23" s="75" customFormat="1" ht="14.25" customHeight="1">
      <c r="A620" s="754" t="s">
        <v>39</v>
      </c>
      <c r="B620" s="754" t="s">
        <v>150</v>
      </c>
      <c r="C620" s="754" t="s">
        <v>1057</v>
      </c>
      <c r="D620" s="637" t="s">
        <v>3257</v>
      </c>
      <c r="E620" s="754" t="s">
        <v>1554</v>
      </c>
      <c r="F620" s="754" t="s">
        <v>1905</v>
      </c>
      <c r="G620" s="754" t="s">
        <v>1906</v>
      </c>
      <c r="H620" s="754"/>
      <c r="I620" s="760" t="s">
        <v>2199</v>
      </c>
      <c r="J620" s="754" t="s">
        <v>45</v>
      </c>
      <c r="K620" s="754" t="s">
        <v>45</v>
      </c>
      <c r="L620" s="754" t="s">
        <v>790</v>
      </c>
      <c r="M620" s="754" t="s">
        <v>46</v>
      </c>
      <c r="N620" s="754">
        <v>25.305008999999998</v>
      </c>
      <c r="O620" s="754">
        <v>97.430321000000006</v>
      </c>
      <c r="P620" s="754" t="s">
        <v>775</v>
      </c>
      <c r="Q620" s="754" t="s">
        <v>816</v>
      </c>
      <c r="R620" s="763">
        <v>62</v>
      </c>
      <c r="S620" s="763">
        <v>410</v>
      </c>
      <c r="T620" s="783">
        <v>42916</v>
      </c>
      <c r="U620" s="765" t="s">
        <v>1058</v>
      </c>
      <c r="V620" s="754"/>
      <c r="W620" s="754"/>
    </row>
    <row r="621" spans="1:23" s="75" customFormat="1" ht="14.25" customHeight="1">
      <c r="A621" s="754" t="s">
        <v>39</v>
      </c>
      <c r="B621" s="754" t="s">
        <v>150</v>
      </c>
      <c r="C621" s="754" t="s">
        <v>276</v>
      </c>
      <c r="D621" s="637" t="s">
        <v>3257</v>
      </c>
      <c r="E621" s="754" t="s">
        <v>1556</v>
      </c>
      <c r="F621" s="754" t="s">
        <v>1846</v>
      </c>
      <c r="G621" s="754" t="s">
        <v>1846</v>
      </c>
      <c r="H621" s="754" t="s">
        <v>43</v>
      </c>
      <c r="I621" s="754" t="s">
        <v>250</v>
      </c>
      <c r="J621" s="754" t="s">
        <v>45</v>
      </c>
      <c r="K621" s="754" t="s">
        <v>45</v>
      </c>
      <c r="L621" s="754" t="s">
        <v>45</v>
      </c>
      <c r="M621" s="754" t="s">
        <v>46</v>
      </c>
      <c r="N621" s="754">
        <v>25.321710740740698</v>
      </c>
      <c r="O621" s="754">
        <v>97.404195925926004</v>
      </c>
      <c r="P621" s="754" t="s">
        <v>775</v>
      </c>
      <c r="Q621" s="754" t="s">
        <v>794</v>
      </c>
      <c r="R621" s="763">
        <v>92</v>
      </c>
      <c r="S621" s="763">
        <v>448</v>
      </c>
      <c r="T621" s="783"/>
      <c r="U621" s="765"/>
      <c r="V621" s="754" t="s">
        <v>276</v>
      </c>
      <c r="W621" s="754"/>
    </row>
    <row r="622" spans="1:23" s="75" customFormat="1" ht="14.25" customHeight="1">
      <c r="A622" s="754" t="s">
        <v>39</v>
      </c>
      <c r="B622" s="754" t="s">
        <v>150</v>
      </c>
      <c r="C622" s="754" t="s">
        <v>183</v>
      </c>
      <c r="D622" s="637" t="s">
        <v>3257</v>
      </c>
      <c r="E622" s="754" t="s">
        <v>1546</v>
      </c>
      <c r="F622" s="754" t="s">
        <v>1839</v>
      </c>
      <c r="G622" s="754" t="s">
        <v>1840</v>
      </c>
      <c r="H622" s="754" t="s">
        <v>43</v>
      </c>
      <c r="I622" s="754" t="s">
        <v>3037</v>
      </c>
      <c r="J622" s="754" t="s">
        <v>45</v>
      </c>
      <c r="K622" s="754" t="s">
        <v>45</v>
      </c>
      <c r="L622" s="754" t="s">
        <v>45</v>
      </c>
      <c r="M622" s="754" t="s">
        <v>792</v>
      </c>
      <c r="N622" s="754">
        <v>25.200333000000001</v>
      </c>
      <c r="O622" s="754">
        <v>97.807182999999995</v>
      </c>
      <c r="P622" s="754" t="s">
        <v>775</v>
      </c>
      <c r="Q622" s="754" t="s">
        <v>794</v>
      </c>
      <c r="R622" s="763">
        <v>136</v>
      </c>
      <c r="S622" s="763">
        <v>985</v>
      </c>
      <c r="T622" s="783"/>
      <c r="U622" s="765"/>
      <c r="V622" s="754" t="s">
        <v>183</v>
      </c>
      <c r="W622" s="754"/>
    </row>
    <row r="623" spans="1:23" s="75" customFormat="1" ht="14.25" customHeight="1">
      <c r="A623" s="754" t="s">
        <v>39</v>
      </c>
      <c r="B623" s="754" t="s">
        <v>150</v>
      </c>
      <c r="C623" s="754" t="s">
        <v>232</v>
      </c>
      <c r="D623" s="637" t="s">
        <v>3257</v>
      </c>
      <c r="E623" s="754" t="s">
        <v>1534</v>
      </c>
      <c r="F623" s="754" t="s">
        <v>1746</v>
      </c>
      <c r="G623" s="754">
        <v>0</v>
      </c>
      <c r="H623" s="754"/>
      <c r="I623" s="760" t="s">
        <v>2199</v>
      </c>
      <c r="J623" s="754" t="s">
        <v>45</v>
      </c>
      <c r="K623" s="754" t="s">
        <v>45</v>
      </c>
      <c r="L623" s="754" t="s">
        <v>1041</v>
      </c>
      <c r="M623" s="754" t="s">
        <v>792</v>
      </c>
      <c r="N623" s="754">
        <v>24.752471</v>
      </c>
      <c r="O623" s="754">
        <v>97.541793999999996</v>
      </c>
      <c r="P623" s="754" t="s">
        <v>775</v>
      </c>
      <c r="Q623" s="754" t="s">
        <v>776</v>
      </c>
      <c r="R623" s="763">
        <v>0</v>
      </c>
      <c r="S623" s="763">
        <v>872</v>
      </c>
      <c r="T623" s="783"/>
      <c r="U623" s="765"/>
      <c r="V623" s="754" t="s">
        <v>232</v>
      </c>
      <c r="W623" s="754"/>
    </row>
    <row r="624" spans="1:23" s="75" customFormat="1" ht="14.25" customHeight="1">
      <c r="A624" s="754" t="s">
        <v>39</v>
      </c>
      <c r="B624" s="754" t="s">
        <v>150</v>
      </c>
      <c r="C624" s="754" t="s">
        <v>1039</v>
      </c>
      <c r="D624" s="637" t="s">
        <v>1694</v>
      </c>
      <c r="E624" s="754" t="s">
        <v>1533</v>
      </c>
      <c r="F624" s="754" t="s">
        <v>1746</v>
      </c>
      <c r="G624" s="754" t="s">
        <v>1746</v>
      </c>
      <c r="H624" s="754" t="s">
        <v>43</v>
      </c>
      <c r="I624" s="754" t="s">
        <v>1346</v>
      </c>
      <c r="J624" s="754" t="s">
        <v>45</v>
      </c>
      <c r="K624" s="754" t="s">
        <v>45</v>
      </c>
      <c r="L624" s="754" t="s">
        <v>774</v>
      </c>
      <c r="M624" s="754" t="s">
        <v>792</v>
      </c>
      <c r="N624" s="754">
        <v>24.747212999999999</v>
      </c>
      <c r="O624" s="754">
        <v>97.551507000000001</v>
      </c>
      <c r="P624" s="754" t="s">
        <v>775</v>
      </c>
      <c r="Q624" s="754"/>
      <c r="R624" s="763"/>
      <c r="S624" s="764"/>
      <c r="T624" s="783"/>
      <c r="U624" s="765"/>
      <c r="V624" s="754" t="s">
        <v>1040</v>
      </c>
      <c r="W624" s="570" t="s">
        <v>2245</v>
      </c>
    </row>
    <row r="625" spans="1:23" s="75" customFormat="1" ht="14.25" customHeight="1">
      <c r="A625" s="754" t="s">
        <v>39</v>
      </c>
      <c r="B625" s="754" t="s">
        <v>150</v>
      </c>
      <c r="C625" s="754" t="s">
        <v>1053</v>
      </c>
      <c r="D625" s="637" t="s">
        <v>1693</v>
      </c>
      <c r="E625" s="754" t="s">
        <v>1545</v>
      </c>
      <c r="F625" s="754"/>
      <c r="G625" s="754"/>
      <c r="H625" s="754"/>
      <c r="I625" s="754"/>
      <c r="J625" s="754" t="s">
        <v>45</v>
      </c>
      <c r="K625" s="754" t="s">
        <v>45</v>
      </c>
      <c r="L625" s="754" t="s">
        <v>774</v>
      </c>
      <c r="M625" s="754" t="s">
        <v>792</v>
      </c>
      <c r="N625" s="754">
        <v>25.108011999999999</v>
      </c>
      <c r="O625" s="754">
        <v>97.718008999999995</v>
      </c>
      <c r="P625" s="754" t="s">
        <v>775</v>
      </c>
      <c r="Q625" s="754"/>
      <c r="R625" s="763"/>
      <c r="S625" s="764"/>
      <c r="T625" s="783"/>
      <c r="U625" s="765"/>
      <c r="V625" s="754" t="s">
        <v>1053</v>
      </c>
      <c r="W625" s="754"/>
    </row>
    <row r="626" spans="1:23" s="75" customFormat="1" ht="14.25" customHeight="1">
      <c r="A626" s="754" t="s">
        <v>39</v>
      </c>
      <c r="B626" s="754" t="s">
        <v>150</v>
      </c>
      <c r="C626" s="754" t="s">
        <v>184</v>
      </c>
      <c r="D626" s="637" t="s">
        <v>3257</v>
      </c>
      <c r="E626" s="754" t="s">
        <v>1566</v>
      </c>
      <c r="F626" s="754" t="s">
        <v>1851</v>
      </c>
      <c r="G626" s="754" t="s">
        <v>1852</v>
      </c>
      <c r="H626" s="754" t="s">
        <v>43</v>
      </c>
      <c r="I626" s="754" t="s">
        <v>3037</v>
      </c>
      <c r="J626" s="754" t="s">
        <v>45</v>
      </c>
      <c r="K626" s="754" t="s">
        <v>45</v>
      </c>
      <c r="L626" s="754" t="s">
        <v>45</v>
      </c>
      <c r="M626" s="754" t="s">
        <v>46</v>
      </c>
      <c r="N626" s="754">
        <v>25.356632000000001</v>
      </c>
      <c r="O626" s="754">
        <v>97.451965000000001</v>
      </c>
      <c r="P626" s="754" t="s">
        <v>775</v>
      </c>
      <c r="Q626" s="754" t="s">
        <v>794</v>
      </c>
      <c r="R626" s="763">
        <v>32</v>
      </c>
      <c r="S626" s="763">
        <v>196</v>
      </c>
      <c r="T626" s="783"/>
      <c r="U626" s="765"/>
      <c r="V626" s="754" t="s">
        <v>184</v>
      </c>
      <c r="W626" s="754"/>
    </row>
    <row r="627" spans="1:23" s="75" customFormat="1" ht="14.25" customHeight="1">
      <c r="A627" s="754" t="s">
        <v>39</v>
      </c>
      <c r="B627" s="754" t="s">
        <v>150</v>
      </c>
      <c r="C627" s="754" t="s">
        <v>185</v>
      </c>
      <c r="D627" s="637" t="s">
        <v>3257</v>
      </c>
      <c r="E627" s="754" t="s">
        <v>1540</v>
      </c>
      <c r="F627" s="754" t="s">
        <v>1836</v>
      </c>
      <c r="G627" s="754" t="s">
        <v>1838</v>
      </c>
      <c r="H627" s="754" t="s">
        <v>43</v>
      </c>
      <c r="I627" s="754" t="s">
        <v>1346</v>
      </c>
      <c r="J627" s="754" t="s">
        <v>45</v>
      </c>
      <c r="K627" s="754" t="s">
        <v>982</v>
      </c>
      <c r="L627" s="754" t="s">
        <v>45</v>
      </c>
      <c r="M627" s="754" t="s">
        <v>792</v>
      </c>
      <c r="N627" s="754">
        <v>24.980250000000002</v>
      </c>
      <c r="O627" s="754">
        <v>97.715230000000005</v>
      </c>
      <c r="P627" s="17" t="s">
        <v>775</v>
      </c>
      <c r="Q627" s="754" t="s">
        <v>794</v>
      </c>
      <c r="R627" s="763">
        <v>407</v>
      </c>
      <c r="S627" s="763">
        <v>1731</v>
      </c>
      <c r="T627" s="783"/>
      <c r="U627" s="765" t="s">
        <v>1046</v>
      </c>
      <c r="V627" s="754" t="s">
        <v>185</v>
      </c>
      <c r="W627" s="754"/>
    </row>
    <row r="628" spans="1:23" s="75" customFormat="1" ht="14.25" customHeight="1">
      <c r="A628" s="754" t="s">
        <v>39</v>
      </c>
      <c r="B628" s="754" t="s">
        <v>150</v>
      </c>
      <c r="C628" s="754" t="s">
        <v>277</v>
      </c>
      <c r="D628" s="637" t="s">
        <v>3257</v>
      </c>
      <c r="E628" s="766" t="s">
        <v>1592</v>
      </c>
      <c r="F628" s="754" t="s">
        <v>1859</v>
      </c>
      <c r="G628" s="754" t="s">
        <v>1859</v>
      </c>
      <c r="H628" s="754" t="s">
        <v>43</v>
      </c>
      <c r="I628" s="754" t="s">
        <v>250</v>
      </c>
      <c r="J628" s="754" t="s">
        <v>45</v>
      </c>
      <c r="K628" s="754" t="s">
        <v>45</v>
      </c>
      <c r="L628" s="754" t="s">
        <v>45</v>
      </c>
      <c r="M628" s="754" t="s">
        <v>46</v>
      </c>
      <c r="N628" s="754">
        <v>25.424529444444399</v>
      </c>
      <c r="O628" s="754">
        <v>97.433419259259296</v>
      </c>
      <c r="P628" s="754" t="s">
        <v>775</v>
      </c>
      <c r="Q628" s="754" t="s">
        <v>794</v>
      </c>
      <c r="R628" s="763">
        <v>346</v>
      </c>
      <c r="S628" s="763">
        <v>2059</v>
      </c>
      <c r="T628" s="783"/>
      <c r="U628" s="765"/>
      <c r="V628" s="754" t="s">
        <v>277</v>
      </c>
      <c r="W628" s="754"/>
    </row>
    <row r="629" spans="1:23" s="75" customFormat="1" ht="14.25" customHeight="1">
      <c r="A629" s="754" t="s">
        <v>39</v>
      </c>
      <c r="B629" s="754" t="s">
        <v>150</v>
      </c>
      <c r="C629" s="754" t="s">
        <v>245</v>
      </c>
      <c r="D629" s="637" t="s">
        <v>3257</v>
      </c>
      <c r="E629" s="760" t="s">
        <v>1586</v>
      </c>
      <c r="F629" s="754" t="s">
        <v>1859</v>
      </c>
      <c r="G629" s="754" t="s">
        <v>1859</v>
      </c>
      <c r="H629" s="754" t="s">
        <v>43</v>
      </c>
      <c r="I629" s="754" t="s">
        <v>1346</v>
      </c>
      <c r="J629" s="754" t="s">
        <v>45</v>
      </c>
      <c r="K629" s="754" t="s">
        <v>45</v>
      </c>
      <c r="L629" s="754" t="s">
        <v>45</v>
      </c>
      <c r="M629" s="754" t="s">
        <v>46</v>
      </c>
      <c r="N629" s="754">
        <v>25.415667500000001</v>
      </c>
      <c r="O629" s="754">
        <v>97.437782499999997</v>
      </c>
      <c r="P629" s="754" t="s">
        <v>775</v>
      </c>
      <c r="Q629" s="754" t="s">
        <v>794</v>
      </c>
      <c r="R629" s="763">
        <v>327</v>
      </c>
      <c r="S629" s="763">
        <v>1785</v>
      </c>
      <c r="T629" s="783"/>
      <c r="U629" s="765"/>
      <c r="V629" s="754" t="s">
        <v>245</v>
      </c>
      <c r="W629" s="754"/>
    </row>
    <row r="630" spans="1:23" s="75" customFormat="1" ht="14.25" customHeight="1">
      <c r="A630" s="754" t="s">
        <v>39</v>
      </c>
      <c r="B630" s="754" t="s">
        <v>150</v>
      </c>
      <c r="C630" s="754" t="s">
        <v>186</v>
      </c>
      <c r="D630" s="637" t="s">
        <v>3257</v>
      </c>
      <c r="E630" s="754" t="s">
        <v>1583</v>
      </c>
      <c r="F630" s="754" t="s">
        <v>1859</v>
      </c>
      <c r="G630" s="754" t="s">
        <v>1859</v>
      </c>
      <c r="H630" s="754" t="s">
        <v>43</v>
      </c>
      <c r="I630" s="754" t="s">
        <v>3037</v>
      </c>
      <c r="J630" s="754" t="s">
        <v>45</v>
      </c>
      <c r="K630" s="754" t="s">
        <v>45</v>
      </c>
      <c r="L630" s="754" t="s">
        <v>45</v>
      </c>
      <c r="M630" s="754" t="s">
        <v>46</v>
      </c>
      <c r="N630" s="754">
        <v>25.4118005797101</v>
      </c>
      <c r="O630" s="754">
        <v>97.434855869565197</v>
      </c>
      <c r="P630" s="754" t="s">
        <v>775</v>
      </c>
      <c r="Q630" s="754" t="s">
        <v>794</v>
      </c>
      <c r="R630" s="763">
        <v>515</v>
      </c>
      <c r="S630" s="763">
        <v>2775</v>
      </c>
      <c r="T630" s="783"/>
      <c r="U630" s="765"/>
      <c r="V630" s="754" t="s">
        <v>186</v>
      </c>
      <c r="W630" s="570" t="s">
        <v>2348</v>
      </c>
    </row>
    <row r="631" spans="1:23" s="75" customFormat="1" ht="14.25" customHeight="1">
      <c r="A631" s="754" t="s">
        <v>39</v>
      </c>
      <c r="B631" s="754" t="s">
        <v>150</v>
      </c>
      <c r="C631" s="754" t="s">
        <v>187</v>
      </c>
      <c r="D631" s="637" t="s">
        <v>3257</v>
      </c>
      <c r="E631" s="754" t="s">
        <v>1581</v>
      </c>
      <c r="F631" s="754" t="s">
        <v>1859</v>
      </c>
      <c r="G631" s="754" t="s">
        <v>1859</v>
      </c>
      <c r="H631" s="754" t="s">
        <v>43</v>
      </c>
      <c r="I631" s="754" t="s">
        <v>3037</v>
      </c>
      <c r="J631" s="754" t="s">
        <v>45</v>
      </c>
      <c r="K631" s="754" t="s">
        <v>45</v>
      </c>
      <c r="L631" s="754" t="s">
        <v>45</v>
      </c>
      <c r="M631" s="754" t="s">
        <v>46</v>
      </c>
      <c r="N631" s="754">
        <v>25.409612685185198</v>
      </c>
      <c r="O631" s="754">
        <v>97.426536944444507</v>
      </c>
      <c r="P631" s="754" t="s">
        <v>775</v>
      </c>
      <c r="Q631" s="754" t="s">
        <v>794</v>
      </c>
      <c r="R631" s="763">
        <v>55</v>
      </c>
      <c r="S631" s="763">
        <v>250</v>
      </c>
      <c r="T631" s="783"/>
      <c r="U631" s="765"/>
      <c r="V631" s="754" t="s">
        <v>187</v>
      </c>
      <c r="W631" s="570" t="s">
        <v>2349</v>
      </c>
    </row>
    <row r="632" spans="1:23" s="75" customFormat="1" ht="14.25" customHeight="1">
      <c r="A632" s="754" t="s">
        <v>39</v>
      </c>
      <c r="B632" s="754" t="s">
        <v>150</v>
      </c>
      <c r="C632" s="754" t="s">
        <v>278</v>
      </c>
      <c r="D632" s="637" t="s">
        <v>3257</v>
      </c>
      <c r="E632" s="754" t="s">
        <v>1563</v>
      </c>
      <c r="F632" s="754" t="s">
        <v>1849</v>
      </c>
      <c r="G632" s="754" t="s">
        <v>1850</v>
      </c>
      <c r="H632" s="754" t="s">
        <v>43</v>
      </c>
      <c r="I632" s="754" t="s">
        <v>250</v>
      </c>
      <c r="J632" s="754" t="s">
        <v>45</v>
      </c>
      <c r="K632" s="754" t="s">
        <v>45</v>
      </c>
      <c r="L632" s="754" t="s">
        <v>45</v>
      </c>
      <c r="M632" s="754" t="s">
        <v>46</v>
      </c>
      <c r="N632" s="754">
        <v>25.351965</v>
      </c>
      <c r="O632" s="754">
        <v>97.345039</v>
      </c>
      <c r="P632" s="754" t="s">
        <v>775</v>
      </c>
      <c r="Q632" s="754" t="s">
        <v>794</v>
      </c>
      <c r="R632" s="763">
        <v>19</v>
      </c>
      <c r="S632" s="763">
        <v>82</v>
      </c>
      <c r="T632" s="783"/>
      <c r="U632" s="765"/>
      <c r="V632" s="754" t="s">
        <v>278</v>
      </c>
      <c r="W632" s="754"/>
    </row>
    <row r="633" spans="1:23" s="75" customFormat="1" ht="14.25" customHeight="1">
      <c r="A633" s="754" t="s">
        <v>39</v>
      </c>
      <c r="B633" s="754" t="s">
        <v>150</v>
      </c>
      <c r="C633" s="754" t="s">
        <v>188</v>
      </c>
      <c r="D633" s="637" t="s">
        <v>3257</v>
      </c>
      <c r="E633" s="754" t="s">
        <v>1539</v>
      </c>
      <c r="F633" s="754" t="s">
        <v>1836</v>
      </c>
      <c r="G633" s="754" t="s">
        <v>1837</v>
      </c>
      <c r="H633" s="754" t="s">
        <v>43</v>
      </c>
      <c r="I633" s="754" t="s">
        <v>3037</v>
      </c>
      <c r="J633" s="754" t="s">
        <v>45</v>
      </c>
      <c r="K633" s="754" t="s">
        <v>982</v>
      </c>
      <c r="L633" s="754" t="s">
        <v>45</v>
      </c>
      <c r="M633" s="754" t="s">
        <v>792</v>
      </c>
      <c r="N633" s="754">
        <v>24.831944</v>
      </c>
      <c r="O633" s="754">
        <v>97.751389000000003</v>
      </c>
      <c r="P633" s="754" t="s">
        <v>775</v>
      </c>
      <c r="Q633" s="754" t="s">
        <v>794</v>
      </c>
      <c r="R633" s="763">
        <v>185</v>
      </c>
      <c r="S633" s="763">
        <v>943</v>
      </c>
      <c r="T633" s="783"/>
      <c r="U633" s="765" t="s">
        <v>1046</v>
      </c>
      <c r="V633" s="754" t="s">
        <v>1047</v>
      </c>
      <c r="W633" s="754"/>
    </row>
    <row r="634" spans="1:23" s="75" customFormat="1" ht="14.25" customHeight="1">
      <c r="A634" s="754" t="s">
        <v>39</v>
      </c>
      <c r="B634" s="754" t="s">
        <v>150</v>
      </c>
      <c r="C634" s="754" t="s">
        <v>246</v>
      </c>
      <c r="D634" s="637" t="s">
        <v>3257</v>
      </c>
      <c r="E634" s="754" t="s">
        <v>1550</v>
      </c>
      <c r="F634" s="754" t="s">
        <v>1839</v>
      </c>
      <c r="G634" s="754" t="s">
        <v>1839</v>
      </c>
      <c r="H634" s="754" t="s">
        <v>43</v>
      </c>
      <c r="I634" s="754" t="s">
        <v>1346</v>
      </c>
      <c r="J634" s="754" t="s">
        <v>45</v>
      </c>
      <c r="K634" s="754" t="s">
        <v>45</v>
      </c>
      <c r="L634" s="754" t="s">
        <v>45</v>
      </c>
      <c r="M634" s="754" t="s">
        <v>792</v>
      </c>
      <c r="N634" s="754">
        <v>25.265277999999999</v>
      </c>
      <c r="O634" s="754">
        <v>97.990555999999998</v>
      </c>
      <c r="P634" s="754" t="s">
        <v>775</v>
      </c>
      <c r="Q634" s="754" t="s">
        <v>794</v>
      </c>
      <c r="R634" s="763">
        <v>79</v>
      </c>
      <c r="S634" s="763">
        <v>527</v>
      </c>
      <c r="T634" s="783"/>
      <c r="U634" s="765"/>
      <c r="V634" s="754" t="s">
        <v>246</v>
      </c>
      <c r="W634" s="754"/>
    </row>
    <row r="635" spans="1:23" s="75" customFormat="1" ht="14.25" customHeight="1">
      <c r="A635" s="754" t="s">
        <v>39</v>
      </c>
      <c r="B635" s="754" t="s">
        <v>150</v>
      </c>
      <c r="C635" s="754" t="s">
        <v>279</v>
      </c>
      <c r="D635" s="637" t="s">
        <v>3257</v>
      </c>
      <c r="E635" s="754" t="s">
        <v>1564</v>
      </c>
      <c r="F635" s="754" t="s">
        <v>1753</v>
      </c>
      <c r="G635" s="754" t="s">
        <v>1743</v>
      </c>
      <c r="H635" s="754" t="s">
        <v>43</v>
      </c>
      <c r="I635" s="754" t="s">
        <v>250</v>
      </c>
      <c r="J635" s="754" t="s">
        <v>45</v>
      </c>
      <c r="K635" s="754" t="s">
        <v>45</v>
      </c>
      <c r="L635" s="754" t="s">
        <v>45</v>
      </c>
      <c r="M635" s="754" t="s">
        <v>46</v>
      </c>
      <c r="N635" s="754">
        <v>25.3540362037037</v>
      </c>
      <c r="O635" s="754">
        <v>97.441166388888902</v>
      </c>
      <c r="P635" s="754" t="s">
        <v>775</v>
      </c>
      <c r="Q635" s="754" t="s">
        <v>794</v>
      </c>
      <c r="R635" s="763">
        <v>115</v>
      </c>
      <c r="S635" s="763">
        <v>493</v>
      </c>
      <c r="T635" s="783"/>
      <c r="U635" s="765"/>
      <c r="V635" s="754" t="s">
        <v>279</v>
      </c>
      <c r="W635" s="754"/>
    </row>
    <row r="636" spans="1:23" s="75" customFormat="1" ht="14.25" customHeight="1">
      <c r="A636" s="754" t="s">
        <v>39</v>
      </c>
      <c r="B636" s="754" t="s">
        <v>150</v>
      </c>
      <c r="C636" s="754" t="s">
        <v>189</v>
      </c>
      <c r="D636" s="637" t="s">
        <v>3257</v>
      </c>
      <c r="E636" s="754" t="s">
        <v>1562</v>
      </c>
      <c r="F636" s="754" t="s">
        <v>1753</v>
      </c>
      <c r="G636" s="754" t="s">
        <v>1743</v>
      </c>
      <c r="H636" s="754" t="s">
        <v>43</v>
      </c>
      <c r="I636" s="754" t="s">
        <v>3037</v>
      </c>
      <c r="J636" s="754" t="s">
        <v>45</v>
      </c>
      <c r="K636" s="754" t="s">
        <v>45</v>
      </c>
      <c r="L636" s="754" t="s">
        <v>45</v>
      </c>
      <c r="M636" s="754" t="s">
        <v>46</v>
      </c>
      <c r="N636" s="754">
        <v>25.351724999999998</v>
      </c>
      <c r="O636" s="754">
        <v>97.438432380952406</v>
      </c>
      <c r="P636" s="754" t="s">
        <v>775</v>
      </c>
      <c r="Q636" s="754" t="s">
        <v>794</v>
      </c>
      <c r="R636" s="763">
        <v>67</v>
      </c>
      <c r="S636" s="763">
        <v>341</v>
      </c>
      <c r="T636" s="783"/>
      <c r="U636" s="765"/>
      <c r="V636" s="754" t="s">
        <v>189</v>
      </c>
      <c r="W636" s="754"/>
    </row>
    <row r="637" spans="1:23" s="75" customFormat="1" ht="14.25" customHeight="1">
      <c r="A637" s="754" t="s">
        <v>39</v>
      </c>
      <c r="B637" s="754" t="s">
        <v>150</v>
      </c>
      <c r="C637" s="754" t="s">
        <v>280</v>
      </c>
      <c r="D637" s="637" t="s">
        <v>3257</v>
      </c>
      <c r="E637" s="754" t="s">
        <v>1558</v>
      </c>
      <c r="F637" s="754" t="s">
        <v>1753</v>
      </c>
      <c r="G637" s="754" t="s">
        <v>1801</v>
      </c>
      <c r="H637" s="754" t="s">
        <v>43</v>
      </c>
      <c r="I637" s="754" t="s">
        <v>250</v>
      </c>
      <c r="J637" s="754" t="s">
        <v>45</v>
      </c>
      <c r="K637" s="754" t="s">
        <v>45</v>
      </c>
      <c r="L637" s="754" t="s">
        <v>45</v>
      </c>
      <c r="M637" s="754" t="s">
        <v>46</v>
      </c>
      <c r="N637" s="754">
        <v>25.345918166666699</v>
      </c>
      <c r="O637" s="754">
        <v>97.437472666666693</v>
      </c>
      <c r="P637" s="754" t="s">
        <v>775</v>
      </c>
      <c r="Q637" s="754" t="s">
        <v>794</v>
      </c>
      <c r="R637" s="763">
        <v>36</v>
      </c>
      <c r="S637" s="763">
        <v>189</v>
      </c>
      <c r="T637" s="783"/>
      <c r="U637" s="765"/>
      <c r="V637" s="754" t="s">
        <v>280</v>
      </c>
      <c r="W637" s="754"/>
    </row>
    <row r="638" spans="1:23" s="75" customFormat="1" ht="14.25" customHeight="1">
      <c r="A638" s="754" t="s">
        <v>39</v>
      </c>
      <c r="B638" s="754" t="s">
        <v>150</v>
      </c>
      <c r="C638" s="754" t="s">
        <v>281</v>
      </c>
      <c r="D638" s="637" t="s">
        <v>2190</v>
      </c>
      <c r="E638" s="754" t="s">
        <v>1559</v>
      </c>
      <c r="F638" s="754" t="s">
        <v>1753</v>
      </c>
      <c r="G638" s="754" t="s">
        <v>1847</v>
      </c>
      <c r="H638" s="754" t="s">
        <v>43</v>
      </c>
      <c r="I638" s="754" t="s">
        <v>250</v>
      </c>
      <c r="J638" s="754" t="s">
        <v>45</v>
      </c>
      <c r="K638" s="754" t="s">
        <v>45</v>
      </c>
      <c r="L638" s="754" t="s">
        <v>774</v>
      </c>
      <c r="M638" s="754" t="s">
        <v>46</v>
      </c>
      <c r="N638" s="754">
        <v>25.350809000000002</v>
      </c>
      <c r="O638" s="754">
        <v>97.432495000000003</v>
      </c>
      <c r="P638" s="754" t="s">
        <v>775</v>
      </c>
      <c r="Q638" s="754" t="s">
        <v>794</v>
      </c>
      <c r="R638" s="763"/>
      <c r="S638" s="763"/>
      <c r="T638" s="783"/>
      <c r="U638" s="765"/>
      <c r="V638" s="754" t="s">
        <v>281</v>
      </c>
      <c r="W638" s="570" t="s">
        <v>2246</v>
      </c>
    </row>
    <row r="639" spans="1:23" s="75" customFormat="1" ht="14.25" customHeight="1">
      <c r="A639" s="768" t="s">
        <v>39</v>
      </c>
      <c r="B639" s="767" t="s">
        <v>150</v>
      </c>
      <c r="C639" s="760" t="s">
        <v>1064</v>
      </c>
      <c r="D639" s="637" t="s">
        <v>3257</v>
      </c>
      <c r="E639" s="760" t="s">
        <v>2029</v>
      </c>
      <c r="F639" s="754" t="s">
        <v>1064</v>
      </c>
      <c r="G639" s="754" t="s">
        <v>1064</v>
      </c>
      <c r="H639" s="760"/>
      <c r="I639" s="760" t="s">
        <v>2199</v>
      </c>
      <c r="J639" s="754" t="s">
        <v>45</v>
      </c>
      <c r="K639" s="754" t="s">
        <v>45</v>
      </c>
      <c r="L639" s="760" t="s">
        <v>790</v>
      </c>
      <c r="M639" s="754" t="s">
        <v>46</v>
      </c>
      <c r="N639" s="754">
        <v>0</v>
      </c>
      <c r="O639" s="754">
        <v>0</v>
      </c>
      <c r="P639" s="17" t="s">
        <v>775</v>
      </c>
      <c r="Q639" s="754" t="s">
        <v>1999</v>
      </c>
      <c r="R639" s="763">
        <v>85</v>
      </c>
      <c r="S639" s="763">
        <v>455</v>
      </c>
      <c r="T639" s="783">
        <v>43276</v>
      </c>
      <c r="U639" s="769"/>
      <c r="V639" s="760"/>
      <c r="W639" s="754" t="s">
        <v>2247</v>
      </c>
    </row>
    <row r="640" spans="1:23" s="75" customFormat="1" ht="14.25" customHeight="1">
      <c r="A640" s="754" t="s">
        <v>39</v>
      </c>
      <c r="B640" s="760" t="s">
        <v>150</v>
      </c>
      <c r="C640" s="760" t="s">
        <v>151</v>
      </c>
      <c r="D640" s="637" t="s">
        <v>3257</v>
      </c>
      <c r="E640" s="754" t="s">
        <v>1644</v>
      </c>
      <c r="F640" s="754" t="s">
        <v>1836</v>
      </c>
      <c r="G640" s="754" t="s">
        <v>1837</v>
      </c>
      <c r="H640" s="754" t="s">
        <v>43</v>
      </c>
      <c r="I640" s="754" t="s">
        <v>3037</v>
      </c>
      <c r="J640" s="754" t="s">
        <v>45</v>
      </c>
      <c r="K640" s="760" t="s">
        <v>45</v>
      </c>
      <c r="L640" s="760" t="s">
        <v>45</v>
      </c>
      <c r="M640" s="754" t="s">
        <v>792</v>
      </c>
      <c r="N640" s="754">
        <v>0</v>
      </c>
      <c r="O640" s="754">
        <v>0</v>
      </c>
      <c r="P640" s="17" t="s">
        <v>775</v>
      </c>
      <c r="Q640" s="754" t="s">
        <v>816</v>
      </c>
      <c r="R640" s="763">
        <v>398</v>
      </c>
      <c r="S640" s="763">
        <v>1834</v>
      </c>
      <c r="T640" s="783">
        <v>42916</v>
      </c>
      <c r="U640" s="765" t="s">
        <v>1150</v>
      </c>
      <c r="V640" s="754"/>
      <c r="W640" s="570" t="s">
        <v>2350</v>
      </c>
    </row>
    <row r="641" spans="1:23" s="75" customFormat="1" ht="14.25" customHeight="1">
      <c r="A641" s="754" t="s">
        <v>39</v>
      </c>
      <c r="B641" s="760" t="s">
        <v>150</v>
      </c>
      <c r="C641" s="760" t="s">
        <v>190</v>
      </c>
      <c r="D641" s="637" t="s">
        <v>3257</v>
      </c>
      <c r="E641" s="754" t="s">
        <v>1588</v>
      </c>
      <c r="F641" s="760" t="s">
        <v>1862</v>
      </c>
      <c r="G641" s="754" t="s">
        <v>1863</v>
      </c>
      <c r="H641" s="754" t="s">
        <v>43</v>
      </c>
      <c r="I641" s="754" t="s">
        <v>3037</v>
      </c>
      <c r="J641" s="754" t="s">
        <v>45</v>
      </c>
      <c r="K641" s="754" t="s">
        <v>45</v>
      </c>
      <c r="L641" s="754" t="s">
        <v>45</v>
      </c>
      <c r="M641" s="754" t="s">
        <v>46</v>
      </c>
      <c r="N641" s="754">
        <v>25.418084</v>
      </c>
      <c r="O641" s="754">
        <v>98.025662999999994</v>
      </c>
      <c r="P641" s="754" t="s">
        <v>775</v>
      </c>
      <c r="Q641" s="754" t="s">
        <v>794</v>
      </c>
      <c r="R641" s="763">
        <v>183</v>
      </c>
      <c r="S641" s="763">
        <v>1041</v>
      </c>
      <c r="T641" s="783"/>
      <c r="U641" s="765"/>
      <c r="V641" s="754" t="s">
        <v>190</v>
      </c>
      <c r="W641" s="570" t="s">
        <v>2351</v>
      </c>
    </row>
    <row r="642" spans="1:23" s="75" customFormat="1" ht="14.25" customHeight="1">
      <c r="A642" s="754" t="s">
        <v>39</v>
      </c>
      <c r="B642" s="760" t="s">
        <v>150</v>
      </c>
      <c r="C642" s="760" t="s">
        <v>282</v>
      </c>
      <c r="D642" s="637" t="s">
        <v>3257</v>
      </c>
      <c r="E642" s="754" t="s">
        <v>1557</v>
      </c>
      <c r="F642" s="754" t="s">
        <v>1753</v>
      </c>
      <c r="G642" s="754" t="s">
        <v>1847</v>
      </c>
      <c r="H642" s="754" t="s">
        <v>43</v>
      </c>
      <c r="I642" s="754" t="s">
        <v>250</v>
      </c>
      <c r="J642" s="754" t="s">
        <v>45</v>
      </c>
      <c r="K642" s="754" t="s">
        <v>45</v>
      </c>
      <c r="L642" s="754" t="s">
        <v>45</v>
      </c>
      <c r="M642" s="754" t="s">
        <v>46</v>
      </c>
      <c r="N642" s="754">
        <v>25.333683333333301</v>
      </c>
      <c r="O642" s="754">
        <v>97.428251153846105</v>
      </c>
      <c r="P642" s="754" t="s">
        <v>775</v>
      </c>
      <c r="Q642" s="754" t="s">
        <v>794</v>
      </c>
      <c r="R642" s="763">
        <v>46</v>
      </c>
      <c r="S642" s="763">
        <v>190</v>
      </c>
      <c r="T642" s="783"/>
      <c r="U642" s="765"/>
      <c r="V642" s="754" t="s">
        <v>282</v>
      </c>
      <c r="W642" s="754"/>
    </row>
    <row r="643" spans="1:23" s="75" customFormat="1" ht="14.25" customHeight="1">
      <c r="A643" s="768" t="s">
        <v>39</v>
      </c>
      <c r="B643" s="767" t="s">
        <v>150</v>
      </c>
      <c r="C643" s="760" t="s">
        <v>2191</v>
      </c>
      <c r="D643" s="637" t="s">
        <v>3257</v>
      </c>
      <c r="E643" s="760" t="s">
        <v>2026</v>
      </c>
      <c r="F643" s="760"/>
      <c r="G643" s="760"/>
      <c r="H643" s="754" t="s">
        <v>43</v>
      </c>
      <c r="I643" s="754" t="s">
        <v>3037</v>
      </c>
      <c r="J643" s="754" t="s">
        <v>45</v>
      </c>
      <c r="K643" s="754" t="s">
        <v>45</v>
      </c>
      <c r="L643" s="754" t="s">
        <v>45</v>
      </c>
      <c r="M643" s="754" t="s">
        <v>46</v>
      </c>
      <c r="N643" s="754">
        <v>0</v>
      </c>
      <c r="O643" s="754">
        <v>0</v>
      </c>
      <c r="P643" s="760" t="s">
        <v>775</v>
      </c>
      <c r="Q643" s="754" t="s">
        <v>1999</v>
      </c>
      <c r="R643" s="763">
        <v>79</v>
      </c>
      <c r="S643" s="763">
        <v>350</v>
      </c>
      <c r="T643" s="783">
        <v>43276</v>
      </c>
      <c r="U643" s="769" t="s">
        <v>2051</v>
      </c>
      <c r="V643" s="760"/>
      <c r="W643" s="570" t="s">
        <v>2352</v>
      </c>
    </row>
    <row r="644" spans="1:23" s="75" customFormat="1" ht="14.25" customHeight="1">
      <c r="A644" s="754" t="s">
        <v>39</v>
      </c>
      <c r="B644" s="760" t="s">
        <v>150</v>
      </c>
      <c r="C644" s="760" t="s">
        <v>283</v>
      </c>
      <c r="D644" s="637" t="s">
        <v>3257</v>
      </c>
      <c r="E644" s="754" t="s">
        <v>1561</v>
      </c>
      <c r="F644" s="754" t="s">
        <v>1753</v>
      </c>
      <c r="G644" s="754" t="s">
        <v>1801</v>
      </c>
      <c r="H644" s="754" t="s">
        <v>43</v>
      </c>
      <c r="I644" s="754" t="s">
        <v>250</v>
      </c>
      <c r="J644" s="754" t="s">
        <v>45</v>
      </c>
      <c r="K644" s="754" t="s">
        <v>45</v>
      </c>
      <c r="L644" s="754" t="s">
        <v>45</v>
      </c>
      <c r="M644" s="754" t="s">
        <v>46</v>
      </c>
      <c r="N644" s="754">
        <v>25.351250396825399</v>
      </c>
      <c r="O644" s="754">
        <v>97.444283730158702</v>
      </c>
      <c r="P644" s="754" t="s">
        <v>775</v>
      </c>
      <c r="Q644" s="754" t="s">
        <v>794</v>
      </c>
      <c r="R644" s="763">
        <v>67</v>
      </c>
      <c r="S644" s="763">
        <v>283</v>
      </c>
      <c r="T644" s="783"/>
      <c r="U644" s="765"/>
      <c r="V644" s="754" t="s">
        <v>283</v>
      </c>
      <c r="W644" s="754"/>
    </row>
    <row r="645" spans="1:23" s="75" customFormat="1" ht="14.25" customHeight="1">
      <c r="A645" s="754" t="s">
        <v>39</v>
      </c>
      <c r="B645" s="760" t="s">
        <v>150</v>
      </c>
      <c r="C645" s="760" t="s">
        <v>1059</v>
      </c>
      <c r="D645" s="637" t="s">
        <v>1694</v>
      </c>
      <c r="E645" s="754" t="s">
        <v>1565</v>
      </c>
      <c r="F645" s="754" t="s">
        <v>1753</v>
      </c>
      <c r="G645" s="754" t="s">
        <v>1743</v>
      </c>
      <c r="H645" s="754" t="s">
        <v>43</v>
      </c>
      <c r="I645" s="754" t="s">
        <v>149</v>
      </c>
      <c r="J645" s="754" t="s">
        <v>45</v>
      </c>
      <c r="K645" s="754" t="s">
        <v>45</v>
      </c>
      <c r="L645" s="754" t="s">
        <v>774</v>
      </c>
      <c r="M645" s="754" t="s">
        <v>46</v>
      </c>
      <c r="N645" s="754">
        <v>25.355841999999999</v>
      </c>
      <c r="O645" s="754">
        <v>97.438259000000002</v>
      </c>
      <c r="P645" s="754" t="s">
        <v>775</v>
      </c>
      <c r="Q645" s="754" t="s">
        <v>794</v>
      </c>
      <c r="R645" s="763"/>
      <c r="S645" s="764"/>
      <c r="T645" s="783"/>
      <c r="U645" s="765" t="s">
        <v>1060</v>
      </c>
      <c r="V645" s="754" t="s">
        <v>1059</v>
      </c>
      <c r="W645" s="570" t="s">
        <v>2248</v>
      </c>
    </row>
    <row r="646" spans="1:23" s="75" customFormat="1" ht="14.25" customHeight="1">
      <c r="A646" s="768" t="s">
        <v>39</v>
      </c>
      <c r="B646" s="767" t="s">
        <v>150</v>
      </c>
      <c r="C646" s="760" t="s">
        <v>2009</v>
      </c>
      <c r="D646" s="638"/>
      <c r="E646" s="760"/>
      <c r="F646" s="760"/>
      <c r="G646" s="760"/>
      <c r="H646" s="760"/>
      <c r="I646" s="760"/>
      <c r="J646" s="754" t="s">
        <v>1481</v>
      </c>
      <c r="K646" s="754" t="s">
        <v>45</v>
      </c>
      <c r="L646" s="754" t="s">
        <v>45</v>
      </c>
      <c r="M646" s="754" t="s">
        <v>46</v>
      </c>
      <c r="N646" s="760"/>
      <c r="O646" s="760"/>
      <c r="P646" s="754" t="s">
        <v>775</v>
      </c>
      <c r="Q646" s="754" t="s">
        <v>1999</v>
      </c>
      <c r="R646" s="772"/>
      <c r="S646" s="768"/>
      <c r="T646" s="783">
        <v>43270</v>
      </c>
      <c r="U646" s="769"/>
      <c r="V646" s="760"/>
      <c r="W646" s="754"/>
    </row>
    <row r="647" spans="1:23" s="75" customFormat="1" ht="14.25" customHeight="1">
      <c r="A647" s="754" t="s">
        <v>39</v>
      </c>
      <c r="B647" s="760" t="s">
        <v>150</v>
      </c>
      <c r="C647" s="760" t="s">
        <v>229</v>
      </c>
      <c r="D647" s="637" t="s">
        <v>3257</v>
      </c>
      <c r="E647" s="754" t="s">
        <v>1535</v>
      </c>
      <c r="F647" s="754" t="s">
        <v>1746</v>
      </c>
      <c r="G647" s="754" t="s">
        <v>1746</v>
      </c>
      <c r="H647" s="754" t="s">
        <v>43</v>
      </c>
      <c r="I647" s="754" t="s">
        <v>1346</v>
      </c>
      <c r="J647" s="754" t="s">
        <v>45</v>
      </c>
      <c r="K647" s="754" t="s">
        <v>45</v>
      </c>
      <c r="L647" s="754" t="s">
        <v>45</v>
      </c>
      <c r="M647" s="754" t="s">
        <v>792</v>
      </c>
      <c r="N647" s="754">
        <v>24.755253</v>
      </c>
      <c r="O647" s="754">
        <v>97.546893999999995</v>
      </c>
      <c r="P647" s="754" t="s">
        <v>775</v>
      </c>
      <c r="Q647" s="754" t="s">
        <v>794</v>
      </c>
      <c r="R647" s="763">
        <v>1403</v>
      </c>
      <c r="S647" s="763">
        <v>7165</v>
      </c>
      <c r="T647" s="783"/>
      <c r="U647" s="765"/>
      <c r="V647" s="754" t="s">
        <v>229</v>
      </c>
      <c r="W647" s="570" t="s">
        <v>2353</v>
      </c>
    </row>
    <row r="648" spans="1:23" s="75" customFormat="1" ht="14.25" customHeight="1">
      <c r="A648" s="754" t="s">
        <v>39</v>
      </c>
      <c r="B648" s="760" t="s">
        <v>150</v>
      </c>
      <c r="C648" s="760" t="s">
        <v>231</v>
      </c>
      <c r="D648" s="637" t="s">
        <v>1693</v>
      </c>
      <c r="E648" s="754"/>
      <c r="F648" s="754"/>
      <c r="G648" s="754"/>
      <c r="H648" s="754"/>
      <c r="I648" s="754"/>
      <c r="J648" s="754" t="s">
        <v>1481</v>
      </c>
      <c r="K648" s="754" t="s">
        <v>45</v>
      </c>
      <c r="L648" s="754" t="s">
        <v>1165</v>
      </c>
      <c r="M648" s="754" t="s">
        <v>792</v>
      </c>
      <c r="N648" s="754"/>
      <c r="O648" s="754"/>
      <c r="P648" s="754" t="s">
        <v>775</v>
      </c>
      <c r="Q648" s="754" t="s">
        <v>794</v>
      </c>
      <c r="R648" s="763"/>
      <c r="S648" s="764"/>
      <c r="T648" s="783"/>
      <c r="U648" s="765" t="s">
        <v>1109</v>
      </c>
      <c r="V648" s="754"/>
      <c r="W648" s="754"/>
    </row>
    <row r="649" spans="1:23" s="75" customFormat="1" ht="14.25" customHeight="1">
      <c r="A649" s="754" t="s">
        <v>39</v>
      </c>
      <c r="B649" s="760" t="s">
        <v>150</v>
      </c>
      <c r="C649" s="760" t="s">
        <v>230</v>
      </c>
      <c r="D649" s="637" t="s">
        <v>1693</v>
      </c>
      <c r="E649" s="754"/>
      <c r="F649" s="754"/>
      <c r="G649" s="754"/>
      <c r="H649" s="754"/>
      <c r="I649" s="754"/>
      <c r="J649" s="754" t="s">
        <v>1481</v>
      </c>
      <c r="K649" s="754" t="s">
        <v>45</v>
      </c>
      <c r="L649" s="754" t="s">
        <v>786</v>
      </c>
      <c r="M649" s="754" t="s">
        <v>792</v>
      </c>
      <c r="N649" s="754"/>
      <c r="O649" s="754"/>
      <c r="P649" s="754" t="s">
        <v>787</v>
      </c>
      <c r="Q649" s="754" t="s">
        <v>794</v>
      </c>
      <c r="R649" s="763"/>
      <c r="S649" s="764"/>
      <c r="T649" s="783"/>
      <c r="U649" s="765" t="s">
        <v>1109</v>
      </c>
      <c r="V649" s="754"/>
      <c r="W649" s="754"/>
    </row>
    <row r="650" spans="1:23" s="75" customFormat="1" ht="14.25" customHeight="1">
      <c r="A650" s="754" t="s">
        <v>39</v>
      </c>
      <c r="B650" s="760" t="s">
        <v>150</v>
      </c>
      <c r="C650" s="760" t="s">
        <v>1051</v>
      </c>
      <c r="D650" s="637" t="s">
        <v>1694</v>
      </c>
      <c r="E650" s="754" t="s">
        <v>1544</v>
      </c>
      <c r="F650" s="754" t="s">
        <v>1750</v>
      </c>
      <c r="G650" s="754" t="s">
        <v>1751</v>
      </c>
      <c r="H650" s="754" t="s">
        <v>43</v>
      </c>
      <c r="I650" s="754" t="s">
        <v>149</v>
      </c>
      <c r="J650" s="754" t="s">
        <v>45</v>
      </c>
      <c r="K650" s="754" t="s">
        <v>45</v>
      </c>
      <c r="L650" s="754" t="s">
        <v>774</v>
      </c>
      <c r="M650" s="754" t="s">
        <v>792</v>
      </c>
      <c r="N650" s="754">
        <v>25.106670000000001</v>
      </c>
      <c r="O650" s="754">
        <v>97.756789999999995</v>
      </c>
      <c r="P650" s="754" t="s">
        <v>775</v>
      </c>
      <c r="Q650" s="754" t="s">
        <v>794</v>
      </c>
      <c r="R650" s="763"/>
      <c r="S650" s="764"/>
      <c r="T650" s="783"/>
      <c r="U650" s="765" t="s">
        <v>1046</v>
      </c>
      <c r="V650" s="754" t="s">
        <v>1052</v>
      </c>
      <c r="W650" s="570" t="s">
        <v>2249</v>
      </c>
    </row>
    <row r="651" spans="1:23" s="75" customFormat="1" ht="14.25" customHeight="1">
      <c r="A651" s="754" t="s">
        <v>3005</v>
      </c>
      <c r="B651" s="754" t="s">
        <v>337</v>
      </c>
      <c r="C651" s="754" t="s">
        <v>2831</v>
      </c>
      <c r="D651" s="637"/>
      <c r="E651" s="754"/>
      <c r="F651" s="754"/>
      <c r="G651" s="754"/>
      <c r="H651" s="754"/>
      <c r="I651" s="754"/>
      <c r="J651" s="754" t="s">
        <v>3017</v>
      </c>
      <c r="K651" s="754" t="s">
        <v>2935</v>
      </c>
      <c r="L651" s="754" t="s">
        <v>2935</v>
      </c>
      <c r="M651" s="754"/>
      <c r="N651" s="754"/>
      <c r="O651" s="754"/>
      <c r="P651" s="754"/>
      <c r="Q651" s="754"/>
      <c r="R651" s="763"/>
      <c r="S651" s="764"/>
      <c r="T651" s="783"/>
      <c r="U651" s="765"/>
      <c r="V651" s="754"/>
      <c r="W651" s="754"/>
    </row>
    <row r="652" spans="1:23" s="75" customFormat="1" ht="14.25" customHeight="1">
      <c r="A652" s="764" t="s">
        <v>3005</v>
      </c>
      <c r="B652" s="767" t="s">
        <v>337</v>
      </c>
      <c r="C652" s="768" t="s">
        <v>3061</v>
      </c>
      <c r="D652" s="761"/>
      <c r="E652" s="754">
        <v>198334</v>
      </c>
      <c r="F652" s="754" t="s">
        <v>3061</v>
      </c>
      <c r="G652" s="754"/>
      <c r="H652" s="754"/>
      <c r="I652" s="754"/>
      <c r="J652" s="754" t="s">
        <v>812</v>
      </c>
      <c r="K652" s="754" t="s">
        <v>812</v>
      </c>
      <c r="L652" s="754" t="s">
        <v>812</v>
      </c>
      <c r="M652" s="754"/>
      <c r="N652" s="754">
        <v>20.825700759887699</v>
      </c>
      <c r="O652" s="754">
        <v>92.542686462402301</v>
      </c>
      <c r="P652" s="754"/>
      <c r="Q652" s="754" t="s">
        <v>2940</v>
      </c>
      <c r="R652" s="771"/>
      <c r="S652" s="764"/>
      <c r="T652" s="783">
        <v>43580</v>
      </c>
      <c r="U652" s="816" t="s">
        <v>3058</v>
      </c>
      <c r="V652" s="765"/>
      <c r="W652" s="763"/>
    </row>
    <row r="653" spans="1:23" s="75" customFormat="1" ht="14.25" customHeight="1">
      <c r="A653" s="754" t="s">
        <v>3005</v>
      </c>
      <c r="B653" s="760" t="s">
        <v>337</v>
      </c>
      <c r="C653" s="760" t="s">
        <v>645</v>
      </c>
      <c r="D653" s="637" t="s">
        <v>1693</v>
      </c>
      <c r="E653" s="754">
        <v>198334</v>
      </c>
      <c r="F653" s="754"/>
      <c r="G653" s="754"/>
      <c r="H653" s="754"/>
      <c r="I653" s="754"/>
      <c r="J653" s="754" t="s">
        <v>3017</v>
      </c>
      <c r="K653" s="754" t="s">
        <v>2935</v>
      </c>
      <c r="L653" s="754" t="s">
        <v>2935</v>
      </c>
      <c r="M653" s="754" t="s">
        <v>809</v>
      </c>
      <c r="N653" s="754">
        <v>20.82570076</v>
      </c>
      <c r="O653" s="754">
        <v>92.542686459999999</v>
      </c>
      <c r="P653" s="754" t="s">
        <v>813</v>
      </c>
      <c r="Q653" s="754" t="s">
        <v>794</v>
      </c>
      <c r="R653" s="763"/>
      <c r="S653" s="764"/>
      <c r="T653" s="783"/>
      <c r="U653" s="765"/>
      <c r="V653" s="754" t="s">
        <v>645</v>
      </c>
      <c r="W653" s="754"/>
    </row>
    <row r="654" spans="1:23" s="75" customFormat="1" ht="14.25" customHeight="1">
      <c r="A654" s="764" t="s">
        <v>3005</v>
      </c>
      <c r="B654" s="767" t="s">
        <v>337</v>
      </c>
      <c r="C654" s="768" t="s">
        <v>2798</v>
      </c>
      <c r="D654" s="761"/>
      <c r="E654" s="754">
        <v>198349</v>
      </c>
      <c r="F654" s="754" t="s">
        <v>2798</v>
      </c>
      <c r="G654" s="754"/>
      <c r="H654" s="754"/>
      <c r="I654" s="754"/>
      <c r="J654" s="754" t="s">
        <v>812</v>
      </c>
      <c r="K654" s="754" t="s">
        <v>812</v>
      </c>
      <c r="L654" s="754" t="s">
        <v>812</v>
      </c>
      <c r="M654" s="754" t="s">
        <v>809</v>
      </c>
      <c r="N654" s="754">
        <v>20.819919586181602</v>
      </c>
      <c r="O654" s="754">
        <v>92.589729309082003</v>
      </c>
      <c r="P654" s="754"/>
      <c r="Q654" s="754" t="s">
        <v>2940</v>
      </c>
      <c r="R654" s="771"/>
      <c r="S654" s="764"/>
      <c r="T654" s="783">
        <v>43580</v>
      </c>
      <c r="U654" s="816" t="s">
        <v>3058</v>
      </c>
      <c r="V654" s="765"/>
      <c r="W654" s="763"/>
    </row>
    <row r="655" spans="1:23" s="75" customFormat="1" ht="14.25" customHeight="1">
      <c r="A655" s="754" t="s">
        <v>3005</v>
      </c>
      <c r="B655" s="754" t="s">
        <v>337</v>
      </c>
      <c r="C655" s="754" t="s">
        <v>558</v>
      </c>
      <c r="D655" s="637" t="s">
        <v>1693</v>
      </c>
      <c r="E655" s="754">
        <v>198443</v>
      </c>
      <c r="F655" s="754"/>
      <c r="G655" s="754"/>
      <c r="H655" s="754"/>
      <c r="I655" s="754"/>
      <c r="J655" s="754" t="s">
        <v>812</v>
      </c>
      <c r="K655" s="754" t="s">
        <v>812</v>
      </c>
      <c r="L655" s="754" t="s">
        <v>812</v>
      </c>
      <c r="M655" s="754" t="s">
        <v>809</v>
      </c>
      <c r="N655" s="754">
        <v>20.686819079999999</v>
      </c>
      <c r="O655" s="754">
        <v>92.57855988</v>
      </c>
      <c r="P655" s="754" t="s">
        <v>813</v>
      </c>
      <c r="Q655" s="754" t="s">
        <v>794</v>
      </c>
      <c r="R655" s="763"/>
      <c r="S655" s="764"/>
      <c r="T655" s="783"/>
      <c r="U655" s="765"/>
      <c r="V655" s="754" t="s">
        <v>558</v>
      </c>
      <c r="W655" s="754"/>
    </row>
    <row r="656" spans="1:23" s="75" customFormat="1" ht="14.25" customHeight="1">
      <c r="A656" s="754" t="s">
        <v>3005</v>
      </c>
      <c r="B656" s="754" t="s">
        <v>337</v>
      </c>
      <c r="C656" s="754" t="s">
        <v>3074</v>
      </c>
      <c r="D656" s="637" t="s">
        <v>1693</v>
      </c>
      <c r="E656" s="754">
        <v>198185</v>
      </c>
      <c r="F656" s="754"/>
      <c r="G656" s="754"/>
      <c r="H656" s="754"/>
      <c r="I656" s="754"/>
      <c r="J656" s="754" t="s">
        <v>812</v>
      </c>
      <c r="K656" s="754" t="s">
        <v>812</v>
      </c>
      <c r="L656" s="754" t="s">
        <v>812</v>
      </c>
      <c r="M656" s="754" t="s">
        <v>809</v>
      </c>
      <c r="N656" s="754">
        <v>20.961650850000002</v>
      </c>
      <c r="O656" s="754">
        <v>92.502937320000001</v>
      </c>
      <c r="P656" s="754" t="s">
        <v>813</v>
      </c>
      <c r="Q656" s="754" t="s">
        <v>794</v>
      </c>
      <c r="R656" s="763"/>
      <c r="S656" s="764"/>
      <c r="T656" s="783"/>
      <c r="U656" s="765"/>
      <c r="V656" s="754" t="s">
        <v>679</v>
      </c>
      <c r="W656" s="754"/>
    </row>
    <row r="657" spans="1:23" s="75" customFormat="1" ht="14.25" customHeight="1">
      <c r="A657" s="764" t="s">
        <v>3005</v>
      </c>
      <c r="B657" s="767" t="s">
        <v>337</v>
      </c>
      <c r="C657" s="768" t="s">
        <v>3243</v>
      </c>
      <c r="D657" s="761"/>
      <c r="E657" s="754">
        <v>198357</v>
      </c>
      <c r="F657" s="754"/>
      <c r="G657" s="754"/>
      <c r="H657" s="754"/>
      <c r="I657" s="754"/>
      <c r="J657" s="754" t="s">
        <v>812</v>
      </c>
      <c r="K657" s="754" t="s">
        <v>812</v>
      </c>
      <c r="L657" s="754" t="s">
        <v>812</v>
      </c>
      <c r="M657" s="754"/>
      <c r="N657" s="754">
        <v>20.813840866088899</v>
      </c>
      <c r="O657" s="754">
        <v>92.599952697753906</v>
      </c>
      <c r="P657" s="754"/>
      <c r="Q657" s="754"/>
      <c r="R657" s="771"/>
      <c r="S657" s="764"/>
      <c r="T657" s="783"/>
      <c r="U657" s="771"/>
      <c r="V657" s="754"/>
      <c r="W657" s="763"/>
    </row>
    <row r="658" spans="1:23" s="75" customFormat="1" ht="14.25" customHeight="1">
      <c r="A658" s="754" t="s">
        <v>3005</v>
      </c>
      <c r="B658" s="760" t="s">
        <v>337</v>
      </c>
      <c r="C658" s="760" t="s">
        <v>597</v>
      </c>
      <c r="D658" s="637" t="s">
        <v>1693</v>
      </c>
      <c r="E658" s="754">
        <v>198427</v>
      </c>
      <c r="F658" s="754"/>
      <c r="G658" s="754"/>
      <c r="H658" s="754"/>
      <c r="I658" s="754"/>
      <c r="J658" s="754" t="s">
        <v>812</v>
      </c>
      <c r="K658" s="754" t="s">
        <v>812</v>
      </c>
      <c r="L658" s="754" t="s">
        <v>812</v>
      </c>
      <c r="M658" s="754" t="s">
        <v>903</v>
      </c>
      <c r="N658" s="775">
        <v>20.742059709999999</v>
      </c>
      <c r="O658" s="775">
        <v>92.630676269999995</v>
      </c>
      <c r="P658" s="754" t="s">
        <v>813</v>
      </c>
      <c r="Q658" s="754" t="s">
        <v>794</v>
      </c>
      <c r="R658" s="763"/>
      <c r="S658" s="764"/>
      <c r="T658" s="783"/>
      <c r="U658" s="765"/>
      <c r="V658" s="754" t="s">
        <v>597</v>
      </c>
      <c r="W658" s="754"/>
    </row>
    <row r="659" spans="1:23" s="75" customFormat="1" ht="14.25" customHeight="1">
      <c r="A659" s="754" t="s">
        <v>3005</v>
      </c>
      <c r="B659" s="760" t="s">
        <v>337</v>
      </c>
      <c r="C659" s="760" t="s">
        <v>2805</v>
      </c>
      <c r="D659" s="637"/>
      <c r="E659" s="754">
        <v>198427</v>
      </c>
      <c r="F659" s="754" t="s">
        <v>2943</v>
      </c>
      <c r="G659" s="754"/>
      <c r="H659" s="754"/>
      <c r="I659" s="754"/>
      <c r="J659" s="754" t="s">
        <v>812</v>
      </c>
      <c r="K659" s="754" t="s">
        <v>812</v>
      </c>
      <c r="L659" s="754" t="s">
        <v>812</v>
      </c>
      <c r="M659" s="754" t="s">
        <v>809</v>
      </c>
      <c r="N659" s="754"/>
      <c r="O659" s="754"/>
      <c r="P659" s="754"/>
      <c r="Q659" s="754" t="s">
        <v>2940</v>
      </c>
      <c r="R659" s="763"/>
      <c r="S659" s="764"/>
      <c r="T659" s="783"/>
      <c r="U659" s="765"/>
      <c r="V659" s="754"/>
      <c r="W659" s="754"/>
    </row>
    <row r="660" spans="1:23" s="75" customFormat="1" ht="14.25" customHeight="1">
      <c r="A660" s="754" t="s">
        <v>3005</v>
      </c>
      <c r="B660" s="754" t="s">
        <v>337</v>
      </c>
      <c r="C660" s="754" t="s">
        <v>2804</v>
      </c>
      <c r="D660" s="637"/>
      <c r="E660" s="754">
        <v>198426</v>
      </c>
      <c r="F660" s="754" t="s">
        <v>2943</v>
      </c>
      <c r="G660" s="754"/>
      <c r="H660" s="754"/>
      <c r="I660" s="754"/>
      <c r="J660" s="754" t="s">
        <v>812</v>
      </c>
      <c r="K660" s="754" t="s">
        <v>812</v>
      </c>
      <c r="L660" s="754" t="s">
        <v>812</v>
      </c>
      <c r="M660" s="754" t="s">
        <v>312</v>
      </c>
      <c r="N660" s="754"/>
      <c r="O660" s="754"/>
      <c r="P660" s="754"/>
      <c r="Q660" s="754" t="s">
        <v>2940</v>
      </c>
      <c r="R660" s="763"/>
      <c r="S660" s="764"/>
      <c r="T660" s="783"/>
      <c r="U660" s="765"/>
      <c r="V660" s="754"/>
      <c r="W660" s="754"/>
    </row>
    <row r="661" spans="1:23" s="75" customFormat="1" ht="14.25" customHeight="1">
      <c r="A661" s="767" t="s">
        <v>3005</v>
      </c>
      <c r="B661" s="767" t="s">
        <v>337</v>
      </c>
      <c r="C661" s="768" t="s">
        <v>3213</v>
      </c>
      <c r="D661" s="761"/>
      <c r="E661" s="754">
        <v>198415</v>
      </c>
      <c r="F661" s="754"/>
      <c r="G661" s="754"/>
      <c r="H661" s="754"/>
      <c r="I661" s="754"/>
      <c r="J661" s="754" t="s">
        <v>3017</v>
      </c>
      <c r="K661" s="754" t="s">
        <v>2935</v>
      </c>
      <c r="L661" s="754" t="s">
        <v>2935</v>
      </c>
      <c r="M661" s="754"/>
      <c r="N661" s="754">
        <v>20.734859466552699</v>
      </c>
      <c r="O661" s="754">
        <v>92.657089233398395</v>
      </c>
      <c r="P661" s="754"/>
      <c r="Q661" s="754"/>
      <c r="R661" s="771"/>
      <c r="S661" s="764"/>
      <c r="T661" s="783">
        <v>43591</v>
      </c>
      <c r="U661" s="771"/>
      <c r="V661" s="754"/>
      <c r="W661" s="763"/>
    </row>
    <row r="662" spans="1:23" s="75" customFormat="1" ht="14.25" customHeight="1">
      <c r="A662" s="754" t="s">
        <v>3005</v>
      </c>
      <c r="B662" s="754" t="s">
        <v>337</v>
      </c>
      <c r="C662" s="754" t="s">
        <v>619</v>
      </c>
      <c r="D662" s="637" t="s">
        <v>1693</v>
      </c>
      <c r="E662" s="754">
        <v>198367</v>
      </c>
      <c r="F662" s="754"/>
      <c r="G662" s="754"/>
      <c r="H662" s="754"/>
      <c r="I662" s="754"/>
      <c r="J662" s="754" t="s">
        <v>812</v>
      </c>
      <c r="K662" s="754" t="s">
        <v>812</v>
      </c>
      <c r="L662" s="754" t="s">
        <v>812</v>
      </c>
      <c r="M662" s="754" t="s">
        <v>809</v>
      </c>
      <c r="N662" s="754">
        <v>20.792390820000001</v>
      </c>
      <c r="O662" s="754">
        <v>92.587081909999995</v>
      </c>
      <c r="P662" s="754" t="s">
        <v>813</v>
      </c>
      <c r="Q662" s="754" t="s">
        <v>794</v>
      </c>
      <c r="R662" s="763"/>
      <c r="S662" s="764"/>
      <c r="T662" s="783"/>
      <c r="U662" s="765"/>
      <c r="V662" s="754" t="s">
        <v>619</v>
      </c>
      <c r="W662" s="754"/>
    </row>
    <row r="663" spans="1:23" s="75" customFormat="1" ht="14.25" customHeight="1">
      <c r="A663" s="754" t="s">
        <v>3005</v>
      </c>
      <c r="B663" s="754" t="s">
        <v>337</v>
      </c>
      <c r="C663" s="754" t="s">
        <v>666</v>
      </c>
      <c r="D663" s="637" t="s">
        <v>1693</v>
      </c>
      <c r="E663" s="754">
        <v>198317</v>
      </c>
      <c r="F663" s="754"/>
      <c r="G663" s="754"/>
      <c r="H663" s="754"/>
      <c r="I663" s="754"/>
      <c r="J663" s="754" t="s">
        <v>812</v>
      </c>
      <c r="K663" s="754" t="s">
        <v>812</v>
      </c>
      <c r="L663" s="754" t="s">
        <v>812</v>
      </c>
      <c r="M663" s="754" t="s">
        <v>809</v>
      </c>
      <c r="N663" s="775">
        <v>20.891330719999999</v>
      </c>
      <c r="O663" s="775">
        <v>92.491966250000004</v>
      </c>
      <c r="P663" s="754" t="s">
        <v>813</v>
      </c>
      <c r="Q663" s="754" t="s">
        <v>794</v>
      </c>
      <c r="R663" s="763"/>
      <c r="S663" s="764"/>
      <c r="T663" s="783"/>
      <c r="U663" s="765"/>
      <c r="V663" s="754" t="s">
        <v>666</v>
      </c>
      <c r="W663" s="754"/>
    </row>
    <row r="664" spans="1:23" s="75" customFormat="1" ht="14.25" customHeight="1">
      <c r="A664" s="767" t="s">
        <v>3005</v>
      </c>
      <c r="B664" s="767" t="s">
        <v>337</v>
      </c>
      <c r="C664" s="768" t="s">
        <v>635</v>
      </c>
      <c r="D664" s="761"/>
      <c r="E664" s="754">
        <v>217876</v>
      </c>
      <c r="F664" s="754"/>
      <c r="G664" s="754"/>
      <c r="H664" s="754"/>
      <c r="I664" s="754"/>
      <c r="J664" s="754" t="s">
        <v>3017</v>
      </c>
      <c r="K664" s="754" t="s">
        <v>2935</v>
      </c>
      <c r="L664" s="754" t="s">
        <v>2935</v>
      </c>
      <c r="M664" s="754" t="s">
        <v>312</v>
      </c>
      <c r="N664" s="754">
        <v>20.818290709999999</v>
      </c>
      <c r="O664" s="754">
        <v>92.594978330000004</v>
      </c>
      <c r="P664" s="754" t="s">
        <v>813</v>
      </c>
      <c r="Q664" s="754"/>
      <c r="R664" s="771"/>
      <c r="S664" s="764"/>
      <c r="T664" s="783">
        <v>43591</v>
      </c>
      <c r="U664" s="771"/>
      <c r="V664" s="754"/>
      <c r="W664" s="763"/>
    </row>
    <row r="665" spans="1:23" s="75" customFormat="1" ht="14.25" customHeight="1">
      <c r="A665" s="754" t="s">
        <v>3005</v>
      </c>
      <c r="B665" s="754" t="s">
        <v>337</v>
      </c>
      <c r="C665" s="754" t="s">
        <v>338</v>
      </c>
      <c r="D665" s="637" t="s">
        <v>1693</v>
      </c>
      <c r="E665" s="754"/>
      <c r="F665" s="754"/>
      <c r="G665" s="754"/>
      <c r="H665" s="754"/>
      <c r="I665" s="754"/>
      <c r="J665" s="754" t="s">
        <v>818</v>
      </c>
      <c r="K665" s="754" t="s">
        <v>812</v>
      </c>
      <c r="L665" s="754" t="s">
        <v>818</v>
      </c>
      <c r="M665" s="754" t="s">
        <v>809</v>
      </c>
      <c r="N665" s="754"/>
      <c r="O665" s="754"/>
      <c r="P665" s="754" t="s">
        <v>937</v>
      </c>
      <c r="Q665" s="754" t="s">
        <v>816</v>
      </c>
      <c r="R665" s="763"/>
      <c r="S665" s="764"/>
      <c r="T665" s="783">
        <v>42926</v>
      </c>
      <c r="U665" s="765" t="s">
        <v>947</v>
      </c>
      <c r="V665" s="754"/>
      <c r="W665" s="754"/>
    </row>
    <row r="666" spans="1:23" s="75" customFormat="1" ht="14.25" customHeight="1">
      <c r="A666" s="754" t="s">
        <v>3005</v>
      </c>
      <c r="B666" s="754" t="s">
        <v>337</v>
      </c>
      <c r="C666" s="754" t="s">
        <v>556</v>
      </c>
      <c r="D666" s="637" t="s">
        <v>1693</v>
      </c>
      <c r="E666" s="754">
        <v>220754</v>
      </c>
      <c r="F666" s="754"/>
      <c r="G666" s="754"/>
      <c r="H666" s="754"/>
      <c r="I666" s="754"/>
      <c r="J666" s="754" t="s">
        <v>812</v>
      </c>
      <c r="K666" s="754" t="s">
        <v>812</v>
      </c>
      <c r="L666" s="754" t="s">
        <v>812</v>
      </c>
      <c r="M666" s="754" t="s">
        <v>312</v>
      </c>
      <c r="N666" s="754">
        <v>20.685689929999999</v>
      </c>
      <c r="O666" s="754">
        <v>92.572860719999994</v>
      </c>
      <c r="P666" s="754" t="s">
        <v>813</v>
      </c>
      <c r="Q666" s="754" t="s">
        <v>794</v>
      </c>
      <c r="R666" s="763"/>
      <c r="S666" s="764"/>
      <c r="T666" s="783"/>
      <c r="U666" s="765"/>
      <c r="V666" s="754" t="s">
        <v>556</v>
      </c>
      <c r="W666" s="754"/>
    </row>
    <row r="667" spans="1:23" s="75" customFormat="1" ht="14.25" customHeight="1">
      <c r="A667" s="754" t="s">
        <v>3005</v>
      </c>
      <c r="B667" s="754" t="s">
        <v>337</v>
      </c>
      <c r="C667" s="754" t="s">
        <v>585</v>
      </c>
      <c r="D667" s="637" t="s">
        <v>1693</v>
      </c>
      <c r="E667" s="754">
        <v>198429</v>
      </c>
      <c r="F667" s="754"/>
      <c r="G667" s="754"/>
      <c r="H667" s="754"/>
      <c r="I667" s="754"/>
      <c r="J667" s="754" t="s">
        <v>812</v>
      </c>
      <c r="K667" s="754" t="s">
        <v>812</v>
      </c>
      <c r="L667" s="754" t="s">
        <v>812</v>
      </c>
      <c r="M667" s="754" t="s">
        <v>809</v>
      </c>
      <c r="N667" s="754">
        <v>20.721019739999999</v>
      </c>
      <c r="O667" s="754">
        <v>92.626197809999994</v>
      </c>
      <c r="P667" s="754" t="s">
        <v>813</v>
      </c>
      <c r="Q667" s="754" t="s">
        <v>794</v>
      </c>
      <c r="R667" s="763"/>
      <c r="S667" s="764"/>
      <c r="T667" s="783"/>
      <c r="U667" s="765"/>
      <c r="V667" s="754" t="s">
        <v>585</v>
      </c>
      <c r="W667" s="754"/>
    </row>
    <row r="668" spans="1:23" s="75" customFormat="1" ht="14.25" customHeight="1">
      <c r="A668" s="754" t="s">
        <v>3005</v>
      </c>
      <c r="B668" s="754" t="s">
        <v>337</v>
      </c>
      <c r="C668" s="754" t="s">
        <v>665</v>
      </c>
      <c r="D668" s="637"/>
      <c r="E668" s="754">
        <v>198435</v>
      </c>
      <c r="F668" s="754" t="s">
        <v>2945</v>
      </c>
      <c r="G668" s="754"/>
      <c r="H668" s="754"/>
      <c r="I668" s="754"/>
      <c r="J668" s="754" t="s">
        <v>812</v>
      </c>
      <c r="K668" s="754" t="s">
        <v>812</v>
      </c>
      <c r="L668" s="754" t="s">
        <v>812</v>
      </c>
      <c r="M668" s="754" t="s">
        <v>809</v>
      </c>
      <c r="N668" s="754"/>
      <c r="O668" s="754"/>
      <c r="P668" s="754"/>
      <c r="Q668" s="754" t="s">
        <v>2940</v>
      </c>
      <c r="R668" s="763"/>
      <c r="S668" s="764"/>
      <c r="T668" s="783"/>
      <c r="U668" s="765"/>
      <c r="V668" s="754"/>
      <c r="W668" s="754"/>
    </row>
    <row r="669" spans="1:23" s="75" customFormat="1" ht="14.25" customHeight="1">
      <c r="A669" s="754" t="s">
        <v>3005</v>
      </c>
      <c r="B669" s="754" t="s">
        <v>337</v>
      </c>
      <c r="C669" s="754" t="s">
        <v>599</v>
      </c>
      <c r="D669" s="637" t="s">
        <v>1693</v>
      </c>
      <c r="E669" s="754">
        <v>198390</v>
      </c>
      <c r="F669" s="754"/>
      <c r="G669" s="754"/>
      <c r="H669" s="754"/>
      <c r="I669" s="754"/>
      <c r="J669" s="754" t="s">
        <v>812</v>
      </c>
      <c r="K669" s="754" t="s">
        <v>812</v>
      </c>
      <c r="L669" s="754" t="s">
        <v>812</v>
      </c>
      <c r="M669" s="754" t="s">
        <v>809</v>
      </c>
      <c r="N669" s="754">
        <v>20.753370289999999</v>
      </c>
      <c r="O669" s="754">
        <v>92.545188899999999</v>
      </c>
      <c r="P669" s="754" t="s">
        <v>813</v>
      </c>
      <c r="Q669" s="754" t="s">
        <v>794</v>
      </c>
      <c r="R669" s="763"/>
      <c r="S669" s="764"/>
      <c r="T669" s="783"/>
      <c r="U669" s="765"/>
      <c r="V669" s="754" t="s">
        <v>599</v>
      </c>
      <c r="W669" s="754"/>
    </row>
    <row r="670" spans="1:23" s="75" customFormat="1" ht="14.25" customHeight="1">
      <c r="A670" s="754" t="s">
        <v>3005</v>
      </c>
      <c r="B670" s="760" t="s">
        <v>337</v>
      </c>
      <c r="C670" s="760" t="s">
        <v>2806</v>
      </c>
      <c r="D670" s="637" t="s">
        <v>1693</v>
      </c>
      <c r="E670" s="754">
        <v>198431</v>
      </c>
      <c r="F670" s="754" t="s">
        <v>2944</v>
      </c>
      <c r="G670" s="754"/>
      <c r="H670" s="754"/>
      <c r="I670" s="754"/>
      <c r="J670" s="754" t="s">
        <v>812</v>
      </c>
      <c r="K670" s="754" t="s">
        <v>812</v>
      </c>
      <c r="L670" s="754" t="s">
        <v>812</v>
      </c>
      <c r="M670" s="754" t="s">
        <v>809</v>
      </c>
      <c r="N670" s="754">
        <v>20.703790659999999</v>
      </c>
      <c r="O670" s="754">
        <v>92.628463749999995</v>
      </c>
      <c r="P670" s="754" t="s">
        <v>813</v>
      </c>
      <c r="Q670" s="754" t="s">
        <v>794</v>
      </c>
      <c r="R670" s="763"/>
      <c r="S670" s="764"/>
      <c r="T670" s="783"/>
      <c r="U670" s="765"/>
      <c r="V670" s="754" t="s">
        <v>568</v>
      </c>
      <c r="W670" s="754"/>
    </row>
    <row r="671" spans="1:23" s="75" customFormat="1" ht="14.25" customHeight="1">
      <c r="A671" s="754" t="s">
        <v>3005</v>
      </c>
      <c r="B671" s="760" t="s">
        <v>337</v>
      </c>
      <c r="C671" s="760" t="s">
        <v>2807</v>
      </c>
      <c r="D671" s="637" t="s">
        <v>1693</v>
      </c>
      <c r="E671" s="754">
        <v>198428</v>
      </c>
      <c r="F671" s="754"/>
      <c r="G671" s="754"/>
      <c r="H671" s="754"/>
      <c r="I671" s="754"/>
      <c r="J671" s="754" t="s">
        <v>812</v>
      </c>
      <c r="K671" s="754" t="s">
        <v>812</v>
      </c>
      <c r="L671" s="754" t="s">
        <v>812</v>
      </c>
      <c r="M671" s="754" t="s">
        <v>312</v>
      </c>
      <c r="N671" s="754">
        <v>20.703920360000001</v>
      </c>
      <c r="O671" s="754">
        <v>92.631500239999994</v>
      </c>
      <c r="P671" s="754" t="s">
        <v>813</v>
      </c>
      <c r="Q671" s="754" t="s">
        <v>794</v>
      </c>
      <c r="R671" s="763"/>
      <c r="S671" s="764"/>
      <c r="T671" s="783"/>
      <c r="U671" s="765"/>
      <c r="V671" s="754" t="s">
        <v>569</v>
      </c>
      <c r="W671" s="754"/>
    </row>
    <row r="672" spans="1:23" s="75" customFormat="1" ht="14.25" customHeight="1">
      <c r="A672" s="754" t="s">
        <v>3005</v>
      </c>
      <c r="B672" s="754" t="s">
        <v>337</v>
      </c>
      <c r="C672" s="754" t="s">
        <v>547</v>
      </c>
      <c r="D672" s="637" t="s">
        <v>1693</v>
      </c>
      <c r="E672" s="754">
        <v>217884</v>
      </c>
      <c r="F672" s="754"/>
      <c r="G672" s="754"/>
      <c r="H672" s="754"/>
      <c r="I672" s="754"/>
      <c r="J672" s="754" t="s">
        <v>812</v>
      </c>
      <c r="K672" s="754" t="s">
        <v>812</v>
      </c>
      <c r="L672" s="754" t="s">
        <v>812</v>
      </c>
      <c r="M672" s="754" t="s">
        <v>809</v>
      </c>
      <c r="N672" s="754">
        <v>20.673639300000001</v>
      </c>
      <c r="O672" s="754">
        <v>92.596298219999994</v>
      </c>
      <c r="P672" s="754" t="s">
        <v>813</v>
      </c>
      <c r="Q672" s="754" t="s">
        <v>794</v>
      </c>
      <c r="R672" s="763"/>
      <c r="S672" s="764"/>
      <c r="T672" s="783"/>
      <c r="U672" s="765"/>
      <c r="V672" s="754" t="s">
        <v>547</v>
      </c>
      <c r="W672" s="754"/>
    </row>
    <row r="673" spans="1:23" s="75" customFormat="1" ht="14.25" customHeight="1">
      <c r="A673" s="754" t="s">
        <v>3005</v>
      </c>
      <c r="B673" s="760" t="s">
        <v>337</v>
      </c>
      <c r="C673" s="768" t="s">
        <v>3060</v>
      </c>
      <c r="D673" s="761"/>
      <c r="E673" s="754"/>
      <c r="F673" s="754"/>
      <c r="G673" s="754"/>
      <c r="H673" s="754"/>
      <c r="I673" s="754"/>
      <c r="J673" s="754" t="s">
        <v>812</v>
      </c>
      <c r="K673" s="754" t="s">
        <v>893</v>
      </c>
      <c r="L673" s="754" t="s">
        <v>893</v>
      </c>
      <c r="M673" s="754"/>
      <c r="N673" s="754"/>
      <c r="O673" s="754"/>
      <c r="P673" s="754"/>
      <c r="Q673" s="754"/>
      <c r="R673" s="771"/>
      <c r="S673" s="764"/>
      <c r="T673" s="783"/>
      <c r="U673" s="816"/>
      <c r="V673" s="754" t="s">
        <v>3245</v>
      </c>
      <c r="W673" s="763"/>
    </row>
    <row r="674" spans="1:23" s="75" customFormat="1" ht="14.25" customHeight="1">
      <c r="A674" s="754" t="s">
        <v>3005</v>
      </c>
      <c r="B674" s="754" t="s">
        <v>337</v>
      </c>
      <c r="C674" s="754" t="s">
        <v>1115</v>
      </c>
      <c r="D674" s="637" t="s">
        <v>1693</v>
      </c>
      <c r="E674" s="754">
        <v>198232</v>
      </c>
      <c r="F674" s="754"/>
      <c r="G674" s="754"/>
      <c r="H674" s="754"/>
      <c r="I674" s="754"/>
      <c r="J674" s="754" t="s">
        <v>812</v>
      </c>
      <c r="K674" s="754" t="s">
        <v>812</v>
      </c>
      <c r="L674" s="754" t="s">
        <v>812</v>
      </c>
      <c r="M674" s="754" t="s">
        <v>312</v>
      </c>
      <c r="N674" s="754"/>
      <c r="O674" s="754"/>
      <c r="P674" s="754" t="s">
        <v>813</v>
      </c>
      <c r="Q674" s="754" t="s">
        <v>816</v>
      </c>
      <c r="R674" s="763"/>
      <c r="S674" s="764"/>
      <c r="T674" s="783">
        <v>42926</v>
      </c>
      <c r="U674" s="765" t="s">
        <v>817</v>
      </c>
      <c r="V674" s="754"/>
      <c r="W674" s="754"/>
    </row>
    <row r="675" spans="1:23" s="75" customFormat="1" ht="14.25" customHeight="1">
      <c r="A675" s="764" t="s">
        <v>3005</v>
      </c>
      <c r="B675" s="767" t="s">
        <v>337</v>
      </c>
      <c r="C675" s="768" t="s">
        <v>2941</v>
      </c>
      <c r="D675" s="761"/>
      <c r="E675" s="754">
        <v>198370</v>
      </c>
      <c r="F675" s="789" t="s">
        <v>2941</v>
      </c>
      <c r="G675" s="754"/>
      <c r="H675" s="754"/>
      <c r="I675" s="754"/>
      <c r="J675" s="754" t="s">
        <v>812</v>
      </c>
      <c r="K675" s="754" t="s">
        <v>812</v>
      </c>
      <c r="L675" s="754" t="s">
        <v>812</v>
      </c>
      <c r="M675" s="754"/>
      <c r="N675" s="754">
        <v>20.793779373168899</v>
      </c>
      <c r="O675" s="754">
        <v>92.597961425781307</v>
      </c>
      <c r="P675" s="754"/>
      <c r="Q675" s="754" t="s">
        <v>2940</v>
      </c>
      <c r="R675" s="771"/>
      <c r="S675" s="764"/>
      <c r="T675" s="783">
        <v>43580</v>
      </c>
      <c r="U675" s="816" t="s">
        <v>3058</v>
      </c>
      <c r="V675" s="765"/>
      <c r="W675" s="763"/>
    </row>
    <row r="676" spans="1:23" s="75" customFormat="1" ht="14.25" customHeight="1">
      <c r="A676" s="754" t="s">
        <v>3005</v>
      </c>
      <c r="B676" s="754" t="s">
        <v>337</v>
      </c>
      <c r="C676" s="754" t="s">
        <v>2797</v>
      </c>
      <c r="D676" s="637"/>
      <c r="E676" s="754">
        <v>198350</v>
      </c>
      <c r="F676" s="754" t="s">
        <v>2798</v>
      </c>
      <c r="G676" s="754"/>
      <c r="H676" s="754"/>
      <c r="I676" s="754"/>
      <c r="J676" s="754" t="s">
        <v>812</v>
      </c>
      <c r="K676" s="754" t="s">
        <v>812</v>
      </c>
      <c r="L676" s="754" t="s">
        <v>812</v>
      </c>
      <c r="M676" s="754" t="s">
        <v>809</v>
      </c>
      <c r="N676" s="754"/>
      <c r="O676" s="754"/>
      <c r="P676" s="754"/>
      <c r="Q676" s="754" t="s">
        <v>2940</v>
      </c>
      <c r="R676" s="763"/>
      <c r="S676" s="764"/>
      <c r="T676" s="783"/>
      <c r="U676" s="765"/>
      <c r="V676" s="754"/>
      <c r="W676" s="754"/>
    </row>
    <row r="677" spans="1:23" s="75" customFormat="1" ht="14.25" customHeight="1">
      <c r="A677" s="754" t="s">
        <v>3005</v>
      </c>
      <c r="B677" s="754" t="s">
        <v>337</v>
      </c>
      <c r="C677" s="754" t="s">
        <v>682</v>
      </c>
      <c r="D677" s="637" t="s">
        <v>1693</v>
      </c>
      <c r="E677" s="754">
        <v>198183</v>
      </c>
      <c r="F677" s="754"/>
      <c r="G677" s="754"/>
      <c r="H677" s="754"/>
      <c r="I677" s="754"/>
      <c r="J677" s="754" t="s">
        <v>812</v>
      </c>
      <c r="K677" s="754" t="s">
        <v>812</v>
      </c>
      <c r="L677" s="754" t="s">
        <v>812</v>
      </c>
      <c r="M677" s="754" t="s">
        <v>965</v>
      </c>
      <c r="N677" s="754">
        <v>20.977460860000001</v>
      </c>
      <c r="O677" s="754">
        <v>92.484466549999993</v>
      </c>
      <c r="P677" s="754" t="s">
        <v>813</v>
      </c>
      <c r="Q677" s="754" t="s">
        <v>794</v>
      </c>
      <c r="R677" s="763"/>
      <c r="S677" s="764"/>
      <c r="T677" s="783"/>
      <c r="U677" s="765"/>
      <c r="V677" s="754" t="s">
        <v>682</v>
      </c>
      <c r="W677" s="754"/>
    </row>
    <row r="678" spans="1:23" s="75" customFormat="1" ht="14.25" customHeight="1">
      <c r="A678" s="754" t="s">
        <v>3005</v>
      </c>
      <c r="B678" s="754" t="s">
        <v>337</v>
      </c>
      <c r="C678" s="754" t="s">
        <v>681</v>
      </c>
      <c r="D678" s="637" t="s">
        <v>1693</v>
      </c>
      <c r="E678" s="754">
        <v>198187</v>
      </c>
      <c r="F678" s="754"/>
      <c r="G678" s="754"/>
      <c r="H678" s="754"/>
      <c r="I678" s="754"/>
      <c r="J678" s="754" t="s">
        <v>812</v>
      </c>
      <c r="K678" s="754" t="s">
        <v>812</v>
      </c>
      <c r="L678" s="754" t="s">
        <v>812</v>
      </c>
      <c r="M678" s="754" t="s">
        <v>809</v>
      </c>
      <c r="N678" s="754">
        <v>20.974870679999999</v>
      </c>
      <c r="O678" s="754">
        <v>92.483711240000005</v>
      </c>
      <c r="P678" s="754" t="s">
        <v>813</v>
      </c>
      <c r="Q678" s="754" t="s">
        <v>794</v>
      </c>
      <c r="R678" s="763"/>
      <c r="S678" s="764"/>
      <c r="T678" s="783"/>
      <c r="U678" s="765"/>
      <c r="V678" s="754" t="s">
        <v>681</v>
      </c>
      <c r="W678" s="754"/>
    </row>
    <row r="679" spans="1:23" s="75" customFormat="1" ht="14.25" customHeight="1">
      <c r="A679" s="754" t="s">
        <v>3005</v>
      </c>
      <c r="B679" s="754" t="s">
        <v>337</v>
      </c>
      <c r="C679" s="754" t="s">
        <v>652</v>
      </c>
      <c r="D679" s="637" t="s">
        <v>1693</v>
      </c>
      <c r="E679" s="754">
        <v>198313</v>
      </c>
      <c r="F679" s="754"/>
      <c r="G679" s="754"/>
      <c r="H679" s="754"/>
      <c r="I679" s="754"/>
      <c r="J679" s="754" t="s">
        <v>812</v>
      </c>
      <c r="K679" s="754" t="s">
        <v>812</v>
      </c>
      <c r="L679" s="754" t="s">
        <v>812</v>
      </c>
      <c r="M679" s="754" t="s">
        <v>312</v>
      </c>
      <c r="N679" s="754">
        <v>20.849060059999999</v>
      </c>
      <c r="O679" s="754">
        <v>92.497413640000005</v>
      </c>
      <c r="P679" s="754" t="s">
        <v>813</v>
      </c>
      <c r="Q679" s="754" t="s">
        <v>816</v>
      </c>
      <c r="R679" s="763"/>
      <c r="S679" s="764"/>
      <c r="T679" s="783">
        <v>42926</v>
      </c>
      <c r="U679" s="765" t="s">
        <v>947</v>
      </c>
      <c r="V679" s="754"/>
      <c r="W679" s="754"/>
    </row>
    <row r="680" spans="1:23" s="75" customFormat="1" ht="14.25" customHeight="1">
      <c r="A680" s="754" t="s">
        <v>3005</v>
      </c>
      <c r="B680" s="754" t="s">
        <v>337</v>
      </c>
      <c r="C680" s="754" t="s">
        <v>658</v>
      </c>
      <c r="D680" s="637" t="s">
        <v>1693</v>
      </c>
      <c r="E680" s="754">
        <v>198301</v>
      </c>
      <c r="F680" s="754"/>
      <c r="G680" s="754"/>
      <c r="H680" s="754"/>
      <c r="I680" s="754"/>
      <c r="J680" s="754" t="s">
        <v>812</v>
      </c>
      <c r="K680" s="754" t="s">
        <v>812</v>
      </c>
      <c r="L680" s="754" t="s">
        <v>812</v>
      </c>
      <c r="M680" s="754" t="s">
        <v>809</v>
      </c>
      <c r="N680" s="754">
        <v>20.876710889999998</v>
      </c>
      <c r="O680" s="754">
        <v>92.537406919999995</v>
      </c>
      <c r="P680" s="754" t="s">
        <v>813</v>
      </c>
      <c r="Q680" s="754" t="s">
        <v>794</v>
      </c>
      <c r="R680" s="763"/>
      <c r="S680" s="764"/>
      <c r="T680" s="783"/>
      <c r="U680" s="765"/>
      <c r="V680" s="754" t="s">
        <v>658</v>
      </c>
      <c r="W680" s="754"/>
    </row>
    <row r="681" spans="1:23" s="75" customFormat="1" ht="14.25" customHeight="1">
      <c r="A681" s="754" t="s">
        <v>3005</v>
      </c>
      <c r="B681" s="754" t="s">
        <v>337</v>
      </c>
      <c r="C681" s="754" t="s">
        <v>559</v>
      </c>
      <c r="D681" s="637" t="s">
        <v>1693</v>
      </c>
      <c r="E681" s="754">
        <v>198444</v>
      </c>
      <c r="F681" s="754"/>
      <c r="G681" s="754"/>
      <c r="H681" s="754"/>
      <c r="I681" s="754"/>
      <c r="J681" s="754" t="s">
        <v>812</v>
      </c>
      <c r="K681" s="754" t="s">
        <v>812</v>
      </c>
      <c r="L681" s="754" t="s">
        <v>812</v>
      </c>
      <c r="M681" s="754" t="s">
        <v>809</v>
      </c>
      <c r="N681" s="754">
        <v>20.687610630000002</v>
      </c>
      <c r="O681" s="754">
        <v>92.617988589999996</v>
      </c>
      <c r="P681" s="754" t="s">
        <v>813</v>
      </c>
      <c r="Q681" s="754" t="s">
        <v>794</v>
      </c>
      <c r="R681" s="763"/>
      <c r="S681" s="764"/>
      <c r="T681" s="783"/>
      <c r="U681" s="765"/>
      <c r="V681" s="754" t="s">
        <v>559</v>
      </c>
      <c r="W681" s="754"/>
    </row>
    <row r="682" spans="1:23" s="75" customFormat="1" ht="14.25" customHeight="1">
      <c r="A682" s="754" t="s">
        <v>3005</v>
      </c>
      <c r="B682" s="754" t="s">
        <v>337</v>
      </c>
      <c r="C682" s="754" t="s">
        <v>677</v>
      </c>
      <c r="D682" s="637" t="s">
        <v>1693</v>
      </c>
      <c r="E682" s="754">
        <v>217866</v>
      </c>
      <c r="F682" s="754"/>
      <c r="G682" s="754"/>
      <c r="H682" s="754"/>
      <c r="I682" s="754"/>
      <c r="J682" s="754" t="s">
        <v>812</v>
      </c>
      <c r="K682" s="754" t="s">
        <v>812</v>
      </c>
      <c r="L682" s="754" t="s">
        <v>812</v>
      </c>
      <c r="M682" s="754" t="s">
        <v>809</v>
      </c>
      <c r="N682" s="754">
        <v>20.936349870000001</v>
      </c>
      <c r="O682" s="754">
        <v>92.468246460000003</v>
      </c>
      <c r="P682" s="754" t="s">
        <v>813</v>
      </c>
      <c r="Q682" s="754" t="s">
        <v>794</v>
      </c>
      <c r="R682" s="763"/>
      <c r="S682" s="764"/>
      <c r="T682" s="783"/>
      <c r="U682" s="765"/>
      <c r="V682" s="754" t="s">
        <v>677</v>
      </c>
      <c r="W682" s="754"/>
    </row>
    <row r="683" spans="1:23" s="75" customFormat="1" ht="14.25" customHeight="1">
      <c r="A683" s="754" t="s">
        <v>3005</v>
      </c>
      <c r="B683" s="754" t="s">
        <v>337</v>
      </c>
      <c r="C683" s="754" t="s">
        <v>627</v>
      </c>
      <c r="D683" s="637" t="s">
        <v>1694</v>
      </c>
      <c r="E683" s="754">
        <v>198336</v>
      </c>
      <c r="F683" s="754" t="s">
        <v>1703</v>
      </c>
      <c r="G683" s="754" t="s">
        <v>1704</v>
      </c>
      <c r="H683" s="754"/>
      <c r="I683" s="754"/>
      <c r="J683" s="754" t="s">
        <v>812</v>
      </c>
      <c r="K683" s="754" t="s">
        <v>812</v>
      </c>
      <c r="L683" s="754" t="s">
        <v>812</v>
      </c>
      <c r="M683" s="754" t="s">
        <v>312</v>
      </c>
      <c r="N683" s="754">
        <v>20.80558014</v>
      </c>
      <c r="O683" s="754">
        <v>92.549842830000003</v>
      </c>
      <c r="P683" s="754" t="s">
        <v>813</v>
      </c>
      <c r="Q683" s="754" t="s">
        <v>816</v>
      </c>
      <c r="R683" s="763"/>
      <c r="S683" s="764"/>
      <c r="T683" s="783">
        <v>42926</v>
      </c>
      <c r="U683" s="765" t="s">
        <v>817</v>
      </c>
      <c r="V683" s="754"/>
      <c r="W683" s="754"/>
    </row>
    <row r="684" spans="1:23" s="75" customFormat="1" ht="14.25" customHeight="1">
      <c r="A684" s="764" t="s">
        <v>3005</v>
      </c>
      <c r="B684" s="767" t="s">
        <v>337</v>
      </c>
      <c r="C684" s="768" t="s">
        <v>3056</v>
      </c>
      <c r="D684" s="761"/>
      <c r="E684" s="754">
        <v>198356</v>
      </c>
      <c r="F684" s="754" t="s">
        <v>3064</v>
      </c>
      <c r="G684" s="754"/>
      <c r="H684" s="754"/>
      <c r="I684" s="754"/>
      <c r="J684" s="754" t="s">
        <v>812</v>
      </c>
      <c r="K684" s="754" t="s">
        <v>812</v>
      </c>
      <c r="L684" s="754" t="s">
        <v>812</v>
      </c>
      <c r="M684" s="754"/>
      <c r="N684" s="754">
        <v>20.821479797363299</v>
      </c>
      <c r="O684" s="754">
        <v>92.603950500488295</v>
      </c>
      <c r="P684" s="754"/>
      <c r="Q684" s="754" t="s">
        <v>2940</v>
      </c>
      <c r="R684" s="771"/>
      <c r="S684" s="764"/>
      <c r="T684" s="783">
        <v>43580</v>
      </c>
      <c r="U684" s="816" t="s">
        <v>3058</v>
      </c>
      <c r="V684" s="765"/>
      <c r="W684" s="763"/>
    </row>
    <row r="685" spans="1:23" s="75" customFormat="1" ht="14.25" customHeight="1">
      <c r="A685" s="754" t="s">
        <v>3005</v>
      </c>
      <c r="B685" s="760" t="s">
        <v>337</v>
      </c>
      <c r="C685" s="760" t="s">
        <v>638</v>
      </c>
      <c r="D685" s="637" t="s">
        <v>1693</v>
      </c>
      <c r="E685" s="754">
        <v>198356</v>
      </c>
      <c r="F685" s="754"/>
      <c r="G685" s="754"/>
      <c r="H685" s="754"/>
      <c r="I685" s="754"/>
      <c r="J685" s="754" t="s">
        <v>812</v>
      </c>
      <c r="K685" s="754" t="s">
        <v>812</v>
      </c>
      <c r="L685" s="754" t="s">
        <v>812</v>
      </c>
      <c r="M685" s="754" t="s">
        <v>809</v>
      </c>
      <c r="N685" s="754">
        <v>20.821479799999999</v>
      </c>
      <c r="O685" s="754">
        <v>92.603950499999996</v>
      </c>
      <c r="P685" s="754" t="s">
        <v>813</v>
      </c>
      <c r="Q685" s="754" t="s">
        <v>794</v>
      </c>
      <c r="R685" s="763"/>
      <c r="S685" s="764"/>
      <c r="T685" s="783"/>
      <c r="U685" s="765"/>
      <c r="V685" s="754" t="s">
        <v>638</v>
      </c>
      <c r="W685" s="754"/>
    </row>
    <row r="686" spans="1:23" s="75" customFormat="1" ht="14.25" customHeight="1">
      <c r="A686" s="754" t="s">
        <v>3005</v>
      </c>
      <c r="B686" s="760" t="s">
        <v>337</v>
      </c>
      <c r="C686" s="760" t="s">
        <v>2936</v>
      </c>
      <c r="D686" s="637"/>
      <c r="E686" s="754">
        <v>198369</v>
      </c>
      <c r="F686" s="754"/>
      <c r="G686" s="754"/>
      <c r="H686" s="754"/>
      <c r="I686" s="754"/>
      <c r="J686" s="754" t="s">
        <v>3017</v>
      </c>
      <c r="K686" s="754" t="s">
        <v>2935</v>
      </c>
      <c r="L686" s="754" t="s">
        <v>2935</v>
      </c>
      <c r="M686" s="754"/>
      <c r="N686" s="754"/>
      <c r="O686" s="754"/>
      <c r="P686" s="754"/>
      <c r="Q686" s="754"/>
      <c r="R686" s="763"/>
      <c r="S686" s="764"/>
      <c r="T686" s="783"/>
      <c r="U686" s="765"/>
      <c r="V686" s="754"/>
      <c r="W686" s="754"/>
    </row>
    <row r="687" spans="1:23" s="75" customFormat="1" ht="14.25" customHeight="1">
      <c r="A687" s="754" t="s">
        <v>3005</v>
      </c>
      <c r="B687" s="760" t="s">
        <v>337</v>
      </c>
      <c r="C687" s="760" t="s">
        <v>631</v>
      </c>
      <c r="D687" s="637" t="s">
        <v>1693</v>
      </c>
      <c r="E687" s="760">
        <v>198369</v>
      </c>
      <c r="F687" s="754"/>
      <c r="G687" s="754"/>
      <c r="H687" s="754"/>
      <c r="I687" s="754"/>
      <c r="J687" s="754" t="s">
        <v>812</v>
      </c>
      <c r="K687" s="754" t="s">
        <v>812</v>
      </c>
      <c r="L687" s="754" t="s">
        <v>812</v>
      </c>
      <c r="M687" s="754" t="s">
        <v>809</v>
      </c>
      <c r="N687" s="754">
        <v>20.806030270000001</v>
      </c>
      <c r="O687" s="754">
        <v>92.601951600000007</v>
      </c>
      <c r="P687" s="754" t="s">
        <v>813</v>
      </c>
      <c r="Q687" s="754" t="s">
        <v>794</v>
      </c>
      <c r="R687" s="763"/>
      <c r="S687" s="764"/>
      <c r="T687" s="783"/>
      <c r="U687" s="765"/>
      <c r="V687" s="754" t="s">
        <v>631</v>
      </c>
      <c r="W687" s="754"/>
    </row>
    <row r="688" spans="1:23" s="75" customFormat="1" ht="14.25" customHeight="1">
      <c r="A688" s="754" t="s">
        <v>3005</v>
      </c>
      <c r="B688" s="754" t="s">
        <v>337</v>
      </c>
      <c r="C688" s="570" t="s">
        <v>622</v>
      </c>
      <c r="D688" s="637" t="s">
        <v>1693</v>
      </c>
      <c r="E688" s="754">
        <v>198368</v>
      </c>
      <c r="F688" s="754"/>
      <c r="G688" s="754"/>
      <c r="H688" s="754"/>
      <c r="I688" s="754"/>
      <c r="J688" s="754" t="s">
        <v>812</v>
      </c>
      <c r="K688" s="754" t="s">
        <v>812</v>
      </c>
      <c r="L688" s="754" t="s">
        <v>812</v>
      </c>
      <c r="M688" s="754" t="s">
        <v>312</v>
      </c>
      <c r="N688" s="754">
        <v>20.80282021</v>
      </c>
      <c r="O688" s="754">
        <v>92.599418639999996</v>
      </c>
      <c r="P688" s="754" t="s">
        <v>813</v>
      </c>
      <c r="Q688" s="754" t="s">
        <v>794</v>
      </c>
      <c r="R688" s="763"/>
      <c r="S688" s="764"/>
      <c r="T688" s="783"/>
      <c r="U688" s="765"/>
      <c r="V688" s="570" t="s">
        <v>622</v>
      </c>
      <c r="W688" s="754"/>
    </row>
    <row r="689" spans="1:23" s="75" customFormat="1" ht="14.25" customHeight="1">
      <c r="A689" s="754" t="s">
        <v>3005</v>
      </c>
      <c r="B689" s="754" t="s">
        <v>337</v>
      </c>
      <c r="C689" s="754" t="s">
        <v>598</v>
      </c>
      <c r="D689" s="637" t="s">
        <v>1693</v>
      </c>
      <c r="E689" s="754">
        <v>217879</v>
      </c>
      <c r="F689" s="754"/>
      <c r="G689" s="754"/>
      <c r="H689" s="754"/>
      <c r="I689" s="754"/>
      <c r="J689" s="754" t="s">
        <v>812</v>
      </c>
      <c r="K689" s="754" t="s">
        <v>812</v>
      </c>
      <c r="L689" s="754" t="s">
        <v>812</v>
      </c>
      <c r="M689" s="754" t="s">
        <v>312</v>
      </c>
      <c r="N689" s="754">
        <v>20.7494297</v>
      </c>
      <c r="O689" s="754">
        <v>92.528648380000007</v>
      </c>
      <c r="P689" s="754" t="s">
        <v>813</v>
      </c>
      <c r="Q689" s="754" t="s">
        <v>794</v>
      </c>
      <c r="R689" s="763"/>
      <c r="S689" s="764"/>
      <c r="T689" s="783"/>
      <c r="U689" s="765"/>
      <c r="V689" s="754" t="s">
        <v>598</v>
      </c>
      <c r="W689" s="754"/>
    </row>
    <row r="690" spans="1:23" s="75" customFormat="1" ht="14.25" customHeight="1">
      <c r="A690" s="754" t="s">
        <v>3005</v>
      </c>
      <c r="B690" s="760" t="s">
        <v>337</v>
      </c>
      <c r="C690" s="760" t="s">
        <v>2811</v>
      </c>
      <c r="D690" s="637"/>
      <c r="E690" s="754">
        <v>198404</v>
      </c>
      <c r="F690" s="760" t="s">
        <v>2946</v>
      </c>
      <c r="G690" s="754"/>
      <c r="H690" s="754"/>
      <c r="I690" s="754"/>
      <c r="J690" s="754" t="s">
        <v>3017</v>
      </c>
      <c r="K690" s="754" t="s">
        <v>2935</v>
      </c>
      <c r="L690" s="754" t="s">
        <v>2935</v>
      </c>
      <c r="M690" s="754" t="s">
        <v>312</v>
      </c>
      <c r="N690" s="754">
        <v>20.769779209999999</v>
      </c>
      <c r="O690" s="754">
        <v>92.604240419999996</v>
      </c>
      <c r="P690" s="754" t="s">
        <v>813</v>
      </c>
      <c r="Q690" s="754" t="s">
        <v>2940</v>
      </c>
      <c r="R690" s="763"/>
      <c r="S690" s="764"/>
      <c r="T690" s="783"/>
      <c r="U690" s="765"/>
      <c r="V690" s="754"/>
      <c r="W690" s="754"/>
    </row>
    <row r="691" spans="1:23" s="75" customFormat="1" ht="14.25" customHeight="1">
      <c r="A691" s="754" t="s">
        <v>3005</v>
      </c>
      <c r="B691" s="760" t="s">
        <v>337</v>
      </c>
      <c r="C691" s="760" t="s">
        <v>2813</v>
      </c>
      <c r="D691" s="637"/>
      <c r="E691" s="754">
        <v>198303</v>
      </c>
      <c r="F691" s="754" t="s">
        <v>2947</v>
      </c>
      <c r="G691" s="754"/>
      <c r="H691" s="754"/>
      <c r="I691" s="754"/>
      <c r="J691" s="754" t="s">
        <v>812</v>
      </c>
      <c r="K691" s="754" t="s">
        <v>812</v>
      </c>
      <c r="L691" s="754" t="s">
        <v>812</v>
      </c>
      <c r="M691" s="754" t="s">
        <v>312</v>
      </c>
      <c r="N691" s="754">
        <v>20.892290119999998</v>
      </c>
      <c r="O691" s="754">
        <v>92.550079350000004</v>
      </c>
      <c r="P691" s="754"/>
      <c r="Q691" s="754" t="s">
        <v>2940</v>
      </c>
      <c r="R691" s="763"/>
      <c r="S691" s="764"/>
      <c r="T691" s="783"/>
      <c r="U691" s="765"/>
      <c r="V691" s="754"/>
      <c r="W691" s="754"/>
    </row>
    <row r="692" spans="1:23" s="75" customFormat="1" ht="14.25" customHeight="1">
      <c r="A692" s="754" t="s">
        <v>3005</v>
      </c>
      <c r="B692" s="760" t="s">
        <v>337</v>
      </c>
      <c r="C692" s="760" t="s">
        <v>667</v>
      </c>
      <c r="D692" s="637" t="s">
        <v>1693</v>
      </c>
      <c r="E692" s="754">
        <v>198303</v>
      </c>
      <c r="F692" s="754" t="s">
        <v>2947</v>
      </c>
      <c r="G692" s="754"/>
      <c r="H692" s="754"/>
      <c r="I692" s="754"/>
      <c r="J692" s="754" t="s">
        <v>812</v>
      </c>
      <c r="K692" s="754" t="s">
        <v>812</v>
      </c>
      <c r="L692" s="754" t="s">
        <v>812</v>
      </c>
      <c r="M692" s="754" t="s">
        <v>809</v>
      </c>
      <c r="N692" s="754">
        <v>20.892290119999998</v>
      </c>
      <c r="O692" s="754">
        <v>92.550079350000004</v>
      </c>
      <c r="P692" s="754" t="s">
        <v>813</v>
      </c>
      <c r="Q692" s="754" t="s">
        <v>794</v>
      </c>
      <c r="R692" s="763"/>
      <c r="S692" s="764"/>
      <c r="T692" s="783"/>
      <c r="U692" s="765"/>
      <c r="V692" s="754" t="s">
        <v>667</v>
      </c>
      <c r="W692" s="754"/>
    </row>
    <row r="693" spans="1:23" s="75" customFormat="1" ht="14.25" customHeight="1">
      <c r="A693" s="754" t="s">
        <v>3005</v>
      </c>
      <c r="B693" s="754" t="s">
        <v>337</v>
      </c>
      <c r="C693" s="754" t="s">
        <v>696</v>
      </c>
      <c r="D693" s="637" t="s">
        <v>1693</v>
      </c>
      <c r="E693" s="754">
        <v>198196</v>
      </c>
      <c r="F693" s="754"/>
      <c r="G693" s="754"/>
      <c r="H693" s="754"/>
      <c r="I693" s="754"/>
      <c r="J693" s="754" t="s">
        <v>812</v>
      </c>
      <c r="K693" s="754" t="s">
        <v>812</v>
      </c>
      <c r="L693" s="754" t="s">
        <v>812</v>
      </c>
      <c r="M693" s="754" t="s">
        <v>312</v>
      </c>
      <c r="N693" s="754">
        <v>21.02563095</v>
      </c>
      <c r="O693" s="754">
        <v>92.524818420000003</v>
      </c>
      <c r="P693" s="754" t="s">
        <v>813</v>
      </c>
      <c r="Q693" s="754" t="s">
        <v>816</v>
      </c>
      <c r="R693" s="763"/>
      <c r="S693" s="764"/>
      <c r="T693" s="783">
        <v>42926</v>
      </c>
      <c r="U693" s="765" t="s">
        <v>817</v>
      </c>
      <c r="V693" s="754"/>
      <c r="W693" s="754"/>
    </row>
    <row r="694" spans="1:23" s="75" customFormat="1" ht="14.25" customHeight="1">
      <c r="A694" s="754" t="s">
        <v>3005</v>
      </c>
      <c r="B694" s="760" t="s">
        <v>337</v>
      </c>
      <c r="C694" s="760" t="s">
        <v>660</v>
      </c>
      <c r="D694" s="637" t="s">
        <v>1693</v>
      </c>
      <c r="E694" s="754">
        <v>198292</v>
      </c>
      <c r="F694" s="754"/>
      <c r="G694" s="754"/>
      <c r="H694" s="754"/>
      <c r="I694" s="754"/>
      <c r="J694" s="754" t="s">
        <v>812</v>
      </c>
      <c r="K694" s="754" t="s">
        <v>812</v>
      </c>
      <c r="L694" s="754" t="s">
        <v>812</v>
      </c>
      <c r="M694" s="754" t="s">
        <v>809</v>
      </c>
      <c r="N694" s="754">
        <v>20.883680340000002</v>
      </c>
      <c r="O694" s="754">
        <v>92.569938660000005</v>
      </c>
      <c r="P694" s="754" t="s">
        <v>813</v>
      </c>
      <c r="Q694" s="754" t="s">
        <v>794</v>
      </c>
      <c r="R694" s="767"/>
      <c r="S694" s="768"/>
      <c r="T694" s="783"/>
      <c r="U694" s="765"/>
      <c r="V694" s="754" t="s">
        <v>960</v>
      </c>
      <c r="W694" s="754"/>
    </row>
    <row r="695" spans="1:23" s="75" customFormat="1" ht="14.25" customHeight="1">
      <c r="A695" s="754" t="s">
        <v>3005</v>
      </c>
      <c r="B695" s="760" t="s">
        <v>337</v>
      </c>
      <c r="C695" s="760" t="s">
        <v>661</v>
      </c>
      <c r="D695" s="637" t="s">
        <v>1693</v>
      </c>
      <c r="E695" s="754">
        <v>198292</v>
      </c>
      <c r="F695" s="754"/>
      <c r="G695" s="754"/>
      <c r="H695" s="754"/>
      <c r="I695" s="754"/>
      <c r="J695" s="754" t="s">
        <v>812</v>
      </c>
      <c r="K695" s="754" t="s">
        <v>812</v>
      </c>
      <c r="L695" s="754" t="s">
        <v>812</v>
      </c>
      <c r="M695" s="754" t="s">
        <v>809</v>
      </c>
      <c r="N695" s="754">
        <v>20.883680340000002</v>
      </c>
      <c r="O695" s="754">
        <v>92.569938660000005</v>
      </c>
      <c r="P695" s="754" t="s">
        <v>813</v>
      </c>
      <c r="Q695" s="754" t="s">
        <v>794</v>
      </c>
      <c r="R695" s="767"/>
      <c r="S695" s="768"/>
      <c r="T695" s="783">
        <v>42745</v>
      </c>
      <c r="U695" s="765"/>
      <c r="V695" s="754"/>
      <c r="W695" s="754"/>
    </row>
    <row r="696" spans="1:23" s="75" customFormat="1" ht="14.25" customHeight="1">
      <c r="A696" s="754" t="s">
        <v>3005</v>
      </c>
      <c r="B696" s="754" t="s">
        <v>337</v>
      </c>
      <c r="C696" s="754" t="s">
        <v>703</v>
      </c>
      <c r="D696" s="637" t="s">
        <v>1693</v>
      </c>
      <c r="E696" s="754">
        <v>198146</v>
      </c>
      <c r="F696" s="754"/>
      <c r="G696" s="754"/>
      <c r="H696" s="754"/>
      <c r="I696" s="754"/>
      <c r="J696" s="754" t="s">
        <v>818</v>
      </c>
      <c r="K696" s="754" t="s">
        <v>812</v>
      </c>
      <c r="L696" s="754" t="s">
        <v>818</v>
      </c>
      <c r="M696" s="754" t="s">
        <v>809</v>
      </c>
      <c r="N696" s="754">
        <v>21.098579409999999</v>
      </c>
      <c r="O696" s="754">
        <v>92.445549009999993</v>
      </c>
      <c r="P696" s="754" t="s">
        <v>937</v>
      </c>
      <c r="Q696" s="754" t="s">
        <v>816</v>
      </c>
      <c r="R696" s="763"/>
      <c r="S696" s="764"/>
      <c r="T696" s="783">
        <v>42926</v>
      </c>
      <c r="U696" s="765" t="s">
        <v>947</v>
      </c>
      <c r="V696" s="754"/>
      <c r="W696" s="754"/>
    </row>
    <row r="697" spans="1:23" s="75" customFormat="1" ht="14.25" customHeight="1">
      <c r="A697" s="754" t="s">
        <v>3005</v>
      </c>
      <c r="B697" s="754" t="s">
        <v>337</v>
      </c>
      <c r="C697" s="754" t="s">
        <v>549</v>
      </c>
      <c r="D697" s="637" t="s">
        <v>1693</v>
      </c>
      <c r="E697" s="754">
        <v>217885</v>
      </c>
      <c r="F697" s="754"/>
      <c r="G697" s="754"/>
      <c r="H697" s="754"/>
      <c r="I697" s="754"/>
      <c r="J697" s="754" t="s">
        <v>812</v>
      </c>
      <c r="K697" s="754" t="s">
        <v>812</v>
      </c>
      <c r="L697" s="754" t="s">
        <v>812</v>
      </c>
      <c r="M697" s="754" t="s">
        <v>809</v>
      </c>
      <c r="N697" s="754">
        <v>20.676519389999999</v>
      </c>
      <c r="O697" s="754">
        <v>92.591667180000002</v>
      </c>
      <c r="P697" s="754" t="s">
        <v>813</v>
      </c>
      <c r="Q697" s="754" t="s">
        <v>794</v>
      </c>
      <c r="R697" s="763"/>
      <c r="S697" s="764"/>
      <c r="T697" s="783"/>
      <c r="U697" s="765"/>
      <c r="V697" s="754" t="s">
        <v>549</v>
      </c>
      <c r="W697" s="754"/>
    </row>
    <row r="698" spans="1:23" s="85" customFormat="1" ht="14.25" customHeight="1">
      <c r="A698" s="754" t="s">
        <v>3005</v>
      </c>
      <c r="B698" s="754" t="s">
        <v>337</v>
      </c>
      <c r="C698" s="754" t="s">
        <v>678</v>
      </c>
      <c r="D698" s="637" t="s">
        <v>1693</v>
      </c>
      <c r="E698" s="754">
        <v>198164</v>
      </c>
      <c r="F698" s="754"/>
      <c r="G698" s="754"/>
      <c r="H698" s="754"/>
      <c r="I698" s="754"/>
      <c r="J698" s="754" t="s">
        <v>812</v>
      </c>
      <c r="K698" s="754" t="s">
        <v>812</v>
      </c>
      <c r="L698" s="754" t="s">
        <v>812</v>
      </c>
      <c r="M698" s="754" t="s">
        <v>965</v>
      </c>
      <c r="N698" s="754">
        <v>20.945800779999999</v>
      </c>
      <c r="O698" s="754">
        <v>92.471672060000003</v>
      </c>
      <c r="P698" s="754" t="s">
        <v>813</v>
      </c>
      <c r="Q698" s="754" t="s">
        <v>794</v>
      </c>
      <c r="R698" s="763"/>
      <c r="S698" s="764"/>
      <c r="T698" s="783"/>
      <c r="U698" s="765"/>
      <c r="V698" s="754" t="s">
        <v>678</v>
      </c>
      <c r="W698" s="754"/>
    </row>
    <row r="699" spans="1:23" s="75" customFormat="1" ht="14.25" customHeight="1">
      <c r="A699" s="754" t="s">
        <v>3005</v>
      </c>
      <c r="B699" s="754" t="s">
        <v>337</v>
      </c>
      <c r="C699" s="754" t="s">
        <v>636</v>
      </c>
      <c r="D699" s="637" t="s">
        <v>1693</v>
      </c>
      <c r="E699" s="754">
        <v>198335</v>
      </c>
      <c r="F699" s="754"/>
      <c r="G699" s="754"/>
      <c r="H699" s="754"/>
      <c r="I699" s="754"/>
      <c r="J699" s="754" t="s">
        <v>812</v>
      </c>
      <c r="K699" s="754" t="s">
        <v>812</v>
      </c>
      <c r="L699" s="754" t="s">
        <v>812</v>
      </c>
      <c r="M699" s="754" t="s">
        <v>312</v>
      </c>
      <c r="N699" s="754">
        <v>20.818910599999999</v>
      </c>
      <c r="O699" s="754">
        <v>92.541358950000003</v>
      </c>
      <c r="P699" s="754" t="s">
        <v>813</v>
      </c>
      <c r="Q699" s="754" t="s">
        <v>794</v>
      </c>
      <c r="R699" s="763"/>
      <c r="S699" s="764"/>
      <c r="T699" s="783"/>
      <c r="U699" s="765"/>
      <c r="V699" s="754" t="s">
        <v>636</v>
      </c>
      <c r="W699" s="754"/>
    </row>
    <row r="700" spans="1:23" s="75" customFormat="1" ht="14.25" customHeight="1">
      <c r="A700" s="754" t="s">
        <v>3005</v>
      </c>
      <c r="B700" s="754" t="s">
        <v>337</v>
      </c>
      <c r="C700" s="754" t="s">
        <v>670</v>
      </c>
      <c r="D700" s="637" t="s">
        <v>1693</v>
      </c>
      <c r="E700" s="754">
        <v>198316</v>
      </c>
      <c r="F700" s="754"/>
      <c r="G700" s="754"/>
      <c r="H700" s="754"/>
      <c r="I700" s="754"/>
      <c r="J700" s="754" t="s">
        <v>812</v>
      </c>
      <c r="K700" s="754" t="s">
        <v>812</v>
      </c>
      <c r="L700" s="754" t="s">
        <v>812</v>
      </c>
      <c r="M700" s="754" t="s">
        <v>809</v>
      </c>
      <c r="N700" s="754">
        <v>20.89318085</v>
      </c>
      <c r="O700" s="754">
        <v>92.493637079999999</v>
      </c>
      <c r="P700" s="754" t="s">
        <v>813</v>
      </c>
      <c r="Q700" s="754" t="s">
        <v>794</v>
      </c>
      <c r="R700" s="763"/>
      <c r="S700" s="764"/>
      <c r="T700" s="783"/>
      <c r="U700" s="765"/>
      <c r="V700" s="754" t="s">
        <v>670</v>
      </c>
      <c r="W700" s="754"/>
    </row>
    <row r="701" spans="1:23" s="75" customFormat="1" ht="14.25" customHeight="1">
      <c r="A701" s="754" t="s">
        <v>3005</v>
      </c>
      <c r="B701" s="754" t="s">
        <v>337</v>
      </c>
      <c r="C701" s="754" t="s">
        <v>655</v>
      </c>
      <c r="D701" s="637" t="s">
        <v>1693</v>
      </c>
      <c r="E701" s="754">
        <v>198308</v>
      </c>
      <c r="F701" s="754"/>
      <c r="G701" s="754"/>
      <c r="H701" s="754"/>
      <c r="I701" s="754"/>
      <c r="J701" s="754" t="s">
        <v>818</v>
      </c>
      <c r="K701" s="754" t="s">
        <v>812</v>
      </c>
      <c r="L701" s="754" t="s">
        <v>818</v>
      </c>
      <c r="M701" s="754" t="s">
        <v>809</v>
      </c>
      <c r="N701" s="754">
        <v>20.863079070000001</v>
      </c>
      <c r="O701" s="754">
        <v>92.497192380000001</v>
      </c>
      <c r="P701" s="754" t="s">
        <v>937</v>
      </c>
      <c r="Q701" s="754" t="s">
        <v>816</v>
      </c>
      <c r="R701" s="763"/>
      <c r="S701" s="764"/>
      <c r="T701" s="783">
        <v>42926</v>
      </c>
      <c r="U701" s="765" t="s">
        <v>947</v>
      </c>
      <c r="V701" s="754"/>
      <c r="W701" s="754"/>
    </row>
    <row r="702" spans="1:23" s="75" customFormat="1" ht="14.25" customHeight="1">
      <c r="A702" s="754" t="s">
        <v>3005</v>
      </c>
      <c r="B702" s="754" t="s">
        <v>337</v>
      </c>
      <c r="C702" s="754" t="s">
        <v>610</v>
      </c>
      <c r="D702" s="637" t="s">
        <v>1693</v>
      </c>
      <c r="E702" s="754">
        <v>220753</v>
      </c>
      <c r="F702" s="754"/>
      <c r="G702" s="754"/>
      <c r="H702" s="754"/>
      <c r="I702" s="754"/>
      <c r="J702" s="754" t="s">
        <v>818</v>
      </c>
      <c r="K702" s="754" t="s">
        <v>812</v>
      </c>
      <c r="L702" s="754" t="s">
        <v>818</v>
      </c>
      <c r="M702" s="754" t="s">
        <v>312</v>
      </c>
      <c r="N702" s="754">
        <v>20.782770159999998</v>
      </c>
      <c r="O702" s="754">
        <v>92.551826480000003</v>
      </c>
      <c r="P702" s="754" t="s">
        <v>937</v>
      </c>
      <c r="Q702" s="754" t="s">
        <v>816</v>
      </c>
      <c r="R702" s="763"/>
      <c r="S702" s="764"/>
      <c r="T702" s="783">
        <v>42926</v>
      </c>
      <c r="U702" s="765" t="s">
        <v>947</v>
      </c>
      <c r="V702" s="754"/>
      <c r="W702" s="754"/>
    </row>
    <row r="703" spans="1:23" s="75" customFormat="1" ht="14.25" customHeight="1">
      <c r="A703" s="754" t="s">
        <v>3005</v>
      </c>
      <c r="B703" s="754" t="s">
        <v>337</v>
      </c>
      <c r="C703" s="754" t="s">
        <v>651</v>
      </c>
      <c r="D703" s="637" t="s">
        <v>1693</v>
      </c>
      <c r="E703" s="754">
        <v>198325</v>
      </c>
      <c r="F703" s="754"/>
      <c r="G703" s="754"/>
      <c r="H703" s="754"/>
      <c r="I703" s="754"/>
      <c r="J703" s="754" t="s">
        <v>818</v>
      </c>
      <c r="K703" s="754" t="s">
        <v>812</v>
      </c>
      <c r="L703" s="754" t="s">
        <v>818</v>
      </c>
      <c r="M703" s="754" t="s">
        <v>809</v>
      </c>
      <c r="N703" s="754">
        <v>20.839260100000001</v>
      </c>
      <c r="O703" s="754">
        <v>92.534591669999998</v>
      </c>
      <c r="P703" s="754" t="s">
        <v>937</v>
      </c>
      <c r="Q703" s="754" t="s">
        <v>816</v>
      </c>
      <c r="R703" s="763"/>
      <c r="S703" s="764"/>
      <c r="T703" s="783">
        <v>42926</v>
      </c>
      <c r="U703" s="765" t="s">
        <v>947</v>
      </c>
      <c r="V703" s="754"/>
      <c r="W703" s="754"/>
    </row>
    <row r="704" spans="1:23" s="75" customFormat="1" ht="14.25" customHeight="1">
      <c r="A704" s="754" t="s">
        <v>3005</v>
      </c>
      <c r="B704" s="754" t="s">
        <v>337</v>
      </c>
      <c r="C704" s="754" t="s">
        <v>342</v>
      </c>
      <c r="D704" s="637" t="s">
        <v>1693</v>
      </c>
      <c r="E704" s="754"/>
      <c r="F704" s="754"/>
      <c r="G704" s="754"/>
      <c r="H704" s="754"/>
      <c r="I704" s="754"/>
      <c r="J704" s="754" t="s">
        <v>818</v>
      </c>
      <c r="K704" s="754" t="s">
        <v>812</v>
      </c>
      <c r="L704" s="754" t="s">
        <v>818</v>
      </c>
      <c r="M704" s="754" t="s">
        <v>809</v>
      </c>
      <c r="N704" s="754"/>
      <c r="O704" s="754"/>
      <c r="P704" s="754" t="s">
        <v>937</v>
      </c>
      <c r="Q704" s="754" t="s">
        <v>816</v>
      </c>
      <c r="R704" s="763"/>
      <c r="S704" s="764"/>
      <c r="T704" s="783">
        <v>42926</v>
      </c>
      <c r="U704" s="765" t="s">
        <v>947</v>
      </c>
      <c r="V704" s="754"/>
      <c r="W704" s="754"/>
    </row>
    <row r="705" spans="1:23" s="75" customFormat="1" ht="14.25" customHeight="1">
      <c r="A705" s="754" t="s">
        <v>3005</v>
      </c>
      <c r="B705" s="760" t="s">
        <v>337</v>
      </c>
      <c r="C705" s="760" t="s">
        <v>586</v>
      </c>
      <c r="D705" s="638" t="s">
        <v>1693</v>
      </c>
      <c r="E705" s="760">
        <v>198432</v>
      </c>
      <c r="F705" s="760"/>
      <c r="G705" s="760"/>
      <c r="H705" s="768"/>
      <c r="I705" s="760"/>
      <c r="J705" s="754" t="s">
        <v>812</v>
      </c>
      <c r="K705" s="754" t="s">
        <v>812</v>
      </c>
      <c r="L705" s="754" t="s">
        <v>812</v>
      </c>
      <c r="M705" s="760" t="s">
        <v>809</v>
      </c>
      <c r="N705" s="760">
        <v>20.721290589999999</v>
      </c>
      <c r="O705" s="760">
        <v>92.605140689999999</v>
      </c>
      <c r="P705" s="754" t="s">
        <v>813</v>
      </c>
      <c r="Q705" s="760" t="s">
        <v>794</v>
      </c>
      <c r="R705" s="767"/>
      <c r="S705" s="768"/>
      <c r="T705" s="784"/>
      <c r="U705" s="769"/>
      <c r="V705" s="760" t="s">
        <v>586</v>
      </c>
      <c r="W705" s="754"/>
    </row>
    <row r="706" spans="1:23" s="75" customFormat="1" ht="14.25" customHeight="1">
      <c r="A706" s="754" t="s">
        <v>3005</v>
      </c>
      <c r="B706" s="754" t="s">
        <v>337</v>
      </c>
      <c r="C706" s="754" t="s">
        <v>680</v>
      </c>
      <c r="D706" s="637" t="s">
        <v>1693</v>
      </c>
      <c r="E706" s="754">
        <v>198222</v>
      </c>
      <c r="F706" s="754"/>
      <c r="G706" s="754"/>
      <c r="H706" s="754"/>
      <c r="I706" s="754"/>
      <c r="J706" s="754" t="s">
        <v>818</v>
      </c>
      <c r="K706" s="754" t="s">
        <v>812</v>
      </c>
      <c r="L706" s="754" t="s">
        <v>818</v>
      </c>
      <c r="M706" s="754" t="s">
        <v>809</v>
      </c>
      <c r="N706" s="754">
        <v>20.962799069999999</v>
      </c>
      <c r="O706" s="754">
        <v>92.527702329999997</v>
      </c>
      <c r="P706" s="754" t="s">
        <v>937</v>
      </c>
      <c r="Q706" s="754" t="s">
        <v>816</v>
      </c>
      <c r="R706" s="763"/>
      <c r="S706" s="764"/>
      <c r="T706" s="783">
        <v>42926</v>
      </c>
      <c r="U706" s="765" t="s">
        <v>947</v>
      </c>
      <c r="V706" s="754"/>
      <c r="W706" s="754"/>
    </row>
    <row r="707" spans="1:23" s="75" customFormat="1" ht="14.25" customHeight="1">
      <c r="A707" s="767" t="s">
        <v>3005</v>
      </c>
      <c r="B707" s="767" t="s">
        <v>337</v>
      </c>
      <c r="C707" s="768" t="s">
        <v>3181</v>
      </c>
      <c r="D707" s="761"/>
      <c r="E707" s="754">
        <v>198289</v>
      </c>
      <c r="F707" s="754"/>
      <c r="G707" s="754"/>
      <c r="H707" s="754"/>
      <c r="I707" s="754"/>
      <c r="J707" s="754" t="s">
        <v>3017</v>
      </c>
      <c r="K707" s="754" t="s">
        <v>2935</v>
      </c>
      <c r="L707" s="754" t="s">
        <v>2935</v>
      </c>
      <c r="M707" s="754"/>
      <c r="N707" s="754">
        <v>20.838279724121101</v>
      </c>
      <c r="O707" s="754">
        <v>92.610900878906307</v>
      </c>
      <c r="P707" s="754"/>
      <c r="Q707" s="754"/>
      <c r="R707" s="771"/>
      <c r="S707" s="764"/>
      <c r="T707" s="783">
        <v>43591</v>
      </c>
      <c r="U707" s="771"/>
      <c r="V707" s="754"/>
      <c r="W707" s="763"/>
    </row>
    <row r="708" spans="1:23" s="75" customFormat="1" ht="14.25" customHeight="1">
      <c r="A708" s="754" t="s">
        <v>3005</v>
      </c>
      <c r="B708" s="754" t="s">
        <v>337</v>
      </c>
      <c r="C708" s="754" t="s">
        <v>620</v>
      </c>
      <c r="D708" s="637" t="s">
        <v>1693</v>
      </c>
      <c r="E708" s="754">
        <v>198379</v>
      </c>
      <c r="F708" s="754"/>
      <c r="G708" s="754"/>
      <c r="H708" s="754"/>
      <c r="I708" s="754"/>
      <c r="J708" s="754" t="s">
        <v>812</v>
      </c>
      <c r="K708" s="754" t="s">
        <v>812</v>
      </c>
      <c r="L708" s="754" t="s">
        <v>812</v>
      </c>
      <c r="M708" s="754" t="s">
        <v>809</v>
      </c>
      <c r="N708" s="754">
        <v>20.79891014</v>
      </c>
      <c r="O708" s="754">
        <v>92.553680420000006</v>
      </c>
      <c r="P708" s="754" t="s">
        <v>813</v>
      </c>
      <c r="Q708" s="754" t="s">
        <v>794</v>
      </c>
      <c r="R708" s="763"/>
      <c r="S708" s="764"/>
      <c r="T708" s="783"/>
      <c r="U708" s="765"/>
      <c r="V708" s="754" t="s">
        <v>620</v>
      </c>
      <c r="W708" s="754"/>
    </row>
    <row r="709" spans="1:23" s="75" customFormat="1" ht="14.25" customHeight="1">
      <c r="A709" s="754" t="s">
        <v>3005</v>
      </c>
      <c r="B709" s="777" t="s">
        <v>337</v>
      </c>
      <c r="C709" s="776" t="s">
        <v>649</v>
      </c>
      <c r="D709" s="637" t="s">
        <v>1693</v>
      </c>
      <c r="E709" s="754">
        <v>198332</v>
      </c>
      <c r="F709" s="777"/>
      <c r="G709" s="754"/>
      <c r="H709" s="754"/>
      <c r="I709" s="754"/>
      <c r="J709" s="754" t="s">
        <v>812</v>
      </c>
      <c r="K709" s="754" t="s">
        <v>812</v>
      </c>
      <c r="L709" s="754" t="s">
        <v>812</v>
      </c>
      <c r="M709" s="754" t="s">
        <v>809</v>
      </c>
      <c r="N709" s="754">
        <v>20.833719250000001</v>
      </c>
      <c r="O709" s="754">
        <v>92.534461980000003</v>
      </c>
      <c r="P709" s="754" t="s">
        <v>813</v>
      </c>
      <c r="Q709" s="754" t="s">
        <v>794</v>
      </c>
      <c r="R709" s="778"/>
      <c r="S709" s="779"/>
      <c r="T709" s="783"/>
      <c r="U709" s="765"/>
      <c r="V709" s="754" t="s">
        <v>649</v>
      </c>
      <c r="W709" s="754"/>
    </row>
    <row r="710" spans="1:23" s="75" customFormat="1" ht="14.25" customHeight="1">
      <c r="A710" s="754" t="s">
        <v>3005</v>
      </c>
      <c r="B710" s="778" t="s">
        <v>337</v>
      </c>
      <c r="C710" s="587" t="s">
        <v>2810</v>
      </c>
      <c r="D710" s="761"/>
      <c r="E710" s="805">
        <v>198405</v>
      </c>
      <c r="F710" s="760" t="s">
        <v>2946</v>
      </c>
      <c r="G710" s="754"/>
      <c r="H710" s="754"/>
      <c r="I710" s="754"/>
      <c r="J710" s="754" t="s">
        <v>812</v>
      </c>
      <c r="K710" s="754" t="s">
        <v>812</v>
      </c>
      <c r="L710" s="754" t="s">
        <v>812</v>
      </c>
      <c r="M710" s="754" t="s">
        <v>809</v>
      </c>
      <c r="N710" s="754"/>
      <c r="O710" s="754"/>
      <c r="P710" s="754"/>
      <c r="Q710" s="754" t="s">
        <v>2940</v>
      </c>
      <c r="R710" s="823"/>
      <c r="S710" s="779"/>
      <c r="T710" s="783"/>
      <c r="U710" s="765"/>
      <c r="V710" s="754"/>
      <c r="W710" s="763"/>
    </row>
    <row r="711" spans="1:23" s="75" customFormat="1" ht="14.25" customHeight="1">
      <c r="A711" s="754" t="s">
        <v>3005</v>
      </c>
      <c r="B711" s="777" t="s">
        <v>337</v>
      </c>
      <c r="C711" s="776" t="s">
        <v>664</v>
      </c>
      <c r="D711" s="637" t="s">
        <v>1693</v>
      </c>
      <c r="E711" s="754">
        <v>217871</v>
      </c>
      <c r="F711" s="760"/>
      <c r="G711" s="754"/>
      <c r="H711" s="754"/>
      <c r="I711" s="754"/>
      <c r="J711" s="754" t="s">
        <v>812</v>
      </c>
      <c r="K711" s="754" t="s">
        <v>812</v>
      </c>
      <c r="L711" s="754" t="s">
        <v>812</v>
      </c>
      <c r="M711" s="754" t="s">
        <v>809</v>
      </c>
      <c r="N711" s="754">
        <v>20.887029649999999</v>
      </c>
      <c r="O711" s="754">
        <v>92.556823730000005</v>
      </c>
      <c r="P711" s="754" t="s">
        <v>813</v>
      </c>
      <c r="Q711" s="754" t="s">
        <v>794</v>
      </c>
      <c r="R711" s="778"/>
      <c r="S711" s="779"/>
      <c r="T711" s="783"/>
      <c r="U711" s="765"/>
      <c r="V711" s="754" t="s">
        <v>664</v>
      </c>
      <c r="W711" s="754"/>
    </row>
    <row r="712" spans="1:23" s="75" customFormat="1" ht="14.25" customHeight="1">
      <c r="A712" s="754" t="s">
        <v>3005</v>
      </c>
      <c r="B712" s="777" t="s">
        <v>337</v>
      </c>
      <c r="C712" s="776" t="s">
        <v>1945</v>
      </c>
      <c r="D712" s="637"/>
      <c r="E712" s="754">
        <v>198177</v>
      </c>
      <c r="F712" s="760"/>
      <c r="G712" s="754"/>
      <c r="H712" s="754"/>
      <c r="I712" s="754"/>
      <c r="J712" s="754" t="s">
        <v>812</v>
      </c>
      <c r="K712" s="754" t="s">
        <v>812</v>
      </c>
      <c r="L712" s="754" t="s">
        <v>812</v>
      </c>
      <c r="M712" s="754" t="s">
        <v>965</v>
      </c>
      <c r="N712" s="754">
        <v>20.93604088</v>
      </c>
      <c r="O712" s="754">
        <v>92.475830079999994</v>
      </c>
      <c r="P712" s="754" t="s">
        <v>813</v>
      </c>
      <c r="Q712" s="754" t="s">
        <v>1950</v>
      </c>
      <c r="R712" s="778"/>
      <c r="S712" s="779"/>
      <c r="T712" s="783">
        <v>43245</v>
      </c>
      <c r="U712" s="765"/>
      <c r="V712" s="754"/>
      <c r="W712" s="754"/>
    </row>
    <row r="713" spans="1:23" s="75" customFormat="1" ht="14.25" customHeight="1">
      <c r="A713" s="754" t="s">
        <v>3005</v>
      </c>
      <c r="B713" s="777" t="s">
        <v>337</v>
      </c>
      <c r="C713" s="776" t="s">
        <v>2832</v>
      </c>
      <c r="D713" s="637"/>
      <c r="E713" s="754"/>
      <c r="F713" s="754"/>
      <c r="G713" s="754"/>
      <c r="H713" s="754"/>
      <c r="I713" s="754"/>
      <c r="J713" s="754" t="s">
        <v>3017</v>
      </c>
      <c r="K713" s="754" t="s">
        <v>2935</v>
      </c>
      <c r="L713" s="754" t="s">
        <v>2935</v>
      </c>
      <c r="M713" s="754"/>
      <c r="N713" s="754"/>
      <c r="O713" s="754"/>
      <c r="P713" s="754"/>
      <c r="Q713" s="754"/>
      <c r="R713" s="778"/>
      <c r="S713" s="779"/>
      <c r="T713" s="783"/>
      <c r="U713" s="765"/>
      <c r="V713" s="754"/>
      <c r="W713" s="754"/>
    </row>
    <row r="714" spans="1:23" s="75" customFormat="1" ht="14.25" customHeight="1">
      <c r="A714" s="754" t="s">
        <v>3005</v>
      </c>
      <c r="B714" s="777" t="s">
        <v>337</v>
      </c>
      <c r="C714" s="776" t="s">
        <v>600</v>
      </c>
      <c r="D714" s="637" t="s">
        <v>1693</v>
      </c>
      <c r="E714" s="754">
        <v>198413</v>
      </c>
      <c r="F714" s="754"/>
      <c r="G714" s="754"/>
      <c r="H714" s="754"/>
      <c r="I714" s="754"/>
      <c r="J714" s="754" t="s">
        <v>812</v>
      </c>
      <c r="K714" s="754" t="s">
        <v>812</v>
      </c>
      <c r="L714" s="754" t="s">
        <v>812</v>
      </c>
      <c r="M714" s="754" t="s">
        <v>312</v>
      </c>
      <c r="N714" s="754">
        <v>20.756410599999999</v>
      </c>
      <c r="O714" s="754">
        <v>92.63580322</v>
      </c>
      <c r="P714" s="754" t="s">
        <v>813</v>
      </c>
      <c r="Q714" s="754" t="s">
        <v>794</v>
      </c>
      <c r="R714" s="778"/>
      <c r="S714" s="779"/>
      <c r="T714" s="783"/>
      <c r="U714" s="765"/>
      <c r="V714" s="754" t="s">
        <v>600</v>
      </c>
      <c r="W714" s="754"/>
    </row>
    <row r="715" spans="1:23" s="75" customFormat="1" ht="14.25" customHeight="1">
      <c r="A715" s="754" t="s">
        <v>3005</v>
      </c>
      <c r="B715" s="777" t="s">
        <v>337</v>
      </c>
      <c r="C715" s="776" t="s">
        <v>562</v>
      </c>
      <c r="D715" s="637" t="s">
        <v>1693</v>
      </c>
      <c r="E715" s="754">
        <v>198446</v>
      </c>
      <c r="F715" s="754"/>
      <c r="G715" s="754"/>
      <c r="H715" s="754"/>
      <c r="I715" s="754"/>
      <c r="J715" s="754" t="s">
        <v>812</v>
      </c>
      <c r="K715" s="754" t="s">
        <v>812</v>
      </c>
      <c r="L715" s="754" t="s">
        <v>812</v>
      </c>
      <c r="M715" s="754" t="s">
        <v>312</v>
      </c>
      <c r="N715" s="754">
        <v>20.691099170000001</v>
      </c>
      <c r="O715" s="754">
        <v>92.590652469999995</v>
      </c>
      <c r="P715" s="754" t="s">
        <v>813</v>
      </c>
      <c r="Q715" s="754" t="s">
        <v>794</v>
      </c>
      <c r="R715" s="767"/>
      <c r="S715" s="768"/>
      <c r="T715" s="783"/>
      <c r="U715" s="765"/>
      <c r="V715" s="754" t="s">
        <v>562</v>
      </c>
      <c r="W715" s="754"/>
    </row>
    <row r="716" spans="1:23" s="75" customFormat="1" ht="14.25" customHeight="1">
      <c r="A716" s="754" t="s">
        <v>3005</v>
      </c>
      <c r="B716" s="777" t="s">
        <v>337</v>
      </c>
      <c r="C716" s="776" t="s">
        <v>669</v>
      </c>
      <c r="D716" s="637" t="s">
        <v>1693</v>
      </c>
      <c r="E716" s="754">
        <v>198297</v>
      </c>
      <c r="F716" s="754"/>
      <c r="G716" s="754"/>
      <c r="H716" s="754"/>
      <c r="I716" s="754"/>
      <c r="J716" s="754" t="s">
        <v>812</v>
      </c>
      <c r="K716" s="754" t="s">
        <v>812</v>
      </c>
      <c r="L716" s="754" t="s">
        <v>812</v>
      </c>
      <c r="M716" s="754" t="s">
        <v>809</v>
      </c>
      <c r="N716" s="754">
        <v>20.89270973</v>
      </c>
      <c r="O716" s="754">
        <v>92.562187190000003</v>
      </c>
      <c r="P716" s="754" t="s">
        <v>813</v>
      </c>
      <c r="Q716" s="754" t="s">
        <v>794</v>
      </c>
      <c r="R716" s="778"/>
      <c r="S716" s="779"/>
      <c r="T716" s="783"/>
      <c r="U716" s="765"/>
      <c r="V716" s="754" t="s">
        <v>669</v>
      </c>
      <c r="W716" s="754"/>
    </row>
    <row r="717" spans="1:23" s="75" customFormat="1" ht="14.25" customHeight="1">
      <c r="A717" s="754" t="s">
        <v>3005</v>
      </c>
      <c r="B717" s="777" t="s">
        <v>337</v>
      </c>
      <c r="C717" s="776" t="s">
        <v>676</v>
      </c>
      <c r="D717" s="637" t="s">
        <v>1693</v>
      </c>
      <c r="E717" s="754">
        <v>198234</v>
      </c>
      <c r="F717" s="754"/>
      <c r="G717" s="754"/>
      <c r="H717" s="754"/>
      <c r="I717" s="754"/>
      <c r="J717" s="754" t="s">
        <v>812</v>
      </c>
      <c r="K717" s="754" t="s">
        <v>812</v>
      </c>
      <c r="L717" s="754" t="s">
        <v>812</v>
      </c>
      <c r="M717" s="754" t="s">
        <v>312</v>
      </c>
      <c r="N717" s="754">
        <v>20.926780699999998</v>
      </c>
      <c r="O717" s="754">
        <v>92.539916989999995</v>
      </c>
      <c r="P717" s="754" t="s">
        <v>813</v>
      </c>
      <c r="Q717" s="754" t="s">
        <v>816</v>
      </c>
      <c r="R717" s="778"/>
      <c r="S717" s="779"/>
      <c r="T717" s="783">
        <v>42926</v>
      </c>
      <c r="U717" s="765" t="s">
        <v>817</v>
      </c>
      <c r="V717" s="754"/>
      <c r="W717" s="754"/>
    </row>
    <row r="718" spans="1:23" s="75" customFormat="1" ht="14.25" customHeight="1">
      <c r="A718" s="754" t="s">
        <v>3005</v>
      </c>
      <c r="B718" s="777" t="s">
        <v>337</v>
      </c>
      <c r="C718" s="776" t="s">
        <v>563</v>
      </c>
      <c r="D718" s="637" t="s">
        <v>1693</v>
      </c>
      <c r="E718" s="754">
        <v>198442</v>
      </c>
      <c r="F718" s="754"/>
      <c r="G718" s="754"/>
      <c r="H718" s="754"/>
      <c r="I718" s="754"/>
      <c r="J718" s="754" t="s">
        <v>812</v>
      </c>
      <c r="K718" s="754" t="s">
        <v>812</v>
      </c>
      <c r="L718" s="754" t="s">
        <v>812</v>
      </c>
      <c r="M718" s="754" t="s">
        <v>809</v>
      </c>
      <c r="N718" s="754">
        <v>20.692510599999999</v>
      </c>
      <c r="O718" s="754">
        <v>92.579689029999997</v>
      </c>
      <c r="P718" s="754" t="s">
        <v>813</v>
      </c>
      <c r="Q718" s="754" t="s">
        <v>794</v>
      </c>
      <c r="R718" s="767"/>
      <c r="S718" s="768"/>
      <c r="T718" s="783"/>
      <c r="U718" s="765"/>
      <c r="V718" s="754" t="s">
        <v>563</v>
      </c>
      <c r="W718" s="754"/>
    </row>
    <row r="719" spans="1:23" s="75" customFormat="1" ht="14.25" customHeight="1">
      <c r="A719" s="754" t="s">
        <v>3005</v>
      </c>
      <c r="B719" s="781" t="s">
        <v>337</v>
      </c>
      <c r="C719" s="780" t="s">
        <v>662</v>
      </c>
      <c r="D719" s="637" t="s">
        <v>1693</v>
      </c>
      <c r="E719" s="754">
        <v>198302</v>
      </c>
      <c r="F719" s="754"/>
      <c r="G719" s="754"/>
      <c r="H719" s="754"/>
      <c r="I719" s="754"/>
      <c r="J719" s="754" t="s">
        <v>812</v>
      </c>
      <c r="K719" s="754" t="s">
        <v>812</v>
      </c>
      <c r="L719" s="754" t="s">
        <v>812</v>
      </c>
      <c r="M719" s="754" t="s">
        <v>809</v>
      </c>
      <c r="N719" s="754">
        <v>20.884159090000001</v>
      </c>
      <c r="O719" s="754">
        <v>92.551063540000001</v>
      </c>
      <c r="P719" s="754" t="s">
        <v>813</v>
      </c>
      <c r="Q719" s="754" t="s">
        <v>794</v>
      </c>
      <c r="R719" s="767"/>
      <c r="S719" s="768"/>
      <c r="T719" s="783"/>
      <c r="U719" s="765"/>
      <c r="V719" s="754" t="s">
        <v>662</v>
      </c>
      <c r="W719" s="754"/>
    </row>
    <row r="720" spans="1:23" s="75" customFormat="1" ht="14.25" customHeight="1">
      <c r="A720" s="754" t="s">
        <v>3005</v>
      </c>
      <c r="B720" s="781" t="s">
        <v>337</v>
      </c>
      <c r="C720" s="776" t="s">
        <v>539</v>
      </c>
      <c r="D720" s="637" t="s">
        <v>1693</v>
      </c>
      <c r="E720" s="754">
        <v>198449</v>
      </c>
      <c r="F720" s="754"/>
      <c r="G720" s="754"/>
      <c r="H720" s="754"/>
      <c r="I720" s="754"/>
      <c r="J720" s="754" t="s">
        <v>812</v>
      </c>
      <c r="K720" s="754" t="s">
        <v>812</v>
      </c>
      <c r="L720" s="754" t="s">
        <v>812</v>
      </c>
      <c r="M720" s="754" t="s">
        <v>809</v>
      </c>
      <c r="N720" s="754">
        <v>20.663370130000001</v>
      </c>
      <c r="O720" s="754">
        <v>92.613876340000004</v>
      </c>
      <c r="P720" s="754" t="s">
        <v>813</v>
      </c>
      <c r="Q720" s="754" t="s">
        <v>794</v>
      </c>
      <c r="R720" s="767"/>
      <c r="S720" s="768"/>
      <c r="T720" s="783"/>
      <c r="U720" s="765"/>
      <c r="V720" s="754" t="s">
        <v>936</v>
      </c>
      <c r="W720" s="754"/>
    </row>
    <row r="721" spans="1:23" s="75" customFormat="1" ht="14.25" customHeight="1">
      <c r="A721" s="754" t="s">
        <v>3005</v>
      </c>
      <c r="B721" s="781" t="s">
        <v>337</v>
      </c>
      <c r="C721" s="780" t="s">
        <v>2799</v>
      </c>
      <c r="D721" s="637"/>
      <c r="E721" s="754">
        <v>198351</v>
      </c>
      <c r="F721" s="754" t="s">
        <v>2798</v>
      </c>
      <c r="G721" s="754"/>
      <c r="H721" s="754"/>
      <c r="I721" s="754"/>
      <c r="J721" s="754" t="s">
        <v>812</v>
      </c>
      <c r="K721" s="754" t="s">
        <v>812</v>
      </c>
      <c r="L721" s="754" t="s">
        <v>812</v>
      </c>
      <c r="M721" s="754" t="s">
        <v>809</v>
      </c>
      <c r="N721" s="754"/>
      <c r="O721" s="754"/>
      <c r="P721" s="754"/>
      <c r="Q721" s="754" t="s">
        <v>2940</v>
      </c>
      <c r="R721" s="763"/>
      <c r="S721" s="764"/>
      <c r="T721" s="783"/>
      <c r="U721" s="765"/>
      <c r="V721" s="754"/>
      <c r="W721" s="754"/>
    </row>
    <row r="722" spans="1:23" s="75" customFormat="1" ht="14.25" customHeight="1">
      <c r="A722" s="754" t="s">
        <v>3005</v>
      </c>
      <c r="B722" s="777" t="s">
        <v>337</v>
      </c>
      <c r="C722" s="776" t="s">
        <v>592</v>
      </c>
      <c r="D722" s="637" t="s">
        <v>1693</v>
      </c>
      <c r="E722" s="754">
        <v>198400</v>
      </c>
      <c r="F722" s="754"/>
      <c r="G722" s="754"/>
      <c r="H722" s="754"/>
      <c r="I722" s="754"/>
      <c r="J722" s="754" t="s">
        <v>818</v>
      </c>
      <c r="K722" s="754" t="s">
        <v>812</v>
      </c>
      <c r="L722" s="754" t="s">
        <v>818</v>
      </c>
      <c r="M722" s="754" t="s">
        <v>809</v>
      </c>
      <c r="N722" s="754">
        <v>20.733280180000001</v>
      </c>
      <c r="O722" s="754">
        <v>92.601409910000001</v>
      </c>
      <c r="P722" s="754" t="s">
        <v>937</v>
      </c>
      <c r="Q722" s="754" t="s">
        <v>816</v>
      </c>
      <c r="R722" s="763"/>
      <c r="S722" s="764"/>
      <c r="T722" s="783">
        <v>42926</v>
      </c>
      <c r="U722" s="765" t="s">
        <v>947</v>
      </c>
      <c r="V722" s="754"/>
      <c r="W722" s="754"/>
    </row>
    <row r="723" spans="1:23" s="75" customFormat="1" ht="14.25" customHeight="1">
      <c r="A723" s="754" t="s">
        <v>3005</v>
      </c>
      <c r="B723" s="777" t="s">
        <v>337</v>
      </c>
      <c r="C723" s="776" t="s">
        <v>602</v>
      </c>
      <c r="D723" s="637" t="s">
        <v>1693</v>
      </c>
      <c r="E723" s="754">
        <v>198408</v>
      </c>
      <c r="F723" s="754"/>
      <c r="G723" s="754"/>
      <c r="H723" s="754"/>
      <c r="I723" s="754"/>
      <c r="J723" s="754" t="s">
        <v>812</v>
      </c>
      <c r="K723" s="754" t="s">
        <v>812</v>
      </c>
      <c r="L723" s="754" t="s">
        <v>812</v>
      </c>
      <c r="M723" s="754" t="s">
        <v>312</v>
      </c>
      <c r="N723" s="754">
        <v>20.76407051</v>
      </c>
      <c r="O723" s="754">
        <v>92.631126399999999</v>
      </c>
      <c r="P723" s="754" t="s">
        <v>813</v>
      </c>
      <c r="Q723" s="754" t="s">
        <v>794</v>
      </c>
      <c r="R723" s="763"/>
      <c r="S723" s="764"/>
      <c r="T723" s="783"/>
      <c r="U723" s="765"/>
      <c r="V723" s="754" t="s">
        <v>602</v>
      </c>
      <c r="W723" s="754"/>
    </row>
    <row r="724" spans="1:23" s="75" customFormat="1" ht="14.25" customHeight="1">
      <c r="A724" s="767" t="s">
        <v>3005</v>
      </c>
      <c r="B724" s="792" t="s">
        <v>337</v>
      </c>
      <c r="C724" s="793" t="s">
        <v>3134</v>
      </c>
      <c r="D724" s="761"/>
      <c r="E724" s="754">
        <v>198401</v>
      </c>
      <c r="F724" s="754"/>
      <c r="G724" s="754"/>
      <c r="H724" s="754"/>
      <c r="I724" s="754"/>
      <c r="J724" s="754" t="s">
        <v>3017</v>
      </c>
      <c r="K724" s="754" t="s">
        <v>2935</v>
      </c>
      <c r="L724" s="754" t="s">
        <v>2935</v>
      </c>
      <c r="M724" s="754"/>
      <c r="N724" s="754">
        <v>20.765670776367202</v>
      </c>
      <c r="O724" s="754">
        <v>92.577812194824205</v>
      </c>
      <c r="P724" s="754"/>
      <c r="Q724" s="754"/>
      <c r="R724" s="771"/>
      <c r="S724" s="764"/>
      <c r="T724" s="783">
        <v>43591</v>
      </c>
      <c r="U724" s="771"/>
      <c r="V724" s="754"/>
      <c r="W724" s="763"/>
    </row>
    <row r="725" spans="1:23" s="75" customFormat="1" ht="14.25" customHeight="1">
      <c r="A725" s="764" t="s">
        <v>3005</v>
      </c>
      <c r="B725" s="778" t="s">
        <v>337</v>
      </c>
      <c r="C725" s="587" t="s">
        <v>590</v>
      </c>
      <c r="D725" s="761"/>
      <c r="E725" s="754">
        <v>198418</v>
      </c>
      <c r="F725" s="754" t="s">
        <v>590</v>
      </c>
      <c r="G725" s="754"/>
      <c r="H725" s="754"/>
      <c r="I725" s="754"/>
      <c r="J725" s="754" t="s">
        <v>812</v>
      </c>
      <c r="K725" s="754" t="s">
        <v>812</v>
      </c>
      <c r="L725" s="754" t="s">
        <v>812</v>
      </c>
      <c r="M725" s="754" t="s">
        <v>312</v>
      </c>
      <c r="N725" s="754">
        <v>20.7264194488525</v>
      </c>
      <c r="O725" s="754">
        <v>92.671180730000003</v>
      </c>
      <c r="P725" s="754" t="s">
        <v>813</v>
      </c>
      <c r="Q725" s="754" t="s">
        <v>2940</v>
      </c>
      <c r="R725" s="771"/>
      <c r="S725" s="764"/>
      <c r="T725" s="783">
        <v>43580</v>
      </c>
      <c r="U725" s="816" t="s">
        <v>3058</v>
      </c>
      <c r="V725" s="754" t="s">
        <v>590</v>
      </c>
      <c r="W725" s="763"/>
    </row>
    <row r="726" spans="1:23" s="75" customFormat="1" ht="14.25" customHeight="1">
      <c r="A726" s="754" t="s">
        <v>3005</v>
      </c>
      <c r="B726" s="781" t="s">
        <v>337</v>
      </c>
      <c r="C726" s="780" t="s">
        <v>551</v>
      </c>
      <c r="D726" s="637" t="s">
        <v>1693</v>
      </c>
      <c r="E726" s="754">
        <v>217886</v>
      </c>
      <c r="F726" s="754"/>
      <c r="G726" s="754"/>
      <c r="H726" s="754"/>
      <c r="I726" s="754"/>
      <c r="J726" s="754" t="s">
        <v>812</v>
      </c>
      <c r="K726" s="754" t="s">
        <v>812</v>
      </c>
      <c r="L726" s="754" t="s">
        <v>812</v>
      </c>
      <c r="M726" s="754" t="s">
        <v>809</v>
      </c>
      <c r="N726" s="754">
        <v>20.678150179999999</v>
      </c>
      <c r="O726" s="754">
        <v>92.587867739999993</v>
      </c>
      <c r="P726" s="754" t="s">
        <v>813</v>
      </c>
      <c r="Q726" s="754" t="s">
        <v>794</v>
      </c>
      <c r="R726" s="763"/>
      <c r="S726" s="764"/>
      <c r="T726" s="783"/>
      <c r="U726" s="765"/>
      <c r="V726" s="754" t="s">
        <v>551</v>
      </c>
      <c r="W726" s="754"/>
    </row>
    <row r="727" spans="1:23" s="75" customFormat="1" ht="14.25" customHeight="1">
      <c r="A727" s="754" t="s">
        <v>3005</v>
      </c>
      <c r="B727" s="777" t="s">
        <v>337</v>
      </c>
      <c r="C727" s="776" t="s">
        <v>609</v>
      </c>
      <c r="D727" s="637" t="s">
        <v>1693</v>
      </c>
      <c r="E727" s="754">
        <v>198388</v>
      </c>
      <c r="F727" s="754"/>
      <c r="G727" s="754"/>
      <c r="H727" s="754"/>
      <c r="I727" s="754"/>
      <c r="J727" s="754" t="s">
        <v>812</v>
      </c>
      <c r="K727" s="754" t="s">
        <v>812</v>
      </c>
      <c r="L727" s="754" t="s">
        <v>812</v>
      </c>
      <c r="M727" s="754" t="s">
        <v>312</v>
      </c>
      <c r="N727" s="754">
        <v>20.782770159999998</v>
      </c>
      <c r="O727" s="754">
        <v>92.551826480000003</v>
      </c>
      <c r="P727" s="754" t="s">
        <v>813</v>
      </c>
      <c r="Q727" s="754" t="s">
        <v>816</v>
      </c>
      <c r="R727" s="763"/>
      <c r="S727" s="764"/>
      <c r="T727" s="783">
        <v>42926</v>
      </c>
      <c r="U727" s="765" t="s">
        <v>817</v>
      </c>
      <c r="V727" s="754"/>
      <c r="W727" s="754"/>
    </row>
    <row r="728" spans="1:23" s="75" customFormat="1" ht="14.25" customHeight="1">
      <c r="A728" s="754" t="s">
        <v>3005</v>
      </c>
      <c r="B728" s="777" t="s">
        <v>337</v>
      </c>
      <c r="C728" s="776" t="s">
        <v>2801</v>
      </c>
      <c r="D728" s="637"/>
      <c r="E728" s="754"/>
      <c r="F728" s="754" t="s">
        <v>2942</v>
      </c>
      <c r="G728" s="754"/>
      <c r="H728" s="754"/>
      <c r="I728" s="754"/>
      <c r="J728" s="754" t="s">
        <v>812</v>
      </c>
      <c r="K728" s="754" t="s">
        <v>812</v>
      </c>
      <c r="L728" s="754" t="s">
        <v>812</v>
      </c>
      <c r="M728" s="754" t="s">
        <v>809</v>
      </c>
      <c r="N728" s="754"/>
      <c r="O728" s="754"/>
      <c r="P728" s="754"/>
      <c r="Q728" s="754" t="s">
        <v>2940</v>
      </c>
      <c r="R728" s="763"/>
      <c r="S728" s="764"/>
      <c r="T728" s="783"/>
      <c r="U728" s="765"/>
      <c r="V728" s="754"/>
      <c r="W728" s="754"/>
    </row>
    <row r="729" spans="1:23" s="75" customFormat="1" ht="14.25" customHeight="1">
      <c r="A729" s="754" t="s">
        <v>3005</v>
      </c>
      <c r="B729" s="777" t="s">
        <v>337</v>
      </c>
      <c r="C729" s="776" t="s">
        <v>604</v>
      </c>
      <c r="D729" s="637" t="s">
        <v>1693</v>
      </c>
      <c r="E729" s="754">
        <v>198409</v>
      </c>
      <c r="F729" s="754" t="s">
        <v>2948</v>
      </c>
      <c r="G729" s="754"/>
      <c r="H729" s="754"/>
      <c r="I729" s="754"/>
      <c r="J729" s="754" t="s">
        <v>812</v>
      </c>
      <c r="K729" s="754" t="s">
        <v>812</v>
      </c>
      <c r="L729" s="754" t="s">
        <v>812</v>
      </c>
      <c r="M729" s="754" t="s">
        <v>312</v>
      </c>
      <c r="N729" s="754">
        <v>20.767719270000001</v>
      </c>
      <c r="O729" s="754">
        <v>92.631736759999995</v>
      </c>
      <c r="P729" s="754" t="s">
        <v>813</v>
      </c>
      <c r="Q729" s="754" t="s">
        <v>2940</v>
      </c>
      <c r="R729" s="763"/>
      <c r="S729" s="764"/>
      <c r="T729" s="783"/>
      <c r="U729" s="765"/>
      <c r="V729" s="754" t="s">
        <v>604</v>
      </c>
      <c r="W729" s="754"/>
    </row>
    <row r="730" spans="1:23" s="75" customFormat="1" ht="14.25" customHeight="1">
      <c r="A730" s="754" t="s">
        <v>3005</v>
      </c>
      <c r="B730" s="777" t="s">
        <v>337</v>
      </c>
      <c r="C730" s="776" t="s">
        <v>3212</v>
      </c>
      <c r="D730" s="637"/>
      <c r="E730" s="754">
        <v>198362</v>
      </c>
      <c r="F730" s="754"/>
      <c r="G730" s="754"/>
      <c r="H730" s="754"/>
      <c r="I730" s="754"/>
      <c r="J730" s="754" t="s">
        <v>3017</v>
      </c>
      <c r="K730" s="754" t="s">
        <v>2935</v>
      </c>
      <c r="L730" s="754" t="s">
        <v>2935</v>
      </c>
      <c r="M730" s="754"/>
      <c r="N730" s="754"/>
      <c r="O730" s="754"/>
      <c r="P730" s="754"/>
      <c r="Q730" s="754"/>
      <c r="R730" s="763"/>
      <c r="S730" s="764"/>
      <c r="T730" s="783"/>
      <c r="U730" s="765"/>
      <c r="V730" s="754"/>
      <c r="W730" s="754"/>
    </row>
    <row r="731" spans="1:23" s="75" customFormat="1" ht="14.25" customHeight="1">
      <c r="A731" s="754" t="s">
        <v>3005</v>
      </c>
      <c r="B731" s="777" t="s">
        <v>337</v>
      </c>
      <c r="C731" s="776" t="s">
        <v>673</v>
      </c>
      <c r="D731" s="637" t="s">
        <v>1693</v>
      </c>
      <c r="E731" s="754">
        <v>198318</v>
      </c>
      <c r="F731" s="754"/>
      <c r="G731" s="754"/>
      <c r="H731" s="754"/>
      <c r="I731" s="754"/>
      <c r="J731" s="754" t="s">
        <v>812</v>
      </c>
      <c r="K731" s="754" t="s">
        <v>812</v>
      </c>
      <c r="L731" s="754" t="s">
        <v>812</v>
      </c>
      <c r="M731" s="754" t="s">
        <v>809</v>
      </c>
      <c r="N731" s="754">
        <v>20.895900730000001</v>
      </c>
      <c r="O731" s="754">
        <v>92.497329710000002</v>
      </c>
      <c r="P731" s="754" t="s">
        <v>813</v>
      </c>
      <c r="Q731" s="754" t="s">
        <v>794</v>
      </c>
      <c r="R731" s="763"/>
      <c r="S731" s="764"/>
      <c r="T731" s="783"/>
      <c r="U731" s="765"/>
      <c r="V731" s="754" t="s">
        <v>673</v>
      </c>
      <c r="W731" s="754"/>
    </row>
    <row r="732" spans="1:23" s="75" customFormat="1" ht="14.25" customHeight="1">
      <c r="A732" s="754" t="s">
        <v>3005</v>
      </c>
      <c r="B732" s="777" t="s">
        <v>337</v>
      </c>
      <c r="C732" s="776" t="s">
        <v>659</v>
      </c>
      <c r="D732" s="637" t="s">
        <v>1693</v>
      </c>
      <c r="E732" s="754">
        <v>198299</v>
      </c>
      <c r="F732" s="754"/>
      <c r="G732" s="754"/>
      <c r="H732" s="754"/>
      <c r="I732" s="754"/>
      <c r="J732" s="754" t="s">
        <v>812</v>
      </c>
      <c r="K732" s="754" t="s">
        <v>812</v>
      </c>
      <c r="L732" s="754" t="s">
        <v>812</v>
      </c>
      <c r="M732" s="754" t="s">
        <v>809</v>
      </c>
      <c r="N732" s="754">
        <v>20.88254929</v>
      </c>
      <c r="O732" s="754">
        <v>92.551338200000004</v>
      </c>
      <c r="P732" s="754" t="s">
        <v>813</v>
      </c>
      <c r="Q732" s="754" t="s">
        <v>794</v>
      </c>
      <c r="R732" s="763"/>
      <c r="S732" s="764"/>
      <c r="T732" s="783"/>
      <c r="U732" s="765"/>
      <c r="V732" s="754" t="s">
        <v>959</v>
      </c>
      <c r="W732" s="754"/>
    </row>
    <row r="733" spans="1:23" s="75" customFormat="1" ht="14.25" customHeight="1">
      <c r="A733" s="754" t="s">
        <v>3005</v>
      </c>
      <c r="B733" s="777" t="s">
        <v>337</v>
      </c>
      <c r="C733" s="776" t="s">
        <v>540</v>
      </c>
      <c r="D733" s="637" t="s">
        <v>1693</v>
      </c>
      <c r="E733" s="754">
        <v>198451</v>
      </c>
      <c r="F733" s="754"/>
      <c r="G733" s="754"/>
      <c r="H733" s="754"/>
      <c r="I733" s="754"/>
      <c r="J733" s="754" t="s">
        <v>812</v>
      </c>
      <c r="K733" s="754" t="s">
        <v>812</v>
      </c>
      <c r="L733" s="754" t="s">
        <v>812</v>
      </c>
      <c r="M733" s="754" t="s">
        <v>809</v>
      </c>
      <c r="N733" s="754">
        <v>20.663879390000002</v>
      </c>
      <c r="O733" s="754">
        <v>92.609306340000003</v>
      </c>
      <c r="P733" s="754" t="s">
        <v>813</v>
      </c>
      <c r="Q733" s="754" t="s">
        <v>794</v>
      </c>
      <c r="R733" s="763"/>
      <c r="S733" s="764"/>
      <c r="T733" s="783"/>
      <c r="U733" s="765"/>
      <c r="V733" s="754" t="s">
        <v>540</v>
      </c>
      <c r="W733" s="754"/>
    </row>
    <row r="734" spans="1:23" s="75" customFormat="1" ht="14.25" customHeight="1">
      <c r="A734" s="754" t="s">
        <v>3005</v>
      </c>
      <c r="B734" s="777" t="s">
        <v>337</v>
      </c>
      <c r="C734" s="776" t="s">
        <v>542</v>
      </c>
      <c r="D734" s="637" t="s">
        <v>1693</v>
      </c>
      <c r="E734" s="754">
        <v>198452</v>
      </c>
      <c r="F734" s="754"/>
      <c r="G734" s="754"/>
      <c r="H734" s="754"/>
      <c r="I734" s="754"/>
      <c r="J734" s="754" t="s">
        <v>812</v>
      </c>
      <c r="K734" s="754" t="s">
        <v>812</v>
      </c>
      <c r="L734" s="754" t="s">
        <v>812</v>
      </c>
      <c r="M734" s="754" t="s">
        <v>312</v>
      </c>
      <c r="N734" s="754">
        <v>20.667749400000002</v>
      </c>
      <c r="O734" s="754">
        <v>92.608650209999993</v>
      </c>
      <c r="P734" s="754" t="s">
        <v>813</v>
      </c>
      <c r="Q734" s="754" t="s">
        <v>794</v>
      </c>
      <c r="R734" s="763"/>
      <c r="S734" s="764"/>
      <c r="T734" s="783"/>
      <c r="U734" s="765"/>
      <c r="V734" s="754" t="s">
        <v>542</v>
      </c>
      <c r="W734" s="754"/>
    </row>
    <row r="735" spans="1:23" s="75" customFormat="1" ht="14.25" customHeight="1">
      <c r="A735" s="754" t="s">
        <v>3005</v>
      </c>
      <c r="B735" s="777" t="s">
        <v>337</v>
      </c>
      <c r="C735" s="776" t="s">
        <v>616</v>
      </c>
      <c r="D735" s="637" t="s">
        <v>1693</v>
      </c>
      <c r="E735" s="754">
        <v>198380</v>
      </c>
      <c r="F735" s="754"/>
      <c r="G735" s="754"/>
      <c r="H735" s="754"/>
      <c r="I735" s="754"/>
      <c r="J735" s="754" t="s">
        <v>812</v>
      </c>
      <c r="K735" s="754" t="s">
        <v>812</v>
      </c>
      <c r="L735" s="754" t="s">
        <v>812</v>
      </c>
      <c r="M735" s="754" t="s">
        <v>809</v>
      </c>
      <c r="N735" s="754">
        <v>20.787410739999999</v>
      </c>
      <c r="O735" s="754">
        <v>92.55155182</v>
      </c>
      <c r="P735" s="754" t="s">
        <v>813</v>
      </c>
      <c r="Q735" s="754" t="s">
        <v>794</v>
      </c>
      <c r="R735" s="763"/>
      <c r="S735" s="764"/>
      <c r="T735" s="783"/>
      <c r="U735" s="765"/>
      <c r="V735" s="754" t="s">
        <v>616</v>
      </c>
      <c r="W735" s="754"/>
    </row>
    <row r="736" spans="1:23" s="75" customFormat="1" ht="14.25" customHeight="1">
      <c r="A736" s="754" t="s">
        <v>3005</v>
      </c>
      <c r="B736" s="777" t="s">
        <v>337</v>
      </c>
      <c r="C736" s="776" t="s">
        <v>618</v>
      </c>
      <c r="D736" s="637" t="s">
        <v>1693</v>
      </c>
      <c r="E736" s="754">
        <v>198378</v>
      </c>
      <c r="F736" s="754"/>
      <c r="G736" s="754"/>
      <c r="H736" s="754"/>
      <c r="I736" s="754"/>
      <c r="J736" s="754" t="s">
        <v>812</v>
      </c>
      <c r="K736" s="754" t="s">
        <v>812</v>
      </c>
      <c r="L736" s="754" t="s">
        <v>812</v>
      </c>
      <c r="M736" s="754" t="s">
        <v>809</v>
      </c>
      <c r="N736" s="754">
        <v>20.791679380000001</v>
      </c>
      <c r="O736" s="754">
        <v>92.550903320000003</v>
      </c>
      <c r="P736" s="754" t="s">
        <v>813</v>
      </c>
      <c r="Q736" s="754" t="s">
        <v>794</v>
      </c>
      <c r="R736" s="763"/>
      <c r="S736" s="764"/>
      <c r="T736" s="783"/>
      <c r="U736" s="765"/>
      <c r="V736" s="754" t="s">
        <v>618</v>
      </c>
      <c r="W736" s="754"/>
    </row>
    <row r="737" spans="1:23" s="75" customFormat="1" ht="14.25" customHeight="1">
      <c r="A737" s="764" t="s">
        <v>3005</v>
      </c>
      <c r="B737" s="778" t="s">
        <v>337</v>
      </c>
      <c r="C737" s="587" t="s">
        <v>3237</v>
      </c>
      <c r="D737" s="761"/>
      <c r="E737" s="754">
        <v>198407</v>
      </c>
      <c r="F737" s="754"/>
      <c r="G737" s="754"/>
      <c r="H737" s="754"/>
      <c r="I737" s="754"/>
      <c r="J737" s="754" t="s">
        <v>812</v>
      </c>
      <c r="K737" s="754" t="s">
        <v>812</v>
      </c>
      <c r="L737" s="754" t="s">
        <v>812</v>
      </c>
      <c r="M737" s="754" t="s">
        <v>809</v>
      </c>
      <c r="N737" s="754">
        <v>20.775840759277301</v>
      </c>
      <c r="O737" s="754">
        <v>92.613082885742202</v>
      </c>
      <c r="P737" s="754" t="s">
        <v>813</v>
      </c>
      <c r="Q737" s="754"/>
      <c r="R737" s="771"/>
      <c r="S737" s="764"/>
      <c r="T737" s="783"/>
      <c r="U737" s="771"/>
      <c r="V737" s="754" t="s">
        <v>607</v>
      </c>
      <c r="W737" s="763"/>
    </row>
    <row r="738" spans="1:23" s="75" customFormat="1" ht="14.25" customHeight="1">
      <c r="A738" s="754" t="s">
        <v>3005</v>
      </c>
      <c r="B738" s="777" t="s">
        <v>337</v>
      </c>
      <c r="C738" s="776" t="s">
        <v>2803</v>
      </c>
      <c r="D738" s="637"/>
      <c r="E738" s="754">
        <v>198337</v>
      </c>
      <c r="F738" s="754" t="s">
        <v>627</v>
      </c>
      <c r="G738" s="754"/>
      <c r="H738" s="754"/>
      <c r="I738" s="754"/>
      <c r="J738" s="754" t="s">
        <v>812</v>
      </c>
      <c r="K738" s="754" t="s">
        <v>812</v>
      </c>
      <c r="L738" s="754" t="s">
        <v>812</v>
      </c>
      <c r="M738" s="754" t="s">
        <v>312</v>
      </c>
      <c r="N738" s="754"/>
      <c r="O738" s="754"/>
      <c r="P738" s="754"/>
      <c r="Q738" s="754" t="s">
        <v>2940</v>
      </c>
      <c r="R738" s="763"/>
      <c r="S738" s="764"/>
      <c r="T738" s="783"/>
      <c r="U738" s="765"/>
      <c r="V738" s="754"/>
      <c r="W738" s="754"/>
    </row>
    <row r="739" spans="1:23" s="75" customFormat="1" ht="14.25" customHeight="1">
      <c r="A739" s="754" t="s">
        <v>3005</v>
      </c>
      <c r="B739" s="781" t="s">
        <v>337</v>
      </c>
      <c r="C739" s="780" t="s">
        <v>571</v>
      </c>
      <c r="D739" s="637" t="s">
        <v>1693</v>
      </c>
      <c r="E739" s="754">
        <v>198423</v>
      </c>
      <c r="F739" s="754"/>
      <c r="G739" s="754"/>
      <c r="H739" s="754"/>
      <c r="I739" s="754"/>
      <c r="J739" s="754" t="s">
        <v>812</v>
      </c>
      <c r="K739" s="754" t="s">
        <v>812</v>
      </c>
      <c r="L739" s="754" t="s">
        <v>812</v>
      </c>
      <c r="M739" s="754" t="s">
        <v>312</v>
      </c>
      <c r="N739" s="754">
        <v>20.707460399999999</v>
      </c>
      <c r="O739" s="754">
        <v>92.680862430000005</v>
      </c>
      <c r="P739" s="754" t="s">
        <v>813</v>
      </c>
      <c r="Q739" s="754" t="s">
        <v>794</v>
      </c>
      <c r="R739" s="763"/>
      <c r="S739" s="764"/>
      <c r="T739" s="783"/>
      <c r="U739" s="765"/>
      <c r="V739" s="754" t="s">
        <v>571</v>
      </c>
      <c r="W739" s="754"/>
    </row>
    <row r="740" spans="1:23" s="75" customFormat="1" ht="14.25" customHeight="1">
      <c r="A740" s="754" t="s">
        <v>3005</v>
      </c>
      <c r="B740" s="777" t="s">
        <v>337</v>
      </c>
      <c r="C740" s="776" t="s">
        <v>2802</v>
      </c>
      <c r="D740" s="637"/>
      <c r="E740" s="754">
        <v>198363</v>
      </c>
      <c r="F740" s="754" t="s">
        <v>2942</v>
      </c>
      <c r="G740" s="754"/>
      <c r="H740" s="754"/>
      <c r="I740" s="754"/>
      <c r="J740" s="754" t="s">
        <v>812</v>
      </c>
      <c r="K740" s="754" t="s">
        <v>812</v>
      </c>
      <c r="L740" s="754" t="s">
        <v>812</v>
      </c>
      <c r="M740" s="754" t="s">
        <v>312</v>
      </c>
      <c r="N740" s="754"/>
      <c r="O740" s="754"/>
      <c r="P740" s="754"/>
      <c r="Q740" s="754" t="s">
        <v>2940</v>
      </c>
      <c r="R740" s="763"/>
      <c r="S740" s="764"/>
      <c r="T740" s="783"/>
      <c r="U740" s="765"/>
      <c r="V740" s="754"/>
      <c r="W740" s="754"/>
    </row>
    <row r="741" spans="1:23" s="75" customFormat="1" ht="14.25" customHeight="1">
      <c r="A741" s="754" t="s">
        <v>3005</v>
      </c>
      <c r="B741" s="777" t="s">
        <v>337</v>
      </c>
      <c r="C741" s="776" t="s">
        <v>601</v>
      </c>
      <c r="D741" s="637" t="s">
        <v>1693</v>
      </c>
      <c r="E741" s="754">
        <v>198391</v>
      </c>
      <c r="F741" s="754"/>
      <c r="G741" s="754"/>
      <c r="H741" s="754"/>
      <c r="I741" s="754"/>
      <c r="J741" s="754" t="s">
        <v>812</v>
      </c>
      <c r="K741" s="754" t="s">
        <v>812</v>
      </c>
      <c r="L741" s="754" t="s">
        <v>812</v>
      </c>
      <c r="M741" s="754" t="s">
        <v>809</v>
      </c>
      <c r="N741" s="754">
        <v>20.761529920000001</v>
      </c>
      <c r="O741" s="754">
        <v>92.544082639999999</v>
      </c>
      <c r="P741" s="754" t="s">
        <v>813</v>
      </c>
      <c r="Q741" s="754" t="s">
        <v>794</v>
      </c>
      <c r="R741" s="763"/>
      <c r="S741" s="764"/>
      <c r="T741" s="783"/>
      <c r="U741" s="765"/>
      <c r="V741" s="754" t="s">
        <v>601</v>
      </c>
      <c r="W741" s="754"/>
    </row>
    <row r="742" spans="1:23" s="75" customFormat="1" ht="14.25" customHeight="1">
      <c r="A742" s="754" t="s">
        <v>3005</v>
      </c>
      <c r="B742" s="777" t="s">
        <v>337</v>
      </c>
      <c r="C742" s="776" t="s">
        <v>560</v>
      </c>
      <c r="D742" s="637" t="s">
        <v>1693</v>
      </c>
      <c r="E742" s="754">
        <v>198421</v>
      </c>
      <c r="F742" s="754"/>
      <c r="G742" s="754"/>
      <c r="H742" s="754"/>
      <c r="I742" s="754"/>
      <c r="J742" s="754" t="s">
        <v>812</v>
      </c>
      <c r="K742" s="754" t="s">
        <v>812</v>
      </c>
      <c r="L742" s="754" t="s">
        <v>812</v>
      </c>
      <c r="M742" s="754" t="s">
        <v>312</v>
      </c>
      <c r="N742" s="754">
        <v>20.688310619999999</v>
      </c>
      <c r="O742" s="754">
        <v>92.696960450000006</v>
      </c>
      <c r="P742" s="754" t="s">
        <v>813</v>
      </c>
      <c r="Q742" s="754" t="s">
        <v>794</v>
      </c>
      <c r="R742" s="763"/>
      <c r="S742" s="764"/>
      <c r="T742" s="783"/>
      <c r="U742" s="765"/>
      <c r="V742" s="754" t="s">
        <v>560</v>
      </c>
      <c r="W742" s="754"/>
    </row>
    <row r="743" spans="1:23" s="75" customFormat="1" ht="14.25" customHeight="1">
      <c r="A743" s="754" t="s">
        <v>3005</v>
      </c>
      <c r="B743" s="777" t="s">
        <v>337</v>
      </c>
      <c r="C743" s="776" t="s">
        <v>2812</v>
      </c>
      <c r="D743" s="637" t="s">
        <v>1693</v>
      </c>
      <c r="E743" s="754">
        <v>198300</v>
      </c>
      <c r="F743" s="754" t="s">
        <v>2947</v>
      </c>
      <c r="G743" s="754"/>
      <c r="H743" s="754"/>
      <c r="I743" s="754"/>
      <c r="J743" s="754" t="s">
        <v>812</v>
      </c>
      <c r="K743" s="754" t="s">
        <v>812</v>
      </c>
      <c r="L743" s="754" t="s">
        <v>812</v>
      </c>
      <c r="M743" s="754" t="s">
        <v>312</v>
      </c>
      <c r="N743" s="754">
        <v>20.887420649999999</v>
      </c>
      <c r="O743" s="754">
        <v>92.545410160000003</v>
      </c>
      <c r="P743" s="754" t="s">
        <v>813</v>
      </c>
      <c r="Q743" s="754" t="s">
        <v>794</v>
      </c>
      <c r="R743" s="763"/>
      <c r="S743" s="764"/>
      <c r="T743" s="783"/>
      <c r="U743" s="765"/>
      <c r="V743" s="754" t="s">
        <v>961</v>
      </c>
      <c r="W743" s="754"/>
    </row>
    <row r="744" spans="1:23" s="75" customFormat="1" ht="14.25" customHeight="1">
      <c r="A744" s="754" t="s">
        <v>3005</v>
      </c>
      <c r="B744" s="777" t="s">
        <v>337</v>
      </c>
      <c r="C744" s="776" t="s">
        <v>2808</v>
      </c>
      <c r="D744" s="637"/>
      <c r="E744" s="754">
        <v>198434</v>
      </c>
      <c r="F744" s="754" t="s">
        <v>2945</v>
      </c>
      <c r="G744" s="754"/>
      <c r="H744" s="754"/>
      <c r="I744" s="754"/>
      <c r="J744" s="754" t="s">
        <v>812</v>
      </c>
      <c r="K744" s="754" t="s">
        <v>812</v>
      </c>
      <c r="L744" s="754" t="s">
        <v>812</v>
      </c>
      <c r="M744" s="754" t="s">
        <v>809</v>
      </c>
      <c r="N744" s="754"/>
      <c r="O744" s="754"/>
      <c r="P744" s="754"/>
      <c r="Q744" s="754" t="s">
        <v>2940</v>
      </c>
      <c r="R744" s="763"/>
      <c r="S744" s="764"/>
      <c r="T744" s="783"/>
      <c r="U744" s="765"/>
      <c r="V744" s="754"/>
      <c r="W744" s="754"/>
    </row>
    <row r="745" spans="1:23" s="75" customFormat="1" ht="14.25" customHeight="1">
      <c r="A745" s="754" t="s">
        <v>3005</v>
      </c>
      <c r="B745" s="778" t="s">
        <v>337</v>
      </c>
      <c r="C745" s="587" t="s">
        <v>2809</v>
      </c>
      <c r="D745" s="761"/>
      <c r="E745" s="754">
        <v>198433</v>
      </c>
      <c r="F745" s="754" t="s">
        <v>2945</v>
      </c>
      <c r="G745" s="754"/>
      <c r="H745" s="754"/>
      <c r="I745" s="754"/>
      <c r="J745" s="754" t="s">
        <v>812</v>
      </c>
      <c r="K745" s="754" t="s">
        <v>812</v>
      </c>
      <c r="L745" s="754" t="s">
        <v>812</v>
      </c>
      <c r="M745" s="754" t="s">
        <v>312</v>
      </c>
      <c r="N745" s="754"/>
      <c r="O745" s="754"/>
      <c r="P745" s="754"/>
      <c r="Q745" s="754" t="s">
        <v>2940</v>
      </c>
      <c r="R745" s="771"/>
      <c r="S745" s="764"/>
      <c r="T745" s="783"/>
      <c r="U745" s="765"/>
      <c r="V745" s="754"/>
      <c r="W745" s="763"/>
    </row>
    <row r="746" spans="1:23" s="754" customFormat="1" ht="14.25" customHeight="1">
      <c r="A746" s="767" t="s">
        <v>3005</v>
      </c>
      <c r="B746" s="778" t="s">
        <v>337</v>
      </c>
      <c r="C746" s="663" t="s">
        <v>3135</v>
      </c>
      <c r="D746" s="761"/>
      <c r="J746" s="754" t="s">
        <v>3017</v>
      </c>
      <c r="K746" s="754" t="s">
        <v>2935</v>
      </c>
      <c r="L746" s="754" t="s">
        <v>2935</v>
      </c>
      <c r="R746" s="771"/>
      <c r="S746" s="764"/>
      <c r="T746" s="783">
        <v>43591</v>
      </c>
      <c r="U746" s="771"/>
      <c r="W746" s="763"/>
    </row>
    <row r="747" spans="1:23" s="75" customFormat="1" ht="14.25" customHeight="1">
      <c r="A747" s="754" t="s">
        <v>3005</v>
      </c>
      <c r="B747" s="777" t="s">
        <v>337</v>
      </c>
      <c r="C747" s="587" t="s">
        <v>3059</v>
      </c>
      <c r="D747" s="637" t="s">
        <v>1693</v>
      </c>
      <c r="E747" s="754">
        <v>198398</v>
      </c>
      <c r="F747" s="754" t="s">
        <v>3060</v>
      </c>
      <c r="G747" s="754"/>
      <c r="H747" s="754"/>
      <c r="I747" s="754"/>
      <c r="J747" s="754" t="s">
        <v>893</v>
      </c>
      <c r="K747" s="754" t="s">
        <v>893</v>
      </c>
      <c r="L747" s="754" t="s">
        <v>893</v>
      </c>
      <c r="M747" s="754" t="s">
        <v>809</v>
      </c>
      <c r="N747" s="754">
        <v>20.741249079999999</v>
      </c>
      <c r="O747" s="754">
        <v>92.610519409999995</v>
      </c>
      <c r="P747" s="754" t="s">
        <v>813</v>
      </c>
      <c r="Q747" s="754" t="s">
        <v>794</v>
      </c>
      <c r="R747" s="763"/>
      <c r="S747" s="764"/>
      <c r="T747" s="783">
        <v>43580</v>
      </c>
      <c r="U747" s="816" t="s">
        <v>3058</v>
      </c>
      <c r="V747" s="754" t="s">
        <v>595</v>
      </c>
      <c r="W747" s="754"/>
    </row>
    <row r="748" spans="1:23" s="75" customFormat="1" ht="14.25" customHeight="1">
      <c r="A748" s="754" t="s">
        <v>3005</v>
      </c>
      <c r="B748" s="781" t="s">
        <v>337</v>
      </c>
      <c r="C748" s="780" t="s">
        <v>594</v>
      </c>
      <c r="D748" s="637" t="s">
        <v>1693</v>
      </c>
      <c r="E748" s="754">
        <v>198399</v>
      </c>
      <c r="F748" s="754"/>
      <c r="G748" s="754"/>
      <c r="H748" s="754"/>
      <c r="I748" s="754"/>
      <c r="J748" s="754" t="s">
        <v>812</v>
      </c>
      <c r="K748" s="754" t="s">
        <v>812</v>
      </c>
      <c r="L748" s="754" t="s">
        <v>812</v>
      </c>
      <c r="M748" s="754" t="s">
        <v>312</v>
      </c>
      <c r="N748" s="754">
        <v>20.739839549999999</v>
      </c>
      <c r="O748" s="754">
        <v>92.613456729999996</v>
      </c>
      <c r="P748" s="754" t="s">
        <v>813</v>
      </c>
      <c r="Q748" s="754" t="s">
        <v>794</v>
      </c>
      <c r="R748" s="763"/>
      <c r="S748" s="764"/>
      <c r="T748" s="783"/>
      <c r="U748" s="765"/>
      <c r="V748" s="754" t="s">
        <v>594</v>
      </c>
      <c r="W748" s="754"/>
    </row>
    <row r="749" spans="1:23" s="75" customFormat="1" ht="14.25" customHeight="1">
      <c r="A749" s="754" t="s">
        <v>3005</v>
      </c>
      <c r="B749" s="781" t="s">
        <v>337</v>
      </c>
      <c r="C749" s="780" t="s">
        <v>543</v>
      </c>
      <c r="D749" s="637" t="s">
        <v>1693</v>
      </c>
      <c r="E749" s="754">
        <v>198448</v>
      </c>
      <c r="F749" s="754"/>
      <c r="G749" s="754"/>
      <c r="H749" s="754"/>
      <c r="I749" s="754"/>
      <c r="J749" s="754" t="s">
        <v>812</v>
      </c>
      <c r="K749" s="754" t="s">
        <v>812</v>
      </c>
      <c r="L749" s="754" t="s">
        <v>812</v>
      </c>
      <c r="M749" s="754" t="s">
        <v>312</v>
      </c>
      <c r="N749" s="754">
        <v>20.669130330000002</v>
      </c>
      <c r="O749" s="754">
        <v>92.595497129999998</v>
      </c>
      <c r="P749" s="754" t="s">
        <v>813</v>
      </c>
      <c r="Q749" s="754" t="s">
        <v>794</v>
      </c>
      <c r="R749" s="763"/>
      <c r="S749" s="764"/>
      <c r="T749" s="783"/>
      <c r="U749" s="765"/>
      <c r="V749" s="754" t="s">
        <v>543</v>
      </c>
      <c r="W749" s="754"/>
    </row>
    <row r="750" spans="1:23" s="75" customFormat="1" ht="14.25" customHeight="1">
      <c r="A750" s="754" t="s">
        <v>3005</v>
      </c>
      <c r="B750" s="781" t="s">
        <v>337</v>
      </c>
      <c r="C750" s="780" t="s">
        <v>548</v>
      </c>
      <c r="D750" s="637" t="s">
        <v>1693</v>
      </c>
      <c r="E750" s="754">
        <v>198447</v>
      </c>
      <c r="F750" s="754"/>
      <c r="G750" s="754"/>
      <c r="H750" s="754"/>
      <c r="I750" s="754"/>
      <c r="J750" s="754" t="s">
        <v>812</v>
      </c>
      <c r="K750" s="754" t="s">
        <v>812</v>
      </c>
      <c r="L750" s="754" t="s">
        <v>812</v>
      </c>
      <c r="M750" s="754" t="s">
        <v>809</v>
      </c>
      <c r="N750" s="754">
        <v>20.674699780000001</v>
      </c>
      <c r="O750" s="754">
        <v>92.590393070000005</v>
      </c>
      <c r="P750" s="754" t="s">
        <v>813</v>
      </c>
      <c r="Q750" s="754" t="s">
        <v>794</v>
      </c>
      <c r="R750" s="763"/>
      <c r="S750" s="764"/>
      <c r="T750" s="783"/>
      <c r="U750" s="765"/>
      <c r="V750" s="754" t="s">
        <v>548</v>
      </c>
      <c r="W750" s="754"/>
    </row>
    <row r="751" spans="1:23" s="75" customFormat="1" ht="14.25" customHeight="1">
      <c r="A751" s="754" t="s">
        <v>3005</v>
      </c>
      <c r="B751" s="781" t="s">
        <v>337</v>
      </c>
      <c r="C751" s="780" t="s">
        <v>606</v>
      </c>
      <c r="D751" s="637" t="s">
        <v>1693</v>
      </c>
      <c r="E751" s="754">
        <v>198410</v>
      </c>
      <c r="F751" s="754"/>
      <c r="G751" s="754"/>
      <c r="H751" s="754"/>
      <c r="I751" s="754"/>
      <c r="J751" s="754" t="s">
        <v>812</v>
      </c>
      <c r="K751" s="754" t="s">
        <v>812</v>
      </c>
      <c r="L751" s="754" t="s">
        <v>812</v>
      </c>
      <c r="M751" s="754" t="s">
        <v>312</v>
      </c>
      <c r="N751" s="754">
        <v>20.772550580000001</v>
      </c>
      <c r="O751" s="754">
        <v>92.638290409999996</v>
      </c>
      <c r="P751" s="754" t="s">
        <v>813</v>
      </c>
      <c r="Q751" s="754" t="s">
        <v>794</v>
      </c>
      <c r="R751" s="763"/>
      <c r="S751" s="764"/>
      <c r="T751" s="783"/>
      <c r="U751" s="765"/>
      <c r="V751" s="754" t="s">
        <v>606</v>
      </c>
      <c r="W751" s="754"/>
    </row>
    <row r="752" spans="1:23" s="75" customFormat="1" ht="14.25" customHeight="1">
      <c r="A752" s="754" t="s">
        <v>3005</v>
      </c>
      <c r="B752" s="781" t="s">
        <v>337</v>
      </c>
      <c r="C752" s="780" t="s">
        <v>368</v>
      </c>
      <c r="D752" s="637" t="s">
        <v>1693</v>
      </c>
      <c r="E752" s="754"/>
      <c r="F752" s="754"/>
      <c r="G752" s="754"/>
      <c r="H752" s="754"/>
      <c r="I752" s="754"/>
      <c r="J752" s="754" t="s">
        <v>812</v>
      </c>
      <c r="K752" s="754" t="s">
        <v>812</v>
      </c>
      <c r="L752" s="754" t="s">
        <v>812</v>
      </c>
      <c r="M752" s="754" t="s">
        <v>1163</v>
      </c>
      <c r="N752" s="754"/>
      <c r="O752" s="754"/>
      <c r="P752" s="754" t="s">
        <v>813</v>
      </c>
      <c r="Q752" s="754" t="s">
        <v>794</v>
      </c>
      <c r="R752" s="763"/>
      <c r="S752" s="764"/>
      <c r="T752" s="783"/>
      <c r="U752" s="765"/>
      <c r="V752" s="754" t="s">
        <v>368</v>
      </c>
      <c r="W752" s="754"/>
    </row>
    <row r="753" spans="1:26" ht="14.25" customHeight="1">
      <c r="A753" s="754" t="s">
        <v>3005</v>
      </c>
      <c r="B753" s="781" t="s">
        <v>337</v>
      </c>
      <c r="C753" s="780" t="s">
        <v>2833</v>
      </c>
      <c r="D753" s="637"/>
      <c r="E753" s="754"/>
      <c r="F753" s="754"/>
      <c r="G753" s="754"/>
      <c r="H753" s="754"/>
      <c r="I753" s="754"/>
      <c r="J753" s="754" t="s">
        <v>3017</v>
      </c>
      <c r="K753" s="777" t="s">
        <v>2935</v>
      </c>
      <c r="L753" s="777" t="s">
        <v>2935</v>
      </c>
      <c r="M753" s="754"/>
      <c r="N753" s="754"/>
      <c r="O753" s="754"/>
      <c r="P753" s="754"/>
      <c r="Q753" s="754"/>
      <c r="R753" s="763"/>
      <c r="S753" s="764"/>
      <c r="T753" s="783"/>
      <c r="U753" s="765"/>
      <c r="V753" s="754"/>
      <c r="W753" s="754"/>
      <c r="X753" s="17"/>
      <c r="Z753" s="17"/>
    </row>
    <row r="754" spans="1:26" ht="14.25" customHeight="1">
      <c r="A754" s="754" t="s">
        <v>3005</v>
      </c>
      <c r="B754" s="760" t="s">
        <v>337</v>
      </c>
      <c r="C754" s="786" t="s">
        <v>2800</v>
      </c>
      <c r="D754" s="637"/>
      <c r="E754" s="754">
        <v>198370</v>
      </c>
      <c r="F754" s="754" t="s">
        <v>2941</v>
      </c>
      <c r="G754" s="754"/>
      <c r="H754" s="754"/>
      <c r="I754" s="754"/>
      <c r="J754" s="754" t="s">
        <v>812</v>
      </c>
      <c r="K754" s="777" t="s">
        <v>812</v>
      </c>
      <c r="L754" s="777" t="s">
        <v>812</v>
      </c>
      <c r="M754" s="754" t="s">
        <v>809</v>
      </c>
      <c r="N754" s="754"/>
      <c r="O754" s="754"/>
      <c r="P754" s="754"/>
      <c r="Q754" s="754" t="s">
        <v>2940</v>
      </c>
      <c r="R754" s="763"/>
      <c r="S754" s="764"/>
      <c r="T754" s="783"/>
      <c r="U754" s="765"/>
      <c r="V754" s="754"/>
      <c r="W754" s="754"/>
      <c r="X754" s="17"/>
      <c r="Z754" s="17"/>
    </row>
    <row r="755" spans="1:26" ht="14.25" customHeight="1">
      <c r="A755" s="754" t="s">
        <v>3005</v>
      </c>
      <c r="B755" s="777" t="s">
        <v>337</v>
      </c>
      <c r="C755" s="786" t="s">
        <v>588</v>
      </c>
      <c r="D755" s="637" t="s">
        <v>1693</v>
      </c>
      <c r="E755" s="754">
        <v>198430</v>
      </c>
      <c r="F755" s="754"/>
      <c r="G755" s="754"/>
      <c r="H755" s="754"/>
      <c r="I755" s="754"/>
      <c r="J755" s="754" t="s">
        <v>812</v>
      </c>
      <c r="K755" s="777" t="s">
        <v>812</v>
      </c>
      <c r="L755" s="777" t="s">
        <v>812</v>
      </c>
      <c r="M755" s="754" t="s">
        <v>809</v>
      </c>
      <c r="N755" s="754">
        <v>20.724700930000001</v>
      </c>
      <c r="O755" s="754">
        <v>92.628196720000005</v>
      </c>
      <c r="P755" s="754" t="s">
        <v>813</v>
      </c>
      <c r="Q755" s="754" t="s">
        <v>794</v>
      </c>
      <c r="R755" s="763"/>
      <c r="S755" s="764"/>
      <c r="T755" s="783"/>
      <c r="U755" s="765"/>
      <c r="V755" s="754" t="s">
        <v>588</v>
      </c>
      <c r="W755" s="754"/>
      <c r="X755" s="17"/>
      <c r="Z755" s="17"/>
    </row>
    <row r="756" spans="1:26" ht="14.25" customHeight="1">
      <c r="A756" s="754" t="s">
        <v>3005</v>
      </c>
      <c r="B756" s="760" t="s">
        <v>337</v>
      </c>
      <c r="C756" s="786" t="s">
        <v>657</v>
      </c>
      <c r="D756" s="637" t="s">
        <v>1693</v>
      </c>
      <c r="E756" s="754">
        <v>198291</v>
      </c>
      <c r="F756" s="754"/>
      <c r="G756" s="754"/>
      <c r="H756" s="754"/>
      <c r="I756" s="754"/>
      <c r="J756" s="754" t="s">
        <v>812</v>
      </c>
      <c r="K756" s="777" t="s">
        <v>812</v>
      </c>
      <c r="L756" s="777" t="s">
        <v>812</v>
      </c>
      <c r="M756" s="754" t="s">
        <v>809</v>
      </c>
      <c r="N756" s="754">
        <v>20.871829989999998</v>
      </c>
      <c r="O756" s="754">
        <v>92.566909789999997</v>
      </c>
      <c r="P756" s="754" t="s">
        <v>813</v>
      </c>
      <c r="Q756" s="754" t="s">
        <v>794</v>
      </c>
      <c r="R756" s="763"/>
      <c r="S756" s="764"/>
      <c r="T756" s="783"/>
      <c r="U756" s="765"/>
      <c r="V756" s="754" t="s">
        <v>657</v>
      </c>
      <c r="W756" s="754"/>
      <c r="X756" s="17"/>
      <c r="Z756" s="17"/>
    </row>
    <row r="757" spans="1:26" ht="14.25" customHeight="1">
      <c r="A757" s="764" t="s">
        <v>3005</v>
      </c>
      <c r="B757" s="767" t="s">
        <v>337</v>
      </c>
      <c r="C757" s="804" t="s">
        <v>956</v>
      </c>
      <c r="D757" s="761"/>
      <c r="E757" s="754"/>
      <c r="F757" s="754"/>
      <c r="G757" s="754"/>
      <c r="H757" s="754"/>
      <c r="I757" s="754"/>
      <c r="J757" s="754" t="s">
        <v>812</v>
      </c>
      <c r="K757" s="781" t="s">
        <v>812</v>
      </c>
      <c r="L757" s="781" t="s">
        <v>812</v>
      </c>
      <c r="M757" s="754"/>
      <c r="N757" s="754"/>
      <c r="O757" s="754"/>
      <c r="P757" s="754"/>
      <c r="Q757" s="754"/>
      <c r="R757" s="771"/>
      <c r="S757" s="764"/>
      <c r="T757" s="783"/>
      <c r="U757" s="771"/>
      <c r="V757" s="754"/>
      <c r="W757" s="763"/>
      <c r="X757" s="17"/>
      <c r="Z757" s="17"/>
    </row>
    <row r="758" spans="1:26" ht="14.25" customHeight="1">
      <c r="A758" s="764" t="s">
        <v>3005</v>
      </c>
      <c r="B758" s="792" t="s">
        <v>337</v>
      </c>
      <c r="C758" s="804" t="s">
        <v>3236</v>
      </c>
      <c r="D758" s="761"/>
      <c r="E758" s="754"/>
      <c r="F758" s="754"/>
      <c r="G758" s="754"/>
      <c r="H758" s="754"/>
      <c r="I758" s="754"/>
      <c r="J758" s="754" t="s">
        <v>812</v>
      </c>
      <c r="K758" s="760" t="s">
        <v>812</v>
      </c>
      <c r="L758" s="760" t="s">
        <v>812</v>
      </c>
      <c r="M758" s="754"/>
      <c r="N758" s="754"/>
      <c r="O758" s="754"/>
      <c r="P758" s="754"/>
      <c r="Q758" s="754"/>
      <c r="R758" s="771"/>
      <c r="S758" s="764"/>
      <c r="T758" s="783"/>
      <c r="U758" s="771"/>
      <c r="V758" s="754"/>
      <c r="W758" s="763"/>
      <c r="X758" s="17"/>
      <c r="Z758" s="17"/>
    </row>
    <row r="759" spans="1:26" ht="14.25" customHeight="1">
      <c r="A759" s="754" t="s">
        <v>3005</v>
      </c>
      <c r="B759" s="781" t="s">
        <v>337</v>
      </c>
      <c r="C759" s="780" t="s">
        <v>687</v>
      </c>
      <c r="D759" s="637" t="s">
        <v>1693</v>
      </c>
      <c r="E759" s="754">
        <v>198163</v>
      </c>
      <c r="F759" s="754"/>
      <c r="G759" s="754"/>
      <c r="H759" s="754"/>
      <c r="I759" s="754"/>
      <c r="J759" s="754" t="s">
        <v>818</v>
      </c>
      <c r="K759" s="760" t="s">
        <v>812</v>
      </c>
      <c r="L759" s="760" t="s">
        <v>818</v>
      </c>
      <c r="M759" s="754" t="s">
        <v>967</v>
      </c>
      <c r="N759" s="754">
        <v>20.99898911</v>
      </c>
      <c r="O759" s="754">
        <v>92.46325684</v>
      </c>
      <c r="P759" s="754" t="s">
        <v>937</v>
      </c>
      <c r="Q759" s="754" t="s">
        <v>816</v>
      </c>
      <c r="R759" s="763"/>
      <c r="S759" s="764"/>
      <c r="T759" s="783">
        <v>42926</v>
      </c>
      <c r="U759" s="765" t="s">
        <v>947</v>
      </c>
      <c r="V759" s="754"/>
      <c r="W759" s="754"/>
      <c r="X759" s="17"/>
      <c r="Z759" s="17"/>
    </row>
    <row r="760" spans="1:26" ht="14.25" customHeight="1">
      <c r="A760" s="764" t="s">
        <v>3005</v>
      </c>
      <c r="B760" s="767" t="s">
        <v>337</v>
      </c>
      <c r="C760" s="786" t="s">
        <v>1949</v>
      </c>
      <c r="D760" s="761"/>
      <c r="E760" s="754">
        <v>198348</v>
      </c>
      <c r="F760" s="754" t="s">
        <v>2139</v>
      </c>
      <c r="G760" s="754"/>
      <c r="H760" s="754"/>
      <c r="I760" s="754"/>
      <c r="J760" s="754" t="s">
        <v>893</v>
      </c>
      <c r="K760" s="760" t="s">
        <v>893</v>
      </c>
      <c r="L760" s="760" t="s">
        <v>893</v>
      </c>
      <c r="M760" s="754" t="s">
        <v>312</v>
      </c>
      <c r="N760" s="754">
        <v>20.847490310668899</v>
      </c>
      <c r="O760" s="754">
        <v>92.556472778320298</v>
      </c>
      <c r="P760" s="754" t="s">
        <v>813</v>
      </c>
      <c r="Q760" s="754" t="s">
        <v>2940</v>
      </c>
      <c r="R760" s="771"/>
      <c r="S760" s="764"/>
      <c r="T760" s="783">
        <v>43580</v>
      </c>
      <c r="U760" s="816" t="s">
        <v>3058</v>
      </c>
      <c r="V760" s="765"/>
      <c r="W760" s="763"/>
      <c r="X760" s="17"/>
      <c r="Z760" s="17"/>
    </row>
    <row r="761" spans="1:26" ht="14.25" customHeight="1">
      <c r="A761" s="764" t="s">
        <v>3005</v>
      </c>
      <c r="B761" s="767" t="s">
        <v>337</v>
      </c>
      <c r="C761" s="793" t="s">
        <v>3062</v>
      </c>
      <c r="D761" s="761"/>
      <c r="E761" s="754">
        <v>198326</v>
      </c>
      <c r="F761" s="754" t="s">
        <v>3063</v>
      </c>
      <c r="G761" s="754"/>
      <c r="H761" s="754"/>
      <c r="I761" s="754"/>
      <c r="J761" s="754" t="s">
        <v>812</v>
      </c>
      <c r="K761" s="760" t="s">
        <v>812</v>
      </c>
      <c r="L761" s="760" t="s">
        <v>812</v>
      </c>
      <c r="M761" s="754"/>
      <c r="N761" s="754">
        <v>20.8608493804932</v>
      </c>
      <c r="O761" s="754">
        <v>92.539390563964801</v>
      </c>
      <c r="P761" s="754"/>
      <c r="Q761" s="754" t="s">
        <v>2940</v>
      </c>
      <c r="R761" s="771"/>
      <c r="S761" s="764"/>
      <c r="T761" s="783">
        <v>43580</v>
      </c>
      <c r="U761" s="816" t="s">
        <v>3058</v>
      </c>
      <c r="V761" s="765"/>
      <c r="W761" s="763"/>
      <c r="X761" s="17"/>
      <c r="Z761" s="17"/>
    </row>
    <row r="762" spans="1:26" ht="14.25" customHeight="1">
      <c r="A762" s="767" t="s">
        <v>3005</v>
      </c>
      <c r="B762" s="792" t="s">
        <v>337</v>
      </c>
      <c r="C762" s="793" t="s">
        <v>3136</v>
      </c>
      <c r="D762" s="761"/>
      <c r="E762" s="754">
        <v>198326</v>
      </c>
      <c r="F762" s="754"/>
      <c r="G762" s="754"/>
      <c r="H762" s="754"/>
      <c r="I762" s="754"/>
      <c r="J762" s="754" t="s">
        <v>3017</v>
      </c>
      <c r="K762" s="760" t="s">
        <v>2935</v>
      </c>
      <c r="L762" s="760" t="s">
        <v>2935</v>
      </c>
      <c r="M762" s="754"/>
      <c r="N762" s="754">
        <v>20.8608493804932</v>
      </c>
      <c r="O762" s="777">
        <v>92.539390563964801</v>
      </c>
      <c r="P762" s="754"/>
      <c r="Q762" s="754"/>
      <c r="R762" s="771"/>
      <c r="S762" s="764"/>
      <c r="T762" s="783">
        <v>43591</v>
      </c>
      <c r="U762" s="771"/>
      <c r="V762" s="754"/>
      <c r="W762" s="763"/>
      <c r="X762" s="17"/>
      <c r="Z762" s="17"/>
    </row>
    <row r="763" spans="1:26" ht="14.25" customHeight="1">
      <c r="A763" s="764" t="s">
        <v>3005</v>
      </c>
      <c r="B763" s="792" t="s">
        <v>337</v>
      </c>
      <c r="C763" s="793" t="s">
        <v>3242</v>
      </c>
      <c r="D763" s="761"/>
      <c r="E763" s="754">
        <v>198424</v>
      </c>
      <c r="F763" s="766"/>
      <c r="G763" s="754"/>
      <c r="H763" s="754"/>
      <c r="I763" s="754"/>
      <c r="J763" s="754" t="s">
        <v>812</v>
      </c>
      <c r="K763" s="754" t="s">
        <v>812</v>
      </c>
      <c r="L763" s="754" t="s">
        <v>812</v>
      </c>
      <c r="M763" s="754"/>
      <c r="N763" s="754">
        <v>20.735639572143601</v>
      </c>
      <c r="O763" s="760">
        <v>92.638076782226605</v>
      </c>
      <c r="P763" s="754"/>
      <c r="Q763" s="754"/>
      <c r="R763" s="771"/>
      <c r="S763" s="764"/>
      <c r="T763" s="783"/>
      <c r="U763" s="771"/>
      <c r="V763" s="754"/>
      <c r="W763" s="763"/>
      <c r="X763" s="17"/>
      <c r="Z763" s="17"/>
    </row>
    <row r="764" spans="1:26" ht="14.25" customHeight="1">
      <c r="A764" s="754" t="s">
        <v>3005</v>
      </c>
      <c r="B764" s="781" t="s">
        <v>337</v>
      </c>
      <c r="C764" s="780" t="s">
        <v>685</v>
      </c>
      <c r="D764" s="637" t="s">
        <v>1693</v>
      </c>
      <c r="E764" s="754">
        <v>198184</v>
      </c>
      <c r="F764" s="766"/>
      <c r="G764" s="754"/>
      <c r="H764" s="754"/>
      <c r="I764" s="754"/>
      <c r="J764" s="754" t="s">
        <v>812</v>
      </c>
      <c r="K764" s="754" t="s">
        <v>812</v>
      </c>
      <c r="L764" s="754" t="s">
        <v>812</v>
      </c>
      <c r="M764" s="754" t="s">
        <v>809</v>
      </c>
      <c r="N764" s="754">
        <v>20.99110031</v>
      </c>
      <c r="O764" s="754">
        <v>92.493858340000003</v>
      </c>
      <c r="P764" s="754" t="s">
        <v>813</v>
      </c>
      <c r="Q764" s="754" t="s">
        <v>794</v>
      </c>
      <c r="R764" s="763"/>
      <c r="S764" s="764"/>
      <c r="T764" s="783"/>
      <c r="U764" s="765"/>
      <c r="V764" s="754" t="s">
        <v>685</v>
      </c>
      <c r="W764" s="754"/>
      <c r="X764" s="17"/>
      <c r="Z764" s="17"/>
    </row>
    <row r="765" spans="1:26" ht="14.25" customHeight="1">
      <c r="A765" s="754" t="s">
        <v>3005</v>
      </c>
      <c r="B765" s="781" t="s">
        <v>337</v>
      </c>
      <c r="C765" s="780" t="s">
        <v>593</v>
      </c>
      <c r="D765" s="637" t="s">
        <v>1693</v>
      </c>
      <c r="E765" s="754">
        <v>198425</v>
      </c>
      <c r="F765" s="760"/>
      <c r="G765" s="754"/>
      <c r="H765" s="754"/>
      <c r="I765" s="754"/>
      <c r="J765" s="754" t="s">
        <v>812</v>
      </c>
      <c r="K765" s="754" t="s">
        <v>812</v>
      </c>
      <c r="L765" s="754" t="s">
        <v>812</v>
      </c>
      <c r="M765" s="754" t="s">
        <v>809</v>
      </c>
      <c r="N765" s="754">
        <v>20.737430570000001</v>
      </c>
      <c r="O765" s="754">
        <v>92.634773249999995</v>
      </c>
      <c r="P765" s="754" t="s">
        <v>813</v>
      </c>
      <c r="Q765" s="754" t="s">
        <v>794</v>
      </c>
      <c r="R765" s="763"/>
      <c r="S765" s="764"/>
      <c r="T765" s="783"/>
      <c r="U765" s="765"/>
      <c r="V765" s="754" t="s">
        <v>593</v>
      </c>
      <c r="W765" s="754"/>
      <c r="X765" s="17"/>
      <c r="Z765" s="17"/>
    </row>
    <row r="766" spans="1:26" ht="14.25" customHeight="1">
      <c r="A766" s="754" t="s">
        <v>3005</v>
      </c>
      <c r="B766" s="781" t="s">
        <v>337</v>
      </c>
      <c r="C766" s="780" t="s">
        <v>537</v>
      </c>
      <c r="D766" s="637" t="s">
        <v>1693</v>
      </c>
      <c r="E766" s="754">
        <v>198450</v>
      </c>
      <c r="F766" s="754"/>
      <c r="G766" s="754"/>
      <c r="H766" s="754"/>
      <c r="I766" s="754"/>
      <c r="J766" s="754" t="s">
        <v>812</v>
      </c>
      <c r="K766" s="754" t="s">
        <v>812</v>
      </c>
      <c r="L766" s="754" t="s">
        <v>812</v>
      </c>
      <c r="M766" s="754" t="s">
        <v>809</v>
      </c>
      <c r="N766" s="754">
        <v>20.654249190000002</v>
      </c>
      <c r="O766" s="754">
        <v>92.619102479999995</v>
      </c>
      <c r="P766" s="754" t="s">
        <v>813</v>
      </c>
      <c r="Q766" s="754" t="s">
        <v>794</v>
      </c>
      <c r="R766" s="763"/>
      <c r="S766" s="764"/>
      <c r="T766" s="783"/>
      <c r="U766" s="765"/>
      <c r="V766" s="754" t="s">
        <v>935</v>
      </c>
      <c r="W766" s="754"/>
      <c r="X766" s="17"/>
      <c r="Z766" s="17"/>
    </row>
    <row r="767" spans="1:26" ht="14.25" customHeight="1">
      <c r="A767" s="754" t="s">
        <v>3005</v>
      </c>
      <c r="B767" s="781" t="s">
        <v>323</v>
      </c>
      <c r="C767" s="781" t="s">
        <v>2110</v>
      </c>
      <c r="D767" s="637"/>
      <c r="E767" s="754">
        <v>197857</v>
      </c>
      <c r="F767" s="754"/>
      <c r="G767" s="754"/>
      <c r="H767" s="754"/>
      <c r="I767" s="754"/>
      <c r="J767" s="754" t="s">
        <v>812</v>
      </c>
      <c r="K767" s="754" t="s">
        <v>812</v>
      </c>
      <c r="L767" s="754" t="s">
        <v>812</v>
      </c>
      <c r="M767" s="754" t="s">
        <v>697</v>
      </c>
      <c r="N767" s="754">
        <v>21.08677673</v>
      </c>
      <c r="O767" s="754">
        <v>92.337112430000005</v>
      </c>
      <c r="P767" s="754"/>
      <c r="Q767" s="754"/>
      <c r="R767" s="763"/>
      <c r="S767" s="764"/>
      <c r="T767" s="783">
        <v>43300</v>
      </c>
      <c r="U767" s="765"/>
      <c r="V767" s="754"/>
      <c r="W767" s="754"/>
      <c r="X767" s="17"/>
      <c r="Z767" s="17"/>
    </row>
    <row r="768" spans="1:26" ht="14.25" customHeight="1">
      <c r="A768" s="754" t="s">
        <v>3005</v>
      </c>
      <c r="B768" s="792" t="s">
        <v>323</v>
      </c>
      <c r="C768" s="793" t="s">
        <v>3086</v>
      </c>
      <c r="D768" s="761"/>
      <c r="E768" s="754">
        <v>197857</v>
      </c>
      <c r="F768" s="754"/>
      <c r="G768" s="754"/>
      <c r="H768" s="754"/>
      <c r="I768" s="754"/>
      <c r="J768" s="754" t="s">
        <v>812</v>
      </c>
      <c r="K768" s="754" t="s">
        <v>812</v>
      </c>
      <c r="L768" s="754" t="s">
        <v>812</v>
      </c>
      <c r="M768" s="754" t="s">
        <v>2147</v>
      </c>
      <c r="N768" s="754">
        <v>21.08677673</v>
      </c>
      <c r="O768" s="760">
        <v>92.337112430000005</v>
      </c>
      <c r="P768" s="754"/>
      <c r="Q768" s="754"/>
      <c r="R768" s="771"/>
      <c r="S768" s="764"/>
      <c r="T768" s="783">
        <v>43300</v>
      </c>
      <c r="U768" s="765"/>
      <c r="V768" s="754"/>
      <c r="W768" s="754"/>
      <c r="X768" s="17"/>
      <c r="Z768" s="17"/>
    </row>
    <row r="769" spans="1:26" ht="14.25" customHeight="1">
      <c r="A769" s="754" t="s">
        <v>3005</v>
      </c>
      <c r="B769" s="781" t="s">
        <v>323</v>
      </c>
      <c r="C769" s="780" t="s">
        <v>3085</v>
      </c>
      <c r="D769" s="637"/>
      <c r="E769" s="754">
        <v>197857</v>
      </c>
      <c r="F769" s="760"/>
      <c r="G769" s="754"/>
      <c r="H769" s="754"/>
      <c r="I769" s="754"/>
      <c r="J769" s="754" t="s">
        <v>812</v>
      </c>
      <c r="K769" s="754" t="s">
        <v>812</v>
      </c>
      <c r="L769" s="754" t="s">
        <v>812</v>
      </c>
      <c r="M769" s="754" t="s">
        <v>312</v>
      </c>
      <c r="N769" s="754">
        <v>21.08677673</v>
      </c>
      <c r="O769" s="754">
        <v>92.337112430000005</v>
      </c>
      <c r="P769" s="754"/>
      <c r="Q769" s="754"/>
      <c r="R769" s="763"/>
      <c r="S769" s="764"/>
      <c r="T769" s="783">
        <v>43300</v>
      </c>
      <c r="U769" s="765"/>
      <c r="V769" s="754"/>
      <c r="W769" s="754"/>
      <c r="X769" s="17"/>
      <c r="Z769" s="17"/>
    </row>
    <row r="770" spans="1:26" ht="14.25" customHeight="1">
      <c r="A770" s="754" t="s">
        <v>3005</v>
      </c>
      <c r="B770" s="781" t="s">
        <v>323</v>
      </c>
      <c r="C770" s="780" t="s">
        <v>2140</v>
      </c>
      <c r="D770" s="637"/>
      <c r="E770" s="760">
        <v>197920</v>
      </c>
      <c r="F770" s="760"/>
      <c r="G770" s="754"/>
      <c r="H770" s="754"/>
      <c r="I770" s="754"/>
      <c r="J770" s="754" t="s">
        <v>812</v>
      </c>
      <c r="K770" s="754" t="s">
        <v>812</v>
      </c>
      <c r="L770" s="754" t="s">
        <v>812</v>
      </c>
      <c r="M770" s="754" t="s">
        <v>809</v>
      </c>
      <c r="N770" s="754">
        <v>20.92394066</v>
      </c>
      <c r="O770" s="754">
        <v>92.322669980000001</v>
      </c>
      <c r="P770" s="754"/>
      <c r="Q770" s="754"/>
      <c r="R770" s="763"/>
      <c r="S770" s="764"/>
      <c r="T770" s="783">
        <v>43300</v>
      </c>
      <c r="U770" s="765"/>
      <c r="V770" s="754"/>
      <c r="W770" s="754"/>
      <c r="X770" s="17"/>
      <c r="Z770" s="17"/>
    </row>
    <row r="771" spans="1:26" ht="14.25" customHeight="1">
      <c r="A771" s="754" t="s">
        <v>3005</v>
      </c>
      <c r="B771" s="760" t="s">
        <v>323</v>
      </c>
      <c r="C771" s="780" t="s">
        <v>2111</v>
      </c>
      <c r="D771" s="637"/>
      <c r="E771" s="754">
        <v>197968</v>
      </c>
      <c r="F771" s="754"/>
      <c r="G771" s="754"/>
      <c r="H771" s="754"/>
      <c r="I771" s="754"/>
      <c r="J771" s="754" t="s">
        <v>812</v>
      </c>
      <c r="K771" s="754" t="s">
        <v>812</v>
      </c>
      <c r="L771" s="754" t="s">
        <v>812</v>
      </c>
      <c r="M771" s="754" t="s">
        <v>809</v>
      </c>
      <c r="N771" s="754">
        <v>20.878229139999998</v>
      </c>
      <c r="O771" s="754">
        <v>92.347267149999993</v>
      </c>
      <c r="P771" s="754"/>
      <c r="Q771" s="754"/>
      <c r="R771" s="763"/>
      <c r="S771" s="764"/>
      <c r="T771" s="783">
        <v>43300</v>
      </c>
      <c r="U771" s="765"/>
      <c r="V771" s="754"/>
      <c r="W771" s="754"/>
      <c r="X771" s="17"/>
      <c r="Z771" s="17"/>
    </row>
    <row r="772" spans="1:26" ht="14.25" customHeight="1">
      <c r="A772" s="764" t="s">
        <v>3005</v>
      </c>
      <c r="B772" s="792" t="s">
        <v>323</v>
      </c>
      <c r="C772" s="793" t="s">
        <v>3070</v>
      </c>
      <c r="D772" s="761"/>
      <c r="E772" s="754"/>
      <c r="F772" s="754"/>
      <c r="G772" s="754"/>
      <c r="H772" s="754"/>
      <c r="I772" s="754"/>
      <c r="J772" s="754" t="s">
        <v>3017</v>
      </c>
      <c r="K772" s="754" t="s">
        <v>2935</v>
      </c>
      <c r="L772" s="754" t="s">
        <v>2935</v>
      </c>
      <c r="M772" s="754"/>
      <c r="N772" s="754"/>
      <c r="O772" s="754"/>
      <c r="P772" s="754"/>
      <c r="Q772" s="754" t="s">
        <v>2940</v>
      </c>
      <c r="R772" s="771"/>
      <c r="S772" s="764"/>
      <c r="T772" s="783">
        <v>43580</v>
      </c>
      <c r="U772" s="816" t="s">
        <v>3058</v>
      </c>
      <c r="V772" s="765"/>
      <c r="W772" s="763"/>
      <c r="X772" s="17"/>
      <c r="Z772" s="17"/>
    </row>
    <row r="773" spans="1:26" ht="14.25" customHeight="1">
      <c r="A773" s="754" t="s">
        <v>3005</v>
      </c>
      <c r="B773" s="781" t="s">
        <v>323</v>
      </c>
      <c r="C773" s="780" t="s">
        <v>626</v>
      </c>
      <c r="D773" s="637" t="s">
        <v>1693</v>
      </c>
      <c r="E773" s="754">
        <v>197997</v>
      </c>
      <c r="F773" s="754"/>
      <c r="G773" s="754"/>
      <c r="H773" s="754"/>
      <c r="I773" s="754"/>
      <c r="J773" s="754" t="s">
        <v>812</v>
      </c>
      <c r="K773" s="754" t="s">
        <v>812</v>
      </c>
      <c r="L773" s="754" t="s">
        <v>812</v>
      </c>
      <c r="M773" s="754" t="s">
        <v>809</v>
      </c>
      <c r="N773" s="754">
        <v>20.803909300000001</v>
      </c>
      <c r="O773" s="754">
        <v>92.376831050000007</v>
      </c>
      <c r="P773" s="754" t="s">
        <v>813</v>
      </c>
      <c r="Q773" s="754" t="s">
        <v>794</v>
      </c>
      <c r="R773" s="763"/>
      <c r="S773" s="764"/>
      <c r="T773" s="783"/>
      <c r="U773" s="765"/>
      <c r="V773" s="754" t="s">
        <v>950</v>
      </c>
      <c r="W773" s="754"/>
      <c r="X773" s="17"/>
      <c r="Z773" s="17"/>
    </row>
    <row r="774" spans="1:26" ht="14.25" customHeight="1">
      <c r="A774" s="754" t="s">
        <v>3005</v>
      </c>
      <c r="B774" s="792" t="s">
        <v>323</v>
      </c>
      <c r="C774" s="793" t="s">
        <v>706</v>
      </c>
      <c r="D774" s="761" t="s">
        <v>1693</v>
      </c>
      <c r="E774" s="754">
        <v>197820</v>
      </c>
      <c r="F774" s="754"/>
      <c r="G774" s="754"/>
      <c r="H774" s="754"/>
      <c r="I774" s="754"/>
      <c r="J774" s="754" t="s">
        <v>812</v>
      </c>
      <c r="K774" s="754" t="s">
        <v>812</v>
      </c>
      <c r="L774" s="754" t="s">
        <v>812</v>
      </c>
      <c r="M774" s="754" t="s">
        <v>809</v>
      </c>
      <c r="N774" s="754">
        <v>21.26553917</v>
      </c>
      <c r="O774" s="754">
        <v>92.27140808</v>
      </c>
      <c r="P774" s="754" t="s">
        <v>813</v>
      </c>
      <c r="Q774" s="754" t="s">
        <v>794</v>
      </c>
      <c r="R774" s="771"/>
      <c r="S774" s="764"/>
      <c r="T774" s="783"/>
      <c r="U774" s="765"/>
      <c r="V774" s="754" t="s">
        <v>974</v>
      </c>
      <c r="W774" s="754"/>
      <c r="X774" s="17"/>
      <c r="Z774" s="17"/>
    </row>
    <row r="775" spans="1:26" ht="14.25" customHeight="1">
      <c r="A775" s="764" t="s">
        <v>3005</v>
      </c>
      <c r="B775" s="792" t="s">
        <v>323</v>
      </c>
      <c r="C775" s="793" t="s">
        <v>975</v>
      </c>
      <c r="D775" s="761" t="s">
        <v>1693</v>
      </c>
      <c r="E775" s="754">
        <v>197817</v>
      </c>
      <c r="F775" s="760" t="s">
        <v>3068</v>
      </c>
      <c r="G775" s="754"/>
      <c r="H775" s="754"/>
      <c r="I775" s="754"/>
      <c r="J775" s="754" t="s">
        <v>3017</v>
      </c>
      <c r="K775" s="754" t="s">
        <v>2935</v>
      </c>
      <c r="L775" s="754" t="s">
        <v>2935</v>
      </c>
      <c r="M775" s="754" t="s">
        <v>809</v>
      </c>
      <c r="N775" s="754">
        <v>21.2688694</v>
      </c>
      <c r="O775" s="754">
        <v>92.274917599999995</v>
      </c>
      <c r="P775" s="754" t="s">
        <v>813</v>
      </c>
      <c r="Q775" s="754" t="s">
        <v>2940</v>
      </c>
      <c r="R775" s="772"/>
      <c r="S775" s="768"/>
      <c r="T775" s="783">
        <v>43580</v>
      </c>
      <c r="U775" s="816" t="s">
        <v>3058</v>
      </c>
      <c r="V775" s="754" t="s">
        <v>974</v>
      </c>
      <c r="W775" s="763"/>
      <c r="X775" s="17"/>
      <c r="Z775" s="17"/>
    </row>
    <row r="776" spans="1:26" ht="14.25" customHeight="1">
      <c r="A776" s="754" t="s">
        <v>3005</v>
      </c>
      <c r="B776" s="792" t="s">
        <v>323</v>
      </c>
      <c r="C776" s="793" t="s">
        <v>324</v>
      </c>
      <c r="D776" s="761" t="s">
        <v>1693</v>
      </c>
      <c r="E776" s="754"/>
      <c r="F776" s="754"/>
      <c r="G776" s="754"/>
      <c r="H776" s="754"/>
      <c r="I776" s="754"/>
      <c r="J776" s="754" t="s">
        <v>812</v>
      </c>
      <c r="K776" s="754" t="s">
        <v>812</v>
      </c>
      <c r="L776" s="754" t="s">
        <v>812</v>
      </c>
      <c r="M776" s="754" t="s">
        <v>809</v>
      </c>
      <c r="N776" s="754"/>
      <c r="O776" s="754"/>
      <c r="P776" s="754" t="s">
        <v>813</v>
      </c>
      <c r="Q776" s="754" t="s">
        <v>794</v>
      </c>
      <c r="R776" s="772"/>
      <c r="S776" s="768"/>
      <c r="T776" s="783"/>
      <c r="U776" s="765"/>
      <c r="V776" s="754" t="s">
        <v>324</v>
      </c>
      <c r="W776" s="754"/>
      <c r="X776" s="17"/>
      <c r="Z776" s="17"/>
    </row>
    <row r="777" spans="1:26" ht="14.25" customHeight="1">
      <c r="A777" s="754" t="s">
        <v>3005</v>
      </c>
      <c r="B777" s="781" t="s">
        <v>323</v>
      </c>
      <c r="C777" s="780" t="s">
        <v>2816</v>
      </c>
      <c r="D777" s="637"/>
      <c r="E777" s="754">
        <v>197968</v>
      </c>
      <c r="F777" s="760" t="s">
        <v>2818</v>
      </c>
      <c r="G777" s="754"/>
      <c r="H777" s="754"/>
      <c r="I777" s="754"/>
      <c r="J777" s="754" t="s">
        <v>812</v>
      </c>
      <c r="K777" s="754" t="s">
        <v>812</v>
      </c>
      <c r="L777" s="754" t="s">
        <v>812</v>
      </c>
      <c r="M777" s="754" t="s">
        <v>809</v>
      </c>
      <c r="N777" s="754"/>
      <c r="O777" s="754"/>
      <c r="P777" s="754"/>
      <c r="Q777" s="754"/>
      <c r="R777" s="767"/>
      <c r="S777" s="768"/>
      <c r="T777" s="783"/>
      <c r="U777" s="765"/>
      <c r="V777" s="754"/>
      <c r="W777" s="754"/>
      <c r="X777" s="17"/>
      <c r="Z777" s="17"/>
    </row>
    <row r="778" spans="1:26" ht="14.25" customHeight="1">
      <c r="A778" s="754" t="s">
        <v>3005</v>
      </c>
      <c r="B778" s="792" t="s">
        <v>323</v>
      </c>
      <c r="C778" s="780" t="s">
        <v>623</v>
      </c>
      <c r="D778" s="761" t="s">
        <v>1693</v>
      </c>
      <c r="E778" s="754">
        <v>197995</v>
      </c>
      <c r="F778" s="754"/>
      <c r="G778" s="754"/>
      <c r="H778" s="754"/>
      <c r="I778" s="754"/>
      <c r="J778" s="754" t="s">
        <v>812</v>
      </c>
      <c r="K778" s="754" t="s">
        <v>812</v>
      </c>
      <c r="L778" s="754" t="s">
        <v>812</v>
      </c>
      <c r="M778" s="754" t="s">
        <v>809</v>
      </c>
      <c r="N778" s="754">
        <v>20.802850719999999</v>
      </c>
      <c r="O778" s="754">
        <v>92.392669679999997</v>
      </c>
      <c r="P778" s="754" t="s">
        <v>813</v>
      </c>
      <c r="Q778" s="760" t="s">
        <v>794</v>
      </c>
      <c r="R778" s="772"/>
      <c r="S778" s="768"/>
      <c r="T778" s="784"/>
      <c r="U778" s="765"/>
      <c r="V778" s="754" t="s">
        <v>949</v>
      </c>
      <c r="W778" s="754"/>
      <c r="X778" s="17"/>
      <c r="Z778" s="17"/>
    </row>
    <row r="779" spans="1:26" ht="14.25" customHeight="1">
      <c r="A779" s="754" t="s">
        <v>3005</v>
      </c>
      <c r="B779" s="792" t="s">
        <v>323</v>
      </c>
      <c r="C779" s="793" t="s">
        <v>624</v>
      </c>
      <c r="D779" s="761" t="s">
        <v>1693</v>
      </c>
      <c r="E779" s="754">
        <v>197995</v>
      </c>
      <c r="F779" s="754"/>
      <c r="G779" s="754"/>
      <c r="H779" s="754"/>
      <c r="I779" s="754"/>
      <c r="J779" s="754" t="s">
        <v>812</v>
      </c>
      <c r="K779" s="754" t="s">
        <v>812</v>
      </c>
      <c r="L779" s="754" t="s">
        <v>812</v>
      </c>
      <c r="M779" s="754" t="s">
        <v>809</v>
      </c>
      <c r="N779" s="754">
        <v>20.802850719999999</v>
      </c>
      <c r="O779" s="754">
        <v>92.392669679999997</v>
      </c>
      <c r="P779" s="754" t="s">
        <v>813</v>
      </c>
      <c r="Q779" s="754" t="s">
        <v>794</v>
      </c>
      <c r="R779" s="772"/>
      <c r="S779" s="768"/>
      <c r="T779" s="783"/>
      <c r="U779" s="765"/>
      <c r="V779" s="754" t="s">
        <v>949</v>
      </c>
      <c r="W779" s="754"/>
      <c r="X779" s="17"/>
      <c r="Z779" s="17"/>
    </row>
    <row r="780" spans="1:26" ht="14.25" customHeight="1">
      <c r="A780" s="754" t="s">
        <v>3005</v>
      </c>
      <c r="B780" s="792" t="s">
        <v>323</v>
      </c>
      <c r="C780" s="793" t="s">
        <v>2101</v>
      </c>
      <c r="D780" s="761"/>
      <c r="E780" s="754">
        <v>197939</v>
      </c>
      <c r="F780" s="754"/>
      <c r="G780" s="754"/>
      <c r="H780" s="754"/>
      <c r="I780" s="754"/>
      <c r="J780" s="754" t="s">
        <v>812</v>
      </c>
      <c r="K780" s="754" t="s">
        <v>812</v>
      </c>
      <c r="L780" s="754" t="s">
        <v>812</v>
      </c>
      <c r="M780" s="754" t="s">
        <v>312</v>
      </c>
      <c r="N780" s="754">
        <v>20.832990649999999</v>
      </c>
      <c r="O780" s="754">
        <v>92.353683469999993</v>
      </c>
      <c r="P780" s="754" t="s">
        <v>813</v>
      </c>
      <c r="Q780" s="754"/>
      <c r="R780" s="772"/>
      <c r="S780" s="768"/>
      <c r="T780" s="783">
        <v>43300</v>
      </c>
      <c r="U780" s="765"/>
      <c r="V780" s="754"/>
      <c r="W780" s="754"/>
      <c r="X780" s="17"/>
      <c r="Z780" s="17"/>
    </row>
    <row r="781" spans="1:26" ht="14.25" customHeight="1">
      <c r="A781" s="754" t="s">
        <v>3005</v>
      </c>
      <c r="B781" s="792" t="s">
        <v>323</v>
      </c>
      <c r="C781" s="793" t="s">
        <v>2156</v>
      </c>
      <c r="D781" s="761"/>
      <c r="E781" s="754">
        <v>220733</v>
      </c>
      <c r="F781" s="754"/>
      <c r="G781" s="754"/>
      <c r="H781" s="754"/>
      <c r="I781" s="754"/>
      <c r="J781" s="754" t="s">
        <v>812</v>
      </c>
      <c r="K781" s="754" t="s">
        <v>812</v>
      </c>
      <c r="L781" s="754" t="s">
        <v>812</v>
      </c>
      <c r="M781" s="754" t="s">
        <v>312</v>
      </c>
      <c r="N781" s="754">
        <v>20.931335449999999</v>
      </c>
      <c r="O781" s="754">
        <v>92.381462099999993</v>
      </c>
      <c r="P781" s="754"/>
      <c r="Q781" s="754"/>
      <c r="R781" s="772"/>
      <c r="S781" s="768"/>
      <c r="T781" s="783">
        <v>43300</v>
      </c>
      <c r="U781" s="765"/>
      <c r="V781" s="754"/>
      <c r="W781" s="754"/>
      <c r="X781" s="17"/>
      <c r="Z781" s="17"/>
    </row>
    <row r="782" spans="1:26" ht="14.25" customHeight="1">
      <c r="A782" s="754" t="s">
        <v>3005</v>
      </c>
      <c r="B782" s="792" t="s">
        <v>323</v>
      </c>
      <c r="C782" s="793" t="s">
        <v>2109</v>
      </c>
      <c r="D782" s="761"/>
      <c r="E782" s="754">
        <v>197862</v>
      </c>
      <c r="F782" s="754"/>
      <c r="G782" s="754"/>
      <c r="H782" s="754"/>
      <c r="I782" s="754"/>
      <c r="J782" s="754" t="s">
        <v>812</v>
      </c>
      <c r="K782" s="754" t="s">
        <v>812</v>
      </c>
      <c r="L782" s="754" t="s">
        <v>812</v>
      </c>
      <c r="M782" s="754" t="s">
        <v>312</v>
      </c>
      <c r="N782" s="754">
        <v>21.094310759999999</v>
      </c>
      <c r="O782" s="754">
        <v>92.335670469999997</v>
      </c>
      <c r="P782" s="754"/>
      <c r="Q782" s="754"/>
      <c r="R782" s="772"/>
      <c r="S782" s="768"/>
      <c r="T782" s="783">
        <v>43300</v>
      </c>
      <c r="U782" s="765"/>
      <c r="V782" s="754"/>
      <c r="W782" s="754"/>
      <c r="X782" s="17"/>
      <c r="Z782" s="17"/>
    </row>
    <row r="783" spans="1:26" ht="14.25" customHeight="1">
      <c r="A783" s="764" t="s">
        <v>3005</v>
      </c>
      <c r="B783" s="792" t="s">
        <v>323</v>
      </c>
      <c r="C783" s="793" t="s">
        <v>3065</v>
      </c>
      <c r="D783" s="761"/>
      <c r="E783" s="754">
        <v>197800</v>
      </c>
      <c r="F783" s="754" t="s">
        <v>3066</v>
      </c>
      <c r="G783" s="754"/>
      <c r="H783" s="754"/>
      <c r="I783" s="754"/>
      <c r="J783" s="754" t="s">
        <v>812</v>
      </c>
      <c r="K783" s="754" t="s">
        <v>812</v>
      </c>
      <c r="L783" s="754" t="s">
        <v>812</v>
      </c>
      <c r="M783" s="754"/>
      <c r="N783" s="754">
        <v>21.363349914550799</v>
      </c>
      <c r="O783" s="754">
        <v>92.280487060546903</v>
      </c>
      <c r="P783" s="754"/>
      <c r="Q783" s="754" t="s">
        <v>2940</v>
      </c>
      <c r="R783" s="772"/>
      <c r="S783" s="768"/>
      <c r="T783" s="783">
        <v>43580</v>
      </c>
      <c r="U783" s="816" t="s">
        <v>3058</v>
      </c>
      <c r="V783" s="765"/>
      <c r="W783" s="763"/>
      <c r="X783" s="17"/>
      <c r="Z783" s="17"/>
    </row>
    <row r="784" spans="1:26" ht="14.25" customHeight="1">
      <c r="A784" s="754" t="s">
        <v>3005</v>
      </c>
      <c r="B784" s="781" t="s">
        <v>323</v>
      </c>
      <c r="C784" s="780" t="s">
        <v>675</v>
      </c>
      <c r="D784" s="637" t="s">
        <v>1693</v>
      </c>
      <c r="E784" s="754">
        <v>220734</v>
      </c>
      <c r="F784" s="754" t="s">
        <v>2949</v>
      </c>
      <c r="G784" s="754"/>
      <c r="H784" s="754"/>
      <c r="I784" s="754"/>
      <c r="J784" s="754" t="s">
        <v>812</v>
      </c>
      <c r="K784" s="754" t="s">
        <v>812</v>
      </c>
      <c r="L784" s="754" t="s">
        <v>812</v>
      </c>
      <c r="M784" s="754" t="s">
        <v>312</v>
      </c>
      <c r="N784" s="754">
        <v>20.910375599999998</v>
      </c>
      <c r="O784" s="754">
        <v>92.400138850000005</v>
      </c>
      <c r="P784" s="754" t="s">
        <v>813</v>
      </c>
      <c r="Q784" s="754" t="s">
        <v>816</v>
      </c>
      <c r="R784" s="767"/>
      <c r="S784" s="768"/>
      <c r="T784" s="783">
        <v>42926</v>
      </c>
      <c r="U784" s="765" t="s">
        <v>817</v>
      </c>
      <c r="V784" s="754"/>
      <c r="W784" s="754"/>
      <c r="X784" s="17"/>
      <c r="Z784" s="17"/>
    </row>
    <row r="785" spans="1:26" ht="14.25" customHeight="1">
      <c r="A785" s="754" t="s">
        <v>3005</v>
      </c>
      <c r="B785" s="792" t="s">
        <v>323</v>
      </c>
      <c r="C785" s="793" t="s">
        <v>327</v>
      </c>
      <c r="D785" s="761" t="s">
        <v>1693</v>
      </c>
      <c r="E785" s="754"/>
      <c r="F785" s="754"/>
      <c r="G785" s="754"/>
      <c r="H785" s="754"/>
      <c r="I785" s="754"/>
      <c r="J785" s="754" t="s">
        <v>812</v>
      </c>
      <c r="K785" s="754" t="s">
        <v>812</v>
      </c>
      <c r="L785" s="754" t="s">
        <v>812</v>
      </c>
      <c r="M785" s="754" t="s">
        <v>312</v>
      </c>
      <c r="N785" s="754"/>
      <c r="O785" s="754"/>
      <c r="P785" s="754" t="s">
        <v>813</v>
      </c>
      <c r="Q785" s="754" t="s">
        <v>794</v>
      </c>
      <c r="R785" s="772"/>
      <c r="S785" s="768"/>
      <c r="T785" s="783"/>
      <c r="U785" s="765"/>
      <c r="V785" s="754" t="s">
        <v>327</v>
      </c>
      <c r="W785" s="754"/>
      <c r="X785" s="17"/>
      <c r="Z785" s="17"/>
    </row>
    <row r="786" spans="1:26" ht="14.25" customHeight="1">
      <c r="A786" s="754" t="s">
        <v>3005</v>
      </c>
      <c r="B786" s="781" t="s">
        <v>323</v>
      </c>
      <c r="C786" s="780" t="s">
        <v>329</v>
      </c>
      <c r="D786" s="637" t="s">
        <v>1693</v>
      </c>
      <c r="E786" s="754"/>
      <c r="F786" s="754"/>
      <c r="G786" s="754"/>
      <c r="H786" s="754"/>
      <c r="I786" s="754"/>
      <c r="J786" s="754" t="s">
        <v>812</v>
      </c>
      <c r="K786" s="754" t="s">
        <v>812</v>
      </c>
      <c r="L786" s="754" t="s">
        <v>812</v>
      </c>
      <c r="M786" s="754" t="s">
        <v>809</v>
      </c>
      <c r="N786" s="754"/>
      <c r="O786" s="754"/>
      <c r="P786" s="754" t="s">
        <v>813</v>
      </c>
      <c r="Q786" s="754" t="s">
        <v>794</v>
      </c>
      <c r="R786" s="763"/>
      <c r="S786" s="764"/>
      <c r="T786" s="783"/>
      <c r="U786" s="765"/>
      <c r="V786" s="754" t="s">
        <v>1105</v>
      </c>
      <c r="W786" s="754"/>
      <c r="X786" s="17"/>
      <c r="Z786" s="17"/>
    </row>
    <row r="787" spans="1:26" ht="14.25" customHeight="1">
      <c r="A787" s="754" t="s">
        <v>3005</v>
      </c>
      <c r="B787" s="781" t="s">
        <v>323</v>
      </c>
      <c r="C787" s="780" t="s">
        <v>2362</v>
      </c>
      <c r="D787" s="637"/>
      <c r="E787" s="805">
        <v>196937</v>
      </c>
      <c r="F787" s="760" t="s">
        <v>2949</v>
      </c>
      <c r="G787" s="754"/>
      <c r="H787" s="754"/>
      <c r="I787" s="754"/>
      <c r="J787" s="754" t="s">
        <v>812</v>
      </c>
      <c r="K787" s="754" t="s">
        <v>812</v>
      </c>
      <c r="L787" s="754" t="s">
        <v>812</v>
      </c>
      <c r="M787" s="754" t="s">
        <v>312</v>
      </c>
      <c r="N787" s="754">
        <v>20.646560668945298</v>
      </c>
      <c r="O787" s="754">
        <v>92.976043701171903</v>
      </c>
      <c r="P787" s="754"/>
      <c r="Q787" s="754"/>
      <c r="R787" s="767"/>
      <c r="S787" s="768"/>
      <c r="T787" s="783"/>
      <c r="U787" s="765"/>
      <c r="V787" s="754"/>
      <c r="W787" s="754"/>
      <c r="X787" s="17"/>
      <c r="Z787" s="17"/>
    </row>
    <row r="788" spans="1:26" ht="14.25" customHeight="1">
      <c r="A788" s="754" t="s">
        <v>3005</v>
      </c>
      <c r="B788" s="781" t="s">
        <v>323</v>
      </c>
      <c r="C788" s="780" t="s">
        <v>2106</v>
      </c>
      <c r="D788" s="637"/>
      <c r="E788" s="754">
        <v>197947</v>
      </c>
      <c r="F788" s="754" t="s">
        <v>2949</v>
      </c>
      <c r="G788" s="754"/>
      <c r="H788" s="754"/>
      <c r="I788" s="754"/>
      <c r="J788" s="754" t="s">
        <v>812</v>
      </c>
      <c r="K788" s="754" t="s">
        <v>812</v>
      </c>
      <c r="L788" s="754" t="s">
        <v>812</v>
      </c>
      <c r="M788" s="754" t="s">
        <v>312</v>
      </c>
      <c r="N788" s="754">
        <v>20.899179459999999</v>
      </c>
      <c r="O788" s="754">
        <v>92.404052730000004</v>
      </c>
      <c r="P788" s="754"/>
      <c r="Q788" s="754"/>
      <c r="R788" s="763"/>
      <c r="S788" s="764"/>
      <c r="T788" s="783">
        <v>43300</v>
      </c>
      <c r="U788" s="765"/>
      <c r="V788" s="754"/>
      <c r="W788" s="754"/>
      <c r="X788" s="17"/>
      <c r="Z788" s="17"/>
    </row>
    <row r="789" spans="1:26" ht="14.25" customHeight="1">
      <c r="A789" s="754" t="s">
        <v>3005</v>
      </c>
      <c r="B789" s="792" t="s">
        <v>323</v>
      </c>
      <c r="C789" s="793" t="s">
        <v>637</v>
      </c>
      <c r="D789" s="761" t="s">
        <v>1693</v>
      </c>
      <c r="E789" s="754" t="s">
        <v>1425</v>
      </c>
      <c r="F789" s="754"/>
      <c r="G789" s="754"/>
      <c r="H789" s="754" t="s">
        <v>43</v>
      </c>
      <c r="I789" s="754"/>
      <c r="J789" s="754" t="s">
        <v>812</v>
      </c>
      <c r="K789" s="754" t="s">
        <v>812</v>
      </c>
      <c r="L789" s="754" t="s">
        <v>1693</v>
      </c>
      <c r="M789" s="754" t="s">
        <v>809</v>
      </c>
      <c r="N789" s="754">
        <v>20.819958</v>
      </c>
      <c r="O789" s="754">
        <v>92.365793999999994</v>
      </c>
      <c r="P789" s="754" t="s">
        <v>775</v>
      </c>
      <c r="Q789" s="754" t="s">
        <v>794</v>
      </c>
      <c r="R789" s="772"/>
      <c r="S789" s="768"/>
      <c r="T789" s="783">
        <v>43248</v>
      </c>
      <c r="U789" s="765" t="s">
        <v>1943</v>
      </c>
      <c r="V789" s="754"/>
      <c r="W789" s="754"/>
      <c r="X789" s="17"/>
      <c r="Z789" s="17"/>
    </row>
    <row r="790" spans="1:26" ht="14.25" customHeight="1">
      <c r="A790" s="754" t="s">
        <v>3005</v>
      </c>
      <c r="B790" s="781" t="s">
        <v>323</v>
      </c>
      <c r="C790" s="780" t="s">
        <v>2136</v>
      </c>
      <c r="D790" s="637" t="s">
        <v>1693</v>
      </c>
      <c r="E790" s="754">
        <v>197896</v>
      </c>
      <c r="F790" s="754"/>
      <c r="G790" s="754"/>
      <c r="H790" s="754"/>
      <c r="I790" s="754"/>
      <c r="J790" s="754" t="s">
        <v>812</v>
      </c>
      <c r="K790" s="754" t="s">
        <v>812</v>
      </c>
      <c r="L790" s="754" t="s">
        <v>812</v>
      </c>
      <c r="M790" s="754" t="s">
        <v>312</v>
      </c>
      <c r="N790" s="775">
        <v>20.991559980000002</v>
      </c>
      <c r="O790" s="775">
        <v>92.290878300000003</v>
      </c>
      <c r="P790" s="754" t="s">
        <v>813</v>
      </c>
      <c r="Q790" s="754" t="s">
        <v>794</v>
      </c>
      <c r="R790" s="767"/>
      <c r="S790" s="768"/>
      <c r="T790" s="783"/>
      <c r="U790" s="765"/>
      <c r="V790" s="754" t="s">
        <v>686</v>
      </c>
      <c r="W790" s="754"/>
      <c r="X790" s="17"/>
      <c r="Z790" s="17"/>
    </row>
    <row r="791" spans="1:26" ht="14.25" customHeight="1">
      <c r="A791" s="754" t="s">
        <v>3005</v>
      </c>
      <c r="B791" s="781" t="s">
        <v>323</v>
      </c>
      <c r="C791" s="780" t="s">
        <v>2141</v>
      </c>
      <c r="D791" s="637"/>
      <c r="E791" s="754">
        <v>197921</v>
      </c>
      <c r="F791" s="754"/>
      <c r="G791" s="754"/>
      <c r="H791" s="754"/>
      <c r="I791" s="754"/>
      <c r="J791" s="754" t="s">
        <v>812</v>
      </c>
      <c r="K791" s="754" t="s">
        <v>812</v>
      </c>
      <c r="L791" s="754" t="s">
        <v>812</v>
      </c>
      <c r="M791" s="754" t="s">
        <v>809</v>
      </c>
      <c r="N791" s="754">
        <v>20.9467392</v>
      </c>
      <c r="O791" s="754">
        <v>92.330482480000001</v>
      </c>
      <c r="P791" s="754"/>
      <c r="Q791" s="754"/>
      <c r="R791" s="767"/>
      <c r="S791" s="768"/>
      <c r="T791" s="783">
        <v>43300</v>
      </c>
      <c r="U791" s="765"/>
      <c r="V791" s="754"/>
      <c r="W791" s="754"/>
      <c r="X791" s="17"/>
      <c r="Z791" s="17"/>
    </row>
    <row r="792" spans="1:26" ht="14.25" customHeight="1">
      <c r="A792" s="754" t="s">
        <v>3005</v>
      </c>
      <c r="B792" s="781" t="s">
        <v>323</v>
      </c>
      <c r="C792" s="780" t="s">
        <v>2113</v>
      </c>
      <c r="D792" s="637"/>
      <c r="E792" s="754">
        <v>197970</v>
      </c>
      <c r="F792" s="754"/>
      <c r="G792" s="754"/>
      <c r="H792" s="754"/>
      <c r="I792" s="754"/>
      <c r="J792" s="754" t="s">
        <v>812</v>
      </c>
      <c r="K792" s="754" t="s">
        <v>812</v>
      </c>
      <c r="L792" s="754" t="s">
        <v>812</v>
      </c>
      <c r="M792" s="754" t="s">
        <v>809</v>
      </c>
      <c r="N792" s="775">
        <v>20.86484909</v>
      </c>
      <c r="O792" s="775">
        <v>92.347358700000001</v>
      </c>
      <c r="P792" s="754"/>
      <c r="Q792" s="754"/>
      <c r="R792" s="767"/>
      <c r="S792" s="768"/>
      <c r="T792" s="783">
        <v>43300</v>
      </c>
      <c r="U792" s="765"/>
      <c r="V792" s="754"/>
      <c r="W792" s="754"/>
      <c r="X792" s="17"/>
      <c r="Z792" s="17"/>
    </row>
    <row r="793" spans="1:26" ht="14.25" customHeight="1">
      <c r="A793" s="754" t="s">
        <v>3005</v>
      </c>
      <c r="B793" s="781" t="s">
        <v>323</v>
      </c>
      <c r="C793" s="780" t="s">
        <v>583</v>
      </c>
      <c r="D793" s="637" t="s">
        <v>1693</v>
      </c>
      <c r="E793" s="754">
        <v>198046</v>
      </c>
      <c r="F793" s="754"/>
      <c r="G793" s="754"/>
      <c r="H793" s="754"/>
      <c r="I793" s="754"/>
      <c r="J793" s="754" t="s">
        <v>812</v>
      </c>
      <c r="K793" s="754" t="s">
        <v>812</v>
      </c>
      <c r="L793" s="754" t="s">
        <v>812</v>
      </c>
      <c r="M793" s="754" t="s">
        <v>809</v>
      </c>
      <c r="N793" s="754">
        <v>20.720169070000001</v>
      </c>
      <c r="O793" s="754">
        <v>92.432983399999998</v>
      </c>
      <c r="P793" s="754" t="s">
        <v>813</v>
      </c>
      <c r="Q793" s="754" t="s">
        <v>794</v>
      </c>
      <c r="R793" s="763"/>
      <c r="S793" s="764"/>
      <c r="T793" s="783"/>
      <c r="U793" s="765"/>
      <c r="V793" s="754" t="s">
        <v>583</v>
      </c>
      <c r="W793" s="754"/>
      <c r="X793" s="17"/>
      <c r="Z793" s="17"/>
    </row>
    <row r="794" spans="1:26" ht="14.25" customHeight="1">
      <c r="A794" s="754" t="s">
        <v>3005</v>
      </c>
      <c r="B794" s="781" t="s">
        <v>323</v>
      </c>
      <c r="C794" s="780" t="s">
        <v>333</v>
      </c>
      <c r="D794" s="637" t="s">
        <v>1693</v>
      </c>
      <c r="E794" s="754"/>
      <c r="F794" s="754"/>
      <c r="G794" s="754"/>
      <c r="H794" s="754"/>
      <c r="I794" s="754"/>
      <c r="J794" s="754" t="s">
        <v>812</v>
      </c>
      <c r="K794" s="754" t="s">
        <v>812</v>
      </c>
      <c r="L794" s="754" t="s">
        <v>812</v>
      </c>
      <c r="M794" s="754" t="s">
        <v>312</v>
      </c>
      <c r="N794" s="754"/>
      <c r="O794" s="754"/>
      <c r="P794" s="754" t="s">
        <v>813</v>
      </c>
      <c r="Q794" s="754" t="s">
        <v>794</v>
      </c>
      <c r="R794" s="767"/>
      <c r="S794" s="768"/>
      <c r="T794" s="783"/>
      <c r="U794" s="765"/>
      <c r="V794" s="754" t="s">
        <v>333</v>
      </c>
      <c r="W794" s="754"/>
      <c r="X794" s="17"/>
      <c r="Z794" s="17"/>
    </row>
    <row r="795" spans="1:26" ht="14.25" customHeight="1">
      <c r="A795" s="754" t="s">
        <v>3005</v>
      </c>
      <c r="B795" s="792" t="s">
        <v>323</v>
      </c>
      <c r="C795" s="793" t="s">
        <v>577</v>
      </c>
      <c r="D795" s="761" t="s">
        <v>1693</v>
      </c>
      <c r="E795" s="754" t="s">
        <v>1420</v>
      </c>
      <c r="F795" s="754"/>
      <c r="G795" s="754"/>
      <c r="H795" s="754" t="s">
        <v>43</v>
      </c>
      <c r="I795" s="754"/>
      <c r="J795" s="754" t="s">
        <v>812</v>
      </c>
      <c r="K795" s="754" t="s">
        <v>812</v>
      </c>
      <c r="L795" s="754" t="s">
        <v>1693</v>
      </c>
      <c r="M795" s="754" t="s">
        <v>809</v>
      </c>
      <c r="N795" s="754">
        <v>20.714846999999999</v>
      </c>
      <c r="O795" s="754">
        <v>92.443427999999997</v>
      </c>
      <c r="P795" s="754" t="s">
        <v>775</v>
      </c>
      <c r="Q795" s="754" t="s">
        <v>794</v>
      </c>
      <c r="R795" s="772"/>
      <c r="S795" s="768"/>
      <c r="T795" s="783">
        <v>43248</v>
      </c>
      <c r="U795" s="765" t="s">
        <v>1943</v>
      </c>
      <c r="V795" s="754"/>
      <c r="W795" s="754"/>
      <c r="X795" s="17"/>
      <c r="Z795" s="17"/>
    </row>
    <row r="796" spans="1:26" ht="14.25" customHeight="1">
      <c r="A796" s="754" t="s">
        <v>3005</v>
      </c>
      <c r="B796" s="792" t="s">
        <v>323</v>
      </c>
      <c r="C796" s="793" t="s">
        <v>335</v>
      </c>
      <c r="D796" s="761" t="s">
        <v>1693</v>
      </c>
      <c r="E796" s="754"/>
      <c r="F796" s="754"/>
      <c r="G796" s="754"/>
      <c r="H796" s="754"/>
      <c r="I796" s="754"/>
      <c r="J796" s="754" t="s">
        <v>812</v>
      </c>
      <c r="K796" s="754" t="s">
        <v>812</v>
      </c>
      <c r="L796" s="754" t="s">
        <v>812</v>
      </c>
      <c r="M796" s="754" t="s">
        <v>809</v>
      </c>
      <c r="N796" s="754"/>
      <c r="O796" s="754"/>
      <c r="P796" s="754" t="s">
        <v>813</v>
      </c>
      <c r="Q796" s="754" t="s">
        <v>794</v>
      </c>
      <c r="R796" s="772"/>
      <c r="S796" s="768"/>
      <c r="T796" s="783"/>
      <c r="U796" s="765"/>
      <c r="V796" s="754" t="s">
        <v>335</v>
      </c>
      <c r="W796" s="754"/>
      <c r="X796" s="17"/>
      <c r="Z796" s="17"/>
    </row>
    <row r="797" spans="1:26" ht="14.25" customHeight="1">
      <c r="A797" s="754" t="s">
        <v>3005</v>
      </c>
      <c r="B797" s="792" t="s">
        <v>323</v>
      </c>
      <c r="C797" s="793" t="s">
        <v>2153</v>
      </c>
      <c r="D797" s="761"/>
      <c r="E797" s="754">
        <v>197934</v>
      </c>
      <c r="F797" s="754"/>
      <c r="G797" s="754"/>
      <c r="H797" s="754"/>
      <c r="I797" s="754"/>
      <c r="J797" s="754" t="s">
        <v>812</v>
      </c>
      <c r="K797" s="754" t="s">
        <v>812</v>
      </c>
      <c r="L797" s="754" t="s">
        <v>812</v>
      </c>
      <c r="M797" s="754" t="s">
        <v>809</v>
      </c>
      <c r="N797" s="754">
        <v>20.857500080000001</v>
      </c>
      <c r="O797" s="754">
        <v>92.357841489999998</v>
      </c>
      <c r="P797" s="754"/>
      <c r="Q797" s="754"/>
      <c r="R797" s="771"/>
      <c r="S797" s="764"/>
      <c r="T797" s="783">
        <v>43300</v>
      </c>
      <c r="U797" s="765"/>
      <c r="V797" s="754"/>
      <c r="W797" s="754"/>
      <c r="X797" s="17"/>
      <c r="Z797" s="17"/>
    </row>
    <row r="798" spans="1:26" ht="14.25" customHeight="1">
      <c r="A798" s="754" t="s">
        <v>3005</v>
      </c>
      <c r="B798" s="781" t="s">
        <v>323</v>
      </c>
      <c r="C798" s="780" t="s">
        <v>665</v>
      </c>
      <c r="D798" s="637"/>
      <c r="E798" s="754">
        <v>197941</v>
      </c>
      <c r="F798" s="754"/>
      <c r="G798" s="754"/>
      <c r="H798" s="754"/>
      <c r="I798" s="754"/>
      <c r="J798" s="754" t="s">
        <v>812</v>
      </c>
      <c r="K798" s="754" t="s">
        <v>812</v>
      </c>
      <c r="L798" s="754" t="s">
        <v>812</v>
      </c>
      <c r="M798" s="754" t="s">
        <v>809</v>
      </c>
      <c r="N798" s="754">
        <v>20.83185005</v>
      </c>
      <c r="O798" s="754">
        <v>92.359428410000007</v>
      </c>
      <c r="P798" s="754"/>
      <c r="Q798" s="754"/>
      <c r="R798" s="763"/>
      <c r="S798" s="764"/>
      <c r="T798" s="783">
        <v>43300</v>
      </c>
      <c r="U798" s="765"/>
      <c r="V798" s="754"/>
      <c r="W798" s="754"/>
      <c r="X798" s="17"/>
      <c r="Z798" s="17"/>
    </row>
    <row r="799" spans="1:26" ht="14.25" customHeight="1">
      <c r="A799" s="754" t="s">
        <v>3005</v>
      </c>
      <c r="B799" s="781" t="s">
        <v>323</v>
      </c>
      <c r="C799" s="780" t="s">
        <v>2130</v>
      </c>
      <c r="D799" s="637"/>
      <c r="E799" s="754">
        <v>197872</v>
      </c>
      <c r="F799" s="754"/>
      <c r="G799" s="754"/>
      <c r="H799" s="754"/>
      <c r="I799" s="754"/>
      <c r="J799" s="754" t="s">
        <v>812</v>
      </c>
      <c r="K799" s="754" t="s">
        <v>812</v>
      </c>
      <c r="L799" s="754" t="s">
        <v>812</v>
      </c>
      <c r="M799" s="754" t="s">
        <v>2149</v>
      </c>
      <c r="N799" s="754">
        <v>21.07212067</v>
      </c>
      <c r="O799" s="754">
        <v>92.314163210000004</v>
      </c>
      <c r="P799" s="754"/>
      <c r="Q799" s="754"/>
      <c r="R799" s="763"/>
      <c r="S799" s="764"/>
      <c r="T799" s="783">
        <v>43300</v>
      </c>
      <c r="U799" s="765"/>
      <c r="V799" s="754"/>
      <c r="W799" s="754"/>
      <c r="X799" s="17"/>
      <c r="Z799" s="17"/>
    </row>
    <row r="800" spans="1:26" ht="14.25" customHeight="1">
      <c r="A800" s="754" t="s">
        <v>3005</v>
      </c>
      <c r="B800" s="792" t="s">
        <v>323</v>
      </c>
      <c r="C800" s="793" t="s">
        <v>576</v>
      </c>
      <c r="D800" s="761" t="s">
        <v>1693</v>
      </c>
      <c r="E800" s="754">
        <v>198049</v>
      </c>
      <c r="F800" s="754"/>
      <c r="G800" s="754"/>
      <c r="H800" s="754"/>
      <c r="I800" s="754"/>
      <c r="J800" s="754" t="s">
        <v>812</v>
      </c>
      <c r="K800" s="754" t="s">
        <v>812</v>
      </c>
      <c r="L800" s="754" t="s">
        <v>812</v>
      </c>
      <c r="M800" s="754" t="s">
        <v>809</v>
      </c>
      <c r="N800" s="754">
        <v>20.714559560000001</v>
      </c>
      <c r="O800" s="754">
        <v>92.435226439999994</v>
      </c>
      <c r="P800" s="754" t="s">
        <v>813</v>
      </c>
      <c r="Q800" s="754" t="s">
        <v>794</v>
      </c>
      <c r="R800" s="771"/>
      <c r="S800" s="764"/>
      <c r="T800" s="783"/>
      <c r="U800" s="765"/>
      <c r="V800" s="754" t="s">
        <v>576</v>
      </c>
      <c r="W800" s="754"/>
      <c r="X800" s="17"/>
      <c r="Z800" s="17"/>
    </row>
    <row r="801" spans="1:26" ht="14.25" customHeight="1">
      <c r="A801" s="754" t="s">
        <v>3005</v>
      </c>
      <c r="B801" s="792" t="s">
        <v>323</v>
      </c>
      <c r="C801" s="793" t="s">
        <v>697</v>
      </c>
      <c r="D801" s="761" t="s">
        <v>1693</v>
      </c>
      <c r="E801" s="754">
        <v>220731</v>
      </c>
      <c r="F801" s="754"/>
      <c r="G801" s="754"/>
      <c r="H801" s="754"/>
      <c r="I801" s="754"/>
      <c r="J801" s="754" t="s">
        <v>812</v>
      </c>
      <c r="K801" s="754" t="s">
        <v>812</v>
      </c>
      <c r="L801" s="754" t="s">
        <v>812</v>
      </c>
      <c r="M801" s="754" t="s">
        <v>697</v>
      </c>
      <c r="N801" s="754">
        <v>21.027990339999999</v>
      </c>
      <c r="O801" s="754">
        <v>92.298881530000003</v>
      </c>
      <c r="P801" s="754" t="s">
        <v>813</v>
      </c>
      <c r="Q801" s="754" t="s">
        <v>794</v>
      </c>
      <c r="R801" s="771"/>
      <c r="S801" s="764"/>
      <c r="T801" s="783">
        <v>43300</v>
      </c>
      <c r="U801" s="765"/>
      <c r="V801" s="754" t="s">
        <v>697</v>
      </c>
      <c r="W801" s="754"/>
      <c r="X801" s="17"/>
      <c r="Z801" s="17"/>
    </row>
    <row r="802" spans="1:26" ht="14.25" customHeight="1">
      <c r="A802" s="754" t="s">
        <v>3005</v>
      </c>
      <c r="B802" s="792" t="s">
        <v>323</v>
      </c>
      <c r="C802" s="793" t="s">
        <v>575</v>
      </c>
      <c r="D802" s="761" t="s">
        <v>1693</v>
      </c>
      <c r="E802" s="754" t="s">
        <v>1419</v>
      </c>
      <c r="F802" s="754"/>
      <c r="G802" s="754"/>
      <c r="H802" s="754" t="s">
        <v>43</v>
      </c>
      <c r="I802" s="754"/>
      <c r="J802" s="754" t="s">
        <v>812</v>
      </c>
      <c r="K802" s="754" t="s">
        <v>812</v>
      </c>
      <c r="L802" s="754" t="s">
        <v>1693</v>
      </c>
      <c r="M802" s="754" t="s">
        <v>809</v>
      </c>
      <c r="N802" s="754">
        <v>20.713882999999999</v>
      </c>
      <c r="O802" s="754">
        <v>92.435378</v>
      </c>
      <c r="P802" s="754" t="s">
        <v>775</v>
      </c>
      <c r="Q802" s="754" t="s">
        <v>794</v>
      </c>
      <c r="R802" s="771"/>
      <c r="S802" s="764"/>
      <c r="T802" s="783">
        <v>43248</v>
      </c>
      <c r="U802" s="765" t="s">
        <v>1943</v>
      </c>
      <c r="V802" s="754"/>
      <c r="W802" s="754"/>
      <c r="X802" s="17"/>
      <c r="Z802" s="17"/>
    </row>
    <row r="803" spans="1:26" ht="14.25" customHeight="1">
      <c r="A803" s="754" t="s">
        <v>3005</v>
      </c>
      <c r="B803" s="781" t="s">
        <v>323</v>
      </c>
      <c r="C803" s="780" t="s">
        <v>683</v>
      </c>
      <c r="D803" s="637" t="s">
        <v>1693</v>
      </c>
      <c r="E803" s="754">
        <v>197913</v>
      </c>
      <c r="F803" s="754"/>
      <c r="G803" s="754"/>
      <c r="H803" s="754"/>
      <c r="I803" s="754"/>
      <c r="J803" s="754" t="s">
        <v>812</v>
      </c>
      <c r="K803" s="754" t="s">
        <v>812</v>
      </c>
      <c r="L803" s="754" t="s">
        <v>812</v>
      </c>
      <c r="M803" s="754" t="s">
        <v>312</v>
      </c>
      <c r="N803" s="754">
        <v>20.987419129999999</v>
      </c>
      <c r="O803" s="754">
        <v>92.362136840000005</v>
      </c>
      <c r="P803" s="754" t="s">
        <v>813</v>
      </c>
      <c r="Q803" s="754" t="s">
        <v>816</v>
      </c>
      <c r="R803" s="763"/>
      <c r="S803" s="764"/>
      <c r="T803" s="783">
        <v>42926</v>
      </c>
      <c r="U803" s="765" t="s">
        <v>817</v>
      </c>
      <c r="V803" s="754"/>
      <c r="W803" s="754"/>
      <c r="X803" s="17"/>
      <c r="Z803" s="17"/>
    </row>
    <row r="804" spans="1:26" ht="14.25" customHeight="1">
      <c r="A804" s="754" t="s">
        <v>3005</v>
      </c>
      <c r="B804" s="792" t="s">
        <v>323</v>
      </c>
      <c r="C804" s="793" t="s">
        <v>684</v>
      </c>
      <c r="D804" s="761" t="s">
        <v>1693</v>
      </c>
      <c r="E804" s="754">
        <v>197913</v>
      </c>
      <c r="F804" s="754"/>
      <c r="G804" s="754"/>
      <c r="H804" s="754"/>
      <c r="I804" s="754"/>
      <c r="J804" s="754" t="s">
        <v>812</v>
      </c>
      <c r="K804" s="754" t="s">
        <v>812</v>
      </c>
      <c r="L804" s="754" t="s">
        <v>812</v>
      </c>
      <c r="M804" s="754" t="s">
        <v>809</v>
      </c>
      <c r="N804" s="754">
        <v>20.987419129999999</v>
      </c>
      <c r="O804" s="754">
        <v>92.362136840000005</v>
      </c>
      <c r="P804" s="754" t="s">
        <v>813</v>
      </c>
      <c r="Q804" s="754" t="s">
        <v>794</v>
      </c>
      <c r="R804" s="771"/>
      <c r="S804" s="764"/>
      <c r="T804" s="783">
        <v>42745</v>
      </c>
      <c r="U804" s="765"/>
      <c r="V804" s="754" t="s">
        <v>966</v>
      </c>
      <c r="W804" s="754"/>
      <c r="X804" s="17"/>
      <c r="Z804" s="17"/>
    </row>
    <row r="805" spans="1:26" ht="14.25" customHeight="1">
      <c r="A805" s="754" t="s">
        <v>3005</v>
      </c>
      <c r="B805" s="781" t="s">
        <v>323</v>
      </c>
      <c r="C805" s="780" t="s">
        <v>2157</v>
      </c>
      <c r="D805" s="637"/>
      <c r="E805" s="754">
        <v>197913</v>
      </c>
      <c r="F805" s="754"/>
      <c r="G805" s="754"/>
      <c r="H805" s="754"/>
      <c r="I805" s="754"/>
      <c r="J805" s="754" t="s">
        <v>812</v>
      </c>
      <c r="K805" s="754" t="s">
        <v>812</v>
      </c>
      <c r="L805" s="754" t="s">
        <v>812</v>
      </c>
      <c r="M805" s="754" t="s">
        <v>312</v>
      </c>
      <c r="N805" s="754">
        <v>20.987419129999999</v>
      </c>
      <c r="O805" s="754">
        <v>92.362136840000005</v>
      </c>
      <c r="P805" s="754"/>
      <c r="Q805" s="754"/>
      <c r="R805" s="763"/>
      <c r="S805" s="764"/>
      <c r="T805" s="783">
        <v>43300</v>
      </c>
      <c r="U805" s="765"/>
      <c r="V805" s="754"/>
      <c r="W805" s="754"/>
      <c r="X805" s="17"/>
      <c r="Z805" s="17"/>
    </row>
    <row r="806" spans="1:26" ht="14.25" customHeight="1">
      <c r="A806" s="754" t="s">
        <v>3005</v>
      </c>
      <c r="B806" s="792" t="s">
        <v>323</v>
      </c>
      <c r="C806" s="793" t="s">
        <v>2144</v>
      </c>
      <c r="D806" s="761"/>
      <c r="E806" s="754">
        <v>198084</v>
      </c>
      <c r="F806" s="754"/>
      <c r="G806" s="754"/>
      <c r="H806" s="754"/>
      <c r="I806" s="754"/>
      <c r="J806" s="754" t="s">
        <v>812</v>
      </c>
      <c r="K806" s="754" t="s">
        <v>812</v>
      </c>
      <c r="L806" s="754" t="s">
        <v>812</v>
      </c>
      <c r="M806" s="754" t="s">
        <v>312</v>
      </c>
      <c r="N806" s="754">
        <v>20.51251984</v>
      </c>
      <c r="O806" s="754">
        <v>92.582893369999994</v>
      </c>
      <c r="P806" s="754"/>
      <c r="Q806" s="754"/>
      <c r="R806" s="771"/>
      <c r="S806" s="764"/>
      <c r="T806" s="783">
        <v>43300</v>
      </c>
      <c r="U806" s="765"/>
      <c r="V806" s="754"/>
      <c r="W806" s="754"/>
      <c r="X806" s="17"/>
      <c r="Z806" s="17"/>
    </row>
    <row r="807" spans="1:26" ht="14.25" customHeight="1">
      <c r="A807" s="754" t="s">
        <v>3005</v>
      </c>
      <c r="B807" s="781" t="s">
        <v>323</v>
      </c>
      <c r="C807" s="780" t="s">
        <v>2172</v>
      </c>
      <c r="D807" s="637"/>
      <c r="E807" s="754"/>
      <c r="F807" s="754"/>
      <c r="G807" s="754"/>
      <c r="H807" s="754"/>
      <c r="I807" s="754"/>
      <c r="J807" s="754" t="s">
        <v>812</v>
      </c>
      <c r="K807" s="754" t="s">
        <v>812</v>
      </c>
      <c r="L807" s="754" t="s">
        <v>812</v>
      </c>
      <c r="M807" s="754" t="s">
        <v>312</v>
      </c>
      <c r="N807" s="754"/>
      <c r="O807" s="754"/>
      <c r="P807" s="754"/>
      <c r="Q807" s="754"/>
      <c r="R807" s="763"/>
      <c r="S807" s="764"/>
      <c r="T807" s="783">
        <v>43300</v>
      </c>
      <c r="U807" s="765"/>
      <c r="V807" s="754"/>
      <c r="W807" s="754"/>
      <c r="X807" s="17"/>
      <c r="Z807" s="17"/>
    </row>
    <row r="808" spans="1:26" ht="14.25" customHeight="1">
      <c r="A808" s="754" t="s">
        <v>3005</v>
      </c>
      <c r="B808" s="781" t="s">
        <v>323</v>
      </c>
      <c r="C808" s="780" t="s">
        <v>1946</v>
      </c>
      <c r="D808" s="637"/>
      <c r="E808" s="754">
        <v>197969</v>
      </c>
      <c r="F808" s="754" t="s">
        <v>2818</v>
      </c>
      <c r="G808" s="754"/>
      <c r="H808" s="754"/>
      <c r="I808" s="754"/>
      <c r="J808" s="754" t="s">
        <v>812</v>
      </c>
      <c r="K808" s="754" t="s">
        <v>812</v>
      </c>
      <c r="L808" s="754" t="s">
        <v>812</v>
      </c>
      <c r="M808" s="754" t="s">
        <v>809</v>
      </c>
      <c r="N808" s="754">
        <v>20.866529459999999</v>
      </c>
      <c r="O808" s="754">
        <v>92.364883419999998</v>
      </c>
      <c r="P808" s="754" t="s">
        <v>813</v>
      </c>
      <c r="Q808" s="754" t="s">
        <v>1950</v>
      </c>
      <c r="R808" s="763"/>
      <c r="S808" s="764"/>
      <c r="T808" s="783">
        <v>43245</v>
      </c>
      <c r="U808" s="765"/>
      <c r="V808" s="754"/>
      <c r="W808" s="754"/>
      <c r="X808" s="17"/>
      <c r="Z808" s="17"/>
    </row>
    <row r="809" spans="1:26" ht="14.25" customHeight="1">
      <c r="A809" s="754" t="s">
        <v>3005</v>
      </c>
      <c r="B809" s="781" t="s">
        <v>323</v>
      </c>
      <c r="C809" s="780" t="s">
        <v>2155</v>
      </c>
      <c r="D809" s="637"/>
      <c r="E809" s="754">
        <v>197936</v>
      </c>
      <c r="F809" s="754"/>
      <c r="G809" s="754"/>
      <c r="H809" s="754"/>
      <c r="I809" s="754"/>
      <c r="J809" s="754" t="s">
        <v>812</v>
      </c>
      <c r="K809" s="754" t="s">
        <v>812</v>
      </c>
      <c r="L809" s="754" t="s">
        <v>812</v>
      </c>
      <c r="M809" s="754" t="s">
        <v>312</v>
      </c>
      <c r="N809" s="754">
        <v>20.84993935</v>
      </c>
      <c r="O809" s="754">
        <v>92.348213200000004</v>
      </c>
      <c r="P809" s="754"/>
      <c r="Q809" s="754"/>
      <c r="R809" s="763"/>
      <c r="S809" s="764"/>
      <c r="T809" s="783">
        <v>43300</v>
      </c>
      <c r="U809" s="765"/>
      <c r="V809" s="754"/>
      <c r="W809" s="754"/>
      <c r="X809" s="17"/>
      <c r="Z809" s="17"/>
    </row>
    <row r="810" spans="1:26" ht="14.25" customHeight="1">
      <c r="A810" s="754" t="s">
        <v>3005</v>
      </c>
      <c r="B810" s="781" t="s">
        <v>323</v>
      </c>
      <c r="C810" s="780" t="s">
        <v>2119</v>
      </c>
      <c r="D810" s="637"/>
      <c r="E810" s="754">
        <v>197986</v>
      </c>
      <c r="F810" s="754"/>
      <c r="G810" s="754"/>
      <c r="H810" s="754"/>
      <c r="I810" s="754"/>
      <c r="J810" s="754" t="s">
        <v>812</v>
      </c>
      <c r="K810" s="754" t="s">
        <v>812</v>
      </c>
      <c r="L810" s="754" t="s">
        <v>812</v>
      </c>
      <c r="M810" s="754" t="s">
        <v>809</v>
      </c>
      <c r="N810" s="754">
        <v>20.819730759999999</v>
      </c>
      <c r="O810" s="754">
        <v>92.376846310000005</v>
      </c>
      <c r="P810" s="754"/>
      <c r="Q810" s="754"/>
      <c r="R810" s="763"/>
      <c r="S810" s="764"/>
      <c r="T810" s="783">
        <v>43300</v>
      </c>
      <c r="U810" s="765"/>
      <c r="V810" s="754"/>
      <c r="W810" s="754"/>
      <c r="X810" s="17"/>
      <c r="Z810" s="17"/>
    </row>
    <row r="811" spans="1:26" ht="14.25" customHeight="1">
      <c r="A811" s="754" t="s">
        <v>3005</v>
      </c>
      <c r="B811" s="792" t="s">
        <v>323</v>
      </c>
      <c r="C811" s="793" t="s">
        <v>385</v>
      </c>
      <c r="D811" s="761"/>
      <c r="E811" s="754">
        <v>197967</v>
      </c>
      <c r="F811" s="754"/>
      <c r="G811" s="754"/>
      <c r="H811" s="754"/>
      <c r="I811" s="754"/>
      <c r="J811" s="754" t="s">
        <v>812</v>
      </c>
      <c r="K811" s="754" t="s">
        <v>812</v>
      </c>
      <c r="L811" s="754" t="s">
        <v>812</v>
      </c>
      <c r="M811" s="754" t="s">
        <v>809</v>
      </c>
      <c r="N811" s="754">
        <v>20.872419359999999</v>
      </c>
      <c r="O811" s="754">
        <v>92.352493289999998</v>
      </c>
      <c r="P811" s="754"/>
      <c r="Q811" s="754"/>
      <c r="R811" s="771"/>
      <c r="S811" s="764"/>
      <c r="T811" s="783">
        <v>43300</v>
      </c>
      <c r="U811" s="765"/>
      <c r="V811" s="754"/>
      <c r="W811" s="754"/>
      <c r="X811" s="17"/>
      <c r="Z811" s="17"/>
    </row>
    <row r="812" spans="1:26" ht="14.25" customHeight="1">
      <c r="A812" s="754" t="s">
        <v>3005</v>
      </c>
      <c r="B812" s="781" t="s">
        <v>323</v>
      </c>
      <c r="C812" s="780" t="s">
        <v>2817</v>
      </c>
      <c r="D812" s="637"/>
      <c r="E812" s="754"/>
      <c r="F812" s="754"/>
      <c r="G812" s="754"/>
      <c r="H812" s="754"/>
      <c r="I812" s="754"/>
      <c r="J812" s="754" t="s">
        <v>812</v>
      </c>
      <c r="K812" s="754" t="s">
        <v>812</v>
      </c>
      <c r="L812" s="754" t="s">
        <v>812</v>
      </c>
      <c r="M812" s="754" t="s">
        <v>809</v>
      </c>
      <c r="N812" s="754"/>
      <c r="O812" s="754"/>
      <c r="P812" s="754"/>
      <c r="Q812" s="754"/>
      <c r="R812" s="763"/>
      <c r="S812" s="764"/>
      <c r="T812" s="783"/>
      <c r="U812" s="765"/>
      <c r="V812" s="754"/>
      <c r="W812" s="754"/>
      <c r="X812" s="17"/>
      <c r="Z812" s="17"/>
    </row>
    <row r="813" spans="1:26" ht="14.25" customHeight="1">
      <c r="A813" s="754" t="s">
        <v>3005</v>
      </c>
      <c r="B813" s="792" t="s">
        <v>323</v>
      </c>
      <c r="C813" s="793" t="s">
        <v>2154</v>
      </c>
      <c r="D813" s="761"/>
      <c r="E813" s="754">
        <v>197935</v>
      </c>
      <c r="F813" s="754"/>
      <c r="G813" s="754"/>
      <c r="H813" s="754"/>
      <c r="I813" s="754"/>
      <c r="J813" s="754" t="s">
        <v>812</v>
      </c>
      <c r="K813" s="754" t="s">
        <v>812</v>
      </c>
      <c r="L813" s="754" t="s">
        <v>812</v>
      </c>
      <c r="M813" s="754" t="s">
        <v>809</v>
      </c>
      <c r="N813" s="754">
        <v>20.85008049</v>
      </c>
      <c r="O813" s="754">
        <v>92.353576660000002</v>
      </c>
      <c r="P813" s="754"/>
      <c r="Q813" s="754"/>
      <c r="R813" s="771"/>
      <c r="S813" s="764"/>
      <c r="T813" s="783">
        <v>43300</v>
      </c>
      <c r="U813" s="765"/>
      <c r="V813" s="754"/>
      <c r="W813" s="754"/>
      <c r="X813" s="17"/>
      <c r="Z813" s="17"/>
    </row>
    <row r="814" spans="1:26" ht="14.25" customHeight="1">
      <c r="A814" s="754" t="s">
        <v>3005</v>
      </c>
      <c r="B814" s="792" t="s">
        <v>323</v>
      </c>
      <c r="C814" s="793" t="s">
        <v>647</v>
      </c>
      <c r="D814" s="761" t="s">
        <v>1693</v>
      </c>
      <c r="E814" s="754">
        <v>197992</v>
      </c>
      <c r="F814" s="754"/>
      <c r="G814" s="754"/>
      <c r="H814" s="754"/>
      <c r="I814" s="754"/>
      <c r="J814" s="754" t="s">
        <v>812</v>
      </c>
      <c r="K814" s="754" t="s">
        <v>812</v>
      </c>
      <c r="L814" s="754" t="s">
        <v>812</v>
      </c>
      <c r="M814" s="754" t="s">
        <v>809</v>
      </c>
      <c r="N814" s="754">
        <v>20.83049011</v>
      </c>
      <c r="O814" s="754">
        <v>92.393707280000001</v>
      </c>
      <c r="P814" s="754" t="s">
        <v>813</v>
      </c>
      <c r="Q814" s="754" t="s">
        <v>794</v>
      </c>
      <c r="R814" s="771"/>
      <c r="S814" s="764"/>
      <c r="T814" s="783"/>
      <c r="U814" s="765"/>
      <c r="V814" s="754" t="s">
        <v>647</v>
      </c>
      <c r="W814" s="754"/>
      <c r="X814" s="17"/>
      <c r="Z814" s="17"/>
    </row>
    <row r="815" spans="1:26" ht="14.25" customHeight="1">
      <c r="A815" s="754" t="s">
        <v>3005</v>
      </c>
      <c r="B815" s="792" t="s">
        <v>323</v>
      </c>
      <c r="C815" s="780" t="s">
        <v>643</v>
      </c>
      <c r="D815" s="761" t="s">
        <v>1693</v>
      </c>
      <c r="E815" s="754">
        <v>197989</v>
      </c>
      <c r="F815" s="754"/>
      <c r="G815" s="754"/>
      <c r="H815" s="754"/>
      <c r="I815" s="754"/>
      <c r="J815" s="754" t="s">
        <v>812</v>
      </c>
      <c r="K815" s="754" t="s">
        <v>812</v>
      </c>
      <c r="L815" s="754" t="s">
        <v>812</v>
      </c>
      <c r="M815" s="754" t="s">
        <v>809</v>
      </c>
      <c r="N815" s="754">
        <v>20.82498932</v>
      </c>
      <c r="O815" s="754">
        <v>92.390571589999993</v>
      </c>
      <c r="P815" s="754" t="s">
        <v>813</v>
      </c>
      <c r="Q815" s="760" t="s">
        <v>794</v>
      </c>
      <c r="R815" s="771"/>
      <c r="S815" s="764"/>
      <c r="T815" s="784"/>
      <c r="U815" s="765"/>
      <c r="V815" s="754" t="s">
        <v>643</v>
      </c>
      <c r="W815" s="754"/>
      <c r="X815" s="17"/>
      <c r="Z815" s="17"/>
    </row>
    <row r="816" spans="1:26" ht="14.25" customHeight="1">
      <c r="A816" s="754" t="s">
        <v>3005</v>
      </c>
      <c r="B816" s="792" t="s">
        <v>323</v>
      </c>
      <c r="C816" s="793" t="s">
        <v>2103</v>
      </c>
      <c r="D816" s="761"/>
      <c r="E816" s="754">
        <v>197937</v>
      </c>
      <c r="F816" s="754"/>
      <c r="G816" s="754"/>
      <c r="H816" s="754"/>
      <c r="I816" s="754"/>
      <c r="J816" s="754" t="s">
        <v>812</v>
      </c>
      <c r="K816" s="754" t="s">
        <v>812</v>
      </c>
      <c r="L816" s="754" t="s">
        <v>812</v>
      </c>
      <c r="M816" s="754" t="s">
        <v>809</v>
      </c>
      <c r="N816" s="754">
        <v>20.845720289999999</v>
      </c>
      <c r="O816" s="754">
        <v>92.353950499999996</v>
      </c>
      <c r="P816" s="754"/>
      <c r="Q816" s="754"/>
      <c r="R816" s="771"/>
      <c r="S816" s="764"/>
      <c r="T816" s="783">
        <v>43300</v>
      </c>
      <c r="U816" s="765"/>
      <c r="V816" s="754"/>
      <c r="W816" s="754"/>
      <c r="X816" s="17"/>
      <c r="Z816" s="17"/>
    </row>
    <row r="817" spans="1:26" ht="14.25" customHeight="1">
      <c r="A817" s="754" t="s">
        <v>3005</v>
      </c>
      <c r="B817" s="792" t="s">
        <v>323</v>
      </c>
      <c r="C817" s="793" t="s">
        <v>639</v>
      </c>
      <c r="D817" s="761" t="s">
        <v>1693</v>
      </c>
      <c r="E817" s="754">
        <v>217894</v>
      </c>
      <c r="F817" s="754"/>
      <c r="G817" s="754"/>
      <c r="H817" s="754"/>
      <c r="I817" s="754"/>
      <c r="J817" s="754" t="s">
        <v>812</v>
      </c>
      <c r="K817" s="754" t="s">
        <v>812</v>
      </c>
      <c r="L817" s="754" t="s">
        <v>812</v>
      </c>
      <c r="M817" s="754" t="s">
        <v>312</v>
      </c>
      <c r="N817" s="754">
        <v>20.822059629999998</v>
      </c>
      <c r="O817" s="754">
        <v>92.41690826</v>
      </c>
      <c r="P817" s="754" t="s">
        <v>813</v>
      </c>
      <c r="Q817" s="754" t="s">
        <v>794</v>
      </c>
      <c r="R817" s="771"/>
      <c r="S817" s="764"/>
      <c r="T817" s="783"/>
      <c r="U817" s="765"/>
      <c r="V817" s="754" t="s">
        <v>639</v>
      </c>
      <c r="W817" s="754"/>
      <c r="X817" s="17"/>
      <c r="Z817" s="17"/>
    </row>
    <row r="818" spans="1:26" ht="14.25" customHeight="1">
      <c r="A818" s="764" t="s">
        <v>3005</v>
      </c>
      <c r="B818" s="792" t="s">
        <v>323</v>
      </c>
      <c r="C818" s="793" t="s">
        <v>3238</v>
      </c>
      <c r="D818" s="761"/>
      <c r="E818" s="754">
        <v>217895</v>
      </c>
      <c r="F818" s="789" t="s">
        <v>3244</v>
      </c>
      <c r="G818" s="754"/>
      <c r="H818" s="754"/>
      <c r="I818" s="754"/>
      <c r="J818" s="754" t="s">
        <v>812</v>
      </c>
      <c r="K818" s="754" t="s">
        <v>812</v>
      </c>
      <c r="L818" s="754" t="s">
        <v>812</v>
      </c>
      <c r="M818" s="754" t="s">
        <v>312</v>
      </c>
      <c r="N818" s="754">
        <v>20.8013000488281</v>
      </c>
      <c r="O818" s="754">
        <v>92.423202514648395</v>
      </c>
      <c r="P818" s="754" t="s">
        <v>813</v>
      </c>
      <c r="Q818" s="754" t="s">
        <v>794</v>
      </c>
      <c r="R818" s="771"/>
      <c r="S818" s="764"/>
      <c r="T818" s="783"/>
      <c r="U818" s="771"/>
      <c r="V818" s="754" t="s">
        <v>621</v>
      </c>
      <c r="W818" s="763"/>
      <c r="X818" s="17"/>
      <c r="Z818" s="17"/>
    </row>
    <row r="819" spans="1:26" ht="14.25" customHeight="1">
      <c r="A819" s="754" t="s">
        <v>3005</v>
      </c>
      <c r="B819" s="781" t="s">
        <v>323</v>
      </c>
      <c r="C819" s="780" t="s">
        <v>2138</v>
      </c>
      <c r="D819" s="761" t="s">
        <v>1693</v>
      </c>
      <c r="E819" s="766">
        <v>197890</v>
      </c>
      <c r="F819" s="754"/>
      <c r="G819" s="754"/>
      <c r="H819" s="754"/>
      <c r="I819" s="754"/>
      <c r="J819" s="754" t="s">
        <v>812</v>
      </c>
      <c r="K819" s="760" t="s">
        <v>812</v>
      </c>
      <c r="L819" s="760" t="s">
        <v>812</v>
      </c>
      <c r="M819" s="754" t="s">
        <v>312</v>
      </c>
      <c r="N819" s="754">
        <v>21.016569140000001</v>
      </c>
      <c r="O819" s="754">
        <v>92.307716369999994</v>
      </c>
      <c r="P819" s="754" t="s">
        <v>813</v>
      </c>
      <c r="Q819" s="754" t="s">
        <v>794</v>
      </c>
      <c r="R819" s="763"/>
      <c r="S819" s="764"/>
      <c r="T819" s="783">
        <v>43300</v>
      </c>
      <c r="U819" s="765"/>
      <c r="V819" s="754" t="s">
        <v>692</v>
      </c>
      <c r="W819" s="754"/>
      <c r="X819" s="17"/>
      <c r="Z819" s="17"/>
    </row>
    <row r="820" spans="1:26" ht="14.25" customHeight="1">
      <c r="A820" s="754" t="s">
        <v>3005</v>
      </c>
      <c r="B820" s="781" t="s">
        <v>323</v>
      </c>
      <c r="C820" s="780" t="s">
        <v>340</v>
      </c>
      <c r="D820" s="637" t="s">
        <v>1693</v>
      </c>
      <c r="E820" s="760"/>
      <c r="F820" s="754"/>
      <c r="G820" s="754"/>
      <c r="H820" s="754"/>
      <c r="I820" s="754"/>
      <c r="J820" s="754" t="s">
        <v>812</v>
      </c>
      <c r="K820" s="760" t="s">
        <v>812</v>
      </c>
      <c r="L820" s="760" t="s">
        <v>812</v>
      </c>
      <c r="M820" s="754" t="s">
        <v>809</v>
      </c>
      <c r="N820" s="754"/>
      <c r="O820" s="754"/>
      <c r="P820" s="754" t="s">
        <v>813</v>
      </c>
      <c r="Q820" s="754" t="s">
        <v>794</v>
      </c>
      <c r="R820" s="763"/>
      <c r="S820" s="764"/>
      <c r="T820" s="783"/>
      <c r="U820" s="765"/>
      <c r="V820" s="754"/>
      <c r="W820" s="754"/>
      <c r="X820" s="17"/>
      <c r="Z820" s="17"/>
    </row>
    <row r="821" spans="1:26" ht="14.25" customHeight="1">
      <c r="A821" s="754" t="s">
        <v>3005</v>
      </c>
      <c r="B821" s="792" t="s">
        <v>323</v>
      </c>
      <c r="C821" s="793" t="s">
        <v>603</v>
      </c>
      <c r="D821" s="761" t="s">
        <v>1693</v>
      </c>
      <c r="E821" s="754">
        <v>220739</v>
      </c>
      <c r="F821" s="754"/>
      <c r="G821" s="754"/>
      <c r="H821" s="754"/>
      <c r="I821" s="754"/>
      <c r="J821" s="754" t="s">
        <v>812</v>
      </c>
      <c r="K821" s="760" t="s">
        <v>812</v>
      </c>
      <c r="L821" s="760" t="s">
        <v>812</v>
      </c>
      <c r="M821" s="754" t="s">
        <v>312</v>
      </c>
      <c r="N821" s="754">
        <v>20.76523972</v>
      </c>
      <c r="O821" s="754">
        <v>92.422332760000003</v>
      </c>
      <c r="P821" s="754" t="s">
        <v>813</v>
      </c>
      <c r="Q821" s="754" t="s">
        <v>794</v>
      </c>
      <c r="R821" s="771"/>
      <c r="S821" s="764"/>
      <c r="T821" s="783"/>
      <c r="U821" s="765"/>
      <c r="V821" s="754" t="s">
        <v>948</v>
      </c>
      <c r="W821" s="754"/>
      <c r="X821" s="17"/>
      <c r="Z821" s="17"/>
    </row>
    <row r="822" spans="1:26" ht="14.25" customHeight="1">
      <c r="A822" s="754" t="s">
        <v>3005</v>
      </c>
      <c r="B822" s="781" t="s">
        <v>323</v>
      </c>
      <c r="C822" s="780" t="s">
        <v>578</v>
      </c>
      <c r="D822" s="637" t="s">
        <v>1693</v>
      </c>
      <c r="E822" s="754">
        <v>220744</v>
      </c>
      <c r="F822" s="754"/>
      <c r="G822" s="754"/>
      <c r="H822" s="754"/>
      <c r="I822" s="754"/>
      <c r="J822" s="754" t="s">
        <v>812</v>
      </c>
      <c r="K822" s="760" t="s">
        <v>812</v>
      </c>
      <c r="L822" s="760" t="s">
        <v>812</v>
      </c>
      <c r="M822" s="754" t="s">
        <v>312</v>
      </c>
      <c r="N822" s="754">
        <v>20.71612167</v>
      </c>
      <c r="O822" s="754">
        <v>92.442459110000001</v>
      </c>
      <c r="P822" s="754" t="s">
        <v>813</v>
      </c>
      <c r="Q822" s="754" t="s">
        <v>794</v>
      </c>
      <c r="R822" s="763"/>
      <c r="S822" s="764"/>
      <c r="T822" s="783"/>
      <c r="U822" s="765"/>
      <c r="V822" s="754" t="s">
        <v>944</v>
      </c>
      <c r="W822" s="754"/>
      <c r="X822" s="17"/>
      <c r="Z822" s="17"/>
    </row>
    <row r="823" spans="1:26" ht="14.25" customHeight="1">
      <c r="A823" s="754" t="s">
        <v>3005</v>
      </c>
      <c r="B823" s="792" t="s">
        <v>323</v>
      </c>
      <c r="C823" s="793" t="s">
        <v>544</v>
      </c>
      <c r="D823" s="761" t="s">
        <v>1693</v>
      </c>
      <c r="E823" s="754">
        <v>198024</v>
      </c>
      <c r="F823" s="754"/>
      <c r="G823" s="754"/>
      <c r="H823" s="754"/>
      <c r="I823" s="754"/>
      <c r="J823" s="754" t="s">
        <v>812</v>
      </c>
      <c r="K823" s="760" t="s">
        <v>812</v>
      </c>
      <c r="L823" s="760" t="s">
        <v>812</v>
      </c>
      <c r="M823" s="754" t="s">
        <v>809</v>
      </c>
      <c r="N823" s="754">
        <v>20.669300079999999</v>
      </c>
      <c r="O823" s="754">
        <v>92.46575928</v>
      </c>
      <c r="P823" s="754" t="s">
        <v>813</v>
      </c>
      <c r="Q823" s="754" t="s">
        <v>794</v>
      </c>
      <c r="R823" s="771"/>
      <c r="S823" s="764"/>
      <c r="T823" s="783">
        <v>42745</v>
      </c>
      <c r="U823" s="765"/>
      <c r="V823" s="754" t="s">
        <v>938</v>
      </c>
      <c r="W823" s="754"/>
      <c r="X823" s="17"/>
      <c r="Z823" s="17"/>
    </row>
    <row r="824" spans="1:26" ht="14.25" customHeight="1">
      <c r="A824" s="754" t="s">
        <v>3005</v>
      </c>
      <c r="B824" s="781" t="s">
        <v>323</v>
      </c>
      <c r="C824" s="780" t="s">
        <v>698</v>
      </c>
      <c r="D824" s="637" t="s">
        <v>1693</v>
      </c>
      <c r="E824" s="754">
        <v>197887</v>
      </c>
      <c r="F824" s="754"/>
      <c r="G824" s="754"/>
      <c r="H824" s="754"/>
      <c r="I824" s="754"/>
      <c r="J824" s="754" t="s">
        <v>812</v>
      </c>
      <c r="K824" s="760" t="s">
        <v>812</v>
      </c>
      <c r="L824" s="760" t="s">
        <v>812</v>
      </c>
      <c r="M824" s="754" t="s">
        <v>809</v>
      </c>
      <c r="N824" s="754">
        <v>21.04866028</v>
      </c>
      <c r="O824" s="754">
        <v>92.293350219999994</v>
      </c>
      <c r="P824" s="754" t="s">
        <v>813</v>
      </c>
      <c r="Q824" s="754" t="s">
        <v>794</v>
      </c>
      <c r="R824" s="763"/>
      <c r="S824" s="764"/>
      <c r="T824" s="783"/>
      <c r="U824" s="765"/>
      <c r="V824" s="754" t="s">
        <v>698</v>
      </c>
      <c r="W824" s="754"/>
      <c r="X824" s="17"/>
      <c r="Z824" s="17"/>
    </row>
    <row r="825" spans="1:26" ht="14.25" customHeight="1">
      <c r="A825" s="754" t="s">
        <v>3005</v>
      </c>
      <c r="B825" s="781" t="s">
        <v>323</v>
      </c>
      <c r="C825" s="780" t="s">
        <v>2129</v>
      </c>
      <c r="D825" s="637"/>
      <c r="E825" s="754">
        <v>198094</v>
      </c>
      <c r="F825" s="754"/>
      <c r="G825" s="754"/>
      <c r="H825" s="754"/>
      <c r="I825" s="754"/>
      <c r="J825" s="754" t="s">
        <v>812</v>
      </c>
      <c r="K825" s="754" t="s">
        <v>812</v>
      </c>
      <c r="L825" s="754" t="s">
        <v>812</v>
      </c>
      <c r="M825" s="754" t="s">
        <v>312</v>
      </c>
      <c r="N825" s="754">
        <v>21.157270430000001</v>
      </c>
      <c r="O825" s="754">
        <v>92.209739690000006</v>
      </c>
      <c r="P825" s="754"/>
      <c r="Q825" s="754"/>
      <c r="R825" s="763"/>
      <c r="S825" s="764"/>
      <c r="T825" s="783">
        <v>43300</v>
      </c>
      <c r="U825" s="765"/>
      <c r="V825" s="754"/>
      <c r="W825" s="754"/>
      <c r="X825" s="17"/>
      <c r="Z825" s="17"/>
    </row>
    <row r="826" spans="1:26" ht="14.25" customHeight="1">
      <c r="A826" s="754" t="s">
        <v>3005</v>
      </c>
      <c r="B826" s="781" t="s">
        <v>323</v>
      </c>
      <c r="C826" s="780" t="s">
        <v>2116</v>
      </c>
      <c r="D826" s="637"/>
      <c r="E826" s="760">
        <v>197950</v>
      </c>
      <c r="F826" s="754"/>
      <c r="G826" s="754"/>
      <c r="H826" s="754"/>
      <c r="I826" s="754"/>
      <c r="J826" s="754" t="s">
        <v>812</v>
      </c>
      <c r="K826" s="754" t="s">
        <v>812</v>
      </c>
      <c r="L826" s="754" t="s">
        <v>812</v>
      </c>
      <c r="M826" s="754" t="s">
        <v>809</v>
      </c>
      <c r="N826" s="754">
        <v>20.914119719999999</v>
      </c>
      <c r="O826" s="760">
        <v>92.3506012</v>
      </c>
      <c r="P826" s="754"/>
      <c r="Q826" s="754"/>
      <c r="R826" s="763"/>
      <c r="S826" s="764"/>
      <c r="T826" s="783">
        <v>43300</v>
      </c>
      <c r="U826" s="765"/>
      <c r="V826" s="754"/>
      <c r="W826" s="754"/>
      <c r="X826" s="17"/>
      <c r="Z826" s="17"/>
    </row>
    <row r="827" spans="1:26" ht="14.25" customHeight="1">
      <c r="A827" s="754" t="s">
        <v>3005</v>
      </c>
      <c r="B827" s="792" t="s">
        <v>323</v>
      </c>
      <c r="C827" s="793" t="s">
        <v>2145</v>
      </c>
      <c r="D827" s="761"/>
      <c r="E827" s="754">
        <v>198075</v>
      </c>
      <c r="F827" s="754"/>
      <c r="G827" s="754"/>
      <c r="H827" s="754"/>
      <c r="I827" s="754"/>
      <c r="J827" s="754" t="s">
        <v>812</v>
      </c>
      <c r="K827" s="754" t="s">
        <v>812</v>
      </c>
      <c r="L827" s="754" t="s">
        <v>812</v>
      </c>
      <c r="M827" s="754" t="s">
        <v>312</v>
      </c>
      <c r="N827" s="754">
        <v>20.543220519999998</v>
      </c>
      <c r="O827" s="754">
        <v>92.544296259999996</v>
      </c>
      <c r="P827" s="754"/>
      <c r="Q827" s="754"/>
      <c r="R827" s="771"/>
      <c r="S827" s="764"/>
      <c r="T827" s="783">
        <v>43300</v>
      </c>
      <c r="U827" s="765"/>
      <c r="V827" s="754"/>
      <c r="W827" s="754"/>
      <c r="X827" s="17"/>
      <c r="Z827" s="17"/>
    </row>
    <row r="828" spans="1:26" ht="14.25" customHeight="1">
      <c r="A828" s="754" t="s">
        <v>3005</v>
      </c>
      <c r="B828" s="781" t="s">
        <v>323</v>
      </c>
      <c r="C828" s="780" t="s">
        <v>510</v>
      </c>
      <c r="D828" s="637" t="s">
        <v>1693</v>
      </c>
      <c r="E828" s="754">
        <v>198075</v>
      </c>
      <c r="F828" s="760"/>
      <c r="G828" s="754"/>
      <c r="H828" s="754"/>
      <c r="I828" s="754"/>
      <c r="J828" s="754" t="s">
        <v>812</v>
      </c>
      <c r="K828" s="754" t="s">
        <v>812</v>
      </c>
      <c r="L828" s="754" t="s">
        <v>812</v>
      </c>
      <c r="M828" s="754" t="s">
        <v>312</v>
      </c>
      <c r="N828" s="754">
        <v>20.543220519999998</v>
      </c>
      <c r="O828" s="754">
        <v>92.544296259999996</v>
      </c>
      <c r="P828" s="754" t="s">
        <v>813</v>
      </c>
      <c r="Q828" s="754" t="s">
        <v>794</v>
      </c>
      <c r="R828" s="763"/>
      <c r="S828" s="764"/>
      <c r="T828" s="783"/>
      <c r="U828" s="765"/>
      <c r="V828" s="754" t="s">
        <v>510</v>
      </c>
      <c r="W828" s="754"/>
      <c r="X828" s="17"/>
      <c r="Z828" s="17"/>
    </row>
    <row r="829" spans="1:26" ht="14.25" customHeight="1">
      <c r="A829" s="754" t="s">
        <v>3005</v>
      </c>
      <c r="B829" s="792" t="s">
        <v>323</v>
      </c>
      <c r="C829" s="793" t="s">
        <v>534</v>
      </c>
      <c r="D829" s="761" t="s">
        <v>1693</v>
      </c>
      <c r="E829" s="754">
        <v>198058</v>
      </c>
      <c r="F829" s="760"/>
      <c r="G829" s="754"/>
      <c r="H829" s="754"/>
      <c r="I829" s="754"/>
      <c r="J829" s="754" t="s">
        <v>812</v>
      </c>
      <c r="K829" s="754" t="s">
        <v>812</v>
      </c>
      <c r="L829" s="754" t="s">
        <v>812</v>
      </c>
      <c r="M829" s="754" t="s">
        <v>809</v>
      </c>
      <c r="N829" s="754">
        <v>20.64685059</v>
      </c>
      <c r="O829" s="760">
        <v>92.493553160000005</v>
      </c>
      <c r="P829" s="754" t="s">
        <v>813</v>
      </c>
      <c r="Q829" s="754" t="s">
        <v>794</v>
      </c>
      <c r="R829" s="771"/>
      <c r="S829" s="764"/>
      <c r="T829" s="783"/>
      <c r="U829" s="765"/>
      <c r="V829" s="754" t="s">
        <v>534</v>
      </c>
      <c r="W829" s="754"/>
      <c r="X829" s="17"/>
      <c r="Z829" s="17"/>
    </row>
    <row r="830" spans="1:26" ht="14.25" customHeight="1">
      <c r="A830" s="754" t="s">
        <v>3005</v>
      </c>
      <c r="B830" s="792" t="s">
        <v>323</v>
      </c>
      <c r="C830" s="793" t="s">
        <v>2108</v>
      </c>
      <c r="D830" s="761"/>
      <c r="E830" s="754">
        <v>197943</v>
      </c>
      <c r="F830" s="760"/>
      <c r="G830" s="754"/>
      <c r="H830" s="754"/>
      <c r="I830" s="754"/>
      <c r="J830" s="754" t="s">
        <v>812</v>
      </c>
      <c r="K830" s="754" t="s">
        <v>812</v>
      </c>
      <c r="L830" s="754" t="s">
        <v>812</v>
      </c>
      <c r="M830" s="754" t="s">
        <v>809</v>
      </c>
      <c r="N830" s="754">
        <v>20.895000459999999</v>
      </c>
      <c r="O830" s="754">
        <v>92.398574830000001</v>
      </c>
      <c r="P830" s="754"/>
      <c r="Q830" s="754"/>
      <c r="R830" s="771"/>
      <c r="S830" s="764"/>
      <c r="T830" s="783">
        <v>43300</v>
      </c>
      <c r="U830" s="765"/>
      <c r="V830" s="754"/>
      <c r="W830" s="754"/>
      <c r="X830" s="17"/>
      <c r="Z830" s="17"/>
    </row>
    <row r="831" spans="1:26" ht="14.25" customHeight="1">
      <c r="A831" s="754" t="s">
        <v>3005</v>
      </c>
      <c r="B831" s="781" t="s">
        <v>323</v>
      </c>
      <c r="C831" s="780" t="s">
        <v>2107</v>
      </c>
      <c r="D831" s="637"/>
      <c r="E831" s="754">
        <v>197943</v>
      </c>
      <c r="F831" s="760"/>
      <c r="G831" s="754"/>
      <c r="H831" s="754"/>
      <c r="I831" s="754"/>
      <c r="J831" s="754" t="s">
        <v>812</v>
      </c>
      <c r="K831" s="760" t="s">
        <v>812</v>
      </c>
      <c r="L831" s="760" t="s">
        <v>812</v>
      </c>
      <c r="M831" s="754" t="s">
        <v>809</v>
      </c>
      <c r="N831" s="754">
        <v>20.895000459999999</v>
      </c>
      <c r="O831" s="754">
        <v>92.398574830000001</v>
      </c>
      <c r="P831" s="754"/>
      <c r="Q831" s="754"/>
      <c r="R831" s="763"/>
      <c r="S831" s="764"/>
      <c r="T831" s="783">
        <v>43300</v>
      </c>
      <c r="U831" s="765"/>
      <c r="V831" s="754"/>
      <c r="W831" s="754"/>
      <c r="X831" s="17"/>
      <c r="Z831" s="17"/>
    </row>
    <row r="832" spans="1:26" ht="14.25" customHeight="1">
      <c r="A832" s="754" t="s">
        <v>3005</v>
      </c>
      <c r="B832" s="781" t="s">
        <v>323</v>
      </c>
      <c r="C832" s="780" t="s">
        <v>2071</v>
      </c>
      <c r="D832" s="637"/>
      <c r="E832" s="754">
        <v>197878</v>
      </c>
      <c r="F832" s="754" t="s">
        <v>2070</v>
      </c>
      <c r="G832" s="754"/>
      <c r="H832" s="754"/>
      <c r="I832" s="754"/>
      <c r="J832" s="754" t="s">
        <v>812</v>
      </c>
      <c r="K832" s="760" t="s">
        <v>812</v>
      </c>
      <c r="L832" s="760" t="s">
        <v>812</v>
      </c>
      <c r="M832" s="754" t="s">
        <v>809</v>
      </c>
      <c r="N832" s="754">
        <v>21.012830730000001</v>
      </c>
      <c r="O832" s="754">
        <v>92.338958739999995</v>
      </c>
      <c r="P832" s="754"/>
      <c r="Q832" s="754"/>
      <c r="R832" s="763"/>
      <c r="S832" s="764"/>
      <c r="T832" s="783">
        <v>43300</v>
      </c>
      <c r="U832" s="765"/>
      <c r="V832" s="754"/>
      <c r="W832" s="754"/>
      <c r="X832" s="17"/>
      <c r="Z832" s="17"/>
    </row>
    <row r="833" spans="1:26" ht="14.25" customHeight="1">
      <c r="A833" s="754" t="s">
        <v>3005</v>
      </c>
      <c r="B833" s="781" t="s">
        <v>323</v>
      </c>
      <c r="C833" s="780" t="s">
        <v>694</v>
      </c>
      <c r="D833" s="637" t="s">
        <v>1693</v>
      </c>
      <c r="E833" s="754">
        <v>197880</v>
      </c>
      <c r="F833" s="754"/>
      <c r="G833" s="754"/>
      <c r="H833" s="754"/>
      <c r="I833" s="754"/>
      <c r="J833" s="754" t="s">
        <v>812</v>
      </c>
      <c r="K833" s="760" t="s">
        <v>812</v>
      </c>
      <c r="L833" s="760" t="s">
        <v>812</v>
      </c>
      <c r="M833" s="754" t="s">
        <v>809</v>
      </c>
      <c r="N833" s="754">
        <v>21.021259310000001</v>
      </c>
      <c r="O833" s="754">
        <v>92.339538570000002</v>
      </c>
      <c r="P833" s="754" t="s">
        <v>813</v>
      </c>
      <c r="Q833" s="754" t="s">
        <v>794</v>
      </c>
      <c r="R833" s="763"/>
      <c r="S833" s="764"/>
      <c r="T833" s="783"/>
      <c r="U833" s="765"/>
      <c r="V833" s="754" t="s">
        <v>694</v>
      </c>
      <c r="W833" s="754"/>
      <c r="X833" s="17"/>
      <c r="Z833" s="17"/>
    </row>
    <row r="834" spans="1:26" ht="14.25" customHeight="1">
      <c r="A834" s="754" t="s">
        <v>3005</v>
      </c>
      <c r="B834" s="792" t="s">
        <v>323</v>
      </c>
      <c r="C834" s="793" t="s">
        <v>2112</v>
      </c>
      <c r="D834" s="761"/>
      <c r="E834" s="754"/>
      <c r="F834" s="754"/>
      <c r="G834" s="754"/>
      <c r="H834" s="754"/>
      <c r="I834" s="754"/>
      <c r="J834" s="754" t="s">
        <v>812</v>
      </c>
      <c r="K834" s="760" t="s">
        <v>812</v>
      </c>
      <c r="L834" s="760" t="s">
        <v>812</v>
      </c>
      <c r="M834" s="754" t="s">
        <v>809</v>
      </c>
      <c r="N834" s="754"/>
      <c r="O834" s="754"/>
      <c r="P834" s="754"/>
      <c r="Q834" s="754"/>
      <c r="R834" s="771"/>
      <c r="S834" s="764"/>
      <c r="T834" s="783">
        <v>43300</v>
      </c>
      <c r="U834" s="765"/>
      <c r="V834" s="754"/>
      <c r="W834" s="754"/>
      <c r="X834" s="17"/>
      <c r="Z834" s="17"/>
    </row>
    <row r="835" spans="1:26" ht="14.25" customHeight="1">
      <c r="A835" s="754" t="s">
        <v>3005</v>
      </c>
      <c r="B835" s="781" t="s">
        <v>323</v>
      </c>
      <c r="C835" s="780" t="s">
        <v>582</v>
      </c>
      <c r="D835" s="637" t="s">
        <v>1693</v>
      </c>
      <c r="E835" s="754">
        <v>198048</v>
      </c>
      <c r="F835" s="754"/>
      <c r="G835" s="754"/>
      <c r="H835" s="754"/>
      <c r="I835" s="754"/>
      <c r="J835" s="754" t="s">
        <v>812</v>
      </c>
      <c r="K835" s="754" t="s">
        <v>812</v>
      </c>
      <c r="L835" s="754" t="s">
        <v>812</v>
      </c>
      <c r="M835" s="754" t="s">
        <v>809</v>
      </c>
      <c r="N835" s="754">
        <v>20.720079420000001</v>
      </c>
      <c r="O835" s="754">
        <v>92.423591610000003</v>
      </c>
      <c r="P835" s="754" t="s">
        <v>813</v>
      </c>
      <c r="Q835" s="754" t="s">
        <v>794</v>
      </c>
      <c r="R835" s="763"/>
      <c r="S835" s="764"/>
      <c r="T835" s="783"/>
      <c r="U835" s="765"/>
      <c r="V835" s="754" t="s">
        <v>582</v>
      </c>
      <c r="W835" s="754"/>
      <c r="X835" s="17"/>
      <c r="Z835" s="17"/>
    </row>
    <row r="836" spans="1:26" ht="14.25" customHeight="1">
      <c r="A836" s="754" t="s">
        <v>3005</v>
      </c>
      <c r="B836" s="792" t="s">
        <v>323</v>
      </c>
      <c r="C836" s="793" t="s">
        <v>2168</v>
      </c>
      <c r="D836" s="761"/>
      <c r="E836" s="754">
        <v>220728</v>
      </c>
      <c r="F836" s="754"/>
      <c r="G836" s="754"/>
      <c r="H836" s="754"/>
      <c r="I836" s="754"/>
      <c r="J836" s="754" t="s">
        <v>812</v>
      </c>
      <c r="K836" s="754" t="s">
        <v>812</v>
      </c>
      <c r="L836" s="754" t="s">
        <v>812</v>
      </c>
      <c r="M836" s="754" t="s">
        <v>2146</v>
      </c>
      <c r="N836" s="754">
        <v>21.090957639999999</v>
      </c>
      <c r="O836" s="754">
        <v>92.361534120000002</v>
      </c>
      <c r="P836" s="754"/>
      <c r="Q836" s="754"/>
      <c r="R836" s="771"/>
      <c r="S836" s="764"/>
      <c r="T836" s="783">
        <v>43300</v>
      </c>
      <c r="U836" s="765"/>
      <c r="V836" s="754"/>
      <c r="W836" s="754"/>
      <c r="X836" s="17"/>
      <c r="Z836" s="17"/>
    </row>
    <row r="837" spans="1:26" ht="14.25" customHeight="1">
      <c r="A837" s="754" t="s">
        <v>3005</v>
      </c>
      <c r="B837" s="792" t="s">
        <v>323</v>
      </c>
      <c r="C837" s="793" t="s">
        <v>699</v>
      </c>
      <c r="D837" s="761" t="s">
        <v>1693</v>
      </c>
      <c r="E837" s="754">
        <v>197883</v>
      </c>
      <c r="F837" s="754"/>
      <c r="G837" s="754"/>
      <c r="H837" s="754"/>
      <c r="I837" s="754"/>
      <c r="J837" s="754" t="s">
        <v>812</v>
      </c>
      <c r="K837" s="754" t="s">
        <v>812</v>
      </c>
      <c r="L837" s="754" t="s">
        <v>812</v>
      </c>
      <c r="M837" s="754" t="s">
        <v>809</v>
      </c>
      <c r="N837" s="754">
        <v>21.05369949</v>
      </c>
      <c r="O837" s="754">
        <v>92.324119569999993</v>
      </c>
      <c r="P837" s="754" t="s">
        <v>813</v>
      </c>
      <c r="Q837" s="754" t="s">
        <v>794</v>
      </c>
      <c r="R837" s="771"/>
      <c r="S837" s="764"/>
      <c r="T837" s="783"/>
      <c r="U837" s="765"/>
      <c r="V837" s="754" t="s">
        <v>970</v>
      </c>
      <c r="W837" s="754"/>
      <c r="X837" s="17"/>
      <c r="Z837" s="17"/>
    </row>
    <row r="838" spans="1:26" ht="14.25" customHeight="1">
      <c r="A838" s="754" t="s">
        <v>3005</v>
      </c>
      <c r="B838" s="792" t="s">
        <v>323</v>
      </c>
      <c r="C838" s="780" t="s">
        <v>693</v>
      </c>
      <c r="D838" s="761" t="s">
        <v>1693</v>
      </c>
      <c r="E838" s="754">
        <v>197879</v>
      </c>
      <c r="F838" s="754"/>
      <c r="G838" s="754"/>
      <c r="H838" s="754"/>
      <c r="I838" s="754"/>
      <c r="J838" s="754" t="s">
        <v>812</v>
      </c>
      <c r="K838" s="754" t="s">
        <v>812</v>
      </c>
      <c r="L838" s="754" t="s">
        <v>812</v>
      </c>
      <c r="M838" s="754" t="s">
        <v>809</v>
      </c>
      <c r="N838" s="754">
        <v>21.0184803</v>
      </c>
      <c r="O838" s="754">
        <v>92.333999629999994</v>
      </c>
      <c r="P838" s="754" t="s">
        <v>813</v>
      </c>
      <c r="Q838" s="760" t="s">
        <v>794</v>
      </c>
      <c r="R838" s="771"/>
      <c r="S838" s="764"/>
      <c r="T838" s="784"/>
      <c r="U838" s="765"/>
      <c r="V838" s="754" t="s">
        <v>693</v>
      </c>
      <c r="W838" s="754"/>
      <c r="X838" s="17"/>
      <c r="Z838" s="17"/>
    </row>
    <row r="839" spans="1:26" ht="14.25" customHeight="1">
      <c r="A839" s="754" t="s">
        <v>3005</v>
      </c>
      <c r="B839" s="792" t="s">
        <v>323</v>
      </c>
      <c r="C839" s="793" t="s">
        <v>341</v>
      </c>
      <c r="D839" s="761" t="s">
        <v>1693</v>
      </c>
      <c r="E839" s="754"/>
      <c r="F839" s="754"/>
      <c r="G839" s="754"/>
      <c r="H839" s="754"/>
      <c r="I839" s="754"/>
      <c r="J839" s="754" t="s">
        <v>812</v>
      </c>
      <c r="K839" s="754" t="s">
        <v>812</v>
      </c>
      <c r="L839" s="754" t="s">
        <v>812</v>
      </c>
      <c r="M839" s="754" t="s">
        <v>312</v>
      </c>
      <c r="N839" s="754"/>
      <c r="O839" s="760"/>
      <c r="P839" s="754" t="s">
        <v>813</v>
      </c>
      <c r="Q839" s="754" t="s">
        <v>794</v>
      </c>
      <c r="R839" s="771"/>
      <c r="S839" s="764"/>
      <c r="T839" s="783"/>
      <c r="U839" s="765"/>
      <c r="V839" s="754" t="s">
        <v>341</v>
      </c>
      <c r="W839" s="754"/>
      <c r="X839" s="17"/>
      <c r="Z839" s="17"/>
    </row>
    <row r="840" spans="1:26" ht="14.25" customHeight="1">
      <c r="A840" s="754" t="s">
        <v>3005</v>
      </c>
      <c r="B840" s="781" t="s">
        <v>323</v>
      </c>
      <c r="C840" s="780" t="s">
        <v>615</v>
      </c>
      <c r="D840" s="637" t="s">
        <v>1693</v>
      </c>
      <c r="E840" s="754">
        <v>198001</v>
      </c>
      <c r="F840" s="754"/>
      <c r="G840" s="754"/>
      <c r="H840" s="754"/>
      <c r="I840" s="754"/>
      <c r="J840" s="754" t="s">
        <v>812</v>
      </c>
      <c r="K840" s="754" t="s">
        <v>812</v>
      </c>
      <c r="L840" s="754" t="s">
        <v>812</v>
      </c>
      <c r="M840" s="754" t="s">
        <v>809</v>
      </c>
      <c r="N840" s="754">
        <v>20.78729057</v>
      </c>
      <c r="O840" s="754">
        <v>92.401252749999998</v>
      </c>
      <c r="P840" s="754" t="s">
        <v>813</v>
      </c>
      <c r="Q840" s="754" t="s">
        <v>794</v>
      </c>
      <c r="R840" s="763"/>
      <c r="S840" s="764"/>
      <c r="T840" s="783"/>
      <c r="U840" s="765"/>
      <c r="V840" s="754" t="s">
        <v>615</v>
      </c>
      <c r="W840" s="754"/>
      <c r="X840" s="17"/>
      <c r="Z840" s="17"/>
    </row>
    <row r="841" spans="1:26" ht="14.25" customHeight="1">
      <c r="A841" s="754" t="s">
        <v>3005</v>
      </c>
      <c r="B841" s="781" t="s">
        <v>323</v>
      </c>
      <c r="C841" s="780" t="s">
        <v>2120</v>
      </c>
      <c r="D841" s="637"/>
      <c r="E841" s="754">
        <v>197987</v>
      </c>
      <c r="F841" s="760"/>
      <c r="G841" s="754"/>
      <c r="H841" s="754"/>
      <c r="I841" s="754"/>
      <c r="J841" s="754" t="s">
        <v>812</v>
      </c>
      <c r="K841" s="754" t="s">
        <v>812</v>
      </c>
      <c r="L841" s="754" t="s">
        <v>812</v>
      </c>
      <c r="M841" s="754" t="s">
        <v>809</v>
      </c>
      <c r="N841" s="754">
        <v>20.81588936</v>
      </c>
      <c r="O841" s="754">
        <v>92.372566219999996</v>
      </c>
      <c r="P841" s="754"/>
      <c r="Q841" s="754"/>
      <c r="R841" s="763"/>
      <c r="S841" s="764"/>
      <c r="T841" s="783">
        <v>43300</v>
      </c>
      <c r="U841" s="765"/>
      <c r="V841" s="754"/>
      <c r="W841" s="754"/>
      <c r="X841" s="17"/>
      <c r="Z841" s="17"/>
    </row>
    <row r="842" spans="1:26" ht="14.25" customHeight="1">
      <c r="A842" s="754" t="s">
        <v>3005</v>
      </c>
      <c r="B842" s="792" t="s">
        <v>323</v>
      </c>
      <c r="C842" s="793" t="s">
        <v>2162</v>
      </c>
      <c r="D842" s="761"/>
      <c r="E842" s="754">
        <v>198089</v>
      </c>
      <c r="F842" s="760"/>
      <c r="G842" s="754"/>
      <c r="H842" s="754"/>
      <c r="I842" s="754"/>
      <c r="J842" s="754" t="s">
        <v>812</v>
      </c>
      <c r="K842" s="754" t="s">
        <v>812</v>
      </c>
      <c r="L842" s="754" t="s">
        <v>812</v>
      </c>
      <c r="M842" s="754" t="s">
        <v>2149</v>
      </c>
      <c r="N842" s="754">
        <v>21.19529915</v>
      </c>
      <c r="O842" s="754">
        <v>92.221542360000001</v>
      </c>
      <c r="P842" s="754"/>
      <c r="Q842" s="754"/>
      <c r="R842" s="771"/>
      <c r="S842" s="764"/>
      <c r="T842" s="783">
        <v>43300</v>
      </c>
      <c r="U842" s="765"/>
      <c r="V842" s="754"/>
      <c r="W842" s="754"/>
      <c r="X842" s="17"/>
      <c r="Z842" s="17"/>
    </row>
    <row r="843" spans="1:26" ht="14.25" customHeight="1">
      <c r="A843" s="754" t="s">
        <v>3005</v>
      </c>
      <c r="B843" s="781" t="s">
        <v>323</v>
      </c>
      <c r="C843" s="780" t="s">
        <v>2142</v>
      </c>
      <c r="D843" s="637"/>
      <c r="E843" s="754">
        <v>197922</v>
      </c>
      <c r="F843" s="754"/>
      <c r="G843" s="754"/>
      <c r="H843" s="754"/>
      <c r="I843" s="754"/>
      <c r="J843" s="754" t="s">
        <v>812</v>
      </c>
      <c r="K843" s="754" t="s">
        <v>812</v>
      </c>
      <c r="L843" s="754" t="s">
        <v>812</v>
      </c>
      <c r="M843" s="754" t="s">
        <v>809</v>
      </c>
      <c r="N843" s="754">
        <v>20.93643951</v>
      </c>
      <c r="O843" s="754">
        <v>92.314498900000004</v>
      </c>
      <c r="P843" s="754"/>
      <c r="Q843" s="754"/>
      <c r="R843" s="763"/>
      <c r="S843" s="764"/>
      <c r="T843" s="783">
        <v>43300</v>
      </c>
      <c r="U843" s="765"/>
      <c r="V843" s="754"/>
      <c r="W843" s="754"/>
      <c r="X843" s="17"/>
      <c r="Z843" s="17"/>
    </row>
    <row r="844" spans="1:26" ht="14.25" customHeight="1">
      <c r="A844" s="754" t="s">
        <v>3005</v>
      </c>
      <c r="B844" s="781" t="s">
        <v>323</v>
      </c>
      <c r="C844" s="780" t="s">
        <v>1947</v>
      </c>
      <c r="D844" s="637"/>
      <c r="E844" s="754">
        <v>197961</v>
      </c>
      <c r="F844" s="754"/>
      <c r="G844" s="754"/>
      <c r="H844" s="754"/>
      <c r="I844" s="754"/>
      <c r="J844" s="754" t="s">
        <v>812</v>
      </c>
      <c r="K844" s="754" t="s">
        <v>812</v>
      </c>
      <c r="L844" s="754" t="s">
        <v>812</v>
      </c>
      <c r="M844" s="754" t="s">
        <v>809</v>
      </c>
      <c r="N844" s="754">
        <v>20.903369900000001</v>
      </c>
      <c r="O844" s="754">
        <v>92.332237239999998</v>
      </c>
      <c r="P844" s="754" t="s">
        <v>813</v>
      </c>
      <c r="Q844" s="754" t="s">
        <v>1950</v>
      </c>
      <c r="R844" s="763"/>
      <c r="S844" s="764"/>
      <c r="T844" s="783">
        <v>43245</v>
      </c>
      <c r="U844" s="765"/>
      <c r="V844" s="754"/>
      <c r="W844" s="754"/>
      <c r="X844" s="17"/>
      <c r="Z844" s="17"/>
    </row>
    <row r="845" spans="1:26" ht="14.25" customHeight="1">
      <c r="A845" s="754" t="s">
        <v>3005</v>
      </c>
      <c r="B845" s="781" t="s">
        <v>323</v>
      </c>
      <c r="C845" s="780" t="s">
        <v>2160</v>
      </c>
      <c r="D845" s="637"/>
      <c r="E845" s="754">
        <v>197847</v>
      </c>
      <c r="F845" s="754"/>
      <c r="G845" s="754"/>
      <c r="H845" s="754"/>
      <c r="I845" s="754"/>
      <c r="J845" s="754" t="s">
        <v>812</v>
      </c>
      <c r="K845" s="754" t="s">
        <v>812</v>
      </c>
      <c r="L845" s="754" t="s">
        <v>812</v>
      </c>
      <c r="M845" s="754" t="s">
        <v>312</v>
      </c>
      <c r="N845" s="754">
        <v>21.134050370000001</v>
      </c>
      <c r="O845" s="754">
        <v>92.323478699999995</v>
      </c>
      <c r="P845" s="754"/>
      <c r="Q845" s="754"/>
      <c r="R845" s="763"/>
      <c r="S845" s="764"/>
      <c r="T845" s="783">
        <v>43300</v>
      </c>
      <c r="U845" s="765"/>
      <c r="V845" s="754"/>
      <c r="W845" s="754"/>
      <c r="X845" s="17"/>
      <c r="Z845" s="17"/>
    </row>
    <row r="846" spans="1:26" ht="14.25" customHeight="1">
      <c r="A846" s="754" t="s">
        <v>3005</v>
      </c>
      <c r="B846" s="781" t="s">
        <v>323</v>
      </c>
      <c r="C846" s="780" t="s">
        <v>2166</v>
      </c>
      <c r="D846" s="637"/>
      <c r="E846" s="754">
        <v>220706</v>
      </c>
      <c r="F846" s="754"/>
      <c r="G846" s="754"/>
      <c r="H846" s="754"/>
      <c r="I846" s="754"/>
      <c r="J846" s="754" t="s">
        <v>812</v>
      </c>
      <c r="K846" s="754" t="s">
        <v>812</v>
      </c>
      <c r="L846" s="754" t="s">
        <v>812</v>
      </c>
      <c r="M846" s="754" t="s">
        <v>2150</v>
      </c>
      <c r="N846" s="754">
        <v>21.2600956</v>
      </c>
      <c r="O846" s="754">
        <v>92.278442380000001</v>
      </c>
      <c r="P846" s="754"/>
      <c r="Q846" s="754"/>
      <c r="R846" s="763"/>
      <c r="S846" s="764"/>
      <c r="T846" s="783">
        <v>43300</v>
      </c>
      <c r="U846" s="765"/>
      <c r="V846" s="754"/>
      <c r="W846" s="754"/>
      <c r="X846" s="17"/>
      <c r="Z846" s="17"/>
    </row>
    <row r="847" spans="1:26" ht="14.25" customHeight="1">
      <c r="A847" s="754" t="s">
        <v>3005</v>
      </c>
      <c r="B847" s="781" t="s">
        <v>323</v>
      </c>
      <c r="C847" s="780" t="s">
        <v>2165</v>
      </c>
      <c r="D847" s="637"/>
      <c r="E847" s="754">
        <v>220721</v>
      </c>
      <c r="F847" s="754"/>
      <c r="G847" s="754"/>
      <c r="H847" s="754"/>
      <c r="I847" s="754"/>
      <c r="J847" s="754" t="s">
        <v>812</v>
      </c>
      <c r="K847" s="754" t="s">
        <v>812</v>
      </c>
      <c r="L847" s="754" t="s">
        <v>812</v>
      </c>
      <c r="M847" s="754" t="s">
        <v>312</v>
      </c>
      <c r="N847" s="754">
        <v>21.224542620000001</v>
      </c>
      <c r="O847" s="754">
        <v>92.294197080000004</v>
      </c>
      <c r="P847" s="754"/>
      <c r="Q847" s="754"/>
      <c r="R847" s="763"/>
      <c r="S847" s="764"/>
      <c r="T847" s="783">
        <v>43300</v>
      </c>
      <c r="U847" s="765"/>
      <c r="V847" s="754"/>
      <c r="W847" s="754"/>
      <c r="X847" s="17"/>
      <c r="Z847" s="17"/>
    </row>
    <row r="848" spans="1:26" ht="14.25" customHeight="1">
      <c r="A848" s="754" t="s">
        <v>3005</v>
      </c>
      <c r="B848" s="792" t="s">
        <v>323</v>
      </c>
      <c r="C848" s="793" t="s">
        <v>346</v>
      </c>
      <c r="D848" s="761" t="s">
        <v>1693</v>
      </c>
      <c r="E848" s="754"/>
      <c r="F848" s="754"/>
      <c r="G848" s="754"/>
      <c r="H848" s="754"/>
      <c r="I848" s="754"/>
      <c r="J848" s="754" t="s">
        <v>812</v>
      </c>
      <c r="K848" s="754" t="s">
        <v>812</v>
      </c>
      <c r="L848" s="754" t="s">
        <v>812</v>
      </c>
      <c r="M848" s="754" t="s">
        <v>809</v>
      </c>
      <c r="N848" s="754"/>
      <c r="O848" s="754"/>
      <c r="P848" s="754" t="s">
        <v>813</v>
      </c>
      <c r="Q848" s="754" t="s">
        <v>794</v>
      </c>
      <c r="R848" s="771"/>
      <c r="S848" s="764"/>
      <c r="T848" s="783"/>
      <c r="U848" s="765"/>
      <c r="V848" s="570" t="s">
        <v>1131</v>
      </c>
      <c r="W848" s="754"/>
      <c r="X848" s="17"/>
      <c r="Z848" s="17"/>
    </row>
    <row r="849" spans="1:26" ht="14.25" customHeight="1">
      <c r="A849" s="754" t="s">
        <v>3005</v>
      </c>
      <c r="B849" s="781" t="s">
        <v>323</v>
      </c>
      <c r="C849" s="780" t="s">
        <v>347</v>
      </c>
      <c r="D849" s="637" t="s">
        <v>1693</v>
      </c>
      <c r="E849" s="754"/>
      <c r="F849" s="754"/>
      <c r="G849" s="754"/>
      <c r="H849" s="754"/>
      <c r="I849" s="754"/>
      <c r="J849" s="754" t="s">
        <v>812</v>
      </c>
      <c r="K849" s="754" t="s">
        <v>812</v>
      </c>
      <c r="L849" s="754" t="s">
        <v>812</v>
      </c>
      <c r="M849" s="754" t="s">
        <v>809</v>
      </c>
      <c r="N849" s="754"/>
      <c r="O849" s="754"/>
      <c r="P849" s="754" t="s">
        <v>813</v>
      </c>
      <c r="Q849" s="754" t="s">
        <v>794</v>
      </c>
      <c r="R849" s="763"/>
      <c r="S849" s="764"/>
      <c r="T849" s="783"/>
      <c r="U849" s="765"/>
      <c r="V849" s="570" t="s">
        <v>1132</v>
      </c>
      <c r="W849" s="754"/>
      <c r="X849" s="17"/>
      <c r="Z849" s="17"/>
    </row>
    <row r="850" spans="1:26" ht="14.25" customHeight="1">
      <c r="A850" s="754" t="s">
        <v>3005</v>
      </c>
      <c r="B850" s="792" t="s">
        <v>323</v>
      </c>
      <c r="C850" s="793" t="s">
        <v>3088</v>
      </c>
      <c r="D850" s="761"/>
      <c r="E850" s="754">
        <v>220725</v>
      </c>
      <c r="F850" s="754"/>
      <c r="G850" s="754"/>
      <c r="H850" s="754"/>
      <c r="I850" s="754"/>
      <c r="J850" s="754" t="s">
        <v>812</v>
      </c>
      <c r="K850" s="754" t="s">
        <v>812</v>
      </c>
      <c r="L850" s="754" t="s">
        <v>812</v>
      </c>
      <c r="M850" s="754" t="s">
        <v>697</v>
      </c>
      <c r="N850" s="754">
        <v>21.089906689999999</v>
      </c>
      <c r="O850" s="754">
        <v>92.341598509999997</v>
      </c>
      <c r="P850" s="754"/>
      <c r="Q850" s="754"/>
      <c r="R850" s="771"/>
      <c r="S850" s="764"/>
      <c r="T850" s="783">
        <v>43300</v>
      </c>
      <c r="U850" s="765"/>
      <c r="V850" s="754"/>
      <c r="W850" s="754"/>
      <c r="X850" s="17"/>
      <c r="Z850" s="17"/>
    </row>
    <row r="851" spans="1:26" ht="14.25" customHeight="1">
      <c r="A851" s="754" t="s">
        <v>3005</v>
      </c>
      <c r="B851" s="781" t="s">
        <v>323</v>
      </c>
      <c r="C851" s="780" t="s">
        <v>3087</v>
      </c>
      <c r="D851" s="637"/>
      <c r="E851" s="754">
        <v>220725</v>
      </c>
      <c r="F851" s="754"/>
      <c r="G851" s="754"/>
      <c r="H851" s="754"/>
      <c r="I851" s="754"/>
      <c r="J851" s="754" t="s">
        <v>812</v>
      </c>
      <c r="K851" s="754" t="s">
        <v>812</v>
      </c>
      <c r="L851" s="754" t="s">
        <v>812</v>
      </c>
      <c r="M851" s="754" t="s">
        <v>312</v>
      </c>
      <c r="N851" s="754">
        <v>21.089906689999999</v>
      </c>
      <c r="O851" s="754">
        <v>92.341598509999997</v>
      </c>
      <c r="P851" s="754"/>
      <c r="Q851" s="754"/>
      <c r="R851" s="763"/>
      <c r="S851" s="764"/>
      <c r="T851" s="783">
        <v>43300</v>
      </c>
      <c r="U851" s="765"/>
      <c r="V851" s="754"/>
      <c r="W851" s="754"/>
      <c r="X851" s="17"/>
      <c r="Z851" s="17"/>
    </row>
    <row r="852" spans="1:26" ht="14.25" customHeight="1">
      <c r="A852" s="754" t="s">
        <v>3005</v>
      </c>
      <c r="B852" s="781" t="s">
        <v>323</v>
      </c>
      <c r="C852" s="780" t="s">
        <v>348</v>
      </c>
      <c r="D852" s="637" t="s">
        <v>1693</v>
      </c>
      <c r="E852" s="754"/>
      <c r="F852" s="754"/>
      <c r="G852" s="754"/>
      <c r="H852" s="754"/>
      <c r="I852" s="754"/>
      <c r="J852" s="754" t="s">
        <v>812</v>
      </c>
      <c r="K852" s="754" t="s">
        <v>812</v>
      </c>
      <c r="L852" s="754" t="s">
        <v>812</v>
      </c>
      <c r="M852" s="754" t="s">
        <v>312</v>
      </c>
      <c r="N852" s="754"/>
      <c r="O852" s="754"/>
      <c r="P852" s="754" t="s">
        <v>813</v>
      </c>
      <c r="Q852" s="754" t="s">
        <v>794</v>
      </c>
      <c r="R852" s="763"/>
      <c r="S852" s="764"/>
      <c r="T852" s="783"/>
      <c r="U852" s="765"/>
      <c r="V852" s="570" t="s">
        <v>1133</v>
      </c>
      <c r="W852" s="754"/>
      <c r="X852" s="17"/>
      <c r="Z852" s="17"/>
    </row>
    <row r="853" spans="1:26" ht="14.25" customHeight="1">
      <c r="A853" s="754" t="s">
        <v>3005</v>
      </c>
      <c r="B853" s="781" t="s">
        <v>323</v>
      </c>
      <c r="C853" s="780" t="s">
        <v>2134</v>
      </c>
      <c r="D853" s="637"/>
      <c r="E853" s="754">
        <v>197978</v>
      </c>
      <c r="F853" s="754"/>
      <c r="G853" s="754"/>
      <c r="H853" s="754"/>
      <c r="I853" s="754"/>
      <c r="J853" s="754" t="s">
        <v>812</v>
      </c>
      <c r="K853" s="754" t="s">
        <v>812</v>
      </c>
      <c r="L853" s="754" t="s">
        <v>812</v>
      </c>
      <c r="M853" s="754" t="s">
        <v>809</v>
      </c>
      <c r="N853" s="754">
        <v>20.834230420000001</v>
      </c>
      <c r="O853" s="754">
        <v>92.37967682</v>
      </c>
      <c r="P853" s="754"/>
      <c r="Q853" s="754"/>
      <c r="R853" s="763"/>
      <c r="S853" s="764"/>
      <c r="T853" s="783">
        <v>43300</v>
      </c>
      <c r="U853" s="765"/>
      <c r="V853" s="754"/>
      <c r="W853" s="754"/>
      <c r="X853" s="17"/>
      <c r="Z853" s="17"/>
    </row>
    <row r="854" spans="1:26" ht="14.25" customHeight="1">
      <c r="A854" s="754" t="s">
        <v>3005</v>
      </c>
      <c r="B854" s="792" t="s">
        <v>323</v>
      </c>
      <c r="C854" s="793" t="s">
        <v>646</v>
      </c>
      <c r="D854" s="761" t="s">
        <v>1693</v>
      </c>
      <c r="E854" s="754" t="s">
        <v>1429</v>
      </c>
      <c r="F854" s="754"/>
      <c r="G854" s="754"/>
      <c r="H854" s="754" t="s">
        <v>43</v>
      </c>
      <c r="I854" s="754"/>
      <c r="J854" s="754" t="s">
        <v>812</v>
      </c>
      <c r="K854" s="754" t="s">
        <v>812</v>
      </c>
      <c r="L854" s="754" t="s">
        <v>1693</v>
      </c>
      <c r="M854" s="754" t="s">
        <v>809</v>
      </c>
      <c r="N854" s="754">
        <v>20.827044000000001</v>
      </c>
      <c r="O854" s="754">
        <v>92.362932999999998</v>
      </c>
      <c r="P854" s="754" t="s">
        <v>775</v>
      </c>
      <c r="Q854" s="754" t="s">
        <v>794</v>
      </c>
      <c r="R854" s="771"/>
      <c r="S854" s="764"/>
      <c r="T854" s="783">
        <v>43248</v>
      </c>
      <c r="U854" s="765" t="s">
        <v>1943</v>
      </c>
      <c r="V854" s="754"/>
      <c r="W854" s="754"/>
      <c r="X854" s="17"/>
      <c r="Z854" s="17"/>
    </row>
    <row r="855" spans="1:26" ht="14.25" customHeight="1">
      <c r="A855" s="754" t="s">
        <v>3005</v>
      </c>
      <c r="B855" s="792" t="s">
        <v>323</v>
      </c>
      <c r="C855" s="793" t="s">
        <v>349</v>
      </c>
      <c r="D855" s="761" t="s">
        <v>1693</v>
      </c>
      <c r="E855" s="754"/>
      <c r="F855" s="754"/>
      <c r="G855" s="754"/>
      <c r="H855" s="754"/>
      <c r="I855" s="754"/>
      <c r="J855" s="754" t="s">
        <v>812</v>
      </c>
      <c r="K855" s="754" t="s">
        <v>812</v>
      </c>
      <c r="L855" s="754" t="s">
        <v>812</v>
      </c>
      <c r="M855" s="754" t="s">
        <v>809</v>
      </c>
      <c r="N855" s="754"/>
      <c r="O855" s="754"/>
      <c r="P855" s="754" t="s">
        <v>813</v>
      </c>
      <c r="Q855" s="754" t="s">
        <v>794</v>
      </c>
      <c r="R855" s="771"/>
      <c r="S855" s="764"/>
      <c r="T855" s="783"/>
      <c r="U855" s="765"/>
      <c r="V855" s="754" t="s">
        <v>349</v>
      </c>
      <c r="W855" s="754"/>
      <c r="X855" s="17"/>
      <c r="Z855" s="17"/>
    </row>
    <row r="856" spans="1:26" ht="14.25" customHeight="1">
      <c r="A856" s="754" t="s">
        <v>3005</v>
      </c>
      <c r="B856" s="792" t="s">
        <v>323</v>
      </c>
      <c r="C856" s="793" t="s">
        <v>350</v>
      </c>
      <c r="D856" s="761" t="s">
        <v>1693</v>
      </c>
      <c r="E856" s="754"/>
      <c r="F856" s="754"/>
      <c r="G856" s="754"/>
      <c r="H856" s="754"/>
      <c r="I856" s="754"/>
      <c r="J856" s="754" t="s">
        <v>812</v>
      </c>
      <c r="K856" s="754" t="s">
        <v>812</v>
      </c>
      <c r="L856" s="754" t="s">
        <v>812</v>
      </c>
      <c r="M856" s="754" t="s">
        <v>809</v>
      </c>
      <c r="N856" s="754"/>
      <c r="O856" s="754"/>
      <c r="P856" s="754" t="s">
        <v>813</v>
      </c>
      <c r="Q856" s="754" t="s">
        <v>794</v>
      </c>
      <c r="R856" s="771"/>
      <c r="S856" s="764"/>
      <c r="T856" s="783"/>
      <c r="U856" s="765"/>
      <c r="V856" s="754" t="s">
        <v>350</v>
      </c>
      <c r="W856" s="754"/>
      <c r="X856" s="17"/>
      <c r="Z856" s="17"/>
    </row>
    <row r="857" spans="1:26" ht="14.25" customHeight="1">
      <c r="A857" s="754" t="s">
        <v>3005</v>
      </c>
      <c r="B857" s="792" t="s">
        <v>323</v>
      </c>
      <c r="C857" s="793" t="s">
        <v>2169</v>
      </c>
      <c r="D857" s="761"/>
      <c r="E857" s="754">
        <v>197894</v>
      </c>
      <c r="F857" s="754"/>
      <c r="G857" s="754"/>
      <c r="H857" s="754"/>
      <c r="I857" s="754"/>
      <c r="J857" s="754" t="s">
        <v>812</v>
      </c>
      <c r="K857" s="754" t="s">
        <v>812</v>
      </c>
      <c r="L857" s="754" t="s">
        <v>812</v>
      </c>
      <c r="M857" s="754" t="s">
        <v>312</v>
      </c>
      <c r="N857" s="754">
        <v>21.025550840000001</v>
      </c>
      <c r="O857" s="754">
        <v>92.29528809</v>
      </c>
      <c r="P857" s="754"/>
      <c r="Q857" s="754"/>
      <c r="R857" s="771"/>
      <c r="S857" s="764"/>
      <c r="T857" s="783">
        <v>43300</v>
      </c>
      <c r="U857" s="765"/>
      <c r="V857" s="754"/>
      <c r="W857" s="754"/>
      <c r="X857" s="17"/>
      <c r="Z857" s="17"/>
    </row>
    <row r="858" spans="1:26" ht="14.25" customHeight="1">
      <c r="A858" s="754" t="s">
        <v>3005</v>
      </c>
      <c r="B858" s="792" t="s">
        <v>323</v>
      </c>
      <c r="C858" s="768" t="s">
        <v>695</v>
      </c>
      <c r="D858" s="761" t="s">
        <v>1693</v>
      </c>
      <c r="E858" s="754">
        <v>197894</v>
      </c>
      <c r="F858" s="754"/>
      <c r="G858" s="754"/>
      <c r="H858" s="754"/>
      <c r="I858" s="754"/>
      <c r="J858" s="754" t="s">
        <v>812</v>
      </c>
      <c r="K858" s="754" t="s">
        <v>812</v>
      </c>
      <c r="L858" s="754" t="s">
        <v>812</v>
      </c>
      <c r="M858" s="754" t="s">
        <v>809</v>
      </c>
      <c r="N858" s="754">
        <v>21.025550840000001</v>
      </c>
      <c r="O858" s="754">
        <v>92.29528809</v>
      </c>
      <c r="P858" s="754" t="s">
        <v>813</v>
      </c>
      <c r="Q858" s="754" t="s">
        <v>794</v>
      </c>
      <c r="R858" s="771"/>
      <c r="S858" s="764"/>
      <c r="T858" s="783">
        <v>42745</v>
      </c>
      <c r="U858" s="765"/>
      <c r="V858" s="754" t="s">
        <v>969</v>
      </c>
      <c r="W858" s="754"/>
      <c r="X858" s="17"/>
      <c r="Z858" s="17"/>
    </row>
    <row r="859" spans="1:26" s="75" customFormat="1" ht="14.25" customHeight="1">
      <c r="A859" s="754" t="s">
        <v>3005</v>
      </c>
      <c r="B859" s="792" t="s">
        <v>323</v>
      </c>
      <c r="C859" s="793" t="s">
        <v>2170</v>
      </c>
      <c r="D859" s="761"/>
      <c r="E859" s="754">
        <v>197895</v>
      </c>
      <c r="F859" s="754"/>
      <c r="G859" s="754"/>
      <c r="H859" s="754"/>
      <c r="I859" s="754"/>
      <c r="J859" s="754" t="s">
        <v>812</v>
      </c>
      <c r="K859" s="754" t="s">
        <v>812</v>
      </c>
      <c r="L859" s="754" t="s">
        <v>812</v>
      </c>
      <c r="M859" s="754" t="s">
        <v>809</v>
      </c>
      <c r="N859" s="754">
        <v>21.019170760000002</v>
      </c>
      <c r="O859" s="754">
        <v>92.291992190000002</v>
      </c>
      <c r="P859" s="754"/>
      <c r="Q859" s="754"/>
      <c r="R859" s="771"/>
      <c r="S859" s="764"/>
      <c r="T859" s="783">
        <v>43300</v>
      </c>
      <c r="U859" s="765"/>
      <c r="V859" s="754"/>
      <c r="W859" s="754"/>
    </row>
    <row r="860" spans="1:26" ht="14.25" customHeight="1">
      <c r="A860" s="754" t="s">
        <v>3005</v>
      </c>
      <c r="B860" s="781" t="s">
        <v>323</v>
      </c>
      <c r="C860" s="780" t="s">
        <v>2132</v>
      </c>
      <c r="D860" s="637"/>
      <c r="E860" s="766">
        <v>197909</v>
      </c>
      <c r="F860" s="754"/>
      <c r="G860" s="754"/>
      <c r="H860" s="754"/>
      <c r="I860" s="754"/>
      <c r="J860" s="754" t="s">
        <v>812</v>
      </c>
      <c r="K860" s="754" t="s">
        <v>812</v>
      </c>
      <c r="L860" s="754" t="s">
        <v>812</v>
      </c>
      <c r="M860" s="754" t="s">
        <v>809</v>
      </c>
      <c r="N860" s="754">
        <v>21.003770830000001</v>
      </c>
      <c r="O860" s="754">
        <v>92.351142879999998</v>
      </c>
      <c r="P860" s="754"/>
      <c r="Q860" s="754"/>
      <c r="R860" s="763"/>
      <c r="S860" s="764"/>
      <c r="T860" s="783">
        <v>43300</v>
      </c>
      <c r="U860" s="765"/>
      <c r="V860" s="754"/>
      <c r="W860" s="754"/>
      <c r="X860" s="17"/>
      <c r="Z860" s="17"/>
    </row>
    <row r="861" spans="1:26" ht="14.25" customHeight="1">
      <c r="A861" s="754" t="s">
        <v>3005</v>
      </c>
      <c r="B861" s="792" t="s">
        <v>323</v>
      </c>
      <c r="C861" s="793" t="s">
        <v>690</v>
      </c>
      <c r="D861" s="761" t="s">
        <v>1693</v>
      </c>
      <c r="E861" s="760">
        <v>197910</v>
      </c>
      <c r="F861" s="754"/>
      <c r="G861" s="754"/>
      <c r="H861" s="754"/>
      <c r="I861" s="754"/>
      <c r="J861" s="754" t="s">
        <v>812</v>
      </c>
      <c r="K861" s="754" t="s">
        <v>812</v>
      </c>
      <c r="L861" s="754" t="s">
        <v>812</v>
      </c>
      <c r="M861" s="754" t="s">
        <v>312</v>
      </c>
      <c r="N861" s="754">
        <v>21.007270810000001</v>
      </c>
      <c r="O861" s="754">
        <v>92.358520510000005</v>
      </c>
      <c r="P861" s="754" t="s">
        <v>813</v>
      </c>
      <c r="Q861" s="754" t="s">
        <v>816</v>
      </c>
      <c r="R861" s="771"/>
      <c r="S861" s="764"/>
      <c r="T861" s="783">
        <v>42926</v>
      </c>
      <c r="U861" s="765" t="s">
        <v>817</v>
      </c>
      <c r="V861" s="754"/>
      <c r="W861" s="754"/>
      <c r="X861" s="17"/>
      <c r="Z861" s="17"/>
    </row>
    <row r="862" spans="1:26" ht="14.25" customHeight="1">
      <c r="A862" s="754" t="s">
        <v>3005</v>
      </c>
      <c r="B862" s="792" t="s">
        <v>323</v>
      </c>
      <c r="C862" s="793" t="s">
        <v>2131</v>
      </c>
      <c r="D862" s="761"/>
      <c r="E862" s="754">
        <v>197874</v>
      </c>
      <c r="F862" s="754"/>
      <c r="G862" s="754"/>
      <c r="H862" s="754"/>
      <c r="I862" s="754"/>
      <c r="J862" s="754" t="s">
        <v>812</v>
      </c>
      <c r="K862" s="754" t="s">
        <v>812</v>
      </c>
      <c r="L862" s="754" t="s">
        <v>812</v>
      </c>
      <c r="M862" s="754" t="s">
        <v>809</v>
      </c>
      <c r="N862" s="754">
        <v>21.035009380000002</v>
      </c>
      <c r="O862" s="754">
        <v>92.332046509999998</v>
      </c>
      <c r="P862" s="754"/>
      <c r="Q862" s="754"/>
      <c r="R862" s="771"/>
      <c r="S862" s="764"/>
      <c r="T862" s="783">
        <v>43300</v>
      </c>
      <c r="U862" s="765"/>
      <c r="V862" s="754"/>
      <c r="W862" s="754"/>
      <c r="X862" s="17"/>
      <c r="Z862" s="17"/>
    </row>
    <row r="863" spans="1:26" ht="14.25" customHeight="1">
      <c r="A863" s="754" t="s">
        <v>3005</v>
      </c>
      <c r="B863" s="781" t="s">
        <v>323</v>
      </c>
      <c r="C863" s="780" t="s">
        <v>535</v>
      </c>
      <c r="D863" s="637" t="s">
        <v>1693</v>
      </c>
      <c r="E863" s="754"/>
      <c r="F863" s="754"/>
      <c r="G863" s="754"/>
      <c r="H863" s="754"/>
      <c r="I863" s="754"/>
      <c r="J863" s="754" t="s">
        <v>812</v>
      </c>
      <c r="K863" s="754" t="s">
        <v>812</v>
      </c>
      <c r="L863" s="754" t="s">
        <v>812</v>
      </c>
      <c r="M863" s="754" t="s">
        <v>312</v>
      </c>
      <c r="N863" s="754">
        <v>20.651159289999999</v>
      </c>
      <c r="O863" s="754">
        <v>92.605712890000007</v>
      </c>
      <c r="P863" s="754" t="s">
        <v>813</v>
      </c>
      <c r="Q863" s="754" t="s">
        <v>794</v>
      </c>
      <c r="R863" s="763"/>
      <c r="S863" s="764"/>
      <c r="T863" s="783"/>
      <c r="U863" s="765"/>
      <c r="V863" s="754" t="s">
        <v>535</v>
      </c>
      <c r="W863" s="754"/>
      <c r="X863" s="17"/>
      <c r="Z863" s="17"/>
    </row>
    <row r="864" spans="1:26" ht="14.25" customHeight="1">
      <c r="A864" s="754" t="s">
        <v>3005</v>
      </c>
      <c r="B864" s="792" t="s">
        <v>323</v>
      </c>
      <c r="C864" s="793" t="s">
        <v>612</v>
      </c>
      <c r="D864" s="761" t="s">
        <v>1693</v>
      </c>
      <c r="E864" s="754">
        <v>197999</v>
      </c>
      <c r="F864" s="754"/>
      <c r="G864" s="754"/>
      <c r="H864" s="754"/>
      <c r="I864" s="754"/>
      <c r="J864" s="754" t="s">
        <v>812</v>
      </c>
      <c r="K864" s="754" t="s">
        <v>812</v>
      </c>
      <c r="L864" s="754" t="s">
        <v>812</v>
      </c>
      <c r="M864" s="754" t="s">
        <v>809</v>
      </c>
      <c r="N864" s="754">
        <v>20.785320280000001</v>
      </c>
      <c r="O864" s="754">
        <v>92.406509400000004</v>
      </c>
      <c r="P864" s="754" t="s">
        <v>813</v>
      </c>
      <c r="Q864" s="754" t="s">
        <v>794</v>
      </c>
      <c r="R864" s="771"/>
      <c r="S864" s="764"/>
      <c r="T864" s="783"/>
      <c r="U864" s="765"/>
      <c r="V864" s="754" t="s">
        <v>612</v>
      </c>
      <c r="W864" s="754"/>
      <c r="X864" s="17"/>
      <c r="Z864" s="17"/>
    </row>
    <row r="865" spans="1:26" ht="14.25" customHeight="1">
      <c r="A865" s="754" t="s">
        <v>3005</v>
      </c>
      <c r="B865" s="781" t="s">
        <v>323</v>
      </c>
      <c r="C865" s="780" t="s">
        <v>562</v>
      </c>
      <c r="D865" s="637"/>
      <c r="E865" s="754">
        <v>197993</v>
      </c>
      <c r="F865" s="766" t="s">
        <v>562</v>
      </c>
      <c r="G865" s="754"/>
      <c r="H865" s="754"/>
      <c r="I865" s="754"/>
      <c r="J865" s="754" t="s">
        <v>812</v>
      </c>
      <c r="K865" s="754" t="s">
        <v>812</v>
      </c>
      <c r="L865" s="754" t="s">
        <v>812</v>
      </c>
      <c r="M865" s="754" t="s">
        <v>809</v>
      </c>
      <c r="N865" s="754">
        <v>20.809099199999999</v>
      </c>
      <c r="O865" s="754">
        <v>92.39829254</v>
      </c>
      <c r="P865" s="754"/>
      <c r="Q865" s="754"/>
      <c r="R865" s="763"/>
      <c r="S865" s="764"/>
      <c r="T865" s="783">
        <v>43300</v>
      </c>
      <c r="U865" s="765"/>
      <c r="V865" s="754"/>
      <c r="W865" s="754"/>
      <c r="X865" s="17"/>
      <c r="Z865" s="17"/>
    </row>
    <row r="866" spans="1:26" ht="14.25" customHeight="1">
      <c r="A866" s="754" t="s">
        <v>3005</v>
      </c>
      <c r="B866" s="792" t="s">
        <v>323</v>
      </c>
      <c r="C866" s="793" t="s">
        <v>493</v>
      </c>
      <c r="D866" s="761" t="s">
        <v>2376</v>
      </c>
      <c r="E866" s="754" t="s">
        <v>1427</v>
      </c>
      <c r="F866" s="760" t="s">
        <v>1790</v>
      </c>
      <c r="G866" s="754" t="s">
        <v>1790</v>
      </c>
      <c r="H866" s="754" t="s">
        <v>43</v>
      </c>
      <c r="I866" s="754"/>
      <c r="J866" s="754" t="s">
        <v>812</v>
      </c>
      <c r="K866" s="754" t="s">
        <v>812</v>
      </c>
      <c r="L866" s="754" t="s">
        <v>897</v>
      </c>
      <c r="M866" s="754" t="s">
        <v>312</v>
      </c>
      <c r="N866" s="754">
        <v>20.824777999999998</v>
      </c>
      <c r="O866" s="754">
        <v>92.362196999999995</v>
      </c>
      <c r="P866" s="754" t="s">
        <v>813</v>
      </c>
      <c r="Q866" s="754"/>
      <c r="R866" s="763">
        <v>17</v>
      </c>
      <c r="S866" s="764">
        <v>109</v>
      </c>
      <c r="T866" s="783"/>
      <c r="U866" s="765" t="s">
        <v>874</v>
      </c>
      <c r="V866" s="754" t="s">
        <v>493</v>
      </c>
      <c r="W866" s="754"/>
      <c r="X866" s="17"/>
      <c r="Z866" s="17"/>
    </row>
    <row r="867" spans="1:26" ht="14.25" customHeight="1">
      <c r="A867" s="754" t="s">
        <v>3005</v>
      </c>
      <c r="B867" s="792" t="s">
        <v>323</v>
      </c>
      <c r="C867" s="793" t="s">
        <v>2159</v>
      </c>
      <c r="D867" s="761"/>
      <c r="E867" s="760">
        <v>197858</v>
      </c>
      <c r="F867" s="754"/>
      <c r="G867" s="754"/>
      <c r="H867" s="754"/>
      <c r="I867" s="754"/>
      <c r="J867" s="754" t="s">
        <v>812</v>
      </c>
      <c r="K867" s="754" t="s">
        <v>812</v>
      </c>
      <c r="L867" s="754" t="s">
        <v>812</v>
      </c>
      <c r="M867" s="754" t="s">
        <v>2146</v>
      </c>
      <c r="N867" s="754">
        <v>21.160549159999999</v>
      </c>
      <c r="O867" s="754">
        <v>92.330261230000005</v>
      </c>
      <c r="P867" s="754"/>
      <c r="Q867" s="754"/>
      <c r="R867" s="771"/>
      <c r="S867" s="764"/>
      <c r="T867" s="783">
        <v>43300</v>
      </c>
      <c r="U867" s="765"/>
      <c r="V867" s="754"/>
      <c r="W867" s="754"/>
      <c r="X867" s="17"/>
      <c r="Z867" s="17"/>
    </row>
    <row r="868" spans="1:26" ht="14.25" customHeight="1">
      <c r="A868" s="754" t="s">
        <v>3005</v>
      </c>
      <c r="B868" s="781" t="s">
        <v>323</v>
      </c>
      <c r="C868" s="780" t="s">
        <v>2121</v>
      </c>
      <c r="D868" s="761"/>
      <c r="E868" s="754">
        <v>197996</v>
      </c>
      <c r="F868" s="754"/>
      <c r="G868" s="754"/>
      <c r="H868" s="764"/>
      <c r="I868" s="754"/>
      <c r="J868" s="754" t="s">
        <v>812</v>
      </c>
      <c r="K868" s="754" t="s">
        <v>812</v>
      </c>
      <c r="L868" s="754" t="s">
        <v>812</v>
      </c>
      <c r="M868" s="754" t="s">
        <v>809</v>
      </c>
      <c r="N868" s="754">
        <v>20.805980680000001</v>
      </c>
      <c r="O868" s="754">
        <v>92.383308409999998</v>
      </c>
      <c r="P868" s="754"/>
      <c r="Q868" s="760"/>
      <c r="R868" s="763"/>
      <c r="S868" s="764"/>
      <c r="T868" s="784">
        <v>43300</v>
      </c>
      <c r="U868" s="765"/>
      <c r="V868" s="754"/>
      <c r="W868" s="754"/>
      <c r="X868" s="17"/>
      <c r="Z868" s="17"/>
    </row>
    <row r="869" spans="1:26" ht="14.25" customHeight="1">
      <c r="A869" s="754" t="s">
        <v>3005</v>
      </c>
      <c r="B869" s="792" t="s">
        <v>323</v>
      </c>
      <c r="C869" s="793" t="s">
        <v>1948</v>
      </c>
      <c r="D869" s="761"/>
      <c r="E869" s="754">
        <v>197971</v>
      </c>
      <c r="F869" s="754" t="s">
        <v>1948</v>
      </c>
      <c r="G869" s="754"/>
      <c r="H869" s="754"/>
      <c r="I869" s="754"/>
      <c r="J869" s="754" t="s">
        <v>812</v>
      </c>
      <c r="K869" s="754" t="s">
        <v>812</v>
      </c>
      <c r="L869" s="754" t="s">
        <v>812</v>
      </c>
      <c r="M869" s="754" t="s">
        <v>809</v>
      </c>
      <c r="N869" s="754">
        <v>20.872400280000001</v>
      </c>
      <c r="O869" s="754">
        <v>92.337608340000003</v>
      </c>
      <c r="P869" s="754" t="s">
        <v>813</v>
      </c>
      <c r="Q869" s="754" t="s">
        <v>1950</v>
      </c>
      <c r="R869" s="771"/>
      <c r="S869" s="764"/>
      <c r="T869" s="783">
        <v>43245</v>
      </c>
      <c r="U869" s="765"/>
      <c r="V869" s="754"/>
      <c r="W869" s="754"/>
      <c r="X869" s="17"/>
      <c r="Z869" s="17"/>
    </row>
    <row r="870" spans="1:26" ht="14.25" customHeight="1">
      <c r="A870" s="754" t="s">
        <v>3005</v>
      </c>
      <c r="B870" s="792" t="s">
        <v>323</v>
      </c>
      <c r="C870" s="793" t="s">
        <v>353</v>
      </c>
      <c r="D870" s="761" t="s">
        <v>1693</v>
      </c>
      <c r="E870" s="754"/>
      <c r="F870" s="754"/>
      <c r="G870" s="754"/>
      <c r="H870" s="754"/>
      <c r="I870" s="754"/>
      <c r="J870" s="754" t="s">
        <v>812</v>
      </c>
      <c r="K870" s="754" t="s">
        <v>812</v>
      </c>
      <c r="L870" s="754" t="s">
        <v>812</v>
      </c>
      <c r="M870" s="754" t="s">
        <v>809</v>
      </c>
      <c r="N870" s="787"/>
      <c r="O870" s="787"/>
      <c r="P870" s="754" t="s">
        <v>813</v>
      </c>
      <c r="Q870" s="754" t="s">
        <v>794</v>
      </c>
      <c r="R870" s="771"/>
      <c r="S870" s="764"/>
      <c r="T870" s="783"/>
      <c r="U870" s="765"/>
      <c r="V870" s="754" t="s">
        <v>353</v>
      </c>
      <c r="W870" s="754"/>
      <c r="X870" s="17"/>
      <c r="Z870" s="17"/>
    </row>
    <row r="871" spans="1:26" ht="14.25" customHeight="1">
      <c r="A871" s="754" t="s">
        <v>3005</v>
      </c>
      <c r="B871" s="792" t="s">
        <v>323</v>
      </c>
      <c r="C871" s="793" t="s">
        <v>617</v>
      </c>
      <c r="D871" s="761" t="s">
        <v>1693</v>
      </c>
      <c r="E871" s="754">
        <v>198000</v>
      </c>
      <c r="F871" s="754"/>
      <c r="G871" s="754"/>
      <c r="H871" s="754"/>
      <c r="I871" s="754"/>
      <c r="J871" s="754" t="s">
        <v>812</v>
      </c>
      <c r="K871" s="754" t="s">
        <v>812</v>
      </c>
      <c r="L871" s="754" t="s">
        <v>812</v>
      </c>
      <c r="M871" s="754" t="s">
        <v>809</v>
      </c>
      <c r="N871" s="754">
        <v>20.788669590000001</v>
      </c>
      <c r="O871" s="754">
        <v>92.397300720000004</v>
      </c>
      <c r="P871" s="754" t="s">
        <v>813</v>
      </c>
      <c r="Q871" s="754" t="s">
        <v>794</v>
      </c>
      <c r="R871" s="771"/>
      <c r="S871" s="764"/>
      <c r="T871" s="783"/>
      <c r="U871" s="765"/>
      <c r="V871" s="754" t="s">
        <v>617</v>
      </c>
      <c r="W871" s="754"/>
      <c r="X871" s="17"/>
      <c r="Z871" s="17"/>
    </row>
    <row r="872" spans="1:26" ht="14.25" customHeight="1">
      <c r="A872" s="754" t="s">
        <v>3005</v>
      </c>
      <c r="B872" s="792" t="s">
        <v>323</v>
      </c>
      <c r="C872" s="793" t="s">
        <v>2114</v>
      </c>
      <c r="D872" s="761"/>
      <c r="E872" s="754">
        <v>197972</v>
      </c>
      <c r="F872" s="760"/>
      <c r="G872" s="754"/>
      <c r="H872" s="754"/>
      <c r="I872" s="754"/>
      <c r="J872" s="754" t="s">
        <v>812</v>
      </c>
      <c r="K872" s="754" t="s">
        <v>812</v>
      </c>
      <c r="L872" s="754" t="s">
        <v>812</v>
      </c>
      <c r="M872" s="754" t="s">
        <v>809</v>
      </c>
      <c r="N872" s="754">
        <v>20.879430769999999</v>
      </c>
      <c r="O872" s="754">
        <v>92.334373470000003</v>
      </c>
      <c r="P872" s="754"/>
      <c r="Q872" s="754"/>
      <c r="R872" s="771"/>
      <c r="S872" s="764"/>
      <c r="T872" s="783">
        <v>43300</v>
      </c>
      <c r="U872" s="765"/>
      <c r="V872" s="754"/>
      <c r="W872" s="754"/>
      <c r="X872" s="17"/>
      <c r="Z872" s="17"/>
    </row>
    <row r="873" spans="1:26" ht="14.25" customHeight="1">
      <c r="A873" s="754" t="s">
        <v>3005</v>
      </c>
      <c r="B873" s="781" t="s">
        <v>323</v>
      </c>
      <c r="C873" s="780" t="s">
        <v>312</v>
      </c>
      <c r="D873" s="637" t="s">
        <v>1693</v>
      </c>
      <c r="E873" s="754"/>
      <c r="F873" s="754"/>
      <c r="G873" s="754"/>
      <c r="H873" s="754"/>
      <c r="I873" s="754"/>
      <c r="J873" s="754" t="s">
        <v>812</v>
      </c>
      <c r="K873" s="754" t="s">
        <v>812</v>
      </c>
      <c r="L873" s="754" t="s">
        <v>812</v>
      </c>
      <c r="M873" s="754" t="s">
        <v>312</v>
      </c>
      <c r="N873" s="775"/>
      <c r="O873" s="775"/>
      <c r="P873" s="754" t="s">
        <v>813</v>
      </c>
      <c r="Q873" s="754" t="s">
        <v>794</v>
      </c>
      <c r="R873" s="763"/>
      <c r="S873" s="764"/>
      <c r="T873" s="783"/>
      <c r="U873" s="765"/>
      <c r="V873" s="754" t="s">
        <v>312</v>
      </c>
      <c r="W873" s="754"/>
      <c r="X873" s="17"/>
      <c r="Z873" s="17"/>
    </row>
    <row r="874" spans="1:26" ht="14.25" customHeight="1">
      <c r="A874" s="754" t="s">
        <v>3005</v>
      </c>
      <c r="B874" s="781" t="s">
        <v>323</v>
      </c>
      <c r="C874" s="780" t="s">
        <v>358</v>
      </c>
      <c r="D874" s="637" t="s">
        <v>1693</v>
      </c>
      <c r="E874" s="754"/>
      <c r="F874" s="754"/>
      <c r="G874" s="754"/>
      <c r="H874" s="754"/>
      <c r="I874" s="754"/>
      <c r="J874" s="754" t="s">
        <v>812</v>
      </c>
      <c r="K874" s="754" t="s">
        <v>812</v>
      </c>
      <c r="L874" s="754" t="s">
        <v>812</v>
      </c>
      <c r="M874" s="754" t="s">
        <v>312</v>
      </c>
      <c r="N874" s="754"/>
      <c r="O874" s="754"/>
      <c r="P874" s="754" t="s">
        <v>813</v>
      </c>
      <c r="Q874" s="754" t="s">
        <v>794</v>
      </c>
      <c r="R874" s="763"/>
      <c r="S874" s="764"/>
      <c r="T874" s="783"/>
      <c r="U874" s="765"/>
      <c r="V874" s="754"/>
      <c r="W874" s="754"/>
      <c r="X874" s="17"/>
      <c r="Z874" s="17"/>
    </row>
    <row r="875" spans="1:26" ht="14.25" customHeight="1">
      <c r="A875" s="754" t="s">
        <v>3005</v>
      </c>
      <c r="B875" s="792" t="s">
        <v>323</v>
      </c>
      <c r="C875" s="793" t="s">
        <v>1149</v>
      </c>
      <c r="D875" s="761" t="s">
        <v>1693</v>
      </c>
      <c r="E875" s="754"/>
      <c r="F875" s="754"/>
      <c r="G875" s="754"/>
      <c r="H875" s="754"/>
      <c r="I875" s="754"/>
      <c r="J875" s="754" t="s">
        <v>812</v>
      </c>
      <c r="K875" s="754" t="s">
        <v>812</v>
      </c>
      <c r="L875" s="754" t="s">
        <v>812</v>
      </c>
      <c r="M875" s="754" t="s">
        <v>809</v>
      </c>
      <c r="N875" s="754"/>
      <c r="O875" s="754"/>
      <c r="P875" s="754" t="s">
        <v>813</v>
      </c>
      <c r="Q875" s="754"/>
      <c r="R875" s="771"/>
      <c r="S875" s="764"/>
      <c r="T875" s="783"/>
      <c r="U875" s="765"/>
      <c r="V875" s="754" t="s">
        <v>358</v>
      </c>
      <c r="W875" s="754"/>
      <c r="X875" s="17"/>
      <c r="Z875" s="17"/>
    </row>
    <row r="876" spans="1:26" ht="14.25" customHeight="1">
      <c r="A876" s="754" t="s">
        <v>3005</v>
      </c>
      <c r="B876" s="792" t="s">
        <v>323</v>
      </c>
      <c r="C876" s="793" t="s">
        <v>359</v>
      </c>
      <c r="D876" s="761" t="s">
        <v>1693</v>
      </c>
      <c r="E876" s="754"/>
      <c r="F876" s="754"/>
      <c r="G876" s="754"/>
      <c r="H876" s="754"/>
      <c r="I876" s="754"/>
      <c r="J876" s="754" t="s">
        <v>812</v>
      </c>
      <c r="K876" s="754" t="s">
        <v>812</v>
      </c>
      <c r="L876" s="754" t="s">
        <v>812</v>
      </c>
      <c r="M876" s="754" t="s">
        <v>312</v>
      </c>
      <c r="N876" s="754"/>
      <c r="O876" s="754"/>
      <c r="P876" s="754" t="s">
        <v>813</v>
      </c>
      <c r="Q876" s="754" t="s">
        <v>794</v>
      </c>
      <c r="R876" s="771"/>
      <c r="S876" s="764"/>
      <c r="T876" s="783"/>
      <c r="U876" s="765"/>
      <c r="V876" s="754" t="s">
        <v>358</v>
      </c>
      <c r="W876" s="754"/>
      <c r="X876" s="17"/>
      <c r="Z876" s="17"/>
    </row>
    <row r="877" spans="1:26" ht="14.25" customHeight="1">
      <c r="A877" s="754" t="s">
        <v>3005</v>
      </c>
      <c r="B877" s="781" t="s">
        <v>323</v>
      </c>
      <c r="C877" s="780" t="s">
        <v>360</v>
      </c>
      <c r="D877" s="637" t="s">
        <v>1693</v>
      </c>
      <c r="E877" s="754"/>
      <c r="F877" s="754"/>
      <c r="G877" s="754"/>
      <c r="H877" s="754"/>
      <c r="I877" s="754"/>
      <c r="J877" s="754" t="s">
        <v>812</v>
      </c>
      <c r="K877" s="754" t="s">
        <v>812</v>
      </c>
      <c r="L877" s="754" t="s">
        <v>812</v>
      </c>
      <c r="M877" s="754" t="s">
        <v>809</v>
      </c>
      <c r="N877" s="754"/>
      <c r="O877" s="754"/>
      <c r="P877" s="754" t="s">
        <v>813</v>
      </c>
      <c r="Q877" s="754" t="s">
        <v>794</v>
      </c>
      <c r="R877" s="763"/>
      <c r="S877" s="764"/>
      <c r="T877" s="783"/>
      <c r="U877" s="765"/>
      <c r="V877" s="754" t="s">
        <v>360</v>
      </c>
      <c r="W877" s="754"/>
      <c r="X877" s="17"/>
      <c r="Z877" s="17"/>
    </row>
    <row r="878" spans="1:26" ht="14.25" customHeight="1">
      <c r="A878" s="754" t="s">
        <v>3005</v>
      </c>
      <c r="B878" s="792" t="s">
        <v>323</v>
      </c>
      <c r="C878" s="793" t="s">
        <v>2137</v>
      </c>
      <c r="D878" s="761"/>
      <c r="E878" s="754">
        <v>197897</v>
      </c>
      <c r="F878" s="754"/>
      <c r="G878" s="754"/>
      <c r="H878" s="754"/>
      <c r="I878" s="754"/>
      <c r="J878" s="754" t="s">
        <v>812</v>
      </c>
      <c r="K878" s="754" t="s">
        <v>812</v>
      </c>
      <c r="L878" s="754" t="s">
        <v>812</v>
      </c>
      <c r="M878" s="754" t="s">
        <v>312</v>
      </c>
      <c r="N878" s="754">
        <v>21.004550930000001</v>
      </c>
      <c r="O878" s="754">
        <v>92.294601439999994</v>
      </c>
      <c r="P878" s="754"/>
      <c r="Q878" s="754"/>
      <c r="R878" s="772"/>
      <c r="S878" s="768"/>
      <c r="T878" s="783">
        <v>43300</v>
      </c>
      <c r="U878" s="765"/>
      <c r="V878" s="754"/>
      <c r="W878" s="754"/>
      <c r="X878" s="17"/>
      <c r="Z878" s="17"/>
    </row>
    <row r="879" spans="1:26" ht="14.25" customHeight="1">
      <c r="A879" s="754" t="s">
        <v>3005</v>
      </c>
      <c r="B879" s="792" t="s">
        <v>323</v>
      </c>
      <c r="C879" s="793" t="s">
        <v>701</v>
      </c>
      <c r="D879" s="761" t="s">
        <v>1693</v>
      </c>
      <c r="E879" s="754">
        <v>197866</v>
      </c>
      <c r="F879" s="754"/>
      <c r="G879" s="754"/>
      <c r="H879" s="754"/>
      <c r="I879" s="754"/>
      <c r="J879" s="754" t="s">
        <v>812</v>
      </c>
      <c r="K879" s="754" t="s">
        <v>812</v>
      </c>
      <c r="L879" s="754" t="s">
        <v>812</v>
      </c>
      <c r="M879" s="754" t="s">
        <v>809</v>
      </c>
      <c r="N879" s="754">
        <v>21.05834961</v>
      </c>
      <c r="O879" s="754">
        <v>92.336326600000007</v>
      </c>
      <c r="P879" s="754" t="s">
        <v>813</v>
      </c>
      <c r="Q879" s="754" t="s">
        <v>794</v>
      </c>
      <c r="R879" s="772"/>
      <c r="S879" s="768"/>
      <c r="T879" s="783">
        <v>42745</v>
      </c>
      <c r="U879" s="765"/>
      <c r="V879" s="754" t="s">
        <v>701</v>
      </c>
      <c r="W879" s="754"/>
      <c r="X879" s="17"/>
      <c r="Z879" s="17"/>
    </row>
    <row r="880" spans="1:26" ht="14.25" customHeight="1">
      <c r="A880" s="754" t="s">
        <v>3005</v>
      </c>
      <c r="B880" s="792" t="s">
        <v>323</v>
      </c>
      <c r="C880" s="793" t="s">
        <v>689</v>
      </c>
      <c r="D880" s="761" t="s">
        <v>1693</v>
      </c>
      <c r="E880" s="754"/>
      <c r="F880" s="754"/>
      <c r="G880" s="754"/>
      <c r="H880" s="754"/>
      <c r="I880" s="754"/>
      <c r="J880" s="754" t="s">
        <v>812</v>
      </c>
      <c r="K880" s="754" t="s">
        <v>812</v>
      </c>
      <c r="L880" s="754" t="s">
        <v>812</v>
      </c>
      <c r="M880" s="754" t="s">
        <v>312</v>
      </c>
      <c r="N880" s="754">
        <v>21.004550930000001</v>
      </c>
      <c r="O880" s="754">
        <v>92.294601439999994</v>
      </c>
      <c r="P880" s="754" t="s">
        <v>813</v>
      </c>
      <c r="Q880" s="754" t="s">
        <v>794</v>
      </c>
      <c r="R880" s="771"/>
      <c r="S880" s="764"/>
      <c r="T880" s="783"/>
      <c r="U880" s="765"/>
      <c r="V880" s="754" t="s">
        <v>689</v>
      </c>
      <c r="W880" s="754"/>
      <c r="X880" s="17"/>
      <c r="Z880" s="17"/>
    </row>
    <row r="881" spans="1:26" ht="14.25" customHeight="1">
      <c r="A881" s="754" t="s">
        <v>3005</v>
      </c>
      <c r="B881" s="781" t="s">
        <v>323</v>
      </c>
      <c r="C881" s="780" t="s">
        <v>2135</v>
      </c>
      <c r="D881" s="637"/>
      <c r="E881" s="754">
        <v>197983</v>
      </c>
      <c r="F881" s="754"/>
      <c r="G881" s="754"/>
      <c r="H881" s="754"/>
      <c r="I881" s="754"/>
      <c r="J881" s="754" t="s">
        <v>812</v>
      </c>
      <c r="K881" s="754" t="s">
        <v>812</v>
      </c>
      <c r="L881" s="754" t="s">
        <v>812</v>
      </c>
      <c r="M881" s="754" t="s">
        <v>697</v>
      </c>
      <c r="N881" s="754">
        <v>20.834699629999999</v>
      </c>
      <c r="O881" s="754">
        <v>92.372390749999994</v>
      </c>
      <c r="P881" s="754"/>
      <c r="Q881" s="754"/>
      <c r="R881" s="763"/>
      <c r="S881" s="764"/>
      <c r="T881" s="783">
        <v>43300</v>
      </c>
      <c r="U881" s="765"/>
      <c r="V881" s="754"/>
      <c r="W881" s="754"/>
      <c r="X881" s="17"/>
      <c r="Z881" s="17"/>
    </row>
    <row r="882" spans="1:26" ht="14.25" customHeight="1">
      <c r="A882" s="754" t="s">
        <v>3005</v>
      </c>
      <c r="B882" s="781" t="s">
        <v>323</v>
      </c>
      <c r="C882" s="780" t="s">
        <v>580</v>
      </c>
      <c r="D882" s="637" t="s">
        <v>1693</v>
      </c>
      <c r="E882" s="754">
        <v>198047</v>
      </c>
      <c r="F882" s="754"/>
      <c r="G882" s="754"/>
      <c r="H882" s="754"/>
      <c r="I882" s="754"/>
      <c r="J882" s="754" t="s">
        <v>812</v>
      </c>
      <c r="K882" s="754" t="s">
        <v>812</v>
      </c>
      <c r="L882" s="754" t="s">
        <v>812</v>
      </c>
      <c r="M882" s="754" t="s">
        <v>809</v>
      </c>
      <c r="N882" s="754">
        <v>20.717479709999999</v>
      </c>
      <c r="O882" s="754">
        <v>92.437492370000001</v>
      </c>
      <c r="P882" s="754" t="s">
        <v>813</v>
      </c>
      <c r="Q882" s="754" t="s">
        <v>794</v>
      </c>
      <c r="R882" s="763"/>
      <c r="S882" s="764"/>
      <c r="T882" s="783"/>
      <c r="U882" s="765"/>
      <c r="V882" s="754" t="s">
        <v>580</v>
      </c>
      <c r="W882" s="754"/>
      <c r="X882" s="17"/>
      <c r="Z882" s="17"/>
    </row>
    <row r="883" spans="1:26" ht="14.25" customHeight="1">
      <c r="A883" s="754" t="s">
        <v>3005</v>
      </c>
      <c r="B883" s="781" t="s">
        <v>323</v>
      </c>
      <c r="C883" s="780" t="s">
        <v>2814</v>
      </c>
      <c r="D883" s="637"/>
      <c r="E883" s="754"/>
      <c r="F883" s="754" t="s">
        <v>2950</v>
      </c>
      <c r="G883" s="754"/>
      <c r="H883" s="754"/>
      <c r="I883" s="754"/>
      <c r="J883" s="754" t="s">
        <v>812</v>
      </c>
      <c r="K883" s="754" t="s">
        <v>812</v>
      </c>
      <c r="L883" s="754" t="s">
        <v>812</v>
      </c>
      <c r="M883" s="754" t="s">
        <v>312</v>
      </c>
      <c r="N883" s="754"/>
      <c r="O883" s="754"/>
      <c r="P883" s="754"/>
      <c r="Q883" s="754"/>
      <c r="R883" s="763"/>
      <c r="S883" s="764"/>
      <c r="T883" s="783"/>
      <c r="U883" s="765"/>
      <c r="V883" s="754"/>
      <c r="W883" s="754"/>
      <c r="X883" s="17"/>
      <c r="Z883" s="17"/>
    </row>
    <row r="884" spans="1:26" ht="14.25" customHeight="1">
      <c r="A884" s="764" t="s">
        <v>3005</v>
      </c>
      <c r="B884" s="792" t="s">
        <v>323</v>
      </c>
      <c r="C884" s="793" t="s">
        <v>3239</v>
      </c>
      <c r="D884" s="761"/>
      <c r="E884" s="754"/>
      <c r="F884" s="754"/>
      <c r="G884" s="754"/>
      <c r="H884" s="754"/>
      <c r="I884" s="754"/>
      <c r="J884" s="754" t="s">
        <v>812</v>
      </c>
      <c r="K884" s="754" t="s">
        <v>812</v>
      </c>
      <c r="L884" s="754" t="s">
        <v>812</v>
      </c>
      <c r="M884" s="754"/>
      <c r="N884" s="754"/>
      <c r="O884" s="754"/>
      <c r="P884" s="754"/>
      <c r="Q884" s="754"/>
      <c r="R884" s="771"/>
      <c r="S884" s="764"/>
      <c r="T884" s="783"/>
      <c r="U884" s="771"/>
      <c r="V884" s="754"/>
      <c r="W884" s="763"/>
      <c r="X884" s="17"/>
      <c r="Z884" s="17"/>
    </row>
    <row r="885" spans="1:26" ht="14.25" customHeight="1">
      <c r="A885" s="754" t="s">
        <v>3005</v>
      </c>
      <c r="B885" s="792" t="s">
        <v>323</v>
      </c>
      <c r="C885" s="793" t="s">
        <v>2122</v>
      </c>
      <c r="D885" s="761"/>
      <c r="E885" s="754">
        <v>220737</v>
      </c>
      <c r="F885" s="754" t="s">
        <v>562</v>
      </c>
      <c r="G885" s="754"/>
      <c r="H885" s="754"/>
      <c r="I885" s="754"/>
      <c r="J885" s="754" t="s">
        <v>812</v>
      </c>
      <c r="K885" s="754" t="s">
        <v>812</v>
      </c>
      <c r="L885" s="754" t="s">
        <v>812</v>
      </c>
      <c r="M885" s="754" t="s">
        <v>312</v>
      </c>
      <c r="N885" s="754">
        <v>20.806211470000001</v>
      </c>
      <c r="O885" s="754">
        <v>92.404357910000002</v>
      </c>
      <c r="P885" s="754"/>
      <c r="Q885" s="754"/>
      <c r="R885" s="771"/>
      <c r="S885" s="764"/>
      <c r="T885" s="783">
        <v>43300</v>
      </c>
      <c r="U885" s="765"/>
      <c r="V885" s="754"/>
      <c r="W885" s="754"/>
      <c r="X885" s="17"/>
      <c r="Z885" s="17"/>
    </row>
    <row r="886" spans="1:26" ht="14.25" customHeight="1">
      <c r="A886" s="754" t="s">
        <v>3005</v>
      </c>
      <c r="B886" s="781" t="s">
        <v>323</v>
      </c>
      <c r="C886" s="780" t="s">
        <v>2105</v>
      </c>
      <c r="D886" s="637"/>
      <c r="E886" s="754">
        <v>197940</v>
      </c>
      <c r="F886" s="754"/>
      <c r="G886" s="754"/>
      <c r="H886" s="754"/>
      <c r="I886" s="754"/>
      <c r="J886" s="754" t="s">
        <v>812</v>
      </c>
      <c r="K886" s="754" t="s">
        <v>812</v>
      </c>
      <c r="L886" s="754" t="s">
        <v>812</v>
      </c>
      <c r="M886" s="754" t="s">
        <v>809</v>
      </c>
      <c r="N886" s="754">
        <v>20.836729049999999</v>
      </c>
      <c r="O886" s="754">
        <v>92.350952149999998</v>
      </c>
      <c r="P886" s="754"/>
      <c r="Q886" s="754"/>
      <c r="R886" s="763"/>
      <c r="S886" s="764"/>
      <c r="T886" s="783">
        <v>43300</v>
      </c>
      <c r="U886" s="765"/>
      <c r="V886" s="754"/>
      <c r="W886" s="754"/>
      <c r="X886" s="17"/>
      <c r="Z886" s="17"/>
    </row>
    <row r="887" spans="1:26" ht="14.25" customHeight="1">
      <c r="A887" s="754" t="s">
        <v>3005</v>
      </c>
      <c r="B887" s="792" t="s">
        <v>323</v>
      </c>
      <c r="C887" s="793" t="s">
        <v>2104</v>
      </c>
      <c r="D887" s="761"/>
      <c r="E887" s="754">
        <v>197940</v>
      </c>
      <c r="F887" s="754"/>
      <c r="G887" s="754"/>
      <c r="H887" s="754"/>
      <c r="I887" s="754"/>
      <c r="J887" s="754" t="s">
        <v>812</v>
      </c>
      <c r="K887" s="754" t="s">
        <v>812</v>
      </c>
      <c r="L887" s="754" t="s">
        <v>812</v>
      </c>
      <c r="M887" s="754" t="s">
        <v>809</v>
      </c>
      <c r="N887" s="754">
        <v>20.836729049999999</v>
      </c>
      <c r="O887" s="754">
        <v>92.350952149999998</v>
      </c>
      <c r="P887" s="754"/>
      <c r="Q887" s="754"/>
      <c r="R887" s="771"/>
      <c r="S887" s="764"/>
      <c r="T887" s="783">
        <v>43300</v>
      </c>
      <c r="U887" s="765"/>
      <c r="V887" s="754"/>
      <c r="W887" s="754"/>
      <c r="X887" s="17"/>
      <c r="Z887" s="17"/>
    </row>
    <row r="888" spans="1:26" ht="14.25" customHeight="1">
      <c r="A888" s="754" t="s">
        <v>3005</v>
      </c>
      <c r="B888" s="792" t="s">
        <v>323</v>
      </c>
      <c r="C888" s="793" t="s">
        <v>2102</v>
      </c>
      <c r="D888" s="761"/>
      <c r="E888" s="760">
        <v>197940</v>
      </c>
      <c r="F888" s="754"/>
      <c r="G888" s="754"/>
      <c r="H888" s="754"/>
      <c r="I888" s="754"/>
      <c r="J888" s="754" t="s">
        <v>812</v>
      </c>
      <c r="K888" s="754" t="s">
        <v>812</v>
      </c>
      <c r="L888" s="754" t="s">
        <v>812</v>
      </c>
      <c r="M888" s="754" t="s">
        <v>809</v>
      </c>
      <c r="N888" s="754">
        <v>20.836729049999999</v>
      </c>
      <c r="O888" s="754">
        <v>92.350952149999998</v>
      </c>
      <c r="P888" s="754"/>
      <c r="Q888" s="754"/>
      <c r="R888" s="771"/>
      <c r="S888" s="764"/>
      <c r="T888" s="783">
        <v>43300</v>
      </c>
      <c r="U888" s="765"/>
      <c r="V888" s="754"/>
      <c r="W888" s="754"/>
      <c r="X888" s="17"/>
      <c r="Z888" s="17"/>
    </row>
    <row r="889" spans="1:26" ht="14.25" customHeight="1">
      <c r="A889" s="754" t="s">
        <v>3005</v>
      </c>
      <c r="B889" s="781" t="s">
        <v>323</v>
      </c>
      <c r="C889" s="780" t="s">
        <v>2171</v>
      </c>
      <c r="D889" s="637"/>
      <c r="E889" s="754">
        <v>197940</v>
      </c>
      <c r="F889" s="754"/>
      <c r="G889" s="754"/>
      <c r="H889" s="754"/>
      <c r="I889" s="754"/>
      <c r="J889" s="754" t="s">
        <v>812</v>
      </c>
      <c r="K889" s="754" t="s">
        <v>812</v>
      </c>
      <c r="L889" s="754" t="s">
        <v>812</v>
      </c>
      <c r="M889" s="754" t="s">
        <v>697</v>
      </c>
      <c r="N889" s="754">
        <v>20.836729049999999</v>
      </c>
      <c r="O889" s="754">
        <v>92.350952149999998</v>
      </c>
      <c r="P889" s="754"/>
      <c r="Q889" s="754"/>
      <c r="R889" s="763"/>
      <c r="S889" s="764"/>
      <c r="T889" s="783">
        <v>43300</v>
      </c>
      <c r="U889" s="765"/>
      <c r="V889" s="754"/>
      <c r="W889" s="754"/>
      <c r="X889" s="17"/>
      <c r="Z889" s="17"/>
    </row>
    <row r="890" spans="1:26" ht="14.25" customHeight="1">
      <c r="A890" s="754" t="s">
        <v>3005</v>
      </c>
      <c r="B890" s="781" t="s">
        <v>323</v>
      </c>
      <c r="C890" s="780" t="s">
        <v>2152</v>
      </c>
      <c r="D890" s="637"/>
      <c r="E890" s="754">
        <v>197933</v>
      </c>
      <c r="F890" s="754"/>
      <c r="G890" s="754"/>
      <c r="H890" s="754"/>
      <c r="I890" s="754"/>
      <c r="J890" s="754" t="s">
        <v>812</v>
      </c>
      <c r="K890" s="754" t="s">
        <v>812</v>
      </c>
      <c r="L890" s="754" t="s">
        <v>812</v>
      </c>
      <c r="M890" s="754" t="s">
        <v>809</v>
      </c>
      <c r="N890" s="754">
        <v>20.85235977</v>
      </c>
      <c r="O890" s="754">
        <v>92.352790830000004</v>
      </c>
      <c r="P890" s="754"/>
      <c r="Q890" s="754"/>
      <c r="R890" s="763"/>
      <c r="S890" s="764"/>
      <c r="T890" s="783">
        <v>43300</v>
      </c>
      <c r="U890" s="765"/>
      <c r="V890" s="754"/>
      <c r="W890" s="754"/>
      <c r="X890" s="17"/>
      <c r="Z890" s="17"/>
    </row>
    <row r="891" spans="1:26" ht="14.25" customHeight="1">
      <c r="A891" s="754" t="s">
        <v>3005</v>
      </c>
      <c r="B891" s="781" t="s">
        <v>323</v>
      </c>
      <c r="C891" s="780" t="s">
        <v>702</v>
      </c>
      <c r="D891" s="637" t="s">
        <v>1693</v>
      </c>
      <c r="E891" s="754" t="s">
        <v>1436</v>
      </c>
      <c r="F891" s="754"/>
      <c r="G891" s="754"/>
      <c r="H891" s="754" t="s">
        <v>43</v>
      </c>
      <c r="I891" s="754"/>
      <c r="J891" s="754" t="s">
        <v>812</v>
      </c>
      <c r="K891" s="754" t="s">
        <v>812</v>
      </c>
      <c r="L891" s="754" t="s">
        <v>1693</v>
      </c>
      <c r="M891" s="754" t="s">
        <v>809</v>
      </c>
      <c r="N891" s="754">
        <v>21.066663999999999</v>
      </c>
      <c r="O891" s="754">
        <v>92.338031000000001</v>
      </c>
      <c r="P891" s="754" t="s">
        <v>775</v>
      </c>
      <c r="Q891" s="754" t="s">
        <v>794</v>
      </c>
      <c r="R891" s="763"/>
      <c r="S891" s="764"/>
      <c r="T891" s="783">
        <v>43248</v>
      </c>
      <c r="U891" s="765" t="s">
        <v>1943</v>
      </c>
      <c r="V891" s="754"/>
      <c r="W891" s="754"/>
      <c r="X891" s="17"/>
      <c r="Z891" s="17"/>
    </row>
    <row r="892" spans="1:26" ht="14.25" customHeight="1">
      <c r="A892" s="754" t="s">
        <v>3005</v>
      </c>
      <c r="B892" s="792" t="s">
        <v>323</v>
      </c>
      <c r="C892" s="793" t="s">
        <v>2072</v>
      </c>
      <c r="D892" s="761"/>
      <c r="E892" s="754">
        <v>197830</v>
      </c>
      <c r="F892" s="754" t="s">
        <v>2068</v>
      </c>
      <c r="G892" s="754"/>
      <c r="H892" s="754"/>
      <c r="I892" s="754"/>
      <c r="J892" s="754" t="s">
        <v>812</v>
      </c>
      <c r="K892" s="754" t="s">
        <v>812</v>
      </c>
      <c r="L892" s="754" t="s">
        <v>812</v>
      </c>
      <c r="M892" s="754" t="s">
        <v>312</v>
      </c>
      <c r="N892" s="754">
        <v>21.218200679999999</v>
      </c>
      <c r="O892" s="754">
        <v>92.323173519999997</v>
      </c>
      <c r="P892" s="754" t="s">
        <v>813</v>
      </c>
      <c r="Q892" s="754"/>
      <c r="R892" s="771"/>
      <c r="S892" s="764"/>
      <c r="T892" s="783">
        <v>43294</v>
      </c>
      <c r="U892" s="765" t="s">
        <v>2066</v>
      </c>
      <c r="V892" s="754"/>
      <c r="W892" s="754"/>
      <c r="X892" s="17"/>
      <c r="Z892" s="17"/>
    </row>
    <row r="893" spans="1:26" ht="14.25" customHeight="1">
      <c r="A893" s="754" t="s">
        <v>3005</v>
      </c>
      <c r="B893" s="792" t="s">
        <v>323</v>
      </c>
      <c r="C893" s="793" t="s">
        <v>2164</v>
      </c>
      <c r="D893" s="761"/>
      <c r="E893" s="754">
        <v>197835</v>
      </c>
      <c r="F893" s="754"/>
      <c r="G893" s="754"/>
      <c r="H893" s="754"/>
      <c r="I893" s="754"/>
      <c r="J893" s="754" t="s">
        <v>812</v>
      </c>
      <c r="K893" s="754" t="s">
        <v>812</v>
      </c>
      <c r="L893" s="754" t="s">
        <v>812</v>
      </c>
      <c r="M893" s="754" t="s">
        <v>312</v>
      </c>
      <c r="N893" s="754">
        <v>21.218610760000001</v>
      </c>
      <c r="O893" s="754">
        <v>92.300231929999995</v>
      </c>
      <c r="P893" s="754"/>
      <c r="Q893" s="754"/>
      <c r="R893" s="771"/>
      <c r="S893" s="764"/>
      <c r="T893" s="783">
        <v>43300</v>
      </c>
      <c r="U893" s="765"/>
      <c r="V893" s="754"/>
      <c r="W893" s="754"/>
      <c r="X893" s="17"/>
      <c r="Z893" s="17"/>
    </row>
    <row r="894" spans="1:26" ht="14.25" customHeight="1">
      <c r="A894" s="764" t="s">
        <v>3005</v>
      </c>
      <c r="B894" s="792" t="s">
        <v>323</v>
      </c>
      <c r="C894" s="793" t="s">
        <v>3240</v>
      </c>
      <c r="D894" s="761"/>
      <c r="E894" s="754">
        <v>198002</v>
      </c>
      <c r="F894" s="754" t="s">
        <v>3244</v>
      </c>
      <c r="G894" s="754"/>
      <c r="H894" s="754"/>
      <c r="I894" s="754"/>
      <c r="J894" s="754" t="s">
        <v>812</v>
      </c>
      <c r="K894" s="754" t="s">
        <v>812</v>
      </c>
      <c r="L894" s="754" t="s">
        <v>812</v>
      </c>
      <c r="M894" s="754" t="s">
        <v>809</v>
      </c>
      <c r="N894" s="754">
        <v>20.7818698883057</v>
      </c>
      <c r="O894" s="754">
        <v>92.393142700195298</v>
      </c>
      <c r="P894" s="754" t="s">
        <v>813</v>
      </c>
      <c r="Q894" s="754" t="s">
        <v>794</v>
      </c>
      <c r="R894" s="771"/>
      <c r="S894" s="764"/>
      <c r="T894" s="783"/>
      <c r="U894" s="771"/>
      <c r="V894" s="760" t="s">
        <v>608</v>
      </c>
      <c r="W894" s="763"/>
      <c r="X894" s="17"/>
      <c r="Z894" s="17"/>
    </row>
    <row r="895" spans="1:26" ht="14.25" customHeight="1">
      <c r="A895" s="754" t="s">
        <v>3005</v>
      </c>
      <c r="B895" s="781" t="s">
        <v>323</v>
      </c>
      <c r="C895" s="780" t="s">
        <v>2128</v>
      </c>
      <c r="D895" s="637"/>
      <c r="E895" s="754" t="s">
        <v>2173</v>
      </c>
      <c r="F895" s="754"/>
      <c r="G895" s="754"/>
      <c r="H895" s="754"/>
      <c r="I895" s="754"/>
      <c r="J895" s="754" t="s">
        <v>812</v>
      </c>
      <c r="K895" s="754" t="s">
        <v>812</v>
      </c>
      <c r="L895" s="754" t="s">
        <v>812</v>
      </c>
      <c r="M895" s="754" t="s">
        <v>312</v>
      </c>
      <c r="N895" s="754"/>
      <c r="O895" s="754"/>
      <c r="P895" s="754"/>
      <c r="Q895" s="754"/>
      <c r="R895" s="763"/>
      <c r="S895" s="764"/>
      <c r="T895" s="783">
        <v>43300</v>
      </c>
      <c r="U895" s="765"/>
      <c r="V895" s="754"/>
      <c r="W895" s="754"/>
      <c r="X895" s="17"/>
      <c r="Z895" s="17"/>
    </row>
    <row r="896" spans="1:26" ht="14.25" customHeight="1">
      <c r="A896" s="754" t="s">
        <v>3005</v>
      </c>
      <c r="B896" s="781" t="s">
        <v>323</v>
      </c>
      <c r="C896" s="780" t="s">
        <v>2127</v>
      </c>
      <c r="D896" s="637"/>
      <c r="E896" s="754" t="s">
        <v>2174</v>
      </c>
      <c r="F896" s="754"/>
      <c r="G896" s="754"/>
      <c r="H896" s="754"/>
      <c r="I896" s="754"/>
      <c r="J896" s="754" t="s">
        <v>812</v>
      </c>
      <c r="K896" s="754" t="s">
        <v>812</v>
      </c>
      <c r="L896" s="754" t="s">
        <v>812</v>
      </c>
      <c r="M896" s="754" t="s">
        <v>312</v>
      </c>
      <c r="N896" s="754"/>
      <c r="O896" s="754"/>
      <c r="P896" s="754"/>
      <c r="Q896" s="754"/>
      <c r="R896" s="763"/>
      <c r="S896" s="764"/>
      <c r="T896" s="783">
        <v>43300</v>
      </c>
      <c r="U896" s="765"/>
      <c r="V896" s="754"/>
      <c r="W896" s="754"/>
      <c r="X896" s="17"/>
      <c r="Z896" s="17"/>
    </row>
    <row r="897" spans="1:26" ht="14.25" customHeight="1">
      <c r="A897" s="754" t="s">
        <v>3005</v>
      </c>
      <c r="B897" s="781" t="s">
        <v>323</v>
      </c>
      <c r="C897" s="780" t="s">
        <v>2126</v>
      </c>
      <c r="D897" s="637"/>
      <c r="E897" s="754" t="s">
        <v>2175</v>
      </c>
      <c r="F897" s="754"/>
      <c r="G897" s="754"/>
      <c r="H897" s="754"/>
      <c r="I897" s="754"/>
      <c r="J897" s="754" t="s">
        <v>812</v>
      </c>
      <c r="K897" s="754" t="s">
        <v>812</v>
      </c>
      <c r="L897" s="754" t="s">
        <v>812</v>
      </c>
      <c r="M897" s="754" t="s">
        <v>312</v>
      </c>
      <c r="N897" s="754"/>
      <c r="O897" s="754"/>
      <c r="P897" s="754"/>
      <c r="Q897" s="754"/>
      <c r="R897" s="763"/>
      <c r="S897" s="764"/>
      <c r="T897" s="783">
        <v>43300</v>
      </c>
      <c r="U897" s="765"/>
      <c r="V897" s="754"/>
      <c r="W897" s="754"/>
      <c r="X897" s="17"/>
      <c r="Z897" s="17"/>
    </row>
    <row r="898" spans="1:26" ht="14.25" customHeight="1">
      <c r="A898" s="754" t="s">
        <v>3005</v>
      </c>
      <c r="B898" s="781" t="s">
        <v>323</v>
      </c>
      <c r="C898" s="780" t="s">
        <v>2125</v>
      </c>
      <c r="D898" s="637"/>
      <c r="E898" s="754" t="s">
        <v>2176</v>
      </c>
      <c r="F898" s="754"/>
      <c r="G898" s="754"/>
      <c r="H898" s="754"/>
      <c r="I898" s="754"/>
      <c r="J898" s="754" t="s">
        <v>812</v>
      </c>
      <c r="K898" s="754" t="s">
        <v>812</v>
      </c>
      <c r="L898" s="754" t="s">
        <v>812</v>
      </c>
      <c r="M898" s="754" t="s">
        <v>312</v>
      </c>
      <c r="N898" s="754"/>
      <c r="O898" s="754"/>
      <c r="P898" s="754"/>
      <c r="Q898" s="754"/>
      <c r="R898" s="763"/>
      <c r="S898" s="764"/>
      <c r="T898" s="783">
        <v>43300</v>
      </c>
      <c r="U898" s="765"/>
      <c r="V898" s="754"/>
      <c r="W898" s="754"/>
      <c r="X898" s="17"/>
      <c r="Z898" s="17"/>
    </row>
    <row r="899" spans="1:26" ht="14.25" customHeight="1">
      <c r="A899" s="754" t="s">
        <v>3005</v>
      </c>
      <c r="B899" s="781" t="s">
        <v>323</v>
      </c>
      <c r="C899" s="780" t="s">
        <v>1951</v>
      </c>
      <c r="D899" s="637"/>
      <c r="E899" s="754">
        <v>198016</v>
      </c>
      <c r="F899" s="754"/>
      <c r="G899" s="754"/>
      <c r="H899" s="754"/>
      <c r="I899" s="754"/>
      <c r="J899" s="754" t="s">
        <v>812</v>
      </c>
      <c r="K899" s="754" t="s">
        <v>812</v>
      </c>
      <c r="L899" s="754" t="s">
        <v>812</v>
      </c>
      <c r="M899" s="754" t="s">
        <v>312</v>
      </c>
      <c r="N899" s="754">
        <v>20.731571200000001</v>
      </c>
      <c r="O899" s="754">
        <v>92.428176879999995</v>
      </c>
      <c r="P899" s="754" t="s">
        <v>813</v>
      </c>
      <c r="Q899" s="754" t="s">
        <v>1950</v>
      </c>
      <c r="R899" s="763"/>
      <c r="S899" s="764"/>
      <c r="T899" s="783">
        <v>43245</v>
      </c>
      <c r="U899" s="765"/>
      <c r="V899" s="754"/>
      <c r="W899" s="754"/>
      <c r="X899" s="17"/>
      <c r="Z899" s="17"/>
    </row>
    <row r="900" spans="1:26" ht="14.25" customHeight="1">
      <c r="A900" s="764" t="s">
        <v>3005</v>
      </c>
      <c r="B900" s="792" t="s">
        <v>323</v>
      </c>
      <c r="C900" s="793" t="s">
        <v>3071</v>
      </c>
      <c r="D900" s="761"/>
      <c r="E900" s="754">
        <v>198085</v>
      </c>
      <c r="F900" s="754" t="s">
        <v>3057</v>
      </c>
      <c r="G900" s="754"/>
      <c r="H900" s="754"/>
      <c r="I900" s="754"/>
      <c r="J900" s="754" t="s">
        <v>3017</v>
      </c>
      <c r="K900" s="754" t="s">
        <v>2935</v>
      </c>
      <c r="L900" s="754" t="s">
        <v>2935</v>
      </c>
      <c r="M900" s="754"/>
      <c r="N900" s="754">
        <v>20.4804992675781</v>
      </c>
      <c r="O900" s="787">
        <v>92.611358642578097</v>
      </c>
      <c r="P900" s="754"/>
      <c r="Q900" s="754" t="s">
        <v>2940</v>
      </c>
      <c r="R900" s="771"/>
      <c r="S900" s="764"/>
      <c r="T900" s="783">
        <v>43580</v>
      </c>
      <c r="U900" s="816" t="s">
        <v>3058</v>
      </c>
      <c r="V900" s="765"/>
      <c r="W900" s="763"/>
      <c r="X900" s="17"/>
      <c r="Z900" s="17"/>
    </row>
    <row r="901" spans="1:26" ht="14.25" customHeight="1">
      <c r="A901" s="754" t="s">
        <v>3005</v>
      </c>
      <c r="B901" s="781" t="s">
        <v>323</v>
      </c>
      <c r="C901" s="780" t="s">
        <v>1785</v>
      </c>
      <c r="D901" s="637"/>
      <c r="E901" s="754">
        <v>197917</v>
      </c>
      <c r="F901" s="754"/>
      <c r="G901" s="754"/>
      <c r="H901" s="754"/>
      <c r="I901" s="754"/>
      <c r="J901" s="754" t="s">
        <v>812</v>
      </c>
      <c r="K901" s="754" t="s">
        <v>812</v>
      </c>
      <c r="L901" s="754" t="s">
        <v>812</v>
      </c>
      <c r="M901" s="754" t="s">
        <v>312</v>
      </c>
      <c r="N901" s="754">
        <v>20.943050379999999</v>
      </c>
      <c r="O901" s="754">
        <v>92.315856929999995</v>
      </c>
      <c r="P901" s="754"/>
      <c r="Q901" s="754"/>
      <c r="R901" s="763"/>
      <c r="S901" s="764"/>
      <c r="T901" s="783">
        <v>43300</v>
      </c>
      <c r="U901" s="765"/>
      <c r="V901" s="754"/>
      <c r="W901" s="754"/>
      <c r="X901" s="17"/>
      <c r="Z901" s="17"/>
    </row>
    <row r="902" spans="1:26" ht="14.25" customHeight="1">
      <c r="A902" s="754" t="s">
        <v>3005</v>
      </c>
      <c r="B902" s="792" t="s">
        <v>323</v>
      </c>
      <c r="C902" s="793" t="s">
        <v>3076</v>
      </c>
      <c r="D902" s="761"/>
      <c r="E902" s="754">
        <v>220747</v>
      </c>
      <c r="F902" s="754"/>
      <c r="G902" s="754"/>
      <c r="H902" s="754"/>
      <c r="I902" s="754"/>
      <c r="J902" s="754" t="s">
        <v>812</v>
      </c>
      <c r="K902" s="754" t="s">
        <v>812</v>
      </c>
      <c r="L902" s="754" t="s">
        <v>812</v>
      </c>
      <c r="M902" s="754" t="s">
        <v>2148</v>
      </c>
      <c r="N902" s="754">
        <v>21.153581620000001</v>
      </c>
      <c r="O902" s="754">
        <v>92.250885010000005</v>
      </c>
      <c r="P902" s="754" t="s">
        <v>813</v>
      </c>
      <c r="Q902" s="754"/>
      <c r="R902" s="771"/>
      <c r="S902" s="764"/>
      <c r="T902" s="783">
        <v>43300</v>
      </c>
      <c r="U902" s="765"/>
      <c r="V902" s="754"/>
      <c r="W902" s="754"/>
      <c r="X902" s="17"/>
      <c r="Z902" s="17"/>
    </row>
    <row r="903" spans="1:26" ht="14.25" customHeight="1">
      <c r="A903" s="754" t="s">
        <v>3005</v>
      </c>
      <c r="B903" s="781" t="s">
        <v>323</v>
      </c>
      <c r="C903" s="780" t="s">
        <v>3075</v>
      </c>
      <c r="D903" s="637"/>
      <c r="E903" s="760">
        <v>220747</v>
      </c>
      <c r="F903" s="754" t="s">
        <v>2069</v>
      </c>
      <c r="G903" s="754"/>
      <c r="H903" s="754"/>
      <c r="I903" s="754"/>
      <c r="J903" s="754" t="s">
        <v>812</v>
      </c>
      <c r="K903" s="754" t="s">
        <v>812</v>
      </c>
      <c r="L903" s="754" t="s">
        <v>812</v>
      </c>
      <c r="M903" s="754" t="s">
        <v>312</v>
      </c>
      <c r="N903" s="754">
        <v>21.153581620000001</v>
      </c>
      <c r="O903" s="754">
        <v>92.250885010000005</v>
      </c>
      <c r="P903" s="754" t="s">
        <v>813</v>
      </c>
      <c r="Q903" s="754"/>
      <c r="R903" s="763"/>
      <c r="S903" s="764"/>
      <c r="T903" s="783">
        <v>43294</v>
      </c>
      <c r="U903" s="765" t="s">
        <v>2066</v>
      </c>
      <c r="V903" s="754"/>
      <c r="W903" s="754"/>
      <c r="X903" s="17"/>
      <c r="Z903" s="17"/>
    </row>
    <row r="904" spans="1:26" ht="14.25" customHeight="1">
      <c r="A904" s="754" t="s">
        <v>3005</v>
      </c>
      <c r="B904" s="792" t="s">
        <v>323</v>
      </c>
      <c r="C904" s="780" t="s">
        <v>2115</v>
      </c>
      <c r="D904" s="638"/>
      <c r="E904" s="760">
        <v>197957</v>
      </c>
      <c r="F904" s="760"/>
      <c r="G904" s="760"/>
      <c r="H904" s="760"/>
      <c r="I904" s="760"/>
      <c r="J904" s="760" t="s">
        <v>812</v>
      </c>
      <c r="K904" s="760" t="s">
        <v>812</v>
      </c>
      <c r="L904" s="760" t="s">
        <v>812</v>
      </c>
      <c r="M904" s="760" t="s">
        <v>809</v>
      </c>
      <c r="N904" s="760">
        <v>20.900329589999998</v>
      </c>
      <c r="O904" s="760">
        <v>92.362213130000001</v>
      </c>
      <c r="P904" s="754"/>
      <c r="Q904" s="760"/>
      <c r="R904" s="772"/>
      <c r="S904" s="768"/>
      <c r="T904" s="784">
        <v>43300</v>
      </c>
      <c r="U904" s="769"/>
      <c r="V904" s="760"/>
      <c r="W904" s="754"/>
      <c r="X904" s="17"/>
      <c r="Z904" s="17"/>
    </row>
    <row r="905" spans="1:26" ht="14.25" customHeight="1">
      <c r="A905" s="754" t="s">
        <v>3005</v>
      </c>
      <c r="B905" s="781" t="s">
        <v>323</v>
      </c>
      <c r="C905" s="780" t="s">
        <v>705</v>
      </c>
      <c r="D905" s="637" t="s">
        <v>1693</v>
      </c>
      <c r="E905" s="754">
        <v>220722</v>
      </c>
      <c r="F905" s="754"/>
      <c r="G905" s="754"/>
      <c r="H905" s="754"/>
      <c r="I905" s="754"/>
      <c r="J905" s="754" t="s">
        <v>812</v>
      </c>
      <c r="K905" s="754" t="s">
        <v>812</v>
      </c>
      <c r="L905" s="754" t="s">
        <v>812</v>
      </c>
      <c r="M905" s="754" t="s">
        <v>809</v>
      </c>
      <c r="N905" s="754">
        <v>21.200752260000002</v>
      </c>
      <c r="O905" s="754">
        <v>92.309303279999995</v>
      </c>
      <c r="P905" s="754" t="s">
        <v>813</v>
      </c>
      <c r="Q905" s="754" t="s">
        <v>794</v>
      </c>
      <c r="R905" s="763"/>
      <c r="S905" s="764"/>
      <c r="T905" s="783"/>
      <c r="U905" s="765"/>
      <c r="V905" s="754" t="s">
        <v>973</v>
      </c>
      <c r="W905" s="754"/>
      <c r="X905" s="17"/>
      <c r="Z905" s="17"/>
    </row>
    <row r="906" spans="1:26" ht="14.25" customHeight="1">
      <c r="A906" s="754" t="s">
        <v>3005</v>
      </c>
      <c r="B906" s="792" t="s">
        <v>323</v>
      </c>
      <c r="C906" s="793" t="s">
        <v>640</v>
      </c>
      <c r="D906" s="761" t="s">
        <v>1693</v>
      </c>
      <c r="E906" s="754" t="s">
        <v>1426</v>
      </c>
      <c r="F906" s="754"/>
      <c r="G906" s="754"/>
      <c r="H906" s="754" t="s">
        <v>43</v>
      </c>
      <c r="I906" s="754"/>
      <c r="J906" s="754" t="s">
        <v>812</v>
      </c>
      <c r="K906" s="754" t="s">
        <v>812</v>
      </c>
      <c r="L906" s="754" t="s">
        <v>1693</v>
      </c>
      <c r="M906" s="754" t="s">
        <v>809</v>
      </c>
      <c r="N906" s="754">
        <v>20.824517</v>
      </c>
      <c r="O906" s="754">
        <v>92.401293999999993</v>
      </c>
      <c r="P906" s="754" t="s">
        <v>775</v>
      </c>
      <c r="Q906" s="754"/>
      <c r="R906" s="771"/>
      <c r="S906" s="764"/>
      <c r="T906" s="783">
        <v>43248</v>
      </c>
      <c r="U906" s="765" t="s">
        <v>1943</v>
      </c>
      <c r="V906" s="754" t="s">
        <v>955</v>
      </c>
      <c r="W906" s="754"/>
      <c r="X906" s="17"/>
      <c r="Z906" s="17"/>
    </row>
    <row r="907" spans="1:26" ht="14.25" customHeight="1">
      <c r="A907" s="754" t="s">
        <v>3005</v>
      </c>
      <c r="B907" s="792" t="s">
        <v>323</v>
      </c>
      <c r="C907" s="793" t="s">
        <v>2117</v>
      </c>
      <c r="D907" s="761"/>
      <c r="E907" s="754">
        <v>197951</v>
      </c>
      <c r="F907" s="754"/>
      <c r="G907" s="754"/>
      <c r="H907" s="754"/>
      <c r="I907" s="754"/>
      <c r="J907" s="754" t="s">
        <v>812</v>
      </c>
      <c r="K907" s="754" t="s">
        <v>812</v>
      </c>
      <c r="L907" s="754" t="s">
        <v>812</v>
      </c>
      <c r="M907" s="754" t="s">
        <v>809</v>
      </c>
      <c r="N907" s="754">
        <v>20.905330660000001</v>
      </c>
      <c r="O907" s="754">
        <v>92.344802860000001</v>
      </c>
      <c r="P907" s="754"/>
      <c r="Q907" s="754"/>
      <c r="R907" s="771"/>
      <c r="S907" s="764"/>
      <c r="T907" s="783">
        <v>43300</v>
      </c>
      <c r="U907" s="765"/>
      <c r="V907" s="754"/>
      <c r="W907" s="754"/>
      <c r="X907" s="17"/>
      <c r="Z907" s="17"/>
    </row>
    <row r="908" spans="1:26" ht="14.25" customHeight="1">
      <c r="A908" s="754" t="s">
        <v>3005</v>
      </c>
      <c r="B908" s="792" t="s">
        <v>323</v>
      </c>
      <c r="C908" s="793" t="s">
        <v>2118</v>
      </c>
      <c r="D908" s="761"/>
      <c r="E908" s="754">
        <v>197952</v>
      </c>
      <c r="F908" s="754"/>
      <c r="G908" s="754"/>
      <c r="H908" s="754"/>
      <c r="I908" s="754"/>
      <c r="J908" s="754" t="s">
        <v>812</v>
      </c>
      <c r="K908" s="754" t="s">
        <v>812</v>
      </c>
      <c r="L908" s="754" t="s">
        <v>812</v>
      </c>
      <c r="M908" s="754" t="s">
        <v>809</v>
      </c>
      <c r="N908" s="754">
        <v>20.90098953</v>
      </c>
      <c r="O908" s="754">
        <v>92.355827329999997</v>
      </c>
      <c r="P908" s="754"/>
      <c r="Q908" s="754"/>
      <c r="R908" s="771"/>
      <c r="S908" s="764"/>
      <c r="T908" s="783">
        <v>43300</v>
      </c>
      <c r="U908" s="765"/>
      <c r="V908" s="754"/>
      <c r="W908" s="754"/>
      <c r="X908" s="17"/>
      <c r="Z908" s="17"/>
    </row>
    <row r="909" spans="1:26" ht="14.25" customHeight="1">
      <c r="A909" s="754" t="s">
        <v>3005</v>
      </c>
      <c r="B909" s="781" t="s">
        <v>323</v>
      </c>
      <c r="C909" s="780" t="s">
        <v>704</v>
      </c>
      <c r="D909" s="637" t="s">
        <v>1693</v>
      </c>
      <c r="E909" s="754">
        <v>197839</v>
      </c>
      <c r="F909" s="754"/>
      <c r="G909" s="754"/>
      <c r="H909" s="754"/>
      <c r="I909" s="754"/>
      <c r="J909" s="754" t="s">
        <v>812</v>
      </c>
      <c r="K909" s="754" t="s">
        <v>812</v>
      </c>
      <c r="L909" s="754" t="s">
        <v>812</v>
      </c>
      <c r="M909" s="754" t="s">
        <v>809</v>
      </c>
      <c r="N909" s="754">
        <v>21.18890953</v>
      </c>
      <c r="O909" s="754">
        <v>92.306762699999993</v>
      </c>
      <c r="P909" s="754" t="s">
        <v>813</v>
      </c>
      <c r="Q909" s="754" t="s">
        <v>794</v>
      </c>
      <c r="R909" s="763"/>
      <c r="S909" s="764"/>
      <c r="T909" s="783"/>
      <c r="U909" s="765"/>
      <c r="V909" s="754" t="s">
        <v>972</v>
      </c>
      <c r="W909" s="754"/>
      <c r="X909" s="17"/>
      <c r="Z909" s="17"/>
    </row>
    <row r="910" spans="1:26" ht="14.25" customHeight="1">
      <c r="A910" s="754" t="s">
        <v>3005</v>
      </c>
      <c r="B910" s="781" t="s">
        <v>323</v>
      </c>
      <c r="C910" s="780" t="s">
        <v>2133</v>
      </c>
      <c r="D910" s="637"/>
      <c r="E910" s="754"/>
      <c r="F910" s="754"/>
      <c r="G910" s="754"/>
      <c r="H910" s="754"/>
      <c r="I910" s="754"/>
      <c r="J910" s="754" t="s">
        <v>812</v>
      </c>
      <c r="K910" s="754" t="s">
        <v>812</v>
      </c>
      <c r="L910" s="754" t="s">
        <v>812</v>
      </c>
      <c r="M910" s="754" t="s">
        <v>2146</v>
      </c>
      <c r="N910" s="754"/>
      <c r="O910" s="754"/>
      <c r="P910" s="754"/>
      <c r="Q910" s="754"/>
      <c r="R910" s="763"/>
      <c r="S910" s="764"/>
      <c r="T910" s="783">
        <v>43300</v>
      </c>
      <c r="U910" s="765"/>
      <c r="V910" s="754"/>
      <c r="W910" s="754"/>
      <c r="X910" s="17"/>
      <c r="Z910" s="17"/>
    </row>
    <row r="911" spans="1:26" ht="14.25" customHeight="1">
      <c r="A911" s="754" t="s">
        <v>3005</v>
      </c>
      <c r="B911" s="781" t="s">
        <v>323</v>
      </c>
      <c r="C911" s="780" t="s">
        <v>3089</v>
      </c>
      <c r="D911" s="637"/>
      <c r="E911" s="754">
        <v>198101</v>
      </c>
      <c r="F911" s="754"/>
      <c r="G911" s="754"/>
      <c r="H911" s="754"/>
      <c r="I911" s="754"/>
      <c r="J911" s="754" t="s">
        <v>812</v>
      </c>
      <c r="K911" s="754" t="s">
        <v>812</v>
      </c>
      <c r="L911" s="754" t="s">
        <v>812</v>
      </c>
      <c r="M911" s="754" t="s">
        <v>2148</v>
      </c>
      <c r="N911" s="754">
        <v>21.177719119999999</v>
      </c>
      <c r="O911" s="754">
        <v>92.239547729999998</v>
      </c>
      <c r="P911" s="754"/>
      <c r="Q911" s="754"/>
      <c r="R911" s="767"/>
      <c r="S911" s="768"/>
      <c r="T911" s="783">
        <v>43300</v>
      </c>
      <c r="U911" s="765"/>
      <c r="V911" s="754"/>
      <c r="W911" s="754"/>
      <c r="X911" s="17"/>
      <c r="Z911" s="17"/>
    </row>
    <row r="912" spans="1:26" ht="14.25" customHeight="1">
      <c r="A912" s="754" t="s">
        <v>3005</v>
      </c>
      <c r="B912" s="781" t="s">
        <v>323</v>
      </c>
      <c r="C912" s="780" t="s">
        <v>2067</v>
      </c>
      <c r="D912" s="637"/>
      <c r="E912" s="754">
        <v>198101</v>
      </c>
      <c r="F912" s="754" t="s">
        <v>2069</v>
      </c>
      <c r="G912" s="754"/>
      <c r="H912" s="754"/>
      <c r="I912" s="754"/>
      <c r="J912" s="754" t="s">
        <v>812</v>
      </c>
      <c r="K912" s="754" t="s">
        <v>812</v>
      </c>
      <c r="L912" s="754" t="s">
        <v>812</v>
      </c>
      <c r="M912" s="754" t="s">
        <v>312</v>
      </c>
      <c r="N912" s="754">
        <v>21.177719119999999</v>
      </c>
      <c r="O912" s="754">
        <v>92.239547729999998</v>
      </c>
      <c r="P912" s="754" t="s">
        <v>813</v>
      </c>
      <c r="Q912" s="754"/>
      <c r="R912" s="763"/>
      <c r="S912" s="764"/>
      <c r="T912" s="783">
        <v>43294</v>
      </c>
      <c r="U912" s="765" t="s">
        <v>2066</v>
      </c>
      <c r="V912" s="754"/>
      <c r="W912" s="754"/>
      <c r="X912" s="17"/>
      <c r="Z912" s="17"/>
    </row>
    <row r="913" spans="1:26" ht="14.25" customHeight="1">
      <c r="A913" s="754" t="s">
        <v>3005</v>
      </c>
      <c r="B913" s="781" t="s">
        <v>323</v>
      </c>
      <c r="C913" s="780" t="s">
        <v>363</v>
      </c>
      <c r="D913" s="637" t="s">
        <v>1693</v>
      </c>
      <c r="E913" s="754"/>
      <c r="F913" s="754"/>
      <c r="G913" s="754"/>
      <c r="H913" s="754"/>
      <c r="I913" s="754"/>
      <c r="J913" s="754" t="s">
        <v>812</v>
      </c>
      <c r="K913" s="754" t="s">
        <v>812</v>
      </c>
      <c r="L913" s="754" t="s">
        <v>812</v>
      </c>
      <c r="M913" s="754" t="s">
        <v>312</v>
      </c>
      <c r="N913" s="754"/>
      <c r="O913" s="754"/>
      <c r="P913" s="754" t="s">
        <v>813</v>
      </c>
      <c r="Q913" s="754" t="s">
        <v>794</v>
      </c>
      <c r="R913" s="763"/>
      <c r="S913" s="764"/>
      <c r="T913" s="783"/>
      <c r="U913" s="765"/>
      <c r="V913" s="754" t="s">
        <v>363</v>
      </c>
      <c r="W913" s="754"/>
      <c r="X913" s="17"/>
      <c r="Z913" s="17"/>
    </row>
    <row r="914" spans="1:26" ht="14.25" customHeight="1">
      <c r="A914" s="754" t="s">
        <v>3005</v>
      </c>
      <c r="B914" s="781" t="s">
        <v>323</v>
      </c>
      <c r="C914" s="780" t="s">
        <v>364</v>
      </c>
      <c r="D914" s="637" t="s">
        <v>1693</v>
      </c>
      <c r="E914" s="754"/>
      <c r="F914" s="754"/>
      <c r="G914" s="754"/>
      <c r="H914" s="754"/>
      <c r="I914" s="754"/>
      <c r="J914" s="754" t="s">
        <v>812</v>
      </c>
      <c r="K914" s="754" t="s">
        <v>812</v>
      </c>
      <c r="L914" s="754" t="s">
        <v>812</v>
      </c>
      <c r="M914" s="754" t="s">
        <v>809</v>
      </c>
      <c r="N914" s="754"/>
      <c r="O914" s="754"/>
      <c r="P914" s="754" t="s">
        <v>813</v>
      </c>
      <c r="Q914" s="754" t="s">
        <v>794</v>
      </c>
      <c r="R914" s="763"/>
      <c r="S914" s="764"/>
      <c r="T914" s="783"/>
      <c r="U914" s="765"/>
      <c r="V914" s="754" t="s">
        <v>364</v>
      </c>
      <c r="W914" s="754"/>
      <c r="X914" s="17"/>
      <c r="Z914" s="17"/>
    </row>
    <row r="915" spans="1:26" ht="14.25" customHeight="1">
      <c r="A915" s="754" t="s">
        <v>3005</v>
      </c>
      <c r="B915" s="781" t="s">
        <v>323</v>
      </c>
      <c r="C915" s="780" t="s">
        <v>365</v>
      </c>
      <c r="D915" s="637" t="s">
        <v>1693</v>
      </c>
      <c r="E915" s="754"/>
      <c r="F915" s="754"/>
      <c r="G915" s="754"/>
      <c r="H915" s="754"/>
      <c r="I915" s="754"/>
      <c r="J915" s="754" t="s">
        <v>812</v>
      </c>
      <c r="K915" s="754" t="s">
        <v>812</v>
      </c>
      <c r="L915" s="754" t="s">
        <v>812</v>
      </c>
      <c r="M915" s="754" t="s">
        <v>809</v>
      </c>
      <c r="N915" s="754"/>
      <c r="O915" s="754"/>
      <c r="P915" s="754" t="s">
        <v>813</v>
      </c>
      <c r="Q915" s="754" t="s">
        <v>794</v>
      </c>
      <c r="R915" s="763"/>
      <c r="S915" s="764"/>
      <c r="T915" s="783"/>
      <c r="U915" s="765"/>
      <c r="V915" s="754" t="s">
        <v>365</v>
      </c>
      <c r="W915" s="754"/>
      <c r="X915" s="17"/>
      <c r="Z915" s="17"/>
    </row>
    <row r="916" spans="1:26" ht="14.25" customHeight="1">
      <c r="A916" s="754" t="s">
        <v>3005</v>
      </c>
      <c r="B916" s="781" t="s">
        <v>323</v>
      </c>
      <c r="C916" s="780" t="s">
        <v>2167</v>
      </c>
      <c r="D916" s="637"/>
      <c r="E916" s="754">
        <v>197825</v>
      </c>
      <c r="F916" s="754"/>
      <c r="G916" s="754"/>
      <c r="H916" s="754"/>
      <c r="I916" s="754"/>
      <c r="J916" s="754" t="s">
        <v>812</v>
      </c>
      <c r="K916" s="754" t="s">
        <v>812</v>
      </c>
      <c r="L916" s="754" t="s">
        <v>812</v>
      </c>
      <c r="M916" s="754" t="s">
        <v>2151</v>
      </c>
      <c r="N916" s="754">
        <v>21.239080430000001</v>
      </c>
      <c r="O916" s="754">
        <v>92.288932799999998</v>
      </c>
      <c r="P916" s="754"/>
      <c r="Q916" s="754"/>
      <c r="R916" s="763"/>
      <c r="S916" s="764"/>
      <c r="T916" s="783">
        <v>43300</v>
      </c>
      <c r="U916" s="765"/>
      <c r="V916" s="754"/>
      <c r="W916" s="754"/>
      <c r="X916" s="17"/>
      <c r="Z916" s="17"/>
    </row>
    <row r="917" spans="1:26" ht="14.25" customHeight="1">
      <c r="A917" s="754" t="s">
        <v>3005</v>
      </c>
      <c r="B917" s="781" t="s">
        <v>323</v>
      </c>
      <c r="C917" s="780" t="s">
        <v>366</v>
      </c>
      <c r="D917" s="637" t="s">
        <v>1693</v>
      </c>
      <c r="E917" s="754">
        <v>197826</v>
      </c>
      <c r="F917" s="754"/>
      <c r="G917" s="754"/>
      <c r="H917" s="754"/>
      <c r="I917" s="754"/>
      <c r="J917" s="754" t="s">
        <v>812</v>
      </c>
      <c r="K917" s="754" t="s">
        <v>812</v>
      </c>
      <c r="L917" s="754" t="s">
        <v>812</v>
      </c>
      <c r="M917" s="754" t="s">
        <v>2061</v>
      </c>
      <c r="N917" s="775"/>
      <c r="O917" s="775"/>
      <c r="P917" s="754" t="s">
        <v>813</v>
      </c>
      <c r="Q917" s="754" t="s">
        <v>794</v>
      </c>
      <c r="R917" s="763"/>
      <c r="S917" s="764"/>
      <c r="T917" s="783"/>
      <c r="U917" s="765"/>
      <c r="V917" s="754" t="s">
        <v>1161</v>
      </c>
      <c r="W917" s="754"/>
      <c r="X917" s="17"/>
      <c r="Z917" s="17"/>
    </row>
    <row r="918" spans="1:26" ht="14.25" customHeight="1">
      <c r="A918" s="754" t="s">
        <v>3005</v>
      </c>
      <c r="B918" s="781" t="s">
        <v>323</v>
      </c>
      <c r="C918" s="780" t="s">
        <v>2143</v>
      </c>
      <c r="D918" s="637"/>
      <c r="E918" s="754">
        <v>197930</v>
      </c>
      <c r="F918" s="754"/>
      <c r="G918" s="754"/>
      <c r="H918" s="754"/>
      <c r="I918" s="754"/>
      <c r="J918" s="754" t="s">
        <v>812</v>
      </c>
      <c r="K918" s="754" t="s">
        <v>812</v>
      </c>
      <c r="L918" s="754" t="s">
        <v>812</v>
      </c>
      <c r="M918" s="754" t="s">
        <v>809</v>
      </c>
      <c r="N918" s="754">
        <v>20.9400692</v>
      </c>
      <c r="O918" s="754">
        <v>92.337913510000007</v>
      </c>
      <c r="P918" s="754"/>
      <c r="Q918" s="754"/>
      <c r="R918" s="763"/>
      <c r="S918" s="764"/>
      <c r="T918" s="783">
        <v>43300</v>
      </c>
      <c r="U918" s="765"/>
      <c r="V918" s="754"/>
      <c r="W918" s="754"/>
      <c r="X918" s="17"/>
      <c r="Z918" s="17"/>
    </row>
    <row r="919" spans="1:26" ht="14.25" customHeight="1">
      <c r="A919" s="754" t="s">
        <v>3005</v>
      </c>
      <c r="B919" s="781" t="s">
        <v>323</v>
      </c>
      <c r="C919" s="780" t="s">
        <v>2161</v>
      </c>
      <c r="D919" s="637"/>
      <c r="E919" s="754">
        <v>220741</v>
      </c>
      <c r="F919" s="754"/>
      <c r="G919" s="754"/>
      <c r="H919" s="754"/>
      <c r="I919" s="754"/>
      <c r="J919" s="754" t="s">
        <v>812</v>
      </c>
      <c r="K919" s="754" t="s">
        <v>812</v>
      </c>
      <c r="L919" s="754" t="s">
        <v>812</v>
      </c>
      <c r="M919" s="754" t="s">
        <v>312</v>
      </c>
      <c r="N919" s="754">
        <v>20.680984500000001</v>
      </c>
      <c r="O919" s="754">
        <v>92.473495479999997</v>
      </c>
      <c r="P919" s="754"/>
      <c r="Q919" s="754"/>
      <c r="R919" s="763"/>
      <c r="S919" s="764"/>
      <c r="T919" s="783">
        <v>43300</v>
      </c>
      <c r="U919" s="765"/>
      <c r="V919" s="754"/>
      <c r="W919" s="754"/>
      <c r="X919" s="17"/>
      <c r="Z919" s="17"/>
    </row>
    <row r="920" spans="1:26" ht="14.25" customHeight="1">
      <c r="A920" s="754" t="s">
        <v>3005</v>
      </c>
      <c r="B920" s="781" t="s">
        <v>323</v>
      </c>
      <c r="C920" s="780" t="s">
        <v>369</v>
      </c>
      <c r="D920" s="637" t="s">
        <v>1693</v>
      </c>
      <c r="E920" s="754"/>
      <c r="F920" s="754"/>
      <c r="G920" s="754"/>
      <c r="H920" s="754"/>
      <c r="I920" s="754"/>
      <c r="J920" s="754" t="s">
        <v>812</v>
      </c>
      <c r="K920" s="754" t="s">
        <v>812</v>
      </c>
      <c r="L920" s="754" t="s">
        <v>812</v>
      </c>
      <c r="M920" s="754" t="s">
        <v>312</v>
      </c>
      <c r="N920" s="754"/>
      <c r="O920" s="754"/>
      <c r="P920" s="754" t="s">
        <v>813</v>
      </c>
      <c r="Q920" s="754" t="s">
        <v>794</v>
      </c>
      <c r="R920" s="763"/>
      <c r="S920" s="764"/>
      <c r="T920" s="783"/>
      <c r="U920" s="765"/>
      <c r="V920" s="754" t="s">
        <v>369</v>
      </c>
      <c r="W920" s="754"/>
      <c r="X920" s="17"/>
      <c r="Z920" s="17"/>
    </row>
    <row r="921" spans="1:26" ht="14.25" customHeight="1">
      <c r="A921" s="754" t="s">
        <v>3005</v>
      </c>
      <c r="B921" s="781" t="s">
        <v>323</v>
      </c>
      <c r="C921" s="780" t="s">
        <v>2815</v>
      </c>
      <c r="D921" s="637"/>
      <c r="E921" s="754">
        <v>220736</v>
      </c>
      <c r="F921" s="754" t="s">
        <v>2951</v>
      </c>
      <c r="G921" s="754"/>
      <c r="H921" s="754"/>
      <c r="I921" s="754"/>
      <c r="J921" s="754" t="s">
        <v>812</v>
      </c>
      <c r="K921" s="754" t="s">
        <v>812</v>
      </c>
      <c r="L921" s="754" t="s">
        <v>812</v>
      </c>
      <c r="M921" s="754" t="s">
        <v>312</v>
      </c>
      <c r="N921" s="754"/>
      <c r="O921" s="754"/>
      <c r="P921" s="754"/>
      <c r="Q921" s="754"/>
      <c r="R921" s="763"/>
      <c r="S921" s="764"/>
      <c r="T921" s="783"/>
      <c r="U921" s="765"/>
      <c r="V921" s="754"/>
      <c r="W921" s="754"/>
      <c r="X921" s="17"/>
      <c r="Z921" s="17"/>
    </row>
    <row r="922" spans="1:26" ht="14.25" customHeight="1">
      <c r="A922" s="754" t="s">
        <v>3005</v>
      </c>
      <c r="B922" s="781" t="s">
        <v>323</v>
      </c>
      <c r="C922" s="780" t="s">
        <v>650</v>
      </c>
      <c r="D922" s="637" t="s">
        <v>1693</v>
      </c>
      <c r="E922" s="754" t="s">
        <v>1430</v>
      </c>
      <c r="F922" s="754"/>
      <c r="G922" s="754"/>
      <c r="H922" s="754" t="s">
        <v>43</v>
      </c>
      <c r="I922" s="754"/>
      <c r="J922" s="754" t="s">
        <v>812</v>
      </c>
      <c r="K922" s="754" t="s">
        <v>812</v>
      </c>
      <c r="L922" s="754" t="s">
        <v>1693</v>
      </c>
      <c r="M922" s="754" t="s">
        <v>809</v>
      </c>
      <c r="N922" s="754">
        <v>20.833831</v>
      </c>
      <c r="O922" s="754">
        <v>92.416683000000006</v>
      </c>
      <c r="P922" s="754" t="s">
        <v>775</v>
      </c>
      <c r="Q922" s="754" t="s">
        <v>794</v>
      </c>
      <c r="R922" s="763"/>
      <c r="S922" s="764"/>
      <c r="T922" s="783">
        <v>43248</v>
      </c>
      <c r="U922" s="765" t="s">
        <v>1943</v>
      </c>
      <c r="V922" s="754"/>
      <c r="W922" s="754"/>
      <c r="X922" s="17"/>
      <c r="Z922" s="17"/>
    </row>
    <row r="923" spans="1:26" ht="14.25" customHeight="1">
      <c r="A923" s="754" t="s">
        <v>3005</v>
      </c>
      <c r="B923" s="781" t="s">
        <v>323</v>
      </c>
      <c r="C923" s="780" t="s">
        <v>1164</v>
      </c>
      <c r="D923" s="637" t="s">
        <v>1693</v>
      </c>
      <c r="E923" s="754"/>
      <c r="F923" s="754"/>
      <c r="G923" s="754"/>
      <c r="H923" s="754"/>
      <c r="I923" s="754"/>
      <c r="J923" s="754" t="s">
        <v>812</v>
      </c>
      <c r="K923" s="754" t="s">
        <v>812</v>
      </c>
      <c r="L923" s="754" t="s">
        <v>812</v>
      </c>
      <c r="M923" s="754" t="s">
        <v>809</v>
      </c>
      <c r="N923" s="775"/>
      <c r="O923" s="775"/>
      <c r="P923" s="754" t="s">
        <v>813</v>
      </c>
      <c r="Q923" s="754"/>
      <c r="R923" s="763"/>
      <c r="S923" s="764"/>
      <c r="T923" s="783"/>
      <c r="U923" s="765"/>
      <c r="V923" s="754" t="s">
        <v>1164</v>
      </c>
      <c r="W923" s="754"/>
      <c r="X923" s="17"/>
      <c r="Z923" s="17"/>
    </row>
    <row r="924" spans="1:26" ht="14.25" customHeight="1">
      <c r="A924" s="764" t="s">
        <v>3005</v>
      </c>
      <c r="B924" s="792" t="s">
        <v>323</v>
      </c>
      <c r="C924" s="793" t="s">
        <v>3069</v>
      </c>
      <c r="D924" s="761"/>
      <c r="E924" s="754">
        <v>197860</v>
      </c>
      <c r="F924" s="754" t="s">
        <v>3069</v>
      </c>
      <c r="G924" s="754"/>
      <c r="H924" s="754"/>
      <c r="I924" s="754"/>
      <c r="J924" s="754" t="s">
        <v>3017</v>
      </c>
      <c r="K924" s="754" t="s">
        <v>2935</v>
      </c>
      <c r="L924" s="754" t="s">
        <v>2935</v>
      </c>
      <c r="M924" s="754"/>
      <c r="N924" s="754">
        <v>21.1420993804932</v>
      </c>
      <c r="O924" s="754">
        <v>92.338172912597699</v>
      </c>
      <c r="P924" s="754"/>
      <c r="Q924" s="754" t="s">
        <v>2940</v>
      </c>
      <c r="R924" s="771"/>
      <c r="S924" s="764"/>
      <c r="T924" s="783">
        <v>43580</v>
      </c>
      <c r="U924" s="816" t="s">
        <v>3058</v>
      </c>
      <c r="V924" s="765"/>
      <c r="W924" s="763"/>
      <c r="X924" s="17"/>
      <c r="Z924" s="17"/>
    </row>
    <row r="925" spans="1:26" ht="14.25" customHeight="1">
      <c r="A925" s="754" t="s">
        <v>3005</v>
      </c>
      <c r="B925" s="781" t="s">
        <v>323</v>
      </c>
      <c r="C925" s="780" t="s">
        <v>2158</v>
      </c>
      <c r="D925" s="637"/>
      <c r="E925" s="754">
        <v>197861</v>
      </c>
      <c r="F925" s="754"/>
      <c r="G925" s="754"/>
      <c r="H925" s="754"/>
      <c r="I925" s="754"/>
      <c r="J925" s="754" t="s">
        <v>812</v>
      </c>
      <c r="K925" s="754" t="s">
        <v>812</v>
      </c>
      <c r="L925" s="754" t="s">
        <v>812</v>
      </c>
      <c r="M925" s="754" t="s">
        <v>2146</v>
      </c>
      <c r="N925" s="754">
        <v>21.131010060000001</v>
      </c>
      <c r="O925" s="754">
        <v>92.354011540000002</v>
      </c>
      <c r="P925" s="754"/>
      <c r="Q925" s="754"/>
      <c r="R925" s="763"/>
      <c r="S925" s="764"/>
      <c r="T925" s="783">
        <v>43300</v>
      </c>
      <c r="U925" s="765"/>
      <c r="V925" s="754"/>
      <c r="W925" s="754"/>
      <c r="X925" s="17"/>
      <c r="Z925" s="17"/>
    </row>
    <row r="926" spans="1:26" ht="14.25" customHeight="1">
      <c r="A926" s="764" t="s">
        <v>3005</v>
      </c>
      <c r="B926" s="792" t="s">
        <v>323</v>
      </c>
      <c r="C926" s="793" t="s">
        <v>3067</v>
      </c>
      <c r="D926" s="761"/>
      <c r="E926" s="754">
        <v>197841</v>
      </c>
      <c r="F926" s="754" t="s">
        <v>3067</v>
      </c>
      <c r="G926" s="754"/>
      <c r="H926" s="754"/>
      <c r="I926" s="754"/>
      <c r="J926" s="754" t="s">
        <v>812</v>
      </c>
      <c r="K926" s="754" t="s">
        <v>812</v>
      </c>
      <c r="L926" s="754" t="s">
        <v>812</v>
      </c>
      <c r="M926" s="754"/>
      <c r="N926" s="754">
        <v>21.2080974578857</v>
      </c>
      <c r="O926" s="754">
        <v>92.308609008789105</v>
      </c>
      <c r="P926" s="754"/>
      <c r="Q926" s="754" t="s">
        <v>2940</v>
      </c>
      <c r="R926" s="771"/>
      <c r="S926" s="764"/>
      <c r="T926" s="783">
        <v>43580</v>
      </c>
      <c r="U926" s="816" t="s">
        <v>3058</v>
      </c>
      <c r="V926" s="765"/>
      <c r="W926" s="763"/>
      <c r="X926" s="17"/>
      <c r="Z926" s="17"/>
    </row>
    <row r="927" spans="1:26" ht="14.25" customHeight="1">
      <c r="A927" s="754" t="s">
        <v>3005</v>
      </c>
      <c r="B927" s="781" t="s">
        <v>323</v>
      </c>
      <c r="C927" s="780" t="s">
        <v>2163</v>
      </c>
      <c r="D927" s="637"/>
      <c r="E927" s="754">
        <v>197842</v>
      </c>
      <c r="F927" s="754"/>
      <c r="G927" s="754"/>
      <c r="H927" s="754"/>
      <c r="I927" s="754"/>
      <c r="J927" s="754" t="s">
        <v>812</v>
      </c>
      <c r="K927" s="754" t="s">
        <v>812</v>
      </c>
      <c r="L927" s="754" t="s">
        <v>812</v>
      </c>
      <c r="M927" s="754" t="s">
        <v>2148</v>
      </c>
      <c r="N927" s="754">
        <v>21.210039139999999</v>
      </c>
      <c r="O927" s="754">
        <v>92.297286990000003</v>
      </c>
      <c r="P927" s="754"/>
      <c r="Q927" s="754"/>
      <c r="R927" s="763"/>
      <c r="S927" s="764"/>
      <c r="T927" s="783">
        <v>43300</v>
      </c>
      <c r="U927" s="765"/>
      <c r="V927" s="754"/>
      <c r="W927" s="754"/>
      <c r="X927" s="17"/>
      <c r="Z927" s="17"/>
    </row>
    <row r="928" spans="1:26" ht="14.25" customHeight="1">
      <c r="A928" s="754" t="s">
        <v>3005</v>
      </c>
      <c r="B928" s="781" t="s">
        <v>323</v>
      </c>
      <c r="C928" s="780" t="s">
        <v>700</v>
      </c>
      <c r="D928" s="637" t="s">
        <v>1693</v>
      </c>
      <c r="E928" s="754">
        <v>197867</v>
      </c>
      <c r="F928" s="754"/>
      <c r="G928" s="754"/>
      <c r="H928" s="754"/>
      <c r="I928" s="754"/>
      <c r="J928" s="754" t="s">
        <v>812</v>
      </c>
      <c r="K928" s="754" t="s">
        <v>812</v>
      </c>
      <c r="L928" s="754" t="s">
        <v>812</v>
      </c>
      <c r="M928" s="754" t="s">
        <v>809</v>
      </c>
      <c r="N928" s="754">
        <v>21.057630540000002</v>
      </c>
      <c r="O928" s="754">
        <v>92.340232850000007</v>
      </c>
      <c r="P928" s="754" t="s">
        <v>813</v>
      </c>
      <c r="Q928" s="754" t="s">
        <v>794</v>
      </c>
      <c r="R928" s="763"/>
      <c r="S928" s="764"/>
      <c r="T928" s="783"/>
      <c r="U928" s="765"/>
      <c r="V928" s="754" t="s">
        <v>700</v>
      </c>
      <c r="W928" s="754"/>
      <c r="X928" s="17"/>
      <c r="Z928" s="17"/>
    </row>
    <row r="929" spans="1:26" ht="14.25" customHeight="1">
      <c r="A929" s="754" t="s">
        <v>3005</v>
      </c>
      <c r="B929" s="781" t="s">
        <v>323</v>
      </c>
      <c r="C929" s="780" t="s">
        <v>691</v>
      </c>
      <c r="D929" s="637" t="s">
        <v>1693</v>
      </c>
      <c r="E929" s="760">
        <v>197893</v>
      </c>
      <c r="F929" s="754"/>
      <c r="G929" s="754"/>
      <c r="H929" s="754"/>
      <c r="I929" s="754"/>
      <c r="J929" s="754" t="s">
        <v>812</v>
      </c>
      <c r="K929" s="754" t="s">
        <v>812</v>
      </c>
      <c r="L929" s="754" t="s">
        <v>812</v>
      </c>
      <c r="M929" s="754" t="s">
        <v>312</v>
      </c>
      <c r="N929" s="754">
        <v>21.009420389999999</v>
      </c>
      <c r="O929" s="754">
        <v>92.318077090000003</v>
      </c>
      <c r="P929" s="754" t="s">
        <v>813</v>
      </c>
      <c r="Q929" s="754" t="s">
        <v>816</v>
      </c>
      <c r="R929" s="763"/>
      <c r="S929" s="764"/>
      <c r="T929" s="783">
        <v>42926</v>
      </c>
      <c r="U929" s="765" t="s">
        <v>817</v>
      </c>
      <c r="V929" s="754"/>
      <c r="W929" s="754"/>
      <c r="X929" s="17"/>
      <c r="Z929" s="17"/>
    </row>
    <row r="930" spans="1:26" ht="14.25" customHeight="1">
      <c r="A930" s="754" t="s">
        <v>3005</v>
      </c>
      <c r="B930" s="781" t="s">
        <v>323</v>
      </c>
      <c r="C930" s="780" t="s">
        <v>641</v>
      </c>
      <c r="D930" s="637" t="s">
        <v>1693</v>
      </c>
      <c r="E930" s="760">
        <v>197990</v>
      </c>
      <c r="F930" s="754"/>
      <c r="G930" s="754"/>
      <c r="H930" s="754"/>
      <c r="I930" s="754"/>
      <c r="J930" s="754" t="s">
        <v>812</v>
      </c>
      <c r="K930" s="754" t="s">
        <v>812</v>
      </c>
      <c r="L930" s="754" t="s">
        <v>812</v>
      </c>
      <c r="M930" s="754" t="s">
        <v>809</v>
      </c>
      <c r="N930" s="775">
        <v>20.824769969999998</v>
      </c>
      <c r="O930" s="775">
        <v>92.398788449999998</v>
      </c>
      <c r="P930" s="754" t="s">
        <v>813</v>
      </c>
      <c r="Q930" s="754" t="s">
        <v>794</v>
      </c>
      <c r="R930" s="763"/>
      <c r="S930" s="764"/>
      <c r="T930" s="783"/>
      <c r="U930" s="765"/>
      <c r="V930" s="754" t="s">
        <v>956</v>
      </c>
      <c r="W930" s="754"/>
      <c r="X930" s="17"/>
      <c r="Z930" s="17"/>
    </row>
    <row r="931" spans="1:26" ht="14.25" customHeight="1">
      <c r="A931" s="754" t="s">
        <v>3005</v>
      </c>
      <c r="B931" s="781" t="s">
        <v>323</v>
      </c>
      <c r="C931" s="780" t="s">
        <v>642</v>
      </c>
      <c r="D931" s="637" t="s">
        <v>1693</v>
      </c>
      <c r="E931" s="754">
        <v>197990</v>
      </c>
      <c r="F931" s="754"/>
      <c r="G931" s="754"/>
      <c r="H931" s="754"/>
      <c r="I931" s="754"/>
      <c r="J931" s="754" t="s">
        <v>812</v>
      </c>
      <c r="K931" s="754" t="s">
        <v>812</v>
      </c>
      <c r="L931" s="754" t="s">
        <v>812</v>
      </c>
      <c r="M931" s="754" t="s">
        <v>809</v>
      </c>
      <c r="N931" s="775">
        <v>20.824769969999998</v>
      </c>
      <c r="O931" s="775">
        <v>92.398788449999998</v>
      </c>
      <c r="P931" s="754" t="s">
        <v>813</v>
      </c>
      <c r="Q931" s="754" t="s">
        <v>794</v>
      </c>
      <c r="R931" s="763"/>
      <c r="S931" s="764"/>
      <c r="T931" s="783"/>
      <c r="U931" s="765"/>
      <c r="V931" s="754" t="s">
        <v>956</v>
      </c>
      <c r="W931" s="754"/>
      <c r="X931" s="17"/>
      <c r="Z931" s="17"/>
    </row>
    <row r="932" spans="1:26" ht="14.25" customHeight="1">
      <c r="A932" s="754" t="s">
        <v>3005</v>
      </c>
      <c r="B932" s="781" t="s">
        <v>323</v>
      </c>
      <c r="C932" s="780" t="s">
        <v>370</v>
      </c>
      <c r="D932" s="637" t="s">
        <v>1693</v>
      </c>
      <c r="E932" s="754"/>
      <c r="F932" s="754"/>
      <c r="G932" s="754"/>
      <c r="H932" s="754"/>
      <c r="I932" s="754"/>
      <c r="J932" s="754" t="s">
        <v>812</v>
      </c>
      <c r="K932" s="754" t="s">
        <v>812</v>
      </c>
      <c r="L932" s="754" t="s">
        <v>812</v>
      </c>
      <c r="M932" s="754" t="s">
        <v>809</v>
      </c>
      <c r="N932" s="775"/>
      <c r="O932" s="775"/>
      <c r="P932" s="754" t="s">
        <v>813</v>
      </c>
      <c r="Q932" s="754" t="s">
        <v>794</v>
      </c>
      <c r="R932" s="763"/>
      <c r="S932" s="764"/>
      <c r="T932" s="783"/>
      <c r="U932" s="765"/>
      <c r="V932" s="754" t="s">
        <v>370</v>
      </c>
      <c r="W932" s="754"/>
      <c r="X932" s="17"/>
      <c r="Z932" s="17"/>
    </row>
    <row r="933" spans="1:26" ht="14.25" customHeight="1">
      <c r="A933" s="754" t="s">
        <v>3005</v>
      </c>
      <c r="B933" s="781" t="s">
        <v>323</v>
      </c>
      <c r="C933" s="780" t="s">
        <v>371</v>
      </c>
      <c r="D933" s="637" t="s">
        <v>1693</v>
      </c>
      <c r="E933" s="754"/>
      <c r="F933" s="754"/>
      <c r="G933" s="754"/>
      <c r="H933" s="754"/>
      <c r="I933" s="754"/>
      <c r="J933" s="754" t="s">
        <v>812</v>
      </c>
      <c r="K933" s="754" t="s">
        <v>812</v>
      </c>
      <c r="L933" s="754" t="s">
        <v>812</v>
      </c>
      <c r="M933" s="754" t="s">
        <v>312</v>
      </c>
      <c r="N933" s="775"/>
      <c r="O933" s="775"/>
      <c r="P933" s="754" t="s">
        <v>813</v>
      </c>
      <c r="Q933" s="754" t="s">
        <v>794</v>
      </c>
      <c r="R933" s="763"/>
      <c r="S933" s="764"/>
      <c r="T933" s="783"/>
      <c r="U933" s="765"/>
      <c r="V933" s="754" t="s">
        <v>371</v>
      </c>
      <c r="W933" s="754"/>
      <c r="X933" s="17"/>
      <c r="Z933" s="17"/>
    </row>
    <row r="934" spans="1:26" ht="14.25" customHeight="1">
      <c r="A934" s="754" t="s">
        <v>3005</v>
      </c>
      <c r="B934" s="781" t="s">
        <v>323</v>
      </c>
      <c r="C934" s="780" t="s">
        <v>644</v>
      </c>
      <c r="D934" s="637" t="s">
        <v>1693</v>
      </c>
      <c r="E934" s="754" t="s">
        <v>1428</v>
      </c>
      <c r="F934" s="760"/>
      <c r="G934" s="754"/>
      <c r="H934" s="754" t="s">
        <v>43</v>
      </c>
      <c r="I934" s="754"/>
      <c r="J934" s="754" t="s">
        <v>812</v>
      </c>
      <c r="K934" s="754" t="s">
        <v>812</v>
      </c>
      <c r="L934" s="754" t="s">
        <v>1693</v>
      </c>
      <c r="M934" s="754" t="s">
        <v>809</v>
      </c>
      <c r="N934" s="775">
        <v>20.825306000000001</v>
      </c>
      <c r="O934" s="775">
        <v>92.367852999999997</v>
      </c>
      <c r="P934" s="754" t="s">
        <v>775</v>
      </c>
      <c r="Q934" s="754" t="s">
        <v>794</v>
      </c>
      <c r="R934" s="763"/>
      <c r="S934" s="764"/>
      <c r="T934" s="783">
        <v>43248</v>
      </c>
      <c r="U934" s="765" t="s">
        <v>1943</v>
      </c>
      <c r="V934" s="754"/>
      <c r="W934" s="754"/>
      <c r="X934" s="17"/>
      <c r="Z934" s="17"/>
    </row>
    <row r="935" spans="1:26" ht="14.25" customHeight="1">
      <c r="A935" s="754" t="s">
        <v>3005</v>
      </c>
      <c r="B935" s="781" t="s">
        <v>323</v>
      </c>
      <c r="C935" s="780" t="s">
        <v>629</v>
      </c>
      <c r="D935" s="637" t="s">
        <v>1693</v>
      </c>
      <c r="E935" s="754">
        <v>197996</v>
      </c>
      <c r="F935" s="789" t="s">
        <v>2121</v>
      </c>
      <c r="G935" s="754"/>
      <c r="H935" s="754"/>
      <c r="I935" s="754"/>
      <c r="J935" s="754" t="s">
        <v>812</v>
      </c>
      <c r="K935" s="754" t="s">
        <v>812</v>
      </c>
      <c r="L935" s="754" t="s">
        <v>812</v>
      </c>
      <c r="M935" s="754" t="s">
        <v>809</v>
      </c>
      <c r="N935" s="754">
        <v>20.805980680000001</v>
      </c>
      <c r="O935" s="754">
        <v>92.383308409999998</v>
      </c>
      <c r="P935" s="754" t="s">
        <v>813</v>
      </c>
      <c r="Q935" s="754" t="s">
        <v>794</v>
      </c>
      <c r="R935" s="763"/>
      <c r="S935" s="764"/>
      <c r="T935" s="783"/>
      <c r="U935" s="765"/>
      <c r="V935" s="754" t="s">
        <v>951</v>
      </c>
      <c r="W935" s="754"/>
      <c r="X935" s="17"/>
      <c r="Z935" s="17"/>
    </row>
    <row r="936" spans="1:26" ht="14.25" customHeight="1">
      <c r="A936" s="754" t="s">
        <v>3005</v>
      </c>
      <c r="B936" s="781" t="s">
        <v>323</v>
      </c>
      <c r="C936" s="780" t="s">
        <v>630</v>
      </c>
      <c r="D936" s="637" t="s">
        <v>1693</v>
      </c>
      <c r="E936" s="754">
        <v>197996</v>
      </c>
      <c r="F936" s="754"/>
      <c r="G936" s="754"/>
      <c r="H936" s="754"/>
      <c r="I936" s="754"/>
      <c r="J936" s="754" t="s">
        <v>812</v>
      </c>
      <c r="K936" s="754" t="s">
        <v>812</v>
      </c>
      <c r="L936" s="754" t="s">
        <v>812</v>
      </c>
      <c r="M936" s="754" t="s">
        <v>809</v>
      </c>
      <c r="N936" s="754">
        <v>20.805980680000001</v>
      </c>
      <c r="O936" s="754">
        <v>92.383308409999998</v>
      </c>
      <c r="P936" s="754" t="s">
        <v>813</v>
      </c>
      <c r="Q936" s="754" t="s">
        <v>794</v>
      </c>
      <c r="R936" s="763"/>
      <c r="S936" s="764"/>
      <c r="T936" s="783"/>
      <c r="U936" s="765"/>
      <c r="V936" s="754" t="s">
        <v>952</v>
      </c>
      <c r="W936" s="754"/>
      <c r="X936" s="17"/>
      <c r="Z936" s="17"/>
    </row>
    <row r="937" spans="1:26" ht="14.25" customHeight="1">
      <c r="A937" s="764" t="s">
        <v>3005</v>
      </c>
      <c r="B937" s="792" t="s">
        <v>323</v>
      </c>
      <c r="C937" s="793" t="s">
        <v>581</v>
      </c>
      <c r="D937" s="637" t="s">
        <v>1693</v>
      </c>
      <c r="E937" s="754">
        <v>198045</v>
      </c>
      <c r="F937" s="754"/>
      <c r="G937" s="754"/>
      <c r="H937" s="754"/>
      <c r="I937" s="754"/>
      <c r="J937" s="754" t="s">
        <v>812</v>
      </c>
      <c r="K937" s="754" t="s">
        <v>812</v>
      </c>
      <c r="L937" s="754" t="s">
        <v>812</v>
      </c>
      <c r="M937" s="754" t="s">
        <v>809</v>
      </c>
      <c r="N937" s="754">
        <v>20.71759033</v>
      </c>
      <c r="O937" s="754">
        <v>92.426422119999998</v>
      </c>
      <c r="P937" s="754" t="s">
        <v>813</v>
      </c>
      <c r="Q937" s="754" t="s">
        <v>2940</v>
      </c>
      <c r="R937" s="771"/>
      <c r="S937" s="764"/>
      <c r="T937" s="783">
        <v>43580</v>
      </c>
      <c r="U937" s="816" t="s">
        <v>3058</v>
      </c>
      <c r="V937" s="754" t="s">
        <v>581</v>
      </c>
      <c r="W937" s="763"/>
      <c r="X937" s="17"/>
      <c r="Z937" s="17"/>
    </row>
    <row r="938" spans="1:26" ht="14.25" customHeight="1">
      <c r="A938" s="754" t="s">
        <v>3005</v>
      </c>
      <c r="B938" s="781" t="s">
        <v>323</v>
      </c>
      <c r="C938" s="780" t="s">
        <v>2123</v>
      </c>
      <c r="D938" s="637"/>
      <c r="E938" s="754">
        <v>220744</v>
      </c>
      <c r="F938" s="754"/>
      <c r="G938" s="754"/>
      <c r="H938" s="754"/>
      <c r="I938" s="754"/>
      <c r="J938" s="754" t="s">
        <v>812</v>
      </c>
      <c r="K938" s="754" t="s">
        <v>812</v>
      </c>
      <c r="L938" s="754" t="s">
        <v>812</v>
      </c>
      <c r="M938" s="754" t="s">
        <v>312</v>
      </c>
      <c r="N938" s="754">
        <v>20.71612167</v>
      </c>
      <c r="O938" s="754">
        <v>92.442459110000001</v>
      </c>
      <c r="P938" s="754"/>
      <c r="Q938" s="754"/>
      <c r="R938" s="763"/>
      <c r="S938" s="764"/>
      <c r="T938" s="783">
        <v>43300</v>
      </c>
      <c r="U938" s="765"/>
      <c r="V938" s="754"/>
      <c r="W938" s="754"/>
      <c r="X938" s="17"/>
      <c r="Z938" s="17"/>
    </row>
    <row r="939" spans="1:26" ht="14.25" customHeight="1">
      <c r="A939" s="754" t="s">
        <v>3005</v>
      </c>
      <c r="B939" s="781" t="s">
        <v>323</v>
      </c>
      <c r="C939" s="780" t="s">
        <v>2124</v>
      </c>
      <c r="D939" s="637"/>
      <c r="E939" s="754"/>
      <c r="F939" s="754"/>
      <c r="G939" s="754"/>
      <c r="H939" s="754"/>
      <c r="I939" s="754"/>
      <c r="J939" s="754" t="s">
        <v>812</v>
      </c>
      <c r="K939" s="754" t="s">
        <v>812</v>
      </c>
      <c r="L939" s="754" t="s">
        <v>812</v>
      </c>
      <c r="M939" s="754" t="s">
        <v>2146</v>
      </c>
      <c r="N939" s="754"/>
      <c r="O939" s="754"/>
      <c r="P939" s="754"/>
      <c r="Q939" s="754"/>
      <c r="R939" s="763"/>
      <c r="S939" s="764"/>
      <c r="T939" s="783">
        <v>43300</v>
      </c>
      <c r="U939" s="765"/>
      <c r="V939" s="754"/>
      <c r="W939" s="754"/>
      <c r="X939" s="17"/>
      <c r="Z939" s="17"/>
    </row>
    <row r="940" spans="1:26" ht="14.25" customHeight="1">
      <c r="A940" s="754" t="s">
        <v>3005</v>
      </c>
      <c r="B940" s="781" t="s">
        <v>323</v>
      </c>
      <c r="C940" s="780" t="s">
        <v>922</v>
      </c>
      <c r="D940" s="637"/>
      <c r="E940" s="754">
        <v>197938</v>
      </c>
      <c r="F940" s="754"/>
      <c r="G940" s="754"/>
      <c r="H940" s="754"/>
      <c r="I940" s="754"/>
      <c r="J940" s="754" t="s">
        <v>812</v>
      </c>
      <c r="K940" s="754" t="s">
        <v>812</v>
      </c>
      <c r="L940" s="754" t="s">
        <v>812</v>
      </c>
      <c r="M940" s="754" t="s">
        <v>809</v>
      </c>
      <c r="N940" s="754">
        <v>20.84098053</v>
      </c>
      <c r="O940" s="754">
        <v>92.35720062</v>
      </c>
      <c r="P940" s="754"/>
      <c r="Q940" s="754"/>
      <c r="R940" s="763"/>
      <c r="S940" s="764"/>
      <c r="T940" s="783">
        <v>43300</v>
      </c>
      <c r="U940" s="765"/>
      <c r="V940" s="780"/>
      <c r="W940" s="754"/>
      <c r="X940" s="17"/>
      <c r="Z940" s="17"/>
    </row>
    <row r="941" spans="1:26" ht="14.25" customHeight="1">
      <c r="A941" s="754" t="s">
        <v>3005</v>
      </c>
      <c r="B941" s="781" t="s">
        <v>323</v>
      </c>
      <c r="C941" s="780" t="s">
        <v>688</v>
      </c>
      <c r="D941" s="637" t="s">
        <v>1693</v>
      </c>
      <c r="E941" s="754">
        <v>197903</v>
      </c>
      <c r="F941" s="754"/>
      <c r="G941" s="754"/>
      <c r="H941" s="754"/>
      <c r="I941" s="754"/>
      <c r="J941" s="754" t="s">
        <v>812</v>
      </c>
      <c r="K941" s="754" t="s">
        <v>812</v>
      </c>
      <c r="L941" s="754" t="s">
        <v>812</v>
      </c>
      <c r="M941" s="754" t="s">
        <v>809</v>
      </c>
      <c r="N941" s="754">
        <v>21.000970840000001</v>
      </c>
      <c r="O941" s="754">
        <v>92.334213259999999</v>
      </c>
      <c r="P941" s="754" t="s">
        <v>813</v>
      </c>
      <c r="Q941" s="754" t="s">
        <v>816</v>
      </c>
      <c r="R941" s="763"/>
      <c r="S941" s="764"/>
      <c r="T941" s="783">
        <v>42926</v>
      </c>
      <c r="U941" s="765" t="s">
        <v>817</v>
      </c>
      <c r="V941" s="760"/>
      <c r="W941" s="754"/>
      <c r="X941" s="17"/>
      <c r="Z941" s="17"/>
    </row>
    <row r="942" spans="1:26" ht="14.25" customHeight="1">
      <c r="A942" s="754" t="s">
        <v>3005</v>
      </c>
      <c r="B942" s="781" t="s">
        <v>323</v>
      </c>
      <c r="C942" s="780" t="s">
        <v>546</v>
      </c>
      <c r="D942" s="637" t="s">
        <v>1693</v>
      </c>
      <c r="E942" s="754">
        <v>198026</v>
      </c>
      <c r="F942" s="754"/>
      <c r="G942" s="754"/>
      <c r="H942" s="754"/>
      <c r="I942" s="754"/>
      <c r="J942" s="754" t="s">
        <v>812</v>
      </c>
      <c r="K942" s="754" t="s">
        <v>812</v>
      </c>
      <c r="L942" s="754" t="s">
        <v>812</v>
      </c>
      <c r="M942" s="754" t="s">
        <v>809</v>
      </c>
      <c r="N942" s="754">
        <v>20.671619419999999</v>
      </c>
      <c r="O942" s="754">
        <v>92.473846440000003</v>
      </c>
      <c r="P942" s="754" t="s">
        <v>813</v>
      </c>
      <c r="Q942" s="754" t="s">
        <v>794</v>
      </c>
      <c r="R942" s="763"/>
      <c r="S942" s="764"/>
      <c r="T942" s="783"/>
      <c r="U942" s="765"/>
      <c r="V942" s="754" t="s">
        <v>939</v>
      </c>
      <c r="W942" s="754"/>
      <c r="X942" s="17"/>
      <c r="Z942" s="17"/>
    </row>
    <row r="943" spans="1:26" ht="14.25" customHeight="1">
      <c r="A943" s="754" t="s">
        <v>3005</v>
      </c>
      <c r="B943" s="781" t="s">
        <v>355</v>
      </c>
      <c r="C943" s="780" t="s">
        <v>513</v>
      </c>
      <c r="D943" s="637" t="s">
        <v>1693</v>
      </c>
      <c r="E943" s="754">
        <v>197602</v>
      </c>
      <c r="F943" s="754"/>
      <c r="G943" s="754"/>
      <c r="H943" s="754"/>
      <c r="I943" s="754"/>
      <c r="J943" s="754" t="s">
        <v>812</v>
      </c>
      <c r="K943" s="754" t="s">
        <v>812</v>
      </c>
      <c r="L943" s="754" t="s">
        <v>812</v>
      </c>
      <c r="M943" s="754" t="s">
        <v>809</v>
      </c>
      <c r="N943" s="754">
        <v>20.547620770000002</v>
      </c>
      <c r="O943" s="754">
        <v>92.671058650000006</v>
      </c>
      <c r="P943" s="754" t="s">
        <v>813</v>
      </c>
      <c r="Q943" s="754" t="s">
        <v>794</v>
      </c>
      <c r="R943" s="763"/>
      <c r="S943" s="764"/>
      <c r="T943" s="783"/>
      <c r="U943" s="765"/>
      <c r="V943" s="754" t="s">
        <v>513</v>
      </c>
      <c r="W943" s="763"/>
      <c r="X943" s="17"/>
      <c r="Z943" s="17"/>
    </row>
    <row r="944" spans="1:26" ht="14.25" customHeight="1">
      <c r="A944" s="754" t="s">
        <v>3005</v>
      </c>
      <c r="B944" s="792" t="s">
        <v>355</v>
      </c>
      <c r="C944" s="793" t="s">
        <v>519</v>
      </c>
      <c r="D944" s="761" t="s">
        <v>1693</v>
      </c>
      <c r="E944" s="754" t="s">
        <v>1413</v>
      </c>
      <c r="F944" s="789"/>
      <c r="G944" s="754"/>
      <c r="H944" s="754" t="s">
        <v>43</v>
      </c>
      <c r="I944" s="754"/>
      <c r="J944" s="754" t="s">
        <v>812</v>
      </c>
      <c r="K944" s="754" t="s">
        <v>812</v>
      </c>
      <c r="L944" s="754" t="s">
        <v>1693</v>
      </c>
      <c r="M944" s="754" t="s">
        <v>809</v>
      </c>
      <c r="N944" s="754">
        <v>20.569219</v>
      </c>
      <c r="O944" s="754">
        <v>92.640022000000002</v>
      </c>
      <c r="P944" s="754" t="s">
        <v>775</v>
      </c>
      <c r="Q944" s="754" t="s">
        <v>794</v>
      </c>
      <c r="R944" s="771"/>
      <c r="S944" s="764"/>
      <c r="T944" s="783"/>
      <c r="U944" s="765"/>
      <c r="V944" s="754" t="s">
        <v>519</v>
      </c>
      <c r="W944" s="763"/>
      <c r="X944" s="17"/>
      <c r="Z944" s="17"/>
    </row>
    <row r="945" spans="1:26" ht="14.25" customHeight="1">
      <c r="A945" s="754" t="s">
        <v>3005</v>
      </c>
      <c r="B945" s="781" t="s">
        <v>355</v>
      </c>
      <c r="C945" s="780" t="s">
        <v>516</v>
      </c>
      <c r="D945" s="637" t="s">
        <v>1693</v>
      </c>
      <c r="E945" s="754">
        <v>197593</v>
      </c>
      <c r="F945" s="754"/>
      <c r="G945" s="754"/>
      <c r="H945" s="754"/>
      <c r="I945" s="754"/>
      <c r="J945" s="754" t="s">
        <v>812</v>
      </c>
      <c r="K945" s="754" t="s">
        <v>812</v>
      </c>
      <c r="L945" s="754" t="s">
        <v>812</v>
      </c>
      <c r="M945" s="754" t="s">
        <v>809</v>
      </c>
      <c r="N945" s="754">
        <v>20.555610659999999</v>
      </c>
      <c r="O945" s="754">
        <v>92.643516539999993</v>
      </c>
      <c r="P945" s="754" t="s">
        <v>813</v>
      </c>
      <c r="Q945" s="754" t="s">
        <v>816</v>
      </c>
      <c r="R945" s="763"/>
      <c r="S945" s="764"/>
      <c r="T945" s="783">
        <v>42926</v>
      </c>
      <c r="U945" s="765" t="s">
        <v>817</v>
      </c>
      <c r="V945" s="754"/>
      <c r="W945" s="763"/>
      <c r="X945" s="17"/>
      <c r="Z945" s="17"/>
    </row>
    <row r="946" spans="1:26" ht="14.25" customHeight="1">
      <c r="A946" s="754" t="s">
        <v>3005</v>
      </c>
      <c r="B946" s="781" t="s">
        <v>355</v>
      </c>
      <c r="C946" s="780" t="s">
        <v>517</v>
      </c>
      <c r="D946" s="637" t="s">
        <v>1693</v>
      </c>
      <c r="E946" s="754">
        <v>197593</v>
      </c>
      <c r="F946" s="754"/>
      <c r="G946" s="754"/>
      <c r="H946" s="754"/>
      <c r="I946" s="754"/>
      <c r="J946" s="754" t="s">
        <v>812</v>
      </c>
      <c r="K946" s="754" t="s">
        <v>812</v>
      </c>
      <c r="L946" s="754" t="s">
        <v>812</v>
      </c>
      <c r="M946" s="754" t="s">
        <v>312</v>
      </c>
      <c r="N946" s="754">
        <v>20.555610659999999</v>
      </c>
      <c r="O946" s="754">
        <v>92.643516539999993</v>
      </c>
      <c r="P946" s="754" t="s">
        <v>813</v>
      </c>
      <c r="Q946" s="754" t="s">
        <v>794</v>
      </c>
      <c r="R946" s="763"/>
      <c r="S946" s="764"/>
      <c r="T946" s="783" t="s">
        <v>819</v>
      </c>
      <c r="U946" s="765"/>
      <c r="V946" s="754"/>
      <c r="W946" s="763"/>
      <c r="X946" s="17"/>
      <c r="Z946" s="17"/>
    </row>
    <row r="947" spans="1:26" ht="14.25" customHeight="1">
      <c r="A947" s="754" t="s">
        <v>3005</v>
      </c>
      <c r="B947" s="781" t="s">
        <v>355</v>
      </c>
      <c r="C947" s="780" t="s">
        <v>538</v>
      </c>
      <c r="D947" s="637" t="s">
        <v>1693</v>
      </c>
      <c r="E947" s="754">
        <v>197691</v>
      </c>
      <c r="F947" s="754"/>
      <c r="G947" s="754"/>
      <c r="H947" s="754"/>
      <c r="I947" s="754"/>
      <c r="J947" s="754" t="s">
        <v>812</v>
      </c>
      <c r="K947" s="754" t="s">
        <v>812</v>
      </c>
      <c r="L947" s="754" t="s">
        <v>812</v>
      </c>
      <c r="M947" s="754" t="s">
        <v>312</v>
      </c>
      <c r="N947" s="754">
        <v>20.65517998</v>
      </c>
      <c r="O947" s="754">
        <v>92.720321659999996</v>
      </c>
      <c r="P947" s="754" t="s">
        <v>813</v>
      </c>
      <c r="Q947" s="754" t="s">
        <v>794</v>
      </c>
      <c r="R947" s="767"/>
      <c r="S947" s="768"/>
      <c r="T947" s="783" t="s">
        <v>819</v>
      </c>
      <c r="U947" s="765"/>
      <c r="V947" s="754"/>
      <c r="W947" s="763"/>
      <c r="X947" s="17"/>
      <c r="Z947" s="17"/>
    </row>
    <row r="948" spans="1:26" ht="14.25" customHeight="1">
      <c r="A948" s="754" t="s">
        <v>3005</v>
      </c>
      <c r="B948" s="781" t="s">
        <v>355</v>
      </c>
      <c r="C948" s="780" t="s">
        <v>484</v>
      </c>
      <c r="D948" s="637" t="s">
        <v>2376</v>
      </c>
      <c r="E948" s="760" t="s">
        <v>1405</v>
      </c>
      <c r="F948" s="754" t="s">
        <v>484</v>
      </c>
      <c r="G948" s="754" t="s">
        <v>484</v>
      </c>
      <c r="H948" s="754"/>
      <c r="I948" s="754"/>
      <c r="J948" s="754" t="s">
        <v>812</v>
      </c>
      <c r="K948" s="754" t="s">
        <v>812</v>
      </c>
      <c r="L948" s="754" t="s">
        <v>897</v>
      </c>
      <c r="M948" s="754" t="s">
        <v>809</v>
      </c>
      <c r="N948" s="754">
        <v>20.399269</v>
      </c>
      <c r="O948" s="754">
        <v>92.781294000000003</v>
      </c>
      <c r="P948" s="754" t="s">
        <v>813</v>
      </c>
      <c r="Q948" s="754" t="s">
        <v>794</v>
      </c>
      <c r="R948" s="763">
        <v>32</v>
      </c>
      <c r="S948" s="764">
        <v>157</v>
      </c>
      <c r="T948" s="783"/>
      <c r="U948" s="765"/>
      <c r="V948" s="754" t="s">
        <v>484</v>
      </c>
      <c r="W948" s="763"/>
      <c r="X948" s="17"/>
      <c r="Z948" s="17"/>
    </row>
    <row r="949" spans="1:26" ht="14.25" customHeight="1">
      <c r="A949" s="767" t="s">
        <v>3005</v>
      </c>
      <c r="B949" s="792" t="s">
        <v>355</v>
      </c>
      <c r="C949" s="793" t="s">
        <v>3233</v>
      </c>
      <c r="D949" s="761"/>
      <c r="E949" s="754" t="s">
        <v>3234</v>
      </c>
      <c r="F949" s="754"/>
      <c r="G949" s="754"/>
      <c r="H949" s="754"/>
      <c r="I949" s="754"/>
      <c r="J949" s="754" t="s">
        <v>3017</v>
      </c>
      <c r="K949" s="754" t="s">
        <v>2935</v>
      </c>
      <c r="L949" s="754" t="s">
        <v>2935</v>
      </c>
      <c r="M949" s="754"/>
      <c r="N949" s="754"/>
      <c r="O949" s="754"/>
      <c r="P949" s="754"/>
      <c r="Q949" s="754"/>
      <c r="R949" s="771"/>
      <c r="S949" s="764"/>
      <c r="T949" s="783">
        <v>43591</v>
      </c>
      <c r="U949" s="771"/>
      <c r="V949" s="768" t="s">
        <v>3186</v>
      </c>
      <c r="W949" s="763"/>
      <c r="X949" s="17"/>
      <c r="Z949" s="17"/>
    </row>
    <row r="950" spans="1:26" ht="14.25" customHeight="1">
      <c r="A950" s="754" t="s">
        <v>3005</v>
      </c>
      <c r="B950" s="781" t="s">
        <v>355</v>
      </c>
      <c r="C950" s="780" t="s">
        <v>553</v>
      </c>
      <c r="D950" s="637" t="s">
        <v>1693</v>
      </c>
      <c r="E950" s="754">
        <v>197674</v>
      </c>
      <c r="F950" s="754"/>
      <c r="G950" s="754"/>
      <c r="H950" s="754"/>
      <c r="I950" s="754"/>
      <c r="J950" s="754" t="s">
        <v>812</v>
      </c>
      <c r="K950" s="754" t="s">
        <v>812</v>
      </c>
      <c r="L950" s="754" t="s">
        <v>812</v>
      </c>
      <c r="M950" s="754" t="s">
        <v>809</v>
      </c>
      <c r="N950" s="754">
        <v>20.67845917</v>
      </c>
      <c r="O950" s="754">
        <v>92.663757320000002</v>
      </c>
      <c r="P950" s="754" t="s">
        <v>813</v>
      </c>
      <c r="Q950" s="754" t="s">
        <v>794</v>
      </c>
      <c r="R950" s="763"/>
      <c r="S950" s="764"/>
      <c r="T950" s="783" t="s">
        <v>819</v>
      </c>
      <c r="U950" s="765"/>
      <c r="V950" s="754"/>
      <c r="W950" s="763"/>
      <c r="X950" s="17"/>
      <c r="Z950" s="17"/>
    </row>
    <row r="951" spans="1:26" ht="14.25" customHeight="1">
      <c r="A951" s="754" t="s">
        <v>3005</v>
      </c>
      <c r="B951" s="781" t="s">
        <v>355</v>
      </c>
      <c r="C951" s="780" t="s">
        <v>921</v>
      </c>
      <c r="D951" s="637" t="s">
        <v>1693</v>
      </c>
      <c r="E951" s="754">
        <v>197603</v>
      </c>
      <c r="F951" s="754"/>
      <c r="G951" s="754"/>
      <c r="H951" s="754"/>
      <c r="I951" s="754"/>
      <c r="J951" s="754" t="s">
        <v>812</v>
      </c>
      <c r="K951" s="754" t="s">
        <v>812</v>
      </c>
      <c r="L951" s="754" t="s">
        <v>812</v>
      </c>
      <c r="M951" s="754" t="s">
        <v>809</v>
      </c>
      <c r="N951" s="754">
        <v>20.55364037</v>
      </c>
      <c r="O951" s="754">
        <v>92.674217220000003</v>
      </c>
      <c r="P951" s="754" t="s">
        <v>813</v>
      </c>
      <c r="Q951" s="754"/>
      <c r="R951" s="763"/>
      <c r="S951" s="764"/>
      <c r="T951" s="783"/>
      <c r="U951" s="765"/>
      <c r="V951" s="754" t="s">
        <v>921</v>
      </c>
      <c r="W951" s="763"/>
      <c r="X951" s="17"/>
      <c r="Z951" s="17"/>
    </row>
    <row r="952" spans="1:26" ht="14.25" customHeight="1">
      <c r="A952" s="754" t="s">
        <v>3005</v>
      </c>
      <c r="B952" s="781" t="s">
        <v>355</v>
      </c>
      <c r="C952" s="780" t="s">
        <v>388</v>
      </c>
      <c r="D952" s="637" t="s">
        <v>1693</v>
      </c>
      <c r="E952" s="754">
        <v>220977</v>
      </c>
      <c r="F952" s="754" t="s">
        <v>3081</v>
      </c>
      <c r="G952" s="754"/>
      <c r="H952" s="754"/>
      <c r="I952" s="754"/>
      <c r="J952" s="754" t="s">
        <v>812</v>
      </c>
      <c r="K952" s="754" t="s">
        <v>812</v>
      </c>
      <c r="L952" s="754" t="s">
        <v>812</v>
      </c>
      <c r="M952" s="754" t="s">
        <v>312</v>
      </c>
      <c r="N952" s="754"/>
      <c r="O952" s="754"/>
      <c r="P952" s="754" t="s">
        <v>813</v>
      </c>
      <c r="Q952" s="754" t="s">
        <v>816</v>
      </c>
      <c r="R952" s="763"/>
      <c r="S952" s="764"/>
      <c r="T952" s="783">
        <v>42926</v>
      </c>
      <c r="U952" s="765" t="s">
        <v>817</v>
      </c>
      <c r="V952" s="754"/>
      <c r="W952" s="763"/>
      <c r="X952" s="17"/>
      <c r="Z952" s="17"/>
    </row>
    <row r="953" spans="1:26" ht="14.25" customHeight="1">
      <c r="A953" s="767" t="s">
        <v>3005</v>
      </c>
      <c r="B953" s="792" t="s">
        <v>355</v>
      </c>
      <c r="C953" s="793" t="s">
        <v>3232</v>
      </c>
      <c r="D953" s="761"/>
      <c r="E953" s="754">
        <v>220693</v>
      </c>
      <c r="F953" s="754"/>
      <c r="G953" s="754"/>
      <c r="H953" s="754"/>
      <c r="I953" s="754"/>
      <c r="J953" s="754" t="s">
        <v>3017</v>
      </c>
      <c r="K953" s="754" t="s">
        <v>2935</v>
      </c>
      <c r="L953" s="754" t="s">
        <v>2935</v>
      </c>
      <c r="M953" s="754"/>
      <c r="N953" s="754">
        <v>20.586620330810501</v>
      </c>
      <c r="O953" s="754">
        <v>92.689620971679702</v>
      </c>
      <c r="P953" s="754"/>
      <c r="Q953" s="754"/>
      <c r="R953" s="771"/>
      <c r="S953" s="764"/>
      <c r="T953" s="783">
        <v>43591</v>
      </c>
      <c r="U953" s="771"/>
      <c r="V953" s="754" t="s">
        <v>3185</v>
      </c>
      <c r="W953" s="763"/>
      <c r="X953" s="17"/>
      <c r="Z953" s="17"/>
    </row>
    <row r="954" spans="1:26" ht="14.25" customHeight="1">
      <c r="A954" s="754" t="s">
        <v>3005</v>
      </c>
      <c r="B954" s="781" t="s">
        <v>355</v>
      </c>
      <c r="C954" s="780" t="s">
        <v>496</v>
      </c>
      <c r="D954" s="637" t="s">
        <v>1693</v>
      </c>
      <c r="E954" s="754">
        <v>197631</v>
      </c>
      <c r="F954" s="754" t="s">
        <v>491</v>
      </c>
      <c r="G954" s="754"/>
      <c r="H954" s="754"/>
      <c r="I954" s="754"/>
      <c r="J954" s="754" t="s">
        <v>812</v>
      </c>
      <c r="K954" s="754" t="s">
        <v>812</v>
      </c>
      <c r="L954" s="754" t="s">
        <v>812</v>
      </c>
      <c r="M954" s="754" t="s">
        <v>312</v>
      </c>
      <c r="N954" s="754">
        <v>20.473930360000001</v>
      </c>
      <c r="O954" s="754">
        <v>92.668853760000005</v>
      </c>
      <c r="P954" s="754" t="s">
        <v>813</v>
      </c>
      <c r="Q954" s="754" t="s">
        <v>816</v>
      </c>
      <c r="R954" s="763"/>
      <c r="S954" s="764"/>
      <c r="T954" s="783">
        <v>42926</v>
      </c>
      <c r="U954" s="765" t="s">
        <v>817</v>
      </c>
      <c r="V954" s="754"/>
      <c r="W954" s="763"/>
      <c r="X954" s="17"/>
      <c r="Z954" s="17"/>
    </row>
    <row r="955" spans="1:26" ht="14.25" customHeight="1">
      <c r="A955" s="754" t="s">
        <v>3005</v>
      </c>
      <c r="B955" s="781" t="s">
        <v>355</v>
      </c>
      <c r="C955" s="780" t="s">
        <v>512</v>
      </c>
      <c r="D955" s="637" t="s">
        <v>1693</v>
      </c>
      <c r="E955" s="754">
        <v>197601</v>
      </c>
      <c r="F955" s="754"/>
      <c r="G955" s="754"/>
      <c r="H955" s="754"/>
      <c r="I955" s="754"/>
      <c r="J955" s="754" t="s">
        <v>812</v>
      </c>
      <c r="K955" s="754" t="s">
        <v>812</v>
      </c>
      <c r="L955" s="754" t="s">
        <v>812</v>
      </c>
      <c r="M955" s="754" t="s">
        <v>809</v>
      </c>
      <c r="N955" s="754">
        <v>20.54644012</v>
      </c>
      <c r="O955" s="754">
        <v>92.648399350000005</v>
      </c>
      <c r="P955" s="754" t="s">
        <v>813</v>
      </c>
      <c r="Q955" s="754" t="s">
        <v>794</v>
      </c>
      <c r="R955" s="763"/>
      <c r="S955" s="764"/>
      <c r="T955" s="783"/>
      <c r="U955" s="765"/>
      <c r="V955" s="754" t="s">
        <v>512</v>
      </c>
      <c r="W955" s="763"/>
      <c r="X955" s="17"/>
      <c r="Z955" s="17"/>
    </row>
    <row r="956" spans="1:26" ht="14.25" customHeight="1">
      <c r="A956" s="754" t="s">
        <v>3005</v>
      </c>
      <c r="B956" s="781" t="s">
        <v>355</v>
      </c>
      <c r="C956" s="780" t="s">
        <v>485</v>
      </c>
      <c r="D956" s="637" t="s">
        <v>1693</v>
      </c>
      <c r="E956" s="754" t="s">
        <v>1407</v>
      </c>
      <c r="F956" s="754"/>
      <c r="G956" s="754"/>
      <c r="H956" s="754" t="s">
        <v>43</v>
      </c>
      <c r="I956" s="754"/>
      <c r="J956" s="754" t="s">
        <v>812</v>
      </c>
      <c r="K956" s="754" t="s">
        <v>812</v>
      </c>
      <c r="L956" s="754" t="s">
        <v>1693</v>
      </c>
      <c r="M956" s="754" t="s">
        <v>809</v>
      </c>
      <c r="N956" s="754">
        <v>20.408453000000002</v>
      </c>
      <c r="O956" s="754">
        <v>92.660360999999995</v>
      </c>
      <c r="P956" s="754" t="s">
        <v>775</v>
      </c>
      <c r="Q956" s="754" t="s">
        <v>794</v>
      </c>
      <c r="R956" s="763"/>
      <c r="S956" s="764"/>
      <c r="T956" s="783"/>
      <c r="U956" s="765" t="s">
        <v>1943</v>
      </c>
      <c r="V956" s="754" t="s">
        <v>485</v>
      </c>
      <c r="W956" s="763"/>
      <c r="X956" s="17"/>
      <c r="Z956" s="17"/>
    </row>
    <row r="957" spans="1:26" ht="14.25" customHeight="1">
      <c r="A957" s="754" t="s">
        <v>3005</v>
      </c>
      <c r="B957" s="781" t="s">
        <v>355</v>
      </c>
      <c r="C957" s="780" t="s">
        <v>906</v>
      </c>
      <c r="D957" s="637" t="s">
        <v>1693</v>
      </c>
      <c r="E957" s="754">
        <v>197650</v>
      </c>
      <c r="F957" s="754"/>
      <c r="G957" s="754"/>
      <c r="H957" s="754"/>
      <c r="I957" s="754"/>
      <c r="J957" s="754" t="s">
        <v>893</v>
      </c>
      <c r="K957" s="754" t="s">
        <v>812</v>
      </c>
      <c r="L957" s="754" t="s">
        <v>812</v>
      </c>
      <c r="M957" s="754" t="s">
        <v>312</v>
      </c>
      <c r="N957" s="754">
        <v>20.397039410000001</v>
      </c>
      <c r="O957" s="754">
        <v>92.664451600000007</v>
      </c>
      <c r="P957" s="754" t="s">
        <v>813</v>
      </c>
      <c r="Q957" s="754"/>
      <c r="R957" s="763"/>
      <c r="S957" s="764"/>
      <c r="T957" s="783">
        <v>42849</v>
      </c>
      <c r="U957" s="765" t="s">
        <v>907</v>
      </c>
      <c r="V957" s="754"/>
      <c r="W957" s="763"/>
      <c r="X957" s="17"/>
      <c r="Z957" s="17"/>
    </row>
    <row r="958" spans="1:26" ht="14.25" customHeight="1">
      <c r="A958" s="754" t="s">
        <v>3005</v>
      </c>
      <c r="B958" s="781" t="s">
        <v>355</v>
      </c>
      <c r="C958" s="780" t="s">
        <v>521</v>
      </c>
      <c r="D958" s="637" t="s">
        <v>1693</v>
      </c>
      <c r="E958" s="754">
        <v>197591</v>
      </c>
      <c r="F958" s="754"/>
      <c r="G958" s="754"/>
      <c r="H958" s="754"/>
      <c r="I958" s="754"/>
      <c r="J958" s="754" t="s">
        <v>812</v>
      </c>
      <c r="K958" s="754" t="s">
        <v>812</v>
      </c>
      <c r="L958" s="754" t="s">
        <v>812</v>
      </c>
      <c r="M958" s="754" t="s">
        <v>809</v>
      </c>
      <c r="N958" s="754">
        <v>20.581470490000001</v>
      </c>
      <c r="O958" s="754">
        <v>92.643272400000001</v>
      </c>
      <c r="P958" s="754" t="s">
        <v>813</v>
      </c>
      <c r="Q958" s="754" t="s">
        <v>794</v>
      </c>
      <c r="R958" s="763"/>
      <c r="S958" s="764"/>
      <c r="T958" s="783"/>
      <c r="U958" s="765" t="s">
        <v>817</v>
      </c>
      <c r="V958" s="754" t="s">
        <v>521</v>
      </c>
      <c r="W958" s="763"/>
      <c r="X958" s="17"/>
      <c r="Z958" s="17"/>
    </row>
    <row r="959" spans="1:26" ht="14.25" customHeight="1">
      <c r="A959" s="754" t="s">
        <v>3005</v>
      </c>
      <c r="B959" s="792" t="s">
        <v>355</v>
      </c>
      <c r="C959" s="793" t="s">
        <v>1111</v>
      </c>
      <c r="D959" s="761" t="s">
        <v>1693</v>
      </c>
      <c r="E959" s="754"/>
      <c r="F959" s="754"/>
      <c r="G959" s="754"/>
      <c r="H959" s="754"/>
      <c r="I959" s="754"/>
      <c r="J959" s="754" t="s">
        <v>812</v>
      </c>
      <c r="K959" s="754" t="s">
        <v>812</v>
      </c>
      <c r="L959" s="754" t="s">
        <v>812</v>
      </c>
      <c r="M959" s="754" t="s">
        <v>825</v>
      </c>
      <c r="N959" s="754"/>
      <c r="O959" s="754"/>
      <c r="P959" s="754" t="s">
        <v>813</v>
      </c>
      <c r="Q959" s="754" t="s">
        <v>816</v>
      </c>
      <c r="R959" s="771"/>
      <c r="S959" s="764"/>
      <c r="T959" s="783">
        <v>42926</v>
      </c>
      <c r="U959" s="765" t="s">
        <v>817</v>
      </c>
      <c r="V959" s="754"/>
      <c r="W959" s="763"/>
      <c r="X959" s="17"/>
      <c r="Z959" s="17"/>
    </row>
    <row r="960" spans="1:26" ht="14.25" customHeight="1">
      <c r="A960" s="754" t="s">
        <v>3005</v>
      </c>
      <c r="B960" s="792" t="s">
        <v>355</v>
      </c>
      <c r="C960" s="793" t="s">
        <v>520</v>
      </c>
      <c r="D960" s="761" t="s">
        <v>1693</v>
      </c>
      <c r="E960" s="754">
        <v>197590</v>
      </c>
      <c r="F960" s="754"/>
      <c r="G960" s="754"/>
      <c r="H960" s="754"/>
      <c r="I960" s="754"/>
      <c r="J960" s="754" t="s">
        <v>812</v>
      </c>
      <c r="K960" s="754" t="s">
        <v>812</v>
      </c>
      <c r="L960" s="754" t="s">
        <v>812</v>
      </c>
      <c r="M960" s="754" t="s">
        <v>312</v>
      </c>
      <c r="N960" s="754">
        <v>20.56975937</v>
      </c>
      <c r="O960" s="790">
        <v>92.641799930000005</v>
      </c>
      <c r="P960" s="754" t="s">
        <v>813</v>
      </c>
      <c r="Q960" s="754" t="s">
        <v>794</v>
      </c>
      <c r="R960" s="771"/>
      <c r="S960" s="764"/>
      <c r="T960" s="783"/>
      <c r="U960" s="765" t="s">
        <v>817</v>
      </c>
      <c r="V960" s="754" t="s">
        <v>520</v>
      </c>
      <c r="W960" s="763"/>
      <c r="X960" s="17"/>
      <c r="Z960" s="17"/>
    </row>
    <row r="961" spans="1:26" ht="14.25" customHeight="1">
      <c r="A961" s="754" t="s">
        <v>3005</v>
      </c>
      <c r="B961" s="792" t="s">
        <v>355</v>
      </c>
      <c r="C961" s="793" t="s">
        <v>927</v>
      </c>
      <c r="D961" s="761" t="s">
        <v>1693</v>
      </c>
      <c r="E961" s="754">
        <v>197585</v>
      </c>
      <c r="F961" s="754"/>
      <c r="G961" s="754"/>
      <c r="H961" s="754"/>
      <c r="I961" s="754"/>
      <c r="J961" s="754" t="s">
        <v>812</v>
      </c>
      <c r="K961" s="754" t="s">
        <v>812</v>
      </c>
      <c r="L961" s="754" t="s">
        <v>812</v>
      </c>
      <c r="M961" s="754" t="s">
        <v>312</v>
      </c>
      <c r="N961" s="754">
        <v>20.585840229999999</v>
      </c>
      <c r="O961" s="754">
        <v>92.670722960000006</v>
      </c>
      <c r="P961" s="754" t="s">
        <v>813</v>
      </c>
      <c r="Q961" s="754"/>
      <c r="R961" s="771"/>
      <c r="S961" s="764"/>
      <c r="T961" s="783"/>
      <c r="U961" s="765"/>
      <c r="V961" s="754" t="s">
        <v>927</v>
      </c>
      <c r="W961" s="763"/>
      <c r="X961" s="17"/>
      <c r="Z961" s="17"/>
    </row>
    <row r="962" spans="1:26" ht="14.25" customHeight="1">
      <c r="A962" s="767" t="s">
        <v>3005</v>
      </c>
      <c r="B962" s="792" t="s">
        <v>355</v>
      </c>
      <c r="C962" s="793" t="s">
        <v>3231</v>
      </c>
      <c r="D962" s="761"/>
      <c r="E962" s="754">
        <v>197581</v>
      </c>
      <c r="F962" s="754"/>
      <c r="G962" s="754"/>
      <c r="H962" s="754"/>
      <c r="I962" s="754"/>
      <c r="J962" s="754" t="s">
        <v>3017</v>
      </c>
      <c r="K962" s="754" t="s">
        <v>2935</v>
      </c>
      <c r="L962" s="754" t="s">
        <v>2935</v>
      </c>
      <c r="M962" s="754"/>
      <c r="N962" s="754">
        <v>20.631229400634801</v>
      </c>
      <c r="O962" s="754">
        <v>92.641532897949205</v>
      </c>
      <c r="P962" s="754"/>
      <c r="Q962" s="754"/>
      <c r="R962" s="771"/>
      <c r="S962" s="764"/>
      <c r="T962" s="783">
        <v>43591</v>
      </c>
      <c r="U962" s="771"/>
      <c r="V962" s="754" t="s">
        <v>3184</v>
      </c>
      <c r="W962" s="763"/>
      <c r="X962" s="17"/>
      <c r="Z962" s="17"/>
    </row>
    <row r="963" spans="1:26" ht="14.25" customHeight="1">
      <c r="A963" s="754" t="s">
        <v>3005</v>
      </c>
      <c r="B963" s="781" t="s">
        <v>355</v>
      </c>
      <c r="C963" s="780" t="s">
        <v>596</v>
      </c>
      <c r="D963" s="761" t="s">
        <v>1693</v>
      </c>
      <c r="E963" s="754">
        <v>197616</v>
      </c>
      <c r="F963" s="754" t="s">
        <v>500</v>
      </c>
      <c r="G963" s="754"/>
      <c r="H963" s="754"/>
      <c r="I963" s="754"/>
      <c r="J963" s="754" t="s">
        <v>812</v>
      </c>
      <c r="K963" s="754" t="s">
        <v>812</v>
      </c>
      <c r="L963" s="754" t="s">
        <v>812</v>
      </c>
      <c r="M963" s="754" t="s">
        <v>312</v>
      </c>
      <c r="N963" s="754">
        <v>20.495670319999999</v>
      </c>
      <c r="O963" s="754">
        <v>92.651496890000004</v>
      </c>
      <c r="P963" s="754" t="s">
        <v>813</v>
      </c>
      <c r="Q963" s="754" t="s">
        <v>816</v>
      </c>
      <c r="R963" s="760"/>
      <c r="S963" s="760"/>
      <c r="T963" s="783">
        <v>42926</v>
      </c>
      <c r="U963" s="765" t="s">
        <v>817</v>
      </c>
      <c r="V963" s="754"/>
      <c r="W963" s="763"/>
      <c r="X963" s="17"/>
      <c r="Z963" s="17"/>
    </row>
    <row r="964" spans="1:26" ht="14.25" customHeight="1">
      <c r="A964" s="754" t="s">
        <v>3005</v>
      </c>
      <c r="B964" s="781" t="s">
        <v>355</v>
      </c>
      <c r="C964" s="780" t="s">
        <v>555</v>
      </c>
      <c r="D964" s="637" t="s">
        <v>1693</v>
      </c>
      <c r="E964" s="754">
        <v>197670</v>
      </c>
      <c r="F964" s="760"/>
      <c r="G964" s="754"/>
      <c r="H964" s="754"/>
      <c r="I964" s="754"/>
      <c r="J964" s="754" t="s">
        <v>812</v>
      </c>
      <c r="K964" s="754" t="s">
        <v>812</v>
      </c>
      <c r="L964" s="754" t="s">
        <v>812</v>
      </c>
      <c r="M964" s="754" t="s">
        <v>809</v>
      </c>
      <c r="N964" s="754">
        <v>20.6833992</v>
      </c>
      <c r="O964" s="754">
        <v>92.656608579999997</v>
      </c>
      <c r="P964" s="754" t="s">
        <v>813</v>
      </c>
      <c r="Q964" s="754" t="s">
        <v>794</v>
      </c>
      <c r="R964" s="767"/>
      <c r="S964" s="768"/>
      <c r="T964" s="783" t="s">
        <v>819</v>
      </c>
      <c r="U964" s="765"/>
      <c r="V964" s="754"/>
      <c r="W964" s="763"/>
      <c r="X964" s="17"/>
      <c r="Z964" s="17"/>
    </row>
    <row r="965" spans="1:26" ht="14.25" customHeight="1">
      <c r="A965" s="754" t="s">
        <v>3005</v>
      </c>
      <c r="B965" s="781" t="s">
        <v>355</v>
      </c>
      <c r="C965" s="780" t="s">
        <v>487</v>
      </c>
      <c r="D965" s="637" t="s">
        <v>1693</v>
      </c>
      <c r="E965" s="754" t="s">
        <v>1409</v>
      </c>
      <c r="F965" s="754"/>
      <c r="G965" s="754"/>
      <c r="H965" s="754" t="s">
        <v>43</v>
      </c>
      <c r="I965" s="754"/>
      <c r="J965" s="754" t="s">
        <v>812</v>
      </c>
      <c r="K965" s="754" t="s">
        <v>812</v>
      </c>
      <c r="L965" s="754" t="s">
        <v>1693</v>
      </c>
      <c r="M965" s="754" t="s">
        <v>809</v>
      </c>
      <c r="N965" s="754">
        <v>20.447261000000001</v>
      </c>
      <c r="O965" s="754">
        <v>92.639589000000001</v>
      </c>
      <c r="P965" s="754" t="s">
        <v>775</v>
      </c>
      <c r="Q965" s="754" t="s">
        <v>794</v>
      </c>
      <c r="R965" s="763"/>
      <c r="S965" s="763"/>
      <c r="T965" s="783"/>
      <c r="U965" s="765" t="s">
        <v>1943</v>
      </c>
      <c r="V965" s="754" t="s">
        <v>487</v>
      </c>
      <c r="W965" s="763"/>
      <c r="X965" s="17"/>
      <c r="Z965" s="17"/>
    </row>
    <row r="966" spans="1:26" ht="14.25" customHeight="1">
      <c r="A966" s="754" t="s">
        <v>3005</v>
      </c>
      <c r="B966" s="781" t="s">
        <v>355</v>
      </c>
      <c r="C966" s="780" t="s">
        <v>911</v>
      </c>
      <c r="D966" s="637" t="s">
        <v>1693</v>
      </c>
      <c r="E966" s="754">
        <v>197654</v>
      </c>
      <c r="F966" s="754"/>
      <c r="G966" s="754"/>
      <c r="H966" s="754"/>
      <c r="I966" s="754"/>
      <c r="J966" s="754" t="s">
        <v>893</v>
      </c>
      <c r="K966" s="754" t="s">
        <v>812</v>
      </c>
      <c r="L966" s="754" t="s">
        <v>812</v>
      </c>
      <c r="M966" s="754" t="s">
        <v>312</v>
      </c>
      <c r="N966" s="754">
        <v>20.447399140000002</v>
      </c>
      <c r="O966" s="754">
        <v>92.630462649999998</v>
      </c>
      <c r="P966" s="754" t="s">
        <v>813</v>
      </c>
      <c r="Q966" s="754"/>
      <c r="R966" s="767"/>
      <c r="S966" s="768"/>
      <c r="T966" s="783">
        <v>42849</v>
      </c>
      <c r="U966" s="765" t="s">
        <v>907</v>
      </c>
      <c r="V966" s="754" t="s">
        <v>487</v>
      </c>
      <c r="W966" s="763"/>
      <c r="X966" s="17"/>
      <c r="Z966" s="17"/>
    </row>
    <row r="967" spans="1:26" ht="14.25" customHeight="1">
      <c r="A967" s="754" t="s">
        <v>3005</v>
      </c>
      <c r="B967" s="781" t="s">
        <v>355</v>
      </c>
      <c r="C967" s="780" t="s">
        <v>536</v>
      </c>
      <c r="D967" s="637" t="s">
        <v>1693</v>
      </c>
      <c r="E967" s="754">
        <v>197695</v>
      </c>
      <c r="F967" s="754" t="s">
        <v>3082</v>
      </c>
      <c r="G967" s="754"/>
      <c r="H967" s="754"/>
      <c r="I967" s="754"/>
      <c r="J967" s="754" t="s">
        <v>812</v>
      </c>
      <c r="K967" s="754" t="s">
        <v>812</v>
      </c>
      <c r="L967" s="754" t="s">
        <v>812</v>
      </c>
      <c r="M967" s="754" t="s">
        <v>312</v>
      </c>
      <c r="N967" s="754">
        <v>20.651939389999999</v>
      </c>
      <c r="O967" s="754">
        <v>92.684577939999997</v>
      </c>
      <c r="P967" s="754" t="s">
        <v>813</v>
      </c>
      <c r="Q967" s="754" t="s">
        <v>816</v>
      </c>
      <c r="R967" s="767"/>
      <c r="S967" s="768"/>
      <c r="T967" s="783">
        <v>42926</v>
      </c>
      <c r="U967" s="765" t="s">
        <v>817</v>
      </c>
      <c r="V967" s="754"/>
      <c r="W967" s="763"/>
      <c r="X967" s="17"/>
      <c r="Z967" s="17"/>
    </row>
    <row r="968" spans="1:26" ht="14.25" customHeight="1">
      <c r="A968" s="754" t="s">
        <v>3005</v>
      </c>
      <c r="B968" s="781" t="s">
        <v>355</v>
      </c>
      <c r="C968" s="780" t="s">
        <v>491</v>
      </c>
      <c r="D968" s="637" t="s">
        <v>1693</v>
      </c>
      <c r="E968" s="754">
        <v>197629</v>
      </c>
      <c r="F968" s="760" t="s">
        <v>491</v>
      </c>
      <c r="G968" s="754"/>
      <c r="H968" s="754"/>
      <c r="I968" s="754"/>
      <c r="J968" s="754" t="s">
        <v>812</v>
      </c>
      <c r="K968" s="754" t="s">
        <v>812</v>
      </c>
      <c r="L968" s="754" t="s">
        <v>812</v>
      </c>
      <c r="M968" s="754" t="s">
        <v>312</v>
      </c>
      <c r="N968" s="754">
        <v>20.463909149999999</v>
      </c>
      <c r="O968" s="754">
        <v>92.675468440000003</v>
      </c>
      <c r="P968" s="754" t="s">
        <v>813</v>
      </c>
      <c r="Q968" s="754" t="s">
        <v>816</v>
      </c>
      <c r="R968" s="763"/>
      <c r="S968" s="763"/>
      <c r="T968" s="783">
        <v>42926</v>
      </c>
      <c r="U968" s="765" t="s">
        <v>817</v>
      </c>
      <c r="V968" s="754"/>
      <c r="W968" s="763"/>
      <c r="X968" s="17"/>
      <c r="Z968" s="17"/>
    </row>
    <row r="969" spans="1:26" ht="14.25" customHeight="1">
      <c r="A969" s="754" t="s">
        <v>3005</v>
      </c>
      <c r="B969" s="781" t="s">
        <v>355</v>
      </c>
      <c r="C969" s="802" t="s">
        <v>531</v>
      </c>
      <c r="D969" s="637" t="s">
        <v>1693</v>
      </c>
      <c r="E969" s="754">
        <v>197706</v>
      </c>
      <c r="F969" s="754" t="s">
        <v>531</v>
      </c>
      <c r="G969" s="754"/>
      <c r="H969" s="754"/>
      <c r="I969" s="773"/>
      <c r="J969" s="754" t="s">
        <v>812</v>
      </c>
      <c r="K969" s="754" t="s">
        <v>812</v>
      </c>
      <c r="L969" s="773" t="s">
        <v>812</v>
      </c>
      <c r="M969" s="754" t="s">
        <v>312</v>
      </c>
      <c r="N969" s="754">
        <v>20.643590929999998</v>
      </c>
      <c r="O969" s="754">
        <v>92.722618100000005</v>
      </c>
      <c r="P969" s="754" t="s">
        <v>813</v>
      </c>
      <c r="Q969" s="754" t="s">
        <v>794</v>
      </c>
      <c r="R969" s="763"/>
      <c r="S969" s="763"/>
      <c r="T969" s="783" t="s">
        <v>819</v>
      </c>
      <c r="U969" s="765"/>
      <c r="V969" s="754"/>
      <c r="W969" s="795"/>
      <c r="X969" s="17"/>
      <c r="Z969" s="17"/>
    </row>
    <row r="970" spans="1:26" ht="14.25" customHeight="1">
      <c r="A970" s="754" t="s">
        <v>3005</v>
      </c>
      <c r="B970" s="798" t="s">
        <v>355</v>
      </c>
      <c r="C970" s="803" t="s">
        <v>929</v>
      </c>
      <c r="D970" s="637" t="s">
        <v>1693</v>
      </c>
      <c r="E970" s="796">
        <v>197583</v>
      </c>
      <c r="F970" s="799"/>
      <c r="G970" s="799"/>
      <c r="H970" s="799"/>
      <c r="I970" s="773"/>
      <c r="J970" s="799" t="s">
        <v>812</v>
      </c>
      <c r="K970" s="799" t="s">
        <v>812</v>
      </c>
      <c r="L970" s="773" t="s">
        <v>812</v>
      </c>
      <c r="M970" s="799"/>
      <c r="N970" s="799">
        <v>20.598709110000001</v>
      </c>
      <c r="O970" s="799">
        <v>92.664337160000002</v>
      </c>
      <c r="P970" s="799" t="s">
        <v>813</v>
      </c>
      <c r="Q970" s="799"/>
      <c r="R970" s="763"/>
      <c r="S970" s="763"/>
      <c r="T970" s="800"/>
      <c r="U970" s="801"/>
      <c r="V970" s="799" t="s">
        <v>929</v>
      </c>
      <c r="W970" s="795"/>
      <c r="X970" s="17"/>
      <c r="Z970" s="17"/>
    </row>
    <row r="971" spans="1:26" ht="14.25" customHeight="1">
      <c r="A971" s="754" t="s">
        <v>3005</v>
      </c>
      <c r="B971" s="781" t="s">
        <v>355</v>
      </c>
      <c r="C971" s="780" t="s">
        <v>503</v>
      </c>
      <c r="D971" s="637" t="s">
        <v>1693</v>
      </c>
      <c r="E971" s="754">
        <v>197615</v>
      </c>
      <c r="F971" s="754"/>
      <c r="G971" s="754"/>
      <c r="H971" s="754"/>
      <c r="I971" s="754"/>
      <c r="J971" s="754" t="s">
        <v>812</v>
      </c>
      <c r="K971" s="754" t="s">
        <v>812</v>
      </c>
      <c r="L971" s="754" t="s">
        <v>812</v>
      </c>
      <c r="M971" s="754" t="s">
        <v>312</v>
      </c>
      <c r="N971" s="754">
        <v>20.502599719999999</v>
      </c>
      <c r="O971" s="754">
        <v>92.6474762</v>
      </c>
      <c r="P971" s="754" t="s">
        <v>813</v>
      </c>
      <c r="Q971" s="754" t="s">
        <v>816</v>
      </c>
      <c r="R971" s="767"/>
      <c r="S971" s="768"/>
      <c r="T971" s="783">
        <v>42926</v>
      </c>
      <c r="U971" s="765" t="s">
        <v>817</v>
      </c>
      <c r="V971" s="754"/>
      <c r="W971" s="763"/>
      <c r="X971" s="17"/>
      <c r="Z971" s="17"/>
    </row>
    <row r="972" spans="1:26" ht="14.25" customHeight="1">
      <c r="A972" s="754" t="s">
        <v>3005</v>
      </c>
      <c r="B972" s="781" t="s">
        <v>355</v>
      </c>
      <c r="C972" s="780" t="s">
        <v>920</v>
      </c>
      <c r="D972" s="637" t="s">
        <v>1693</v>
      </c>
      <c r="E972" s="754">
        <v>197608</v>
      </c>
      <c r="F972" s="754"/>
      <c r="G972" s="754"/>
      <c r="H972" s="754"/>
      <c r="I972" s="754"/>
      <c r="J972" s="754" t="s">
        <v>812</v>
      </c>
      <c r="K972" s="754" t="s">
        <v>812</v>
      </c>
      <c r="L972" s="754" t="s">
        <v>812</v>
      </c>
      <c r="M972" s="754" t="s">
        <v>312</v>
      </c>
      <c r="N972" s="754">
        <v>20.521270749999999</v>
      </c>
      <c r="O972" s="754">
        <v>92.686096190000001</v>
      </c>
      <c r="P972" s="754" t="s">
        <v>813</v>
      </c>
      <c r="Q972" s="754"/>
      <c r="R972" s="767"/>
      <c r="S972" s="768"/>
      <c r="T972" s="783"/>
      <c r="U972" s="765"/>
      <c r="V972" s="754" t="s">
        <v>920</v>
      </c>
      <c r="W972" s="763"/>
      <c r="X972" s="17"/>
      <c r="Z972" s="17"/>
    </row>
    <row r="973" spans="1:26" ht="14.25" customHeight="1">
      <c r="A973" s="754" t="s">
        <v>3005</v>
      </c>
      <c r="B973" s="781" t="s">
        <v>355</v>
      </c>
      <c r="C973" s="780" t="s">
        <v>498</v>
      </c>
      <c r="D973" s="637" t="s">
        <v>1693</v>
      </c>
      <c r="E973" s="754">
        <v>197618</v>
      </c>
      <c r="F973" s="760"/>
      <c r="G973" s="754"/>
      <c r="H973" s="754"/>
      <c r="I973" s="754"/>
      <c r="J973" s="754" t="s">
        <v>812</v>
      </c>
      <c r="K973" s="754" t="s">
        <v>812</v>
      </c>
      <c r="L973" s="754" t="s">
        <v>812</v>
      </c>
      <c r="M973" s="754" t="s">
        <v>312</v>
      </c>
      <c r="N973" s="754">
        <v>20.480100629999999</v>
      </c>
      <c r="O973" s="754">
        <v>92.70481873</v>
      </c>
      <c r="P973" s="754" t="s">
        <v>813</v>
      </c>
      <c r="Q973" s="754" t="s">
        <v>816</v>
      </c>
      <c r="R973" s="763"/>
      <c r="S973" s="763"/>
      <c r="T973" s="783">
        <v>42926</v>
      </c>
      <c r="U973" s="765" t="s">
        <v>817</v>
      </c>
      <c r="V973" s="754"/>
      <c r="W973" s="763"/>
      <c r="X973" s="17"/>
      <c r="Z973" s="17"/>
    </row>
    <row r="974" spans="1:26" ht="14.25" customHeight="1">
      <c r="A974" s="754" t="s">
        <v>3005</v>
      </c>
      <c r="B974" s="781" t="s">
        <v>355</v>
      </c>
      <c r="C974" s="780" t="s">
        <v>530</v>
      </c>
      <c r="D974" s="637" t="s">
        <v>1693</v>
      </c>
      <c r="E974" s="754">
        <v>197707</v>
      </c>
      <c r="F974" s="754"/>
      <c r="G974" s="754"/>
      <c r="H974" s="754"/>
      <c r="I974" s="754"/>
      <c r="J974" s="754" t="s">
        <v>812</v>
      </c>
      <c r="K974" s="754" t="s">
        <v>812</v>
      </c>
      <c r="L974" s="754" t="s">
        <v>812</v>
      </c>
      <c r="M974" s="754" t="s">
        <v>312</v>
      </c>
      <c r="N974" s="754">
        <v>20.639530180000001</v>
      </c>
      <c r="O974" s="754">
        <v>92.721908569999997</v>
      </c>
      <c r="P974" s="754" t="s">
        <v>813</v>
      </c>
      <c r="Q974" s="754" t="s">
        <v>794</v>
      </c>
      <c r="R974" s="763"/>
      <c r="S974" s="763"/>
      <c r="T974" s="783" t="s">
        <v>819</v>
      </c>
      <c r="U974" s="765"/>
      <c r="V974" s="754"/>
      <c r="W974" s="763"/>
      <c r="X974" s="17"/>
      <c r="Z974" s="17"/>
    </row>
    <row r="975" spans="1:26" ht="14.25" customHeight="1">
      <c r="A975" s="754" t="s">
        <v>3005</v>
      </c>
      <c r="B975" s="781" t="s">
        <v>355</v>
      </c>
      <c r="C975" s="780" t="s">
        <v>522</v>
      </c>
      <c r="D975" s="637" t="s">
        <v>1693</v>
      </c>
      <c r="E975" s="754">
        <v>197580</v>
      </c>
      <c r="F975" s="754"/>
      <c r="G975" s="754"/>
      <c r="H975" s="754"/>
      <c r="I975" s="754"/>
      <c r="J975" s="754" t="s">
        <v>812</v>
      </c>
      <c r="K975" s="754" t="s">
        <v>812</v>
      </c>
      <c r="L975" s="754" t="s">
        <v>812</v>
      </c>
      <c r="M975" s="754" t="s">
        <v>312</v>
      </c>
      <c r="N975" s="754">
        <v>20.582699999999999</v>
      </c>
      <c r="O975" s="754">
        <v>92.664699999999996</v>
      </c>
      <c r="P975" s="754" t="s">
        <v>813</v>
      </c>
      <c r="Q975" s="754" t="s">
        <v>794</v>
      </c>
      <c r="R975" s="763"/>
      <c r="S975" s="763"/>
      <c r="T975" s="783"/>
      <c r="U975" s="765"/>
      <c r="V975" s="754" t="s">
        <v>522</v>
      </c>
      <c r="W975" s="763"/>
      <c r="X975" s="17"/>
      <c r="Z975" s="17"/>
    </row>
    <row r="976" spans="1:26" ht="14.25" customHeight="1">
      <c r="A976" s="754" t="s">
        <v>3005</v>
      </c>
      <c r="B976" s="781" t="s">
        <v>355</v>
      </c>
      <c r="C976" s="780" t="s">
        <v>495</v>
      </c>
      <c r="D976" s="637" t="s">
        <v>1693</v>
      </c>
      <c r="E976" s="754">
        <v>197630</v>
      </c>
      <c r="F976" s="754"/>
      <c r="G976" s="754"/>
      <c r="H976" s="754"/>
      <c r="I976" s="754"/>
      <c r="J976" s="754" t="s">
        <v>812</v>
      </c>
      <c r="K976" s="754" t="s">
        <v>812</v>
      </c>
      <c r="L976" s="754" t="s">
        <v>812</v>
      </c>
      <c r="M976" s="754" t="s">
        <v>312</v>
      </c>
      <c r="N976" s="754">
        <v>20.470119480000001</v>
      </c>
      <c r="O976" s="754">
        <v>92.672653199999999</v>
      </c>
      <c r="P976" s="754" t="s">
        <v>813</v>
      </c>
      <c r="Q976" s="754" t="s">
        <v>816</v>
      </c>
      <c r="R976" s="767"/>
      <c r="S976" s="768"/>
      <c r="T976" s="783">
        <v>42926</v>
      </c>
      <c r="U976" s="765" t="s">
        <v>817</v>
      </c>
      <c r="V976" s="754"/>
      <c r="W976" s="763"/>
      <c r="X976" s="17"/>
      <c r="Z976" s="17"/>
    </row>
    <row r="977" spans="1:26" ht="14.25" customHeight="1">
      <c r="A977" s="754" t="s">
        <v>3005</v>
      </c>
      <c r="B977" s="781" t="s">
        <v>355</v>
      </c>
      <c r="C977" s="780" t="s">
        <v>1953</v>
      </c>
      <c r="D977" s="637"/>
      <c r="E977" s="754">
        <v>197611</v>
      </c>
      <c r="F977" s="754" t="s">
        <v>1953</v>
      </c>
      <c r="G977" s="754"/>
      <c r="H977" s="754"/>
      <c r="I977" s="754"/>
      <c r="J977" s="754" t="s">
        <v>812</v>
      </c>
      <c r="K977" s="754" t="s">
        <v>812</v>
      </c>
      <c r="L977" s="754" t="s">
        <v>812</v>
      </c>
      <c r="M977" s="754" t="s">
        <v>312</v>
      </c>
      <c r="N977" s="754">
        <v>20.504730219999999</v>
      </c>
      <c r="O977" s="754">
        <v>92.6831131</v>
      </c>
      <c r="P977" s="754" t="s">
        <v>813</v>
      </c>
      <c r="Q977" s="754" t="s">
        <v>1950</v>
      </c>
      <c r="R977" s="763"/>
      <c r="S977" s="763"/>
      <c r="T977" s="783">
        <v>43245</v>
      </c>
      <c r="U977" s="765"/>
      <c r="V977" s="754"/>
      <c r="W977" s="763"/>
      <c r="X977" s="17"/>
      <c r="Z977" s="17"/>
    </row>
    <row r="978" spans="1:26" ht="14.25" customHeight="1">
      <c r="A978" s="754" t="s">
        <v>3005</v>
      </c>
      <c r="B978" s="781" t="s">
        <v>355</v>
      </c>
      <c r="C978" s="780" t="s">
        <v>1954</v>
      </c>
      <c r="D978" s="637"/>
      <c r="E978" s="754">
        <v>197613</v>
      </c>
      <c r="F978" s="760"/>
      <c r="G978" s="754"/>
      <c r="H978" s="754"/>
      <c r="I978" s="754"/>
      <c r="J978" s="754" t="s">
        <v>812</v>
      </c>
      <c r="K978" s="754" t="s">
        <v>812</v>
      </c>
      <c r="L978" s="754" t="s">
        <v>812</v>
      </c>
      <c r="M978" s="754" t="s">
        <v>312</v>
      </c>
      <c r="N978" s="754">
        <v>20.49729919</v>
      </c>
      <c r="O978" s="754">
        <v>92.683097840000002</v>
      </c>
      <c r="P978" s="754" t="s">
        <v>813</v>
      </c>
      <c r="Q978" s="754" t="s">
        <v>1950</v>
      </c>
      <c r="R978" s="763"/>
      <c r="S978" s="763"/>
      <c r="T978" s="783">
        <v>43245</v>
      </c>
      <c r="U978" s="765"/>
      <c r="V978" s="754"/>
      <c r="W978" s="763"/>
      <c r="X978" s="17"/>
      <c r="Z978" s="17"/>
    </row>
    <row r="979" spans="1:26" ht="14.25" customHeight="1">
      <c r="A979" s="754" t="s">
        <v>3005</v>
      </c>
      <c r="B979" s="781" t="s">
        <v>355</v>
      </c>
      <c r="C979" s="780" t="s">
        <v>506</v>
      </c>
      <c r="D979" s="637" t="s">
        <v>1693</v>
      </c>
      <c r="E979" s="754">
        <v>197596</v>
      </c>
      <c r="F979" s="754"/>
      <c r="G979" s="754"/>
      <c r="H979" s="754"/>
      <c r="I979" s="754"/>
      <c r="J979" s="754" t="s">
        <v>812</v>
      </c>
      <c r="K979" s="754" t="s">
        <v>812</v>
      </c>
      <c r="L979" s="754" t="s">
        <v>812</v>
      </c>
      <c r="M979" s="754" t="s">
        <v>312</v>
      </c>
      <c r="N979" s="754">
        <v>20.511900000000001</v>
      </c>
      <c r="O979" s="754">
        <v>92.645300000000006</v>
      </c>
      <c r="P979" s="754" t="s">
        <v>813</v>
      </c>
      <c r="Q979" s="754" t="s">
        <v>794</v>
      </c>
      <c r="R979" s="763"/>
      <c r="S979" s="763"/>
      <c r="T979" s="783"/>
      <c r="U979" s="765"/>
      <c r="V979" s="754" t="s">
        <v>506</v>
      </c>
      <c r="W979" s="763"/>
      <c r="X979" s="17"/>
      <c r="Z979" s="17"/>
    </row>
    <row r="980" spans="1:26" ht="14.25" customHeight="1">
      <c r="A980" s="754" t="s">
        <v>3005</v>
      </c>
      <c r="B980" s="781" t="s">
        <v>355</v>
      </c>
      <c r="C980" s="780" t="s">
        <v>488</v>
      </c>
      <c r="D980" s="637" t="s">
        <v>1693</v>
      </c>
      <c r="E980" s="754">
        <v>197621</v>
      </c>
      <c r="F980" s="754"/>
      <c r="G980" s="754"/>
      <c r="H980" s="754"/>
      <c r="I980" s="754"/>
      <c r="J980" s="754" t="s">
        <v>812</v>
      </c>
      <c r="K980" s="754" t="s">
        <v>812</v>
      </c>
      <c r="L980" s="754" t="s">
        <v>812</v>
      </c>
      <c r="M980" s="754" t="s">
        <v>312</v>
      </c>
      <c r="N980" s="754">
        <v>20.453830719999999</v>
      </c>
      <c r="O980" s="754">
        <v>92.683090210000003</v>
      </c>
      <c r="P980" s="754" t="s">
        <v>813</v>
      </c>
      <c r="Q980" s="754" t="s">
        <v>816</v>
      </c>
      <c r="R980" s="767"/>
      <c r="S980" s="768"/>
      <c r="T980" s="783">
        <v>42926</v>
      </c>
      <c r="U980" s="765" t="s">
        <v>817</v>
      </c>
      <c r="V980" s="754"/>
      <c r="W980" s="763"/>
      <c r="X980" s="17"/>
      <c r="Z980" s="17"/>
    </row>
    <row r="981" spans="1:26" ht="14.25" customHeight="1">
      <c r="A981" s="754" t="s">
        <v>3005</v>
      </c>
      <c r="B981" s="781" t="s">
        <v>355</v>
      </c>
      <c r="C981" s="780" t="s">
        <v>529</v>
      </c>
      <c r="D981" s="637" t="s">
        <v>1693</v>
      </c>
      <c r="E981" s="754">
        <v>197690</v>
      </c>
      <c r="F981" s="754"/>
      <c r="G981" s="754"/>
      <c r="H981" s="754"/>
      <c r="I981" s="754"/>
      <c r="J981" s="754" t="s">
        <v>812</v>
      </c>
      <c r="K981" s="754" t="s">
        <v>812</v>
      </c>
      <c r="L981" s="754" t="s">
        <v>812</v>
      </c>
      <c r="M981" s="754" t="s">
        <v>312</v>
      </c>
      <c r="N981" s="754">
        <v>20.636510850000001</v>
      </c>
      <c r="O981" s="754">
        <v>92.713378910000003</v>
      </c>
      <c r="P981" s="754" t="s">
        <v>813</v>
      </c>
      <c r="Q981" s="754" t="s">
        <v>794</v>
      </c>
      <c r="R981" s="763"/>
      <c r="S981" s="763"/>
      <c r="T981" s="783" t="s">
        <v>819</v>
      </c>
      <c r="U981" s="765"/>
      <c r="V981" s="754"/>
      <c r="W981" s="763"/>
      <c r="X981" s="17"/>
      <c r="Z981" s="17"/>
    </row>
    <row r="982" spans="1:26" ht="14.25" customHeight="1">
      <c r="A982" s="754" t="s">
        <v>3005</v>
      </c>
      <c r="B982" s="781" t="s">
        <v>355</v>
      </c>
      <c r="C982" s="780" t="s">
        <v>515</v>
      </c>
      <c r="D982" s="637" t="s">
        <v>1693</v>
      </c>
      <c r="E982" s="754">
        <v>197597</v>
      </c>
      <c r="F982" s="760"/>
      <c r="G982" s="754"/>
      <c r="H982" s="754"/>
      <c r="I982" s="754"/>
      <c r="J982" s="754" t="s">
        <v>812</v>
      </c>
      <c r="K982" s="754" t="s">
        <v>812</v>
      </c>
      <c r="L982" s="754" t="s">
        <v>812</v>
      </c>
      <c r="M982" s="754" t="s">
        <v>809</v>
      </c>
      <c r="N982" s="754">
        <v>20.550769809999998</v>
      </c>
      <c r="O982" s="754">
        <v>92.650512699999993</v>
      </c>
      <c r="P982" s="754" t="s">
        <v>813</v>
      </c>
      <c r="Q982" s="754" t="s">
        <v>794</v>
      </c>
      <c r="R982" s="763"/>
      <c r="S982" s="763"/>
      <c r="T982" s="783"/>
      <c r="U982" s="765"/>
      <c r="V982" s="754" t="s">
        <v>515</v>
      </c>
      <c r="W982" s="763"/>
      <c r="X982" s="17"/>
      <c r="Z982" s="17"/>
    </row>
    <row r="983" spans="1:26" ht="14.25" customHeight="1">
      <c r="A983" s="754" t="s">
        <v>3005</v>
      </c>
      <c r="B983" s="781" t="s">
        <v>355</v>
      </c>
      <c r="C983" s="780" t="s">
        <v>475</v>
      </c>
      <c r="D983" s="637" t="s">
        <v>2376</v>
      </c>
      <c r="E983" s="754" t="s">
        <v>1401</v>
      </c>
      <c r="F983" s="754"/>
      <c r="G983" s="754"/>
      <c r="H983" s="754"/>
      <c r="I983" s="754"/>
      <c r="J983" s="754" t="s">
        <v>812</v>
      </c>
      <c r="K983" s="754" t="s">
        <v>812</v>
      </c>
      <c r="L983" s="754" t="s">
        <v>897</v>
      </c>
      <c r="M983" s="754" t="s">
        <v>809</v>
      </c>
      <c r="N983" s="754">
        <v>20.335864000000001</v>
      </c>
      <c r="O983" s="754">
        <v>92.785706000000005</v>
      </c>
      <c r="P983" s="754" t="s">
        <v>813</v>
      </c>
      <c r="Q983" s="754" t="s">
        <v>794</v>
      </c>
      <c r="R983" s="763">
        <v>56</v>
      </c>
      <c r="S983" s="764">
        <v>332</v>
      </c>
      <c r="T983" s="783"/>
      <c r="U983" s="765"/>
      <c r="V983" s="754" t="s">
        <v>898</v>
      </c>
      <c r="W983" s="763"/>
      <c r="X983" s="17"/>
      <c r="Z983" s="17"/>
    </row>
    <row r="984" spans="1:26" ht="14.25" customHeight="1">
      <c r="A984" s="754" t="s">
        <v>3005</v>
      </c>
      <c r="B984" s="781" t="s">
        <v>355</v>
      </c>
      <c r="C984" s="780" t="s">
        <v>476</v>
      </c>
      <c r="D984" s="637" t="s">
        <v>1693</v>
      </c>
      <c r="E984" s="754">
        <v>197779</v>
      </c>
      <c r="F984" s="754"/>
      <c r="G984" s="754"/>
      <c r="H984" s="754"/>
      <c r="I984" s="754"/>
      <c r="J984" s="754" t="s">
        <v>812</v>
      </c>
      <c r="K984" s="754" t="s">
        <v>812</v>
      </c>
      <c r="L984" s="754" t="s">
        <v>812</v>
      </c>
      <c r="M984" s="754" t="s">
        <v>312</v>
      </c>
      <c r="N984" s="754">
        <v>20.339799880000001</v>
      </c>
      <c r="O984" s="754">
        <v>92.782653809999999</v>
      </c>
      <c r="P984" s="754" t="s">
        <v>813</v>
      </c>
      <c r="Q984" s="754" t="s">
        <v>794</v>
      </c>
      <c r="R984" s="767"/>
      <c r="S984" s="768"/>
      <c r="T984" s="783"/>
      <c r="U984" s="765"/>
      <c r="V984" s="754"/>
      <c r="W984" s="763"/>
      <c r="X984" s="17"/>
      <c r="Z984" s="17"/>
    </row>
    <row r="985" spans="1:26" ht="14.25" customHeight="1">
      <c r="A985" s="754" t="s">
        <v>3005</v>
      </c>
      <c r="B985" s="781" t="s">
        <v>355</v>
      </c>
      <c r="C985" s="780" t="s">
        <v>564</v>
      </c>
      <c r="D985" s="637" t="s">
        <v>1693</v>
      </c>
      <c r="E985" s="754">
        <v>197671</v>
      </c>
      <c r="F985" s="754"/>
      <c r="G985" s="754"/>
      <c r="H985" s="754"/>
      <c r="I985" s="754"/>
      <c r="J985" s="754" t="s">
        <v>812</v>
      </c>
      <c r="K985" s="754" t="s">
        <v>812</v>
      </c>
      <c r="L985" s="754" t="s">
        <v>812</v>
      </c>
      <c r="M985" s="754" t="s">
        <v>312</v>
      </c>
      <c r="N985" s="754">
        <v>20.694499969999999</v>
      </c>
      <c r="O985" s="754">
        <v>92.647750849999994</v>
      </c>
      <c r="P985" s="754" t="s">
        <v>813</v>
      </c>
      <c r="Q985" s="754" t="s">
        <v>794</v>
      </c>
      <c r="R985" s="763"/>
      <c r="S985" s="763"/>
      <c r="T985" s="783" t="s">
        <v>794</v>
      </c>
      <c r="U985" s="765"/>
      <c r="V985" s="780"/>
      <c r="W985" s="763"/>
      <c r="X985" s="17"/>
      <c r="Z985" s="17"/>
    </row>
    <row r="986" spans="1:26" ht="14.25" customHeight="1">
      <c r="A986" s="754" t="s">
        <v>3005</v>
      </c>
      <c r="B986" s="781" t="s">
        <v>355</v>
      </c>
      <c r="C986" s="780" t="s">
        <v>557</v>
      </c>
      <c r="D986" s="637" t="s">
        <v>1693</v>
      </c>
      <c r="E986" s="754">
        <v>197672</v>
      </c>
      <c r="F986" s="754" t="s">
        <v>557</v>
      </c>
      <c r="G986" s="754"/>
      <c r="H986" s="754"/>
      <c r="I986" s="754"/>
      <c r="J986" s="754" t="s">
        <v>812</v>
      </c>
      <c r="K986" s="754" t="s">
        <v>812</v>
      </c>
      <c r="L986" s="754" t="s">
        <v>812</v>
      </c>
      <c r="M986" s="754" t="s">
        <v>312</v>
      </c>
      <c r="N986" s="754">
        <v>20.686460490000002</v>
      </c>
      <c r="O986" s="754">
        <v>92.682327270000002</v>
      </c>
      <c r="P986" s="754" t="s">
        <v>813</v>
      </c>
      <c r="Q986" s="754" t="s">
        <v>794</v>
      </c>
      <c r="R986" s="763"/>
      <c r="S986" s="763"/>
      <c r="T986" s="783" t="s">
        <v>794</v>
      </c>
      <c r="U986" s="765"/>
      <c r="V986" s="760"/>
      <c r="W986" s="763"/>
      <c r="X986" s="17"/>
      <c r="Z986" s="17"/>
    </row>
    <row r="987" spans="1:26" ht="14.25" customHeight="1">
      <c r="A987" s="754" t="s">
        <v>3005</v>
      </c>
      <c r="B987" s="781" t="s">
        <v>355</v>
      </c>
      <c r="C987" s="780" t="s">
        <v>561</v>
      </c>
      <c r="D987" s="637" t="s">
        <v>1693</v>
      </c>
      <c r="E987" s="754">
        <v>197669</v>
      </c>
      <c r="F987" s="760"/>
      <c r="G987" s="754"/>
      <c r="H987" s="754"/>
      <c r="I987" s="754"/>
      <c r="J987" s="754" t="s">
        <v>3017</v>
      </c>
      <c r="K987" s="754" t="s">
        <v>2935</v>
      </c>
      <c r="L987" s="754" t="s">
        <v>2935</v>
      </c>
      <c r="M987" s="754" t="s">
        <v>312</v>
      </c>
      <c r="N987" s="754">
        <v>20.688629150000001</v>
      </c>
      <c r="O987" s="754">
        <v>92.652481080000001</v>
      </c>
      <c r="P987" s="754" t="s">
        <v>813</v>
      </c>
      <c r="Q987" s="754" t="s">
        <v>794</v>
      </c>
      <c r="R987" s="763"/>
      <c r="S987" s="763"/>
      <c r="T987" s="783" t="s">
        <v>819</v>
      </c>
      <c r="U987" s="765"/>
      <c r="V987" s="754"/>
      <c r="W987" s="763"/>
      <c r="X987" s="17"/>
      <c r="Z987" s="17"/>
    </row>
    <row r="988" spans="1:26" ht="14.25" customHeight="1">
      <c r="A988" s="754" t="s">
        <v>3005</v>
      </c>
      <c r="B988" s="788" t="s">
        <v>355</v>
      </c>
      <c r="C988" s="794" t="s">
        <v>507</v>
      </c>
      <c r="D988" s="637" t="s">
        <v>1693</v>
      </c>
      <c r="E988" s="773">
        <v>197609</v>
      </c>
      <c r="F988" s="754"/>
      <c r="G988" s="754"/>
      <c r="H988" s="773"/>
      <c r="I988" s="773"/>
      <c r="J988" s="773" t="s">
        <v>812</v>
      </c>
      <c r="K988" s="773" t="s">
        <v>812</v>
      </c>
      <c r="L988" s="773" t="s">
        <v>812</v>
      </c>
      <c r="M988" s="773" t="s">
        <v>312</v>
      </c>
      <c r="N988" s="773">
        <v>20.5177002</v>
      </c>
      <c r="O988" s="773">
        <v>92.660263060000005</v>
      </c>
      <c r="P988" s="754" t="s">
        <v>813</v>
      </c>
      <c r="Q988" s="774" t="s">
        <v>794</v>
      </c>
      <c r="R988" s="763"/>
      <c r="S988" s="763"/>
      <c r="T988" s="785"/>
      <c r="U988" s="773"/>
      <c r="V988" s="754" t="s">
        <v>507</v>
      </c>
      <c r="W988" s="763"/>
      <c r="X988" s="17"/>
      <c r="Z988" s="17"/>
    </row>
    <row r="989" spans="1:26" ht="14.25" customHeight="1">
      <c r="A989" s="754" t="s">
        <v>3005</v>
      </c>
      <c r="B989" s="781" t="s">
        <v>355</v>
      </c>
      <c r="C989" s="780" t="s">
        <v>511</v>
      </c>
      <c r="D989" s="637" t="s">
        <v>1693</v>
      </c>
      <c r="E989" s="754">
        <v>197599</v>
      </c>
      <c r="F989" s="754"/>
      <c r="G989" s="754"/>
      <c r="H989" s="754"/>
      <c r="I989" s="754"/>
      <c r="J989" s="754" t="s">
        <v>812</v>
      </c>
      <c r="K989" s="754" t="s">
        <v>812</v>
      </c>
      <c r="L989" s="754" t="s">
        <v>812</v>
      </c>
      <c r="M989" s="754" t="s">
        <v>312</v>
      </c>
      <c r="N989" s="754">
        <v>20.543479919999999</v>
      </c>
      <c r="O989" s="754">
        <v>92.676979059999994</v>
      </c>
      <c r="P989" s="754" t="s">
        <v>813</v>
      </c>
      <c r="Q989" s="754" t="s">
        <v>794</v>
      </c>
      <c r="R989" s="763"/>
      <c r="S989" s="763"/>
      <c r="T989" s="783"/>
      <c r="U989" s="765"/>
      <c r="V989" s="754" t="s">
        <v>511</v>
      </c>
      <c r="W989" s="763"/>
      <c r="X989" s="17"/>
      <c r="Z989" s="17"/>
    </row>
    <row r="990" spans="1:26" ht="14.25" customHeight="1">
      <c r="A990" s="754" t="s">
        <v>3005</v>
      </c>
      <c r="B990" s="781" t="s">
        <v>355</v>
      </c>
      <c r="C990" s="780" t="s">
        <v>552</v>
      </c>
      <c r="D990" s="761" t="s">
        <v>1693</v>
      </c>
      <c r="E990" s="754">
        <v>197683</v>
      </c>
      <c r="F990" s="760"/>
      <c r="G990" s="754"/>
      <c r="H990" s="754"/>
      <c r="I990" s="754"/>
      <c r="J990" s="754" t="s">
        <v>3017</v>
      </c>
      <c r="K990" s="754" t="s">
        <v>2935</v>
      </c>
      <c r="L990" s="754" t="s">
        <v>2935</v>
      </c>
      <c r="M990" s="754" t="s">
        <v>312</v>
      </c>
      <c r="N990" s="754">
        <v>20.678159709999999</v>
      </c>
      <c r="O990" s="754">
        <v>92.713821409999994</v>
      </c>
      <c r="P990" s="754" t="s">
        <v>813</v>
      </c>
      <c r="Q990" s="754" t="s">
        <v>794</v>
      </c>
      <c r="R990" s="760"/>
      <c r="S990" s="760"/>
      <c r="T990" s="783" t="s">
        <v>794</v>
      </c>
      <c r="U990" s="765"/>
      <c r="V990" s="754"/>
      <c r="W990" s="763"/>
      <c r="X990" s="17"/>
      <c r="Z990" s="17"/>
    </row>
    <row r="991" spans="1:26" ht="14.25" customHeight="1">
      <c r="A991" s="754" t="s">
        <v>3005</v>
      </c>
      <c r="B991" s="792" t="s">
        <v>355</v>
      </c>
      <c r="C991" s="793" t="s">
        <v>924</v>
      </c>
      <c r="D991" s="761" t="s">
        <v>1693</v>
      </c>
      <c r="E991" s="754">
        <v>220694</v>
      </c>
      <c r="F991" s="754"/>
      <c r="G991" s="754"/>
      <c r="H991" s="754"/>
      <c r="I991" s="754"/>
      <c r="J991" s="754" t="s">
        <v>812</v>
      </c>
      <c r="K991" s="754" t="s">
        <v>812</v>
      </c>
      <c r="L991" s="760" t="s">
        <v>812</v>
      </c>
      <c r="M991" s="754" t="s">
        <v>312</v>
      </c>
      <c r="N991" s="754">
        <v>20.581470490000001</v>
      </c>
      <c r="O991" s="754">
        <v>92.643272400000001</v>
      </c>
      <c r="P991" s="754" t="s">
        <v>813</v>
      </c>
      <c r="Q991" s="754"/>
      <c r="R991" s="771"/>
      <c r="S991" s="764"/>
      <c r="T991" s="783"/>
      <c r="U991" s="765"/>
      <c r="V991" s="754" t="s">
        <v>925</v>
      </c>
      <c r="W991" s="763"/>
      <c r="X991" s="17"/>
      <c r="Z991" s="17"/>
    </row>
    <row r="992" spans="1:26" ht="14.25" customHeight="1">
      <c r="A992" s="754" t="s">
        <v>3005</v>
      </c>
      <c r="B992" s="781" t="s">
        <v>355</v>
      </c>
      <c r="C992" s="780" t="s">
        <v>356</v>
      </c>
      <c r="D992" s="637" t="s">
        <v>1693</v>
      </c>
      <c r="E992" s="754"/>
      <c r="F992" s="754"/>
      <c r="G992" s="754"/>
      <c r="H992" s="754"/>
      <c r="I992" s="754"/>
      <c r="J992" s="754" t="s">
        <v>812</v>
      </c>
      <c r="K992" s="754" t="s">
        <v>812</v>
      </c>
      <c r="L992" s="754" t="s">
        <v>812</v>
      </c>
      <c r="M992" s="754" t="s">
        <v>312</v>
      </c>
      <c r="N992" s="754"/>
      <c r="O992" s="754"/>
      <c r="P992" s="754" t="s">
        <v>813</v>
      </c>
      <c r="Q992" s="754" t="s">
        <v>794</v>
      </c>
      <c r="R992" s="767"/>
      <c r="S992" s="768"/>
      <c r="T992" s="783" t="s">
        <v>819</v>
      </c>
      <c r="U992" s="765"/>
      <c r="V992" s="754"/>
      <c r="W992" s="763"/>
      <c r="X992" s="17"/>
      <c r="Z992" s="17"/>
    </row>
    <row r="993" spans="1:26" ht="14.25" customHeight="1">
      <c r="A993" s="754" t="s">
        <v>3005</v>
      </c>
      <c r="B993" s="781" t="s">
        <v>355</v>
      </c>
      <c r="C993" s="780" t="s">
        <v>3083</v>
      </c>
      <c r="D993" s="637" t="s">
        <v>1693</v>
      </c>
      <c r="E993" s="754">
        <v>197586</v>
      </c>
      <c r="F993" s="754" t="s">
        <v>2079</v>
      </c>
      <c r="G993" s="754"/>
      <c r="H993" s="754"/>
      <c r="I993" s="754"/>
      <c r="J993" s="754" t="s">
        <v>812</v>
      </c>
      <c r="K993" s="754" t="s">
        <v>812</v>
      </c>
      <c r="L993" s="754" t="s">
        <v>812</v>
      </c>
      <c r="M993" s="754" t="s">
        <v>312</v>
      </c>
      <c r="N993" s="754">
        <v>20.58996964</v>
      </c>
      <c r="O993" s="754">
        <v>92.691757199999998</v>
      </c>
      <c r="P993" s="754" t="s">
        <v>813</v>
      </c>
      <c r="Q993" s="754" t="s">
        <v>794</v>
      </c>
      <c r="R993" s="763"/>
      <c r="S993" s="763"/>
      <c r="T993" s="783"/>
      <c r="U993" s="765"/>
      <c r="V993" s="754" t="s">
        <v>524</v>
      </c>
      <c r="W993" s="797"/>
      <c r="X993" s="17"/>
      <c r="Z993" s="17"/>
    </row>
    <row r="994" spans="1:26" ht="14.25" customHeight="1">
      <c r="A994" s="754" t="s">
        <v>3005</v>
      </c>
      <c r="B994" s="781" t="s">
        <v>355</v>
      </c>
      <c r="C994" s="780" t="s">
        <v>3230</v>
      </c>
      <c r="D994" s="637" t="s">
        <v>1693</v>
      </c>
      <c r="E994" s="754">
        <v>197589</v>
      </c>
      <c r="F994" s="754" t="s">
        <v>922</v>
      </c>
      <c r="G994" s="754"/>
      <c r="H994" s="754"/>
      <c r="I994" s="754"/>
      <c r="J994" s="754" t="s">
        <v>3017</v>
      </c>
      <c r="K994" s="754" t="s">
        <v>2935</v>
      </c>
      <c r="L994" s="754" t="s">
        <v>2935</v>
      </c>
      <c r="M994" s="754"/>
      <c r="N994" s="754">
        <v>20.575780868530298</v>
      </c>
      <c r="O994" s="754">
        <v>92.670402526855497</v>
      </c>
      <c r="P994" s="754"/>
      <c r="Q994" s="754"/>
      <c r="R994" s="763"/>
      <c r="S994" s="764"/>
      <c r="T994" s="783"/>
      <c r="U994" s="765"/>
      <c r="V994" s="754" t="s">
        <v>3182</v>
      </c>
      <c r="W994" s="763"/>
      <c r="X994" s="17"/>
      <c r="Z994" s="17"/>
    </row>
    <row r="995" spans="1:26" ht="14.25" customHeight="1">
      <c r="A995" s="767" t="s">
        <v>3005</v>
      </c>
      <c r="B995" s="792" t="s">
        <v>355</v>
      </c>
      <c r="C995" s="793" t="s">
        <v>3188</v>
      </c>
      <c r="D995" s="761"/>
      <c r="E995" s="754"/>
      <c r="F995" s="754"/>
      <c r="G995" s="754"/>
      <c r="H995" s="754"/>
      <c r="I995" s="754"/>
      <c r="J995" s="754" t="s">
        <v>3017</v>
      </c>
      <c r="K995" s="754" t="s">
        <v>2935</v>
      </c>
      <c r="L995" s="754" t="s">
        <v>2935</v>
      </c>
      <c r="M995" s="754"/>
      <c r="N995" s="754"/>
      <c r="O995" s="754"/>
      <c r="P995" s="754"/>
      <c r="Q995" s="754"/>
      <c r="R995" s="771"/>
      <c r="S995" s="764"/>
      <c r="T995" s="783">
        <v>43591</v>
      </c>
      <c r="U995" s="771"/>
      <c r="V995" s="768" t="s">
        <v>3188</v>
      </c>
      <c r="W995" s="763"/>
      <c r="X995" s="17"/>
      <c r="Z995" s="17"/>
    </row>
    <row r="996" spans="1:26" ht="14.25" customHeight="1">
      <c r="A996" s="754" t="s">
        <v>3005</v>
      </c>
      <c r="B996" s="781" t="s">
        <v>355</v>
      </c>
      <c r="C996" s="780" t="s">
        <v>901</v>
      </c>
      <c r="D996" s="637" t="s">
        <v>1693</v>
      </c>
      <c r="E996" s="754">
        <v>197765</v>
      </c>
      <c r="F996" s="754"/>
      <c r="G996" s="754"/>
      <c r="H996" s="754"/>
      <c r="I996" s="754"/>
      <c r="J996" s="754" t="s">
        <v>812</v>
      </c>
      <c r="K996" s="754" t="s">
        <v>812</v>
      </c>
      <c r="L996" s="754" t="s">
        <v>812</v>
      </c>
      <c r="M996" s="754" t="s">
        <v>312</v>
      </c>
      <c r="N996" s="754">
        <v>20.3917</v>
      </c>
      <c r="O996" s="754">
        <v>92.770899999999997</v>
      </c>
      <c r="P996" s="754" t="s">
        <v>813</v>
      </c>
      <c r="Q996" s="754"/>
      <c r="R996" s="763"/>
      <c r="S996" s="763"/>
      <c r="T996" s="783"/>
      <c r="U996" s="765"/>
      <c r="V996" s="754" t="s">
        <v>901</v>
      </c>
      <c r="W996" s="763"/>
      <c r="X996" s="17"/>
      <c r="Z996" s="17"/>
    </row>
    <row r="997" spans="1:26" ht="14.25" customHeight="1">
      <c r="A997" s="767" t="s">
        <v>3005</v>
      </c>
      <c r="B997" s="792" t="s">
        <v>355</v>
      </c>
      <c r="C997" s="793" t="s">
        <v>3189</v>
      </c>
      <c r="D997" s="761"/>
      <c r="E997" s="754"/>
      <c r="F997" s="754"/>
      <c r="G997" s="754"/>
      <c r="H997" s="754"/>
      <c r="I997" s="754"/>
      <c r="J997" s="754" t="s">
        <v>3017</v>
      </c>
      <c r="K997" s="754" t="s">
        <v>2935</v>
      </c>
      <c r="L997" s="754" t="s">
        <v>2935</v>
      </c>
      <c r="M997" s="754"/>
      <c r="N997" s="754"/>
      <c r="O997" s="754"/>
      <c r="P997" s="754"/>
      <c r="Q997" s="754"/>
      <c r="R997" s="771"/>
      <c r="S997" s="764"/>
      <c r="T997" s="783">
        <v>43591</v>
      </c>
      <c r="U997" s="771"/>
      <c r="V997" s="754"/>
      <c r="W997" s="763"/>
      <c r="X997" s="17"/>
      <c r="Z997" s="17"/>
    </row>
    <row r="998" spans="1:26" ht="14.25" customHeight="1">
      <c r="A998" s="754" t="s">
        <v>3005</v>
      </c>
      <c r="B998" s="781" t="s">
        <v>355</v>
      </c>
      <c r="C998" s="780" t="s">
        <v>579</v>
      </c>
      <c r="D998" s="637" t="s">
        <v>1693</v>
      </c>
      <c r="E998" s="754">
        <v>197666</v>
      </c>
      <c r="F998" s="754"/>
      <c r="G998" s="754"/>
      <c r="H998" s="754"/>
      <c r="I998" s="754"/>
      <c r="J998" s="754" t="s">
        <v>812</v>
      </c>
      <c r="K998" s="754" t="s">
        <v>812</v>
      </c>
      <c r="L998" s="754" t="s">
        <v>812</v>
      </c>
      <c r="M998" s="754" t="s">
        <v>809</v>
      </c>
      <c r="N998" s="754">
        <v>20.716560359999999</v>
      </c>
      <c r="O998" s="754">
        <v>92.645408630000006</v>
      </c>
      <c r="P998" s="754" t="s">
        <v>813</v>
      </c>
      <c r="Q998" s="754" t="s">
        <v>794</v>
      </c>
      <c r="R998" s="767"/>
      <c r="S998" s="768"/>
      <c r="T998" s="783" t="s">
        <v>819</v>
      </c>
      <c r="U998" s="765"/>
      <c r="V998" s="754"/>
      <c r="W998" s="763"/>
      <c r="X998" s="17"/>
      <c r="Z998" s="17"/>
    </row>
    <row r="999" spans="1:26" ht="14.25" customHeight="1">
      <c r="A999" s="754" t="s">
        <v>3005</v>
      </c>
      <c r="B999" s="781" t="s">
        <v>355</v>
      </c>
      <c r="C999" s="780" t="s">
        <v>589</v>
      </c>
      <c r="D999" s="637" t="s">
        <v>1693</v>
      </c>
      <c r="E999" s="754">
        <v>197665</v>
      </c>
      <c r="F999" s="754"/>
      <c r="G999" s="754"/>
      <c r="H999" s="754"/>
      <c r="I999" s="754"/>
      <c r="J999" s="754" t="s">
        <v>812</v>
      </c>
      <c r="K999" s="754" t="s">
        <v>812</v>
      </c>
      <c r="L999" s="754" t="s">
        <v>812</v>
      </c>
      <c r="M999" s="754" t="s">
        <v>312</v>
      </c>
      <c r="N999" s="754">
        <v>20.72533035</v>
      </c>
      <c r="O999" s="754">
        <v>92.64795685</v>
      </c>
      <c r="P999" s="754" t="s">
        <v>813</v>
      </c>
      <c r="Q999" s="754" t="s">
        <v>794</v>
      </c>
      <c r="R999" s="767"/>
      <c r="S999" s="768"/>
      <c r="T999" s="783" t="s">
        <v>819</v>
      </c>
      <c r="U999" s="765"/>
      <c r="V999" s="754"/>
      <c r="W999" s="763"/>
      <c r="X999" s="17"/>
      <c r="Z999" s="17"/>
    </row>
    <row r="1000" spans="1:26" ht="14.25" customHeight="1">
      <c r="A1000" s="754" t="s">
        <v>3005</v>
      </c>
      <c r="B1000" s="781" t="s">
        <v>355</v>
      </c>
      <c r="C1000" s="780" t="s">
        <v>509</v>
      </c>
      <c r="D1000" s="637" t="s">
        <v>1693</v>
      </c>
      <c r="E1000" s="754">
        <v>197595</v>
      </c>
      <c r="F1000" s="754" t="s">
        <v>519</v>
      </c>
      <c r="G1000" s="754"/>
      <c r="H1000" s="754"/>
      <c r="I1000" s="754"/>
      <c r="J1000" s="754" t="s">
        <v>812</v>
      </c>
      <c r="K1000" s="754" t="s">
        <v>812</v>
      </c>
      <c r="L1000" s="754" t="s">
        <v>812</v>
      </c>
      <c r="M1000" s="754" t="s">
        <v>312</v>
      </c>
      <c r="N1000" s="754">
        <v>20.523090360000001</v>
      </c>
      <c r="O1000" s="754">
        <v>92.637947080000004</v>
      </c>
      <c r="P1000" s="754" t="s">
        <v>813</v>
      </c>
      <c r="Q1000" s="754" t="s">
        <v>794</v>
      </c>
      <c r="R1000" s="763"/>
      <c r="S1000" s="764"/>
      <c r="T1000" s="783"/>
      <c r="U1000" s="765"/>
      <c r="V1000" s="754" t="s">
        <v>509</v>
      </c>
      <c r="W1000" s="763"/>
      <c r="X1000" s="17"/>
      <c r="Z1000" s="17"/>
    </row>
    <row r="1001" spans="1:26" ht="14.25" customHeight="1">
      <c r="A1001" s="767" t="s">
        <v>3005</v>
      </c>
      <c r="B1001" s="792" t="s">
        <v>355</v>
      </c>
      <c r="C1001" s="793" t="s">
        <v>3187</v>
      </c>
      <c r="D1001" s="761"/>
      <c r="E1001" s="754">
        <v>197677</v>
      </c>
      <c r="F1001" s="754"/>
      <c r="G1001" s="754"/>
      <c r="H1001" s="754"/>
      <c r="I1001" s="754"/>
      <c r="J1001" s="754" t="s">
        <v>3017</v>
      </c>
      <c r="K1001" s="754" t="s">
        <v>2935</v>
      </c>
      <c r="L1001" s="754" t="s">
        <v>2935</v>
      </c>
      <c r="M1001" s="754"/>
      <c r="N1001" s="754">
        <v>20.660871505737301</v>
      </c>
      <c r="O1001" s="754">
        <v>92.683090209960895</v>
      </c>
      <c r="P1001" s="754"/>
      <c r="Q1001" s="754"/>
      <c r="R1001" s="771"/>
      <c r="S1001" s="764"/>
      <c r="T1001" s="783">
        <v>43591</v>
      </c>
      <c r="U1001" s="771"/>
      <c r="V1001" s="754"/>
      <c r="W1001" s="763"/>
      <c r="X1001" s="17"/>
      <c r="Z1001" s="17"/>
    </row>
    <row r="1002" spans="1:26" ht="14.25" customHeight="1">
      <c r="A1002" s="754" t="s">
        <v>3005</v>
      </c>
      <c r="B1002" s="781" t="s">
        <v>355</v>
      </c>
      <c r="C1002" s="780" t="s">
        <v>514</v>
      </c>
      <c r="D1002" s="637" t="s">
        <v>1693</v>
      </c>
      <c r="E1002" s="754">
        <v>197600</v>
      </c>
      <c r="F1002" s="754"/>
      <c r="G1002" s="754"/>
      <c r="H1002" s="754"/>
      <c r="I1002" s="754"/>
      <c r="J1002" s="754" t="s">
        <v>812</v>
      </c>
      <c r="K1002" s="754" t="s">
        <v>812</v>
      </c>
      <c r="L1002" s="754" t="s">
        <v>812</v>
      </c>
      <c r="M1002" s="754" t="s">
        <v>809</v>
      </c>
      <c r="N1002" s="754">
        <v>20.550130840000001</v>
      </c>
      <c r="O1002" s="754">
        <v>92.656723020000001</v>
      </c>
      <c r="P1002" s="754" t="s">
        <v>813</v>
      </c>
      <c r="Q1002" s="754" t="s">
        <v>794</v>
      </c>
      <c r="R1002" s="763"/>
      <c r="S1002" s="764"/>
      <c r="T1002" s="783"/>
      <c r="U1002" s="765"/>
      <c r="V1002" s="754" t="s">
        <v>514</v>
      </c>
      <c r="W1002" s="763"/>
      <c r="X1002" s="17"/>
      <c r="Z1002" s="17"/>
    </row>
    <row r="1003" spans="1:26" ht="14.25" customHeight="1">
      <c r="A1003" s="754" t="s">
        <v>3005</v>
      </c>
      <c r="B1003" s="781" t="s">
        <v>355</v>
      </c>
      <c r="C1003" s="780" t="s">
        <v>500</v>
      </c>
      <c r="D1003" s="637" t="s">
        <v>1693</v>
      </c>
      <c r="E1003" s="754">
        <v>197614</v>
      </c>
      <c r="F1003" s="754" t="s">
        <v>500</v>
      </c>
      <c r="G1003" s="754"/>
      <c r="H1003" s="754"/>
      <c r="I1003" s="754"/>
      <c r="J1003" s="754" t="s">
        <v>812</v>
      </c>
      <c r="K1003" s="754" t="s">
        <v>812</v>
      </c>
      <c r="L1003" s="754" t="s">
        <v>812</v>
      </c>
      <c r="M1003" s="754" t="s">
        <v>312</v>
      </c>
      <c r="N1003" s="754">
        <v>20.48693085</v>
      </c>
      <c r="O1003" s="754">
        <v>92.662757869999993</v>
      </c>
      <c r="P1003" s="754" t="s">
        <v>813</v>
      </c>
      <c r="Q1003" s="754" t="s">
        <v>816</v>
      </c>
      <c r="R1003" s="763"/>
      <c r="S1003" s="763"/>
      <c r="T1003" s="783">
        <v>42926</v>
      </c>
      <c r="U1003" s="765" t="s">
        <v>817</v>
      </c>
      <c r="V1003" s="754"/>
      <c r="W1003" s="763"/>
      <c r="X1003" s="17"/>
      <c r="Z1003" s="17"/>
    </row>
    <row r="1004" spans="1:26" ht="14.25" customHeight="1">
      <c r="A1004" s="754" t="s">
        <v>3005</v>
      </c>
      <c r="B1004" s="781" t="s">
        <v>355</v>
      </c>
      <c r="C1004" s="780" t="s">
        <v>497</v>
      </c>
      <c r="D1004" s="637" t="s">
        <v>1693</v>
      </c>
      <c r="E1004" s="754">
        <v>197617</v>
      </c>
      <c r="F1004" s="760" t="s">
        <v>497</v>
      </c>
      <c r="G1004" s="754"/>
      <c r="H1004" s="754"/>
      <c r="I1004" s="754"/>
      <c r="J1004" s="754" t="s">
        <v>812</v>
      </c>
      <c r="K1004" s="754" t="s">
        <v>812</v>
      </c>
      <c r="L1004" s="754" t="s">
        <v>812</v>
      </c>
      <c r="M1004" s="754" t="s">
        <v>312</v>
      </c>
      <c r="N1004" s="754">
        <v>20.47896957</v>
      </c>
      <c r="O1004" s="754">
        <v>92.683746339999999</v>
      </c>
      <c r="P1004" s="754" t="s">
        <v>813</v>
      </c>
      <c r="Q1004" s="754" t="s">
        <v>816</v>
      </c>
      <c r="R1004" s="763"/>
      <c r="S1004" s="764"/>
      <c r="T1004" s="783">
        <v>42926</v>
      </c>
      <c r="U1004" s="765" t="s">
        <v>817</v>
      </c>
      <c r="V1004" s="754"/>
      <c r="W1004" s="763"/>
      <c r="X1004" s="17"/>
      <c r="Z1004" s="17"/>
    </row>
    <row r="1005" spans="1:26" ht="14.25" customHeight="1">
      <c r="A1005" s="767" t="s">
        <v>3005</v>
      </c>
      <c r="B1005" s="792" t="s">
        <v>355</v>
      </c>
      <c r="C1005" s="793" t="s">
        <v>3183</v>
      </c>
      <c r="D1005" s="761"/>
      <c r="E1005" s="754"/>
      <c r="F1005" s="754"/>
      <c r="G1005" s="754"/>
      <c r="H1005" s="754"/>
      <c r="I1005" s="754"/>
      <c r="J1005" s="754" t="s">
        <v>3017</v>
      </c>
      <c r="K1005" s="754" t="s">
        <v>2935</v>
      </c>
      <c r="L1005" s="754" t="s">
        <v>2935</v>
      </c>
      <c r="M1005" s="754"/>
      <c r="N1005" s="754"/>
      <c r="O1005" s="754"/>
      <c r="P1005" s="754"/>
      <c r="Q1005" s="754"/>
      <c r="R1005" s="771"/>
      <c r="S1005" s="764"/>
      <c r="T1005" s="783">
        <v>43591</v>
      </c>
      <c r="U1005" s="771"/>
      <c r="V1005" s="754"/>
      <c r="W1005" s="763"/>
      <c r="X1005" s="17"/>
      <c r="Z1005" s="17"/>
    </row>
    <row r="1006" spans="1:26" ht="14.25" customHeight="1">
      <c r="A1006" s="754" t="s">
        <v>3005</v>
      </c>
      <c r="B1006" s="781" t="s">
        <v>355</v>
      </c>
      <c r="C1006" s="780" t="s">
        <v>541</v>
      </c>
      <c r="D1006" s="637" t="s">
        <v>1693</v>
      </c>
      <c r="E1006" s="754">
        <v>197673</v>
      </c>
      <c r="F1006" s="754"/>
      <c r="G1006" s="754"/>
      <c r="H1006" s="754"/>
      <c r="I1006" s="754"/>
      <c r="J1006" s="754" t="s">
        <v>3017</v>
      </c>
      <c r="K1006" s="754" t="s">
        <v>2935</v>
      </c>
      <c r="L1006" s="754" t="s">
        <v>2935</v>
      </c>
      <c r="M1006" s="754" t="s">
        <v>312</v>
      </c>
      <c r="N1006" s="754">
        <v>20.66592979</v>
      </c>
      <c r="O1006" s="754">
        <v>92.672691349999994</v>
      </c>
      <c r="P1006" s="754" t="s">
        <v>813</v>
      </c>
      <c r="Q1006" s="754" t="s">
        <v>794</v>
      </c>
      <c r="R1006" s="763"/>
      <c r="S1006" s="764"/>
      <c r="T1006" s="783" t="s">
        <v>794</v>
      </c>
      <c r="U1006" s="765"/>
      <c r="V1006" s="754"/>
      <c r="W1006" s="763"/>
      <c r="X1006" s="17"/>
      <c r="Z1006" s="17"/>
    </row>
    <row r="1007" spans="1:26" ht="14.25" customHeight="1">
      <c r="A1007" s="767" t="s">
        <v>3005</v>
      </c>
      <c r="B1007" s="792" t="s">
        <v>355</v>
      </c>
      <c r="C1007" s="793" t="s">
        <v>545</v>
      </c>
      <c r="D1007" s="761"/>
      <c r="E1007" s="754">
        <v>197675</v>
      </c>
      <c r="F1007" s="754"/>
      <c r="G1007" s="754"/>
      <c r="H1007" s="754"/>
      <c r="I1007" s="754"/>
      <c r="J1007" s="754" t="s">
        <v>3017</v>
      </c>
      <c r="K1007" s="754" t="s">
        <v>2935</v>
      </c>
      <c r="L1007" s="754" t="s">
        <v>2935</v>
      </c>
      <c r="M1007" s="754" t="s">
        <v>312</v>
      </c>
      <c r="N1007" s="754">
        <v>20.670539860000002</v>
      </c>
      <c r="O1007" s="754">
        <v>92.703033450000007</v>
      </c>
      <c r="P1007" s="754" t="s">
        <v>813</v>
      </c>
      <c r="Q1007" s="754"/>
      <c r="R1007" s="771"/>
      <c r="S1007" s="764"/>
      <c r="T1007" s="783">
        <v>43591</v>
      </c>
      <c r="U1007" s="771"/>
      <c r="V1007" s="754"/>
      <c r="W1007" s="763"/>
      <c r="X1007" s="17"/>
      <c r="Z1007" s="17"/>
    </row>
    <row r="1008" spans="1:26" ht="14.25" customHeight="1">
      <c r="A1008" s="754" t="s">
        <v>3005</v>
      </c>
      <c r="B1008" s="781" t="s">
        <v>355</v>
      </c>
      <c r="C1008" s="780" t="s">
        <v>494</v>
      </c>
      <c r="D1008" s="637" t="s">
        <v>1693</v>
      </c>
      <c r="E1008" s="754">
        <v>197632</v>
      </c>
      <c r="F1008" s="754"/>
      <c r="G1008" s="754"/>
      <c r="H1008" s="754"/>
      <c r="I1008" s="754"/>
      <c r="J1008" s="754" t="s">
        <v>812</v>
      </c>
      <c r="K1008" s="754" t="s">
        <v>812</v>
      </c>
      <c r="L1008" s="754" t="s">
        <v>812</v>
      </c>
      <c r="M1008" s="754" t="s">
        <v>312</v>
      </c>
      <c r="N1008" s="754">
        <v>20.469949719999999</v>
      </c>
      <c r="O1008" s="754">
        <v>92.676437379999996</v>
      </c>
      <c r="P1008" s="754" t="s">
        <v>813</v>
      </c>
      <c r="Q1008" s="754" t="s">
        <v>816</v>
      </c>
      <c r="R1008" s="763"/>
      <c r="S1008" s="764"/>
      <c r="T1008" s="783">
        <v>42926</v>
      </c>
      <c r="U1008" s="765" t="s">
        <v>817</v>
      </c>
      <c r="V1008" s="754"/>
      <c r="W1008" s="763"/>
      <c r="X1008" s="17"/>
      <c r="Z1008" s="17"/>
    </row>
    <row r="1009" spans="1:26" ht="14.25" customHeight="1">
      <c r="A1009" s="754" t="s">
        <v>312</v>
      </c>
      <c r="B1009" s="781" t="s">
        <v>343</v>
      </c>
      <c r="C1009" s="780" t="s">
        <v>402</v>
      </c>
      <c r="D1009" s="637" t="s">
        <v>1693</v>
      </c>
      <c r="E1009" s="754">
        <v>199157</v>
      </c>
      <c r="F1009" s="754"/>
      <c r="G1009" s="754"/>
      <c r="H1009" s="754"/>
      <c r="I1009" s="754"/>
      <c r="J1009" s="754" t="s">
        <v>818</v>
      </c>
      <c r="K1009" s="754" t="s">
        <v>812</v>
      </c>
      <c r="L1009" s="754" t="s">
        <v>818</v>
      </c>
      <c r="M1009" s="754" t="s">
        <v>821</v>
      </c>
      <c r="N1009" s="754">
        <v>19.726810459999999</v>
      </c>
      <c r="O1009" s="754">
        <v>94.028686519999994</v>
      </c>
      <c r="P1009" s="754" t="s">
        <v>937</v>
      </c>
      <c r="Q1009" s="754" t="s">
        <v>794</v>
      </c>
      <c r="R1009" s="763"/>
      <c r="S1009" s="764"/>
      <c r="T1009" s="783" t="s">
        <v>819</v>
      </c>
      <c r="U1009" s="765"/>
      <c r="V1009" s="754" t="s">
        <v>402</v>
      </c>
      <c r="W1009" s="754"/>
      <c r="X1009" s="17"/>
      <c r="Z1009" s="17"/>
    </row>
    <row r="1010" spans="1:26" ht="14.25" customHeight="1">
      <c r="A1010" s="754" t="s">
        <v>312</v>
      </c>
      <c r="B1010" s="781" t="s">
        <v>343</v>
      </c>
      <c r="C1010" s="780" t="s">
        <v>414</v>
      </c>
      <c r="D1010" s="637" t="s">
        <v>1693</v>
      </c>
      <c r="E1010" s="754">
        <v>199233</v>
      </c>
      <c r="F1010" s="754"/>
      <c r="G1010" s="754"/>
      <c r="H1010" s="754"/>
      <c r="I1010" s="754"/>
      <c r="J1010" s="754" t="s">
        <v>818</v>
      </c>
      <c r="K1010" s="754" t="s">
        <v>812</v>
      </c>
      <c r="L1010" s="754" t="s">
        <v>818</v>
      </c>
      <c r="M1010" s="754" t="s">
        <v>312</v>
      </c>
      <c r="N1010" s="754">
        <v>19.994710919999999</v>
      </c>
      <c r="O1010" s="754">
        <v>93.836921689999997</v>
      </c>
      <c r="P1010" s="754" t="s">
        <v>937</v>
      </c>
      <c r="Q1010" s="754" t="s">
        <v>794</v>
      </c>
      <c r="R1010" s="763"/>
      <c r="S1010" s="764"/>
      <c r="T1010" s="783" t="s">
        <v>819</v>
      </c>
      <c r="U1010" s="765"/>
      <c r="V1010" s="754" t="s">
        <v>414</v>
      </c>
      <c r="W1010" s="754"/>
      <c r="X1010" s="17"/>
      <c r="Z1010" s="17"/>
    </row>
    <row r="1011" spans="1:26" ht="14.25" customHeight="1">
      <c r="A1011" s="754" t="s">
        <v>312</v>
      </c>
      <c r="B1011" s="781" t="s">
        <v>343</v>
      </c>
      <c r="C1011" s="780" t="s">
        <v>409</v>
      </c>
      <c r="D1011" s="637" t="s">
        <v>1693</v>
      </c>
      <c r="E1011" s="754">
        <v>199235</v>
      </c>
      <c r="F1011" s="754"/>
      <c r="G1011" s="754"/>
      <c r="H1011" s="754"/>
      <c r="I1011" s="754"/>
      <c r="J1011" s="754" t="s">
        <v>818</v>
      </c>
      <c r="K1011" s="754" t="s">
        <v>812</v>
      </c>
      <c r="L1011" s="754" t="s">
        <v>818</v>
      </c>
      <c r="M1011" s="754" t="s">
        <v>312</v>
      </c>
      <c r="N1011" s="754">
        <v>19.98567963</v>
      </c>
      <c r="O1011" s="754">
        <v>93.843322749999999</v>
      </c>
      <c r="P1011" s="754" t="s">
        <v>937</v>
      </c>
      <c r="Q1011" s="754" t="s">
        <v>794</v>
      </c>
      <c r="R1011" s="763"/>
      <c r="S1011" s="764"/>
      <c r="T1011" s="783" t="s">
        <v>819</v>
      </c>
      <c r="U1011" s="765"/>
      <c r="V1011" s="754" t="s">
        <v>409</v>
      </c>
      <c r="W1011" s="754"/>
      <c r="X1011" s="17"/>
      <c r="Z1011" s="17"/>
    </row>
    <row r="1012" spans="1:26" ht="14.25" customHeight="1">
      <c r="A1012" s="754" t="s">
        <v>312</v>
      </c>
      <c r="B1012" s="781" t="s">
        <v>343</v>
      </c>
      <c r="C1012" s="780" t="s">
        <v>411</v>
      </c>
      <c r="D1012" s="637" t="s">
        <v>1693</v>
      </c>
      <c r="E1012" s="754">
        <v>199236</v>
      </c>
      <c r="F1012" s="754"/>
      <c r="G1012" s="754"/>
      <c r="H1012" s="754"/>
      <c r="I1012" s="754"/>
      <c r="J1012" s="754" t="s">
        <v>818</v>
      </c>
      <c r="K1012" s="754" t="s">
        <v>812</v>
      </c>
      <c r="L1012" s="754" t="s">
        <v>818</v>
      </c>
      <c r="M1012" s="754" t="s">
        <v>312</v>
      </c>
      <c r="N1012" s="754">
        <v>19.98868942</v>
      </c>
      <c r="O1012" s="754">
        <v>93.842460630000005</v>
      </c>
      <c r="P1012" s="754" t="s">
        <v>937</v>
      </c>
      <c r="Q1012" s="754" t="s">
        <v>794</v>
      </c>
      <c r="R1012" s="763"/>
      <c r="S1012" s="764"/>
      <c r="T1012" s="783" t="s">
        <v>819</v>
      </c>
      <c r="U1012" s="765"/>
      <c r="V1012" s="754" t="s">
        <v>411</v>
      </c>
      <c r="W1012" s="754"/>
      <c r="X1012" s="17"/>
      <c r="Z1012" s="17"/>
    </row>
    <row r="1013" spans="1:26" ht="14.25" customHeight="1">
      <c r="A1013" s="754" t="s">
        <v>312</v>
      </c>
      <c r="B1013" s="781" t="s">
        <v>343</v>
      </c>
      <c r="C1013" s="780" t="s">
        <v>391</v>
      </c>
      <c r="D1013" s="637" t="s">
        <v>1693</v>
      </c>
      <c r="E1013" s="754">
        <v>199264</v>
      </c>
      <c r="F1013" s="754"/>
      <c r="G1013" s="754"/>
      <c r="H1013" s="754"/>
      <c r="I1013" s="754"/>
      <c r="J1013" s="754" t="s">
        <v>818</v>
      </c>
      <c r="K1013" s="754" t="s">
        <v>812</v>
      </c>
      <c r="L1013" s="754" t="s">
        <v>818</v>
      </c>
      <c r="M1013" s="754" t="s">
        <v>312</v>
      </c>
      <c r="N1013" s="754">
        <v>19.61097908</v>
      </c>
      <c r="O1013" s="754">
        <v>93.984741209999996</v>
      </c>
      <c r="P1013" s="754" t="s">
        <v>937</v>
      </c>
      <c r="Q1013" s="754" t="s">
        <v>794</v>
      </c>
      <c r="R1013" s="763"/>
      <c r="S1013" s="764"/>
      <c r="T1013" s="783" t="s">
        <v>819</v>
      </c>
      <c r="U1013" s="765"/>
      <c r="V1013" s="754" t="s">
        <v>391</v>
      </c>
      <c r="W1013" s="754"/>
      <c r="X1013" s="17"/>
      <c r="Z1013" s="17"/>
    </row>
    <row r="1014" spans="1:26" ht="14.25" customHeight="1">
      <c r="A1014" s="754" t="s">
        <v>312</v>
      </c>
      <c r="B1014" s="781" t="s">
        <v>343</v>
      </c>
      <c r="C1014" s="780" t="s">
        <v>400</v>
      </c>
      <c r="D1014" s="637" t="s">
        <v>1693</v>
      </c>
      <c r="E1014" s="754">
        <v>199159</v>
      </c>
      <c r="F1014" s="754"/>
      <c r="G1014" s="754"/>
      <c r="H1014" s="754"/>
      <c r="I1014" s="754"/>
      <c r="J1014" s="754" t="s">
        <v>818</v>
      </c>
      <c r="K1014" s="754" t="s">
        <v>812</v>
      </c>
      <c r="L1014" s="754" t="s">
        <v>818</v>
      </c>
      <c r="M1014" s="754" t="s">
        <v>312</v>
      </c>
      <c r="N1014" s="754">
        <v>19.721389769999998</v>
      </c>
      <c r="O1014" s="754">
        <v>94.019851680000002</v>
      </c>
      <c r="P1014" s="754" t="s">
        <v>937</v>
      </c>
      <c r="Q1014" s="754" t="s">
        <v>794</v>
      </c>
      <c r="R1014" s="763"/>
      <c r="S1014" s="764"/>
      <c r="T1014" s="783" t="s">
        <v>819</v>
      </c>
      <c r="U1014" s="765"/>
      <c r="V1014" s="754" t="s">
        <v>400</v>
      </c>
      <c r="W1014" s="754"/>
      <c r="X1014" s="17"/>
      <c r="Z1014" s="17"/>
    </row>
    <row r="1015" spans="1:26" ht="14.25" customHeight="1">
      <c r="A1015" s="754" t="s">
        <v>312</v>
      </c>
      <c r="B1015" s="781" t="s">
        <v>343</v>
      </c>
      <c r="C1015" s="633" t="s">
        <v>415</v>
      </c>
      <c r="D1015" s="637" t="s">
        <v>1693</v>
      </c>
      <c r="E1015" s="754">
        <v>199240</v>
      </c>
      <c r="F1015" s="754"/>
      <c r="G1015" s="754"/>
      <c r="H1015" s="754"/>
      <c r="I1015" s="754"/>
      <c r="J1015" s="754" t="s">
        <v>818</v>
      </c>
      <c r="K1015" s="754" t="s">
        <v>812</v>
      </c>
      <c r="L1015" s="754" t="s">
        <v>818</v>
      </c>
      <c r="M1015" s="754" t="s">
        <v>312</v>
      </c>
      <c r="N1015" s="754">
        <v>20.008769990000001</v>
      </c>
      <c r="O1015" s="754">
        <v>93.816879270000001</v>
      </c>
      <c r="P1015" s="754" t="s">
        <v>937</v>
      </c>
      <c r="Q1015" s="754" t="s">
        <v>794</v>
      </c>
      <c r="R1015" s="763"/>
      <c r="S1015" s="764"/>
      <c r="T1015" s="783" t="s">
        <v>819</v>
      </c>
      <c r="U1015" s="765"/>
      <c r="V1015" s="570" t="s">
        <v>415</v>
      </c>
      <c r="W1015" s="754"/>
      <c r="X1015" s="130"/>
      <c r="Z1015" s="17"/>
    </row>
    <row r="1016" spans="1:26" ht="14.25" customHeight="1">
      <c r="A1016" s="754" t="s">
        <v>312</v>
      </c>
      <c r="B1016" s="781" t="s">
        <v>343</v>
      </c>
      <c r="C1016" s="781" t="s">
        <v>407</v>
      </c>
      <c r="D1016" s="637" t="s">
        <v>1693</v>
      </c>
      <c r="E1016" s="754">
        <v>199134</v>
      </c>
      <c r="F1016" s="754"/>
      <c r="G1016" s="754"/>
      <c r="H1016" s="754"/>
      <c r="I1016" s="754"/>
      <c r="J1016" s="754" t="s">
        <v>818</v>
      </c>
      <c r="K1016" s="754" t="s">
        <v>812</v>
      </c>
      <c r="L1016" s="754" t="s">
        <v>818</v>
      </c>
      <c r="M1016" s="754" t="s">
        <v>825</v>
      </c>
      <c r="N1016" s="754">
        <v>19.95569038</v>
      </c>
      <c r="O1016" s="754">
        <v>93.80155182</v>
      </c>
      <c r="P1016" s="754" t="s">
        <v>937</v>
      </c>
      <c r="Q1016" s="754" t="s">
        <v>794</v>
      </c>
      <c r="R1016" s="763"/>
      <c r="S1016" s="764"/>
      <c r="T1016" s="783" t="s">
        <v>819</v>
      </c>
      <c r="U1016" s="765"/>
      <c r="V1016" s="754" t="s">
        <v>826</v>
      </c>
      <c r="W1016" s="754"/>
      <c r="X1016" s="130"/>
      <c r="Z1016" s="17"/>
    </row>
    <row r="1017" spans="1:26" ht="14.25" customHeight="1">
      <c r="A1017" s="754" t="s">
        <v>312</v>
      </c>
      <c r="B1017" s="781" t="s">
        <v>343</v>
      </c>
      <c r="C1017" s="781" t="s">
        <v>399</v>
      </c>
      <c r="D1017" s="637" t="s">
        <v>1693</v>
      </c>
      <c r="E1017" s="754">
        <v>199161</v>
      </c>
      <c r="F1017" s="754"/>
      <c r="G1017" s="754"/>
      <c r="H1017" s="754"/>
      <c r="I1017" s="754"/>
      <c r="J1017" s="754" t="s">
        <v>818</v>
      </c>
      <c r="K1017" s="754" t="s">
        <v>812</v>
      </c>
      <c r="L1017" s="754" t="s">
        <v>818</v>
      </c>
      <c r="M1017" s="754" t="s">
        <v>821</v>
      </c>
      <c r="N1017" s="754">
        <v>19.70627975</v>
      </c>
      <c r="O1017" s="754">
        <v>94.016433719999995</v>
      </c>
      <c r="P1017" s="754" t="s">
        <v>937</v>
      </c>
      <c r="Q1017" s="754" t="s">
        <v>794</v>
      </c>
      <c r="R1017" s="763"/>
      <c r="S1017" s="764"/>
      <c r="T1017" s="783" t="s">
        <v>819</v>
      </c>
      <c r="U1017" s="765"/>
      <c r="V1017" s="754" t="s">
        <v>399</v>
      </c>
      <c r="W1017" s="754"/>
      <c r="X1017" s="130"/>
      <c r="Z1017" s="17"/>
    </row>
    <row r="1018" spans="1:26" ht="14.25" customHeight="1">
      <c r="A1018" s="754" t="s">
        <v>312</v>
      </c>
      <c r="B1018" s="781" t="s">
        <v>343</v>
      </c>
      <c r="C1018" s="781" t="s">
        <v>394</v>
      </c>
      <c r="D1018" s="637" t="s">
        <v>1693</v>
      </c>
      <c r="E1018" s="754">
        <v>199266</v>
      </c>
      <c r="F1018" s="754"/>
      <c r="G1018" s="754"/>
      <c r="H1018" s="754"/>
      <c r="I1018" s="754"/>
      <c r="J1018" s="754" t="s">
        <v>818</v>
      </c>
      <c r="K1018" s="754" t="s">
        <v>812</v>
      </c>
      <c r="L1018" s="754" t="s">
        <v>818</v>
      </c>
      <c r="M1018" s="754" t="s">
        <v>821</v>
      </c>
      <c r="N1018" s="754">
        <v>19.6192894</v>
      </c>
      <c r="O1018" s="754">
        <v>93.95968628</v>
      </c>
      <c r="P1018" s="754" t="s">
        <v>937</v>
      </c>
      <c r="Q1018" s="754" t="s">
        <v>794</v>
      </c>
      <c r="R1018" s="763"/>
      <c r="S1018" s="764"/>
      <c r="T1018" s="783" t="s">
        <v>819</v>
      </c>
      <c r="U1018" s="765"/>
      <c r="V1018" s="754" t="s">
        <v>394</v>
      </c>
      <c r="W1018" s="754"/>
      <c r="X1018" s="130"/>
      <c r="Z1018" s="17"/>
    </row>
    <row r="1019" spans="1:26" ht="14.25" customHeight="1">
      <c r="A1019" s="754" t="s">
        <v>312</v>
      </c>
      <c r="B1019" s="781" t="s">
        <v>343</v>
      </c>
      <c r="C1019" s="781" t="s">
        <v>389</v>
      </c>
      <c r="D1019" s="637" t="s">
        <v>1693</v>
      </c>
      <c r="E1019" s="754">
        <v>199191</v>
      </c>
      <c r="F1019" s="766"/>
      <c r="G1019" s="754"/>
      <c r="H1019" s="754"/>
      <c r="I1019" s="754"/>
      <c r="J1019" s="754" t="s">
        <v>818</v>
      </c>
      <c r="K1019" s="754" t="s">
        <v>812</v>
      </c>
      <c r="L1019" s="754" t="s">
        <v>818</v>
      </c>
      <c r="M1019" s="754" t="s">
        <v>312</v>
      </c>
      <c r="N1019" s="754">
        <v>19.484790799999999</v>
      </c>
      <c r="O1019" s="754">
        <v>94.007926940000004</v>
      </c>
      <c r="P1019" s="754" t="s">
        <v>937</v>
      </c>
      <c r="Q1019" s="754" t="s">
        <v>794</v>
      </c>
      <c r="R1019" s="763"/>
      <c r="S1019" s="764"/>
      <c r="T1019" s="783" t="s">
        <v>819</v>
      </c>
      <c r="U1019" s="765"/>
      <c r="V1019" s="754" t="s">
        <v>389</v>
      </c>
      <c r="W1019" s="754"/>
      <c r="X1019" s="130"/>
      <c r="Z1019" s="17"/>
    </row>
    <row r="1020" spans="1:26" ht="14.25" customHeight="1">
      <c r="A1020" s="754" t="s">
        <v>312</v>
      </c>
      <c r="B1020" s="781" t="s">
        <v>343</v>
      </c>
      <c r="C1020" s="781" t="s">
        <v>344</v>
      </c>
      <c r="D1020" s="637" t="s">
        <v>1693</v>
      </c>
      <c r="E1020" s="754"/>
      <c r="F1020" s="760"/>
      <c r="G1020" s="754"/>
      <c r="H1020" s="754"/>
      <c r="I1020" s="754"/>
      <c r="J1020" s="754" t="s">
        <v>818</v>
      </c>
      <c r="K1020" s="754" t="s">
        <v>812</v>
      </c>
      <c r="L1020" s="754" t="s">
        <v>818</v>
      </c>
      <c r="M1020" s="754" t="s">
        <v>825</v>
      </c>
      <c r="N1020" s="754"/>
      <c r="O1020" s="754"/>
      <c r="P1020" s="754" t="s">
        <v>937</v>
      </c>
      <c r="Q1020" s="754" t="s">
        <v>794</v>
      </c>
      <c r="R1020" s="763"/>
      <c r="S1020" s="764"/>
      <c r="T1020" s="783" t="s">
        <v>819</v>
      </c>
      <c r="U1020" s="765"/>
      <c r="V1020" s="754" t="s">
        <v>344</v>
      </c>
      <c r="W1020" s="754"/>
      <c r="X1020" s="130"/>
      <c r="Z1020" s="17"/>
    </row>
    <row r="1021" spans="1:26" ht="14.25" customHeight="1">
      <c r="A1021" s="754" t="s">
        <v>312</v>
      </c>
      <c r="B1021" s="781" t="s">
        <v>343</v>
      </c>
      <c r="C1021" s="781" t="s">
        <v>412</v>
      </c>
      <c r="D1021" s="637" t="s">
        <v>1693</v>
      </c>
      <c r="E1021" s="754">
        <v>199250</v>
      </c>
      <c r="F1021" s="754"/>
      <c r="G1021" s="754"/>
      <c r="H1021" s="754"/>
      <c r="I1021" s="754"/>
      <c r="J1021" s="754" t="s">
        <v>818</v>
      </c>
      <c r="K1021" s="754" t="s">
        <v>812</v>
      </c>
      <c r="L1021" s="754" t="s">
        <v>818</v>
      </c>
      <c r="M1021" s="754" t="s">
        <v>312</v>
      </c>
      <c r="N1021" s="754">
        <v>19.989589689999999</v>
      </c>
      <c r="O1021" s="754">
        <v>93.823867800000002</v>
      </c>
      <c r="P1021" s="754" t="s">
        <v>937</v>
      </c>
      <c r="Q1021" s="754" t="s">
        <v>794</v>
      </c>
      <c r="R1021" s="763"/>
      <c r="S1021" s="764"/>
      <c r="T1021" s="783" t="s">
        <v>819</v>
      </c>
      <c r="U1021" s="765"/>
      <c r="V1021" s="754" t="s">
        <v>828</v>
      </c>
      <c r="W1021" s="754"/>
      <c r="X1021" s="130"/>
      <c r="Z1021" s="17"/>
    </row>
    <row r="1022" spans="1:26" ht="14.25" customHeight="1">
      <c r="A1022" s="754" t="s">
        <v>312</v>
      </c>
      <c r="B1022" s="781" t="s">
        <v>343</v>
      </c>
      <c r="C1022" s="781" t="s">
        <v>401</v>
      </c>
      <c r="D1022" s="637" t="s">
        <v>1693</v>
      </c>
      <c r="E1022" s="754">
        <v>199158</v>
      </c>
      <c r="F1022" s="754"/>
      <c r="G1022" s="754"/>
      <c r="H1022" s="754"/>
      <c r="I1022" s="754"/>
      <c r="J1022" s="754" t="s">
        <v>818</v>
      </c>
      <c r="K1022" s="754" t="s">
        <v>812</v>
      </c>
      <c r="L1022" s="754" t="s">
        <v>818</v>
      </c>
      <c r="M1022" s="754" t="s">
        <v>312</v>
      </c>
      <c r="N1022" s="754">
        <v>19.725629810000001</v>
      </c>
      <c r="O1022" s="754">
        <v>94.03105927</v>
      </c>
      <c r="P1022" s="754" t="s">
        <v>937</v>
      </c>
      <c r="Q1022" s="754" t="s">
        <v>794</v>
      </c>
      <c r="R1022" s="763"/>
      <c r="S1022" s="764"/>
      <c r="T1022" s="783" t="s">
        <v>819</v>
      </c>
      <c r="U1022" s="765"/>
      <c r="V1022" s="754" t="s">
        <v>822</v>
      </c>
      <c r="W1022" s="754"/>
      <c r="X1022" s="130"/>
      <c r="Z1022" s="17"/>
    </row>
    <row r="1023" spans="1:26" ht="14.25" customHeight="1">
      <c r="A1023" s="754" t="s">
        <v>312</v>
      </c>
      <c r="B1023" s="781" t="s">
        <v>343</v>
      </c>
      <c r="C1023" s="781" t="s">
        <v>390</v>
      </c>
      <c r="D1023" s="637" t="s">
        <v>1693</v>
      </c>
      <c r="E1023" s="754">
        <v>199195</v>
      </c>
      <c r="F1023" s="754"/>
      <c r="G1023" s="754"/>
      <c r="H1023" s="754"/>
      <c r="I1023" s="754"/>
      <c r="J1023" s="754" t="s">
        <v>818</v>
      </c>
      <c r="K1023" s="754" t="s">
        <v>812</v>
      </c>
      <c r="L1023" s="754" t="s">
        <v>818</v>
      </c>
      <c r="M1023" s="754" t="s">
        <v>312</v>
      </c>
      <c r="N1023" s="754">
        <v>19.591590879999998</v>
      </c>
      <c r="O1023" s="754">
        <v>93.80825806</v>
      </c>
      <c r="P1023" s="754" t="s">
        <v>937</v>
      </c>
      <c r="Q1023" s="754" t="s">
        <v>794</v>
      </c>
      <c r="R1023" s="763"/>
      <c r="S1023" s="764"/>
      <c r="T1023" s="783">
        <v>42745</v>
      </c>
      <c r="U1023" s="765"/>
      <c r="V1023" s="754"/>
      <c r="W1023" s="754"/>
      <c r="X1023" s="130"/>
      <c r="Z1023" s="17"/>
    </row>
    <row r="1024" spans="1:26" ht="14.25" customHeight="1">
      <c r="A1024" s="754" t="s">
        <v>312</v>
      </c>
      <c r="B1024" s="781" t="s">
        <v>343</v>
      </c>
      <c r="C1024" s="781" t="s">
        <v>396</v>
      </c>
      <c r="D1024" s="637" t="s">
        <v>1693</v>
      </c>
      <c r="E1024" s="754">
        <v>199223</v>
      </c>
      <c r="F1024" s="754"/>
      <c r="G1024" s="754"/>
      <c r="H1024" s="754"/>
      <c r="I1024" s="754"/>
      <c r="J1024" s="754" t="s">
        <v>818</v>
      </c>
      <c r="K1024" s="754" t="s">
        <v>812</v>
      </c>
      <c r="L1024" s="754" t="s">
        <v>818</v>
      </c>
      <c r="M1024" s="754" t="s">
        <v>821</v>
      </c>
      <c r="N1024" s="754">
        <v>19.639009479999999</v>
      </c>
      <c r="O1024" s="754">
        <v>94.036079409999999</v>
      </c>
      <c r="P1024" s="754" t="s">
        <v>937</v>
      </c>
      <c r="Q1024" s="754" t="s">
        <v>794</v>
      </c>
      <c r="R1024" s="763"/>
      <c r="S1024" s="764"/>
      <c r="T1024" s="783" t="s">
        <v>819</v>
      </c>
      <c r="U1024" s="765"/>
      <c r="V1024" s="754" t="s">
        <v>396</v>
      </c>
      <c r="W1024" s="754"/>
      <c r="X1024" s="130"/>
      <c r="Z1024" s="17"/>
    </row>
    <row r="1025" spans="1:26" ht="14.25" customHeight="1">
      <c r="A1025" s="754" t="s">
        <v>312</v>
      </c>
      <c r="B1025" s="781" t="s">
        <v>343</v>
      </c>
      <c r="C1025" s="781" t="s">
        <v>403</v>
      </c>
      <c r="D1025" s="637" t="s">
        <v>1693</v>
      </c>
      <c r="E1025" s="754">
        <v>199160</v>
      </c>
      <c r="F1025" s="754"/>
      <c r="G1025" s="754"/>
      <c r="H1025" s="754"/>
      <c r="I1025" s="754"/>
      <c r="J1025" s="754" t="s">
        <v>818</v>
      </c>
      <c r="K1025" s="754" t="s">
        <v>812</v>
      </c>
      <c r="L1025" s="754" t="s">
        <v>818</v>
      </c>
      <c r="M1025" s="754" t="s">
        <v>312</v>
      </c>
      <c r="N1025" s="754">
        <v>19.738719939999999</v>
      </c>
      <c r="O1025" s="754">
        <v>94.03549194</v>
      </c>
      <c r="P1025" s="754" t="s">
        <v>937</v>
      </c>
      <c r="Q1025" s="754" t="s">
        <v>794</v>
      </c>
      <c r="R1025" s="763"/>
      <c r="S1025" s="764"/>
      <c r="T1025" s="783" t="s">
        <v>819</v>
      </c>
      <c r="U1025" s="765"/>
      <c r="V1025" s="754" t="s">
        <v>403</v>
      </c>
      <c r="W1025" s="754"/>
      <c r="X1025" s="130"/>
      <c r="Z1025" s="17"/>
    </row>
    <row r="1026" spans="1:26" ht="14.25" customHeight="1">
      <c r="A1026" s="754" t="s">
        <v>312</v>
      </c>
      <c r="B1026" s="781" t="s">
        <v>343</v>
      </c>
      <c r="C1026" s="781" t="s">
        <v>397</v>
      </c>
      <c r="D1026" s="637" t="s">
        <v>1693</v>
      </c>
      <c r="E1026" s="754">
        <v>199218</v>
      </c>
      <c r="F1026" s="754"/>
      <c r="G1026" s="754"/>
      <c r="H1026" s="754"/>
      <c r="I1026" s="754"/>
      <c r="J1026" s="754" t="s">
        <v>818</v>
      </c>
      <c r="K1026" s="754" t="s">
        <v>812</v>
      </c>
      <c r="L1026" s="754" t="s">
        <v>818</v>
      </c>
      <c r="M1026" s="754" t="s">
        <v>312</v>
      </c>
      <c r="N1026" s="754">
        <v>19.646549220000001</v>
      </c>
      <c r="O1026" s="754">
        <v>94.004188540000001</v>
      </c>
      <c r="P1026" s="754" t="s">
        <v>937</v>
      </c>
      <c r="Q1026" s="754" t="s">
        <v>794</v>
      </c>
      <c r="R1026" s="767"/>
      <c r="S1026" s="768"/>
      <c r="T1026" s="783" t="s">
        <v>819</v>
      </c>
      <c r="U1026" s="765"/>
      <c r="V1026" s="754" t="s">
        <v>397</v>
      </c>
      <c r="W1026" s="754"/>
      <c r="X1026" s="130"/>
      <c r="Z1026" s="17"/>
    </row>
    <row r="1027" spans="1:26" ht="14.25" customHeight="1">
      <c r="A1027" s="754" t="s">
        <v>312</v>
      </c>
      <c r="B1027" s="781" t="s">
        <v>343</v>
      </c>
      <c r="C1027" s="781" t="s">
        <v>413</v>
      </c>
      <c r="D1027" s="637" t="s">
        <v>1693</v>
      </c>
      <c r="E1027" s="754">
        <v>199248</v>
      </c>
      <c r="F1027" s="754"/>
      <c r="G1027" s="754"/>
      <c r="H1027" s="754"/>
      <c r="I1027" s="754"/>
      <c r="J1027" s="754" t="s">
        <v>818</v>
      </c>
      <c r="K1027" s="760" t="s">
        <v>812</v>
      </c>
      <c r="L1027" s="760" t="s">
        <v>818</v>
      </c>
      <c r="M1027" s="754" t="s">
        <v>821</v>
      </c>
      <c r="N1027" s="754">
        <v>19.991359710000001</v>
      </c>
      <c r="O1027" s="754">
        <v>93.834663390000003</v>
      </c>
      <c r="P1027" s="754" t="s">
        <v>937</v>
      </c>
      <c r="Q1027" s="754" t="s">
        <v>794</v>
      </c>
      <c r="R1027" s="763"/>
      <c r="S1027" s="764"/>
      <c r="T1027" s="783" t="s">
        <v>819</v>
      </c>
      <c r="U1027" s="765"/>
      <c r="V1027" s="754" t="s">
        <v>413</v>
      </c>
      <c r="W1027" s="754"/>
      <c r="X1027" s="130"/>
      <c r="Z1027" s="17"/>
    </row>
    <row r="1028" spans="1:26" ht="14.25" customHeight="1">
      <c r="A1028" s="754" t="s">
        <v>312</v>
      </c>
      <c r="B1028" s="781" t="s">
        <v>343</v>
      </c>
      <c r="C1028" s="781" t="s">
        <v>404</v>
      </c>
      <c r="D1028" s="637" t="s">
        <v>1693</v>
      </c>
      <c r="E1028" s="754">
        <v>199137</v>
      </c>
      <c r="F1028" s="760"/>
      <c r="G1028" s="754"/>
      <c r="H1028" s="754"/>
      <c r="I1028" s="754"/>
      <c r="J1028" s="754" t="s">
        <v>818</v>
      </c>
      <c r="K1028" s="754" t="s">
        <v>812</v>
      </c>
      <c r="L1028" s="754" t="s">
        <v>818</v>
      </c>
      <c r="M1028" s="754" t="s">
        <v>312</v>
      </c>
      <c r="N1028" s="754">
        <v>19.904430390000002</v>
      </c>
      <c r="O1028" s="754">
        <v>93.79277802</v>
      </c>
      <c r="P1028" s="754" t="s">
        <v>937</v>
      </c>
      <c r="Q1028" s="754" t="s">
        <v>794</v>
      </c>
      <c r="R1028" s="763"/>
      <c r="S1028" s="764"/>
      <c r="T1028" s="783" t="s">
        <v>819</v>
      </c>
      <c r="U1028" s="765"/>
      <c r="V1028" s="754" t="s">
        <v>404</v>
      </c>
      <c r="W1028" s="754"/>
      <c r="X1028" s="130"/>
      <c r="Z1028" s="17"/>
    </row>
    <row r="1029" spans="1:26" ht="14.25" customHeight="1">
      <c r="A1029" s="754" t="s">
        <v>312</v>
      </c>
      <c r="B1029" s="781" t="s">
        <v>343</v>
      </c>
      <c r="C1029" s="781" t="s">
        <v>406</v>
      </c>
      <c r="D1029" s="637" t="s">
        <v>1693</v>
      </c>
      <c r="E1029" s="754">
        <v>199135</v>
      </c>
      <c r="F1029" s="754"/>
      <c r="G1029" s="754"/>
      <c r="H1029" s="754"/>
      <c r="I1029" s="754"/>
      <c r="J1029" s="754" t="s">
        <v>818</v>
      </c>
      <c r="K1029" s="754" t="s">
        <v>812</v>
      </c>
      <c r="L1029" s="754" t="s">
        <v>818</v>
      </c>
      <c r="M1029" s="754" t="s">
        <v>821</v>
      </c>
      <c r="N1029" s="754">
        <v>19.930080409999999</v>
      </c>
      <c r="O1029" s="754">
        <v>93.787002560000005</v>
      </c>
      <c r="P1029" s="754" t="s">
        <v>937</v>
      </c>
      <c r="Q1029" s="754" t="s">
        <v>794</v>
      </c>
      <c r="R1029" s="763"/>
      <c r="S1029" s="764"/>
      <c r="T1029" s="783" t="s">
        <v>819</v>
      </c>
      <c r="U1029" s="765"/>
      <c r="V1029" s="754" t="s">
        <v>406</v>
      </c>
      <c r="W1029" s="754"/>
      <c r="X1029" s="130"/>
      <c r="Z1029" s="17"/>
    </row>
    <row r="1030" spans="1:26" ht="14.25" customHeight="1">
      <c r="A1030" s="781" t="s">
        <v>312</v>
      </c>
      <c r="B1030" s="781" t="s">
        <v>343</v>
      </c>
      <c r="C1030" s="781" t="s">
        <v>392</v>
      </c>
      <c r="D1030" s="637" t="s">
        <v>1693</v>
      </c>
      <c r="E1030" s="754">
        <v>199261</v>
      </c>
      <c r="F1030" s="754"/>
      <c r="G1030" s="754"/>
      <c r="H1030" s="754"/>
      <c r="I1030" s="754"/>
      <c r="J1030" s="754" t="s">
        <v>818</v>
      </c>
      <c r="K1030" s="754" t="s">
        <v>812</v>
      </c>
      <c r="L1030" s="754" t="s">
        <v>818</v>
      </c>
      <c r="M1030" s="754" t="s">
        <v>312</v>
      </c>
      <c r="N1030" s="754">
        <v>19.61120987</v>
      </c>
      <c r="O1030" s="754">
        <v>93.995933530000002</v>
      </c>
      <c r="P1030" s="754" t="s">
        <v>937</v>
      </c>
      <c r="Q1030" s="754" t="s">
        <v>794</v>
      </c>
      <c r="R1030" s="763"/>
      <c r="S1030" s="764"/>
      <c r="T1030" s="783" t="s">
        <v>819</v>
      </c>
      <c r="U1030" s="765"/>
      <c r="V1030" s="754" t="s">
        <v>820</v>
      </c>
      <c r="W1030" s="754"/>
    </row>
    <row r="1031" spans="1:26" ht="14.25" customHeight="1">
      <c r="A1031" s="781" t="s">
        <v>312</v>
      </c>
      <c r="B1031" s="781" t="s">
        <v>343</v>
      </c>
      <c r="C1031" s="781" t="s">
        <v>398</v>
      </c>
      <c r="D1031" s="637" t="s">
        <v>1693</v>
      </c>
      <c r="E1031" s="754">
        <v>199156</v>
      </c>
      <c r="F1031" s="754"/>
      <c r="G1031" s="754"/>
      <c r="H1031" s="754"/>
      <c r="I1031" s="754"/>
      <c r="J1031" s="754" t="s">
        <v>818</v>
      </c>
      <c r="K1031" s="754" t="s">
        <v>812</v>
      </c>
      <c r="L1031" s="754" t="s">
        <v>818</v>
      </c>
      <c r="M1031" s="754" t="s">
        <v>821</v>
      </c>
      <c r="N1031" s="754">
        <v>19.686580660000001</v>
      </c>
      <c r="O1031" s="754">
        <v>94.048843379999994</v>
      </c>
      <c r="P1031" s="754" t="s">
        <v>937</v>
      </c>
      <c r="Q1031" s="754" t="s">
        <v>794</v>
      </c>
      <c r="R1031" s="763"/>
      <c r="S1031" s="764"/>
      <c r="T1031" s="783" t="s">
        <v>819</v>
      </c>
      <c r="U1031" s="765"/>
      <c r="V1031" s="754" t="s">
        <v>398</v>
      </c>
      <c r="W1031" s="754"/>
    </row>
    <row r="1032" spans="1:26" ht="14.25" customHeight="1">
      <c r="A1032" s="781" t="s">
        <v>312</v>
      </c>
      <c r="B1032" s="781" t="s">
        <v>343</v>
      </c>
      <c r="C1032" s="781" t="s">
        <v>395</v>
      </c>
      <c r="D1032" s="637" t="s">
        <v>1693</v>
      </c>
      <c r="E1032" s="760">
        <v>199265</v>
      </c>
      <c r="F1032" s="754"/>
      <c r="G1032" s="754"/>
      <c r="H1032" s="754"/>
      <c r="I1032" s="754"/>
      <c r="J1032" s="754" t="s">
        <v>818</v>
      </c>
      <c r="K1032" s="754" t="s">
        <v>812</v>
      </c>
      <c r="L1032" s="754" t="s">
        <v>818</v>
      </c>
      <c r="M1032" s="754" t="s">
        <v>312</v>
      </c>
      <c r="N1032" s="754">
        <v>19.627199170000001</v>
      </c>
      <c r="O1032" s="754">
        <v>93.962989809999996</v>
      </c>
      <c r="P1032" s="754" t="s">
        <v>937</v>
      </c>
      <c r="Q1032" s="754" t="s">
        <v>794</v>
      </c>
      <c r="R1032" s="763"/>
      <c r="S1032" s="764"/>
      <c r="T1032" s="783" t="s">
        <v>819</v>
      </c>
      <c r="U1032" s="765"/>
      <c r="V1032" s="754" t="s">
        <v>395</v>
      </c>
      <c r="W1032" s="754"/>
    </row>
    <row r="1033" spans="1:26" ht="14.25" customHeight="1">
      <c r="A1033" s="781" t="s">
        <v>312</v>
      </c>
      <c r="B1033" s="781" t="s">
        <v>343</v>
      </c>
      <c r="C1033" s="781" t="s">
        <v>393</v>
      </c>
      <c r="D1033" s="637" t="s">
        <v>1693</v>
      </c>
      <c r="E1033" s="754">
        <v>199262</v>
      </c>
      <c r="F1033" s="754"/>
      <c r="G1033" s="754"/>
      <c r="H1033" s="754"/>
      <c r="I1033" s="754"/>
      <c r="J1033" s="754" t="s">
        <v>818</v>
      </c>
      <c r="K1033" s="754" t="s">
        <v>812</v>
      </c>
      <c r="L1033" s="754" t="s">
        <v>818</v>
      </c>
      <c r="M1033" s="754" t="s">
        <v>312</v>
      </c>
      <c r="N1033" s="754">
        <v>19.61580086</v>
      </c>
      <c r="O1033" s="754">
        <v>94.000473020000001</v>
      </c>
      <c r="P1033" s="754" t="s">
        <v>937</v>
      </c>
      <c r="Q1033" s="754" t="s">
        <v>794</v>
      </c>
      <c r="R1033" s="763"/>
      <c r="S1033" s="764"/>
      <c r="T1033" s="783" t="s">
        <v>819</v>
      </c>
      <c r="U1033" s="765"/>
      <c r="V1033" s="754" t="s">
        <v>393</v>
      </c>
      <c r="W1033" s="754"/>
    </row>
    <row r="1034" spans="1:26" ht="14.25" customHeight="1">
      <c r="A1034" s="781" t="s">
        <v>312</v>
      </c>
      <c r="B1034" s="781" t="s">
        <v>343</v>
      </c>
      <c r="C1034" s="781" t="s">
        <v>410</v>
      </c>
      <c r="D1034" s="637" t="s">
        <v>1693</v>
      </c>
      <c r="E1034" s="754">
        <v>199241</v>
      </c>
      <c r="F1034" s="754"/>
      <c r="G1034" s="754"/>
      <c r="H1034" s="754"/>
      <c r="I1034" s="754"/>
      <c r="J1034" s="754" t="s">
        <v>818</v>
      </c>
      <c r="K1034" s="754" t="s">
        <v>812</v>
      </c>
      <c r="L1034" s="754" t="s">
        <v>818</v>
      </c>
      <c r="M1034" s="754" t="s">
        <v>821</v>
      </c>
      <c r="N1034" s="754">
        <v>19.988599780000001</v>
      </c>
      <c r="O1034" s="754">
        <v>93.803939819999997</v>
      </c>
      <c r="P1034" s="754" t="s">
        <v>937</v>
      </c>
      <c r="Q1034" s="754" t="s">
        <v>794</v>
      </c>
      <c r="R1034" s="763"/>
      <c r="S1034" s="764"/>
      <c r="T1034" s="783" t="s">
        <v>819</v>
      </c>
      <c r="U1034" s="765"/>
      <c r="V1034" s="570" t="s">
        <v>827</v>
      </c>
      <c r="W1034" s="754"/>
    </row>
    <row r="1035" spans="1:26" ht="14.25" customHeight="1">
      <c r="A1035" s="781" t="s">
        <v>312</v>
      </c>
      <c r="B1035" s="781" t="s">
        <v>343</v>
      </c>
      <c r="C1035" s="781" t="s">
        <v>408</v>
      </c>
      <c r="D1035" s="637" t="s">
        <v>1693</v>
      </c>
      <c r="E1035" s="754">
        <v>220838</v>
      </c>
      <c r="F1035" s="754"/>
      <c r="G1035" s="754"/>
      <c r="H1035" s="754"/>
      <c r="I1035" s="754"/>
      <c r="J1035" s="754" t="s">
        <v>818</v>
      </c>
      <c r="K1035" s="754" t="s">
        <v>812</v>
      </c>
      <c r="L1035" s="754" t="s">
        <v>818</v>
      </c>
      <c r="M1035" s="754" t="s">
        <v>821</v>
      </c>
      <c r="N1035" s="775">
        <v>19.962713239999999</v>
      </c>
      <c r="O1035" s="775">
        <v>93.885574340000005</v>
      </c>
      <c r="P1035" s="754" t="s">
        <v>937</v>
      </c>
      <c r="Q1035" s="754" t="s">
        <v>794</v>
      </c>
      <c r="R1035" s="763"/>
      <c r="S1035" s="764"/>
      <c r="T1035" s="783" t="s">
        <v>819</v>
      </c>
      <c r="U1035" s="765"/>
      <c r="V1035" s="754" t="s">
        <v>408</v>
      </c>
      <c r="W1035" s="754"/>
    </row>
    <row r="1036" spans="1:26" ht="14.25" customHeight="1">
      <c r="A1036" s="781" t="s">
        <v>312</v>
      </c>
      <c r="B1036" s="781" t="s">
        <v>343</v>
      </c>
      <c r="C1036" s="781" t="s">
        <v>405</v>
      </c>
      <c r="D1036" s="637" t="s">
        <v>1693</v>
      </c>
      <c r="E1036" s="754">
        <v>199133</v>
      </c>
      <c r="F1036" s="754"/>
      <c r="G1036" s="754"/>
      <c r="H1036" s="754"/>
      <c r="I1036" s="754"/>
      <c r="J1036" s="754" t="s">
        <v>818</v>
      </c>
      <c r="K1036" s="754" t="s">
        <v>812</v>
      </c>
      <c r="L1036" s="754" t="s">
        <v>818</v>
      </c>
      <c r="M1036" s="754" t="s">
        <v>312</v>
      </c>
      <c r="N1036" s="754">
        <v>19.925739289999999</v>
      </c>
      <c r="O1036" s="754">
        <v>93.792991639999997</v>
      </c>
      <c r="P1036" s="754" t="s">
        <v>937</v>
      </c>
      <c r="Q1036" s="754" t="s">
        <v>794</v>
      </c>
      <c r="R1036" s="763"/>
      <c r="S1036" s="764"/>
      <c r="T1036" s="783" t="s">
        <v>819</v>
      </c>
      <c r="U1036" s="765"/>
      <c r="V1036" s="754" t="s">
        <v>823</v>
      </c>
      <c r="W1036" s="754"/>
    </row>
    <row r="1037" spans="1:26" ht="14.25" customHeight="1">
      <c r="A1037" s="663" t="s">
        <v>716</v>
      </c>
      <c r="B1037" s="792" t="s">
        <v>735</v>
      </c>
      <c r="C1037" s="663" t="s">
        <v>736</v>
      </c>
      <c r="D1037" s="637" t="s">
        <v>3257</v>
      </c>
      <c r="E1037" s="754" t="s">
        <v>1446</v>
      </c>
      <c r="F1037" s="754" t="s">
        <v>736</v>
      </c>
      <c r="G1037" s="754" t="s">
        <v>736</v>
      </c>
      <c r="H1037" s="754" t="s">
        <v>43</v>
      </c>
      <c r="I1037" s="754" t="s">
        <v>3038</v>
      </c>
      <c r="J1037" s="754" t="s">
        <v>45</v>
      </c>
      <c r="K1037" s="754" t="s">
        <v>45</v>
      </c>
      <c r="L1037" s="754" t="s">
        <v>45</v>
      </c>
      <c r="M1037" s="754" t="s">
        <v>46</v>
      </c>
      <c r="N1037" s="754">
        <v>23.354268999999999</v>
      </c>
      <c r="O1037" s="754">
        <v>98.218626999999998</v>
      </c>
      <c r="P1037" s="754" t="s">
        <v>775</v>
      </c>
      <c r="Q1037" s="754" t="s">
        <v>794</v>
      </c>
      <c r="R1037" s="763">
        <v>35</v>
      </c>
      <c r="S1037" s="763">
        <v>183</v>
      </c>
      <c r="T1037" s="783"/>
      <c r="U1037" s="765"/>
      <c r="V1037" s="754" t="s">
        <v>736</v>
      </c>
      <c r="W1037" s="571" t="s">
        <v>2250</v>
      </c>
    </row>
    <row r="1038" spans="1:26" ht="14.25" customHeight="1">
      <c r="A1038" s="663" t="s">
        <v>716</v>
      </c>
      <c r="B1038" s="792" t="s">
        <v>735</v>
      </c>
      <c r="C1038" s="663" t="s">
        <v>759</v>
      </c>
      <c r="D1038" s="761" t="s">
        <v>1771</v>
      </c>
      <c r="E1038" s="754" t="s">
        <v>1447</v>
      </c>
      <c r="F1038" s="754" t="s">
        <v>1798</v>
      </c>
      <c r="G1038" s="754" t="s">
        <v>1798</v>
      </c>
      <c r="H1038" s="754"/>
      <c r="I1038" s="754" t="s">
        <v>2199</v>
      </c>
      <c r="J1038" s="754" t="s">
        <v>45</v>
      </c>
      <c r="K1038" s="754" t="s">
        <v>982</v>
      </c>
      <c r="L1038" s="754" t="s">
        <v>774</v>
      </c>
      <c r="M1038" s="754" t="s">
        <v>792</v>
      </c>
      <c r="N1038" s="754">
        <v>23.372409999999999</v>
      </c>
      <c r="O1038" s="754">
        <v>98.352670000000003</v>
      </c>
      <c r="P1038" s="754" t="s">
        <v>787</v>
      </c>
      <c r="Q1038" s="754" t="s">
        <v>794</v>
      </c>
      <c r="R1038" s="771"/>
      <c r="S1038" s="764"/>
      <c r="T1038" s="783">
        <v>43276</v>
      </c>
      <c r="U1038" s="765" t="s">
        <v>2034</v>
      </c>
      <c r="V1038" s="754" t="s">
        <v>759</v>
      </c>
      <c r="W1038" s="571" t="s">
        <v>2251</v>
      </c>
    </row>
    <row r="1039" spans="1:26" ht="14.25" customHeight="1">
      <c r="A1039" s="663" t="s">
        <v>716</v>
      </c>
      <c r="B1039" s="792" t="s">
        <v>735</v>
      </c>
      <c r="C1039" s="663" t="s">
        <v>765</v>
      </c>
      <c r="D1039" s="761" t="s">
        <v>1694</v>
      </c>
      <c r="E1039" s="754" t="s">
        <v>1445</v>
      </c>
      <c r="F1039" s="754" t="s">
        <v>1705</v>
      </c>
      <c r="G1039" s="754" t="s">
        <v>1705</v>
      </c>
      <c r="H1039" s="754"/>
      <c r="I1039" s="754">
        <v>0</v>
      </c>
      <c r="J1039" s="754" t="s">
        <v>45</v>
      </c>
      <c r="K1039" s="754" t="s">
        <v>45</v>
      </c>
      <c r="L1039" s="754" t="s">
        <v>774</v>
      </c>
      <c r="M1039" s="754" t="s">
        <v>46</v>
      </c>
      <c r="N1039" s="754">
        <v>23.353999999999999</v>
      </c>
      <c r="O1039" s="754">
        <v>98.221000000000004</v>
      </c>
      <c r="P1039" s="754" t="s">
        <v>775</v>
      </c>
      <c r="Q1039" s="754" t="s">
        <v>776</v>
      </c>
      <c r="R1039" s="771"/>
      <c r="S1039" s="764"/>
      <c r="T1039" s="783"/>
      <c r="U1039" s="765"/>
      <c r="V1039" s="754"/>
      <c r="W1039" s="571" t="s">
        <v>2252</v>
      </c>
    </row>
    <row r="1040" spans="1:26" ht="14.25" customHeight="1">
      <c r="A1040" s="663" t="s">
        <v>716</v>
      </c>
      <c r="B1040" s="792" t="s">
        <v>757</v>
      </c>
      <c r="C1040" s="663" t="s">
        <v>2993</v>
      </c>
      <c r="D1040" s="761"/>
      <c r="E1040" s="754"/>
      <c r="F1040" s="754"/>
      <c r="G1040" s="754"/>
      <c r="H1040" s="754"/>
      <c r="I1040" s="754"/>
      <c r="J1040" s="754" t="s">
        <v>3017</v>
      </c>
      <c r="K1040" s="754" t="s">
        <v>2935</v>
      </c>
      <c r="L1040" s="754" t="s">
        <v>2935</v>
      </c>
      <c r="M1040" s="754" t="s">
        <v>46</v>
      </c>
      <c r="N1040" s="754"/>
      <c r="O1040" s="754"/>
      <c r="P1040" s="754" t="s">
        <v>2044</v>
      </c>
      <c r="Q1040" s="754"/>
      <c r="R1040" s="771"/>
      <c r="S1040" s="764"/>
      <c r="T1040" s="783">
        <v>43567</v>
      </c>
      <c r="U1040" s="765"/>
      <c r="V1040" s="754"/>
      <c r="W1040" s="763"/>
    </row>
    <row r="1041" spans="1:23" ht="14.25" customHeight="1">
      <c r="A1041" s="663" t="s">
        <v>716</v>
      </c>
      <c r="B1041" s="792" t="s">
        <v>757</v>
      </c>
      <c r="C1041" s="663" t="s">
        <v>758</v>
      </c>
      <c r="D1041" s="637" t="s">
        <v>3257</v>
      </c>
      <c r="E1041" s="754" t="s">
        <v>1437</v>
      </c>
      <c r="F1041" s="754" t="s">
        <v>1794</v>
      </c>
      <c r="G1041" s="754" t="s">
        <v>1795</v>
      </c>
      <c r="H1041" s="754"/>
      <c r="I1041" s="760" t="s">
        <v>2199</v>
      </c>
      <c r="J1041" s="754" t="s">
        <v>45</v>
      </c>
      <c r="K1041" s="754" t="s">
        <v>45</v>
      </c>
      <c r="L1041" s="754" t="s">
        <v>790</v>
      </c>
      <c r="M1041" s="754" t="s">
        <v>46</v>
      </c>
      <c r="N1041" s="754">
        <v>22.677008000000001</v>
      </c>
      <c r="O1041" s="754">
        <v>97.314762999999999</v>
      </c>
      <c r="P1041" s="754" t="s">
        <v>775</v>
      </c>
      <c r="Q1041" s="754" t="s">
        <v>776</v>
      </c>
      <c r="R1041" s="763">
        <v>37</v>
      </c>
      <c r="S1041" s="763">
        <v>120</v>
      </c>
      <c r="T1041" s="783"/>
      <c r="U1041" s="765" t="s">
        <v>976</v>
      </c>
      <c r="V1041" s="754" t="s">
        <v>977</v>
      </c>
      <c r="W1041" s="571" t="s">
        <v>2253</v>
      </c>
    </row>
    <row r="1042" spans="1:23" ht="14.25" customHeight="1">
      <c r="A1042" s="663" t="s">
        <v>716</v>
      </c>
      <c r="B1042" s="792" t="s">
        <v>757</v>
      </c>
      <c r="C1042" s="663" t="s">
        <v>2994</v>
      </c>
      <c r="D1042" s="761"/>
      <c r="E1042" s="754"/>
      <c r="F1042" s="754"/>
      <c r="G1042" s="754"/>
      <c r="H1042" s="754"/>
      <c r="I1042" s="754"/>
      <c r="J1042" s="754" t="s">
        <v>3017</v>
      </c>
      <c r="K1042" s="754" t="s">
        <v>2935</v>
      </c>
      <c r="L1042" s="754" t="s">
        <v>2935</v>
      </c>
      <c r="M1042" s="754" t="s">
        <v>46</v>
      </c>
      <c r="N1042" s="754"/>
      <c r="O1042" s="754"/>
      <c r="P1042" s="754" t="s">
        <v>2044</v>
      </c>
      <c r="Q1042" s="754"/>
      <c r="R1042" s="771"/>
      <c r="S1042" s="764"/>
      <c r="T1042" s="783">
        <v>43567</v>
      </c>
      <c r="U1042" s="765"/>
      <c r="V1042" s="754"/>
      <c r="W1042" s="763"/>
    </row>
    <row r="1043" spans="1:23" ht="14.25" customHeight="1">
      <c r="A1043" s="663" t="s">
        <v>716</v>
      </c>
      <c r="B1043" s="792" t="s">
        <v>757</v>
      </c>
      <c r="C1043" s="663" t="s">
        <v>2995</v>
      </c>
      <c r="D1043" s="761"/>
      <c r="E1043" s="754"/>
      <c r="F1043" s="754"/>
      <c r="G1043" s="754"/>
      <c r="H1043" s="754"/>
      <c r="I1043" s="754"/>
      <c r="J1043" s="754" t="s">
        <v>3017</v>
      </c>
      <c r="K1043" s="754" t="s">
        <v>2935</v>
      </c>
      <c r="L1043" s="754" t="s">
        <v>2935</v>
      </c>
      <c r="M1043" s="754" t="s">
        <v>46</v>
      </c>
      <c r="N1043" s="754"/>
      <c r="O1043" s="754"/>
      <c r="P1043" s="754" t="s">
        <v>2044</v>
      </c>
      <c r="Q1043" s="754"/>
      <c r="R1043" s="771"/>
      <c r="S1043" s="764"/>
      <c r="T1043" s="783">
        <v>43567</v>
      </c>
      <c r="U1043" s="765"/>
      <c r="V1043" s="754"/>
      <c r="W1043" s="763"/>
    </row>
    <row r="1044" spans="1:23" ht="14.25" customHeight="1">
      <c r="A1044" s="663" t="s">
        <v>716</v>
      </c>
      <c r="B1044" s="792" t="s">
        <v>720</v>
      </c>
      <c r="C1044" s="663" t="s">
        <v>2318</v>
      </c>
      <c r="D1044" s="637" t="s">
        <v>3257</v>
      </c>
      <c r="E1044" s="754" t="s">
        <v>2319</v>
      </c>
      <c r="F1044" s="754" t="s">
        <v>2320</v>
      </c>
      <c r="G1044" s="754" t="s">
        <v>2320</v>
      </c>
      <c r="H1044" s="754"/>
      <c r="I1044" s="760" t="s">
        <v>2199</v>
      </c>
      <c r="J1044" s="754" t="s">
        <v>45</v>
      </c>
      <c r="K1044" s="754" t="s">
        <v>45</v>
      </c>
      <c r="L1044" s="754" t="s">
        <v>790</v>
      </c>
      <c r="M1044" s="754" t="s">
        <v>46</v>
      </c>
      <c r="N1044" s="754">
        <v>0</v>
      </c>
      <c r="O1044" s="754">
        <v>0</v>
      </c>
      <c r="P1044" s="754" t="s">
        <v>775</v>
      </c>
      <c r="Q1044" s="754" t="s">
        <v>2321</v>
      </c>
      <c r="R1044" s="763">
        <v>86</v>
      </c>
      <c r="S1044" s="763">
        <v>525</v>
      </c>
      <c r="T1044" s="783">
        <v>43405</v>
      </c>
      <c r="U1044" s="765" t="s">
        <v>2322</v>
      </c>
      <c r="V1044" s="754" t="s">
        <v>2318</v>
      </c>
      <c r="W1044" s="571" t="s">
        <v>2323</v>
      </c>
    </row>
    <row r="1045" spans="1:23" ht="14.25" customHeight="1">
      <c r="A1045" s="663" t="s">
        <v>716</v>
      </c>
      <c r="B1045" s="792" t="s">
        <v>720</v>
      </c>
      <c r="C1045" s="663" t="s">
        <v>2324</v>
      </c>
      <c r="D1045" s="637" t="s">
        <v>3257</v>
      </c>
      <c r="E1045" s="754" t="s">
        <v>2325</v>
      </c>
      <c r="F1045" s="754" t="s">
        <v>2326</v>
      </c>
      <c r="G1045" s="754"/>
      <c r="H1045" s="754" t="s">
        <v>43</v>
      </c>
      <c r="I1045" s="754" t="s">
        <v>1352</v>
      </c>
      <c r="J1045" s="754" t="s">
        <v>45</v>
      </c>
      <c r="K1045" s="754" t="s">
        <v>45</v>
      </c>
      <c r="L1045" s="754" t="s">
        <v>45</v>
      </c>
      <c r="M1045" s="754" t="s">
        <v>46</v>
      </c>
      <c r="N1045" s="754">
        <v>0</v>
      </c>
      <c r="O1045" s="754">
        <v>0</v>
      </c>
      <c r="P1045" s="754" t="s">
        <v>775</v>
      </c>
      <c r="Q1045" s="754" t="s">
        <v>2321</v>
      </c>
      <c r="R1045" s="763">
        <v>32</v>
      </c>
      <c r="S1045" s="763">
        <v>150</v>
      </c>
      <c r="T1045" s="783"/>
      <c r="U1045" s="765" t="s">
        <v>2327</v>
      </c>
      <c r="V1045" s="754" t="s">
        <v>2324</v>
      </c>
      <c r="W1045" s="571" t="s">
        <v>2330</v>
      </c>
    </row>
    <row r="1046" spans="1:23" ht="14.25" customHeight="1">
      <c r="A1046" s="663" t="s">
        <v>716</v>
      </c>
      <c r="B1046" s="792" t="s">
        <v>720</v>
      </c>
      <c r="C1046" s="663" t="s">
        <v>741</v>
      </c>
      <c r="D1046" s="761" t="s">
        <v>1694</v>
      </c>
      <c r="E1046" s="754" t="s">
        <v>1450</v>
      </c>
      <c r="F1046" s="754" t="s">
        <v>1706</v>
      </c>
      <c r="G1046" s="754" t="s">
        <v>1707</v>
      </c>
      <c r="H1046" s="754" t="s">
        <v>43</v>
      </c>
      <c r="I1046" s="754" t="s">
        <v>149</v>
      </c>
      <c r="J1046" s="754" t="s">
        <v>45</v>
      </c>
      <c r="K1046" s="754" t="s">
        <v>982</v>
      </c>
      <c r="L1046" s="754" t="s">
        <v>774</v>
      </c>
      <c r="M1046" s="754" t="s">
        <v>46</v>
      </c>
      <c r="N1046" s="754">
        <v>23.4008</v>
      </c>
      <c r="O1046" s="754">
        <v>97.848529999999997</v>
      </c>
      <c r="P1046" s="754" t="s">
        <v>775</v>
      </c>
      <c r="Q1046" s="754" t="s">
        <v>794</v>
      </c>
      <c r="R1046" s="771"/>
      <c r="S1046" s="764"/>
      <c r="T1046" s="783">
        <v>43049</v>
      </c>
      <c r="U1046" s="765" t="s">
        <v>984</v>
      </c>
      <c r="V1046" s="754" t="s">
        <v>741</v>
      </c>
      <c r="W1046" s="571" t="s">
        <v>2254</v>
      </c>
    </row>
    <row r="1047" spans="1:23" ht="14.25" customHeight="1">
      <c r="A1047" s="663" t="s">
        <v>716</v>
      </c>
      <c r="B1047" s="792" t="s">
        <v>720</v>
      </c>
      <c r="C1047" s="663" t="s">
        <v>1118</v>
      </c>
      <c r="D1047" s="761" t="s">
        <v>1693</v>
      </c>
      <c r="E1047" s="754"/>
      <c r="F1047" s="754"/>
      <c r="G1047" s="754"/>
      <c r="H1047" s="754"/>
      <c r="I1047" s="754"/>
      <c r="J1047" s="754" t="s">
        <v>1481</v>
      </c>
      <c r="K1047" s="754" t="s">
        <v>45</v>
      </c>
      <c r="L1047" s="754" t="s">
        <v>1113</v>
      </c>
      <c r="M1047" s="754" t="s">
        <v>46</v>
      </c>
      <c r="N1047" s="754"/>
      <c r="O1047" s="754"/>
      <c r="P1047" s="754" t="s">
        <v>775</v>
      </c>
      <c r="Q1047" s="754" t="s">
        <v>794</v>
      </c>
      <c r="R1047" s="771"/>
      <c r="S1047" s="764"/>
      <c r="T1047" s="783"/>
      <c r="U1047" s="765" t="s">
        <v>1109</v>
      </c>
      <c r="V1047" s="754" t="s">
        <v>1118</v>
      </c>
      <c r="W1047" s="763"/>
    </row>
    <row r="1048" spans="1:23" ht="14.25" customHeight="1">
      <c r="A1048" s="663" t="s">
        <v>716</v>
      </c>
      <c r="B1048" s="792" t="s">
        <v>720</v>
      </c>
      <c r="C1048" s="663" t="s">
        <v>742</v>
      </c>
      <c r="D1048" s="637" t="s">
        <v>3257</v>
      </c>
      <c r="E1048" s="754" t="s">
        <v>1452</v>
      </c>
      <c r="F1048" s="754" t="s">
        <v>1799</v>
      </c>
      <c r="G1048" s="754" t="s">
        <v>1800</v>
      </c>
      <c r="H1048" s="754" t="s">
        <v>43</v>
      </c>
      <c r="I1048" s="754" t="s">
        <v>3038</v>
      </c>
      <c r="J1048" s="754" t="s">
        <v>45</v>
      </c>
      <c r="K1048" s="754" t="s">
        <v>45</v>
      </c>
      <c r="L1048" s="754" t="s">
        <v>45</v>
      </c>
      <c r="M1048" s="754" t="s">
        <v>46</v>
      </c>
      <c r="N1048" s="754">
        <v>23.450914000000001</v>
      </c>
      <c r="O1048" s="754">
        <v>97.926813999999993</v>
      </c>
      <c r="P1048" s="754" t="s">
        <v>775</v>
      </c>
      <c r="Q1048" s="754" t="s">
        <v>794</v>
      </c>
      <c r="R1048" s="763">
        <v>53</v>
      </c>
      <c r="S1048" s="763">
        <v>261</v>
      </c>
      <c r="T1048" s="783"/>
      <c r="U1048" s="765"/>
      <c r="V1048" s="754" t="s">
        <v>742</v>
      </c>
      <c r="W1048" s="571" t="s">
        <v>2255</v>
      </c>
    </row>
    <row r="1049" spans="1:23" ht="14.25" customHeight="1">
      <c r="A1049" s="663" t="s">
        <v>716</v>
      </c>
      <c r="B1049" s="792" t="s">
        <v>720</v>
      </c>
      <c r="C1049" s="663" t="s">
        <v>747</v>
      </c>
      <c r="D1049" s="637" t="s">
        <v>3257</v>
      </c>
      <c r="E1049" s="754" t="s">
        <v>1453</v>
      </c>
      <c r="F1049" s="754" t="s">
        <v>1799</v>
      </c>
      <c r="G1049" s="754" t="s">
        <v>1698</v>
      </c>
      <c r="H1049" s="754" t="s">
        <v>43</v>
      </c>
      <c r="I1049" s="754" t="s">
        <v>3038</v>
      </c>
      <c r="J1049" s="754" t="s">
        <v>45</v>
      </c>
      <c r="K1049" s="754" t="s">
        <v>45</v>
      </c>
      <c r="L1049" s="754" t="s">
        <v>45</v>
      </c>
      <c r="M1049" s="754" t="s">
        <v>46</v>
      </c>
      <c r="N1049" s="754">
        <v>23.460349999999998</v>
      </c>
      <c r="O1049" s="754">
        <v>97.947360000000003</v>
      </c>
      <c r="P1049" s="754" t="s">
        <v>775</v>
      </c>
      <c r="Q1049" s="754" t="s">
        <v>776</v>
      </c>
      <c r="R1049" s="763">
        <v>37</v>
      </c>
      <c r="S1049" s="763">
        <v>150</v>
      </c>
      <c r="T1049" s="783">
        <v>42836</v>
      </c>
      <c r="U1049" s="765" t="s">
        <v>985</v>
      </c>
      <c r="V1049" s="754"/>
      <c r="W1049" s="571" t="s">
        <v>2256</v>
      </c>
    </row>
    <row r="1050" spans="1:23" ht="14.25" customHeight="1">
      <c r="A1050" s="663" t="s">
        <v>716</v>
      </c>
      <c r="B1050" s="792" t="s">
        <v>720</v>
      </c>
      <c r="C1050" s="663" t="s">
        <v>721</v>
      </c>
      <c r="D1050" s="637" t="s">
        <v>3257</v>
      </c>
      <c r="E1050" s="754" t="s">
        <v>1454</v>
      </c>
      <c r="F1050" s="754" t="s">
        <v>1799</v>
      </c>
      <c r="G1050" s="754" t="s">
        <v>1801</v>
      </c>
      <c r="H1050" s="754" t="s">
        <v>43</v>
      </c>
      <c r="I1050" s="754" t="s">
        <v>1352</v>
      </c>
      <c r="J1050" s="754" t="s">
        <v>45</v>
      </c>
      <c r="K1050" s="754" t="s">
        <v>45</v>
      </c>
      <c r="L1050" s="754" t="s">
        <v>45</v>
      </c>
      <c r="M1050" s="754" t="s">
        <v>46</v>
      </c>
      <c r="N1050" s="754">
        <v>23.460349999999998</v>
      </c>
      <c r="O1050" s="754">
        <v>97.947360000000003</v>
      </c>
      <c r="P1050" s="754" t="s">
        <v>775</v>
      </c>
      <c r="Q1050" s="754" t="s">
        <v>794</v>
      </c>
      <c r="R1050" s="763">
        <v>28</v>
      </c>
      <c r="S1050" s="763">
        <v>135</v>
      </c>
      <c r="T1050" s="783"/>
      <c r="U1050" s="765"/>
      <c r="V1050" s="754" t="s">
        <v>721</v>
      </c>
      <c r="W1050" s="571" t="s">
        <v>2257</v>
      </c>
    </row>
    <row r="1051" spans="1:23" ht="14.25" customHeight="1">
      <c r="A1051" s="663" t="s">
        <v>716</v>
      </c>
      <c r="B1051" s="792" t="s">
        <v>720</v>
      </c>
      <c r="C1051" s="663" t="s">
        <v>766</v>
      </c>
      <c r="D1051" s="761" t="s">
        <v>1693</v>
      </c>
      <c r="E1051" s="754"/>
      <c r="F1051" s="754"/>
      <c r="G1051" s="754"/>
      <c r="H1051" s="754"/>
      <c r="I1051" s="754"/>
      <c r="J1051" s="754" t="s">
        <v>1481</v>
      </c>
      <c r="K1051" s="754" t="s">
        <v>45</v>
      </c>
      <c r="L1051" s="754" t="s">
        <v>45</v>
      </c>
      <c r="M1051" s="754" t="s">
        <v>46</v>
      </c>
      <c r="N1051" s="754"/>
      <c r="O1051" s="754"/>
      <c r="P1051" s="754" t="s">
        <v>775</v>
      </c>
      <c r="Q1051" s="754" t="s">
        <v>794</v>
      </c>
      <c r="R1051" s="771"/>
      <c r="S1051" s="764"/>
      <c r="T1051" s="783">
        <v>42747</v>
      </c>
      <c r="U1051" s="765"/>
      <c r="V1051" s="754"/>
      <c r="W1051" s="763"/>
    </row>
    <row r="1052" spans="1:23" ht="14.25" customHeight="1">
      <c r="A1052" s="663" t="s">
        <v>716</v>
      </c>
      <c r="B1052" s="792" t="s">
        <v>720</v>
      </c>
      <c r="C1052" s="663" t="s">
        <v>2196</v>
      </c>
      <c r="D1052" s="637" t="s">
        <v>3257</v>
      </c>
      <c r="E1052" s="754" t="s">
        <v>1457</v>
      </c>
      <c r="F1052" s="754" t="s">
        <v>1804</v>
      </c>
      <c r="G1052" s="754" t="s">
        <v>1804</v>
      </c>
      <c r="H1052" s="754" t="s">
        <v>43</v>
      </c>
      <c r="I1052" s="754" t="s">
        <v>1352</v>
      </c>
      <c r="J1052" s="754" t="s">
        <v>45</v>
      </c>
      <c r="K1052" s="754" t="s">
        <v>45</v>
      </c>
      <c r="L1052" s="754" t="s">
        <v>45</v>
      </c>
      <c r="M1052" s="754" t="s">
        <v>46</v>
      </c>
      <c r="N1052" s="754">
        <v>23.591999999999999</v>
      </c>
      <c r="O1052" s="754">
        <v>97.796999999999997</v>
      </c>
      <c r="P1052" s="754" t="s">
        <v>775</v>
      </c>
      <c r="Q1052" s="754" t="s">
        <v>794</v>
      </c>
      <c r="R1052" s="763">
        <v>66</v>
      </c>
      <c r="S1052" s="763">
        <v>346</v>
      </c>
      <c r="T1052" s="783" t="s">
        <v>819</v>
      </c>
      <c r="U1052" s="765"/>
      <c r="V1052" s="754"/>
      <c r="W1052" s="571" t="s">
        <v>2258</v>
      </c>
    </row>
    <row r="1053" spans="1:23" ht="14.25" customHeight="1">
      <c r="A1053" s="663" t="s">
        <v>716</v>
      </c>
      <c r="B1053" s="792" t="s">
        <v>720</v>
      </c>
      <c r="C1053" s="663" t="s">
        <v>755</v>
      </c>
      <c r="D1053" s="637" t="s">
        <v>3257</v>
      </c>
      <c r="E1053" s="754" t="s">
        <v>1643</v>
      </c>
      <c r="F1053" s="754" t="s">
        <v>1887</v>
      </c>
      <c r="G1053" s="754" t="s">
        <v>755</v>
      </c>
      <c r="H1053" s="754"/>
      <c r="I1053" s="760" t="s">
        <v>2199</v>
      </c>
      <c r="J1053" s="754" t="s">
        <v>45</v>
      </c>
      <c r="K1053" s="754" t="s">
        <v>45</v>
      </c>
      <c r="L1053" s="754" t="s">
        <v>790</v>
      </c>
      <c r="M1053" s="754" t="s">
        <v>46</v>
      </c>
      <c r="N1053" s="754">
        <v>0</v>
      </c>
      <c r="O1053" s="754">
        <v>0</v>
      </c>
      <c r="P1053" s="754" t="s">
        <v>775</v>
      </c>
      <c r="Q1053" s="754" t="s">
        <v>816</v>
      </c>
      <c r="R1053" s="763">
        <v>24</v>
      </c>
      <c r="S1053" s="763">
        <v>84</v>
      </c>
      <c r="T1053" s="783" t="s">
        <v>1097</v>
      </c>
      <c r="U1053" s="765"/>
      <c r="V1053" s="754"/>
      <c r="W1053" s="571" t="s">
        <v>2259</v>
      </c>
    </row>
    <row r="1054" spans="1:23" ht="14.25" customHeight="1">
      <c r="A1054" s="663" t="s">
        <v>716</v>
      </c>
      <c r="B1054" s="792" t="s">
        <v>720</v>
      </c>
      <c r="C1054" s="663" t="s">
        <v>2197</v>
      </c>
      <c r="D1054" s="637" t="s">
        <v>3257</v>
      </c>
      <c r="E1054" s="754" t="s">
        <v>1456</v>
      </c>
      <c r="F1054" s="754" t="s">
        <v>1804</v>
      </c>
      <c r="G1054" s="754" t="s">
        <v>1804</v>
      </c>
      <c r="H1054" s="754" t="s">
        <v>43</v>
      </c>
      <c r="I1054" s="754" t="s">
        <v>1352</v>
      </c>
      <c r="J1054" s="754" t="s">
        <v>45</v>
      </c>
      <c r="K1054" s="754" t="s">
        <v>982</v>
      </c>
      <c r="L1054" s="754" t="s">
        <v>45</v>
      </c>
      <c r="M1054" s="754" t="s">
        <v>46</v>
      </c>
      <c r="N1054" s="754">
        <v>23.588920000000002</v>
      </c>
      <c r="O1054" s="754">
        <v>97.793019999999999</v>
      </c>
      <c r="P1054" s="754" t="s">
        <v>775</v>
      </c>
      <c r="Q1054" s="754" t="s">
        <v>794</v>
      </c>
      <c r="R1054" s="763">
        <v>76</v>
      </c>
      <c r="S1054" s="763">
        <v>344</v>
      </c>
      <c r="T1054" s="783"/>
      <c r="U1054" s="765"/>
      <c r="V1054" s="754" t="s">
        <v>750</v>
      </c>
      <c r="W1054" s="571" t="s">
        <v>2260</v>
      </c>
    </row>
    <row r="1055" spans="1:23" ht="14.25" customHeight="1">
      <c r="A1055" s="663" t="s">
        <v>716</v>
      </c>
      <c r="B1055" s="792" t="s">
        <v>720</v>
      </c>
      <c r="C1055" s="663" t="s">
        <v>1130</v>
      </c>
      <c r="D1055" s="761" t="s">
        <v>1693</v>
      </c>
      <c r="E1055" s="754"/>
      <c r="F1055" s="754"/>
      <c r="G1055" s="754"/>
      <c r="H1055" s="754"/>
      <c r="I1055" s="754"/>
      <c r="J1055" s="754" t="s">
        <v>1481</v>
      </c>
      <c r="K1055" s="754" t="s">
        <v>45</v>
      </c>
      <c r="L1055" s="754" t="s">
        <v>45</v>
      </c>
      <c r="M1055" s="754" t="s">
        <v>46</v>
      </c>
      <c r="N1055" s="754"/>
      <c r="O1055" s="754"/>
      <c r="P1055" s="754" t="s">
        <v>775</v>
      </c>
      <c r="Q1055" s="754" t="s">
        <v>794</v>
      </c>
      <c r="R1055" s="771"/>
      <c r="S1055" s="764"/>
      <c r="T1055" s="783"/>
      <c r="U1055" s="765" t="s">
        <v>1109</v>
      </c>
      <c r="V1055" s="754"/>
      <c r="W1055" s="763"/>
    </row>
    <row r="1056" spans="1:23" ht="14.25" customHeight="1">
      <c r="A1056" s="663" t="s">
        <v>716</v>
      </c>
      <c r="B1056" s="792" t="s">
        <v>720</v>
      </c>
      <c r="C1056" s="663" t="s">
        <v>746</v>
      </c>
      <c r="D1056" s="637" t="s">
        <v>3257</v>
      </c>
      <c r="E1056" s="754" t="s">
        <v>1474</v>
      </c>
      <c r="F1056" s="754" t="s">
        <v>1808</v>
      </c>
      <c r="G1056" s="754" t="s">
        <v>1809</v>
      </c>
      <c r="H1056" s="754"/>
      <c r="I1056" s="760" t="s">
        <v>2199</v>
      </c>
      <c r="J1056" s="754" t="s">
        <v>45</v>
      </c>
      <c r="K1056" s="754" t="s">
        <v>45</v>
      </c>
      <c r="L1056" s="754" t="s">
        <v>790</v>
      </c>
      <c r="M1056" s="754" t="s">
        <v>46</v>
      </c>
      <c r="N1056" s="754">
        <v>23.850999999999999</v>
      </c>
      <c r="O1056" s="754">
        <v>98.337999999999994</v>
      </c>
      <c r="P1056" s="754" t="s">
        <v>775</v>
      </c>
      <c r="Q1056" s="754" t="s">
        <v>776</v>
      </c>
      <c r="R1056" s="763">
        <v>30</v>
      </c>
      <c r="S1056" s="763">
        <v>170</v>
      </c>
      <c r="T1056" s="783"/>
      <c r="U1056" s="765" t="s">
        <v>996</v>
      </c>
      <c r="V1056" s="754"/>
      <c r="W1056" s="571" t="s">
        <v>2261</v>
      </c>
    </row>
    <row r="1057" spans="1:23" ht="14.25" customHeight="1">
      <c r="A1057" s="663" t="s">
        <v>716</v>
      </c>
      <c r="B1057" s="792" t="s">
        <v>720</v>
      </c>
      <c r="C1057" s="663" t="s">
        <v>729</v>
      </c>
      <c r="D1057" s="637" t="s">
        <v>3257</v>
      </c>
      <c r="E1057" s="754" t="s">
        <v>1449</v>
      </c>
      <c r="F1057" s="754"/>
      <c r="G1057" s="754"/>
      <c r="H1057" s="754" t="s">
        <v>43</v>
      </c>
      <c r="I1057" s="754" t="s">
        <v>3038</v>
      </c>
      <c r="J1057" s="754" t="s">
        <v>45</v>
      </c>
      <c r="K1057" s="754" t="s">
        <v>982</v>
      </c>
      <c r="L1057" s="754" t="s">
        <v>45</v>
      </c>
      <c r="M1057" s="754" t="s">
        <v>46</v>
      </c>
      <c r="N1057" s="754">
        <v>23.400155999999999</v>
      </c>
      <c r="O1057" s="754">
        <v>98.220614999999995</v>
      </c>
      <c r="P1057" s="754" t="s">
        <v>775</v>
      </c>
      <c r="Q1057" s="754" t="s">
        <v>794</v>
      </c>
      <c r="R1057" s="763">
        <v>38</v>
      </c>
      <c r="S1057" s="763">
        <v>208</v>
      </c>
      <c r="T1057" s="783"/>
      <c r="U1057" s="765"/>
      <c r="V1057" s="754" t="s">
        <v>983</v>
      </c>
      <c r="W1057" s="571" t="s">
        <v>2262</v>
      </c>
    </row>
    <row r="1058" spans="1:23" ht="14.25" customHeight="1">
      <c r="A1058" s="663" t="s">
        <v>716</v>
      </c>
      <c r="B1058" s="792" t="s">
        <v>720</v>
      </c>
      <c r="C1058" s="663" t="s">
        <v>725</v>
      </c>
      <c r="D1058" s="637" t="s">
        <v>3257</v>
      </c>
      <c r="E1058" s="754" t="s">
        <v>1455</v>
      </c>
      <c r="F1058" s="754" t="s">
        <v>1802</v>
      </c>
      <c r="G1058" s="754" t="s">
        <v>1803</v>
      </c>
      <c r="H1058" s="754" t="s">
        <v>43</v>
      </c>
      <c r="I1058" s="754" t="s">
        <v>1352</v>
      </c>
      <c r="J1058" s="754" t="s">
        <v>45</v>
      </c>
      <c r="K1058" s="754" t="s">
        <v>45</v>
      </c>
      <c r="L1058" s="754" t="s">
        <v>45</v>
      </c>
      <c r="M1058" s="754" t="s">
        <v>46</v>
      </c>
      <c r="N1058" s="754">
        <v>23.463000000000001</v>
      </c>
      <c r="O1058" s="754">
        <v>98.248999999999995</v>
      </c>
      <c r="P1058" s="754" t="s">
        <v>775</v>
      </c>
      <c r="Q1058" s="754" t="s">
        <v>794</v>
      </c>
      <c r="R1058" s="763">
        <v>19</v>
      </c>
      <c r="S1058" s="763">
        <v>89</v>
      </c>
      <c r="T1058" s="783"/>
      <c r="U1058" s="765"/>
      <c r="V1058" s="754" t="s">
        <v>986</v>
      </c>
      <c r="W1058" s="571" t="s">
        <v>2263</v>
      </c>
    </row>
    <row r="1059" spans="1:23" ht="14.25" customHeight="1">
      <c r="A1059" s="663" t="s">
        <v>716</v>
      </c>
      <c r="B1059" s="792" t="s">
        <v>720</v>
      </c>
      <c r="C1059" s="663" t="s">
        <v>1134</v>
      </c>
      <c r="D1059" s="761" t="s">
        <v>1693</v>
      </c>
      <c r="E1059" s="754"/>
      <c r="F1059" s="754"/>
      <c r="G1059" s="754"/>
      <c r="H1059" s="754"/>
      <c r="I1059" s="754"/>
      <c r="J1059" s="754" t="s">
        <v>1481</v>
      </c>
      <c r="K1059" s="754" t="s">
        <v>45</v>
      </c>
      <c r="L1059" s="754" t="s">
        <v>1113</v>
      </c>
      <c r="M1059" s="754" t="s">
        <v>46</v>
      </c>
      <c r="N1059" s="754"/>
      <c r="O1059" s="754"/>
      <c r="P1059" s="754" t="s">
        <v>775</v>
      </c>
      <c r="Q1059" s="754" t="s">
        <v>794</v>
      </c>
      <c r="R1059" s="771"/>
      <c r="S1059" s="764"/>
      <c r="T1059" s="783"/>
      <c r="U1059" s="765" t="s">
        <v>1109</v>
      </c>
      <c r="V1059" s="754" t="s">
        <v>1135</v>
      </c>
      <c r="W1059" s="763"/>
    </row>
    <row r="1060" spans="1:23" ht="14.25" customHeight="1">
      <c r="A1060" s="663" t="s">
        <v>716</v>
      </c>
      <c r="B1060" s="792" t="s">
        <v>720</v>
      </c>
      <c r="C1060" s="663" t="s">
        <v>732</v>
      </c>
      <c r="D1060" s="637" t="s">
        <v>3257</v>
      </c>
      <c r="E1060" s="754" t="s">
        <v>1461</v>
      </c>
      <c r="F1060" s="754" t="s">
        <v>1805</v>
      </c>
      <c r="G1060" s="754" t="s">
        <v>1806</v>
      </c>
      <c r="H1060" s="754" t="s">
        <v>43</v>
      </c>
      <c r="I1060" s="754" t="s">
        <v>3038</v>
      </c>
      <c r="J1060" s="754" t="s">
        <v>45</v>
      </c>
      <c r="K1060" s="754" t="s">
        <v>45</v>
      </c>
      <c r="L1060" s="754" t="s">
        <v>45</v>
      </c>
      <c r="M1060" s="754" t="s">
        <v>46</v>
      </c>
      <c r="N1060" s="754">
        <v>23.694130000000001</v>
      </c>
      <c r="O1060" s="754">
        <v>97.818979999999996</v>
      </c>
      <c r="P1060" s="754" t="s">
        <v>775</v>
      </c>
      <c r="Q1060" s="754" t="s">
        <v>794</v>
      </c>
      <c r="R1060" s="763">
        <v>56</v>
      </c>
      <c r="S1060" s="763">
        <v>263</v>
      </c>
      <c r="T1060" s="783"/>
      <c r="U1060" s="765"/>
      <c r="V1060" s="754" t="s">
        <v>732</v>
      </c>
      <c r="W1060" s="571" t="s">
        <v>2264</v>
      </c>
    </row>
    <row r="1061" spans="1:23" ht="14.25" customHeight="1">
      <c r="A1061" s="663" t="s">
        <v>716</v>
      </c>
      <c r="B1061" s="792" t="s">
        <v>720</v>
      </c>
      <c r="C1061" s="663" t="s">
        <v>2198</v>
      </c>
      <c r="D1061" s="637" t="s">
        <v>3257</v>
      </c>
      <c r="E1061" s="754" t="s">
        <v>1460</v>
      </c>
      <c r="F1061" s="754"/>
      <c r="G1061" s="754"/>
      <c r="H1061" s="754" t="s">
        <v>43</v>
      </c>
      <c r="I1061" s="754" t="s">
        <v>1352</v>
      </c>
      <c r="J1061" s="754" t="s">
        <v>45</v>
      </c>
      <c r="K1061" s="754" t="s">
        <v>45</v>
      </c>
      <c r="L1061" s="754" t="s">
        <v>45</v>
      </c>
      <c r="M1061" s="754" t="s">
        <v>46</v>
      </c>
      <c r="N1061" s="754">
        <v>23.682887999999998</v>
      </c>
      <c r="O1061" s="754">
        <v>97.810101000000003</v>
      </c>
      <c r="P1061" s="754" t="s">
        <v>775</v>
      </c>
      <c r="Q1061" s="754" t="s">
        <v>794</v>
      </c>
      <c r="R1061" s="763">
        <v>36</v>
      </c>
      <c r="S1061" s="763">
        <v>120</v>
      </c>
      <c r="T1061" s="783" t="s">
        <v>819</v>
      </c>
      <c r="U1061" s="765"/>
      <c r="V1061" s="754"/>
      <c r="W1061" s="571" t="s">
        <v>2265</v>
      </c>
    </row>
    <row r="1062" spans="1:23" ht="14.25" customHeight="1">
      <c r="A1062" s="663" t="s">
        <v>716</v>
      </c>
      <c r="B1062" s="792" t="s">
        <v>720</v>
      </c>
      <c r="C1062" s="663" t="s">
        <v>743</v>
      </c>
      <c r="D1062" s="637" t="s">
        <v>3257</v>
      </c>
      <c r="E1062" s="754" t="s">
        <v>1451</v>
      </c>
      <c r="F1062" s="754" t="s">
        <v>1706</v>
      </c>
      <c r="G1062" s="754">
        <v>0</v>
      </c>
      <c r="H1062" s="754" t="s">
        <v>43</v>
      </c>
      <c r="I1062" s="754" t="s">
        <v>1352</v>
      </c>
      <c r="J1062" s="754" t="s">
        <v>45</v>
      </c>
      <c r="K1062" s="754" t="s">
        <v>982</v>
      </c>
      <c r="L1062" s="754" t="s">
        <v>45</v>
      </c>
      <c r="M1062" s="754" t="s">
        <v>46</v>
      </c>
      <c r="N1062" s="754">
        <v>23.447111</v>
      </c>
      <c r="O1062" s="754">
        <v>97.868876999999998</v>
      </c>
      <c r="P1062" s="754" t="s">
        <v>775</v>
      </c>
      <c r="Q1062" s="754" t="s">
        <v>776</v>
      </c>
      <c r="R1062" s="763">
        <v>105</v>
      </c>
      <c r="S1062" s="763">
        <v>642</v>
      </c>
      <c r="T1062" s="783"/>
      <c r="U1062" s="765"/>
      <c r="V1062" s="754"/>
      <c r="W1062" s="571" t="s">
        <v>2266</v>
      </c>
    </row>
    <row r="1063" spans="1:23" ht="14.25" customHeight="1">
      <c r="A1063" s="663" t="s">
        <v>716</v>
      </c>
      <c r="B1063" s="792" t="s">
        <v>720</v>
      </c>
      <c r="C1063" s="663" t="s">
        <v>763</v>
      </c>
      <c r="D1063" s="637" t="s">
        <v>3257</v>
      </c>
      <c r="E1063" s="754" t="s">
        <v>1942</v>
      </c>
      <c r="F1063" s="754" t="s">
        <v>763</v>
      </c>
      <c r="G1063" s="754" t="s">
        <v>763</v>
      </c>
      <c r="H1063" s="754" t="s">
        <v>43</v>
      </c>
      <c r="I1063" s="754" t="s">
        <v>1352</v>
      </c>
      <c r="J1063" s="754" t="s">
        <v>45</v>
      </c>
      <c r="K1063" s="754" t="s">
        <v>45</v>
      </c>
      <c r="L1063" s="754" t="s">
        <v>45</v>
      </c>
      <c r="M1063" s="754" t="s">
        <v>46</v>
      </c>
      <c r="N1063" s="754">
        <v>0</v>
      </c>
      <c r="O1063" s="754">
        <v>0</v>
      </c>
      <c r="P1063" s="754" t="s">
        <v>775</v>
      </c>
      <c r="Q1063" s="754"/>
      <c r="R1063" s="763">
        <v>36</v>
      </c>
      <c r="S1063" s="763">
        <v>192</v>
      </c>
      <c r="T1063" s="783"/>
      <c r="U1063" s="765" t="s">
        <v>1167</v>
      </c>
      <c r="V1063" s="754"/>
      <c r="W1063" s="571" t="s">
        <v>2267</v>
      </c>
    </row>
    <row r="1064" spans="1:23" ht="14.25" customHeight="1">
      <c r="A1064" s="663" t="s">
        <v>716</v>
      </c>
      <c r="B1064" s="792" t="s">
        <v>720</v>
      </c>
      <c r="C1064" s="663" t="s">
        <v>739</v>
      </c>
      <c r="D1064" s="637" t="s">
        <v>3257</v>
      </c>
      <c r="E1064" s="754" t="s">
        <v>1448</v>
      </c>
      <c r="F1064" s="754" t="s">
        <v>1706</v>
      </c>
      <c r="G1064" s="754" t="s">
        <v>1707</v>
      </c>
      <c r="H1064" s="754" t="s">
        <v>43</v>
      </c>
      <c r="I1064" s="754" t="s">
        <v>3038</v>
      </c>
      <c r="J1064" s="754" t="s">
        <v>45</v>
      </c>
      <c r="K1064" s="754" t="s">
        <v>982</v>
      </c>
      <c r="L1064" s="754" t="s">
        <v>45</v>
      </c>
      <c r="M1064" s="754" t="s">
        <v>46</v>
      </c>
      <c r="N1064" s="754">
        <v>23.38503</v>
      </c>
      <c r="O1064" s="754">
        <v>97.837040000000002</v>
      </c>
      <c r="P1064" s="754" t="s">
        <v>775</v>
      </c>
      <c r="Q1064" s="754" t="s">
        <v>794</v>
      </c>
      <c r="R1064" s="763">
        <v>205</v>
      </c>
      <c r="S1064" s="763">
        <v>1053</v>
      </c>
      <c r="T1064" s="783"/>
      <c r="U1064" s="765"/>
      <c r="V1064" s="754" t="s">
        <v>739</v>
      </c>
      <c r="W1064" s="571" t="s">
        <v>2268</v>
      </c>
    </row>
    <row r="1065" spans="1:23" ht="14.25" customHeight="1">
      <c r="A1065" s="663" t="s">
        <v>716</v>
      </c>
      <c r="B1065" s="792" t="s">
        <v>1272</v>
      </c>
      <c r="C1065" s="663" t="s">
        <v>3260</v>
      </c>
      <c r="D1065" s="761"/>
      <c r="E1065" s="754"/>
      <c r="F1065" s="754"/>
      <c r="G1065" s="754"/>
      <c r="H1065" s="754"/>
      <c r="I1065" s="754"/>
      <c r="J1065" s="754" t="s">
        <v>1481</v>
      </c>
      <c r="K1065" s="754" t="s">
        <v>45</v>
      </c>
      <c r="L1065" s="754" t="s">
        <v>790</v>
      </c>
      <c r="M1065" s="754" t="s">
        <v>46</v>
      </c>
      <c r="N1065" s="754"/>
      <c r="O1065" s="754"/>
      <c r="P1065" s="754" t="s">
        <v>775</v>
      </c>
      <c r="Q1065" s="754" t="s">
        <v>3261</v>
      </c>
      <c r="R1065" s="771"/>
      <c r="S1065" s="764"/>
      <c r="T1065" s="783"/>
      <c r="U1065" s="765"/>
      <c r="V1065" s="763"/>
      <c r="W1065" s="824"/>
    </row>
    <row r="1066" spans="1:23" ht="14.25" customHeight="1">
      <c r="A1066" s="663" t="s">
        <v>716</v>
      </c>
      <c r="B1066" s="792" t="s">
        <v>1272</v>
      </c>
      <c r="C1066" s="663" t="s">
        <v>1334</v>
      </c>
      <c r="D1066" s="761" t="s">
        <v>1913</v>
      </c>
      <c r="E1066" s="754"/>
      <c r="F1066" s="754" t="s">
        <v>1914</v>
      </c>
      <c r="G1066" s="754"/>
      <c r="H1066" s="754"/>
      <c r="I1066" s="754"/>
      <c r="J1066" s="754" t="s">
        <v>1481</v>
      </c>
      <c r="K1066" s="754"/>
      <c r="L1066" s="754"/>
      <c r="M1066" s="754"/>
      <c r="N1066" s="754"/>
      <c r="O1066" s="754"/>
      <c r="P1066" s="754" t="s">
        <v>775</v>
      </c>
      <c r="Q1066" s="754"/>
      <c r="R1066" s="771"/>
      <c r="S1066" s="764"/>
      <c r="T1066" s="783"/>
      <c r="U1066" s="765"/>
      <c r="V1066" s="754"/>
      <c r="W1066" s="763"/>
    </row>
    <row r="1067" spans="1:23" ht="14.25" customHeight="1">
      <c r="A1067" s="663" t="s">
        <v>716</v>
      </c>
      <c r="B1067" s="792" t="s">
        <v>1272</v>
      </c>
      <c r="C1067" s="663" t="s">
        <v>3262</v>
      </c>
      <c r="D1067" s="761"/>
      <c r="E1067" s="754"/>
      <c r="F1067" s="754"/>
      <c r="G1067" s="754"/>
      <c r="H1067" s="754"/>
      <c r="I1067" s="754"/>
      <c r="J1067" s="754" t="s">
        <v>1481</v>
      </c>
      <c r="K1067" s="754" t="s">
        <v>45</v>
      </c>
      <c r="L1067" s="754" t="s">
        <v>790</v>
      </c>
      <c r="M1067" s="754" t="s">
        <v>46</v>
      </c>
      <c r="N1067" s="754"/>
      <c r="O1067" s="754"/>
      <c r="P1067" s="754" t="s">
        <v>775</v>
      </c>
      <c r="Q1067" s="754" t="s">
        <v>3261</v>
      </c>
      <c r="R1067" s="771"/>
      <c r="S1067" s="764"/>
      <c r="T1067" s="783">
        <v>43633</v>
      </c>
      <c r="U1067" s="771"/>
      <c r="V1067" s="754"/>
      <c r="W1067" s="763"/>
    </row>
    <row r="1068" spans="1:23" ht="14.25" customHeight="1">
      <c r="A1068" s="663" t="s">
        <v>716</v>
      </c>
      <c r="B1068" s="792" t="s">
        <v>1272</v>
      </c>
      <c r="C1068" s="663" t="s">
        <v>2625</v>
      </c>
      <c r="D1068" s="761"/>
      <c r="E1068" s="754"/>
      <c r="F1068" s="754"/>
      <c r="G1068" s="754"/>
      <c r="H1068" s="754"/>
      <c r="I1068" s="754"/>
      <c r="J1068" s="754" t="s">
        <v>3017</v>
      </c>
      <c r="K1068" s="754" t="s">
        <v>2935</v>
      </c>
      <c r="L1068" s="754" t="s">
        <v>2935</v>
      </c>
      <c r="M1068" s="754" t="s">
        <v>46</v>
      </c>
      <c r="N1068" s="754"/>
      <c r="O1068" s="754"/>
      <c r="P1068" s="754" t="s">
        <v>2044</v>
      </c>
      <c r="Q1068" s="754"/>
      <c r="R1068" s="771"/>
      <c r="S1068" s="764"/>
      <c r="T1068" s="783"/>
      <c r="U1068" s="765"/>
      <c r="V1068" s="754"/>
      <c r="W1068" s="763"/>
    </row>
    <row r="1069" spans="1:23" ht="14.25" customHeight="1">
      <c r="A1069" s="663" t="s">
        <v>716</v>
      </c>
      <c r="B1069" s="827" t="s">
        <v>1274</v>
      </c>
      <c r="C1069" s="828" t="s">
        <v>3281</v>
      </c>
      <c r="D1069" s="761"/>
      <c r="E1069" s="754"/>
      <c r="F1069" s="754"/>
      <c r="G1069" s="754"/>
      <c r="H1069" s="754"/>
      <c r="I1069" s="754"/>
      <c r="J1069" s="754" t="s">
        <v>812</v>
      </c>
      <c r="K1069" s="754" t="s">
        <v>812</v>
      </c>
      <c r="L1069" s="754" t="s">
        <v>812</v>
      </c>
      <c r="M1069" s="754" t="s">
        <v>46</v>
      </c>
      <c r="N1069" s="754"/>
      <c r="O1069" s="754"/>
      <c r="P1069" s="754"/>
      <c r="Q1069" s="754" t="s">
        <v>3261</v>
      </c>
      <c r="R1069" s="771"/>
      <c r="S1069" s="764"/>
      <c r="T1069" s="783">
        <v>43650</v>
      </c>
      <c r="U1069" s="771"/>
      <c r="V1069" s="754"/>
      <c r="W1069" s="763"/>
    </row>
    <row r="1070" spans="1:23" ht="14.25" customHeight="1">
      <c r="A1070" s="663" t="s">
        <v>716</v>
      </c>
      <c r="B1070" s="827" t="s">
        <v>1274</v>
      </c>
      <c r="C1070" s="827" t="s">
        <v>3279</v>
      </c>
      <c r="D1070" s="761"/>
      <c r="E1070" s="754"/>
      <c r="F1070" s="754"/>
      <c r="G1070" s="754"/>
      <c r="H1070" s="754"/>
      <c r="I1070" s="754"/>
      <c r="J1070" s="754" t="s">
        <v>812</v>
      </c>
      <c r="K1070" s="754" t="s">
        <v>812</v>
      </c>
      <c r="L1070" s="754" t="s">
        <v>812</v>
      </c>
      <c r="M1070" s="754" t="s">
        <v>46</v>
      </c>
      <c r="N1070" s="754"/>
      <c r="O1070" s="754"/>
      <c r="P1070" s="754"/>
      <c r="Q1070" s="754" t="s">
        <v>3261</v>
      </c>
      <c r="R1070" s="771"/>
      <c r="S1070" s="764"/>
      <c r="T1070" s="783">
        <v>43650</v>
      </c>
      <c r="U1070" s="771"/>
      <c r="V1070" s="754"/>
      <c r="W1070" s="763"/>
    </row>
    <row r="1071" spans="1:23" ht="14.25" customHeight="1">
      <c r="A1071" s="663" t="s">
        <v>716</v>
      </c>
      <c r="B1071" s="827" t="s">
        <v>1274</v>
      </c>
      <c r="C1071" s="828" t="s">
        <v>3280</v>
      </c>
      <c r="D1071" s="761"/>
      <c r="E1071" s="754"/>
      <c r="F1071" s="754"/>
      <c r="G1071" s="754"/>
      <c r="H1071" s="754"/>
      <c r="I1071" s="754"/>
      <c r="J1071" s="754" t="s">
        <v>812</v>
      </c>
      <c r="K1071" s="754" t="s">
        <v>812</v>
      </c>
      <c r="L1071" s="754" t="s">
        <v>812</v>
      </c>
      <c r="M1071" s="754" t="s">
        <v>46</v>
      </c>
      <c r="N1071" s="754"/>
      <c r="O1071" s="754"/>
      <c r="P1071" s="754"/>
      <c r="Q1071" s="754" t="s">
        <v>3261</v>
      </c>
      <c r="R1071" s="771"/>
      <c r="S1071" s="764"/>
      <c r="T1071" s="783">
        <v>43650</v>
      </c>
      <c r="U1071" s="771"/>
      <c r="V1071" s="754"/>
      <c r="W1071" s="763"/>
    </row>
    <row r="1072" spans="1:23" ht="14.25" customHeight="1">
      <c r="A1072" s="663" t="s">
        <v>716</v>
      </c>
      <c r="B1072" s="827" t="s">
        <v>1274</v>
      </c>
      <c r="C1072" s="828" t="s">
        <v>3282</v>
      </c>
      <c r="D1072" s="761"/>
      <c r="E1072" s="754"/>
      <c r="F1072" s="754"/>
      <c r="G1072" s="754"/>
      <c r="H1072" s="754"/>
      <c r="I1072" s="754"/>
      <c r="J1072" s="754" t="s">
        <v>812</v>
      </c>
      <c r="K1072" s="754" t="s">
        <v>812</v>
      </c>
      <c r="L1072" s="754" t="s">
        <v>812</v>
      </c>
      <c r="M1072" s="754" t="s">
        <v>46</v>
      </c>
      <c r="N1072" s="754"/>
      <c r="O1072" s="754"/>
      <c r="P1072" s="754"/>
      <c r="Q1072" s="754" t="s">
        <v>3261</v>
      </c>
      <c r="R1072" s="771"/>
      <c r="S1072" s="764"/>
      <c r="T1072" s="783">
        <v>43650</v>
      </c>
      <c r="U1072" s="771"/>
      <c r="V1072" s="754"/>
      <c r="W1072" s="763"/>
    </row>
    <row r="1073" spans="1:23" ht="14.25" customHeight="1">
      <c r="A1073" s="663" t="s">
        <v>716</v>
      </c>
      <c r="B1073" s="792" t="s">
        <v>723</v>
      </c>
      <c r="C1073" s="663" t="s">
        <v>1098</v>
      </c>
      <c r="D1073" s="761" t="s">
        <v>1693</v>
      </c>
      <c r="E1073" s="754"/>
      <c r="F1073" s="754"/>
      <c r="G1073" s="754"/>
      <c r="H1073" s="754"/>
      <c r="I1073" s="754"/>
      <c r="J1073" s="754" t="s">
        <v>812</v>
      </c>
      <c r="K1073" s="754" t="s">
        <v>812</v>
      </c>
      <c r="L1073" s="754" t="s">
        <v>812</v>
      </c>
      <c r="M1073" s="754"/>
      <c r="N1073" s="754"/>
      <c r="O1073" s="754"/>
      <c r="P1073" s="754" t="s">
        <v>813</v>
      </c>
      <c r="Q1073" s="754"/>
      <c r="R1073" s="771"/>
      <c r="S1073" s="764"/>
      <c r="T1073" s="783"/>
      <c r="U1073" s="765"/>
      <c r="V1073" s="754" t="s">
        <v>1099</v>
      </c>
      <c r="W1073" s="763"/>
    </row>
    <row r="1074" spans="1:23" ht="14.25" customHeight="1">
      <c r="A1074" s="663" t="s">
        <v>716</v>
      </c>
      <c r="B1074" s="792" t="s">
        <v>723</v>
      </c>
      <c r="C1074" s="663" t="s">
        <v>761</v>
      </c>
      <c r="D1074" s="761" t="s">
        <v>2328</v>
      </c>
      <c r="E1074" s="754" t="s">
        <v>1353</v>
      </c>
      <c r="F1074" s="754">
        <v>0</v>
      </c>
      <c r="G1074" s="754">
        <v>0</v>
      </c>
      <c r="H1074" s="754"/>
      <c r="I1074" s="754" t="s">
        <v>2199</v>
      </c>
      <c r="J1074" s="754" t="s">
        <v>45</v>
      </c>
      <c r="K1074" s="754" t="s">
        <v>45</v>
      </c>
      <c r="L1074" s="754" t="s">
        <v>774</v>
      </c>
      <c r="M1074" s="754" t="s">
        <v>46</v>
      </c>
      <c r="N1074" s="754"/>
      <c r="O1074" s="754"/>
      <c r="P1074" s="754" t="s">
        <v>775</v>
      </c>
      <c r="Q1074" s="754" t="s">
        <v>776</v>
      </c>
      <c r="R1074" s="771"/>
      <c r="S1074" s="764"/>
      <c r="T1074" s="783"/>
      <c r="U1074" s="765" t="s">
        <v>3046</v>
      </c>
      <c r="V1074" s="754"/>
      <c r="W1074" s="571" t="s">
        <v>2329</v>
      </c>
    </row>
    <row r="1075" spans="1:23" ht="14.25" customHeight="1">
      <c r="A1075" s="663" t="s">
        <v>716</v>
      </c>
      <c r="B1075" s="792" t="s">
        <v>723</v>
      </c>
      <c r="C1075" s="663" t="s">
        <v>749</v>
      </c>
      <c r="D1075" s="637" t="s">
        <v>3257</v>
      </c>
      <c r="E1075" s="754" t="s">
        <v>1444</v>
      </c>
      <c r="F1075" s="754" t="s">
        <v>1723</v>
      </c>
      <c r="G1075" s="754" t="s">
        <v>1743</v>
      </c>
      <c r="H1075" s="754" t="s">
        <v>43</v>
      </c>
      <c r="I1075" s="754" t="s">
        <v>3038</v>
      </c>
      <c r="J1075" s="754" t="s">
        <v>45</v>
      </c>
      <c r="K1075" s="754" t="s">
        <v>45</v>
      </c>
      <c r="L1075" s="754" t="s">
        <v>45</v>
      </c>
      <c r="M1075" s="754" t="s">
        <v>46</v>
      </c>
      <c r="N1075" s="754">
        <v>23.250678000000001</v>
      </c>
      <c r="O1075" s="754">
        <v>97.124403000000001</v>
      </c>
      <c r="P1075" s="754" t="s">
        <v>775</v>
      </c>
      <c r="Q1075" s="754" t="s">
        <v>794</v>
      </c>
      <c r="R1075" s="763">
        <v>29</v>
      </c>
      <c r="S1075" s="763">
        <v>158</v>
      </c>
      <c r="T1075" s="783"/>
      <c r="U1075" s="765"/>
      <c r="V1075" s="754" t="s">
        <v>749</v>
      </c>
      <c r="W1075" s="571" t="s">
        <v>2269</v>
      </c>
    </row>
    <row r="1076" spans="1:23" ht="14.25" customHeight="1">
      <c r="A1076" s="663" t="s">
        <v>716</v>
      </c>
      <c r="B1076" s="792" t="s">
        <v>723</v>
      </c>
      <c r="C1076" s="663" t="s">
        <v>724</v>
      </c>
      <c r="D1076" s="637" t="s">
        <v>3257</v>
      </c>
      <c r="E1076" s="754" t="s">
        <v>1443</v>
      </c>
      <c r="F1076" s="754" t="s">
        <v>1723</v>
      </c>
      <c r="G1076" s="754" t="s">
        <v>1743</v>
      </c>
      <c r="H1076" s="754" t="s">
        <v>43</v>
      </c>
      <c r="I1076" s="754" t="s">
        <v>1352</v>
      </c>
      <c r="J1076" s="754" t="s">
        <v>45</v>
      </c>
      <c r="K1076" s="754" t="s">
        <v>45</v>
      </c>
      <c r="L1076" s="754" t="s">
        <v>45</v>
      </c>
      <c r="M1076" s="754" t="s">
        <v>46</v>
      </c>
      <c r="N1076" s="754">
        <v>23.24661</v>
      </c>
      <c r="O1076" s="754">
        <v>97.116680000000002</v>
      </c>
      <c r="P1076" s="754" t="s">
        <v>775</v>
      </c>
      <c r="Q1076" s="754" t="s">
        <v>794</v>
      </c>
      <c r="R1076" s="763">
        <v>30</v>
      </c>
      <c r="S1076" s="763">
        <v>155</v>
      </c>
      <c r="T1076" s="783"/>
      <c r="U1076" s="765"/>
      <c r="V1076" s="754" t="s">
        <v>724</v>
      </c>
      <c r="W1076" s="571" t="s">
        <v>2270</v>
      </c>
    </row>
    <row r="1077" spans="1:23" ht="14.25" customHeight="1">
      <c r="A1077" s="663" t="s">
        <v>716</v>
      </c>
      <c r="B1077" s="792" t="s">
        <v>726</v>
      </c>
      <c r="C1077" s="663" t="s">
        <v>773</v>
      </c>
      <c r="D1077" s="761" t="s">
        <v>1694</v>
      </c>
      <c r="E1077" s="754" t="s">
        <v>1338</v>
      </c>
      <c r="F1077" s="754" t="s">
        <v>1712</v>
      </c>
      <c r="G1077" s="754" t="s">
        <v>1713</v>
      </c>
      <c r="H1077" s="754"/>
      <c r="I1077" s="754">
        <v>0</v>
      </c>
      <c r="J1077" s="754" t="s">
        <v>45</v>
      </c>
      <c r="K1077" s="754" t="s">
        <v>45</v>
      </c>
      <c r="L1077" s="754" t="s">
        <v>774</v>
      </c>
      <c r="M1077" s="754" t="s">
        <v>46</v>
      </c>
      <c r="N1077" s="754"/>
      <c r="O1077" s="754"/>
      <c r="P1077" s="754" t="s">
        <v>775</v>
      </c>
      <c r="Q1077" s="754" t="s">
        <v>776</v>
      </c>
      <c r="R1077" s="771"/>
      <c r="S1077" s="764"/>
      <c r="T1077" s="783">
        <v>42832</v>
      </c>
      <c r="U1077" s="765"/>
      <c r="V1077" s="754"/>
      <c r="W1077" s="571" t="s">
        <v>2271</v>
      </c>
    </row>
    <row r="1078" spans="1:23" ht="14.25" customHeight="1">
      <c r="A1078" s="663" t="s">
        <v>716</v>
      </c>
      <c r="B1078" s="792" t="s">
        <v>726</v>
      </c>
      <c r="C1078" s="663" t="s">
        <v>777</v>
      </c>
      <c r="D1078" s="761" t="s">
        <v>1694</v>
      </c>
      <c r="E1078" s="754" t="s">
        <v>1339</v>
      </c>
      <c r="F1078" s="754" t="s">
        <v>1712</v>
      </c>
      <c r="G1078" s="754" t="s">
        <v>1714</v>
      </c>
      <c r="H1078" s="754"/>
      <c r="I1078" s="754">
        <v>0</v>
      </c>
      <c r="J1078" s="754" t="s">
        <v>45</v>
      </c>
      <c r="K1078" s="754" t="s">
        <v>45</v>
      </c>
      <c r="L1078" s="754" t="s">
        <v>774</v>
      </c>
      <c r="M1078" s="754" t="s">
        <v>46</v>
      </c>
      <c r="N1078" s="754"/>
      <c r="O1078" s="754"/>
      <c r="P1078" s="754" t="s">
        <v>775</v>
      </c>
      <c r="Q1078" s="754" t="s">
        <v>776</v>
      </c>
      <c r="R1078" s="771"/>
      <c r="S1078" s="764"/>
      <c r="T1078" s="783"/>
      <c r="U1078" s="765"/>
      <c r="V1078" s="754">
        <v>42920</v>
      </c>
      <c r="W1078" s="571" t="s">
        <v>2271</v>
      </c>
    </row>
    <row r="1079" spans="1:23" ht="14.25" customHeight="1">
      <c r="A1079" s="663" t="s">
        <v>716</v>
      </c>
      <c r="B1079" s="792" t="s">
        <v>726</v>
      </c>
      <c r="C1079" s="663" t="s">
        <v>778</v>
      </c>
      <c r="D1079" s="761" t="s">
        <v>1694</v>
      </c>
      <c r="E1079" s="754" t="s">
        <v>1340</v>
      </c>
      <c r="F1079" s="754" t="s">
        <v>1712</v>
      </c>
      <c r="G1079" s="754" t="s">
        <v>1714</v>
      </c>
      <c r="H1079" s="754"/>
      <c r="I1079" s="754">
        <v>0</v>
      </c>
      <c r="J1079" s="754" t="s">
        <v>45</v>
      </c>
      <c r="K1079" s="754" t="s">
        <v>45</v>
      </c>
      <c r="L1079" s="754" t="s">
        <v>774</v>
      </c>
      <c r="M1079" s="754" t="s">
        <v>46</v>
      </c>
      <c r="N1079" s="754"/>
      <c r="O1079" s="754"/>
      <c r="P1079" s="754" t="s">
        <v>775</v>
      </c>
      <c r="Q1079" s="754" t="s">
        <v>776</v>
      </c>
      <c r="R1079" s="771"/>
      <c r="S1079" s="764"/>
      <c r="T1079" s="783"/>
      <c r="U1079" s="765"/>
      <c r="V1079" s="754">
        <v>42920</v>
      </c>
      <c r="W1079" s="571" t="s">
        <v>2271</v>
      </c>
    </row>
    <row r="1080" spans="1:23" ht="14.25" customHeight="1">
      <c r="A1080" s="663" t="s">
        <v>716</v>
      </c>
      <c r="B1080" s="792" t="s">
        <v>726</v>
      </c>
      <c r="C1080" s="663" t="s">
        <v>999</v>
      </c>
      <c r="D1080" s="761" t="s">
        <v>1694</v>
      </c>
      <c r="E1080" s="754" t="s">
        <v>1477</v>
      </c>
      <c r="F1080" s="754" t="s">
        <v>1730</v>
      </c>
      <c r="G1080" s="754" t="s">
        <v>1731</v>
      </c>
      <c r="H1080" s="754"/>
      <c r="I1080" s="754">
        <v>0</v>
      </c>
      <c r="J1080" s="754" t="s">
        <v>45</v>
      </c>
      <c r="K1080" s="754" t="s">
        <v>45</v>
      </c>
      <c r="L1080" s="754" t="s">
        <v>774</v>
      </c>
      <c r="M1080" s="754" t="s">
        <v>46</v>
      </c>
      <c r="N1080" s="754">
        <v>23.917631</v>
      </c>
      <c r="O1080" s="754">
        <v>98.116817999999995</v>
      </c>
      <c r="P1080" s="754" t="s">
        <v>775</v>
      </c>
      <c r="Q1080" s="754" t="s">
        <v>776</v>
      </c>
      <c r="R1080" s="771"/>
      <c r="S1080" s="764"/>
      <c r="T1080" s="783">
        <v>42836</v>
      </c>
      <c r="U1080" s="765"/>
      <c r="V1080" s="754"/>
      <c r="W1080" s="571" t="s">
        <v>2272</v>
      </c>
    </row>
    <row r="1081" spans="1:23" ht="14.25" customHeight="1">
      <c r="A1081" s="663" t="s">
        <v>716</v>
      </c>
      <c r="B1081" s="792" t="s">
        <v>726</v>
      </c>
      <c r="C1081" s="663" t="s">
        <v>756</v>
      </c>
      <c r="D1081" s="637" t="s">
        <v>3257</v>
      </c>
      <c r="E1081" s="754" t="s">
        <v>1641</v>
      </c>
      <c r="F1081" s="754" t="s">
        <v>1885</v>
      </c>
      <c r="G1081" s="754" t="s">
        <v>756</v>
      </c>
      <c r="H1081" s="754" t="s">
        <v>43</v>
      </c>
      <c r="I1081" s="754" t="s">
        <v>3038</v>
      </c>
      <c r="J1081" s="754" t="s">
        <v>45</v>
      </c>
      <c r="K1081" s="754" t="s">
        <v>45</v>
      </c>
      <c r="L1081" s="754" t="s">
        <v>45</v>
      </c>
      <c r="M1081" s="754" t="s">
        <v>46</v>
      </c>
      <c r="N1081" s="754">
        <v>24.08738</v>
      </c>
      <c r="O1081" s="754">
        <v>98.115809999999996</v>
      </c>
      <c r="P1081" s="754" t="s">
        <v>775</v>
      </c>
      <c r="Q1081" s="754" t="s">
        <v>816</v>
      </c>
      <c r="R1081" s="763">
        <v>152</v>
      </c>
      <c r="S1081" s="763">
        <v>788</v>
      </c>
      <c r="T1081" s="783" t="s">
        <v>1097</v>
      </c>
      <c r="U1081" s="765"/>
      <c r="V1081" s="754"/>
      <c r="W1081" s="571" t="s">
        <v>2256</v>
      </c>
    </row>
    <row r="1082" spans="1:23" ht="14.25" customHeight="1">
      <c r="A1082" s="663" t="s">
        <v>716</v>
      </c>
      <c r="B1082" s="792" t="s">
        <v>726</v>
      </c>
      <c r="C1082" s="663" t="s">
        <v>760</v>
      </c>
      <c r="D1082" s="761" t="s">
        <v>1771</v>
      </c>
      <c r="E1082" s="754" t="s">
        <v>1488</v>
      </c>
      <c r="F1082" s="754" t="s">
        <v>756</v>
      </c>
      <c r="G1082" s="754" t="s">
        <v>756</v>
      </c>
      <c r="H1082" s="754"/>
      <c r="I1082" s="754">
        <v>0</v>
      </c>
      <c r="J1082" s="754" t="s">
        <v>45</v>
      </c>
      <c r="K1082" s="754" t="s">
        <v>45</v>
      </c>
      <c r="L1082" s="754" t="s">
        <v>774</v>
      </c>
      <c r="M1082" s="754" t="s">
        <v>46</v>
      </c>
      <c r="N1082" s="754">
        <v>24.08738</v>
      </c>
      <c r="O1082" s="754">
        <v>98.115809999999996</v>
      </c>
      <c r="P1082" s="754" t="s">
        <v>775</v>
      </c>
      <c r="Q1082" s="754" t="s">
        <v>794</v>
      </c>
      <c r="R1082" s="771"/>
      <c r="S1082" s="764"/>
      <c r="T1082" s="783">
        <v>43276</v>
      </c>
      <c r="U1082" s="765" t="s">
        <v>2035</v>
      </c>
      <c r="V1082" s="754" t="s">
        <v>760</v>
      </c>
      <c r="W1082" s="571" t="s">
        <v>2035</v>
      </c>
    </row>
    <row r="1083" spans="1:23" ht="14.25" customHeight="1">
      <c r="A1083" s="663" t="s">
        <v>716</v>
      </c>
      <c r="B1083" s="792" t="s">
        <v>726</v>
      </c>
      <c r="C1083" s="663" t="s">
        <v>767</v>
      </c>
      <c r="D1083" s="761" t="s">
        <v>1694</v>
      </c>
      <c r="E1083" s="754" t="s">
        <v>1347</v>
      </c>
      <c r="F1083" s="754">
        <v>0</v>
      </c>
      <c r="G1083" s="754">
        <v>0</v>
      </c>
      <c r="H1083" s="754"/>
      <c r="I1083" s="754">
        <v>0</v>
      </c>
      <c r="J1083" s="754" t="s">
        <v>45</v>
      </c>
      <c r="K1083" s="754" t="s">
        <v>45</v>
      </c>
      <c r="L1083" s="754" t="s">
        <v>774</v>
      </c>
      <c r="M1083" s="754" t="s">
        <v>46</v>
      </c>
      <c r="N1083" s="754"/>
      <c r="O1083" s="754"/>
      <c r="P1083" s="754" t="s">
        <v>775</v>
      </c>
      <c r="Q1083" s="754" t="s">
        <v>776</v>
      </c>
      <c r="R1083" s="771"/>
      <c r="S1083" s="764"/>
      <c r="T1083" s="783"/>
      <c r="U1083" s="765"/>
      <c r="V1083" s="754">
        <v>42920</v>
      </c>
      <c r="W1083" s="571" t="s">
        <v>2271</v>
      </c>
    </row>
    <row r="1084" spans="1:23" ht="14.25" customHeight="1">
      <c r="A1084" s="663" t="s">
        <v>716</v>
      </c>
      <c r="B1084" s="792" t="s">
        <v>726</v>
      </c>
      <c r="C1084" s="663" t="s">
        <v>784</v>
      </c>
      <c r="D1084" s="761" t="s">
        <v>1694</v>
      </c>
      <c r="E1084" s="754" t="s">
        <v>1348</v>
      </c>
      <c r="F1084" s="754" t="s">
        <v>1712</v>
      </c>
      <c r="G1084" s="754" t="s">
        <v>1714</v>
      </c>
      <c r="H1084" s="754"/>
      <c r="I1084" s="754">
        <v>0</v>
      </c>
      <c r="J1084" s="754" t="s">
        <v>45</v>
      </c>
      <c r="K1084" s="754" t="s">
        <v>45</v>
      </c>
      <c r="L1084" s="754" t="s">
        <v>774</v>
      </c>
      <c r="M1084" s="754" t="s">
        <v>46</v>
      </c>
      <c r="N1084" s="754"/>
      <c r="O1084" s="754"/>
      <c r="P1084" s="754" t="s">
        <v>775</v>
      </c>
      <c r="Q1084" s="754" t="s">
        <v>776</v>
      </c>
      <c r="R1084" s="771"/>
      <c r="S1084" s="764"/>
      <c r="T1084" s="783"/>
      <c r="U1084" s="765"/>
      <c r="V1084" s="754">
        <v>42920</v>
      </c>
      <c r="W1084" s="571" t="s">
        <v>2271</v>
      </c>
    </row>
    <row r="1085" spans="1:23" ht="14.25" customHeight="1">
      <c r="A1085" s="663" t="s">
        <v>716</v>
      </c>
      <c r="B1085" s="792" t="s">
        <v>726</v>
      </c>
      <c r="C1085" s="663" t="s">
        <v>1007</v>
      </c>
      <c r="D1085" s="761" t="s">
        <v>1693</v>
      </c>
      <c r="E1085" s="754" t="s">
        <v>1489</v>
      </c>
      <c r="F1085" s="754"/>
      <c r="G1085" s="754"/>
      <c r="H1085" s="754" t="s">
        <v>43</v>
      </c>
      <c r="I1085" s="754" t="s">
        <v>149</v>
      </c>
      <c r="J1085" s="754" t="s">
        <v>45</v>
      </c>
      <c r="K1085" s="754" t="s">
        <v>45</v>
      </c>
      <c r="L1085" s="754" t="s">
        <v>774</v>
      </c>
      <c r="M1085" s="754" t="s">
        <v>792</v>
      </c>
      <c r="N1085" s="754">
        <v>24.101320999999999</v>
      </c>
      <c r="O1085" s="754">
        <v>98.320651999999995</v>
      </c>
      <c r="P1085" s="754" t="s">
        <v>775</v>
      </c>
      <c r="Q1085" s="754"/>
      <c r="R1085" s="771"/>
      <c r="S1085" s="764"/>
      <c r="T1085" s="783"/>
      <c r="U1085" s="765"/>
      <c r="V1085" s="754" t="s">
        <v>1008</v>
      </c>
      <c r="W1085" s="571" t="s">
        <v>2273</v>
      </c>
    </row>
    <row r="1086" spans="1:23" ht="14.25" customHeight="1">
      <c r="A1086" s="663" t="s">
        <v>716</v>
      </c>
      <c r="B1086" s="792" t="s">
        <v>726</v>
      </c>
      <c r="C1086" s="663" t="s">
        <v>1006</v>
      </c>
      <c r="D1086" s="761" t="s">
        <v>1694</v>
      </c>
      <c r="E1086" s="754" t="s">
        <v>1486</v>
      </c>
      <c r="F1086" s="754" t="s">
        <v>1006</v>
      </c>
      <c r="G1086" s="754" t="s">
        <v>1006</v>
      </c>
      <c r="H1086" s="754"/>
      <c r="I1086" s="754">
        <v>0</v>
      </c>
      <c r="J1086" s="754" t="s">
        <v>45</v>
      </c>
      <c r="K1086" s="754" t="s">
        <v>45</v>
      </c>
      <c r="L1086" s="754" t="s">
        <v>774</v>
      </c>
      <c r="M1086" s="754" t="s">
        <v>792</v>
      </c>
      <c r="N1086" s="754">
        <v>24.008452999999999</v>
      </c>
      <c r="O1086" s="754">
        <v>98.054946000000001</v>
      </c>
      <c r="P1086" s="754" t="s">
        <v>775</v>
      </c>
      <c r="Q1086" s="754" t="s">
        <v>794</v>
      </c>
      <c r="R1086" s="771"/>
      <c r="S1086" s="764"/>
      <c r="T1086" s="783"/>
      <c r="U1086" s="765"/>
      <c r="V1086" s="754" t="s">
        <v>1006</v>
      </c>
      <c r="W1086" s="571" t="s">
        <v>2274</v>
      </c>
    </row>
    <row r="1087" spans="1:23" ht="14.25" customHeight="1">
      <c r="A1087" s="663" t="s">
        <v>716</v>
      </c>
      <c r="B1087" s="792" t="s">
        <v>726</v>
      </c>
      <c r="C1087" s="663" t="s">
        <v>751</v>
      </c>
      <c r="D1087" s="637" t="s">
        <v>3257</v>
      </c>
      <c r="E1087" s="754" t="s">
        <v>1484</v>
      </c>
      <c r="F1087" s="754" t="s">
        <v>1712</v>
      </c>
      <c r="G1087" s="754" t="s">
        <v>1714</v>
      </c>
      <c r="H1087" s="754"/>
      <c r="I1087" s="760" t="s">
        <v>2199</v>
      </c>
      <c r="J1087" s="754" t="s">
        <v>45</v>
      </c>
      <c r="K1087" s="754" t="s">
        <v>45</v>
      </c>
      <c r="L1087" s="760" t="s">
        <v>790</v>
      </c>
      <c r="M1087" s="754" t="s">
        <v>46</v>
      </c>
      <c r="N1087" s="754">
        <v>24.006319999999999</v>
      </c>
      <c r="O1087" s="754">
        <v>97.909400000000005</v>
      </c>
      <c r="P1087" s="754" t="s">
        <v>775</v>
      </c>
      <c r="Q1087" s="754" t="s">
        <v>794</v>
      </c>
      <c r="R1087" s="763">
        <v>40</v>
      </c>
      <c r="S1087" s="763">
        <v>180</v>
      </c>
      <c r="T1087" s="783"/>
      <c r="U1087" s="765"/>
      <c r="V1087" s="754" t="s">
        <v>1004</v>
      </c>
      <c r="W1087" s="571" t="s">
        <v>2275</v>
      </c>
    </row>
    <row r="1088" spans="1:23" ht="14.25" customHeight="1">
      <c r="A1088" s="663" t="s">
        <v>716</v>
      </c>
      <c r="B1088" s="792" t="s">
        <v>726</v>
      </c>
      <c r="C1088" s="663" t="s">
        <v>727</v>
      </c>
      <c r="D1088" s="637" t="s">
        <v>3257</v>
      </c>
      <c r="E1088" s="754" t="s">
        <v>1485</v>
      </c>
      <c r="F1088" s="754" t="s">
        <v>1712</v>
      </c>
      <c r="G1088" s="754" t="s">
        <v>1714</v>
      </c>
      <c r="H1088" s="754" t="s">
        <v>43</v>
      </c>
      <c r="I1088" s="754" t="s">
        <v>1352</v>
      </c>
      <c r="J1088" s="754" t="s">
        <v>45</v>
      </c>
      <c r="K1088" s="754" t="s">
        <v>45</v>
      </c>
      <c r="L1088" s="754" t="s">
        <v>45</v>
      </c>
      <c r="M1088" s="754" t="s">
        <v>46</v>
      </c>
      <c r="N1088" s="754">
        <v>24.006789000000001</v>
      </c>
      <c r="O1088" s="754">
        <v>97.911647000000002</v>
      </c>
      <c r="P1088" s="754" t="s">
        <v>775</v>
      </c>
      <c r="Q1088" s="754" t="s">
        <v>794</v>
      </c>
      <c r="R1088" s="763">
        <v>17</v>
      </c>
      <c r="S1088" s="763">
        <v>80</v>
      </c>
      <c r="T1088" s="783"/>
      <c r="U1088" s="765"/>
      <c r="V1088" s="754" t="s">
        <v>1005</v>
      </c>
      <c r="W1088" s="571" t="s">
        <v>2276</v>
      </c>
    </row>
    <row r="1089" spans="1:23" ht="14.25" customHeight="1">
      <c r="A1089" s="663" t="s">
        <v>716</v>
      </c>
      <c r="B1089" s="792" t="s">
        <v>726</v>
      </c>
      <c r="C1089" s="663" t="s">
        <v>731</v>
      </c>
      <c r="D1089" s="761" t="s">
        <v>1694</v>
      </c>
      <c r="E1089" s="754" t="s">
        <v>1356</v>
      </c>
      <c r="F1089" s="754" t="s">
        <v>1695</v>
      </c>
      <c r="G1089" s="754" t="s">
        <v>1696</v>
      </c>
      <c r="H1089" s="754"/>
      <c r="I1089" s="754">
        <v>0</v>
      </c>
      <c r="J1089" s="754" t="s">
        <v>45</v>
      </c>
      <c r="K1089" s="754" t="s">
        <v>45</v>
      </c>
      <c r="L1089" s="754" t="s">
        <v>774</v>
      </c>
      <c r="M1089" s="754" t="s">
        <v>792</v>
      </c>
      <c r="N1089" s="754">
        <v>23.933098999999999</v>
      </c>
      <c r="O1089" s="754">
        <v>98.139397000000002</v>
      </c>
      <c r="P1089" s="754" t="s">
        <v>775</v>
      </c>
      <c r="Q1089" s="754" t="s">
        <v>794</v>
      </c>
      <c r="R1089" s="771"/>
      <c r="S1089" s="764"/>
      <c r="T1089" s="783"/>
      <c r="U1089" s="765"/>
      <c r="V1089" s="754" t="s">
        <v>731</v>
      </c>
      <c r="W1089" s="763" t="s">
        <v>2277</v>
      </c>
    </row>
    <row r="1090" spans="1:23" ht="14.25" customHeight="1">
      <c r="A1090" s="663" t="s">
        <v>716</v>
      </c>
      <c r="B1090" s="792" t="s">
        <v>726</v>
      </c>
      <c r="C1090" s="663" t="s">
        <v>1000</v>
      </c>
      <c r="D1090" s="761" t="s">
        <v>1694</v>
      </c>
      <c r="E1090" s="754" t="s">
        <v>1480</v>
      </c>
      <c r="F1090" s="754" t="s">
        <v>1732</v>
      </c>
      <c r="G1090" s="754" t="s">
        <v>1733</v>
      </c>
      <c r="H1090" s="754"/>
      <c r="I1090" s="754">
        <v>0</v>
      </c>
      <c r="J1090" s="754" t="s">
        <v>45</v>
      </c>
      <c r="K1090" s="754" t="s">
        <v>45</v>
      </c>
      <c r="L1090" s="754" t="s">
        <v>774</v>
      </c>
      <c r="M1090" s="754" t="s">
        <v>46</v>
      </c>
      <c r="N1090" s="754">
        <v>23.978088</v>
      </c>
      <c r="O1090" s="754">
        <v>98.129380999999995</v>
      </c>
      <c r="P1090" s="754" t="s">
        <v>775</v>
      </c>
      <c r="Q1090" s="754" t="s">
        <v>776</v>
      </c>
      <c r="R1090" s="771"/>
      <c r="S1090" s="764"/>
      <c r="T1090" s="783">
        <v>42836</v>
      </c>
      <c r="U1090" s="765"/>
      <c r="V1090" s="754"/>
      <c r="W1090" s="571" t="s">
        <v>2272</v>
      </c>
    </row>
    <row r="1091" spans="1:23" ht="14.25" customHeight="1">
      <c r="A1091" s="663" t="s">
        <v>716</v>
      </c>
      <c r="B1091" s="792" t="s">
        <v>726</v>
      </c>
      <c r="C1091" s="663" t="s">
        <v>796</v>
      </c>
      <c r="D1091" s="761" t="s">
        <v>1694</v>
      </c>
      <c r="E1091" s="754" t="s">
        <v>1358</v>
      </c>
      <c r="F1091" s="754" t="s">
        <v>1718</v>
      </c>
      <c r="G1091" s="754" t="s">
        <v>1719</v>
      </c>
      <c r="H1091" s="754"/>
      <c r="I1091" s="754">
        <v>0</v>
      </c>
      <c r="J1091" s="754" t="s">
        <v>45</v>
      </c>
      <c r="K1091" s="754" t="s">
        <v>45</v>
      </c>
      <c r="L1091" s="754" t="s">
        <v>774</v>
      </c>
      <c r="M1091" s="754" t="s">
        <v>46</v>
      </c>
      <c r="N1091" s="754"/>
      <c r="O1091" s="754"/>
      <c r="P1091" s="754" t="s">
        <v>775</v>
      </c>
      <c r="Q1091" s="754" t="s">
        <v>776</v>
      </c>
      <c r="R1091" s="771"/>
      <c r="S1091" s="764"/>
      <c r="T1091" s="783">
        <v>42832</v>
      </c>
      <c r="U1091" s="765"/>
      <c r="V1091" s="754"/>
      <c r="W1091" s="571" t="s">
        <v>2271</v>
      </c>
    </row>
    <row r="1092" spans="1:23" ht="14.25" customHeight="1">
      <c r="A1092" s="663" t="s">
        <v>716</v>
      </c>
      <c r="B1092" s="792" t="s">
        <v>726</v>
      </c>
      <c r="C1092" s="663" t="s">
        <v>804</v>
      </c>
      <c r="D1092" s="761" t="s">
        <v>1694</v>
      </c>
      <c r="E1092" s="754" t="s">
        <v>1363</v>
      </c>
      <c r="F1092" s="754" t="s">
        <v>1712</v>
      </c>
      <c r="G1092" s="754" t="s">
        <v>1714</v>
      </c>
      <c r="H1092" s="754"/>
      <c r="I1092" s="754">
        <v>0</v>
      </c>
      <c r="J1092" s="754" t="s">
        <v>45</v>
      </c>
      <c r="K1092" s="754" t="s">
        <v>45</v>
      </c>
      <c r="L1092" s="754" t="s">
        <v>774</v>
      </c>
      <c r="M1092" s="754" t="s">
        <v>46</v>
      </c>
      <c r="N1092" s="754"/>
      <c r="O1092" s="754"/>
      <c r="P1092" s="754" t="s">
        <v>775</v>
      </c>
      <c r="Q1092" s="754" t="s">
        <v>776</v>
      </c>
      <c r="R1092" s="771"/>
      <c r="S1092" s="764"/>
      <c r="T1092" s="783">
        <v>42832</v>
      </c>
      <c r="U1092" s="765"/>
      <c r="V1092" s="754"/>
      <c r="W1092" s="571" t="s">
        <v>2271</v>
      </c>
    </row>
    <row r="1093" spans="1:23" ht="14.25" customHeight="1">
      <c r="A1093" s="663" t="s">
        <v>716</v>
      </c>
      <c r="B1093" s="792" t="s">
        <v>726</v>
      </c>
      <c r="C1093" s="663" t="s">
        <v>806</v>
      </c>
      <c r="D1093" s="761" t="s">
        <v>1694</v>
      </c>
      <c r="E1093" s="754" t="s">
        <v>1365</v>
      </c>
      <c r="F1093" s="754">
        <v>0</v>
      </c>
      <c r="G1093" s="754">
        <v>0</v>
      </c>
      <c r="H1093" s="754"/>
      <c r="I1093" s="754">
        <v>0</v>
      </c>
      <c r="J1093" s="754" t="s">
        <v>45</v>
      </c>
      <c r="K1093" s="754" t="s">
        <v>45</v>
      </c>
      <c r="L1093" s="754" t="s">
        <v>774</v>
      </c>
      <c r="M1093" s="754" t="s">
        <v>46</v>
      </c>
      <c r="N1093" s="754"/>
      <c r="O1093" s="754"/>
      <c r="P1093" s="754" t="s">
        <v>775</v>
      </c>
      <c r="Q1093" s="754" t="s">
        <v>776</v>
      </c>
      <c r="R1093" s="771"/>
      <c r="S1093" s="764"/>
      <c r="T1093" s="783">
        <v>42832</v>
      </c>
      <c r="U1093" s="765"/>
      <c r="V1093" s="754"/>
      <c r="W1093" s="571" t="s">
        <v>2271</v>
      </c>
    </row>
    <row r="1094" spans="1:23" ht="14.25" customHeight="1">
      <c r="A1094" s="663" t="s">
        <v>716</v>
      </c>
      <c r="B1094" s="792" t="s">
        <v>717</v>
      </c>
      <c r="C1094" s="663" t="s">
        <v>762</v>
      </c>
      <c r="D1094" s="637" t="s">
        <v>3257</v>
      </c>
      <c r="E1094" s="754" t="s">
        <v>1458</v>
      </c>
      <c r="F1094" s="754" t="s">
        <v>1727</v>
      </c>
      <c r="G1094" s="754" t="s">
        <v>1727</v>
      </c>
      <c r="H1094" s="754"/>
      <c r="I1094" s="760" t="s">
        <v>2199</v>
      </c>
      <c r="J1094" s="754" t="s">
        <v>45</v>
      </c>
      <c r="K1094" s="754" t="s">
        <v>45</v>
      </c>
      <c r="L1094" s="754" t="s">
        <v>790</v>
      </c>
      <c r="M1094" s="754" t="s">
        <v>46</v>
      </c>
      <c r="N1094" s="754">
        <v>23.611999999999998</v>
      </c>
      <c r="O1094" s="754">
        <v>97.506</v>
      </c>
      <c r="P1094" s="754" t="s">
        <v>775</v>
      </c>
      <c r="Q1094" s="754" t="s">
        <v>776</v>
      </c>
      <c r="R1094" s="763">
        <v>62</v>
      </c>
      <c r="S1094" s="763">
        <v>328</v>
      </c>
      <c r="T1094" s="783"/>
      <c r="U1094" s="765" t="s">
        <v>987</v>
      </c>
      <c r="V1094" s="754"/>
      <c r="W1094" s="571" t="s">
        <v>2278</v>
      </c>
    </row>
    <row r="1095" spans="1:23" ht="14.25" customHeight="1">
      <c r="A1095" s="663" t="s">
        <v>716</v>
      </c>
      <c r="B1095" s="792" t="s">
        <v>717</v>
      </c>
      <c r="C1095" s="663" t="s">
        <v>988</v>
      </c>
      <c r="D1095" s="761" t="s">
        <v>1694</v>
      </c>
      <c r="E1095" s="754" t="s">
        <v>1459</v>
      </c>
      <c r="F1095" s="754" t="s">
        <v>1727</v>
      </c>
      <c r="G1095" s="754" t="s">
        <v>1727</v>
      </c>
      <c r="H1095" s="754"/>
      <c r="I1095" s="754">
        <v>0</v>
      </c>
      <c r="J1095" s="754" t="s">
        <v>45</v>
      </c>
      <c r="K1095" s="754" t="s">
        <v>45</v>
      </c>
      <c r="L1095" s="754" t="s">
        <v>774</v>
      </c>
      <c r="M1095" s="754" t="s">
        <v>46</v>
      </c>
      <c r="N1095" s="754">
        <v>23.611999999999998</v>
      </c>
      <c r="O1095" s="754">
        <v>97.504999999999995</v>
      </c>
      <c r="P1095" s="754" t="s">
        <v>775</v>
      </c>
      <c r="Q1095" s="754" t="s">
        <v>776</v>
      </c>
      <c r="R1095" s="771"/>
      <c r="S1095" s="764"/>
      <c r="T1095" s="783"/>
      <c r="U1095" s="765"/>
      <c r="V1095" s="754"/>
      <c r="W1095" s="571" t="s">
        <v>2279</v>
      </c>
    </row>
    <row r="1096" spans="1:23" ht="14.25" customHeight="1">
      <c r="A1096" s="768" t="s">
        <v>716</v>
      </c>
      <c r="B1096" s="792" t="s">
        <v>717</v>
      </c>
      <c r="C1096" s="663" t="s">
        <v>728</v>
      </c>
      <c r="D1096" s="637" t="s">
        <v>3257</v>
      </c>
      <c r="E1096" s="754" t="s">
        <v>1464</v>
      </c>
      <c r="F1096" s="754" t="s">
        <v>1716</v>
      </c>
      <c r="G1096" s="754" t="s">
        <v>1716</v>
      </c>
      <c r="H1096" s="754" t="s">
        <v>43</v>
      </c>
      <c r="I1096" s="754" t="s">
        <v>3038</v>
      </c>
      <c r="J1096" s="754" t="s">
        <v>45</v>
      </c>
      <c r="K1096" s="754" t="s">
        <v>45</v>
      </c>
      <c r="L1096" s="754" t="s">
        <v>45</v>
      </c>
      <c r="M1096" s="754" t="s">
        <v>46</v>
      </c>
      <c r="N1096" s="754">
        <v>23.821380000000001</v>
      </c>
      <c r="O1096" s="754">
        <v>97.681970000000007</v>
      </c>
      <c r="P1096" s="754" t="s">
        <v>775</v>
      </c>
      <c r="Q1096" s="754" t="s">
        <v>794</v>
      </c>
      <c r="R1096" s="763">
        <v>76</v>
      </c>
      <c r="S1096" s="763">
        <v>385</v>
      </c>
      <c r="T1096" s="783"/>
      <c r="U1096" s="765"/>
      <c r="V1096" s="754" t="s">
        <v>728</v>
      </c>
      <c r="W1096" s="571" t="s">
        <v>2280</v>
      </c>
    </row>
    <row r="1097" spans="1:23" ht="14.25" customHeight="1">
      <c r="A1097" s="768" t="s">
        <v>716</v>
      </c>
      <c r="B1097" s="792" t="s">
        <v>717</v>
      </c>
      <c r="C1097" s="663" t="s">
        <v>764</v>
      </c>
      <c r="D1097" s="637" t="s">
        <v>3257</v>
      </c>
      <c r="E1097" s="754" t="s">
        <v>1467</v>
      </c>
      <c r="F1097" s="754" t="s">
        <v>1716</v>
      </c>
      <c r="G1097" s="754" t="s">
        <v>1716</v>
      </c>
      <c r="H1097" s="754" t="s">
        <v>43</v>
      </c>
      <c r="I1097" s="754" t="s">
        <v>3038</v>
      </c>
      <c r="J1097" s="754" t="s">
        <v>45</v>
      </c>
      <c r="K1097" s="754" t="s">
        <v>45</v>
      </c>
      <c r="L1097" s="754" t="s">
        <v>45</v>
      </c>
      <c r="M1097" s="754" t="s">
        <v>46</v>
      </c>
      <c r="N1097" s="754">
        <v>23.828520000000001</v>
      </c>
      <c r="O1097" s="754">
        <v>97.669557999999995</v>
      </c>
      <c r="P1097" s="754" t="s">
        <v>775</v>
      </c>
      <c r="Q1097" s="754" t="s">
        <v>794</v>
      </c>
      <c r="R1097" s="763">
        <v>64</v>
      </c>
      <c r="S1097" s="763">
        <v>349</v>
      </c>
      <c r="T1097" s="783"/>
      <c r="U1097" s="765"/>
      <c r="V1097" s="754" t="s">
        <v>764</v>
      </c>
      <c r="W1097" s="571" t="s">
        <v>2281</v>
      </c>
    </row>
    <row r="1098" spans="1:23" ht="14.25" customHeight="1">
      <c r="A1098" s="768" t="s">
        <v>716</v>
      </c>
      <c r="B1098" s="792" t="s">
        <v>717</v>
      </c>
      <c r="C1098" s="663" t="s">
        <v>752</v>
      </c>
      <c r="D1098" s="637" t="s">
        <v>3257</v>
      </c>
      <c r="E1098" s="754" t="s">
        <v>1473</v>
      </c>
      <c r="F1098" s="754" t="s">
        <v>1716</v>
      </c>
      <c r="G1098" s="754" t="s">
        <v>1716</v>
      </c>
      <c r="H1098" s="754" t="s">
        <v>43</v>
      </c>
      <c r="I1098" s="754" t="s">
        <v>3038</v>
      </c>
      <c r="J1098" s="754" t="s">
        <v>45</v>
      </c>
      <c r="K1098" s="754" t="s">
        <v>45</v>
      </c>
      <c r="L1098" s="754" t="s">
        <v>45</v>
      </c>
      <c r="M1098" s="754" t="s">
        <v>46</v>
      </c>
      <c r="N1098" s="754">
        <v>23.841646999999998</v>
      </c>
      <c r="O1098" s="754">
        <v>97.700940000000003</v>
      </c>
      <c r="P1098" s="754" t="s">
        <v>775</v>
      </c>
      <c r="Q1098" s="754" t="s">
        <v>794</v>
      </c>
      <c r="R1098" s="763">
        <v>36</v>
      </c>
      <c r="S1098" s="763">
        <v>193</v>
      </c>
      <c r="T1098" s="783"/>
      <c r="U1098" s="765"/>
      <c r="V1098" s="754" t="s">
        <v>995</v>
      </c>
      <c r="W1098" s="571" t="s">
        <v>2282</v>
      </c>
    </row>
    <row r="1099" spans="1:23" ht="14.25" customHeight="1">
      <c r="A1099" s="768" t="s">
        <v>716</v>
      </c>
      <c r="B1099" s="792" t="s">
        <v>717</v>
      </c>
      <c r="C1099" s="663" t="s">
        <v>718</v>
      </c>
      <c r="D1099" s="637" t="s">
        <v>3257</v>
      </c>
      <c r="E1099" s="754" t="s">
        <v>1466</v>
      </c>
      <c r="F1099" s="754" t="s">
        <v>1716</v>
      </c>
      <c r="G1099" s="754" t="s">
        <v>1716</v>
      </c>
      <c r="H1099" s="754" t="s">
        <v>43</v>
      </c>
      <c r="I1099" s="754" t="s">
        <v>1352</v>
      </c>
      <c r="J1099" s="754" t="s">
        <v>45</v>
      </c>
      <c r="K1099" s="754" t="s">
        <v>45</v>
      </c>
      <c r="L1099" s="754" t="s">
        <v>45</v>
      </c>
      <c r="M1099" s="754" t="s">
        <v>46</v>
      </c>
      <c r="N1099" s="754">
        <v>23.828150000000001</v>
      </c>
      <c r="O1099" s="754">
        <v>97.670360000000002</v>
      </c>
      <c r="P1099" s="754" t="s">
        <v>775</v>
      </c>
      <c r="Q1099" s="754" t="s">
        <v>794</v>
      </c>
      <c r="R1099" s="763">
        <v>43</v>
      </c>
      <c r="S1099" s="763">
        <v>218</v>
      </c>
      <c r="T1099" s="783"/>
      <c r="U1099" s="765"/>
      <c r="V1099" s="754" t="s">
        <v>718</v>
      </c>
      <c r="W1099" s="571" t="s">
        <v>2283</v>
      </c>
    </row>
    <row r="1100" spans="1:23" ht="14.25" customHeight="1">
      <c r="A1100" s="768" t="s">
        <v>716</v>
      </c>
      <c r="B1100" s="792" t="s">
        <v>717</v>
      </c>
      <c r="C1100" s="663" t="s">
        <v>793</v>
      </c>
      <c r="D1100" s="761" t="s">
        <v>1694</v>
      </c>
      <c r="E1100" s="754" t="s">
        <v>1355</v>
      </c>
      <c r="F1100" s="754" t="s">
        <v>1716</v>
      </c>
      <c r="G1100" s="754" t="s">
        <v>1716</v>
      </c>
      <c r="H1100" s="754"/>
      <c r="I1100" s="754">
        <v>0</v>
      </c>
      <c r="J1100" s="754" t="s">
        <v>45</v>
      </c>
      <c r="K1100" s="754" t="s">
        <v>45</v>
      </c>
      <c r="L1100" s="754" t="s">
        <v>774</v>
      </c>
      <c r="M1100" s="754" t="s">
        <v>792</v>
      </c>
      <c r="N1100" s="754"/>
      <c r="O1100" s="754"/>
      <c r="P1100" s="754" t="s">
        <v>775</v>
      </c>
      <c r="Q1100" s="754"/>
      <c r="R1100" s="771"/>
      <c r="S1100" s="764"/>
      <c r="T1100" s="783"/>
      <c r="U1100" s="765"/>
      <c r="V1100" s="754" t="s">
        <v>793</v>
      </c>
      <c r="W1100" s="763" t="s">
        <v>2284</v>
      </c>
    </row>
    <row r="1101" spans="1:23" ht="14.25" customHeight="1">
      <c r="A1101" s="768" t="s">
        <v>716</v>
      </c>
      <c r="B1101" s="792" t="s">
        <v>717</v>
      </c>
      <c r="C1101" s="663" t="s">
        <v>754</v>
      </c>
      <c r="D1101" s="637" t="s">
        <v>3257</v>
      </c>
      <c r="E1101" s="754" t="s">
        <v>1472</v>
      </c>
      <c r="F1101" s="754" t="s">
        <v>1807</v>
      </c>
      <c r="G1101" s="754" t="s">
        <v>1796</v>
      </c>
      <c r="H1101" s="754" t="s">
        <v>43</v>
      </c>
      <c r="I1101" s="754" t="s">
        <v>3038</v>
      </c>
      <c r="J1101" s="754" t="s">
        <v>45</v>
      </c>
      <c r="K1101" s="754" t="s">
        <v>45</v>
      </c>
      <c r="L1101" s="754" t="s">
        <v>45</v>
      </c>
      <c r="M1101" s="754" t="s">
        <v>46</v>
      </c>
      <c r="N1101" s="754">
        <v>23.838190000000001</v>
      </c>
      <c r="O1101" s="754">
        <v>97.709879999999998</v>
      </c>
      <c r="P1101" s="754" t="s">
        <v>775</v>
      </c>
      <c r="Q1101" s="754" t="s">
        <v>794</v>
      </c>
      <c r="R1101" s="763">
        <v>114</v>
      </c>
      <c r="S1101" s="763">
        <v>545</v>
      </c>
      <c r="T1101" s="783"/>
      <c r="U1101" s="765"/>
      <c r="V1101" s="754" t="s">
        <v>994</v>
      </c>
      <c r="W1101" s="571" t="s">
        <v>2285</v>
      </c>
    </row>
    <row r="1102" spans="1:23" ht="14.25" customHeight="1">
      <c r="A1102" s="768" t="s">
        <v>716</v>
      </c>
      <c r="B1102" s="792" t="s">
        <v>737</v>
      </c>
      <c r="C1102" s="663" t="s">
        <v>744</v>
      </c>
      <c r="D1102" s="637" t="s">
        <v>3257</v>
      </c>
      <c r="E1102" s="754" t="s">
        <v>1441</v>
      </c>
      <c r="F1102" s="754" t="s">
        <v>1720</v>
      </c>
      <c r="G1102" s="754" t="s">
        <v>1721</v>
      </c>
      <c r="H1102" s="754" t="s">
        <v>43</v>
      </c>
      <c r="I1102" s="754" t="s">
        <v>1352</v>
      </c>
      <c r="J1102" s="754" t="s">
        <v>45</v>
      </c>
      <c r="K1102" s="754" t="s">
        <v>45</v>
      </c>
      <c r="L1102" s="754" t="s">
        <v>45</v>
      </c>
      <c r="M1102" s="754" t="s">
        <v>46</v>
      </c>
      <c r="N1102" s="754">
        <v>23.099304</v>
      </c>
      <c r="O1102" s="754">
        <v>97.400671000000003</v>
      </c>
      <c r="P1102" s="754" t="s">
        <v>775</v>
      </c>
      <c r="Q1102" s="754" t="s">
        <v>940</v>
      </c>
      <c r="R1102" s="763">
        <v>61</v>
      </c>
      <c r="S1102" s="763">
        <v>279</v>
      </c>
      <c r="T1102" s="783">
        <v>42983</v>
      </c>
      <c r="U1102" s="765"/>
      <c r="V1102" s="754"/>
      <c r="W1102" s="571" t="s">
        <v>2286</v>
      </c>
    </row>
    <row r="1103" spans="1:23" ht="14.25" customHeight="1">
      <c r="A1103" s="768" t="s">
        <v>716</v>
      </c>
      <c r="B1103" s="792" t="s">
        <v>737</v>
      </c>
      <c r="C1103" s="663" t="s">
        <v>1120</v>
      </c>
      <c r="D1103" s="761" t="s">
        <v>1693</v>
      </c>
      <c r="E1103" s="754"/>
      <c r="F1103" s="754"/>
      <c r="G1103" s="754"/>
      <c r="H1103" s="754"/>
      <c r="I1103" s="754"/>
      <c r="J1103" s="754" t="s">
        <v>1481</v>
      </c>
      <c r="K1103" s="754" t="s">
        <v>45</v>
      </c>
      <c r="L1103" s="754" t="s">
        <v>45</v>
      </c>
      <c r="M1103" s="754" t="s">
        <v>46</v>
      </c>
      <c r="N1103" s="754"/>
      <c r="O1103" s="754"/>
      <c r="P1103" s="754" t="s">
        <v>775</v>
      </c>
      <c r="Q1103" s="754" t="s">
        <v>794</v>
      </c>
      <c r="R1103" s="771"/>
      <c r="S1103" s="764"/>
      <c r="T1103" s="783">
        <v>42747</v>
      </c>
      <c r="U1103" s="765"/>
      <c r="V1103" s="754"/>
      <c r="W1103" s="763"/>
    </row>
    <row r="1104" spans="1:23" ht="14.25" customHeight="1">
      <c r="A1104" s="768" t="s">
        <v>716</v>
      </c>
      <c r="B1104" s="792" t="s">
        <v>737</v>
      </c>
      <c r="C1104" s="663" t="s">
        <v>745</v>
      </c>
      <c r="D1104" s="637" t="s">
        <v>3257</v>
      </c>
      <c r="E1104" s="754" t="s">
        <v>1351</v>
      </c>
      <c r="F1104" s="754" t="s">
        <v>1720</v>
      </c>
      <c r="G1104" s="754" t="s">
        <v>1721</v>
      </c>
      <c r="H1104" s="754" t="s">
        <v>43</v>
      </c>
      <c r="I1104" s="754" t="s">
        <v>1352</v>
      </c>
      <c r="J1104" s="754" t="s">
        <v>45</v>
      </c>
      <c r="K1104" s="754" t="s">
        <v>45</v>
      </c>
      <c r="L1104" s="754" t="s">
        <v>45</v>
      </c>
      <c r="M1104" s="754" t="s">
        <v>46</v>
      </c>
      <c r="N1104" s="754">
        <v>0</v>
      </c>
      <c r="O1104" s="754">
        <v>0</v>
      </c>
      <c r="P1104" s="754" t="s">
        <v>775</v>
      </c>
      <c r="Q1104" s="754" t="s">
        <v>776</v>
      </c>
      <c r="R1104" s="763">
        <v>28</v>
      </c>
      <c r="S1104" s="763">
        <v>144</v>
      </c>
      <c r="T1104" s="783"/>
      <c r="U1104" s="765"/>
      <c r="V1104" s="754"/>
      <c r="W1104" s="571" t="s">
        <v>2286</v>
      </c>
    </row>
    <row r="1105" spans="1:23" ht="14.25" customHeight="1">
      <c r="A1105" s="768" t="s">
        <v>716</v>
      </c>
      <c r="B1105" s="792" t="s">
        <v>737</v>
      </c>
      <c r="C1105" s="663" t="s">
        <v>2007</v>
      </c>
      <c r="D1105" s="761"/>
      <c r="E1105" s="754"/>
      <c r="F1105" s="754"/>
      <c r="G1105" s="754"/>
      <c r="H1105" s="754"/>
      <c r="I1105" s="754"/>
      <c r="J1105" s="754" t="s">
        <v>1481</v>
      </c>
      <c r="K1105" s="754" t="s">
        <v>45</v>
      </c>
      <c r="L1105" s="754" t="s">
        <v>45</v>
      </c>
      <c r="M1105" s="754" t="s">
        <v>46</v>
      </c>
      <c r="N1105" s="754"/>
      <c r="O1105" s="754"/>
      <c r="P1105" s="754" t="s">
        <v>775</v>
      </c>
      <c r="Q1105" s="754" t="s">
        <v>1999</v>
      </c>
      <c r="R1105" s="771"/>
      <c r="S1105" s="764"/>
      <c r="T1105" s="783">
        <v>43270</v>
      </c>
      <c r="U1105" s="765"/>
      <c r="V1105" s="754"/>
      <c r="W1105" s="763"/>
    </row>
    <row r="1106" spans="1:23" ht="14.25" customHeight="1">
      <c r="A1106" s="768" t="s">
        <v>716</v>
      </c>
      <c r="B1106" s="792" t="s">
        <v>737</v>
      </c>
      <c r="C1106" s="663" t="s">
        <v>748</v>
      </c>
      <c r="D1106" s="637" t="s">
        <v>3257</v>
      </c>
      <c r="E1106" s="754" t="s">
        <v>1440</v>
      </c>
      <c r="F1106" s="760" t="s">
        <v>1720</v>
      </c>
      <c r="G1106" s="754" t="s">
        <v>1721</v>
      </c>
      <c r="H1106" s="754" t="s">
        <v>43</v>
      </c>
      <c r="I1106" s="754" t="s">
        <v>3038</v>
      </c>
      <c r="J1106" s="754" t="s">
        <v>45</v>
      </c>
      <c r="K1106" s="754" t="s">
        <v>45</v>
      </c>
      <c r="L1106" s="754" t="s">
        <v>45</v>
      </c>
      <c r="M1106" s="754" t="s">
        <v>46</v>
      </c>
      <c r="N1106" s="754">
        <v>23.094290000000001</v>
      </c>
      <c r="O1106" s="754">
        <v>97.404089999999997</v>
      </c>
      <c r="P1106" s="754" t="s">
        <v>775</v>
      </c>
      <c r="Q1106" s="754" t="s">
        <v>794</v>
      </c>
      <c r="R1106" s="763">
        <v>38</v>
      </c>
      <c r="S1106" s="763">
        <v>159</v>
      </c>
      <c r="T1106" s="783"/>
      <c r="U1106" s="765"/>
      <c r="V1106" s="754" t="s">
        <v>748</v>
      </c>
      <c r="W1106" s="571" t="s">
        <v>2287</v>
      </c>
    </row>
    <row r="1107" spans="1:23" ht="14.25" customHeight="1">
      <c r="A1107" s="768" t="s">
        <v>716</v>
      </c>
      <c r="B1107" s="792" t="s">
        <v>737</v>
      </c>
      <c r="C1107" s="663" t="s">
        <v>979</v>
      </c>
      <c r="D1107" s="761" t="s">
        <v>1694</v>
      </c>
      <c r="E1107" s="754" t="s">
        <v>1439</v>
      </c>
      <c r="F1107" s="766" t="s">
        <v>1720</v>
      </c>
      <c r="G1107" s="754" t="s">
        <v>1721</v>
      </c>
      <c r="H1107" s="754"/>
      <c r="I1107" s="754">
        <v>0</v>
      </c>
      <c r="J1107" s="754" t="s">
        <v>45</v>
      </c>
      <c r="K1107" s="754" t="s">
        <v>45</v>
      </c>
      <c r="L1107" s="754" t="s">
        <v>774</v>
      </c>
      <c r="M1107" s="754" t="s">
        <v>46</v>
      </c>
      <c r="N1107" s="754">
        <v>23.088058</v>
      </c>
      <c r="O1107" s="754">
        <v>97.398989</v>
      </c>
      <c r="P1107" s="754" t="s">
        <v>787</v>
      </c>
      <c r="Q1107" s="754" t="s">
        <v>794</v>
      </c>
      <c r="R1107" s="771"/>
      <c r="S1107" s="764"/>
      <c r="T1107" s="783"/>
      <c r="U1107" s="765"/>
      <c r="V1107" s="754" t="s">
        <v>801</v>
      </c>
      <c r="W1107" s="763" t="s">
        <v>2288</v>
      </c>
    </row>
    <row r="1108" spans="1:23" ht="14.25" customHeight="1">
      <c r="A1108" s="768" t="s">
        <v>716</v>
      </c>
      <c r="B1108" s="792" t="s">
        <v>737</v>
      </c>
      <c r="C1108" s="663" t="s">
        <v>797</v>
      </c>
      <c r="D1108" s="761" t="s">
        <v>1694</v>
      </c>
      <c r="E1108" s="754" t="s">
        <v>1359</v>
      </c>
      <c r="F1108" s="754" t="s">
        <v>1720</v>
      </c>
      <c r="G1108" s="754" t="s">
        <v>1721</v>
      </c>
      <c r="H1108" s="754"/>
      <c r="I1108" s="754">
        <v>0</v>
      </c>
      <c r="J1108" s="754" t="s">
        <v>45</v>
      </c>
      <c r="K1108" s="754" t="s">
        <v>45</v>
      </c>
      <c r="L1108" s="754" t="s">
        <v>774</v>
      </c>
      <c r="M1108" s="754" t="s">
        <v>46</v>
      </c>
      <c r="N1108" s="754"/>
      <c r="O1108" s="754"/>
      <c r="P1108" s="754" t="s">
        <v>775</v>
      </c>
      <c r="Q1108" s="754" t="s">
        <v>776</v>
      </c>
      <c r="R1108" s="771"/>
      <c r="S1108" s="764"/>
      <c r="T1108" s="783">
        <v>43019</v>
      </c>
      <c r="U1108" s="765" t="s">
        <v>798</v>
      </c>
      <c r="V1108" s="754"/>
      <c r="W1108" s="571" t="s">
        <v>798</v>
      </c>
    </row>
    <row r="1109" spans="1:23" ht="14.25" customHeight="1">
      <c r="A1109" s="768" t="s">
        <v>716</v>
      </c>
      <c r="B1109" s="792" t="s">
        <v>737</v>
      </c>
      <c r="C1109" s="663" t="s">
        <v>799</v>
      </c>
      <c r="D1109" s="761" t="s">
        <v>1694</v>
      </c>
      <c r="E1109" s="754" t="s">
        <v>1360</v>
      </c>
      <c r="F1109" s="754" t="s">
        <v>1720</v>
      </c>
      <c r="G1109" s="754" t="s">
        <v>1721</v>
      </c>
      <c r="H1109" s="754"/>
      <c r="I1109" s="754">
        <v>0</v>
      </c>
      <c r="J1109" s="754" t="s">
        <v>45</v>
      </c>
      <c r="K1109" s="754" t="s">
        <v>45</v>
      </c>
      <c r="L1109" s="754" t="s">
        <v>774</v>
      </c>
      <c r="M1109" s="754" t="s">
        <v>46</v>
      </c>
      <c r="N1109" s="754"/>
      <c r="O1109" s="754"/>
      <c r="P1109" s="754" t="s">
        <v>775</v>
      </c>
      <c r="Q1109" s="754" t="s">
        <v>776</v>
      </c>
      <c r="R1109" s="771"/>
      <c r="S1109" s="764"/>
      <c r="T1109" s="783">
        <v>42927</v>
      </c>
      <c r="U1109" s="765" t="s">
        <v>800</v>
      </c>
      <c r="V1109" s="780"/>
      <c r="W1109" s="571" t="s">
        <v>798</v>
      </c>
    </row>
    <row r="1110" spans="1:23" ht="14.25" customHeight="1">
      <c r="A1110" s="768" t="s">
        <v>716</v>
      </c>
      <c r="B1110" s="792" t="s">
        <v>737</v>
      </c>
      <c r="C1110" s="663" t="s">
        <v>801</v>
      </c>
      <c r="D1110" s="761" t="s">
        <v>1694</v>
      </c>
      <c r="E1110" s="754" t="s">
        <v>1361</v>
      </c>
      <c r="F1110" s="754" t="s">
        <v>1720</v>
      </c>
      <c r="G1110" s="754" t="s">
        <v>1721</v>
      </c>
      <c r="H1110" s="754"/>
      <c r="I1110" s="754">
        <v>0</v>
      </c>
      <c r="J1110" s="754" t="s">
        <v>45</v>
      </c>
      <c r="K1110" s="754" t="s">
        <v>45</v>
      </c>
      <c r="L1110" s="754" t="s">
        <v>774</v>
      </c>
      <c r="M1110" s="754" t="s">
        <v>46</v>
      </c>
      <c r="N1110" s="754"/>
      <c r="O1110" s="754"/>
      <c r="P1110" s="754" t="s">
        <v>775</v>
      </c>
      <c r="Q1110" s="754" t="s">
        <v>776</v>
      </c>
      <c r="R1110" s="771"/>
      <c r="S1110" s="764"/>
      <c r="T1110" s="783">
        <v>42927</v>
      </c>
      <c r="U1110" s="765" t="s">
        <v>802</v>
      </c>
      <c r="V1110" s="754"/>
      <c r="W1110" s="763" t="s">
        <v>2277</v>
      </c>
    </row>
    <row r="1111" spans="1:23" ht="14.25" customHeight="1">
      <c r="A1111" s="764" t="s">
        <v>716</v>
      </c>
      <c r="B1111" s="792" t="s">
        <v>737</v>
      </c>
      <c r="C1111" s="663" t="s">
        <v>738</v>
      </c>
      <c r="D1111" s="637" t="s">
        <v>3257</v>
      </c>
      <c r="E1111" s="754" t="s">
        <v>1438</v>
      </c>
      <c r="F1111" s="760" t="s">
        <v>1796</v>
      </c>
      <c r="G1111" s="754" t="s">
        <v>1797</v>
      </c>
      <c r="H1111" s="754"/>
      <c r="I1111" s="760" t="s">
        <v>2199</v>
      </c>
      <c r="J1111" s="754" t="s">
        <v>45</v>
      </c>
      <c r="K1111" s="754" t="s">
        <v>45</v>
      </c>
      <c r="L1111" s="754" t="s">
        <v>790</v>
      </c>
      <c r="M1111" s="754" t="s">
        <v>46</v>
      </c>
      <c r="N1111" s="754">
        <v>22.765999999999998</v>
      </c>
      <c r="O1111" s="754">
        <v>97.358999999999995</v>
      </c>
      <c r="P1111" s="754" t="s">
        <v>775</v>
      </c>
      <c r="Q1111" s="754" t="s">
        <v>776</v>
      </c>
      <c r="R1111" s="763">
        <v>6</v>
      </c>
      <c r="S1111" s="763">
        <v>27</v>
      </c>
      <c r="T1111" s="783"/>
      <c r="U1111" s="765" t="s">
        <v>978</v>
      </c>
      <c r="V1111" s="754"/>
      <c r="W1111" s="571" t="s">
        <v>2289</v>
      </c>
    </row>
    <row r="1112" spans="1:23" ht="14.25" customHeight="1">
      <c r="A1112" s="764" t="s">
        <v>716</v>
      </c>
      <c r="B1112" s="792" t="s">
        <v>737</v>
      </c>
      <c r="C1112" s="663" t="s">
        <v>980</v>
      </c>
      <c r="D1112" s="761" t="s">
        <v>1693</v>
      </c>
      <c r="E1112" s="754" t="s">
        <v>1442</v>
      </c>
      <c r="F1112" s="760"/>
      <c r="G1112" s="754"/>
      <c r="H1112" s="754"/>
      <c r="I1112" s="754">
        <v>0</v>
      </c>
      <c r="J1112" s="754" t="s">
        <v>45</v>
      </c>
      <c r="K1112" s="754" t="s">
        <v>45</v>
      </c>
      <c r="L1112" s="754" t="s">
        <v>774</v>
      </c>
      <c r="M1112" s="754" t="s">
        <v>46</v>
      </c>
      <c r="N1112" s="754">
        <v>23.099304</v>
      </c>
      <c r="O1112" s="754">
        <v>97.400671000000003</v>
      </c>
      <c r="P1112" s="754" t="s">
        <v>775</v>
      </c>
      <c r="Q1112" s="754" t="s">
        <v>776</v>
      </c>
      <c r="R1112" s="771"/>
      <c r="S1112" s="764"/>
      <c r="T1112" s="783">
        <v>42747</v>
      </c>
      <c r="U1112" s="765" t="s">
        <v>981</v>
      </c>
      <c r="V1112" s="754"/>
      <c r="W1112" s="571" t="s">
        <v>2290</v>
      </c>
    </row>
    <row r="1113" spans="1:23" ht="14.25" customHeight="1">
      <c r="A1113" s="764" t="s">
        <v>716</v>
      </c>
      <c r="B1113" s="767" t="s">
        <v>737</v>
      </c>
      <c r="C1113" s="768" t="s">
        <v>1162</v>
      </c>
      <c r="D1113" s="761" t="s">
        <v>1693</v>
      </c>
      <c r="E1113" s="754"/>
      <c r="F1113" s="754"/>
      <c r="G1113" s="754"/>
      <c r="H1113" s="754"/>
      <c r="I1113" s="754"/>
      <c r="J1113" s="754" t="s">
        <v>1481</v>
      </c>
      <c r="K1113" s="754" t="s">
        <v>45</v>
      </c>
      <c r="L1113" s="754" t="s">
        <v>774</v>
      </c>
      <c r="M1113" s="754" t="s">
        <v>46</v>
      </c>
      <c r="N1113" s="754"/>
      <c r="O1113" s="754"/>
      <c r="P1113" s="754" t="s">
        <v>775</v>
      </c>
      <c r="Q1113" s="754" t="s">
        <v>794</v>
      </c>
      <c r="R1113" s="771"/>
      <c r="S1113" s="764"/>
      <c r="T1113" s="783">
        <v>42747</v>
      </c>
      <c r="U1113" s="765"/>
      <c r="V1113" s="760"/>
      <c r="W1113" s="763"/>
    </row>
    <row r="1114" spans="1:23" ht="14.25" customHeight="1">
      <c r="A1114" s="764" t="s">
        <v>716</v>
      </c>
      <c r="B1114" s="767" t="s">
        <v>1290</v>
      </c>
      <c r="C1114" s="768" t="s">
        <v>2313</v>
      </c>
      <c r="D1114" s="761"/>
      <c r="E1114" s="754"/>
      <c r="F1114" s="760"/>
      <c r="G1114" s="754"/>
      <c r="H1114" s="754"/>
      <c r="I1114" s="754"/>
      <c r="J1114" s="754" t="s">
        <v>1481</v>
      </c>
      <c r="K1114" s="754" t="s">
        <v>45</v>
      </c>
      <c r="L1114" s="754" t="s">
        <v>45</v>
      </c>
      <c r="M1114" s="754" t="s">
        <v>46</v>
      </c>
      <c r="N1114" s="754"/>
      <c r="O1114" s="754"/>
      <c r="P1114" s="754" t="s">
        <v>775</v>
      </c>
      <c r="Q1114" s="754" t="s">
        <v>940</v>
      </c>
      <c r="R1114" s="771"/>
      <c r="S1114" s="764"/>
      <c r="T1114" s="783">
        <v>43392</v>
      </c>
      <c r="U1114" s="765"/>
      <c r="V1114" s="760"/>
      <c r="W1114" s="763"/>
    </row>
    <row r="1115" spans="1:23" ht="14.25" customHeight="1">
      <c r="A1115" s="764" t="s">
        <v>716</v>
      </c>
      <c r="B1115" s="767" t="s">
        <v>1290</v>
      </c>
      <c r="C1115" s="768" t="s">
        <v>1140</v>
      </c>
      <c r="D1115" s="761" t="s">
        <v>1693</v>
      </c>
      <c r="E1115" s="754"/>
      <c r="F1115" s="754"/>
      <c r="G1115" s="754"/>
      <c r="H1115" s="754"/>
      <c r="I1115" s="754"/>
      <c r="J1115" s="754" t="s">
        <v>1481</v>
      </c>
      <c r="K1115" s="754" t="s">
        <v>45</v>
      </c>
      <c r="L1115" s="754" t="s">
        <v>774</v>
      </c>
      <c r="M1115" s="754" t="s">
        <v>46</v>
      </c>
      <c r="N1115" s="754"/>
      <c r="O1115" s="754"/>
      <c r="P1115" s="754" t="s">
        <v>775</v>
      </c>
      <c r="Q1115" s="754" t="s">
        <v>794</v>
      </c>
      <c r="R1115" s="771"/>
      <c r="S1115" s="764"/>
      <c r="T1115" s="783">
        <v>42747</v>
      </c>
      <c r="U1115" s="765"/>
      <c r="V1115" s="754"/>
      <c r="W1115" s="763"/>
    </row>
    <row r="1116" spans="1:23" ht="14.25" customHeight="1">
      <c r="A1116" s="764" t="s">
        <v>716</v>
      </c>
      <c r="B1116" s="767" t="s">
        <v>1293</v>
      </c>
      <c r="C1116" s="768" t="s">
        <v>1335</v>
      </c>
      <c r="D1116" s="761" t="s">
        <v>1913</v>
      </c>
      <c r="E1116" s="754"/>
      <c r="F1116" s="754"/>
      <c r="G1116" s="754"/>
      <c r="H1116" s="754"/>
      <c r="I1116" s="754"/>
      <c r="J1116" s="754" t="s">
        <v>1481</v>
      </c>
      <c r="K1116" s="754" t="s">
        <v>45</v>
      </c>
      <c r="L1116" s="754" t="s">
        <v>790</v>
      </c>
      <c r="M1116" s="754" t="s">
        <v>2073</v>
      </c>
      <c r="N1116" s="754"/>
      <c r="O1116" s="754"/>
      <c r="P1116" s="754" t="s">
        <v>775</v>
      </c>
      <c r="Q1116" s="754"/>
      <c r="R1116" s="771"/>
      <c r="S1116" s="764"/>
      <c r="T1116" s="783">
        <v>43298</v>
      </c>
      <c r="U1116" s="765"/>
      <c r="V1116" s="760"/>
      <c r="W1116" s="763"/>
    </row>
  </sheetData>
  <conditionalFormatting sqref="V226">
    <cfRule type="duplicateValues" dxfId="916" priority="4"/>
  </conditionalFormatting>
  <conditionalFormatting sqref="V940">
    <cfRule type="duplicateValues" dxfId="915" priority="3"/>
  </conditionalFormatting>
  <conditionalFormatting sqref="V985">
    <cfRule type="duplicateValues" dxfId="914" priority="2"/>
  </conditionalFormatting>
  <conditionalFormatting sqref="V1109">
    <cfRule type="duplicateValues" dxfId="913" priority="1"/>
  </conditionalFormatting>
  <conditionalFormatting sqref="C3:C1116">
    <cfRule type="duplicateValues" dxfId="912" priority="5"/>
  </conditionalFormatting>
  <conditionalFormatting sqref="E3:E1116">
    <cfRule type="duplicateValues" dxfId="911" priority="6"/>
  </conditionalFormatting>
  <dataValidations count="2">
    <dataValidation type="list" allowBlank="1" showInputMessage="1" showErrorMessage="1" sqref="C769" xr:uid="{7C7565C2-5D5E-4329-ABB8-2C81E161F247}">
      <formula1>OFFSET(ဖ,MATCH(B769,z, 0),1, COUNTIF(z,B769),1)</formula1>
    </dataValidation>
    <dataValidation type="list" allowBlank="1" showInputMessage="1" showErrorMessage="1" sqref="C1112" xr:uid="{0C947F1F-B2C7-4140-A9B5-BC2307C73D97}">
      <formula1>OFFSET(Township_start,MATCH(A1112,Township_list, 0),1, COUNTIF(Township_list,A1112),1)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75"/>
  <sheetViews>
    <sheetView tabSelected="1" zoomScale="120" zoomScaleNormal="120" zoomScaleSheetLayoutView="50" workbookViewId="0">
      <pane xSplit="1" ySplit="2" topLeftCell="B53" activePane="bottomRight" state="frozen"/>
      <selection activeCell="D24" sqref="D24"/>
      <selection pane="topRight" activeCell="D24" sqref="D24"/>
      <selection pane="bottomLeft" activeCell="D24" sqref="D24"/>
      <selection pane="bottomRight" activeCell="F56" sqref="F56"/>
    </sheetView>
  </sheetViews>
  <sheetFormatPr defaultColWidth="8" defaultRowHeight="45" customHeight="1"/>
  <cols>
    <col min="1" max="1" width="7.625" style="374" bestFit="1" customWidth="1"/>
    <col min="2" max="2" width="42.75" style="412" bestFit="1" customWidth="1"/>
    <col min="3" max="3" width="11.625" style="412" customWidth="1"/>
    <col min="4" max="4" width="16.625" style="412" hidden="1" customWidth="1"/>
    <col min="5" max="5" width="13.25" style="412" bestFit="1" customWidth="1"/>
    <col min="6" max="6" width="61.5" style="412" bestFit="1" customWidth="1"/>
    <col min="7" max="7" width="21.125" style="373" customWidth="1"/>
    <col min="8" max="8" width="57.375" style="836" bestFit="1" customWidth="1"/>
    <col min="9" max="16380" width="8" style="373"/>
    <col min="16381" max="16384" width="21.25" style="373" customWidth="1"/>
  </cols>
  <sheetData>
    <row r="1" spans="1:8" ht="45" customHeight="1">
      <c r="A1" s="975"/>
      <c r="B1" s="975"/>
      <c r="C1" s="975"/>
      <c r="D1" s="975"/>
      <c r="E1" s="975"/>
      <c r="F1" s="975"/>
      <c r="G1" s="373" t="s">
        <v>47</v>
      </c>
    </row>
    <row r="2" spans="1:8" s="378" customFormat="1" ht="45" customHeight="1">
      <c r="A2" s="375" t="s">
        <v>48</v>
      </c>
      <c r="B2" s="376" t="s">
        <v>2395</v>
      </c>
      <c r="C2" s="376" t="s">
        <v>2396</v>
      </c>
      <c r="D2" s="376" t="s">
        <v>2397</v>
      </c>
      <c r="E2" s="376" t="s">
        <v>2398</v>
      </c>
      <c r="F2" s="376" t="s">
        <v>49</v>
      </c>
      <c r="G2" s="377" t="s">
        <v>50</v>
      </c>
      <c r="H2" s="267" t="s">
        <v>2524</v>
      </c>
    </row>
    <row r="3" spans="1:8" ht="45" customHeight="1">
      <c r="A3" s="379" t="s">
        <v>0</v>
      </c>
      <c r="B3" s="380" t="s">
        <v>2399</v>
      </c>
      <c r="C3" s="380" t="s">
        <v>16</v>
      </c>
      <c r="D3" s="380"/>
      <c r="E3" s="380" t="s">
        <v>2400</v>
      </c>
      <c r="F3" s="381"/>
      <c r="G3" s="382"/>
      <c r="H3" s="837"/>
    </row>
    <row r="4" spans="1:8" ht="62.45" customHeight="1">
      <c r="A4" s="379" t="s">
        <v>1</v>
      </c>
      <c r="B4" s="380" t="s">
        <v>2401</v>
      </c>
      <c r="C4" s="380" t="s">
        <v>16</v>
      </c>
      <c r="D4" s="380"/>
      <c r="E4" s="380" t="s">
        <v>2400</v>
      </c>
      <c r="F4" s="381" t="s">
        <v>2402</v>
      </c>
      <c r="G4" s="382"/>
      <c r="H4" s="837"/>
    </row>
    <row r="5" spans="1:8" ht="45" customHeight="1">
      <c r="A5" s="379" t="s">
        <v>2</v>
      </c>
      <c r="B5" s="380" t="s">
        <v>2403</v>
      </c>
      <c r="C5" s="380" t="s">
        <v>16</v>
      </c>
      <c r="D5" s="380"/>
      <c r="E5" s="380" t="s">
        <v>2400</v>
      </c>
      <c r="F5" s="381" t="s">
        <v>2404</v>
      </c>
      <c r="G5" s="382"/>
      <c r="H5" s="837"/>
    </row>
    <row r="6" spans="1:8" ht="45" customHeight="1">
      <c r="A6" s="379" t="s">
        <v>3</v>
      </c>
      <c r="B6" s="380" t="s">
        <v>2405</v>
      </c>
      <c r="C6" s="380" t="s">
        <v>18</v>
      </c>
      <c r="D6" s="380"/>
      <c r="E6" s="380" t="s">
        <v>2400</v>
      </c>
      <c r="F6" s="381" t="s">
        <v>2640</v>
      </c>
      <c r="G6" s="382"/>
      <c r="H6" s="837"/>
    </row>
    <row r="7" spans="1:8" ht="45" customHeight="1">
      <c r="A7" s="379" t="s">
        <v>4</v>
      </c>
      <c r="B7" s="380" t="s">
        <v>22</v>
      </c>
      <c r="C7" s="380" t="s">
        <v>16</v>
      </c>
      <c r="D7" s="380"/>
      <c r="E7" s="380" t="s">
        <v>2400</v>
      </c>
      <c r="F7" s="381" t="s">
        <v>2406</v>
      </c>
      <c r="G7" s="382"/>
      <c r="H7" s="837"/>
    </row>
    <row r="8" spans="1:8" ht="45" customHeight="1">
      <c r="A8" s="379" t="s">
        <v>1168</v>
      </c>
      <c r="B8" s="380" t="s">
        <v>23</v>
      </c>
      <c r="C8" s="380" t="s">
        <v>16</v>
      </c>
      <c r="D8" s="380"/>
      <c r="E8" s="380" t="s">
        <v>2400</v>
      </c>
      <c r="F8" s="381" t="s">
        <v>2406</v>
      </c>
      <c r="G8" s="382"/>
      <c r="H8" s="837"/>
    </row>
    <row r="9" spans="1:8" ht="45" customHeight="1">
      <c r="A9" s="379" t="s">
        <v>5</v>
      </c>
      <c r="B9" s="380" t="s">
        <v>2407</v>
      </c>
      <c r="C9" s="380" t="s">
        <v>2626</v>
      </c>
      <c r="D9" s="380"/>
      <c r="E9" s="380" t="s">
        <v>2400</v>
      </c>
      <c r="F9" s="381" t="s">
        <v>2408</v>
      </c>
      <c r="G9" s="382"/>
      <c r="H9" s="837"/>
    </row>
    <row r="10" spans="1:8" ht="45" customHeight="1">
      <c r="A10" s="379" t="s">
        <v>6</v>
      </c>
      <c r="B10" s="380" t="s">
        <v>2409</v>
      </c>
      <c r="C10" s="380" t="s">
        <v>16</v>
      </c>
      <c r="D10" s="380"/>
      <c r="E10" s="380" t="s">
        <v>2400</v>
      </c>
      <c r="F10" s="381" t="s">
        <v>2410</v>
      </c>
      <c r="G10" s="382"/>
      <c r="H10" s="837"/>
    </row>
    <row r="11" spans="1:8" ht="75" customHeight="1">
      <c r="A11" s="379" t="s">
        <v>52</v>
      </c>
      <c r="B11" s="380" t="s">
        <v>25</v>
      </c>
      <c r="C11" s="380" t="s">
        <v>17</v>
      </c>
      <c r="D11" s="380"/>
      <c r="E11" s="380" t="s">
        <v>2400</v>
      </c>
      <c r="F11" s="381" t="s">
        <v>2514</v>
      </c>
      <c r="G11" s="382"/>
      <c r="H11" s="837"/>
    </row>
    <row r="12" spans="1:8" ht="85.15" customHeight="1">
      <c r="A12" s="379" t="s">
        <v>53</v>
      </c>
      <c r="B12" s="380" t="s">
        <v>1937</v>
      </c>
      <c r="C12" s="380" t="s">
        <v>17</v>
      </c>
      <c r="D12" s="380"/>
      <c r="E12" s="380" t="s">
        <v>2400</v>
      </c>
      <c r="F12" s="381" t="s">
        <v>2514</v>
      </c>
      <c r="G12" s="382"/>
      <c r="H12" s="837"/>
    </row>
    <row r="13" spans="1:8" ht="45" customHeight="1">
      <c r="A13" s="379" t="s">
        <v>56</v>
      </c>
      <c r="B13" s="380" t="s">
        <v>2411</v>
      </c>
      <c r="C13" s="380" t="s">
        <v>19</v>
      </c>
      <c r="D13" s="380"/>
      <c r="E13" s="380" t="s">
        <v>2400</v>
      </c>
      <c r="F13" s="381" t="s">
        <v>2412</v>
      </c>
      <c r="G13" s="382"/>
      <c r="H13" s="837"/>
    </row>
    <row r="14" spans="1:8" ht="45" customHeight="1">
      <c r="A14" s="379" t="s">
        <v>58</v>
      </c>
      <c r="B14" s="380" t="s">
        <v>2413</v>
      </c>
      <c r="C14" s="380" t="s">
        <v>19</v>
      </c>
      <c r="D14" s="380"/>
      <c r="E14" s="380" t="s">
        <v>2400</v>
      </c>
      <c r="F14" s="381" t="s">
        <v>2414</v>
      </c>
      <c r="G14" s="382"/>
      <c r="H14" s="837"/>
    </row>
    <row r="15" spans="1:8" ht="45" customHeight="1">
      <c r="A15" s="379" t="s">
        <v>60</v>
      </c>
      <c r="B15" s="380" t="s">
        <v>2672</v>
      </c>
      <c r="C15" s="380" t="s">
        <v>17</v>
      </c>
      <c r="D15" s="380"/>
      <c r="E15" s="380" t="s">
        <v>2624</v>
      </c>
      <c r="F15" s="381"/>
      <c r="G15" s="382"/>
      <c r="H15" s="837"/>
    </row>
    <row r="16" spans="1:8" ht="45" customHeight="1">
      <c r="A16" s="379" t="s">
        <v>123</v>
      </c>
      <c r="B16" s="380" t="s">
        <v>2039</v>
      </c>
      <c r="C16" s="380" t="s">
        <v>17</v>
      </c>
      <c r="D16" s="380"/>
      <c r="E16" s="380" t="s">
        <v>312</v>
      </c>
      <c r="F16" s="381" t="s">
        <v>2673</v>
      </c>
      <c r="G16" s="382"/>
      <c r="H16" s="837"/>
    </row>
    <row r="17" spans="1:8" ht="45" customHeight="1">
      <c r="A17" s="379" t="s">
        <v>124</v>
      </c>
      <c r="B17" s="380" t="s">
        <v>2041</v>
      </c>
      <c r="C17" s="380" t="s">
        <v>17</v>
      </c>
      <c r="D17" s="380"/>
      <c r="E17" s="380" t="s">
        <v>312</v>
      </c>
      <c r="F17" s="381" t="s">
        <v>2674</v>
      </c>
      <c r="G17" s="382"/>
      <c r="H17" s="837"/>
    </row>
    <row r="18" spans="1:8" ht="45" customHeight="1">
      <c r="A18" s="379" t="s">
        <v>65</v>
      </c>
      <c r="B18" s="380" t="s">
        <v>2415</v>
      </c>
      <c r="C18" s="380" t="s">
        <v>17</v>
      </c>
      <c r="D18" s="380" t="s">
        <v>2675</v>
      </c>
      <c r="E18" s="380" t="s">
        <v>2400</v>
      </c>
      <c r="F18" s="381" t="s">
        <v>2676</v>
      </c>
      <c r="G18" s="382"/>
      <c r="H18" s="837"/>
    </row>
    <row r="19" spans="1:8" ht="45" customHeight="1">
      <c r="A19" s="379" t="s">
        <v>63</v>
      </c>
      <c r="B19" s="380" t="s">
        <v>2416</v>
      </c>
      <c r="C19" s="380" t="s">
        <v>2417</v>
      </c>
      <c r="D19" s="380"/>
      <c r="E19" s="380" t="s">
        <v>2400</v>
      </c>
      <c r="F19" s="381" t="s">
        <v>2677</v>
      </c>
      <c r="G19" s="382"/>
      <c r="H19" s="837"/>
    </row>
    <row r="20" spans="1:8" ht="45" customHeight="1">
      <c r="A20" s="379" t="s">
        <v>67</v>
      </c>
      <c r="B20" s="380" t="s">
        <v>2418</v>
      </c>
      <c r="C20" s="380" t="s">
        <v>17</v>
      </c>
      <c r="D20" s="380"/>
      <c r="E20" s="380" t="s">
        <v>2400</v>
      </c>
      <c r="F20" s="381" t="s">
        <v>2678</v>
      </c>
      <c r="G20" s="382"/>
      <c r="H20" s="837"/>
    </row>
    <row r="21" spans="1:8" ht="45" customHeight="1">
      <c r="A21" s="379" t="s">
        <v>1169</v>
      </c>
      <c r="B21" s="380" t="s">
        <v>2419</v>
      </c>
      <c r="C21" s="380" t="s">
        <v>17</v>
      </c>
      <c r="D21" s="380"/>
      <c r="E21" s="380" t="s">
        <v>2400</v>
      </c>
      <c r="F21" s="381" t="s">
        <v>2678</v>
      </c>
      <c r="G21" s="382"/>
      <c r="H21" s="837"/>
    </row>
    <row r="22" spans="1:8" ht="45" customHeight="1">
      <c r="A22" s="383" t="s">
        <v>69</v>
      </c>
      <c r="B22" s="271" t="s">
        <v>2632</v>
      </c>
      <c r="C22" s="271" t="s">
        <v>17</v>
      </c>
      <c r="D22" s="271"/>
      <c r="E22" s="271" t="s">
        <v>2400</v>
      </c>
      <c r="F22" s="354" t="s">
        <v>2421</v>
      </c>
      <c r="G22" s="384" t="s">
        <v>59</v>
      </c>
      <c r="H22" s="838" t="s">
        <v>2422</v>
      </c>
    </row>
    <row r="23" spans="1:8" ht="45" customHeight="1">
      <c r="A23" s="383" t="s">
        <v>70</v>
      </c>
      <c r="B23" s="271" t="s">
        <v>2585</v>
      </c>
      <c r="C23" s="271" t="s">
        <v>17</v>
      </c>
      <c r="D23" s="271"/>
      <c r="E23" s="271" t="s">
        <v>2400</v>
      </c>
      <c r="F23" s="354" t="s">
        <v>2586</v>
      </c>
      <c r="G23" s="382"/>
      <c r="H23" s="837"/>
    </row>
    <row r="24" spans="1:8" ht="45" customHeight="1">
      <c r="A24" s="383" t="s">
        <v>71</v>
      </c>
      <c r="B24" s="271" t="s">
        <v>2587</v>
      </c>
      <c r="C24" s="271" t="s">
        <v>17</v>
      </c>
      <c r="D24" s="271"/>
      <c r="E24" s="271" t="s">
        <v>2400</v>
      </c>
      <c r="F24" s="354" t="s">
        <v>2627</v>
      </c>
      <c r="G24" s="382"/>
      <c r="H24" s="837"/>
    </row>
    <row r="25" spans="1:8" ht="45" customHeight="1">
      <c r="A25" s="383" t="s">
        <v>73</v>
      </c>
      <c r="B25" s="275" t="s">
        <v>2628</v>
      </c>
      <c r="C25" s="275" t="s">
        <v>17</v>
      </c>
      <c r="D25" s="271"/>
      <c r="E25" s="275" t="s">
        <v>2400</v>
      </c>
      <c r="F25" s="354" t="s">
        <v>61</v>
      </c>
      <c r="G25" s="384" t="s">
        <v>59</v>
      </c>
      <c r="H25" s="838" t="s">
        <v>2422</v>
      </c>
    </row>
    <row r="26" spans="1:8" ht="45" customHeight="1">
      <c r="A26" s="383" t="s">
        <v>1170</v>
      </c>
      <c r="B26" s="275" t="s">
        <v>2633</v>
      </c>
      <c r="C26" s="275" t="s">
        <v>17</v>
      </c>
      <c r="D26" s="271"/>
      <c r="E26" s="275" t="s">
        <v>2400</v>
      </c>
      <c r="F26" s="354" t="s">
        <v>2634</v>
      </c>
      <c r="G26" s="382"/>
      <c r="H26" s="837"/>
    </row>
    <row r="27" spans="1:8" ht="45" customHeight="1">
      <c r="A27" s="383" t="s">
        <v>74</v>
      </c>
      <c r="B27" s="275" t="s">
        <v>2679</v>
      </c>
      <c r="C27" s="275" t="s">
        <v>17</v>
      </c>
      <c r="D27" s="271"/>
      <c r="E27" s="275" t="s">
        <v>2400</v>
      </c>
      <c r="F27" s="354" t="s">
        <v>2680</v>
      </c>
      <c r="G27" s="382"/>
      <c r="H27" s="837"/>
    </row>
    <row r="28" spans="1:8" ht="45" customHeight="1">
      <c r="A28" s="383" t="s">
        <v>75</v>
      </c>
      <c r="B28" s="275" t="s">
        <v>2681</v>
      </c>
      <c r="C28" s="275" t="s">
        <v>17</v>
      </c>
      <c r="D28" s="271"/>
      <c r="E28" s="275" t="s">
        <v>2400</v>
      </c>
      <c r="F28" s="354" t="s">
        <v>2682</v>
      </c>
      <c r="G28" s="382"/>
      <c r="H28" s="837"/>
    </row>
    <row r="29" spans="1:8" ht="45" customHeight="1">
      <c r="A29" s="383" t="s">
        <v>76</v>
      </c>
      <c r="B29" s="275" t="s">
        <v>2683</v>
      </c>
      <c r="C29" s="275" t="s">
        <v>2684</v>
      </c>
      <c r="D29" s="275" t="s">
        <v>2608</v>
      </c>
      <c r="E29" s="275" t="s">
        <v>2400</v>
      </c>
      <c r="F29" s="354" t="s">
        <v>2683</v>
      </c>
      <c r="G29" s="384" t="s">
        <v>59</v>
      </c>
      <c r="H29" s="838" t="s">
        <v>2422</v>
      </c>
    </row>
    <row r="30" spans="1:8" ht="45" customHeight="1">
      <c r="A30" s="383" t="s">
        <v>77</v>
      </c>
      <c r="B30" s="275" t="s">
        <v>2641</v>
      </c>
      <c r="C30" s="275" t="s">
        <v>2684</v>
      </c>
      <c r="D30" s="275"/>
      <c r="E30" s="275" t="s">
        <v>2400</v>
      </c>
      <c r="F30" s="354" t="s">
        <v>2643</v>
      </c>
      <c r="G30" s="385"/>
      <c r="H30" s="837"/>
    </row>
    <row r="31" spans="1:8" ht="45" customHeight="1">
      <c r="A31" s="383" t="s">
        <v>1322</v>
      </c>
      <c r="B31" s="275" t="s">
        <v>2642</v>
      </c>
      <c r="C31" s="275" t="s">
        <v>2684</v>
      </c>
      <c r="D31" s="275"/>
      <c r="E31" s="275" t="s">
        <v>2400</v>
      </c>
      <c r="F31" s="354" t="s">
        <v>2644</v>
      </c>
      <c r="G31" s="386"/>
      <c r="H31" s="839"/>
    </row>
    <row r="32" spans="1:8" s="388" customFormat="1" ht="45" customHeight="1">
      <c r="A32" s="383" t="s">
        <v>1323</v>
      </c>
      <c r="B32" s="275" t="s">
        <v>2423</v>
      </c>
      <c r="C32" s="275" t="s">
        <v>2582</v>
      </c>
      <c r="D32" s="271" t="s">
        <v>2685</v>
      </c>
      <c r="E32" s="275" t="s">
        <v>2624</v>
      </c>
      <c r="F32" s="354" t="s">
        <v>2424</v>
      </c>
      <c r="G32" s="387" t="s">
        <v>59</v>
      </c>
      <c r="H32" s="840" t="s">
        <v>2422</v>
      </c>
    </row>
    <row r="33" spans="1:8" s="388" customFormat="1" ht="45" customHeight="1">
      <c r="A33" s="383" t="s">
        <v>1324</v>
      </c>
      <c r="B33" s="275" t="s">
        <v>2609</v>
      </c>
      <c r="C33" s="359" t="s">
        <v>17</v>
      </c>
      <c r="D33" s="271" t="s">
        <v>2420</v>
      </c>
      <c r="E33" s="359" t="s">
        <v>312</v>
      </c>
      <c r="F33" s="354" t="s">
        <v>62</v>
      </c>
      <c r="G33" s="387" t="s">
        <v>2425</v>
      </c>
      <c r="H33" s="840" t="s">
        <v>2422</v>
      </c>
    </row>
    <row r="34" spans="1:8" s="388" customFormat="1" ht="45" customHeight="1">
      <c r="A34" s="383" t="s">
        <v>1325</v>
      </c>
      <c r="B34" s="275" t="s">
        <v>2686</v>
      </c>
      <c r="C34" s="359" t="s">
        <v>2582</v>
      </c>
      <c r="D34" s="271" t="s">
        <v>2420</v>
      </c>
      <c r="E34" s="359" t="s">
        <v>2400</v>
      </c>
      <c r="F34" s="354" t="s">
        <v>2687</v>
      </c>
      <c r="G34" s="387" t="s">
        <v>2425</v>
      </c>
      <c r="H34" s="840" t="s">
        <v>2422</v>
      </c>
    </row>
    <row r="35" spans="1:8" s="388" customFormat="1" ht="45" customHeight="1">
      <c r="A35" s="383" t="s">
        <v>1326</v>
      </c>
      <c r="B35" s="275" t="s">
        <v>2688</v>
      </c>
      <c r="C35" s="389" t="s">
        <v>17</v>
      </c>
      <c r="D35" s="390"/>
      <c r="E35" s="391" t="s">
        <v>312</v>
      </c>
      <c r="F35" s="392" t="s">
        <v>2689</v>
      </c>
      <c r="G35" s="393"/>
      <c r="H35" s="841"/>
    </row>
    <row r="36" spans="1:8" ht="45" customHeight="1">
      <c r="A36" s="383" t="s">
        <v>1327</v>
      </c>
      <c r="B36" s="275" t="s">
        <v>2427</v>
      </c>
      <c r="C36" s="391" t="s">
        <v>17</v>
      </c>
      <c r="D36" s="391"/>
      <c r="E36" s="391" t="s">
        <v>312</v>
      </c>
      <c r="F36" s="392" t="s">
        <v>64</v>
      </c>
      <c r="G36" s="393"/>
      <c r="H36" s="841"/>
    </row>
    <row r="37" spans="1:8" ht="45" customHeight="1">
      <c r="A37" s="383" t="s">
        <v>1328</v>
      </c>
      <c r="B37" s="278" t="s">
        <v>2578</v>
      </c>
      <c r="C37" s="278" t="s">
        <v>17</v>
      </c>
      <c r="D37" s="278"/>
      <c r="E37" s="278" t="s">
        <v>2400</v>
      </c>
      <c r="F37" s="354" t="s">
        <v>2428</v>
      </c>
      <c r="G37" s="382"/>
      <c r="H37" s="837"/>
    </row>
    <row r="38" spans="1:8" ht="45" customHeight="1">
      <c r="A38" s="383" t="s">
        <v>1329</v>
      </c>
      <c r="B38" s="278" t="s">
        <v>2579</v>
      </c>
      <c r="C38" s="278" t="s">
        <v>17</v>
      </c>
      <c r="D38" s="278"/>
      <c r="E38" s="278" t="s">
        <v>2400</v>
      </c>
      <c r="F38" s="354" t="s">
        <v>2429</v>
      </c>
      <c r="G38" s="382"/>
      <c r="H38" s="837"/>
    </row>
    <row r="39" spans="1:8" ht="45" customHeight="1">
      <c r="A39" s="383" t="s">
        <v>1330</v>
      </c>
      <c r="B39" s="278" t="s">
        <v>2580</v>
      </c>
      <c r="C39" s="279" t="s">
        <v>17</v>
      </c>
      <c r="D39" s="279"/>
      <c r="E39" s="278" t="s">
        <v>2400</v>
      </c>
      <c r="F39" s="354" t="s">
        <v>2430</v>
      </c>
      <c r="G39" s="382"/>
      <c r="H39" s="837"/>
    </row>
    <row r="40" spans="1:8" ht="45" customHeight="1">
      <c r="A40" s="383" t="s">
        <v>1331</v>
      </c>
      <c r="B40" s="278" t="s">
        <v>2690</v>
      </c>
      <c r="C40" s="279" t="s">
        <v>17</v>
      </c>
      <c r="D40" s="279"/>
      <c r="E40" s="278" t="s">
        <v>2400</v>
      </c>
      <c r="F40" s="354" t="s">
        <v>2691</v>
      </c>
      <c r="G40" s="382"/>
      <c r="H40" s="837"/>
    </row>
    <row r="41" spans="1:8" ht="45" customHeight="1">
      <c r="A41" s="383" t="s">
        <v>2038</v>
      </c>
      <c r="B41" s="353" t="s">
        <v>2692</v>
      </c>
      <c r="C41" s="275" t="s">
        <v>17</v>
      </c>
      <c r="D41" s="275"/>
      <c r="E41" s="278" t="s">
        <v>2624</v>
      </c>
      <c r="F41" s="354" t="s">
        <v>2693</v>
      </c>
      <c r="G41" s="382"/>
      <c r="H41" s="837"/>
    </row>
    <row r="42" spans="1:8" ht="45" customHeight="1">
      <c r="A42" s="383" t="s">
        <v>2040</v>
      </c>
      <c r="B42" s="353" t="s">
        <v>2694</v>
      </c>
      <c r="C42" s="353" t="s">
        <v>17</v>
      </c>
      <c r="D42" s="275"/>
      <c r="E42" s="278" t="s">
        <v>2624</v>
      </c>
      <c r="F42" s="354" t="s">
        <v>2695</v>
      </c>
      <c r="G42" s="382"/>
      <c r="H42" s="837"/>
    </row>
    <row r="43" spans="1:8" ht="45" customHeight="1">
      <c r="A43" s="383" t="s">
        <v>2294</v>
      </c>
      <c r="B43" s="353" t="s">
        <v>66</v>
      </c>
      <c r="C43" s="353" t="s">
        <v>18</v>
      </c>
      <c r="D43" s="353"/>
      <c r="E43" s="353" t="s">
        <v>2400</v>
      </c>
      <c r="F43" s="354"/>
      <c r="G43" s="382"/>
      <c r="H43" s="837"/>
    </row>
    <row r="44" spans="1:8" ht="87.6" customHeight="1">
      <c r="A44" s="394" t="s">
        <v>2434</v>
      </c>
      <c r="B44" s="283" t="s">
        <v>2635</v>
      </c>
      <c r="C44" s="283" t="s">
        <v>17</v>
      </c>
      <c r="D44" s="283"/>
      <c r="E44" s="283" t="s">
        <v>2400</v>
      </c>
      <c r="F44" s="395" t="s">
        <v>1321</v>
      </c>
      <c r="G44" s="396" t="s">
        <v>2431</v>
      </c>
      <c r="H44" s="838" t="s">
        <v>2433</v>
      </c>
    </row>
    <row r="45" spans="1:8" ht="51">
      <c r="A45" s="394" t="s">
        <v>2436</v>
      </c>
      <c r="B45" s="283" t="s">
        <v>2636</v>
      </c>
      <c r="C45" s="283" t="s">
        <v>17</v>
      </c>
      <c r="D45" s="283"/>
      <c r="E45" s="283" t="s">
        <v>2400</v>
      </c>
      <c r="F45" s="395" t="s">
        <v>2637</v>
      </c>
      <c r="G45" s="396" t="s">
        <v>2431</v>
      </c>
      <c r="H45" s="838" t="s">
        <v>2433</v>
      </c>
    </row>
    <row r="46" spans="1:8" ht="25.5">
      <c r="A46" s="394" t="s">
        <v>2437</v>
      </c>
      <c r="B46" s="283" t="s">
        <v>2696</v>
      </c>
      <c r="C46" s="283" t="s">
        <v>18</v>
      </c>
      <c r="D46" s="283"/>
      <c r="E46" s="283" t="s">
        <v>2400</v>
      </c>
      <c r="F46" s="395" t="s">
        <v>2696</v>
      </c>
      <c r="G46" s="382"/>
      <c r="H46" s="837"/>
    </row>
    <row r="47" spans="1:8" ht="45" customHeight="1">
      <c r="A47" s="394" t="s">
        <v>2438</v>
      </c>
      <c r="B47" s="283" t="s">
        <v>2697</v>
      </c>
      <c r="C47" s="283" t="s">
        <v>17</v>
      </c>
      <c r="D47" s="283"/>
      <c r="E47" s="283" t="s">
        <v>2400</v>
      </c>
      <c r="F47" s="395" t="s">
        <v>2435</v>
      </c>
      <c r="G47" s="382"/>
      <c r="H47" s="837"/>
    </row>
    <row r="48" spans="1:8" ht="51">
      <c r="A48" s="394" t="s">
        <v>2440</v>
      </c>
      <c r="B48" s="283" t="s">
        <v>2698</v>
      </c>
      <c r="C48" s="283" t="s">
        <v>17</v>
      </c>
      <c r="D48" s="283"/>
      <c r="E48" s="283" t="s">
        <v>2400</v>
      </c>
      <c r="F48" s="395" t="s">
        <v>2699</v>
      </c>
      <c r="G48" s="382"/>
      <c r="H48" s="837"/>
    </row>
    <row r="49" spans="1:8" ht="51">
      <c r="A49" s="394" t="s">
        <v>2441</v>
      </c>
      <c r="B49" s="283" t="s">
        <v>2700</v>
      </c>
      <c r="C49" s="283" t="s">
        <v>17</v>
      </c>
      <c r="D49" s="283"/>
      <c r="E49" s="283" t="s">
        <v>2400</v>
      </c>
      <c r="F49" s="395" t="s">
        <v>2701</v>
      </c>
      <c r="G49" s="396" t="s">
        <v>2439</v>
      </c>
      <c r="H49" s="838" t="s">
        <v>2433</v>
      </c>
    </row>
    <row r="50" spans="1:8" ht="51">
      <c r="A50" s="394" t="s">
        <v>2442</v>
      </c>
      <c r="B50" s="397" t="s">
        <v>2581</v>
      </c>
      <c r="C50" s="397" t="s">
        <v>2684</v>
      </c>
      <c r="D50" s="397"/>
      <c r="E50" s="397" t="s">
        <v>312</v>
      </c>
      <c r="F50" s="395" t="s">
        <v>2702</v>
      </c>
      <c r="G50" s="396" t="s">
        <v>2431</v>
      </c>
      <c r="H50" s="838" t="s">
        <v>2433</v>
      </c>
    </row>
    <row r="51" spans="1:8" ht="45" customHeight="1">
      <c r="A51" s="394" t="s">
        <v>2444</v>
      </c>
      <c r="B51" s="283" t="s">
        <v>2703</v>
      </c>
      <c r="C51" s="283" t="s">
        <v>17</v>
      </c>
      <c r="D51" s="283"/>
      <c r="E51" s="283" t="s">
        <v>312</v>
      </c>
      <c r="F51" s="395" t="s">
        <v>2704</v>
      </c>
      <c r="G51" s="382"/>
      <c r="H51" s="837"/>
    </row>
    <row r="52" spans="1:8" ht="45" customHeight="1">
      <c r="A52" s="394" t="s">
        <v>2446</v>
      </c>
      <c r="B52" s="398" t="s">
        <v>2488</v>
      </c>
      <c r="C52" s="283" t="s">
        <v>2588</v>
      </c>
      <c r="D52" s="399"/>
      <c r="E52" s="399" t="s">
        <v>2400</v>
      </c>
      <c r="F52" s="395" t="s">
        <v>2443</v>
      </c>
      <c r="G52" s="382"/>
      <c r="H52" s="837"/>
    </row>
    <row r="53" spans="1:8" ht="51.75" customHeight="1">
      <c r="A53" s="394" t="s">
        <v>2447</v>
      </c>
      <c r="B53" s="400" t="s">
        <v>2489</v>
      </c>
      <c r="C53" s="283" t="s">
        <v>2584</v>
      </c>
      <c r="D53" s="401"/>
      <c r="E53" s="401" t="s">
        <v>2400</v>
      </c>
      <c r="F53" s="395" t="s">
        <v>2445</v>
      </c>
      <c r="G53" s="382"/>
      <c r="H53" s="837"/>
    </row>
    <row r="54" spans="1:8" ht="45" customHeight="1">
      <c r="A54" s="394" t="s">
        <v>2448</v>
      </c>
      <c r="B54" s="401" t="s">
        <v>2610</v>
      </c>
      <c r="C54" s="401" t="s">
        <v>17</v>
      </c>
      <c r="D54" s="401"/>
      <c r="E54" s="401" t="s">
        <v>2400</v>
      </c>
      <c r="F54" s="395" t="s">
        <v>1320</v>
      </c>
      <c r="G54" s="382"/>
      <c r="H54" s="837"/>
    </row>
    <row r="55" spans="1:8" ht="45" customHeight="1">
      <c r="A55" s="394" t="s">
        <v>2449</v>
      </c>
      <c r="B55" s="401" t="s">
        <v>2611</v>
      </c>
      <c r="C55" s="401" t="s">
        <v>17</v>
      </c>
      <c r="D55" s="401"/>
      <c r="E55" s="401" t="s">
        <v>2400</v>
      </c>
      <c r="F55" s="395" t="s">
        <v>1320</v>
      </c>
      <c r="G55" s="382"/>
      <c r="H55" s="837"/>
    </row>
    <row r="56" spans="1:8" ht="51">
      <c r="A56" s="394" t="s">
        <v>2450</v>
      </c>
      <c r="B56" s="401" t="s">
        <v>2705</v>
      </c>
      <c r="C56" s="401" t="s">
        <v>17</v>
      </c>
      <c r="D56" s="401"/>
      <c r="E56" s="401" t="s">
        <v>2624</v>
      </c>
      <c r="F56" s="395" t="s">
        <v>1320</v>
      </c>
      <c r="G56" s="396" t="s">
        <v>2431</v>
      </c>
      <c r="H56" s="838" t="s">
        <v>2433</v>
      </c>
    </row>
    <row r="57" spans="1:8" ht="45" customHeight="1">
      <c r="A57" s="394" t="s">
        <v>2452</v>
      </c>
      <c r="B57" s="401" t="s">
        <v>72</v>
      </c>
      <c r="C57" s="401" t="s">
        <v>18</v>
      </c>
      <c r="D57" s="401"/>
      <c r="E57" s="401" t="s">
        <v>2400</v>
      </c>
      <c r="F57" s="395"/>
      <c r="G57" s="382"/>
      <c r="H57" s="837"/>
    </row>
    <row r="58" spans="1:8" ht="45" customHeight="1">
      <c r="A58" s="402" t="s">
        <v>2454</v>
      </c>
      <c r="B58" s="403" t="s">
        <v>2612</v>
      </c>
      <c r="C58" s="403" t="s">
        <v>17</v>
      </c>
      <c r="D58" s="403"/>
      <c r="E58" s="403" t="s">
        <v>2706</v>
      </c>
      <c r="F58" s="404" t="s">
        <v>2451</v>
      </c>
      <c r="G58" s="382"/>
      <c r="H58" s="837"/>
    </row>
    <row r="59" spans="1:8" ht="45" customHeight="1">
      <c r="A59" s="402" t="s">
        <v>2456</v>
      </c>
      <c r="B59" s="403" t="s">
        <v>2645</v>
      </c>
      <c r="C59" s="403" t="s">
        <v>17</v>
      </c>
      <c r="D59" s="403"/>
      <c r="E59" s="403" t="s">
        <v>2706</v>
      </c>
      <c r="F59" s="404" t="s">
        <v>2646</v>
      </c>
      <c r="G59" s="382"/>
      <c r="H59" s="837"/>
    </row>
    <row r="60" spans="1:8" ht="45" customHeight="1">
      <c r="A60" s="402" t="s">
        <v>2462</v>
      </c>
      <c r="B60" s="405" t="s">
        <v>2613</v>
      </c>
      <c r="C60" s="405" t="s">
        <v>17</v>
      </c>
      <c r="D60" s="405"/>
      <c r="E60" s="405" t="s">
        <v>312</v>
      </c>
      <c r="F60" s="404" t="s">
        <v>2455</v>
      </c>
      <c r="G60" s="382"/>
      <c r="H60" s="837"/>
    </row>
    <row r="61" spans="1:8" ht="45" customHeight="1">
      <c r="A61" s="402" t="s">
        <v>2465</v>
      </c>
      <c r="B61" s="405" t="s">
        <v>2614</v>
      </c>
      <c r="C61" s="405" t="s">
        <v>17</v>
      </c>
      <c r="D61" s="405"/>
      <c r="E61" s="403" t="s">
        <v>2706</v>
      </c>
      <c r="F61" s="404" t="s">
        <v>2453</v>
      </c>
      <c r="G61" s="382"/>
      <c r="H61" s="837"/>
    </row>
    <row r="62" spans="1:8" ht="45" customHeight="1">
      <c r="A62" s="402" t="s">
        <v>2468</v>
      </c>
      <c r="B62" s="405" t="s">
        <v>2647</v>
      </c>
      <c r="C62" s="405" t="s">
        <v>17</v>
      </c>
      <c r="D62" s="405"/>
      <c r="E62" s="403" t="s">
        <v>2706</v>
      </c>
      <c r="F62" s="404" t="s">
        <v>2648</v>
      </c>
      <c r="G62" s="382"/>
      <c r="H62" s="837"/>
    </row>
    <row r="63" spans="1:8" ht="38.25">
      <c r="A63" s="402" t="s">
        <v>2471</v>
      </c>
      <c r="B63" s="405" t="s">
        <v>2457</v>
      </c>
      <c r="C63" s="405" t="s">
        <v>17</v>
      </c>
      <c r="D63" s="405"/>
      <c r="E63" s="405" t="s">
        <v>2400</v>
      </c>
      <c r="F63" s="406" t="s">
        <v>2458</v>
      </c>
      <c r="G63" s="407" t="s">
        <v>2459</v>
      </c>
      <c r="H63" s="838" t="s">
        <v>2461</v>
      </c>
    </row>
    <row r="64" spans="1:8" ht="38.25">
      <c r="A64" s="402" t="s">
        <v>2472</v>
      </c>
      <c r="B64" s="405" t="s">
        <v>2463</v>
      </c>
      <c r="C64" s="405" t="s">
        <v>17</v>
      </c>
      <c r="D64" s="405"/>
      <c r="E64" s="405" t="s">
        <v>2400</v>
      </c>
      <c r="F64" s="406" t="s">
        <v>2464</v>
      </c>
      <c r="G64" s="407" t="s">
        <v>2459</v>
      </c>
      <c r="H64" s="838" t="s">
        <v>2461</v>
      </c>
    </row>
    <row r="65" spans="1:8" ht="45" customHeight="1">
      <c r="A65" s="402" t="s">
        <v>2473</v>
      </c>
      <c r="B65" s="405" t="s">
        <v>2466</v>
      </c>
      <c r="C65" s="356" t="s">
        <v>17</v>
      </c>
      <c r="D65" s="356"/>
      <c r="E65" s="405" t="s">
        <v>2400</v>
      </c>
      <c r="F65" s="406" t="s">
        <v>2707</v>
      </c>
      <c r="G65" s="408" t="s">
        <v>2467</v>
      </c>
      <c r="H65" s="838" t="s">
        <v>2461</v>
      </c>
    </row>
    <row r="66" spans="1:8">
      <c r="A66" s="402" t="s">
        <v>2638</v>
      </c>
      <c r="B66" s="405" t="s">
        <v>2469</v>
      </c>
      <c r="C66" s="356" t="s">
        <v>17</v>
      </c>
      <c r="D66" s="356"/>
      <c r="E66" s="405" t="s">
        <v>2400</v>
      </c>
      <c r="F66" s="406" t="s">
        <v>2708</v>
      </c>
      <c r="G66" s="408" t="s">
        <v>2470</v>
      </c>
      <c r="H66" s="838" t="s">
        <v>2461</v>
      </c>
    </row>
    <row r="67" spans="1:8" ht="45" customHeight="1">
      <c r="A67" s="402" t="s">
        <v>2639</v>
      </c>
      <c r="B67" s="356" t="s">
        <v>2709</v>
      </c>
      <c r="C67" s="356" t="s">
        <v>2583</v>
      </c>
      <c r="D67" s="356"/>
      <c r="E67" s="356" t="s">
        <v>2624</v>
      </c>
      <c r="F67" s="406"/>
      <c r="G67" s="382"/>
      <c r="H67" s="837"/>
    </row>
    <row r="68" spans="1:8" ht="45" customHeight="1">
      <c r="A68" s="402" t="s">
        <v>2710</v>
      </c>
      <c r="B68" s="356" t="s">
        <v>2711</v>
      </c>
      <c r="C68" s="356" t="s">
        <v>17</v>
      </c>
      <c r="D68" s="356"/>
      <c r="E68" s="356" t="s">
        <v>2624</v>
      </c>
      <c r="F68" s="406" t="s">
        <v>2712</v>
      </c>
      <c r="G68" s="382"/>
      <c r="H68" s="837"/>
    </row>
    <row r="69" spans="1:8" ht="45" customHeight="1">
      <c r="A69" s="402" t="s">
        <v>2713</v>
      </c>
      <c r="B69" s="409" t="s">
        <v>2714</v>
      </c>
      <c r="C69" s="409" t="s">
        <v>57</v>
      </c>
      <c r="D69" s="409"/>
      <c r="E69" s="356" t="s">
        <v>312</v>
      </c>
      <c r="F69" s="410" t="s">
        <v>2714</v>
      </c>
      <c r="G69" s="393"/>
      <c r="H69" s="841"/>
    </row>
    <row r="70" spans="1:8" ht="45" customHeight="1">
      <c r="A70" s="402" t="s">
        <v>2715</v>
      </c>
      <c r="B70" s="409" t="s">
        <v>79</v>
      </c>
      <c r="C70" s="409" t="s">
        <v>18</v>
      </c>
      <c r="D70" s="409"/>
      <c r="E70" s="409" t="s">
        <v>2400</v>
      </c>
      <c r="F70" s="410"/>
      <c r="G70" s="393"/>
      <c r="H70" s="841"/>
    </row>
    <row r="75" spans="1:8" ht="45" customHeight="1">
      <c r="B75" s="411" t="s">
        <v>1664</v>
      </c>
    </row>
  </sheetData>
  <autoFilter ref="A2:H70" xr:uid="{00000000-0009-0000-0000-000004000000}"/>
  <mergeCells count="1">
    <mergeCell ref="A1:F1"/>
  </mergeCells>
  <pageMargins left="0.25" right="0.25" top="0" bottom="0" header="0.3" footer="0.3"/>
  <pageSetup scale="60" orientation="portrait" r:id="rId1"/>
  <rowBreaks count="3" manualBreakCount="3">
    <brk id="24" max="5" man="1"/>
    <brk id="49" max="5" man="1"/>
    <brk id="70"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zoomScale="110" zoomScaleNormal="110" zoomScaleSheetLayoutView="91" workbookViewId="0">
      <selection activeCell="F61" sqref="F61"/>
    </sheetView>
  </sheetViews>
  <sheetFormatPr defaultColWidth="8" defaultRowHeight="45" customHeight="1"/>
  <cols>
    <col min="1" max="1" width="6.125" style="374" customWidth="1"/>
    <col min="2" max="2" width="40.25" style="419" customWidth="1"/>
    <col min="3" max="3" width="11.625" style="412" customWidth="1"/>
    <col min="4" max="4" width="16.625" style="412" hidden="1" customWidth="1"/>
    <col min="5" max="5" width="13.25" style="412" bestFit="1" customWidth="1"/>
    <col min="6" max="6" width="65.25" style="418" customWidth="1"/>
    <col min="7" max="7" width="21.125" style="264" customWidth="1"/>
    <col min="8" max="8" width="20.875" style="264" customWidth="1"/>
    <col min="9" max="9" width="57.375" style="263" bestFit="1" customWidth="1"/>
    <col min="10" max="16384" width="8" style="413"/>
  </cols>
  <sheetData>
    <row r="1" spans="1:9" ht="45" customHeight="1">
      <c r="A1" s="976"/>
      <c r="B1" s="976"/>
      <c r="C1" s="976"/>
      <c r="D1" s="976"/>
      <c r="E1" s="976"/>
      <c r="F1" s="976"/>
      <c r="G1" s="262" t="s">
        <v>47</v>
      </c>
      <c r="H1" s="262" t="s">
        <v>47</v>
      </c>
    </row>
    <row r="2" spans="1:9" s="414" customFormat="1" ht="56.25" customHeight="1">
      <c r="A2" s="375" t="s">
        <v>48</v>
      </c>
      <c r="B2" s="344" t="s">
        <v>2395</v>
      </c>
      <c r="C2" s="376" t="s">
        <v>2396</v>
      </c>
      <c r="D2" s="376" t="s">
        <v>2397</v>
      </c>
      <c r="E2" s="376" t="s">
        <v>2398</v>
      </c>
      <c r="F2" s="376" t="s">
        <v>49</v>
      </c>
      <c r="G2" s="265" t="s">
        <v>50</v>
      </c>
      <c r="H2" s="266" t="s">
        <v>51</v>
      </c>
      <c r="I2" s="267" t="s">
        <v>2524</v>
      </c>
    </row>
    <row r="3" spans="1:9" ht="36" customHeight="1">
      <c r="A3" s="379" t="s">
        <v>0</v>
      </c>
      <c r="B3" s="343" t="s">
        <v>2528</v>
      </c>
      <c r="C3" s="380" t="s">
        <v>16</v>
      </c>
      <c r="D3" s="380"/>
      <c r="E3" s="380" t="s">
        <v>2400</v>
      </c>
      <c r="F3" s="341" t="s">
        <v>2528</v>
      </c>
      <c r="G3" s="268"/>
      <c r="H3" s="269"/>
      <c r="I3" s="270"/>
    </row>
    <row r="4" spans="1:9" ht="36" customHeight="1">
      <c r="A4" s="379" t="s">
        <v>1</v>
      </c>
      <c r="B4" s="343" t="s">
        <v>2529</v>
      </c>
      <c r="C4" s="380" t="s">
        <v>16</v>
      </c>
      <c r="D4" s="380"/>
      <c r="E4" s="380" t="s">
        <v>2400</v>
      </c>
      <c r="F4" s="341" t="s">
        <v>2652</v>
      </c>
      <c r="G4" s="268"/>
      <c r="H4" s="269"/>
      <c r="I4" s="270"/>
    </row>
    <row r="5" spans="1:9" ht="36" customHeight="1">
      <c r="A5" s="379" t="s">
        <v>2</v>
      </c>
      <c r="B5" s="343" t="s">
        <v>2530</v>
      </c>
      <c r="C5" s="380" t="s">
        <v>16</v>
      </c>
      <c r="D5" s="380"/>
      <c r="E5" s="380" t="s">
        <v>2400</v>
      </c>
      <c r="F5" s="341" t="s">
        <v>2530</v>
      </c>
      <c r="G5" s="268"/>
      <c r="H5" s="269"/>
      <c r="I5" s="270"/>
    </row>
    <row r="6" spans="1:9" ht="36" customHeight="1">
      <c r="A6" s="379" t="s">
        <v>3</v>
      </c>
      <c r="B6" s="343" t="s">
        <v>2531</v>
      </c>
      <c r="C6" s="380" t="s">
        <v>18</v>
      </c>
      <c r="D6" s="380"/>
      <c r="E6" s="380" t="s">
        <v>2400</v>
      </c>
      <c r="F6" s="341" t="s">
        <v>2651</v>
      </c>
      <c r="G6" s="268"/>
      <c r="H6" s="269"/>
      <c r="I6" s="270"/>
    </row>
    <row r="7" spans="1:9" ht="36" customHeight="1">
      <c r="A7" s="379" t="s">
        <v>4</v>
      </c>
      <c r="B7" s="343" t="s">
        <v>2532</v>
      </c>
      <c r="C7" s="380" t="s">
        <v>16</v>
      </c>
      <c r="D7" s="380"/>
      <c r="E7" s="380" t="s">
        <v>2400</v>
      </c>
      <c r="F7" s="341" t="s">
        <v>2532</v>
      </c>
      <c r="G7" s="268"/>
      <c r="H7" s="269"/>
      <c r="I7" s="270"/>
    </row>
    <row r="8" spans="1:9" ht="36" customHeight="1">
      <c r="A8" s="379" t="s">
        <v>1168</v>
      </c>
      <c r="B8" s="343" t="s">
        <v>2533</v>
      </c>
      <c r="C8" s="380" t="s">
        <v>16</v>
      </c>
      <c r="D8" s="380"/>
      <c r="E8" s="380" t="s">
        <v>2400</v>
      </c>
      <c r="F8" s="341" t="s">
        <v>2533</v>
      </c>
      <c r="G8" s="268"/>
      <c r="H8" s="269"/>
      <c r="I8" s="270"/>
    </row>
    <row r="9" spans="1:9" ht="45" customHeight="1">
      <c r="A9" s="379" t="s">
        <v>5</v>
      </c>
      <c r="B9" s="343" t="s">
        <v>2534</v>
      </c>
      <c r="C9" s="380" t="s">
        <v>2626</v>
      </c>
      <c r="D9" s="380"/>
      <c r="E9" s="380" t="s">
        <v>2400</v>
      </c>
      <c r="F9" s="341" t="s">
        <v>2534</v>
      </c>
      <c r="G9" s="268"/>
      <c r="H9" s="269"/>
      <c r="I9" s="270"/>
    </row>
    <row r="10" spans="1:9" ht="45" customHeight="1">
      <c r="A10" s="379" t="s">
        <v>6</v>
      </c>
      <c r="B10" s="343" t="s">
        <v>2535</v>
      </c>
      <c r="C10" s="380" t="s">
        <v>16</v>
      </c>
      <c r="D10" s="380"/>
      <c r="E10" s="380" t="s">
        <v>2400</v>
      </c>
      <c r="F10" s="341" t="s">
        <v>2535</v>
      </c>
      <c r="G10" s="268"/>
      <c r="H10" s="269"/>
      <c r="I10" s="270"/>
    </row>
    <row r="11" spans="1:9" ht="37.5" customHeight="1">
      <c r="A11" s="379" t="s">
        <v>52</v>
      </c>
      <c r="B11" s="343" t="s">
        <v>2577</v>
      </c>
      <c r="C11" s="380" t="s">
        <v>17</v>
      </c>
      <c r="D11" s="380"/>
      <c r="E11" s="380" t="s">
        <v>2400</v>
      </c>
      <c r="F11" s="341" t="s">
        <v>2653</v>
      </c>
      <c r="G11" s="268"/>
      <c r="H11" s="269"/>
      <c r="I11" s="270"/>
    </row>
    <row r="12" spans="1:9" ht="37.5" customHeight="1">
      <c r="A12" s="379" t="s">
        <v>53</v>
      </c>
      <c r="B12" s="343" t="s">
        <v>2576</v>
      </c>
      <c r="C12" s="380" t="s">
        <v>17</v>
      </c>
      <c r="D12" s="380"/>
      <c r="E12" s="380" t="s">
        <v>2400</v>
      </c>
      <c r="F12" s="341" t="s">
        <v>2654</v>
      </c>
      <c r="G12" s="268"/>
      <c r="H12" s="269"/>
      <c r="I12" s="270"/>
    </row>
    <row r="13" spans="1:9" ht="37.5" customHeight="1">
      <c r="A13" s="379" t="s">
        <v>56</v>
      </c>
      <c r="B13" s="343" t="s">
        <v>2536</v>
      </c>
      <c r="C13" s="380" t="s">
        <v>19</v>
      </c>
      <c r="D13" s="380"/>
      <c r="E13" s="380" t="s">
        <v>2400</v>
      </c>
      <c r="F13" s="341" t="s">
        <v>2536</v>
      </c>
      <c r="G13" s="268"/>
      <c r="H13" s="269"/>
      <c r="I13" s="270"/>
    </row>
    <row r="14" spans="1:9" ht="37.5" customHeight="1">
      <c r="A14" s="379" t="s">
        <v>58</v>
      </c>
      <c r="B14" s="343" t="s">
        <v>2537</v>
      </c>
      <c r="C14" s="380" t="s">
        <v>19</v>
      </c>
      <c r="D14" s="380"/>
      <c r="E14" s="380" t="s">
        <v>2400</v>
      </c>
      <c r="F14" s="341" t="s">
        <v>2537</v>
      </c>
      <c r="G14" s="268"/>
      <c r="H14" s="269"/>
      <c r="I14" s="270"/>
    </row>
    <row r="15" spans="1:9" ht="45" customHeight="1">
      <c r="A15" s="379" t="s">
        <v>60</v>
      </c>
      <c r="B15" s="343" t="s">
        <v>2716</v>
      </c>
      <c r="C15" s="380" t="s">
        <v>17</v>
      </c>
      <c r="D15" s="380"/>
      <c r="E15" s="380" t="s">
        <v>2624</v>
      </c>
      <c r="F15" s="341" t="s">
        <v>2716</v>
      </c>
      <c r="G15" s="268"/>
      <c r="H15" s="269"/>
      <c r="I15" s="270"/>
    </row>
    <row r="16" spans="1:9" ht="45" customHeight="1">
      <c r="A16" s="379" t="s">
        <v>123</v>
      </c>
      <c r="B16" s="343" t="s">
        <v>2042</v>
      </c>
      <c r="C16" s="380" t="s">
        <v>17</v>
      </c>
      <c r="D16" s="380"/>
      <c r="E16" s="380" t="s">
        <v>312</v>
      </c>
      <c r="F16" s="341" t="s">
        <v>2538</v>
      </c>
      <c r="G16" s="268"/>
      <c r="H16" s="269"/>
      <c r="I16" s="270"/>
    </row>
    <row r="17" spans="1:9" ht="45" customHeight="1">
      <c r="A17" s="379" t="s">
        <v>124</v>
      </c>
      <c r="B17" s="343" t="s">
        <v>2539</v>
      </c>
      <c r="C17" s="380" t="s">
        <v>17</v>
      </c>
      <c r="D17" s="380"/>
      <c r="E17" s="380" t="s">
        <v>312</v>
      </c>
      <c r="F17" s="341" t="s">
        <v>2540</v>
      </c>
      <c r="G17" s="268"/>
      <c r="H17" s="269"/>
      <c r="I17" s="270"/>
    </row>
    <row r="18" spans="1:9" ht="40.5">
      <c r="A18" s="379" t="s">
        <v>65</v>
      </c>
      <c r="B18" s="343" t="s">
        <v>2541</v>
      </c>
      <c r="C18" s="380" t="s">
        <v>17</v>
      </c>
      <c r="D18" s="380" t="s">
        <v>2675</v>
      </c>
      <c r="E18" s="380" t="s">
        <v>2400</v>
      </c>
      <c r="F18" s="341" t="s">
        <v>2542</v>
      </c>
      <c r="G18" s="268"/>
      <c r="H18" s="269"/>
      <c r="I18" s="270"/>
    </row>
    <row r="19" spans="1:9" ht="45" customHeight="1">
      <c r="A19" s="379" t="s">
        <v>63</v>
      </c>
      <c r="B19" s="343" t="s">
        <v>2543</v>
      </c>
      <c r="C19" s="380" t="s">
        <v>2417</v>
      </c>
      <c r="D19" s="380"/>
      <c r="E19" s="380" t="s">
        <v>2400</v>
      </c>
      <c r="F19" s="341" t="s">
        <v>2655</v>
      </c>
      <c r="G19" s="268"/>
      <c r="H19" s="269"/>
      <c r="I19" s="270"/>
    </row>
    <row r="20" spans="1:9" ht="36" customHeight="1">
      <c r="A20" s="379" t="s">
        <v>67</v>
      </c>
      <c r="B20" s="343" t="s">
        <v>2544</v>
      </c>
      <c r="C20" s="380" t="s">
        <v>17</v>
      </c>
      <c r="D20" s="380"/>
      <c r="E20" s="380" t="s">
        <v>2400</v>
      </c>
      <c r="F20" s="341" t="s">
        <v>2657</v>
      </c>
      <c r="G20" s="268"/>
      <c r="H20" s="269"/>
      <c r="I20" s="270"/>
    </row>
    <row r="21" spans="1:9" ht="35.25" customHeight="1">
      <c r="A21" s="379" t="s">
        <v>1169</v>
      </c>
      <c r="B21" s="343" t="s">
        <v>2545</v>
      </c>
      <c r="C21" s="380" t="s">
        <v>17</v>
      </c>
      <c r="D21" s="380"/>
      <c r="E21" s="380" t="s">
        <v>2400</v>
      </c>
      <c r="F21" s="341" t="s">
        <v>2656</v>
      </c>
      <c r="G21" s="268"/>
      <c r="H21" s="269"/>
      <c r="I21" s="270"/>
    </row>
    <row r="22" spans="1:9" ht="52.5" customHeight="1">
      <c r="A22" s="383" t="s">
        <v>69</v>
      </c>
      <c r="B22" s="333" t="s">
        <v>2629</v>
      </c>
      <c r="C22" s="271" t="s">
        <v>17</v>
      </c>
      <c r="D22" s="271"/>
      <c r="E22" s="271" t="s">
        <v>2400</v>
      </c>
      <c r="F22" s="331" t="s">
        <v>2658</v>
      </c>
      <c r="G22" s="272" t="s">
        <v>59</v>
      </c>
      <c r="H22" s="273" t="s">
        <v>59</v>
      </c>
      <c r="I22" s="274" t="s">
        <v>2422</v>
      </c>
    </row>
    <row r="23" spans="1:9" ht="45" customHeight="1">
      <c r="A23" s="383" t="s">
        <v>70</v>
      </c>
      <c r="B23" s="333" t="s">
        <v>2589</v>
      </c>
      <c r="C23" s="271" t="s">
        <v>17</v>
      </c>
      <c r="D23" s="271"/>
      <c r="E23" s="271" t="s">
        <v>2400</v>
      </c>
      <c r="F23" s="331" t="s">
        <v>2589</v>
      </c>
      <c r="G23" s="268"/>
      <c r="H23" s="269"/>
      <c r="I23" s="270"/>
    </row>
    <row r="24" spans="1:9" ht="45" customHeight="1">
      <c r="A24" s="383" t="s">
        <v>71</v>
      </c>
      <c r="B24" s="333" t="s">
        <v>2590</v>
      </c>
      <c r="C24" s="271" t="s">
        <v>17</v>
      </c>
      <c r="D24" s="271"/>
      <c r="E24" s="271" t="s">
        <v>2400</v>
      </c>
      <c r="F24" s="334" t="s">
        <v>2591</v>
      </c>
      <c r="G24" s="268"/>
      <c r="H24" s="269"/>
      <c r="I24" s="270"/>
    </row>
    <row r="25" spans="1:9" ht="60.75">
      <c r="A25" s="383" t="s">
        <v>73</v>
      </c>
      <c r="B25" s="335" t="s">
        <v>2717</v>
      </c>
      <c r="C25" s="275" t="s">
        <v>17</v>
      </c>
      <c r="D25" s="271"/>
      <c r="E25" s="275" t="s">
        <v>2400</v>
      </c>
      <c r="F25" s="332" t="s">
        <v>2630</v>
      </c>
      <c r="G25" s="272" t="s">
        <v>59</v>
      </c>
      <c r="H25" s="273" t="s">
        <v>59</v>
      </c>
      <c r="I25" s="274" t="s">
        <v>2422</v>
      </c>
    </row>
    <row r="26" spans="1:9" ht="54" customHeight="1">
      <c r="A26" s="383" t="s">
        <v>75</v>
      </c>
      <c r="B26" s="333" t="s">
        <v>2631</v>
      </c>
      <c r="C26" s="275" t="s">
        <v>17</v>
      </c>
      <c r="D26" s="271"/>
      <c r="E26" s="275" t="s">
        <v>2400</v>
      </c>
      <c r="F26" s="334" t="s">
        <v>2570</v>
      </c>
      <c r="G26" s="268"/>
      <c r="H26" s="269"/>
      <c r="I26" s="270"/>
    </row>
    <row r="27" spans="1:9" ht="90">
      <c r="A27" s="383" t="s">
        <v>1170</v>
      </c>
      <c r="B27" s="335" t="s">
        <v>2718</v>
      </c>
      <c r="C27" s="275" t="s">
        <v>17</v>
      </c>
      <c r="D27" s="271"/>
      <c r="E27" s="275" t="s">
        <v>2400</v>
      </c>
      <c r="F27" s="335" t="s">
        <v>2718</v>
      </c>
      <c r="G27" s="268"/>
      <c r="H27" s="269"/>
      <c r="I27" s="270"/>
    </row>
    <row r="28" spans="1:9" ht="90">
      <c r="A28" s="383" t="s">
        <v>74</v>
      </c>
      <c r="B28" s="333" t="s">
        <v>2719</v>
      </c>
      <c r="C28" s="275" t="s">
        <v>17</v>
      </c>
      <c r="D28" s="271"/>
      <c r="E28" s="275" t="s">
        <v>2400</v>
      </c>
      <c r="F28" s="333" t="s">
        <v>2719</v>
      </c>
      <c r="G28" s="268"/>
      <c r="H28" s="269"/>
      <c r="I28" s="270"/>
    </row>
    <row r="29" spans="1:9" ht="55.5" customHeight="1">
      <c r="A29" s="383" t="s">
        <v>76</v>
      </c>
      <c r="B29" s="335" t="s">
        <v>2659</v>
      </c>
      <c r="C29" s="275" t="s">
        <v>2684</v>
      </c>
      <c r="D29" s="275" t="s">
        <v>2608</v>
      </c>
      <c r="E29" s="275" t="s">
        <v>2400</v>
      </c>
      <c r="F29" s="332" t="s">
        <v>2571</v>
      </c>
      <c r="G29" s="272" t="s">
        <v>59</v>
      </c>
      <c r="H29" s="272" t="s">
        <v>59</v>
      </c>
      <c r="I29" s="274" t="s">
        <v>2422</v>
      </c>
    </row>
    <row r="30" spans="1:9" ht="51.75" customHeight="1">
      <c r="A30" s="383" t="s">
        <v>77</v>
      </c>
      <c r="B30" s="335" t="s">
        <v>2664</v>
      </c>
      <c r="C30" s="275" t="s">
        <v>2684</v>
      </c>
      <c r="D30" s="275"/>
      <c r="E30" s="275" t="s">
        <v>2400</v>
      </c>
      <c r="F30" s="332" t="s">
        <v>2592</v>
      </c>
      <c r="G30" s="357"/>
      <c r="H30" s="269"/>
      <c r="I30" s="270"/>
    </row>
    <row r="31" spans="1:9" ht="69" customHeight="1">
      <c r="A31" s="383" t="s">
        <v>1322</v>
      </c>
      <c r="B31" s="335" t="s">
        <v>2720</v>
      </c>
      <c r="C31" s="275" t="s">
        <v>2684</v>
      </c>
      <c r="D31" s="275"/>
      <c r="E31" s="275" t="s">
        <v>2400</v>
      </c>
      <c r="F31" s="332" t="s">
        <v>2593</v>
      </c>
      <c r="G31" s="358"/>
      <c r="H31" s="348"/>
      <c r="I31" s="349"/>
    </row>
    <row r="32" spans="1:9" s="416" customFormat="1" ht="61.9" customHeight="1">
      <c r="A32" s="415" t="s">
        <v>1323</v>
      </c>
      <c r="B32" s="335" t="s">
        <v>2546</v>
      </c>
      <c r="C32" s="275" t="s">
        <v>2582</v>
      </c>
      <c r="D32" s="271" t="s">
        <v>2685</v>
      </c>
      <c r="E32" s="275" t="s">
        <v>2624</v>
      </c>
      <c r="F32" s="334" t="s">
        <v>2547</v>
      </c>
      <c r="G32" s="350" t="s">
        <v>59</v>
      </c>
      <c r="H32" s="351" t="s">
        <v>59</v>
      </c>
      <c r="I32" s="352" t="s">
        <v>2422</v>
      </c>
    </row>
    <row r="33" spans="1:9" s="416" customFormat="1" ht="60.75" customHeight="1">
      <c r="A33" s="415" t="s">
        <v>1324</v>
      </c>
      <c r="B33" s="335" t="s">
        <v>2606</v>
      </c>
      <c r="C33" s="359" t="s">
        <v>17</v>
      </c>
      <c r="D33" s="271" t="s">
        <v>2420</v>
      </c>
      <c r="E33" s="359" t="s">
        <v>312</v>
      </c>
      <c r="F33" s="355" t="s">
        <v>2548</v>
      </c>
      <c r="G33" s="350" t="s">
        <v>2425</v>
      </c>
      <c r="H33" s="351" t="s">
        <v>2425</v>
      </c>
      <c r="I33" s="352" t="s">
        <v>2422</v>
      </c>
    </row>
    <row r="34" spans="1:9" s="416" customFormat="1" ht="61.5" customHeight="1">
      <c r="A34" s="415" t="s">
        <v>1325</v>
      </c>
      <c r="B34" s="335" t="s">
        <v>2721</v>
      </c>
      <c r="C34" s="359" t="s">
        <v>2582</v>
      </c>
      <c r="D34" s="271" t="s">
        <v>2420</v>
      </c>
      <c r="E34" s="359" t="s">
        <v>2400</v>
      </c>
      <c r="F34" s="355" t="s">
        <v>2722</v>
      </c>
      <c r="G34" s="350" t="s">
        <v>2425</v>
      </c>
      <c r="H34" s="351" t="s">
        <v>2426</v>
      </c>
      <c r="I34" s="352" t="s">
        <v>2422</v>
      </c>
    </row>
    <row r="35" spans="1:9" s="416" customFormat="1" ht="61.5" customHeight="1">
      <c r="A35" s="415" t="s">
        <v>1326</v>
      </c>
      <c r="B35" s="335" t="s">
        <v>2723</v>
      </c>
      <c r="C35" s="389" t="s">
        <v>17</v>
      </c>
      <c r="D35" s="390"/>
      <c r="E35" s="391" t="s">
        <v>312</v>
      </c>
      <c r="F35" s="335" t="s">
        <v>2723</v>
      </c>
      <c r="G35" s="276"/>
      <c r="H35" s="277"/>
      <c r="I35" s="288"/>
    </row>
    <row r="36" spans="1:9" s="416" customFormat="1" ht="55.15" customHeight="1">
      <c r="A36" s="415" t="s">
        <v>1327</v>
      </c>
      <c r="B36" s="335" t="s">
        <v>2724</v>
      </c>
      <c r="C36" s="391" t="s">
        <v>17</v>
      </c>
      <c r="D36" s="391"/>
      <c r="E36" s="391" t="s">
        <v>312</v>
      </c>
      <c r="F36" s="355" t="s">
        <v>2725</v>
      </c>
      <c r="G36" s="276"/>
      <c r="H36" s="277"/>
      <c r="I36" s="288"/>
    </row>
    <row r="37" spans="1:9" s="416" customFormat="1" ht="45" customHeight="1">
      <c r="A37" s="415" t="s">
        <v>1328</v>
      </c>
      <c r="B37" s="335" t="s">
        <v>2595</v>
      </c>
      <c r="C37" s="278" t="s">
        <v>17</v>
      </c>
      <c r="D37" s="278"/>
      <c r="E37" s="278" t="s">
        <v>2400</v>
      </c>
      <c r="F37" s="355" t="s">
        <v>2596</v>
      </c>
      <c r="G37" s="268"/>
      <c r="H37" s="269"/>
      <c r="I37" s="270"/>
    </row>
    <row r="38" spans="1:9" s="416" customFormat="1" ht="54">
      <c r="A38" s="415" t="s">
        <v>1329</v>
      </c>
      <c r="B38" s="335" t="s">
        <v>2594</v>
      </c>
      <c r="C38" s="278" t="s">
        <v>17</v>
      </c>
      <c r="D38" s="278"/>
      <c r="E38" s="278" t="s">
        <v>2400</v>
      </c>
      <c r="F38" s="355" t="s">
        <v>2594</v>
      </c>
      <c r="G38" s="268"/>
      <c r="H38" s="269"/>
      <c r="I38" s="270"/>
    </row>
    <row r="39" spans="1:9" s="416" customFormat="1" ht="45" customHeight="1">
      <c r="A39" s="415" t="s">
        <v>1330</v>
      </c>
      <c r="B39" s="335" t="s">
        <v>2599</v>
      </c>
      <c r="C39" s="279" t="s">
        <v>17</v>
      </c>
      <c r="D39" s="279"/>
      <c r="E39" s="278" t="s">
        <v>2400</v>
      </c>
      <c r="F39" s="355" t="s">
        <v>2597</v>
      </c>
      <c r="G39" s="268"/>
      <c r="H39" s="269"/>
      <c r="I39" s="270"/>
    </row>
    <row r="40" spans="1:9" s="416" customFormat="1" ht="62.45" customHeight="1">
      <c r="A40" s="415" t="s">
        <v>1331</v>
      </c>
      <c r="B40" s="335" t="s">
        <v>2600</v>
      </c>
      <c r="C40" s="279" t="s">
        <v>17</v>
      </c>
      <c r="D40" s="279"/>
      <c r="E40" s="278" t="s">
        <v>2400</v>
      </c>
      <c r="F40" s="355" t="s">
        <v>2598</v>
      </c>
      <c r="G40" s="268"/>
      <c r="H40" s="269"/>
      <c r="I40" s="270"/>
    </row>
    <row r="41" spans="1:9" ht="45" customHeight="1">
      <c r="A41" s="415" t="s">
        <v>2038</v>
      </c>
      <c r="B41" s="335" t="s">
        <v>2726</v>
      </c>
      <c r="C41" s="275" t="s">
        <v>17</v>
      </c>
      <c r="D41" s="275"/>
      <c r="E41" s="278" t="s">
        <v>2624</v>
      </c>
      <c r="F41" s="355" t="s">
        <v>2727</v>
      </c>
      <c r="G41" s="268"/>
      <c r="H41" s="269"/>
      <c r="I41" s="270"/>
    </row>
    <row r="42" spans="1:9" ht="45" customHeight="1">
      <c r="A42" s="415" t="s">
        <v>2040</v>
      </c>
      <c r="B42" s="335" t="s">
        <v>2728</v>
      </c>
      <c r="C42" s="353" t="s">
        <v>17</v>
      </c>
      <c r="D42" s="275"/>
      <c r="E42" s="278" t="s">
        <v>2624</v>
      </c>
      <c r="F42" s="355" t="s">
        <v>2729</v>
      </c>
      <c r="G42" s="268"/>
      <c r="H42" s="269"/>
      <c r="I42" s="270"/>
    </row>
    <row r="43" spans="1:9" ht="47.25" customHeight="1">
      <c r="A43" s="415" t="s">
        <v>2294</v>
      </c>
      <c r="B43" s="335" t="s">
        <v>2549</v>
      </c>
      <c r="C43" s="353" t="s">
        <v>18</v>
      </c>
      <c r="D43" s="353"/>
      <c r="E43" s="353" t="s">
        <v>2400</v>
      </c>
      <c r="F43" s="355" t="s">
        <v>2549</v>
      </c>
      <c r="G43" s="268"/>
      <c r="H43" s="269"/>
      <c r="I43" s="270"/>
    </row>
    <row r="44" spans="1:9" ht="87.6" customHeight="1">
      <c r="A44" s="394" t="s">
        <v>2434</v>
      </c>
      <c r="B44" s="336" t="s">
        <v>2660</v>
      </c>
      <c r="C44" s="283" t="s">
        <v>17</v>
      </c>
      <c r="D44" s="283"/>
      <c r="E44" s="283" t="s">
        <v>2400</v>
      </c>
      <c r="F44" s="337" t="s">
        <v>2607</v>
      </c>
      <c r="G44" s="280" t="s">
        <v>2431</v>
      </c>
      <c r="H44" s="281" t="s">
        <v>2432</v>
      </c>
      <c r="I44" s="282" t="s">
        <v>2433</v>
      </c>
    </row>
    <row r="45" spans="1:9" ht="51">
      <c r="A45" s="394" t="s">
        <v>2436</v>
      </c>
      <c r="B45" s="336" t="s">
        <v>2730</v>
      </c>
      <c r="C45" s="283" t="s">
        <v>17</v>
      </c>
      <c r="D45" s="283"/>
      <c r="E45" s="283" t="s">
        <v>2400</v>
      </c>
      <c r="F45" s="337" t="s">
        <v>2661</v>
      </c>
      <c r="G45" s="280" t="s">
        <v>2431</v>
      </c>
      <c r="H45" s="281" t="s">
        <v>2432</v>
      </c>
      <c r="I45" s="282" t="s">
        <v>2433</v>
      </c>
    </row>
    <row r="46" spans="1:9" ht="45" customHeight="1">
      <c r="A46" s="394" t="s">
        <v>2437</v>
      </c>
      <c r="B46" s="336" t="s">
        <v>2731</v>
      </c>
      <c r="C46" s="283" t="s">
        <v>18</v>
      </c>
      <c r="D46" s="283"/>
      <c r="E46" s="283" t="s">
        <v>2400</v>
      </c>
      <c r="F46" s="337" t="s">
        <v>2732</v>
      </c>
      <c r="G46" s="268"/>
      <c r="H46" s="269"/>
      <c r="I46" s="270"/>
    </row>
    <row r="47" spans="1:9" ht="72.75" customHeight="1">
      <c r="A47" s="394" t="s">
        <v>2438</v>
      </c>
      <c r="B47" s="336" t="s">
        <v>2733</v>
      </c>
      <c r="C47" s="283" t="s">
        <v>17</v>
      </c>
      <c r="D47" s="283"/>
      <c r="E47" s="283" t="s">
        <v>2400</v>
      </c>
      <c r="F47" s="337" t="s">
        <v>2734</v>
      </c>
      <c r="G47" s="268"/>
      <c r="H47" s="269"/>
      <c r="I47" s="270"/>
    </row>
    <row r="48" spans="1:9" ht="94.5" customHeight="1">
      <c r="A48" s="394" t="s">
        <v>2440</v>
      </c>
      <c r="B48" s="336" t="s">
        <v>2735</v>
      </c>
      <c r="C48" s="283" t="s">
        <v>17</v>
      </c>
      <c r="D48" s="283"/>
      <c r="E48" s="283" t="s">
        <v>2400</v>
      </c>
      <c r="F48" s="337" t="s">
        <v>2736</v>
      </c>
      <c r="G48" s="268"/>
      <c r="H48" s="269"/>
      <c r="I48" s="270"/>
    </row>
    <row r="49" spans="1:9" ht="54" customHeight="1">
      <c r="A49" s="394" t="s">
        <v>2441</v>
      </c>
      <c r="B49" s="336" t="s">
        <v>2601</v>
      </c>
      <c r="C49" s="283" t="s">
        <v>17</v>
      </c>
      <c r="D49" s="283"/>
      <c r="E49" s="283" t="s">
        <v>2400</v>
      </c>
      <c r="F49" s="337" t="s">
        <v>2602</v>
      </c>
      <c r="G49" s="280" t="s">
        <v>2439</v>
      </c>
      <c r="H49" s="281" t="s">
        <v>68</v>
      </c>
      <c r="I49" s="282" t="s">
        <v>2433</v>
      </c>
    </row>
    <row r="50" spans="1:9" ht="51">
      <c r="A50" s="394" t="s">
        <v>2442</v>
      </c>
      <c r="B50" s="336" t="s">
        <v>2604</v>
      </c>
      <c r="C50" s="397" t="s">
        <v>2684</v>
      </c>
      <c r="D50" s="397"/>
      <c r="E50" s="397" t="s">
        <v>312</v>
      </c>
      <c r="F50" s="337" t="s">
        <v>2603</v>
      </c>
      <c r="G50" s="280" t="s">
        <v>2431</v>
      </c>
      <c r="H50" s="281" t="s">
        <v>68</v>
      </c>
      <c r="I50" s="282" t="s">
        <v>2433</v>
      </c>
    </row>
    <row r="51" spans="1:9" ht="40.5">
      <c r="A51" s="394" t="s">
        <v>2444</v>
      </c>
      <c r="B51" s="336" t="s">
        <v>2605</v>
      </c>
      <c r="C51" s="283" t="s">
        <v>17</v>
      </c>
      <c r="D51" s="283"/>
      <c r="E51" s="283" t="s">
        <v>312</v>
      </c>
      <c r="F51" s="337" t="s">
        <v>2550</v>
      </c>
      <c r="G51" s="268"/>
      <c r="H51" s="269"/>
      <c r="I51" s="270"/>
    </row>
    <row r="52" spans="1:9" ht="61.9" customHeight="1">
      <c r="A52" s="394" t="s">
        <v>2446</v>
      </c>
      <c r="B52" s="338" t="s">
        <v>2551</v>
      </c>
      <c r="C52" s="283" t="s">
        <v>2588</v>
      </c>
      <c r="D52" s="399"/>
      <c r="E52" s="399" t="s">
        <v>2400</v>
      </c>
      <c r="F52" s="337" t="s">
        <v>2552</v>
      </c>
      <c r="G52" s="268"/>
      <c r="H52" s="269"/>
      <c r="I52" s="270"/>
    </row>
    <row r="53" spans="1:9" ht="63" customHeight="1">
      <c r="A53" s="394" t="s">
        <v>2447</v>
      </c>
      <c r="B53" s="338" t="s">
        <v>2572</v>
      </c>
      <c r="C53" s="283" t="s">
        <v>2584</v>
      </c>
      <c r="D53" s="401"/>
      <c r="E53" s="401" t="s">
        <v>2400</v>
      </c>
      <c r="F53" s="337" t="s">
        <v>2553</v>
      </c>
      <c r="G53" s="268"/>
      <c r="H53" s="269"/>
      <c r="I53" s="270"/>
    </row>
    <row r="54" spans="1:9" ht="34.5" customHeight="1">
      <c r="A54" s="394" t="s">
        <v>2448</v>
      </c>
      <c r="B54" s="338" t="s">
        <v>2554</v>
      </c>
      <c r="C54" s="401" t="s">
        <v>17</v>
      </c>
      <c r="D54" s="401"/>
      <c r="E54" s="401" t="s">
        <v>2400</v>
      </c>
      <c r="F54" s="337" t="s">
        <v>2555</v>
      </c>
      <c r="G54" s="268"/>
      <c r="H54" s="269"/>
      <c r="I54" s="270"/>
    </row>
    <row r="55" spans="1:9" ht="45" customHeight="1">
      <c r="A55" s="394" t="s">
        <v>2449</v>
      </c>
      <c r="B55" s="338" t="s">
        <v>2556</v>
      </c>
      <c r="C55" s="401" t="s">
        <v>17</v>
      </c>
      <c r="D55" s="401"/>
      <c r="E55" s="401" t="s">
        <v>2400</v>
      </c>
      <c r="F55" s="337" t="s">
        <v>2557</v>
      </c>
      <c r="G55" s="268"/>
      <c r="H55" s="269"/>
      <c r="I55" s="270"/>
    </row>
    <row r="56" spans="1:9" ht="51">
      <c r="A56" s="394" t="s">
        <v>2450</v>
      </c>
      <c r="B56" s="338" t="s">
        <v>2737</v>
      </c>
      <c r="C56" s="401" t="s">
        <v>17</v>
      </c>
      <c r="D56" s="401"/>
      <c r="E56" s="401" t="s">
        <v>2624</v>
      </c>
      <c r="F56" s="337" t="s">
        <v>2738</v>
      </c>
      <c r="G56" s="280" t="s">
        <v>2431</v>
      </c>
      <c r="H56" s="281" t="s">
        <v>68</v>
      </c>
      <c r="I56" s="282" t="s">
        <v>2433</v>
      </c>
    </row>
    <row r="57" spans="1:9" ht="41.25" customHeight="1">
      <c r="A57" s="394" t="s">
        <v>2452</v>
      </c>
      <c r="B57" s="338" t="s">
        <v>2558</v>
      </c>
      <c r="C57" s="401" t="s">
        <v>18</v>
      </c>
      <c r="D57" s="401"/>
      <c r="E57" s="401" t="s">
        <v>2400</v>
      </c>
      <c r="F57" s="337" t="s">
        <v>2559</v>
      </c>
      <c r="G57" s="268"/>
      <c r="H57" s="269"/>
      <c r="I57" s="270"/>
    </row>
    <row r="58" spans="1:9" ht="40.5">
      <c r="A58" s="402" t="s">
        <v>2454</v>
      </c>
      <c r="B58" s="339" t="s">
        <v>2560</v>
      </c>
      <c r="C58" s="403" t="s">
        <v>17</v>
      </c>
      <c r="D58" s="403"/>
      <c r="E58" s="403" t="s">
        <v>2706</v>
      </c>
      <c r="F58" s="342" t="s">
        <v>2561</v>
      </c>
      <c r="G58" s="268"/>
      <c r="H58" s="269"/>
      <c r="I58" s="270"/>
    </row>
    <row r="59" spans="1:9" ht="36">
      <c r="A59" s="402" t="s">
        <v>2456</v>
      </c>
      <c r="B59" s="339" t="s">
        <v>2662</v>
      </c>
      <c r="C59" s="403" t="s">
        <v>17</v>
      </c>
      <c r="D59" s="403"/>
      <c r="E59" s="403" t="s">
        <v>2706</v>
      </c>
      <c r="F59" s="342" t="s">
        <v>2662</v>
      </c>
      <c r="G59" s="268"/>
      <c r="H59" s="269"/>
      <c r="I59" s="270"/>
    </row>
    <row r="60" spans="1:9" ht="36">
      <c r="A60" s="402" t="s">
        <v>2462</v>
      </c>
      <c r="B60" s="339" t="s">
        <v>2562</v>
      </c>
      <c r="C60" s="405" t="s">
        <v>17</v>
      </c>
      <c r="D60" s="405"/>
      <c r="E60" s="405" t="s">
        <v>312</v>
      </c>
      <c r="F60" s="342" t="s">
        <v>2562</v>
      </c>
      <c r="G60" s="268"/>
      <c r="H60" s="269"/>
      <c r="I60" s="270"/>
    </row>
    <row r="61" spans="1:9" ht="56.45" customHeight="1">
      <c r="A61" s="402" t="s">
        <v>2465</v>
      </c>
      <c r="B61" s="339" t="s">
        <v>2563</v>
      </c>
      <c r="C61" s="405" t="s">
        <v>17</v>
      </c>
      <c r="D61" s="405"/>
      <c r="E61" s="403" t="s">
        <v>2706</v>
      </c>
      <c r="F61" s="342" t="s">
        <v>2564</v>
      </c>
      <c r="G61" s="268"/>
      <c r="H61" s="269"/>
      <c r="I61" s="270"/>
    </row>
    <row r="62" spans="1:9" ht="56.45" customHeight="1">
      <c r="A62" s="402" t="s">
        <v>2468</v>
      </c>
      <c r="B62" s="339" t="s">
        <v>2663</v>
      </c>
      <c r="C62" s="405" t="s">
        <v>17</v>
      </c>
      <c r="D62" s="405"/>
      <c r="E62" s="403" t="s">
        <v>2706</v>
      </c>
      <c r="F62" s="342" t="s">
        <v>2663</v>
      </c>
      <c r="G62" s="268"/>
      <c r="H62" s="269"/>
      <c r="I62" s="270"/>
    </row>
    <row r="63" spans="1:9" ht="56.45" customHeight="1">
      <c r="A63" s="402" t="s">
        <v>2471</v>
      </c>
      <c r="B63" s="340" t="s">
        <v>2573</v>
      </c>
      <c r="C63" s="405" t="s">
        <v>17</v>
      </c>
      <c r="D63" s="405"/>
      <c r="E63" s="405" t="s">
        <v>2400</v>
      </c>
      <c r="F63" s="342" t="s">
        <v>2574</v>
      </c>
      <c r="G63" s="284" t="s">
        <v>2459</v>
      </c>
      <c r="H63" s="285" t="s">
        <v>2460</v>
      </c>
      <c r="I63" s="286" t="s">
        <v>2461</v>
      </c>
    </row>
    <row r="64" spans="1:9" ht="51" customHeight="1">
      <c r="A64" s="402" t="s">
        <v>2472</v>
      </c>
      <c r="B64" s="340" t="s">
        <v>2575</v>
      </c>
      <c r="C64" s="405" t="s">
        <v>17</v>
      </c>
      <c r="D64" s="405"/>
      <c r="E64" s="405" t="s">
        <v>2400</v>
      </c>
      <c r="F64" s="342" t="s">
        <v>2565</v>
      </c>
      <c r="G64" s="284" t="s">
        <v>2459</v>
      </c>
      <c r="H64" s="285" t="s">
        <v>2459</v>
      </c>
      <c r="I64" s="286" t="s">
        <v>2461</v>
      </c>
    </row>
    <row r="65" spans="1:9" ht="44.25" customHeight="1">
      <c r="A65" s="402" t="s">
        <v>2473</v>
      </c>
      <c r="B65" s="340" t="s">
        <v>2566</v>
      </c>
      <c r="C65" s="356" t="s">
        <v>17</v>
      </c>
      <c r="D65" s="356"/>
      <c r="E65" s="405" t="s">
        <v>2400</v>
      </c>
      <c r="F65" s="342" t="s">
        <v>2566</v>
      </c>
      <c r="G65" s="287" t="s">
        <v>2467</v>
      </c>
      <c r="H65" s="285" t="s">
        <v>68</v>
      </c>
      <c r="I65" s="286" t="s">
        <v>2461</v>
      </c>
    </row>
    <row r="66" spans="1:9" ht="64.5" customHeight="1">
      <c r="A66" s="402" t="s">
        <v>2638</v>
      </c>
      <c r="B66" s="340" t="s">
        <v>2567</v>
      </c>
      <c r="C66" s="356" t="s">
        <v>17</v>
      </c>
      <c r="D66" s="356"/>
      <c r="E66" s="405" t="s">
        <v>2400</v>
      </c>
      <c r="F66" s="342" t="s">
        <v>2567</v>
      </c>
      <c r="G66" s="287" t="s">
        <v>2470</v>
      </c>
      <c r="H66" s="285" t="s">
        <v>68</v>
      </c>
      <c r="I66" s="286" t="s">
        <v>2461</v>
      </c>
    </row>
    <row r="67" spans="1:9" ht="45" customHeight="1">
      <c r="A67" s="402" t="s">
        <v>2639</v>
      </c>
      <c r="B67" s="340" t="s">
        <v>2568</v>
      </c>
      <c r="C67" s="356" t="s">
        <v>2583</v>
      </c>
      <c r="D67" s="356"/>
      <c r="E67" s="356" t="s">
        <v>2624</v>
      </c>
      <c r="F67" s="342" t="s">
        <v>2568</v>
      </c>
      <c r="G67" s="268"/>
      <c r="H67" s="269"/>
      <c r="I67" s="270"/>
    </row>
    <row r="68" spans="1:9" ht="72">
      <c r="A68" s="402" t="s">
        <v>2710</v>
      </c>
      <c r="B68" s="340" t="s">
        <v>2739</v>
      </c>
      <c r="C68" s="356" t="s">
        <v>17</v>
      </c>
      <c r="D68" s="356"/>
      <c r="E68" s="356" t="s">
        <v>2624</v>
      </c>
      <c r="F68" s="342" t="s">
        <v>2739</v>
      </c>
      <c r="G68" s="268"/>
      <c r="H68" s="269"/>
      <c r="I68" s="270"/>
    </row>
    <row r="69" spans="1:9" ht="36">
      <c r="A69" s="402" t="s">
        <v>2713</v>
      </c>
      <c r="B69" s="340" t="s">
        <v>2740</v>
      </c>
      <c r="C69" s="409" t="s">
        <v>57</v>
      </c>
      <c r="D69" s="409"/>
      <c r="E69" s="356" t="s">
        <v>312</v>
      </c>
      <c r="F69" s="342" t="s">
        <v>2740</v>
      </c>
      <c r="G69" s="276"/>
      <c r="H69" s="277"/>
      <c r="I69" s="288"/>
    </row>
    <row r="70" spans="1:9" ht="54.75" customHeight="1">
      <c r="A70" s="402" t="s">
        <v>2715</v>
      </c>
      <c r="B70" s="340" t="s">
        <v>2569</v>
      </c>
      <c r="C70" s="409" t="s">
        <v>18</v>
      </c>
      <c r="D70" s="409"/>
      <c r="E70" s="409" t="s">
        <v>2400</v>
      </c>
      <c r="F70" s="342" t="s">
        <v>2569</v>
      </c>
      <c r="G70" s="276"/>
      <c r="H70" s="277"/>
      <c r="I70" s="288"/>
    </row>
    <row r="74" spans="1:9" ht="45" customHeight="1">
      <c r="B74" s="417" t="s">
        <v>1664</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G11"/>
  <sheetViews>
    <sheetView tabSelected="1" view="pageBreakPreview" zoomScale="89" zoomScaleNormal="85" zoomScaleSheetLayoutView="89" workbookViewId="0">
      <selection activeCell="F56" sqref="F56"/>
    </sheetView>
  </sheetViews>
  <sheetFormatPr defaultColWidth="6.75" defaultRowHeight="15.75"/>
  <cols>
    <col min="1" max="1" width="10.75" style="289" customWidth="1"/>
    <col min="2" max="2" width="39.375" style="289" customWidth="1"/>
    <col min="3" max="3" width="19" style="289" customWidth="1"/>
    <col min="4" max="4" width="63.5" style="289" customWidth="1"/>
    <col min="5" max="5" width="40.875" style="291" customWidth="1"/>
    <col min="6" max="6" width="25.375" style="291" customWidth="1"/>
    <col min="7" max="16384" width="6.75" style="291"/>
  </cols>
  <sheetData>
    <row r="1" spans="1:7">
      <c r="B1" s="290" t="s">
        <v>2474</v>
      </c>
      <c r="C1" s="290"/>
      <c r="D1" s="290"/>
    </row>
    <row r="2" spans="1:7" ht="39">
      <c r="A2" s="292" t="s">
        <v>80</v>
      </c>
      <c r="B2" s="292" t="s">
        <v>2475</v>
      </c>
      <c r="C2" s="292" t="s">
        <v>81</v>
      </c>
      <c r="D2" s="292" t="s">
        <v>82</v>
      </c>
      <c r="E2" s="292" t="s">
        <v>1319</v>
      </c>
      <c r="F2" s="292" t="s">
        <v>83</v>
      </c>
    </row>
    <row r="3" spans="1:7" ht="221.25" customHeight="1">
      <c r="A3" s="293" t="s">
        <v>1332</v>
      </c>
      <c r="B3" s="293" t="s">
        <v>2476</v>
      </c>
      <c r="C3" s="293" t="s">
        <v>2741</v>
      </c>
      <c r="D3" s="294" t="s">
        <v>2742</v>
      </c>
      <c r="E3" s="293" t="s">
        <v>2477</v>
      </c>
      <c r="F3" s="293" t="s">
        <v>2478</v>
      </c>
    </row>
    <row r="4" spans="1:7" ht="170.25" customHeight="1">
      <c r="A4" s="295" t="s">
        <v>1333</v>
      </c>
      <c r="B4" s="295" t="s">
        <v>2479</v>
      </c>
      <c r="C4" s="295" t="s">
        <v>3119</v>
      </c>
      <c r="D4" s="295" t="s">
        <v>3118</v>
      </c>
      <c r="E4" s="295" t="s">
        <v>3120</v>
      </c>
      <c r="F4" s="295" t="s">
        <v>3121</v>
      </c>
    </row>
    <row r="5" spans="1:7" ht="220.9" customHeight="1">
      <c r="A5" s="296" t="s">
        <v>1649</v>
      </c>
      <c r="B5" s="296" t="s">
        <v>2743</v>
      </c>
      <c r="C5" s="296" t="s">
        <v>2744</v>
      </c>
      <c r="D5" s="296" t="s">
        <v>2480</v>
      </c>
      <c r="E5" s="296" t="s">
        <v>2782</v>
      </c>
      <c r="F5" s="296" t="s">
        <v>2481</v>
      </c>
    </row>
    <row r="6" spans="1:7">
      <c r="E6" s="289"/>
      <c r="F6" s="289"/>
    </row>
    <row r="7" spans="1:7">
      <c r="E7" s="289"/>
      <c r="F7" s="289"/>
    </row>
    <row r="8" spans="1:7" s="289" customFormat="1">
      <c r="G8" s="297"/>
    </row>
    <row r="9" spans="1:7" s="289" customFormat="1"/>
    <row r="10" spans="1:7">
      <c r="E10" s="289"/>
      <c r="F10" s="289"/>
    </row>
    <row r="11" spans="1:7">
      <c r="E11" s="289"/>
      <c r="F11" s="289"/>
    </row>
  </sheetData>
  <pageMargins left="0" right="0" top="0.5" bottom="0.5" header="0.3" footer="0.3"/>
  <pageSetup scale="64"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42"/>
  <sheetViews>
    <sheetView showGridLines="0" topLeftCell="A7" zoomScale="80" zoomScaleNormal="80" workbookViewId="0">
      <selection activeCell="C22" sqref="C22"/>
    </sheetView>
  </sheetViews>
  <sheetFormatPr defaultColWidth="9" defaultRowHeight="15.75"/>
  <cols>
    <col min="1" max="1" width="9.625" style="61" customWidth="1"/>
    <col min="2" max="2" width="17.125" style="61" customWidth="1"/>
    <col min="3" max="3" width="41.125" style="61" customWidth="1"/>
    <col min="4" max="5" width="25.25" style="61" customWidth="1"/>
    <col min="6" max="6" width="27.875" style="61" customWidth="1"/>
    <col min="7" max="7" width="16.375" style="61" customWidth="1"/>
    <col min="8" max="8" width="13.125" style="61" customWidth="1"/>
    <col min="9" max="9" width="13.375" style="61" customWidth="1"/>
    <col min="10" max="12" width="9.625" style="61" customWidth="1"/>
    <col min="13" max="13" width="14.25" style="61" customWidth="1"/>
    <col min="14" max="15" width="17" style="61" customWidth="1"/>
    <col min="16" max="16" width="9.625" style="61" customWidth="1"/>
    <col min="17" max="17" width="29.25" style="61" customWidth="1"/>
    <col min="18" max="18" width="17.125" style="61" customWidth="1"/>
    <col min="19" max="19" width="19" style="61" customWidth="1"/>
    <col min="20" max="21" width="16.125" style="61" customWidth="1"/>
    <col min="22" max="22" width="21.625" style="61" customWidth="1"/>
    <col min="23" max="23" width="19.25" style="61" bestFit="1" customWidth="1"/>
    <col min="24" max="24" width="9.625" style="61" customWidth="1"/>
    <col min="25" max="25" width="13" style="61" bestFit="1" customWidth="1"/>
    <col min="26" max="26" width="10.75" style="61" bestFit="1" customWidth="1"/>
    <col min="27" max="27" width="22.125" style="61" customWidth="1"/>
    <col min="28" max="29" width="9.25" style="61" customWidth="1"/>
    <col min="30" max="30" width="33.5" style="61" customWidth="1"/>
    <col min="31" max="37" width="9.25" style="61" customWidth="1"/>
    <col min="38" max="38" width="16.625" style="61" customWidth="1"/>
    <col min="39" max="39" width="16.875" style="61" customWidth="1"/>
    <col min="40" max="40" width="9.25" style="61" customWidth="1"/>
    <col min="41" max="41" width="24.5" style="61" customWidth="1"/>
    <col min="42" max="42" width="22.375" style="61" customWidth="1"/>
    <col min="43" max="43" width="19.25" style="61" bestFit="1" customWidth="1"/>
    <col min="44" max="44" width="9.25" style="61" customWidth="1"/>
    <col min="45" max="45" width="23" style="61" customWidth="1"/>
    <col min="46" max="46" width="9.25" style="61" customWidth="1"/>
    <col min="47" max="47" width="10.375" style="61" customWidth="1"/>
    <col min="48" max="16384" width="9" style="61"/>
  </cols>
  <sheetData>
    <row r="1" spans="2:35">
      <c r="B1"/>
      <c r="C1"/>
    </row>
    <row r="2" spans="2:35">
      <c r="B2" s="600" t="s">
        <v>20</v>
      </c>
      <c r="C2" s="61" t="s">
        <v>2519</v>
      </c>
      <c r="M2" s="600" t="s">
        <v>35</v>
      </c>
      <c r="N2" s="61" t="s">
        <v>35</v>
      </c>
      <c r="R2"/>
      <c r="V2" s="600" t="s">
        <v>35</v>
      </c>
      <c r="W2" s="61" t="s">
        <v>35</v>
      </c>
    </row>
    <row r="3" spans="2:35" s="62" customFormat="1">
      <c r="B3" s="600" t="s">
        <v>35</v>
      </c>
      <c r="C3" s="61" t="s">
        <v>35</v>
      </c>
      <c r="D3" s="61"/>
      <c r="E3" s="61"/>
      <c r="F3" s="61"/>
      <c r="G3" s="61"/>
      <c r="H3" s="61"/>
      <c r="M3" s="600" t="s">
        <v>22</v>
      </c>
      <c r="N3" s="61" t="s">
        <v>39</v>
      </c>
      <c r="O3" s="61"/>
      <c r="P3" s="61"/>
      <c r="Q3" s="61"/>
      <c r="V3" s="600" t="s">
        <v>22</v>
      </c>
      <c r="W3" s="61" t="s">
        <v>716</v>
      </c>
      <c r="X3" s="61"/>
      <c r="Z3" s="61"/>
      <c r="AB3" s="61"/>
      <c r="AC3" s="61"/>
      <c r="AD3" s="61"/>
      <c r="AE3" s="61"/>
      <c r="AF3" s="61"/>
      <c r="AG3" s="61"/>
      <c r="AH3" s="61"/>
    </row>
    <row r="4" spans="2:35">
      <c r="B4" s="600" t="s">
        <v>142</v>
      </c>
      <c r="C4" s="61" t="s">
        <v>1668</v>
      </c>
      <c r="M4" s="600" t="s">
        <v>142</v>
      </c>
      <c r="N4" s="61" t="s">
        <v>1668</v>
      </c>
      <c r="V4" s="600" t="s">
        <v>142</v>
      </c>
      <c r="W4" s="61" t="s">
        <v>1668</v>
      </c>
    </row>
    <row r="5" spans="2:35">
      <c r="B5"/>
      <c r="C5"/>
      <c r="D5" s="607" t="s">
        <v>3001</v>
      </c>
      <c r="E5"/>
      <c r="F5"/>
      <c r="G5"/>
      <c r="H5"/>
      <c r="I5"/>
      <c r="J5" s="572"/>
      <c r="K5" s="572"/>
      <c r="M5"/>
      <c r="N5"/>
      <c r="O5"/>
      <c r="P5"/>
      <c r="Q5"/>
      <c r="V5"/>
      <c r="W5"/>
      <c r="X5" s="572" t="s">
        <v>2182</v>
      </c>
      <c r="Z5"/>
    </row>
    <row r="6" spans="2:35" ht="94.5">
      <c r="C6" s="877" t="s">
        <v>1688</v>
      </c>
      <c r="D6" s="878" t="s">
        <v>2786</v>
      </c>
      <c r="E6" s="879" t="s">
        <v>2787</v>
      </c>
      <c r="F6" s="880" t="s">
        <v>2788</v>
      </c>
      <c r="G6" s="883" t="s">
        <v>3008</v>
      </c>
      <c r="H6" s="883" t="s">
        <v>3013</v>
      </c>
      <c r="I6" s="883" t="s">
        <v>3010</v>
      </c>
      <c r="J6" s="884" t="s">
        <v>3007</v>
      </c>
      <c r="N6" s="62" t="s">
        <v>1688</v>
      </c>
      <c r="O6" s="873" t="s">
        <v>2786</v>
      </c>
      <c r="P6" s="61" t="s">
        <v>2787</v>
      </c>
      <c r="Q6" s="61" t="s">
        <v>2788</v>
      </c>
      <c r="R6" s="885" t="s">
        <v>3323</v>
      </c>
      <c r="S6" s="885" t="s">
        <v>3324</v>
      </c>
      <c r="W6" s="62" t="s">
        <v>1688</v>
      </c>
      <c r="X6" s="878" t="s">
        <v>2786</v>
      </c>
      <c r="Y6" s="881" t="s">
        <v>2787</v>
      </c>
      <c r="Z6" s="881" t="s">
        <v>2788</v>
      </c>
      <c r="AA6" s="885" t="s">
        <v>3323</v>
      </c>
      <c r="AB6" s="885" t="s">
        <v>3324</v>
      </c>
      <c r="AI6" s="600"/>
    </row>
    <row r="7" spans="2:35">
      <c r="B7" s="844" t="s">
        <v>39</v>
      </c>
      <c r="C7" s="876">
        <v>104325</v>
      </c>
      <c r="D7" s="874">
        <v>60883.466666666645</v>
      </c>
      <c r="E7" s="862">
        <v>68866</v>
      </c>
      <c r="F7" s="875">
        <v>69692</v>
      </c>
      <c r="G7" s="882">
        <v>32238</v>
      </c>
      <c r="H7" s="882">
        <v>53167</v>
      </c>
      <c r="I7" s="882">
        <v>34938</v>
      </c>
      <c r="J7" s="882">
        <v>9278</v>
      </c>
      <c r="K7" s="64"/>
      <c r="M7" s="61" t="s">
        <v>2518</v>
      </c>
      <c r="N7" s="872">
        <v>93164</v>
      </c>
      <c r="O7" s="64">
        <v>52074.799999999988</v>
      </c>
      <c r="P7" s="64">
        <v>58516</v>
      </c>
      <c r="Q7" s="64">
        <v>57182</v>
      </c>
      <c r="R7" s="845">
        <v>22764</v>
      </c>
      <c r="S7" s="845">
        <v>7291</v>
      </c>
      <c r="V7" s="61" t="s">
        <v>2518</v>
      </c>
      <c r="W7" s="872">
        <v>10263</v>
      </c>
      <c r="X7" s="845">
        <v>6670.1333333333332</v>
      </c>
      <c r="Y7" s="845">
        <v>8491</v>
      </c>
      <c r="Z7" s="845">
        <v>7911</v>
      </c>
      <c r="AA7" s="845">
        <v>5687</v>
      </c>
      <c r="AB7" s="845">
        <v>1348</v>
      </c>
    </row>
    <row r="8" spans="2:35">
      <c r="B8" s="844" t="s">
        <v>716</v>
      </c>
      <c r="C8" s="876">
        <v>12499</v>
      </c>
      <c r="D8" s="874">
        <v>8134.6666666666661</v>
      </c>
      <c r="E8" s="862">
        <v>8984</v>
      </c>
      <c r="F8" s="875">
        <v>9457</v>
      </c>
      <c r="G8" s="882">
        <v>8385</v>
      </c>
      <c r="H8" s="882">
        <v>7804</v>
      </c>
      <c r="I8" s="882">
        <v>3103</v>
      </c>
      <c r="J8" s="882">
        <v>1930</v>
      </c>
      <c r="K8" s="64"/>
      <c r="M8" s="61" t="s">
        <v>2519</v>
      </c>
      <c r="N8" s="872">
        <v>104325</v>
      </c>
      <c r="O8" s="64">
        <v>60883.466666666645</v>
      </c>
      <c r="P8" s="64">
        <v>68866</v>
      </c>
      <c r="Q8" s="64">
        <v>69692</v>
      </c>
      <c r="R8" s="845">
        <v>32238</v>
      </c>
      <c r="S8" s="845">
        <v>9278</v>
      </c>
      <c r="V8" s="61" t="s">
        <v>2519</v>
      </c>
      <c r="W8" s="872">
        <v>12499</v>
      </c>
      <c r="X8" s="845">
        <v>8134.6666666666661</v>
      </c>
      <c r="Y8" s="845">
        <v>8984</v>
      </c>
      <c r="Z8" s="845">
        <v>9457</v>
      </c>
      <c r="AA8" s="845">
        <v>8385</v>
      </c>
      <c r="AB8" s="845">
        <v>1930</v>
      </c>
    </row>
    <row r="9" spans="2:35">
      <c r="B9" s="844" t="s">
        <v>1669</v>
      </c>
      <c r="C9" s="876">
        <v>116824</v>
      </c>
      <c r="D9" s="874">
        <v>69018.133333333317</v>
      </c>
      <c r="E9" s="862">
        <v>77850</v>
      </c>
      <c r="F9" s="875">
        <v>79149</v>
      </c>
      <c r="G9" s="882">
        <v>40623</v>
      </c>
      <c r="H9" s="882">
        <v>60971</v>
      </c>
      <c r="I9" s="882">
        <v>38041</v>
      </c>
      <c r="J9" s="882">
        <v>11208</v>
      </c>
      <c r="K9" s="64"/>
      <c r="M9" s="61" t="s">
        <v>1669</v>
      </c>
      <c r="N9" s="872">
        <v>197489</v>
      </c>
      <c r="O9" s="874">
        <v>112958.26666666663</v>
      </c>
      <c r="P9" s="845">
        <v>127382</v>
      </c>
      <c r="Q9" s="845">
        <v>126874</v>
      </c>
      <c r="R9" s="845">
        <v>55002</v>
      </c>
      <c r="S9" s="845">
        <v>16569</v>
      </c>
      <c r="V9" s="61" t="s">
        <v>1669</v>
      </c>
      <c r="W9" s="872">
        <v>22762</v>
      </c>
      <c r="X9" s="874">
        <v>14804.8</v>
      </c>
      <c r="Y9" s="845">
        <v>17475</v>
      </c>
      <c r="Z9" s="845">
        <v>17368</v>
      </c>
      <c r="AA9" s="845">
        <v>14072</v>
      </c>
      <c r="AB9" s="845">
        <v>3278</v>
      </c>
    </row>
    <row r="10" spans="2:35">
      <c r="B10"/>
      <c r="C10"/>
      <c r="D10"/>
      <c r="E10"/>
      <c r="F10"/>
      <c r="G10"/>
      <c r="H10"/>
      <c r="I10"/>
      <c r="J10"/>
      <c r="K10" s="64"/>
      <c r="M10"/>
      <c r="N10"/>
      <c r="O10"/>
      <c r="P10"/>
      <c r="Q10"/>
      <c r="R10"/>
      <c r="S10"/>
      <c r="T10"/>
      <c r="U10"/>
      <c r="V10"/>
      <c r="W10"/>
      <c r="X10"/>
      <c r="Y10"/>
    </row>
    <row r="11" spans="2:35">
      <c r="D11" s="232">
        <f>GETPIVOTDATA(" HRP1",$B$6)+GETPIVOTDATA(" HRP2",$B$6)+GETPIVOTDATA(" HRP3",$B$6)</f>
        <v>226017.1333333333</v>
      </c>
      <c r="M11"/>
      <c r="N11"/>
      <c r="O11"/>
      <c r="P11"/>
      <c r="Q11"/>
      <c r="R11"/>
      <c r="S11"/>
      <c r="T11"/>
      <c r="U11"/>
      <c r="V11"/>
      <c r="W11"/>
    </row>
    <row r="12" spans="2:35">
      <c r="M12" s="831" t="s">
        <v>312</v>
      </c>
      <c r="N12" s="831"/>
      <c r="O12" s="831"/>
      <c r="P12" s="831"/>
      <c r="Q12" s="831"/>
      <c r="R12" s="832"/>
      <c r="S12" s="831"/>
      <c r="T12" s="831"/>
      <c r="U12" s="831"/>
      <c r="V12" s="831"/>
      <c r="W12" s="831"/>
      <c r="X12" s="832"/>
      <c r="Y12" s="832"/>
      <c r="Z12" s="832"/>
      <c r="AA12" s="832"/>
      <c r="AB12" s="832"/>
      <c r="AC12" s="832"/>
    </row>
    <row r="13" spans="2:35">
      <c r="B13" s="886" t="s">
        <v>20</v>
      </c>
      <c r="C13" s="61" t="s">
        <v>2519</v>
      </c>
      <c r="M13" s="600" t="s">
        <v>35</v>
      </c>
      <c r="N13" s="61" t="s">
        <v>35</v>
      </c>
      <c r="Q13"/>
      <c r="R13"/>
      <c r="S13" s="600" t="s">
        <v>35</v>
      </c>
      <c r="T13" s="61" t="s">
        <v>35</v>
      </c>
      <c r="V13"/>
      <c r="W13"/>
      <c r="X13"/>
      <c r="Y13" s="600" t="s">
        <v>35</v>
      </c>
      <c r="Z13" s="61" t="s">
        <v>35</v>
      </c>
      <c r="AE13" s="600" t="s">
        <v>35</v>
      </c>
      <c r="AF13" s="61" t="s">
        <v>35</v>
      </c>
    </row>
    <row r="14" spans="2:35">
      <c r="B14" s="600" t="s">
        <v>35</v>
      </c>
      <c r="C14" s="61" t="s">
        <v>35</v>
      </c>
      <c r="M14" s="600" t="s">
        <v>22</v>
      </c>
      <c r="N14" s="61" t="s">
        <v>1668</v>
      </c>
      <c r="Q14"/>
      <c r="S14" s="600" t="s">
        <v>22</v>
      </c>
      <c r="T14" s="61" t="s">
        <v>1668</v>
      </c>
      <c r="V14"/>
      <c r="Y14" s="600" t="s">
        <v>22</v>
      </c>
      <c r="Z14" s="61" t="s">
        <v>1668</v>
      </c>
      <c r="AE14" s="600" t="s">
        <v>22</v>
      </c>
      <c r="AF14" s="61" t="s">
        <v>1668</v>
      </c>
    </row>
    <row r="15" spans="2:35">
      <c r="B15" s="600" t="s">
        <v>142</v>
      </c>
      <c r="C15" s="61" t="s">
        <v>812</v>
      </c>
      <c r="I15" s="62"/>
      <c r="J15" s="62"/>
      <c r="K15" s="62"/>
      <c r="L15" s="62"/>
      <c r="M15" s="600" t="s">
        <v>142</v>
      </c>
      <c r="N15" s="61" t="s">
        <v>1668</v>
      </c>
      <c r="Q15"/>
      <c r="S15" s="600" t="s">
        <v>142</v>
      </c>
      <c r="T15" s="61" t="s">
        <v>1668</v>
      </c>
      <c r="V15"/>
      <c r="Y15" s="600" t="s">
        <v>142</v>
      </c>
      <c r="Z15" s="61" t="s">
        <v>812</v>
      </c>
      <c r="AE15" s="600" t="s">
        <v>142</v>
      </c>
      <c r="AF15" s="61" t="s">
        <v>1668</v>
      </c>
    </row>
    <row r="16" spans="2:35">
      <c r="D16" s="607" t="s">
        <v>3002</v>
      </c>
      <c r="M16"/>
      <c r="N16"/>
      <c r="O16" t="s">
        <v>3003</v>
      </c>
      <c r="P16"/>
      <c r="Q16"/>
      <c r="S16"/>
      <c r="T16"/>
      <c r="U16" t="s">
        <v>2182</v>
      </c>
      <c r="V16"/>
      <c r="Y16"/>
      <c r="Z16"/>
      <c r="AA16" t="s">
        <v>2183</v>
      </c>
      <c r="AE16" s="572"/>
      <c r="AF16" s="572"/>
      <c r="AG16" s="572" t="s">
        <v>3004</v>
      </c>
    </row>
    <row r="17" spans="2:35" ht="94.5">
      <c r="B17" s="870" t="s">
        <v>1667</v>
      </c>
      <c r="C17" s="877" t="s">
        <v>1688</v>
      </c>
      <c r="D17" s="878" t="s">
        <v>2786</v>
      </c>
      <c r="E17" s="890" t="s">
        <v>2787</v>
      </c>
      <c r="F17" s="892" t="s">
        <v>2788</v>
      </c>
      <c r="G17" s="883" t="s">
        <v>3008</v>
      </c>
      <c r="H17" s="888" t="s">
        <v>3013</v>
      </c>
      <c r="I17" s="888" t="s">
        <v>3010</v>
      </c>
      <c r="J17" s="884" t="s">
        <v>3007</v>
      </c>
      <c r="K17" s="572"/>
      <c r="N17" s="62" t="s">
        <v>1688</v>
      </c>
      <c r="O17" s="873" t="s">
        <v>2786</v>
      </c>
      <c r="P17" s="61" t="s">
        <v>2787</v>
      </c>
      <c r="Q17" s="61" t="s">
        <v>2788</v>
      </c>
      <c r="T17" s="62" t="s">
        <v>1688</v>
      </c>
      <c r="U17" s="873" t="s">
        <v>2786</v>
      </c>
      <c r="V17" s="61" t="s">
        <v>2787</v>
      </c>
      <c r="W17" s="61" t="s">
        <v>2788</v>
      </c>
      <c r="Z17" s="62" t="s">
        <v>1688</v>
      </c>
      <c r="AA17" s="873" t="s">
        <v>2786</v>
      </c>
      <c r="AB17" s="61" t="s">
        <v>2787</v>
      </c>
      <c r="AC17" s="61" t="s">
        <v>2788</v>
      </c>
      <c r="AF17" s="62" t="s">
        <v>1688</v>
      </c>
      <c r="AG17" s="873" t="s">
        <v>2786</v>
      </c>
      <c r="AH17" s="61" t="s">
        <v>2787</v>
      </c>
      <c r="AI17" s="61" t="s">
        <v>2788</v>
      </c>
    </row>
    <row r="18" spans="2:35">
      <c r="B18" s="844" t="s">
        <v>716</v>
      </c>
      <c r="C18" s="876">
        <v>4171</v>
      </c>
      <c r="D18" s="887">
        <v>959</v>
      </c>
      <c r="E18" s="889">
        <v>3359</v>
      </c>
      <c r="F18" s="891">
        <v>4171</v>
      </c>
      <c r="G18" s="882">
        <v>0</v>
      </c>
      <c r="H18" s="882">
        <v>4171</v>
      </c>
      <c r="I18" s="882">
        <v>0</v>
      </c>
      <c r="J18" s="882"/>
      <c r="K18" s="572"/>
      <c r="M18" s="61" t="s">
        <v>2518</v>
      </c>
      <c r="N18" s="872">
        <v>330611</v>
      </c>
      <c r="O18" s="845">
        <v>139691</v>
      </c>
      <c r="P18" s="845">
        <v>89316</v>
      </c>
      <c r="Q18" s="845">
        <v>207683</v>
      </c>
      <c r="S18" s="61" t="s">
        <v>2518</v>
      </c>
      <c r="T18" s="872">
        <v>119002</v>
      </c>
      <c r="U18" s="845">
        <v>107578</v>
      </c>
      <c r="V18" s="845">
        <v>78732</v>
      </c>
      <c r="W18" s="845">
        <v>116532</v>
      </c>
      <c r="Y18" s="61" t="s">
        <v>2518</v>
      </c>
      <c r="Z18" s="872">
        <v>211609</v>
      </c>
      <c r="AA18" s="845">
        <v>32113</v>
      </c>
      <c r="AB18" s="845">
        <v>10584</v>
      </c>
      <c r="AC18" s="845">
        <v>91151</v>
      </c>
      <c r="AE18" s="61" t="s">
        <v>1669</v>
      </c>
      <c r="AF18" s="872"/>
      <c r="AG18" s="845"/>
      <c r="AH18" s="845"/>
      <c r="AI18" s="845"/>
    </row>
    <row r="19" spans="2:35">
      <c r="B19" s="844" t="s">
        <v>1669</v>
      </c>
      <c r="C19" s="876">
        <v>4171</v>
      </c>
      <c r="D19" s="887">
        <v>959</v>
      </c>
      <c r="E19" s="889">
        <v>3359</v>
      </c>
      <c r="F19" s="891">
        <v>4171</v>
      </c>
      <c r="G19" s="882">
        <v>0</v>
      </c>
      <c r="H19" s="882">
        <v>4171</v>
      </c>
      <c r="I19" s="882">
        <v>0</v>
      </c>
      <c r="J19" s="882"/>
      <c r="K19" s="572"/>
      <c r="M19" s="61" t="s">
        <v>1669</v>
      </c>
      <c r="N19" s="872">
        <v>330611</v>
      </c>
      <c r="O19" s="874">
        <v>139691</v>
      </c>
      <c r="P19" s="845">
        <v>89316</v>
      </c>
      <c r="Q19" s="845">
        <v>207683</v>
      </c>
      <c r="S19" s="61" t="s">
        <v>1669</v>
      </c>
      <c r="T19" s="872">
        <v>119002</v>
      </c>
      <c r="U19" s="845">
        <v>107578</v>
      </c>
      <c r="V19" s="845">
        <v>78732</v>
      </c>
      <c r="W19" s="845">
        <v>116532</v>
      </c>
      <c r="Y19" s="61" t="s">
        <v>1669</v>
      </c>
      <c r="Z19" s="872">
        <v>211609</v>
      </c>
      <c r="AA19" s="845">
        <v>32113</v>
      </c>
      <c r="AB19" s="845">
        <v>10584</v>
      </c>
      <c r="AC19" s="845">
        <v>91151</v>
      </c>
      <c r="AE19"/>
      <c r="AF19"/>
      <c r="AG19"/>
      <c r="AH19"/>
      <c r="AI19"/>
    </row>
    <row r="20" spans="2:35">
      <c r="B20"/>
      <c r="C20"/>
      <c r="D20"/>
      <c r="E20"/>
      <c r="F20"/>
      <c r="G20"/>
      <c r="H20"/>
      <c r="I20"/>
      <c r="J20"/>
      <c r="M20"/>
      <c r="N20"/>
      <c r="O20"/>
      <c r="P20"/>
      <c r="R20"/>
      <c r="S20"/>
      <c r="T20"/>
      <c r="U20"/>
      <c r="W20"/>
      <c r="X20"/>
      <c r="Y20"/>
      <c r="Z20"/>
    </row>
    <row r="21" spans="2:35">
      <c r="B21"/>
      <c r="C21"/>
      <c r="D21"/>
      <c r="E21"/>
      <c r="F21"/>
      <c r="G21"/>
      <c r="H21"/>
      <c r="I21"/>
      <c r="J21"/>
      <c r="M21"/>
      <c r="N21"/>
      <c r="O21"/>
      <c r="P21"/>
      <c r="R21"/>
      <c r="S21"/>
      <c r="T21"/>
      <c r="U21"/>
      <c r="W21"/>
      <c r="X21"/>
      <c r="Y21"/>
      <c r="Z21"/>
    </row>
    <row r="22" spans="2:35">
      <c r="C22" s="228"/>
      <c r="D22" s="608">
        <f>GETPIVOTDATA(" HRP1",$B$17)+GETPIVOTDATA(" HRP2",$B$17)+GETPIVOTDATA(" HRP3",$B$17)</f>
        <v>8489</v>
      </c>
      <c r="E22" s="228"/>
      <c r="F22" s="228"/>
      <c r="M22"/>
      <c r="N22"/>
      <c r="O22"/>
      <c r="P22"/>
      <c r="R22"/>
      <c r="S22"/>
      <c r="T22"/>
      <c r="U22"/>
      <c r="W22"/>
      <c r="X22"/>
      <c r="Y22"/>
      <c r="Z22"/>
    </row>
    <row r="23" spans="2:35" ht="16.5" thickBot="1">
      <c r="C23" s="228"/>
      <c r="D23" s="609">
        <f>D11+D22</f>
        <v>234506.1333333333</v>
      </c>
      <c r="E23" s="228"/>
      <c r="F23" s="228"/>
    </row>
    <row r="24" spans="2:35" ht="32.25" thickBot="1">
      <c r="G24" s="64"/>
      <c r="J24" s="208" t="s">
        <v>1958</v>
      </c>
      <c r="K24" s="209"/>
      <c r="L24" s="980" t="s">
        <v>1959</v>
      </c>
      <c r="M24" s="980"/>
      <c r="N24" s="981"/>
    </row>
    <row r="25" spans="2:35" ht="60" customHeight="1">
      <c r="C25" s="110" t="s">
        <v>1670</v>
      </c>
      <c r="D25" s="111" t="s">
        <v>1671</v>
      </c>
      <c r="E25" s="111" t="s">
        <v>1672</v>
      </c>
      <c r="F25" s="112" t="s">
        <v>1689</v>
      </c>
      <c r="G25" s="113" t="s">
        <v>1673</v>
      </c>
      <c r="H25" s="113" t="s">
        <v>2063</v>
      </c>
      <c r="I25" s="113" t="s">
        <v>2064</v>
      </c>
      <c r="J25" s="101" t="s">
        <v>1674</v>
      </c>
      <c r="K25" s="102" t="s">
        <v>1675</v>
      </c>
      <c r="L25" s="102" t="s">
        <v>1676</v>
      </c>
      <c r="M25" s="102" t="s">
        <v>1677</v>
      </c>
      <c r="N25" s="103" t="s">
        <v>1678</v>
      </c>
      <c r="O25" s="113" t="s">
        <v>1680</v>
      </c>
    </row>
    <row r="26" spans="2:35" ht="25.5" customHeight="1">
      <c r="C26" s="992" t="s">
        <v>2476</v>
      </c>
      <c r="D26" s="95" t="s">
        <v>39</v>
      </c>
      <c r="E26" s="96">
        <v>142175</v>
      </c>
      <c r="F26" s="96">
        <v>101974</v>
      </c>
      <c r="G26" s="105">
        <f>GETPIVOTDATA(" HRP1",$B$6,"State","Kachin")</f>
        <v>60883.466666666645</v>
      </c>
      <c r="H26" s="210">
        <f>G26/F26</f>
        <v>0.59704892096678219</v>
      </c>
      <c r="I26" s="210">
        <f>1-H26</f>
        <v>0.40295107903321781</v>
      </c>
      <c r="J26" s="104">
        <f t="shared" ref="J26:J37" si="0">G26*0.45</f>
        <v>27397.55999999999</v>
      </c>
      <c r="K26" s="96">
        <f t="shared" ref="K26:K37" si="1">G26*0.55</f>
        <v>33485.906666666655</v>
      </c>
      <c r="L26" s="96">
        <f t="shared" ref="L26:L37" si="2">G26*0.35</f>
        <v>21309.213333333326</v>
      </c>
      <c r="M26" s="96">
        <f t="shared" ref="M26:M37" si="3">G26*0.4</f>
        <v>24353.386666666658</v>
      </c>
      <c r="N26" s="105">
        <f t="shared" ref="N26:N37" si="4">G26*0.25</f>
        <v>15220.866666666661</v>
      </c>
      <c r="O26" s="105">
        <f t="shared" ref="O26:O37" si="5">F26-G26</f>
        <v>41090.533333333355</v>
      </c>
    </row>
    <row r="27" spans="2:35" ht="25.5" hidden="1" customHeight="1">
      <c r="C27" s="992"/>
      <c r="D27" s="95" t="s">
        <v>3006</v>
      </c>
      <c r="E27" s="96">
        <v>391005</v>
      </c>
      <c r="F27" s="96">
        <v>254472</v>
      </c>
      <c r="G27" s="105" t="e">
        <f>GETPIVOTDATA(" HRP1",$B$6,"State","Central Rakhine")+GETPIVOTDATA(" HRP1",$B$17,"State","Central Rakhine")</f>
        <v>#REF!</v>
      </c>
      <c r="H27" s="210" t="e">
        <f t="shared" ref="H27:H37" si="6">G27/F27</f>
        <v>#REF!</v>
      </c>
      <c r="I27" s="210" t="e">
        <f t="shared" ref="I27:I37" si="7">1-H27</f>
        <v>#REF!</v>
      </c>
      <c r="J27" s="104" t="e">
        <f t="shared" si="0"/>
        <v>#REF!</v>
      </c>
      <c r="K27" s="96" t="e">
        <f t="shared" si="1"/>
        <v>#REF!</v>
      </c>
      <c r="L27" s="96" t="e">
        <f t="shared" si="2"/>
        <v>#REF!</v>
      </c>
      <c r="M27" s="96" t="e">
        <f t="shared" si="3"/>
        <v>#REF!</v>
      </c>
      <c r="N27" s="105" t="e">
        <f t="shared" si="4"/>
        <v>#REF!</v>
      </c>
      <c r="O27" s="105" t="e">
        <f t="shared" si="5"/>
        <v>#REF!</v>
      </c>
    </row>
    <row r="28" spans="2:35" ht="25.5" hidden="1" customHeight="1">
      <c r="C28" s="992"/>
      <c r="D28" s="95" t="s">
        <v>3005</v>
      </c>
      <c r="E28" s="96">
        <v>324000</v>
      </c>
      <c r="F28" s="96">
        <v>116064</v>
      </c>
      <c r="G28" s="105" t="e">
        <f>GETPIVOTDATA(" HRP1",$B$17,"State","Northern Rakhine")</f>
        <v>#REF!</v>
      </c>
      <c r="H28" s="210" t="e">
        <f>G28/F28</f>
        <v>#REF!</v>
      </c>
      <c r="I28" s="210" t="e">
        <f>1-H28</f>
        <v>#REF!</v>
      </c>
      <c r="J28" s="104" t="e">
        <f>G28*0.45</f>
        <v>#REF!</v>
      </c>
      <c r="K28" s="96" t="e">
        <f>G28*0.55</f>
        <v>#REF!</v>
      </c>
      <c r="L28" s="96" t="e">
        <f>G28*0.35</f>
        <v>#REF!</v>
      </c>
      <c r="M28" s="96" t="e">
        <f>G28*0.4</f>
        <v>#REF!</v>
      </c>
      <c r="N28" s="105" t="e">
        <f>G28*0.25</f>
        <v>#REF!</v>
      </c>
      <c r="O28" s="105" t="e">
        <f>F28-G28</f>
        <v>#REF!</v>
      </c>
    </row>
    <row r="29" spans="2:35" ht="46.5" customHeight="1">
      <c r="C29" s="992"/>
      <c r="D29" s="95" t="s">
        <v>716</v>
      </c>
      <c r="E29" s="96">
        <v>48123</v>
      </c>
      <c r="F29" s="96">
        <v>15138</v>
      </c>
      <c r="G29" s="105">
        <f>GETPIVOTDATA(" HRP1",$B$6,"State","Shan (North)")+GETPIVOTDATA(" HRP1",$B$17,"State","Shan (North)")</f>
        <v>9093.6666666666661</v>
      </c>
      <c r="H29" s="210">
        <f t="shared" si="6"/>
        <v>0.60071784031355968</v>
      </c>
      <c r="I29" s="210">
        <f t="shared" si="7"/>
        <v>0.39928215968644032</v>
      </c>
      <c r="J29" s="104">
        <f t="shared" si="0"/>
        <v>4092.1499999999996</v>
      </c>
      <c r="K29" s="96">
        <f t="shared" si="1"/>
        <v>5001.5166666666664</v>
      </c>
      <c r="L29" s="96">
        <f t="shared" si="2"/>
        <v>3182.7833333333328</v>
      </c>
      <c r="M29" s="96">
        <f t="shared" si="3"/>
        <v>3637.4666666666667</v>
      </c>
      <c r="N29" s="105">
        <f t="shared" si="4"/>
        <v>2273.4166666666665</v>
      </c>
      <c r="O29" s="105">
        <f t="shared" si="5"/>
        <v>6044.3333333333339</v>
      </c>
    </row>
    <row r="30" spans="2:35" ht="25.5" customHeight="1">
      <c r="C30" s="993" t="s">
        <v>2479</v>
      </c>
      <c r="D30" s="97" t="s">
        <v>39</v>
      </c>
      <c r="E30" s="98">
        <v>142175</v>
      </c>
      <c r="F30" s="98">
        <v>101974</v>
      </c>
      <c r="G30" s="610">
        <f>GETPIVOTDATA(" HRP2",$B$6,"State","Kachin")</f>
        <v>68866</v>
      </c>
      <c r="H30" s="211">
        <f t="shared" si="6"/>
        <v>0.67532900543275742</v>
      </c>
      <c r="I30" s="211">
        <f t="shared" si="7"/>
        <v>0.32467099456724258</v>
      </c>
      <c r="J30" s="106">
        <f t="shared" si="0"/>
        <v>30989.7</v>
      </c>
      <c r="K30" s="98">
        <f t="shared" si="1"/>
        <v>37876.300000000003</v>
      </c>
      <c r="L30" s="98">
        <f t="shared" si="2"/>
        <v>24103.1</v>
      </c>
      <c r="M30" s="98">
        <f t="shared" si="3"/>
        <v>27546.400000000001</v>
      </c>
      <c r="N30" s="107">
        <f t="shared" si="4"/>
        <v>17216.5</v>
      </c>
      <c r="O30" s="107">
        <f t="shared" si="5"/>
        <v>33108</v>
      </c>
    </row>
    <row r="31" spans="2:35" ht="25.5" hidden="1" customHeight="1">
      <c r="C31" s="993"/>
      <c r="D31" s="97" t="s">
        <v>3006</v>
      </c>
      <c r="E31" s="98">
        <v>391005</v>
      </c>
      <c r="F31" s="98">
        <v>254472</v>
      </c>
      <c r="G31" s="610" t="e">
        <f>GETPIVOTDATA(" HRP2",$B$6,"State","Central Rakhine")+GETPIVOTDATA(" HRP2",$B$17,"State","Central Rakhine")</f>
        <v>#REF!</v>
      </c>
      <c r="H31" s="211" t="e">
        <f t="shared" si="6"/>
        <v>#REF!</v>
      </c>
      <c r="I31" s="211" t="e">
        <f t="shared" si="7"/>
        <v>#REF!</v>
      </c>
      <c r="J31" s="106" t="e">
        <f t="shared" si="0"/>
        <v>#REF!</v>
      </c>
      <c r="K31" s="98" t="e">
        <f t="shared" si="1"/>
        <v>#REF!</v>
      </c>
      <c r="L31" s="98" t="e">
        <f t="shared" si="2"/>
        <v>#REF!</v>
      </c>
      <c r="M31" s="98" t="e">
        <f t="shared" si="3"/>
        <v>#REF!</v>
      </c>
      <c r="N31" s="107" t="e">
        <f t="shared" si="4"/>
        <v>#REF!</v>
      </c>
      <c r="O31" s="107" t="e">
        <f t="shared" si="5"/>
        <v>#REF!</v>
      </c>
    </row>
    <row r="32" spans="2:35" ht="25.5" hidden="1" customHeight="1">
      <c r="C32" s="993"/>
      <c r="D32" s="97" t="s">
        <v>3005</v>
      </c>
      <c r="E32" s="98">
        <v>324000</v>
      </c>
      <c r="F32" s="98">
        <v>116064</v>
      </c>
      <c r="G32" s="610" t="e">
        <f>GETPIVOTDATA(" HRP2",$B$17,"State","Northern Rakhine")</f>
        <v>#REF!</v>
      </c>
      <c r="H32" s="211" t="e">
        <f>G32/F32</f>
        <v>#REF!</v>
      </c>
      <c r="I32" s="211" t="e">
        <f>1-H32</f>
        <v>#REF!</v>
      </c>
      <c r="J32" s="106" t="e">
        <f>G32*0.45</f>
        <v>#REF!</v>
      </c>
      <c r="K32" s="98" t="e">
        <f>G32*0.55</f>
        <v>#REF!</v>
      </c>
      <c r="L32" s="98" t="e">
        <f>G32*0.35</f>
        <v>#REF!</v>
      </c>
      <c r="M32" s="98" t="e">
        <f>G32*0.4</f>
        <v>#REF!</v>
      </c>
      <c r="N32" s="107" t="e">
        <f>G32*0.25</f>
        <v>#REF!</v>
      </c>
      <c r="O32" s="107" t="e">
        <f>F32-G32</f>
        <v>#REF!</v>
      </c>
    </row>
    <row r="33" spans="2:15" ht="45" customHeight="1">
      <c r="C33" s="993"/>
      <c r="D33" s="97" t="s">
        <v>716</v>
      </c>
      <c r="E33" s="98">
        <v>48123</v>
      </c>
      <c r="F33" s="98">
        <v>15138</v>
      </c>
      <c r="G33" s="610">
        <f>GETPIVOTDATA(" HRP2",$B$6,"State","Shan (North)")+GETPIVOTDATA(" HRP2",$B$17,"State","Shan (North)")</f>
        <v>12343</v>
      </c>
      <c r="H33" s="211">
        <f t="shared" si="6"/>
        <v>0.81536530585282074</v>
      </c>
      <c r="I33" s="211">
        <f t="shared" si="7"/>
        <v>0.18463469414717926</v>
      </c>
      <c r="J33" s="106">
        <f t="shared" si="0"/>
        <v>5554.35</v>
      </c>
      <c r="K33" s="98">
        <f t="shared" si="1"/>
        <v>6788.6500000000005</v>
      </c>
      <c r="L33" s="98">
        <f t="shared" si="2"/>
        <v>4320.0499999999993</v>
      </c>
      <c r="M33" s="98">
        <f t="shared" si="3"/>
        <v>4937.2000000000007</v>
      </c>
      <c r="N33" s="107">
        <f t="shared" si="4"/>
        <v>3085.75</v>
      </c>
      <c r="O33" s="107">
        <f t="shared" si="5"/>
        <v>2795</v>
      </c>
    </row>
    <row r="34" spans="2:15" ht="25.5" customHeight="1">
      <c r="C34" s="990" t="s">
        <v>2743</v>
      </c>
      <c r="D34" s="99" t="s">
        <v>39</v>
      </c>
      <c r="E34" s="100">
        <v>142175</v>
      </c>
      <c r="F34" s="100">
        <v>101974</v>
      </c>
      <c r="G34" s="611">
        <f>GETPIVOTDATA(" HRP3",$B$6,"State","Kachin")</f>
        <v>69692</v>
      </c>
      <c r="H34" s="212">
        <f t="shared" si="6"/>
        <v>0.68342910938082257</v>
      </c>
      <c r="I34" s="212">
        <f t="shared" si="7"/>
        <v>0.31657089061917743</v>
      </c>
      <c r="J34" s="108">
        <f t="shared" si="0"/>
        <v>31361.4</v>
      </c>
      <c r="K34" s="100">
        <f t="shared" si="1"/>
        <v>38330.600000000006</v>
      </c>
      <c r="L34" s="100">
        <f t="shared" si="2"/>
        <v>24392.199999999997</v>
      </c>
      <c r="M34" s="100">
        <f t="shared" si="3"/>
        <v>27876.800000000003</v>
      </c>
      <c r="N34" s="109">
        <f t="shared" si="4"/>
        <v>17423</v>
      </c>
      <c r="O34" s="109">
        <f t="shared" si="5"/>
        <v>32282</v>
      </c>
    </row>
    <row r="35" spans="2:15" ht="25.5" hidden="1" customHeight="1">
      <c r="C35" s="990"/>
      <c r="D35" s="99" t="s">
        <v>3006</v>
      </c>
      <c r="E35" s="100">
        <v>391005</v>
      </c>
      <c r="F35" s="100">
        <v>254472</v>
      </c>
      <c r="G35" s="611" t="e">
        <f>GETPIVOTDATA(" HRP3",$B$6,"State","Central Rakhine")+GETPIVOTDATA(" HRP3",$B$17,"State","Central Rakhine")</f>
        <v>#REF!</v>
      </c>
      <c r="H35" s="212" t="e">
        <f t="shared" si="6"/>
        <v>#REF!</v>
      </c>
      <c r="I35" s="212" t="e">
        <f t="shared" si="7"/>
        <v>#REF!</v>
      </c>
      <c r="J35" s="108" t="e">
        <f t="shared" si="0"/>
        <v>#REF!</v>
      </c>
      <c r="K35" s="100" t="e">
        <f t="shared" si="1"/>
        <v>#REF!</v>
      </c>
      <c r="L35" s="100" t="e">
        <f t="shared" si="2"/>
        <v>#REF!</v>
      </c>
      <c r="M35" s="100" t="e">
        <f t="shared" si="3"/>
        <v>#REF!</v>
      </c>
      <c r="N35" s="109" t="e">
        <f t="shared" si="4"/>
        <v>#REF!</v>
      </c>
      <c r="O35" s="109" t="e">
        <f t="shared" si="5"/>
        <v>#REF!</v>
      </c>
    </row>
    <row r="36" spans="2:15" ht="25.5" hidden="1" customHeight="1">
      <c r="C36" s="990"/>
      <c r="D36" s="99" t="s">
        <v>3005</v>
      </c>
      <c r="E36" s="100">
        <v>324000</v>
      </c>
      <c r="F36" s="100">
        <v>116064</v>
      </c>
      <c r="G36" s="611" t="e">
        <f>GETPIVOTDATA(" HRP3",$B$17,"State","Northern Rakhine")</f>
        <v>#REF!</v>
      </c>
      <c r="H36" s="212" t="e">
        <f>G36/F36</f>
        <v>#REF!</v>
      </c>
      <c r="I36" s="212" t="e">
        <f>1-H36</f>
        <v>#REF!</v>
      </c>
      <c r="J36" s="108" t="e">
        <f>G36*0.45</f>
        <v>#REF!</v>
      </c>
      <c r="K36" s="100" t="e">
        <f>G36*0.55</f>
        <v>#REF!</v>
      </c>
      <c r="L36" s="100" t="e">
        <f>G36*0.35</f>
        <v>#REF!</v>
      </c>
      <c r="M36" s="100" t="e">
        <f>G36*0.4</f>
        <v>#REF!</v>
      </c>
      <c r="N36" s="109" t="e">
        <f>G36*0.25</f>
        <v>#REF!</v>
      </c>
      <c r="O36" s="109" t="e">
        <f>F36-G36</f>
        <v>#REF!</v>
      </c>
    </row>
    <row r="37" spans="2:15" ht="84.75" customHeight="1">
      <c r="C37" s="990"/>
      <c r="D37" s="99" t="s">
        <v>716</v>
      </c>
      <c r="E37" s="100">
        <v>48123</v>
      </c>
      <c r="F37" s="100">
        <v>15138</v>
      </c>
      <c r="G37" s="611">
        <f>GETPIVOTDATA(" HRP3",$B$6,"State","Shan (North)")+GETPIVOTDATA(" HRP3",$B$17,"State","Shan (North)")</f>
        <v>13628</v>
      </c>
      <c r="H37" s="212">
        <f t="shared" si="6"/>
        <v>0.90025102391333067</v>
      </c>
      <c r="I37" s="212">
        <f t="shared" si="7"/>
        <v>9.9748976086669328E-2</v>
      </c>
      <c r="J37" s="108">
        <f t="shared" si="0"/>
        <v>6132.6</v>
      </c>
      <c r="K37" s="100">
        <f t="shared" si="1"/>
        <v>7495.4000000000005</v>
      </c>
      <c r="L37" s="100">
        <f t="shared" si="2"/>
        <v>4769.7999999999993</v>
      </c>
      <c r="M37" s="100">
        <f t="shared" si="3"/>
        <v>5451.2000000000007</v>
      </c>
      <c r="N37" s="109">
        <f t="shared" si="4"/>
        <v>3407</v>
      </c>
      <c r="O37" s="109">
        <f t="shared" si="5"/>
        <v>1510</v>
      </c>
    </row>
    <row r="38" spans="2:15">
      <c r="B38" s="991"/>
      <c r="C38" s="979" t="s">
        <v>3011</v>
      </c>
      <c r="D38" s="616" t="s">
        <v>39</v>
      </c>
      <c r="E38" s="617">
        <v>142175</v>
      </c>
      <c r="F38" s="617">
        <v>101974</v>
      </c>
      <c r="G38" s="842">
        <f>GETPIVOTDATA("  # People received regular supply of hygiene items_6",$M$6,"Reporting Period","2019_Q2")</f>
        <v>32238</v>
      </c>
      <c r="H38" s="618">
        <f t="shared" ref="H38:H41" si="8">G38/F38</f>
        <v>0.31613940808441365</v>
      </c>
      <c r="I38" s="618">
        <f t="shared" ref="I38:I41" si="9">1-H38</f>
        <v>0.68386059191558635</v>
      </c>
      <c r="J38" s="619">
        <f t="shared" ref="J38:J41" si="10">G38*0.45</f>
        <v>14507.1</v>
      </c>
      <c r="K38" s="617">
        <f t="shared" ref="K38:K41" si="11">G38*0.55</f>
        <v>17730.900000000001</v>
      </c>
      <c r="L38" s="617">
        <f t="shared" ref="L38:L41" si="12">G38*0.35</f>
        <v>11283.3</v>
      </c>
      <c r="M38" s="617">
        <f t="shared" ref="M38:M41" si="13">G38*0.4</f>
        <v>12895.2</v>
      </c>
      <c r="N38" s="615">
        <f t="shared" ref="N38:N41" si="14">G38*0.25</f>
        <v>8059.5</v>
      </c>
      <c r="O38" s="615">
        <f t="shared" ref="O38:O41" si="15">F38-G38</f>
        <v>69736</v>
      </c>
    </row>
    <row r="39" spans="2:15" hidden="1">
      <c r="B39" s="991"/>
      <c r="C39" s="979"/>
      <c r="D39" s="616" t="s">
        <v>3006</v>
      </c>
      <c r="E39" s="617">
        <v>391005</v>
      </c>
      <c r="F39" s="617">
        <v>254472</v>
      </c>
      <c r="G39" s="615" t="e">
        <f>GETPIVOTDATA(" # People received regular supply of hygiene items",$B$6,"State","Central Rakhine")+GETPIVOTDATA(" # People received regular supply of hygiene items",$B$17,"State","Central Rakhine")</f>
        <v>#REF!</v>
      </c>
      <c r="H39" s="618" t="e">
        <f t="shared" si="8"/>
        <v>#REF!</v>
      </c>
      <c r="I39" s="618" t="e">
        <f t="shared" si="9"/>
        <v>#REF!</v>
      </c>
      <c r="J39" s="619" t="e">
        <f t="shared" si="10"/>
        <v>#REF!</v>
      </c>
      <c r="K39" s="617" t="e">
        <f t="shared" si="11"/>
        <v>#REF!</v>
      </c>
      <c r="L39" s="617" t="e">
        <f t="shared" si="12"/>
        <v>#REF!</v>
      </c>
      <c r="M39" s="617" t="e">
        <f t="shared" si="13"/>
        <v>#REF!</v>
      </c>
      <c r="N39" s="615" t="e">
        <f t="shared" si="14"/>
        <v>#REF!</v>
      </c>
      <c r="O39" s="615" t="e">
        <f t="shared" si="15"/>
        <v>#REF!</v>
      </c>
    </row>
    <row r="40" spans="2:15" hidden="1">
      <c r="B40" s="991"/>
      <c r="C40" s="979"/>
      <c r="D40" s="616" t="s">
        <v>3005</v>
      </c>
      <c r="E40" s="617">
        <v>324000</v>
      </c>
      <c r="F40" s="617">
        <v>116064</v>
      </c>
      <c r="G40" s="615" t="e">
        <f>GETPIVOTDATA(" # People received regular supply of hygiene items",$B$17,"State","Northern Rakhine")</f>
        <v>#REF!</v>
      </c>
      <c r="H40" s="618" t="e">
        <f t="shared" si="8"/>
        <v>#REF!</v>
      </c>
      <c r="I40" s="618" t="e">
        <f t="shared" si="9"/>
        <v>#REF!</v>
      </c>
      <c r="J40" s="619" t="e">
        <f t="shared" si="10"/>
        <v>#REF!</v>
      </c>
      <c r="K40" s="617" t="e">
        <f t="shared" si="11"/>
        <v>#REF!</v>
      </c>
      <c r="L40" s="617" t="e">
        <f t="shared" si="12"/>
        <v>#REF!</v>
      </c>
      <c r="M40" s="617" t="e">
        <f t="shared" si="13"/>
        <v>#REF!</v>
      </c>
      <c r="N40" s="615" t="e">
        <f t="shared" si="14"/>
        <v>#REF!</v>
      </c>
      <c r="O40" s="615" t="e">
        <f t="shared" si="15"/>
        <v>#REF!</v>
      </c>
    </row>
    <row r="41" spans="2:15">
      <c r="B41" s="991"/>
      <c r="C41" s="979"/>
      <c r="D41" s="616" t="s">
        <v>716</v>
      </c>
      <c r="E41" s="617">
        <v>48123</v>
      </c>
      <c r="F41" s="617">
        <v>15138</v>
      </c>
      <c r="G41" s="842">
        <f>GETPIVOTDATA("  # People received regular supply of hygiene items_6",$V$6,"Reporting Period","2019_Q2")</f>
        <v>8385</v>
      </c>
      <c r="H41" s="618">
        <f t="shared" si="8"/>
        <v>0.55390408244153788</v>
      </c>
      <c r="I41" s="618">
        <f t="shared" si="9"/>
        <v>0.44609591755846212</v>
      </c>
      <c r="J41" s="619">
        <f t="shared" si="10"/>
        <v>3773.25</v>
      </c>
      <c r="K41" s="617">
        <f t="shared" si="11"/>
        <v>4611.75</v>
      </c>
      <c r="L41" s="617">
        <f t="shared" si="12"/>
        <v>2934.75</v>
      </c>
      <c r="M41" s="617">
        <f t="shared" si="13"/>
        <v>3354</v>
      </c>
      <c r="N41" s="615">
        <f t="shared" si="14"/>
        <v>2096.25</v>
      </c>
      <c r="O41" s="615">
        <f t="shared" si="15"/>
        <v>6753</v>
      </c>
    </row>
    <row r="42" spans="2:15">
      <c r="B42" s="991"/>
      <c r="C42" s="979" t="s">
        <v>3012</v>
      </c>
      <c r="D42" s="616" t="s">
        <v>39</v>
      </c>
      <c r="E42" s="617">
        <v>142175</v>
      </c>
      <c r="F42" s="617">
        <v>101974</v>
      </c>
      <c r="G42" s="842">
        <f>GETPIVOTDATA("  #_students at TLS_CFS",$M$6,"Reporting Period","2019_Q2")</f>
        <v>9278</v>
      </c>
      <c r="H42" s="618">
        <f t="shared" ref="H42:H45" si="16">G42/F42</f>
        <v>9.0983976307686273E-2</v>
      </c>
      <c r="I42" s="618">
        <f t="shared" ref="I42:I45" si="17">1-H42</f>
        <v>0.90901602369231371</v>
      </c>
      <c r="J42" s="619">
        <f t="shared" ref="J42:J45" si="18">G42*0.45</f>
        <v>4175.1000000000004</v>
      </c>
      <c r="K42" s="617">
        <f t="shared" ref="K42:K45" si="19">G42*0.55</f>
        <v>5102.9000000000005</v>
      </c>
      <c r="L42" s="617">
        <f t="shared" ref="L42:L45" si="20">G42*0.35</f>
        <v>3247.2999999999997</v>
      </c>
      <c r="M42" s="617">
        <f t="shared" ref="M42:M45" si="21">G42*0.4</f>
        <v>3711.2000000000003</v>
      </c>
      <c r="N42" s="615">
        <f t="shared" ref="N42:N45" si="22">G42*0.25</f>
        <v>2319.5</v>
      </c>
      <c r="O42" s="615">
        <f t="shared" ref="O42:O45" si="23">F42-G42</f>
        <v>92696</v>
      </c>
    </row>
    <row r="43" spans="2:15" hidden="1">
      <c r="B43" s="991"/>
      <c r="C43" s="979"/>
      <c r="D43" s="616" t="s">
        <v>3006</v>
      </c>
      <c r="E43" s="617">
        <v>391005</v>
      </c>
      <c r="F43" s="617">
        <v>254472</v>
      </c>
      <c r="G43" s="842" t="e">
        <f>GETPIVOTDATA(" #_students at TLS_CFS",$B$6,"State","Central Rakhine")+GETPIVOTDATA(" #_students at TLS_CFS",$B$17,"State","Central Rakhine")</f>
        <v>#REF!</v>
      </c>
      <c r="H43" s="618" t="e">
        <f t="shared" si="16"/>
        <v>#REF!</v>
      </c>
      <c r="I43" s="618" t="e">
        <f t="shared" si="17"/>
        <v>#REF!</v>
      </c>
      <c r="J43" s="619" t="e">
        <f t="shared" si="18"/>
        <v>#REF!</v>
      </c>
      <c r="K43" s="617" t="e">
        <f t="shared" si="19"/>
        <v>#REF!</v>
      </c>
      <c r="L43" s="617" t="e">
        <f t="shared" si="20"/>
        <v>#REF!</v>
      </c>
      <c r="M43" s="617" t="e">
        <f t="shared" si="21"/>
        <v>#REF!</v>
      </c>
      <c r="N43" s="615" t="e">
        <f t="shared" si="22"/>
        <v>#REF!</v>
      </c>
      <c r="O43" s="615" t="e">
        <f t="shared" si="23"/>
        <v>#REF!</v>
      </c>
    </row>
    <row r="44" spans="2:15" hidden="1">
      <c r="B44" s="991"/>
      <c r="C44" s="979"/>
      <c r="D44" s="616" t="s">
        <v>3005</v>
      </c>
      <c r="E44" s="617">
        <v>324000</v>
      </c>
      <c r="F44" s="617">
        <v>116064</v>
      </c>
      <c r="G44" s="842" t="e">
        <f>GETPIVOTDATA(" #_students at TLS_CFS",$B$17,"State","Northern Rakhine")</f>
        <v>#REF!</v>
      </c>
      <c r="H44" s="618" t="e">
        <f t="shared" si="16"/>
        <v>#REF!</v>
      </c>
      <c r="I44" s="618" t="e">
        <f t="shared" si="17"/>
        <v>#REF!</v>
      </c>
      <c r="J44" s="619" t="e">
        <f t="shared" si="18"/>
        <v>#REF!</v>
      </c>
      <c r="K44" s="617" t="e">
        <f t="shared" si="19"/>
        <v>#REF!</v>
      </c>
      <c r="L44" s="617" t="e">
        <f t="shared" si="20"/>
        <v>#REF!</v>
      </c>
      <c r="M44" s="617" t="e">
        <f t="shared" si="21"/>
        <v>#REF!</v>
      </c>
      <c r="N44" s="615" t="e">
        <f t="shared" si="22"/>
        <v>#REF!</v>
      </c>
      <c r="O44" s="615" t="e">
        <f t="shared" si="23"/>
        <v>#REF!</v>
      </c>
    </row>
    <row r="45" spans="2:15">
      <c r="B45" s="991"/>
      <c r="C45" s="979"/>
      <c r="D45" s="616" t="s">
        <v>716</v>
      </c>
      <c r="E45" s="617">
        <v>48123</v>
      </c>
      <c r="F45" s="617">
        <v>15138</v>
      </c>
      <c r="G45" s="842">
        <f>GETPIVOTDATA("  #_students at TLS_CFS",$V$6,"Reporting Period","2019_Q2")</f>
        <v>1930</v>
      </c>
      <c r="H45" s="618">
        <f t="shared" si="16"/>
        <v>0.12749372440216672</v>
      </c>
      <c r="I45" s="618">
        <f t="shared" si="17"/>
        <v>0.87250627559783323</v>
      </c>
      <c r="J45" s="619">
        <f t="shared" si="18"/>
        <v>868.5</v>
      </c>
      <c r="K45" s="617">
        <f t="shared" si="19"/>
        <v>1061.5</v>
      </c>
      <c r="L45" s="617">
        <f t="shared" si="20"/>
        <v>675.5</v>
      </c>
      <c r="M45" s="617">
        <f t="shared" si="21"/>
        <v>772</v>
      </c>
      <c r="N45" s="615">
        <f t="shared" si="22"/>
        <v>482.5</v>
      </c>
      <c r="O45" s="615">
        <f t="shared" si="23"/>
        <v>13208</v>
      </c>
    </row>
    <row r="46" spans="2:15">
      <c r="G46" s="64"/>
    </row>
    <row r="47" spans="2:15">
      <c r="G47" s="64"/>
    </row>
    <row r="48" spans="2:15">
      <c r="G48" s="64"/>
    </row>
    <row r="49" spans="2:18">
      <c r="G49" s="64"/>
    </row>
    <row r="50" spans="2:18">
      <c r="G50" s="64"/>
    </row>
    <row r="52" spans="2:18">
      <c r="C52" s="92"/>
      <c r="D52" s="93"/>
      <c r="E52" s="93"/>
      <c r="F52" s="93"/>
      <c r="G52" s="93"/>
      <c r="H52" s="93"/>
      <c r="I52" s="93"/>
      <c r="J52" s="93"/>
      <c r="K52" s="93"/>
      <c r="L52" s="93"/>
      <c r="M52" s="93"/>
      <c r="N52" s="93"/>
      <c r="O52" s="93"/>
      <c r="P52" s="93"/>
      <c r="Q52" s="93"/>
      <c r="R52" s="94"/>
    </row>
    <row r="53" spans="2:18" s="228" customFormat="1"/>
    <row r="54" spans="2:18" ht="39" customHeight="1">
      <c r="C54" s="984" t="s">
        <v>2789</v>
      </c>
      <c r="D54" s="985"/>
      <c r="E54" s="985"/>
    </row>
    <row r="55" spans="2:18">
      <c r="C55" s="88" t="s">
        <v>1686</v>
      </c>
      <c r="D55" s="213" t="s">
        <v>1679</v>
      </c>
      <c r="E55" s="215" t="s">
        <v>1680</v>
      </c>
    </row>
    <row r="56" spans="2:18" ht="15.75" customHeight="1">
      <c r="B56" s="91" t="s">
        <v>39</v>
      </c>
      <c r="C56" s="63">
        <v>101974</v>
      </c>
      <c r="D56" s="214">
        <f>G26</f>
        <v>60883.466666666645</v>
      </c>
      <c r="E56" s="215">
        <f>C56-D56</f>
        <v>41090.533333333355</v>
      </c>
      <c r="F56" s="71"/>
    </row>
    <row r="57" spans="2:18" ht="15.75" hidden="1" customHeight="1">
      <c r="B57" s="91" t="s">
        <v>3006</v>
      </c>
      <c r="C57" s="63">
        <v>254472</v>
      </c>
      <c r="D57" s="214" t="e">
        <f>G27</f>
        <v>#REF!</v>
      </c>
      <c r="E57" s="215" t="e">
        <f>C57-D57</f>
        <v>#REF!</v>
      </c>
      <c r="F57" s="71"/>
    </row>
    <row r="58" spans="2:18" ht="15.75" hidden="1" customHeight="1">
      <c r="B58" s="91" t="s">
        <v>3005</v>
      </c>
      <c r="C58" s="63">
        <v>116064</v>
      </c>
      <c r="D58" s="214" t="e">
        <f>G28</f>
        <v>#REF!</v>
      </c>
      <c r="E58" s="215" t="e">
        <f>C58-D58</f>
        <v>#REF!</v>
      </c>
      <c r="F58" s="71"/>
    </row>
    <row r="59" spans="2:18" ht="15.75" customHeight="1">
      <c r="B59" s="91" t="s">
        <v>716</v>
      </c>
      <c r="C59" s="63">
        <v>15138</v>
      </c>
      <c r="D59" s="214">
        <f>G29</f>
        <v>9093.6666666666661</v>
      </c>
      <c r="E59" s="215">
        <f>C59-D59</f>
        <v>6044.3333333333339</v>
      </c>
      <c r="F59" s="71"/>
    </row>
    <row r="60" spans="2:18" ht="15.75" customHeight="1">
      <c r="E60" s="64"/>
      <c r="F60" s="71"/>
    </row>
    <row r="61" spans="2:18" ht="15.75" customHeight="1">
      <c r="E61" s="64"/>
      <c r="F61" s="71"/>
    </row>
    <row r="62" spans="2:18" ht="15.75" customHeight="1">
      <c r="E62" s="64"/>
      <c r="F62" s="71"/>
    </row>
    <row r="63" spans="2:18" ht="15.75" customHeight="1">
      <c r="E63" s="64"/>
      <c r="F63" s="71"/>
    </row>
    <row r="64" spans="2:18" ht="15.75" customHeight="1">
      <c r="E64" s="64"/>
      <c r="F64" s="71"/>
    </row>
    <row r="65" spans="2:6" ht="15.75" customHeight="1">
      <c r="E65" s="64"/>
      <c r="F65" s="71"/>
    </row>
    <row r="66" spans="2:6" ht="35.25" customHeight="1">
      <c r="C66" s="986" t="s">
        <v>2790</v>
      </c>
      <c r="D66" s="987"/>
      <c r="E66" s="987"/>
      <c r="F66" s="71"/>
    </row>
    <row r="67" spans="2:6">
      <c r="C67" s="89" t="s">
        <v>1686</v>
      </c>
      <c r="D67" s="217" t="s">
        <v>1679</v>
      </c>
      <c r="E67" s="89" t="s">
        <v>1680</v>
      </c>
      <c r="F67" s="71"/>
    </row>
    <row r="68" spans="2:6" ht="15.75" customHeight="1">
      <c r="B68" s="91" t="s">
        <v>39</v>
      </c>
      <c r="C68" s="63">
        <v>101974</v>
      </c>
      <c r="D68" s="218">
        <f>G30</f>
        <v>68866</v>
      </c>
      <c r="E68" s="216">
        <f>C68-D68</f>
        <v>33108</v>
      </c>
      <c r="F68" s="71"/>
    </row>
    <row r="69" spans="2:6" hidden="1">
      <c r="B69" s="91" t="s">
        <v>3006</v>
      </c>
      <c r="C69" s="63">
        <v>254472</v>
      </c>
      <c r="D69" s="218" t="e">
        <f>G31</f>
        <v>#REF!</v>
      </c>
      <c r="E69" s="216" t="e">
        <f>C69-D69</f>
        <v>#REF!</v>
      </c>
      <c r="F69" s="71"/>
    </row>
    <row r="70" spans="2:6" hidden="1">
      <c r="B70" s="91" t="s">
        <v>3005</v>
      </c>
      <c r="C70" s="63">
        <v>116064</v>
      </c>
      <c r="D70" s="218" t="e">
        <f>G32</f>
        <v>#REF!</v>
      </c>
      <c r="E70" s="216" t="e">
        <f>C70-D70</f>
        <v>#REF!</v>
      </c>
      <c r="F70" s="71"/>
    </row>
    <row r="71" spans="2:6" ht="15.75" customHeight="1">
      <c r="B71" s="91" t="s">
        <v>716</v>
      </c>
      <c r="C71" s="63">
        <v>15138</v>
      </c>
      <c r="D71" s="218">
        <f>G33</f>
        <v>12343</v>
      </c>
      <c r="E71" s="216">
        <f>C71-D71</f>
        <v>2795</v>
      </c>
      <c r="F71" s="71"/>
    </row>
    <row r="72" spans="2:6" ht="15.75" customHeight="1">
      <c r="E72" s="64"/>
      <c r="F72" s="71"/>
    </row>
    <row r="73" spans="2:6">
      <c r="E73" s="64"/>
      <c r="F73" s="71"/>
    </row>
    <row r="74" spans="2:6">
      <c r="E74" s="64"/>
      <c r="F74" s="71"/>
    </row>
    <row r="75" spans="2:6">
      <c r="E75" s="64"/>
      <c r="F75" s="71"/>
    </row>
    <row r="76" spans="2:6">
      <c r="E76" s="64"/>
      <c r="F76" s="71"/>
    </row>
    <row r="77" spans="2:6" ht="42.75" customHeight="1">
      <c r="C77" s="988" t="s">
        <v>2791</v>
      </c>
      <c r="D77" s="989"/>
      <c r="E77" s="989"/>
      <c r="F77" s="71"/>
    </row>
    <row r="78" spans="2:6">
      <c r="C78" s="90" t="s">
        <v>1686</v>
      </c>
      <c r="D78" s="219" t="s">
        <v>1679</v>
      </c>
      <c r="E78" s="90" t="s">
        <v>1680</v>
      </c>
      <c r="F78" s="71"/>
    </row>
    <row r="79" spans="2:6">
      <c r="B79" s="91" t="s">
        <v>39</v>
      </c>
      <c r="C79" s="63">
        <v>101974</v>
      </c>
      <c r="D79" s="220">
        <f>G34</f>
        <v>69692</v>
      </c>
      <c r="E79" s="221">
        <f>C79-D79</f>
        <v>32282</v>
      </c>
      <c r="F79" s="71"/>
    </row>
    <row r="80" spans="2:6" hidden="1">
      <c r="B80" s="91" t="s">
        <v>3006</v>
      </c>
      <c r="C80" s="63">
        <v>254472</v>
      </c>
      <c r="D80" s="220" t="e">
        <f>G35</f>
        <v>#REF!</v>
      </c>
      <c r="E80" s="221" t="e">
        <f>C80-D80</f>
        <v>#REF!</v>
      </c>
      <c r="F80" s="71"/>
    </row>
    <row r="81" spans="1:60" hidden="1">
      <c r="B81" s="91" t="s">
        <v>3005</v>
      </c>
      <c r="C81" s="63">
        <v>116064</v>
      </c>
      <c r="D81" s="220" t="e">
        <f>G36</f>
        <v>#REF!</v>
      </c>
      <c r="E81" s="221" t="e">
        <f>C81-D81</f>
        <v>#REF!</v>
      </c>
      <c r="F81" s="71"/>
    </row>
    <row r="82" spans="1:60">
      <c r="B82" s="91" t="s">
        <v>716</v>
      </c>
      <c r="C82" s="63">
        <v>15138</v>
      </c>
      <c r="D82" s="220">
        <f>G37</f>
        <v>13628</v>
      </c>
      <c r="E82" s="221">
        <f>C82-D82</f>
        <v>1510</v>
      </c>
      <c r="F82" s="71"/>
    </row>
    <row r="83" spans="1:60">
      <c r="E83" s="64"/>
      <c r="F83" s="71"/>
    </row>
    <row r="85" spans="1:60">
      <c r="D85" s="64"/>
    </row>
    <row r="86" spans="1:60">
      <c r="D86" s="64"/>
    </row>
    <row r="87" spans="1:60" hidden="1">
      <c r="B87" s="982" t="s">
        <v>1925</v>
      </c>
      <c r="C87" s="983"/>
      <c r="D87" s="983"/>
      <c r="E87" s="983"/>
      <c r="F87" s="983"/>
      <c r="G87" s="983"/>
      <c r="H87" s="983"/>
      <c r="J87" s="982" t="s">
        <v>1936</v>
      </c>
      <c r="K87" s="983"/>
      <c r="L87" s="983"/>
      <c r="M87" s="983"/>
      <c r="N87" s="983"/>
      <c r="O87" s="983"/>
      <c r="P87" s="983"/>
    </row>
    <row r="88" spans="1:60" ht="79.5" hidden="1" customHeight="1">
      <c r="B88" s="91" t="s">
        <v>22</v>
      </c>
      <c r="C88" s="88" t="s">
        <v>1681</v>
      </c>
      <c r="D88" s="88" t="s">
        <v>1682</v>
      </c>
      <c r="E88" s="89" t="s">
        <v>85</v>
      </c>
      <c r="F88" s="89" t="s">
        <v>1684</v>
      </c>
      <c r="G88" s="90" t="s">
        <v>86</v>
      </c>
      <c r="H88" s="90" t="s">
        <v>1683</v>
      </c>
      <c r="J88" s="91" t="s">
        <v>22</v>
      </c>
      <c r="K88" s="213" t="s">
        <v>1681</v>
      </c>
      <c r="L88" s="213" t="s">
        <v>1682</v>
      </c>
      <c r="M88" s="217" t="s">
        <v>85</v>
      </c>
      <c r="N88" s="217" t="s">
        <v>1684</v>
      </c>
      <c r="O88" s="219" t="s">
        <v>86</v>
      </c>
      <c r="P88" s="219" t="s">
        <v>1683</v>
      </c>
    </row>
    <row r="89" spans="1:60" hidden="1">
      <c r="B89" s="91" t="s">
        <v>39</v>
      </c>
      <c r="C89" s="222">
        <f>$E$56/$C$56</f>
        <v>0.40295107903321781</v>
      </c>
      <c r="D89" s="222" t="e">
        <f>#REF!/#REF!</f>
        <v>#REF!</v>
      </c>
      <c r="E89" s="223">
        <f>$E$68/$C$68</f>
        <v>0.32467099456724263</v>
      </c>
      <c r="F89" s="223" t="e">
        <f>#REF!/#REF!</f>
        <v>#REF!</v>
      </c>
      <c r="G89" s="224">
        <f>$E$79/$C$79</f>
        <v>0.31657089061917743</v>
      </c>
      <c r="H89" s="224" t="e">
        <f>#REF!/#REF!</f>
        <v>#REF!</v>
      </c>
      <c r="J89" s="91" t="s">
        <v>39</v>
      </c>
      <c r="K89" s="225">
        <f>D56/C56</f>
        <v>0.59704892096678219</v>
      </c>
      <c r="L89" s="225" t="e">
        <f>#REF!/#REF!</f>
        <v>#REF!</v>
      </c>
      <c r="M89" s="226">
        <f>D68/C68</f>
        <v>0.67532900543275742</v>
      </c>
      <c r="N89" s="226" t="e">
        <f>#REF!/#REF!</f>
        <v>#REF!</v>
      </c>
      <c r="O89" s="227">
        <f>D79/C79</f>
        <v>0.68342910938082257</v>
      </c>
      <c r="P89" s="227" t="e">
        <f>#REF!/#REF!</f>
        <v>#REF!</v>
      </c>
    </row>
    <row r="90" spans="1:60" hidden="1">
      <c r="B90" s="91" t="s">
        <v>312</v>
      </c>
      <c r="C90" s="222" t="e">
        <f>$E$57/$C$57</f>
        <v>#REF!</v>
      </c>
      <c r="D90" s="222" t="e">
        <f>#REF!/#REF!</f>
        <v>#REF!</v>
      </c>
      <c r="E90" s="223" t="e">
        <f>$E$69/$C$69</f>
        <v>#REF!</v>
      </c>
      <c r="F90" s="223" t="e">
        <f>#REF!/#REF!</f>
        <v>#REF!</v>
      </c>
      <c r="G90" s="224" t="e">
        <f>$E$80/$C$80</f>
        <v>#REF!</v>
      </c>
      <c r="H90" s="224" t="e">
        <f>#REF!/#REF!</f>
        <v>#REF!</v>
      </c>
      <c r="J90" s="91" t="s">
        <v>312</v>
      </c>
      <c r="K90" s="225" t="e">
        <f>D57/C57</f>
        <v>#REF!</v>
      </c>
      <c r="L90" s="225" t="e">
        <f>#REF!/#REF!</f>
        <v>#REF!</v>
      </c>
      <c r="M90" s="226" t="e">
        <f>D69/C69</f>
        <v>#REF!</v>
      </c>
      <c r="N90" s="226" t="e">
        <f>#REF!/#REF!</f>
        <v>#REF!</v>
      </c>
      <c r="O90" s="227" t="e">
        <f>D80/C80</f>
        <v>#REF!</v>
      </c>
      <c r="P90" s="227" t="e">
        <f>#REF!/#REF!</f>
        <v>#REF!</v>
      </c>
    </row>
    <row r="91" spans="1:60" ht="31.5" hidden="1">
      <c r="B91" s="91" t="s">
        <v>716</v>
      </c>
      <c r="C91" s="222">
        <f>$E$59/$C$59</f>
        <v>0.39928215968644032</v>
      </c>
      <c r="D91" s="222" t="e">
        <f>#REF!/#REF!</f>
        <v>#REF!</v>
      </c>
      <c r="E91" s="223">
        <f>$E$71/$C$71</f>
        <v>0.18463469414717928</v>
      </c>
      <c r="F91" s="223" t="e">
        <f>#REF!/#REF!</f>
        <v>#REF!</v>
      </c>
      <c r="G91" s="224">
        <f>$E$82/$C$82</f>
        <v>9.9748976086669314E-2</v>
      </c>
      <c r="H91" s="224" t="e">
        <f>#REF!/#REF!</f>
        <v>#REF!</v>
      </c>
      <c r="J91" s="91" t="s">
        <v>716</v>
      </c>
      <c r="K91" s="225">
        <f>D59/C59</f>
        <v>0.60071784031355968</v>
      </c>
      <c r="L91" s="225" t="e">
        <f>#REF!/#REF!</f>
        <v>#REF!</v>
      </c>
      <c r="M91" s="226">
        <f>D71/C71</f>
        <v>0.81536530585282074</v>
      </c>
      <c r="N91" s="226" t="e">
        <f>#REF!/#REF!</f>
        <v>#REF!</v>
      </c>
      <c r="O91" s="227">
        <f>D82/C82</f>
        <v>0.90025102391333067</v>
      </c>
      <c r="P91" s="227" t="e">
        <f>#REF!/#REF!</f>
        <v>#REF!</v>
      </c>
    </row>
    <row r="94" spans="1:60">
      <c r="V94"/>
      <c r="W94"/>
    </row>
    <row r="95" spans="1:60" ht="23.25">
      <c r="A95" s="551" t="s">
        <v>2065</v>
      </c>
      <c r="B95" s="549"/>
      <c r="C95" s="549"/>
      <c r="D95" s="549"/>
      <c r="E95" s="549"/>
      <c r="F95" s="549"/>
      <c r="G95" s="549"/>
      <c r="H95" s="549"/>
      <c r="I95" s="549"/>
      <c r="J95" s="549"/>
      <c r="K95" s="549"/>
      <c r="L95" s="549"/>
      <c r="M95" s="549"/>
      <c r="N95" s="549"/>
      <c r="O95" s="549"/>
      <c r="P95" s="549"/>
      <c r="Q95" s="549"/>
      <c r="R95" s="549"/>
      <c r="S95" s="549"/>
      <c r="T95" s="549"/>
      <c r="U95" s="549"/>
      <c r="V95" s="550"/>
      <c r="W95" s="550"/>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row>
    <row r="96" spans="1:60">
      <c r="V96"/>
      <c r="W96"/>
    </row>
    <row r="97" spans="1:60">
      <c r="J97" s="62"/>
      <c r="AP97" s="843"/>
      <c r="AQ97" s="843"/>
    </row>
    <row r="98" spans="1:60">
      <c r="AP98" s="843"/>
      <c r="AQ98" s="843"/>
    </row>
    <row r="99" spans="1:60">
      <c r="C99" s="229" t="s">
        <v>2065</v>
      </c>
      <c r="D99"/>
      <c r="E99"/>
      <c r="F99"/>
      <c r="J99"/>
      <c r="Q99" s="850" t="s">
        <v>2065</v>
      </c>
      <c r="R99" s="851" t="s">
        <v>3124</v>
      </c>
      <c r="S99" s="852"/>
      <c r="T99" s="852"/>
      <c r="U99"/>
      <c r="AD99" s="850" t="s">
        <v>2065</v>
      </c>
      <c r="AE99" s="852"/>
      <c r="AF99" s="852"/>
      <c r="AG99" s="852"/>
      <c r="AP99" s="843"/>
      <c r="AQ99" s="843"/>
      <c r="AR99"/>
    </row>
    <row r="100" spans="1:60" ht="31.5">
      <c r="C100" s="118" t="s">
        <v>1670</v>
      </c>
      <c r="D100" s="119" t="s">
        <v>1976</v>
      </c>
      <c r="E100" s="121" t="s">
        <v>1679</v>
      </c>
      <c r="F100" s="121" t="s">
        <v>1680</v>
      </c>
      <c r="J100"/>
      <c r="Q100" s="853" t="s">
        <v>1670</v>
      </c>
      <c r="R100" s="854" t="s">
        <v>1976</v>
      </c>
      <c r="S100" s="855" t="s">
        <v>1679</v>
      </c>
      <c r="T100" s="855" t="s">
        <v>1680</v>
      </c>
      <c r="U100"/>
      <c r="AD100" s="853" t="s">
        <v>1670</v>
      </c>
      <c r="AE100" s="854" t="s">
        <v>1976</v>
      </c>
      <c r="AF100" s="855" t="s">
        <v>1679</v>
      </c>
      <c r="AG100" s="855" t="s">
        <v>1680</v>
      </c>
      <c r="AP100" s="741"/>
      <c r="AQ100"/>
      <c r="AR100"/>
    </row>
    <row r="101" spans="1:60" ht="94.5">
      <c r="A101" s="833" t="s">
        <v>3295</v>
      </c>
      <c r="C101" s="117" t="s">
        <v>2792</v>
      </c>
      <c r="D101" s="124">
        <v>203446</v>
      </c>
      <c r="E101" s="124">
        <f>GETPIVOTDATA(" HRP3",$B$6)+118323</f>
        <v>197472</v>
      </c>
      <c r="F101" s="124">
        <f>D101-E101</f>
        <v>5974</v>
      </c>
      <c r="J101"/>
      <c r="K101"/>
      <c r="Q101" s="117" t="s">
        <v>2792</v>
      </c>
      <c r="R101" s="126">
        <f>487648-203446</f>
        <v>284202</v>
      </c>
      <c r="S101" s="126">
        <f>GETPIVOTDATA(" HRP3",$B$17)+14937</f>
        <v>19108</v>
      </c>
      <c r="T101" s="126">
        <f>R101-S101</f>
        <v>265094</v>
      </c>
      <c r="U101"/>
      <c r="AD101" s="117" t="s">
        <v>2792</v>
      </c>
      <c r="AE101" s="126">
        <v>487648</v>
      </c>
      <c r="AF101" s="856">
        <f>E101+S101</f>
        <v>216580</v>
      </c>
      <c r="AG101" s="856">
        <f>AE101-AF101</f>
        <v>271068</v>
      </c>
      <c r="AP101"/>
      <c r="AQ101"/>
      <c r="AR101"/>
    </row>
    <row r="102" spans="1:60" ht="63">
      <c r="C102" s="116" t="s">
        <v>2793</v>
      </c>
      <c r="D102" s="123">
        <v>203446</v>
      </c>
      <c r="E102" s="123">
        <f>GETPIVOTDATA(" HRP2",$B$6)+84214</f>
        <v>162064</v>
      </c>
      <c r="F102" s="123">
        <f>D102-E102</f>
        <v>41382</v>
      </c>
      <c r="J102"/>
      <c r="K102"/>
      <c r="Q102" s="116" t="s">
        <v>2793</v>
      </c>
      <c r="R102" s="234">
        <f>487648-203446</f>
        <v>284202</v>
      </c>
      <c r="S102" s="234">
        <f>GETPIVOTDATA(" HRP2",$B$17)+35843</f>
        <v>39202</v>
      </c>
      <c r="T102" s="234">
        <f>R102-S102</f>
        <v>245000</v>
      </c>
      <c r="U102"/>
      <c r="AD102" s="116" t="s">
        <v>2793</v>
      </c>
      <c r="AE102" s="234">
        <v>487648</v>
      </c>
      <c r="AF102" s="857">
        <f>E102+S102</f>
        <v>201266</v>
      </c>
      <c r="AG102" s="857">
        <f>AE102-AF102</f>
        <v>286382</v>
      </c>
      <c r="AP102"/>
      <c r="AQ102"/>
      <c r="AR102"/>
    </row>
    <row r="103" spans="1:60" ht="63">
      <c r="C103" s="120" t="s">
        <v>2794</v>
      </c>
      <c r="D103" s="122">
        <v>203446</v>
      </c>
      <c r="E103" s="122">
        <f>GETPIVOTDATA(" HRP1",$B$6)+112517</f>
        <v>181535.1333333333</v>
      </c>
      <c r="F103" s="122">
        <f>D103-E103</f>
        <v>21910.866666666698</v>
      </c>
      <c r="H103" s="232">
        <v>112517.49333333335</v>
      </c>
      <c r="J103"/>
      <c r="K103"/>
      <c r="Q103" s="120" t="s">
        <v>2794</v>
      </c>
      <c r="R103" s="125">
        <f>487648-203446</f>
        <v>284202</v>
      </c>
      <c r="S103" s="125">
        <f>GETPIVOTDATA(" HRP1",$B$17)+45912</f>
        <v>46871</v>
      </c>
      <c r="T103" s="125">
        <f>R103-S103</f>
        <v>237331</v>
      </c>
      <c r="U103"/>
      <c r="AD103" s="120" t="s">
        <v>2794</v>
      </c>
      <c r="AE103" s="125">
        <v>487648</v>
      </c>
      <c r="AF103" s="858">
        <f>E103+S103</f>
        <v>228406.1333333333</v>
      </c>
      <c r="AG103" s="858">
        <f>AE103-AF103</f>
        <v>259241.8666666667</v>
      </c>
      <c r="AP103"/>
      <c r="AQ103"/>
      <c r="AR103"/>
    </row>
    <row r="104" spans="1:60">
      <c r="C104"/>
      <c r="D104"/>
      <c r="E104"/>
      <c r="H104" s="64">
        <f>SUM(E101:E103)</f>
        <v>541071.1333333333</v>
      </c>
      <c r="J104"/>
      <c r="K104"/>
      <c r="S104"/>
      <c r="T104"/>
      <c r="U104"/>
      <c r="X104" s="64">
        <f>SUM(S101:S103)</f>
        <v>105181</v>
      </c>
      <c r="AP104"/>
      <c r="AQ104"/>
      <c r="AR104"/>
      <c r="AU104" s="64">
        <f>SUM(AF101:AF103)</f>
        <v>646252.1333333333</v>
      </c>
    </row>
    <row r="105" spans="1:60">
      <c r="C105"/>
      <c r="D105"/>
      <c r="H105" s="64"/>
      <c r="S105"/>
      <c r="T105"/>
      <c r="W105" s="64">
        <f>487648-203446</f>
        <v>284202</v>
      </c>
      <c r="AP105"/>
      <c r="AQ105"/>
    </row>
    <row r="106" spans="1:60">
      <c r="C106"/>
      <c r="D106"/>
      <c r="V106"/>
      <c r="W106"/>
      <c r="AP106"/>
      <c r="AQ106"/>
    </row>
    <row r="108" spans="1:60" ht="23.25">
      <c r="A108" s="551" t="s">
        <v>39</v>
      </c>
      <c r="B108" s="549"/>
      <c r="C108" s="549"/>
      <c r="D108" s="549"/>
      <c r="E108" s="549"/>
      <c r="F108" s="549"/>
      <c r="G108" s="549"/>
      <c r="H108" s="549"/>
      <c r="I108" s="549"/>
      <c r="J108" s="549"/>
      <c r="K108" s="549"/>
      <c r="L108" s="549"/>
      <c r="M108" s="549"/>
      <c r="N108" s="549"/>
      <c r="O108" s="549"/>
      <c r="P108" s="549"/>
      <c r="Q108" s="549"/>
      <c r="R108" s="549"/>
      <c r="S108" s="549"/>
      <c r="T108" s="549"/>
      <c r="U108" s="549"/>
      <c r="V108" s="550"/>
      <c r="W108" s="550"/>
      <c r="X108" s="549"/>
      <c r="Y108" s="549"/>
      <c r="Z108" s="549"/>
      <c r="AA108" s="549"/>
      <c r="AB108" s="549"/>
      <c r="AC108" s="549"/>
      <c r="AD108" s="549"/>
      <c r="AE108" s="549"/>
      <c r="AF108" s="549"/>
      <c r="AG108" s="549"/>
      <c r="AH108" s="549"/>
      <c r="AI108" s="549"/>
      <c r="AJ108" s="549"/>
      <c r="AK108" s="549"/>
      <c r="AL108" s="549"/>
      <c r="AM108" s="549"/>
      <c r="AN108" s="549"/>
      <c r="AO108" s="549"/>
      <c r="AP108" s="549"/>
      <c r="AQ108" s="549"/>
      <c r="AR108" s="549"/>
      <c r="AS108" s="549"/>
      <c r="AT108" s="549"/>
      <c r="AU108" s="549"/>
      <c r="AV108" s="549"/>
      <c r="AW108" s="549"/>
      <c r="AX108" s="549"/>
      <c r="AY108" s="549"/>
      <c r="AZ108" s="549"/>
      <c r="BA108" s="549"/>
      <c r="BB108" s="549"/>
      <c r="BC108" s="549"/>
      <c r="BD108" s="549"/>
      <c r="BE108" s="549"/>
      <c r="BF108" s="549"/>
      <c r="BG108" s="549"/>
      <c r="BH108" s="549"/>
    </row>
    <row r="109" spans="1:60" s="228" customFormat="1" ht="23.25">
      <c r="A109" s="605"/>
      <c r="V109" s="579"/>
      <c r="W109" s="579"/>
    </row>
    <row r="110" spans="1:60">
      <c r="C110" s="600" t="s">
        <v>20</v>
      </c>
      <c r="D110" s="61" t="s">
        <v>2519</v>
      </c>
    </row>
    <row r="111" spans="1:60">
      <c r="C111" s="600" t="s">
        <v>35</v>
      </c>
      <c r="D111" s="61" t="s">
        <v>35</v>
      </c>
      <c r="H111" s="977"/>
      <c r="I111" s="977"/>
    </row>
    <row r="112" spans="1:60">
      <c r="C112" s="600" t="s">
        <v>22</v>
      </c>
      <c r="D112" s="61" t="s">
        <v>39</v>
      </c>
      <c r="H112" s="606"/>
      <c r="I112" s="606"/>
    </row>
    <row r="113" spans="1:60">
      <c r="C113" s="600" t="s">
        <v>142</v>
      </c>
      <c r="D113" s="61" t="s">
        <v>1668</v>
      </c>
      <c r="F113" s="229" t="s">
        <v>39</v>
      </c>
    </row>
    <row r="114" spans="1:60">
      <c r="C114" s="74"/>
      <c r="D114"/>
      <c r="F114" s="118" t="s">
        <v>1670</v>
      </c>
      <c r="G114" s="119" t="s">
        <v>1976</v>
      </c>
      <c r="H114" s="121" t="s">
        <v>1679</v>
      </c>
      <c r="I114" s="121" t="s">
        <v>1680</v>
      </c>
    </row>
    <row r="115" spans="1:60" ht="110.25">
      <c r="C115" s="846" t="s">
        <v>2786</v>
      </c>
      <c r="D115" s="847">
        <v>60883.466666666645</v>
      </c>
      <c r="F115" s="117" t="s">
        <v>2792</v>
      </c>
      <c r="G115" s="124">
        <v>101974</v>
      </c>
      <c r="H115" s="124">
        <f>GETPIVOTDATA(" HRP3",$C$115)</f>
        <v>69692</v>
      </c>
      <c r="I115" s="124">
        <f>G115-H115</f>
        <v>32282</v>
      </c>
    </row>
    <row r="116" spans="1:60" ht="63">
      <c r="C116" s="849" t="s">
        <v>2787</v>
      </c>
      <c r="D116" s="863">
        <v>68866</v>
      </c>
      <c r="F116" s="116" t="s">
        <v>2793</v>
      </c>
      <c r="G116" s="123">
        <v>101974</v>
      </c>
      <c r="H116" s="123">
        <f>GETPIVOTDATA(" HRP2",$C$115)</f>
        <v>68866</v>
      </c>
      <c r="I116" s="123">
        <f>G116-H116</f>
        <v>33108</v>
      </c>
    </row>
    <row r="117" spans="1:60" ht="63">
      <c r="C117" s="860" t="s">
        <v>2788</v>
      </c>
      <c r="D117" s="864">
        <v>69692</v>
      </c>
      <c r="F117" s="120" t="s">
        <v>2794</v>
      </c>
      <c r="G117" s="122">
        <v>101974</v>
      </c>
      <c r="H117" s="122">
        <f>GETPIVOTDATA(" HRP1",$C$115)</f>
        <v>60883.466666666645</v>
      </c>
      <c r="I117" s="122">
        <f>G117-H117</f>
        <v>41090.533333333355</v>
      </c>
    </row>
    <row r="118" spans="1:60">
      <c r="C118"/>
      <c r="D118"/>
      <c r="H118" s="64">
        <f>SUM(H115:H117)</f>
        <v>199441.46666666665</v>
      </c>
    </row>
    <row r="119" spans="1:60">
      <c r="C119"/>
      <c r="D119"/>
    </row>
    <row r="120" spans="1:60">
      <c r="C120"/>
      <c r="D120"/>
    </row>
    <row r="121" spans="1:60">
      <c r="C121"/>
      <c r="D121"/>
    </row>
    <row r="122" spans="1:60" ht="23.25">
      <c r="A122" s="551" t="s">
        <v>716</v>
      </c>
      <c r="B122" s="549"/>
      <c r="C122" s="549"/>
      <c r="D122" s="549"/>
      <c r="E122" s="549"/>
      <c r="F122" s="549"/>
      <c r="G122" s="549"/>
      <c r="H122" s="549"/>
      <c r="I122" s="549"/>
      <c r="J122" s="549"/>
      <c r="K122" s="549"/>
      <c r="L122" s="549"/>
      <c r="M122" s="549"/>
      <c r="N122" s="549"/>
      <c r="O122" s="549"/>
      <c r="P122" s="549"/>
      <c r="Q122" s="549"/>
      <c r="R122" s="549"/>
      <c r="S122" s="549"/>
      <c r="T122" s="549"/>
      <c r="U122" s="549"/>
      <c r="V122" s="550"/>
      <c r="W122" s="550"/>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row>
    <row r="123" spans="1:60" s="228" customFormat="1" ht="23.25">
      <c r="A123" s="605"/>
      <c r="V123" s="579"/>
      <c r="W123" s="579"/>
    </row>
    <row r="124" spans="1:60">
      <c r="C124" s="600" t="s">
        <v>20</v>
      </c>
      <c r="D124" s="61" t="s">
        <v>2519</v>
      </c>
    </row>
    <row r="125" spans="1:60">
      <c r="C125" s="600" t="s">
        <v>35</v>
      </c>
      <c r="D125" s="61" t="s">
        <v>35</v>
      </c>
    </row>
    <row r="126" spans="1:60">
      <c r="C126" s="600" t="s">
        <v>22</v>
      </c>
      <c r="D126" s="61" t="s">
        <v>716</v>
      </c>
    </row>
    <row r="127" spans="1:60">
      <c r="C127" s="600" t="s">
        <v>142</v>
      </c>
      <c r="D127" s="61" t="s">
        <v>1668</v>
      </c>
      <c r="F127" s="229" t="s">
        <v>716</v>
      </c>
      <c r="H127" s="978"/>
      <c r="I127" s="978"/>
    </row>
    <row r="128" spans="1:60">
      <c r="C128" s="74"/>
      <c r="D128"/>
      <c r="F128" s="118" t="s">
        <v>1670</v>
      </c>
      <c r="G128" s="119" t="s">
        <v>1976</v>
      </c>
      <c r="H128" s="121" t="s">
        <v>1679</v>
      </c>
      <c r="I128" s="121" t="s">
        <v>1680</v>
      </c>
      <c r="S128" s="741"/>
      <c r="T128" s="741"/>
      <c r="AC128" s="600"/>
      <c r="AD128" s="600"/>
      <c r="AE128" s="600"/>
      <c r="AF128" s="600"/>
      <c r="AG128" s="600"/>
      <c r="AH128" s="600"/>
      <c r="AI128" s="600"/>
      <c r="AJ128" s="600"/>
      <c r="AK128" s="600"/>
      <c r="AL128" s="600"/>
      <c r="AM128" s="600"/>
      <c r="AN128" s="600"/>
      <c r="AO128" s="600"/>
      <c r="AP128" s="600"/>
      <c r="AQ128" s="600"/>
      <c r="AR128" s="600"/>
      <c r="AS128" s="600"/>
      <c r="AT128" s="600"/>
      <c r="AU128" s="600"/>
      <c r="AV128" s="600"/>
      <c r="AW128" s="600"/>
      <c r="AX128" s="600"/>
      <c r="AY128" s="600"/>
      <c r="AZ128" s="600"/>
      <c r="BA128" s="600"/>
      <c r="BB128" s="600"/>
      <c r="BC128" s="600"/>
      <c r="BD128" s="600"/>
      <c r="BE128" s="600"/>
      <c r="BF128" s="600"/>
      <c r="BG128" s="600"/>
      <c r="BH128" s="600"/>
    </row>
    <row r="129" spans="3:20" ht="110.25">
      <c r="C129" s="846" t="s">
        <v>2786</v>
      </c>
      <c r="D129" s="861">
        <v>9093.6666666666661</v>
      </c>
      <c r="F129" s="117" t="s">
        <v>2792</v>
      </c>
      <c r="G129" s="124">
        <v>15138</v>
      </c>
      <c r="H129" s="124">
        <f>GETPIVOTDATA(" HRP3",$C$129)</f>
        <v>13628</v>
      </c>
      <c r="I129" s="124">
        <f>G129-H129</f>
        <v>1510</v>
      </c>
      <c r="S129"/>
      <c r="T129"/>
    </row>
    <row r="130" spans="3:20" ht="63">
      <c r="C130" s="849" t="s">
        <v>2787</v>
      </c>
      <c r="D130" s="848">
        <v>12343</v>
      </c>
      <c r="F130" s="116" t="s">
        <v>2793</v>
      </c>
      <c r="G130" s="123">
        <v>15138</v>
      </c>
      <c r="H130" s="123">
        <f>GETPIVOTDATA(" HRP2",$C$129)</f>
        <v>12343</v>
      </c>
      <c r="I130" s="123">
        <f>G130-H130</f>
        <v>2795</v>
      </c>
      <c r="S130"/>
      <c r="T130"/>
    </row>
    <row r="131" spans="3:20" ht="63">
      <c r="C131" s="860" t="s">
        <v>2788</v>
      </c>
      <c r="D131" s="859">
        <v>13628</v>
      </c>
      <c r="F131" s="120" t="s">
        <v>2794</v>
      </c>
      <c r="G131" s="122">
        <v>15138</v>
      </c>
      <c r="H131" s="122">
        <f>GETPIVOTDATA(" HRP1",$C$129)</f>
        <v>9093.6666666666661</v>
      </c>
      <c r="I131" s="122">
        <f>G131-H131</f>
        <v>6044.3333333333339</v>
      </c>
      <c r="S131"/>
      <c r="T131"/>
    </row>
    <row r="132" spans="3:20">
      <c r="C132"/>
      <c r="D132"/>
      <c r="H132" s="64">
        <f>SUM(H129:H131)</f>
        <v>35064.666666666664</v>
      </c>
    </row>
    <row r="139" spans="3:20">
      <c r="C139"/>
      <c r="D139"/>
    </row>
    <row r="140" spans="3:20">
      <c r="C140"/>
      <c r="D140"/>
    </row>
    <row r="141" spans="3:20">
      <c r="C141"/>
      <c r="D141"/>
    </row>
    <row r="142" spans="3:20">
      <c r="C142"/>
      <c r="D142"/>
    </row>
  </sheetData>
  <mergeCells count="14">
    <mergeCell ref="H111:I111"/>
    <mergeCell ref="H127:I127"/>
    <mergeCell ref="C38:C41"/>
    <mergeCell ref="C42:C45"/>
    <mergeCell ref="L24:N24"/>
    <mergeCell ref="B87:H87"/>
    <mergeCell ref="J87:P87"/>
    <mergeCell ref="C54:E54"/>
    <mergeCell ref="C66:E66"/>
    <mergeCell ref="C77:E77"/>
    <mergeCell ref="C34:C37"/>
    <mergeCell ref="B38:B45"/>
    <mergeCell ref="C26:C29"/>
    <mergeCell ref="C30:C33"/>
  </mergeCells>
  <pageMargins left="0.7" right="0.7" top="0.75" bottom="0.75" header="0.3" footer="0.3"/>
  <pageSetup orientation="portrait" r:id="rId11"/>
  <drawing r:id="rId12"/>
  <legacyDrawing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61"/>
  <sheetViews>
    <sheetView workbookViewId="0">
      <selection activeCell="J28" sqref="J28:K36"/>
    </sheetView>
  </sheetViews>
  <sheetFormatPr defaultRowHeight="15.75"/>
  <cols>
    <col min="1" max="1" width="29.5" customWidth="1"/>
    <col min="2" max="2" width="15" bestFit="1" customWidth="1"/>
    <col min="3" max="3" width="20.25" customWidth="1"/>
    <col min="6" max="6" width="11" bestFit="1" customWidth="1"/>
    <col min="8" max="8" width="45.75" bestFit="1" customWidth="1"/>
    <col min="9" max="9" width="11.625" bestFit="1" customWidth="1"/>
    <col min="12" max="12" width="17.125" customWidth="1"/>
    <col min="13" max="13" width="9" style="572"/>
    <col min="14" max="14" width="13.25" bestFit="1" customWidth="1"/>
    <col min="16" max="16" width="28.625" bestFit="1" customWidth="1"/>
  </cols>
  <sheetData>
    <row r="2" spans="1:16">
      <c r="A2" s="924" t="s">
        <v>20</v>
      </c>
      <c r="B2" s="925" t="s">
        <v>2519</v>
      </c>
    </row>
    <row r="3" spans="1:16">
      <c r="A3" s="924" t="s">
        <v>35</v>
      </c>
      <c r="B3" s="925" t="s">
        <v>35</v>
      </c>
    </row>
    <row r="4" spans="1:16">
      <c r="A4" s="924" t="s">
        <v>142</v>
      </c>
      <c r="B4" s="925" t="s">
        <v>812</v>
      </c>
    </row>
    <row r="5" spans="1:16">
      <c r="A5" s="866" t="s">
        <v>22</v>
      </c>
      <c r="B5" s="925" t="s">
        <v>716</v>
      </c>
      <c r="E5" s="245" t="s">
        <v>22</v>
      </c>
      <c r="F5" s="245" t="s">
        <v>23</v>
      </c>
      <c r="G5" s="245" t="s">
        <v>21</v>
      </c>
      <c r="I5" s="245" t="s">
        <v>22</v>
      </c>
      <c r="J5" s="245" t="s">
        <v>23</v>
      </c>
      <c r="K5" s="245" t="s">
        <v>21</v>
      </c>
      <c r="N5" s="245" t="s">
        <v>22</v>
      </c>
      <c r="O5" s="245" t="s">
        <v>23</v>
      </c>
      <c r="P5" s="245" t="s">
        <v>21</v>
      </c>
    </row>
    <row r="6" spans="1:16">
      <c r="A6" s="141"/>
      <c r="B6" s="134"/>
      <c r="E6" s="612" t="s">
        <v>39</v>
      </c>
      <c r="F6" s="669" t="s">
        <v>203</v>
      </c>
      <c r="G6" s="665" t="s">
        <v>149</v>
      </c>
      <c r="H6" t="str">
        <f>G6&amp;", "&amp;G7&amp;", "&amp;G8</f>
        <v>KBC, Metta, SI</v>
      </c>
      <c r="J6" s="667" t="s">
        <v>735</v>
      </c>
      <c r="K6" s="665" t="s">
        <v>200</v>
      </c>
      <c r="L6" t="str">
        <f>K7</f>
        <v>SCI, Metta</v>
      </c>
      <c r="N6" s="667" t="s">
        <v>3006</v>
      </c>
      <c r="O6" s="669" t="s">
        <v>375</v>
      </c>
      <c r="P6" s="665" t="s">
        <v>2355</v>
      </c>
    </row>
    <row r="7" spans="1:16">
      <c r="A7" s="926" t="s">
        <v>23</v>
      </c>
      <c r="B7" s="924" t="s">
        <v>2403</v>
      </c>
      <c r="D7" s="576"/>
      <c r="E7" s="612" t="s">
        <v>39</v>
      </c>
      <c r="F7" s="669" t="s">
        <v>203</v>
      </c>
      <c r="G7" s="665" t="s">
        <v>200</v>
      </c>
      <c r="H7" s="572"/>
      <c r="J7" s="668" t="s">
        <v>735</v>
      </c>
      <c r="K7" s="665" t="s">
        <v>1957</v>
      </c>
      <c r="L7" s="572"/>
      <c r="N7" s="667" t="s">
        <v>3006</v>
      </c>
      <c r="O7" s="669" t="s">
        <v>320</v>
      </c>
      <c r="P7" s="665" t="s">
        <v>311</v>
      </c>
    </row>
    <row r="8" spans="1:16">
      <c r="A8" s="925" t="s">
        <v>1274</v>
      </c>
      <c r="B8" s="925" t="s">
        <v>3278</v>
      </c>
      <c r="E8" s="612" t="s">
        <v>39</v>
      </c>
      <c r="F8" s="669" t="s">
        <v>203</v>
      </c>
      <c r="G8" s="665" t="s">
        <v>284</v>
      </c>
      <c r="J8" s="668" t="s">
        <v>757</v>
      </c>
      <c r="K8" s="665" t="s">
        <v>305</v>
      </c>
      <c r="L8" t="str">
        <f>K8</f>
        <v>SCI</v>
      </c>
      <c r="N8" s="667" t="s">
        <v>3006</v>
      </c>
      <c r="O8" s="669" t="s">
        <v>417</v>
      </c>
      <c r="P8" s="665" t="s">
        <v>416</v>
      </c>
    </row>
    <row r="9" spans="1:16">
      <c r="E9" s="612" t="s">
        <v>39</v>
      </c>
      <c r="F9" s="669" t="s">
        <v>154</v>
      </c>
      <c r="G9" s="665" t="s">
        <v>149</v>
      </c>
      <c r="H9" t="str">
        <f>G9&amp;", "&amp;G10&amp;", "&amp;G11</f>
        <v>KBC, KMSS, Shalom</v>
      </c>
      <c r="J9" s="667" t="s">
        <v>720</v>
      </c>
      <c r="K9" s="665" t="s">
        <v>200</v>
      </c>
      <c r="L9" t="str">
        <f>K10&amp;", "&amp;K9</f>
        <v>SCI, Metta</v>
      </c>
      <c r="N9" s="667" t="s">
        <v>3006</v>
      </c>
      <c r="O9" s="669" t="s">
        <v>420</v>
      </c>
      <c r="P9" s="665" t="s">
        <v>3094</v>
      </c>
    </row>
    <row r="10" spans="1:16">
      <c r="E10" s="612" t="s">
        <v>39</v>
      </c>
      <c r="F10" s="669" t="s">
        <v>154</v>
      </c>
      <c r="G10" s="665" t="s">
        <v>38</v>
      </c>
      <c r="J10" s="667" t="s">
        <v>720</v>
      </c>
      <c r="K10" s="665" t="s">
        <v>305</v>
      </c>
      <c r="N10" s="668" t="s">
        <v>3006</v>
      </c>
      <c r="O10" s="670" t="s">
        <v>313</v>
      </c>
      <c r="P10" s="664" t="s">
        <v>3095</v>
      </c>
    </row>
    <row r="11" spans="1:16">
      <c r="E11" s="612" t="s">
        <v>39</v>
      </c>
      <c r="F11" s="669" t="s">
        <v>154</v>
      </c>
      <c r="G11" s="665" t="s">
        <v>250</v>
      </c>
      <c r="J11" s="668" t="s">
        <v>720</v>
      </c>
      <c r="K11" s="665" t="s">
        <v>1957</v>
      </c>
    </row>
    <row r="12" spans="1:16">
      <c r="E12" s="612" t="s">
        <v>39</v>
      </c>
      <c r="F12" s="669" t="s">
        <v>156</v>
      </c>
      <c r="G12" s="665" t="s">
        <v>149</v>
      </c>
      <c r="H12" t="str">
        <f>G12&amp;", "&amp;G13&amp;", "&amp;G14</f>
        <v>KBC, KMSS, Shalom</v>
      </c>
      <c r="J12" s="668" t="s">
        <v>1272</v>
      </c>
      <c r="K12" s="665" t="s">
        <v>200</v>
      </c>
      <c r="L12" t="str">
        <f>K12</f>
        <v>Metta</v>
      </c>
      <c r="N12" s="667" t="s">
        <v>337</v>
      </c>
      <c r="O12" s="665" t="s">
        <v>387</v>
      </c>
      <c r="P12" t="s">
        <v>3096</v>
      </c>
    </row>
    <row r="13" spans="1:16">
      <c r="E13" s="612" t="s">
        <v>39</v>
      </c>
      <c r="F13" s="669" t="s">
        <v>156</v>
      </c>
      <c r="G13" s="665" t="s">
        <v>38</v>
      </c>
      <c r="J13" s="667" t="s">
        <v>723</v>
      </c>
      <c r="K13" s="665" t="s">
        <v>200</v>
      </c>
      <c r="L13" t="str">
        <f>K14</f>
        <v>KMSS, Metta</v>
      </c>
      <c r="N13" s="668" t="s">
        <v>375</v>
      </c>
      <c r="O13" s="665" t="s">
        <v>2355</v>
      </c>
      <c r="P13" t="s">
        <v>2355</v>
      </c>
    </row>
    <row r="14" spans="1:16">
      <c r="E14" s="612" t="s">
        <v>39</v>
      </c>
      <c r="F14" s="669" t="s">
        <v>156</v>
      </c>
      <c r="G14" s="665" t="s">
        <v>250</v>
      </c>
      <c r="J14" s="668" t="s">
        <v>723</v>
      </c>
      <c r="K14" s="665" t="s">
        <v>1233</v>
      </c>
      <c r="N14" s="668" t="s">
        <v>320</v>
      </c>
      <c r="O14" s="665" t="s">
        <v>336</v>
      </c>
      <c r="P14" t="s">
        <v>336</v>
      </c>
    </row>
    <row r="15" spans="1:16">
      <c r="E15" s="612" t="s">
        <v>39</v>
      </c>
      <c r="F15" s="669" t="s">
        <v>40</v>
      </c>
      <c r="G15" s="665" t="s">
        <v>149</v>
      </c>
      <c r="H15" t="str">
        <f>G15&amp;", "&amp;G16&amp;", "&amp;G17&amp;", "&amp;G18</f>
        <v>KBC, KMSS, Metta, WPN</v>
      </c>
      <c r="J15" s="667" t="s">
        <v>726</v>
      </c>
      <c r="K15" s="665" t="s">
        <v>200</v>
      </c>
      <c r="L15" t="str">
        <f>K16&amp;", "&amp;K15</f>
        <v>SCI, Metta</v>
      </c>
      <c r="N15" s="667" t="s">
        <v>323</v>
      </c>
      <c r="O15" s="665" t="s">
        <v>326</v>
      </c>
      <c r="P15" t="s">
        <v>2181</v>
      </c>
    </row>
    <row r="16" spans="1:16">
      <c r="E16" s="612" t="s">
        <v>39</v>
      </c>
      <c r="F16" s="669" t="s">
        <v>40</v>
      </c>
      <c r="G16" s="665" t="s">
        <v>38</v>
      </c>
      <c r="J16" s="668" t="s">
        <v>726</v>
      </c>
      <c r="K16" s="665" t="s">
        <v>305</v>
      </c>
      <c r="N16" s="668" t="s">
        <v>330</v>
      </c>
      <c r="O16" s="665" t="s">
        <v>332</v>
      </c>
      <c r="P16" t="s">
        <v>332</v>
      </c>
    </row>
    <row r="17" spans="5:16">
      <c r="E17" s="612" t="s">
        <v>39</v>
      </c>
      <c r="F17" s="669" t="s">
        <v>40</v>
      </c>
      <c r="G17" s="665" t="s">
        <v>200</v>
      </c>
      <c r="J17" s="667" t="s">
        <v>717</v>
      </c>
      <c r="K17" s="665" t="s">
        <v>200</v>
      </c>
      <c r="L17" t="str">
        <f>K19&amp;", "&amp;K18</f>
        <v>KMSS, Metta, SCI</v>
      </c>
      <c r="N17" s="668" t="s">
        <v>417</v>
      </c>
      <c r="O17" s="665" t="s">
        <v>416</v>
      </c>
      <c r="P17" t="s">
        <v>416</v>
      </c>
    </row>
    <row r="18" spans="5:16">
      <c r="E18" s="612" t="s">
        <v>39</v>
      </c>
      <c r="F18" s="669" t="s">
        <v>40</v>
      </c>
      <c r="G18" s="665" t="s">
        <v>299</v>
      </c>
      <c r="J18" s="667" t="s">
        <v>717</v>
      </c>
      <c r="K18" s="665" t="s">
        <v>305</v>
      </c>
      <c r="N18" s="667" t="s">
        <v>420</v>
      </c>
      <c r="O18" s="665" t="s">
        <v>352</v>
      </c>
      <c r="P18" t="s">
        <v>3097</v>
      </c>
    </row>
    <row r="19" spans="5:16">
      <c r="E19" s="612" t="s">
        <v>39</v>
      </c>
      <c r="F19" s="669" t="s">
        <v>160</v>
      </c>
      <c r="G19" s="665" t="s">
        <v>149</v>
      </c>
      <c r="H19" t="str">
        <f>G19&amp;", "&amp;G20</f>
        <v>KBC, KMSS</v>
      </c>
      <c r="J19" s="667" t="s">
        <v>717</v>
      </c>
      <c r="K19" s="665" t="s">
        <v>1233</v>
      </c>
      <c r="N19" s="668" t="s">
        <v>355</v>
      </c>
      <c r="O19" s="665" t="s">
        <v>1270</v>
      </c>
      <c r="P19" t="s">
        <v>1270</v>
      </c>
    </row>
    <row r="20" spans="5:16">
      <c r="E20" s="612" t="s">
        <v>39</v>
      </c>
      <c r="F20" s="669" t="s">
        <v>160</v>
      </c>
      <c r="G20" s="665" t="s">
        <v>38</v>
      </c>
      <c r="J20" s="668" t="s">
        <v>717</v>
      </c>
      <c r="K20" s="665" t="s">
        <v>3263</v>
      </c>
      <c r="N20" s="667" t="s">
        <v>313</v>
      </c>
      <c r="O20" s="665" t="s">
        <v>332</v>
      </c>
      <c r="P20" t="s">
        <v>3098</v>
      </c>
    </row>
    <row r="21" spans="5:16">
      <c r="E21" s="612" t="s">
        <v>39</v>
      </c>
      <c r="F21" s="669" t="s">
        <v>165</v>
      </c>
      <c r="G21" s="665" t="s">
        <v>149</v>
      </c>
      <c r="H21" t="str">
        <f>G21&amp;", "&amp;G22</f>
        <v>KBC, KMSS</v>
      </c>
      <c r="J21" s="667" t="s">
        <v>737</v>
      </c>
      <c r="K21" s="665" t="s">
        <v>200</v>
      </c>
      <c r="L21" t="str">
        <f>K23</f>
        <v>SCI, Metta</v>
      </c>
    </row>
    <row r="22" spans="5:16">
      <c r="E22" s="612" t="s">
        <v>39</v>
      </c>
      <c r="F22" s="669" t="s">
        <v>165</v>
      </c>
      <c r="G22" s="665" t="s">
        <v>38</v>
      </c>
      <c r="J22" s="667" t="s">
        <v>737</v>
      </c>
      <c r="K22" s="665" t="s">
        <v>305</v>
      </c>
      <c r="N22" s="667" t="s">
        <v>337</v>
      </c>
      <c r="O22" s="665" t="s">
        <v>387</v>
      </c>
      <c r="P22" t="s">
        <v>3099</v>
      </c>
    </row>
    <row r="23" spans="5:16">
      <c r="E23" s="612" t="s">
        <v>39</v>
      </c>
      <c r="F23" s="669" t="s">
        <v>213</v>
      </c>
      <c r="G23" s="665" t="s">
        <v>149</v>
      </c>
      <c r="H23" t="str">
        <f>G23&amp;", "&amp;G24&amp;", "&amp;G25&amp;", "&amp;G26&amp;", "&amp;G27</f>
        <v>KBC, KMSS, Metta, SI, WPN</v>
      </c>
      <c r="J23" s="668" t="s">
        <v>737</v>
      </c>
      <c r="K23" s="665" t="s">
        <v>1957</v>
      </c>
      <c r="N23" s="668" t="s">
        <v>320</v>
      </c>
      <c r="O23" s="665" t="s">
        <v>1270</v>
      </c>
      <c r="P23" s="665" t="s">
        <v>1270</v>
      </c>
    </row>
    <row r="24" spans="5:16">
      <c r="E24" s="612" t="s">
        <v>39</v>
      </c>
      <c r="F24" s="669" t="s">
        <v>213</v>
      </c>
      <c r="G24" s="665" t="s">
        <v>38</v>
      </c>
      <c r="J24" s="668" t="s">
        <v>1290</v>
      </c>
      <c r="K24" s="664" t="s">
        <v>200</v>
      </c>
      <c r="L24" s="572" t="str">
        <f>K24</f>
        <v>Metta</v>
      </c>
      <c r="M24"/>
      <c r="N24" s="668" t="s">
        <v>323</v>
      </c>
      <c r="O24" s="665" t="s">
        <v>3072</v>
      </c>
      <c r="P24" s="665" t="s">
        <v>3072</v>
      </c>
    </row>
    <row r="25" spans="5:16">
      <c r="E25" s="612" t="s">
        <v>39</v>
      </c>
      <c r="F25" s="669" t="s">
        <v>213</v>
      </c>
      <c r="G25" s="665" t="s">
        <v>200</v>
      </c>
      <c r="L25" s="572"/>
      <c r="M25"/>
      <c r="N25" s="668" t="s">
        <v>489</v>
      </c>
      <c r="O25" s="665" t="s">
        <v>2864</v>
      </c>
      <c r="P25" s="665" t="s">
        <v>2864</v>
      </c>
    </row>
    <row r="26" spans="5:16">
      <c r="E26" s="612" t="s">
        <v>39</v>
      </c>
      <c r="F26" s="669" t="s">
        <v>213</v>
      </c>
      <c r="G26" s="665" t="s">
        <v>284</v>
      </c>
      <c r="L26" s="572"/>
      <c r="M26"/>
      <c r="N26" s="668" t="s">
        <v>420</v>
      </c>
      <c r="O26" s="664" t="s">
        <v>1270</v>
      </c>
      <c r="P26" s="664" t="s">
        <v>1270</v>
      </c>
    </row>
    <row r="27" spans="5:16">
      <c r="E27" s="612" t="s">
        <v>39</v>
      </c>
      <c r="F27" s="669" t="s">
        <v>213</v>
      </c>
      <c r="G27" s="665" t="s">
        <v>299</v>
      </c>
      <c r="J27" s="245" t="s">
        <v>23</v>
      </c>
      <c r="K27" s="245" t="s">
        <v>21</v>
      </c>
      <c r="L27" s="572"/>
      <c r="M27"/>
    </row>
    <row r="28" spans="5:16">
      <c r="E28" s="612" t="s">
        <v>39</v>
      </c>
      <c r="F28" s="669" t="s">
        <v>167</v>
      </c>
      <c r="G28" s="665" t="s">
        <v>149</v>
      </c>
      <c r="H28" t="str">
        <f>G28&amp;", "&amp;G29&amp;", "&amp;G30</f>
        <v>KBC, KMSS, Shalom</v>
      </c>
      <c r="J28" s="667" t="s">
        <v>735</v>
      </c>
      <c r="K28" t="s">
        <v>1957</v>
      </c>
      <c r="L28" s="572"/>
      <c r="M28"/>
    </row>
    <row r="29" spans="5:16">
      <c r="E29" s="612" t="s">
        <v>39</v>
      </c>
      <c r="F29" s="669" t="s">
        <v>167</v>
      </c>
      <c r="G29" s="665" t="s">
        <v>38</v>
      </c>
      <c r="J29" t="s">
        <v>757</v>
      </c>
      <c r="K29" t="s">
        <v>305</v>
      </c>
      <c r="L29" s="572"/>
      <c r="M29"/>
    </row>
    <row r="30" spans="5:16">
      <c r="E30" s="612" t="s">
        <v>39</v>
      </c>
      <c r="F30" s="669" t="s">
        <v>167</v>
      </c>
      <c r="G30" s="665" t="s">
        <v>250</v>
      </c>
      <c r="J30" t="s">
        <v>720</v>
      </c>
      <c r="K30" t="s">
        <v>1957</v>
      </c>
    </row>
    <row r="31" spans="5:16">
      <c r="E31" s="612" t="s">
        <v>39</v>
      </c>
      <c r="F31" s="669" t="s">
        <v>181</v>
      </c>
      <c r="G31" s="665" t="s">
        <v>149</v>
      </c>
      <c r="H31" t="str">
        <f>G31</f>
        <v>KBC</v>
      </c>
      <c r="J31" s="668" t="s">
        <v>1272</v>
      </c>
      <c r="K31" s="665" t="s">
        <v>200</v>
      </c>
    </row>
    <row r="32" spans="5:16">
      <c r="E32" s="612" t="s">
        <v>39</v>
      </c>
      <c r="F32" s="669" t="s">
        <v>222</v>
      </c>
      <c r="G32" s="665" t="s">
        <v>149</v>
      </c>
      <c r="H32" t="str">
        <f>G32&amp;", "&amp;G33</f>
        <v>KBC, Metta</v>
      </c>
      <c r="J32" t="s">
        <v>723</v>
      </c>
      <c r="K32" t="s">
        <v>1233</v>
      </c>
    </row>
    <row r="33" spans="5:13">
      <c r="E33" s="612" t="s">
        <v>39</v>
      </c>
      <c r="F33" s="669" t="s">
        <v>222</v>
      </c>
      <c r="G33" s="665" t="s">
        <v>200</v>
      </c>
      <c r="J33" t="s">
        <v>726</v>
      </c>
      <c r="K33" t="s">
        <v>1957</v>
      </c>
    </row>
    <row r="34" spans="5:13">
      <c r="E34" s="612" t="s">
        <v>39</v>
      </c>
      <c r="F34" s="669" t="s">
        <v>192</v>
      </c>
      <c r="G34" s="665" t="s">
        <v>149</v>
      </c>
      <c r="H34" t="str">
        <f>G34</f>
        <v>KBC</v>
      </c>
      <c r="J34" t="s">
        <v>717</v>
      </c>
      <c r="K34" t="s">
        <v>3343</v>
      </c>
    </row>
    <row r="35" spans="5:13">
      <c r="E35" s="612" t="s">
        <v>39</v>
      </c>
      <c r="F35" s="667" t="s">
        <v>150</v>
      </c>
      <c r="G35" s="665" t="s">
        <v>149</v>
      </c>
      <c r="H35" t="str">
        <f>G35&amp;", "&amp;G36&amp;", "&amp;G37&amp;", "&amp;G38</f>
        <v>KBC, KMSS, Metta, Shalom</v>
      </c>
      <c r="J35" t="s">
        <v>737</v>
      </c>
      <c r="K35" t="s">
        <v>200</v>
      </c>
      <c r="L35" t="s">
        <v>1957</v>
      </c>
    </row>
    <row r="36" spans="5:13">
      <c r="E36" s="612" t="s">
        <v>39</v>
      </c>
      <c r="F36" s="667" t="s">
        <v>150</v>
      </c>
      <c r="G36" s="665" t="s">
        <v>38</v>
      </c>
      <c r="J36" s="668" t="s">
        <v>1290</v>
      </c>
      <c r="K36" s="664" t="s">
        <v>200</v>
      </c>
    </row>
    <row r="37" spans="5:13">
      <c r="E37" s="612" t="s">
        <v>39</v>
      </c>
      <c r="F37" s="667" t="s">
        <v>150</v>
      </c>
      <c r="G37" s="665" t="s">
        <v>200</v>
      </c>
    </row>
    <row r="38" spans="5:13">
      <c r="E38" s="612" t="s">
        <v>39</v>
      </c>
      <c r="F38" s="668" t="s">
        <v>150</v>
      </c>
      <c r="G38" s="664" t="s">
        <v>250</v>
      </c>
    </row>
    <row r="39" spans="5:13">
      <c r="E39" s="612"/>
      <c r="F39" s="669"/>
      <c r="G39" s="665"/>
    </row>
    <row r="40" spans="5:13">
      <c r="E40" s="612"/>
      <c r="F40" s="669"/>
      <c r="G40" s="665"/>
    </row>
    <row r="41" spans="5:13">
      <c r="E41" s="671"/>
      <c r="F41" s="669"/>
      <c r="G41" s="665"/>
    </row>
    <row r="44" spans="5:13">
      <c r="E44" t="s">
        <v>22</v>
      </c>
      <c r="F44" t="s">
        <v>23</v>
      </c>
      <c r="L44" s="572"/>
      <c r="M44"/>
    </row>
    <row r="45" spans="5:13">
      <c r="E45" t="s">
        <v>39</v>
      </c>
      <c r="F45" t="s">
        <v>203</v>
      </c>
      <c r="G45" t="s">
        <v>2177</v>
      </c>
      <c r="L45" s="572"/>
      <c r="M45"/>
    </row>
    <row r="46" spans="5:13">
      <c r="E46" t="s">
        <v>39</v>
      </c>
      <c r="F46" t="s">
        <v>154</v>
      </c>
      <c r="G46" t="s">
        <v>2178</v>
      </c>
      <c r="L46" s="572"/>
      <c r="M46"/>
    </row>
    <row r="47" spans="5:13">
      <c r="E47" t="s">
        <v>39</v>
      </c>
      <c r="F47" t="s">
        <v>156</v>
      </c>
      <c r="G47" t="s">
        <v>2178</v>
      </c>
      <c r="L47" s="572"/>
      <c r="M47"/>
    </row>
    <row r="48" spans="5:13">
      <c r="E48" t="s">
        <v>39</v>
      </c>
      <c r="F48" t="s">
        <v>40</v>
      </c>
      <c r="G48" t="s">
        <v>3092</v>
      </c>
      <c r="L48" s="572"/>
      <c r="M48"/>
    </row>
    <row r="49" spans="5:13">
      <c r="E49" t="s">
        <v>39</v>
      </c>
      <c r="F49" t="s">
        <v>160</v>
      </c>
      <c r="G49" t="s">
        <v>2179</v>
      </c>
      <c r="L49" s="572"/>
      <c r="M49"/>
    </row>
    <row r="50" spans="5:13">
      <c r="E50" t="s">
        <v>39</v>
      </c>
      <c r="F50" t="s">
        <v>165</v>
      </c>
      <c r="G50" t="s">
        <v>2179</v>
      </c>
      <c r="L50" s="572"/>
      <c r="M50"/>
    </row>
    <row r="51" spans="5:13">
      <c r="E51" t="s">
        <v>39</v>
      </c>
      <c r="F51" t="s">
        <v>213</v>
      </c>
      <c r="G51" t="s">
        <v>3341</v>
      </c>
      <c r="L51" s="572"/>
      <c r="M51"/>
    </row>
    <row r="52" spans="5:13">
      <c r="E52" s="233" t="s">
        <v>39</v>
      </c>
      <c r="F52" s="233" t="s">
        <v>167</v>
      </c>
      <c r="G52" t="s">
        <v>2178</v>
      </c>
      <c r="L52" s="572"/>
      <c r="M52"/>
    </row>
    <row r="53" spans="5:13">
      <c r="E53" s="233" t="s">
        <v>39</v>
      </c>
      <c r="F53" s="233" t="s">
        <v>181</v>
      </c>
      <c r="G53" t="s">
        <v>149</v>
      </c>
      <c r="L53" s="572"/>
      <c r="M53"/>
    </row>
    <row r="54" spans="5:13">
      <c r="E54" s="233" t="s">
        <v>39</v>
      </c>
      <c r="F54" s="233" t="s">
        <v>222</v>
      </c>
      <c r="G54" t="s">
        <v>1971</v>
      </c>
      <c r="L54" s="572"/>
      <c r="M54"/>
    </row>
    <row r="55" spans="5:13">
      <c r="E55" s="233" t="s">
        <v>39</v>
      </c>
      <c r="F55" s="233" t="s">
        <v>192</v>
      </c>
      <c r="G55" t="s">
        <v>149</v>
      </c>
      <c r="L55" s="572"/>
      <c r="M55"/>
    </row>
    <row r="56" spans="5:13">
      <c r="E56" s="233" t="s">
        <v>39</v>
      </c>
      <c r="F56" s="233" t="s">
        <v>150</v>
      </c>
      <c r="G56" t="s">
        <v>2180</v>
      </c>
      <c r="L56" s="572"/>
      <c r="M56"/>
    </row>
    <row r="57" spans="5:13">
      <c r="E57" s="233"/>
      <c r="F57" s="233"/>
    </row>
    <row r="58" spans="5:13">
      <c r="E58" s="233"/>
      <c r="F58" s="233"/>
    </row>
    <row r="59" spans="5:13">
      <c r="E59" s="233"/>
      <c r="F59" s="233"/>
    </row>
    <row r="60" spans="5:13">
      <c r="E60" s="233"/>
      <c r="F60" s="233"/>
    </row>
    <row r="61" spans="5:13">
      <c r="E61" s="244"/>
      <c r="F61" s="2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89"/>
  <sheetViews>
    <sheetView showGridLines="0" zoomScaleNormal="100" workbookViewId="0">
      <selection activeCell="O21" sqref="O21"/>
    </sheetView>
  </sheetViews>
  <sheetFormatPr defaultColWidth="9" defaultRowHeight="15"/>
  <cols>
    <col min="1" max="1" width="9.625" style="134" customWidth="1"/>
    <col min="2" max="2" width="11" style="134" customWidth="1"/>
    <col min="3" max="3" width="17.25" style="134" customWidth="1"/>
    <col min="4" max="4" width="17.875" style="134" customWidth="1"/>
    <col min="5" max="5" width="13.75" style="134" customWidth="1"/>
    <col min="6" max="6" width="17.25" style="134" customWidth="1"/>
    <col min="7" max="7" width="12.5" style="134" customWidth="1"/>
    <col min="8" max="8" width="14.5" style="134" customWidth="1"/>
    <col min="9" max="9" width="17.25" style="134" customWidth="1"/>
    <col min="10" max="10" width="15" style="134" customWidth="1"/>
    <col min="11" max="11" width="17.375" style="134" customWidth="1"/>
    <col min="12" max="12" width="9.625" style="134" customWidth="1"/>
    <col min="13" max="13" width="12.875" style="134" customWidth="1"/>
    <col min="14" max="14" width="11.25" style="134" customWidth="1"/>
    <col min="15" max="15" width="13.375" style="134" customWidth="1"/>
    <col min="16" max="16" width="14.375" style="134" customWidth="1"/>
    <col min="17" max="18" width="9.625" style="134" customWidth="1"/>
    <col min="19" max="19" width="13.125" style="134" customWidth="1"/>
    <col min="20" max="21" width="9.625" style="134" customWidth="1"/>
    <col min="22" max="22" width="14.25" style="134" customWidth="1"/>
    <col min="23" max="23" width="14.875" style="134" customWidth="1"/>
    <col min="24" max="24" width="13.875" style="134" customWidth="1"/>
    <col min="25" max="31" width="9.625" style="134" customWidth="1"/>
    <col min="32" max="32" width="16.75" style="134" customWidth="1"/>
    <col min="33" max="33" width="9.625" style="134" customWidth="1"/>
    <col min="34" max="37" width="9" style="134"/>
    <col min="38" max="38" width="14.875" style="134" customWidth="1"/>
    <col min="39" max="16384" width="9" style="134"/>
  </cols>
  <sheetData>
    <row r="2" spans="1:42" s="170" customFormat="1" ht="18.75">
      <c r="A2" s="133" t="s">
        <v>2045</v>
      </c>
      <c r="B2" s="133"/>
      <c r="C2" s="133"/>
      <c r="D2" s="133"/>
      <c r="E2" s="133"/>
      <c r="F2" s="133"/>
      <c r="G2" s="133"/>
      <c r="H2" s="133"/>
      <c r="I2" s="133"/>
      <c r="J2" s="133"/>
      <c r="K2" s="133"/>
      <c r="L2" s="133"/>
      <c r="M2" s="133"/>
      <c r="N2" s="133"/>
      <c r="O2" s="133"/>
      <c r="P2" s="133"/>
      <c r="Q2" s="133"/>
      <c r="R2" s="133"/>
      <c r="S2" s="133"/>
      <c r="T2" s="133"/>
      <c r="U2" s="133"/>
      <c r="V2" s="133"/>
      <c r="W2" s="133"/>
      <c r="X2" s="133"/>
      <c r="Y2" s="133"/>
      <c r="Z2" s="133"/>
    </row>
    <row r="3" spans="1:42">
      <c r="C3" s="135"/>
      <c r="K3" s="135"/>
      <c r="R3" s="135"/>
    </row>
    <row r="4" spans="1:42">
      <c r="C4" s="136"/>
      <c r="D4" s="137"/>
      <c r="E4" s="137"/>
      <c r="F4" s="137"/>
      <c r="G4" s="138"/>
    </row>
    <row r="5" spans="1:42" ht="15.75">
      <c r="B5" s="924" t="s">
        <v>20</v>
      </c>
      <c r="C5" s="925" t="s">
        <v>2519</v>
      </c>
      <c r="H5" s="924" t="s">
        <v>20</v>
      </c>
      <c r="I5" s="925" t="s">
        <v>2519</v>
      </c>
      <c r="P5" s="741"/>
      <c r="Q5" s="741"/>
      <c r="AL5"/>
      <c r="AM5"/>
    </row>
    <row r="6" spans="1:42" ht="15.75">
      <c r="B6" s="924" t="s">
        <v>35</v>
      </c>
      <c r="C6" s="925" t="s">
        <v>35</v>
      </c>
      <c r="H6" s="924" t="s">
        <v>35</v>
      </c>
      <c r="I6" s="925" t="s">
        <v>35</v>
      </c>
      <c r="P6" s="741"/>
      <c r="Q6" s="741"/>
      <c r="AL6" s="572"/>
      <c r="AM6" s="572"/>
      <c r="AN6" s="572"/>
    </row>
    <row r="7" spans="1:42" ht="15.75">
      <c r="B7" s="866" t="s">
        <v>22</v>
      </c>
      <c r="C7" s="866" t="s">
        <v>39</v>
      </c>
      <c r="H7" s="866" t="s">
        <v>22</v>
      </c>
      <c r="I7" s="866" t="s">
        <v>716</v>
      </c>
      <c r="P7" s="741"/>
      <c r="Q7" s="741"/>
      <c r="AL7" s="572"/>
      <c r="AM7" s="572"/>
      <c r="AN7" s="572"/>
    </row>
    <row r="8" spans="1:42" ht="15.75">
      <c r="B8" s="924" t="s">
        <v>142</v>
      </c>
      <c r="C8" s="925" t="s">
        <v>1668</v>
      </c>
      <c r="H8" s="924" t="s">
        <v>142</v>
      </c>
      <c r="I8" s="925" t="s">
        <v>1668</v>
      </c>
      <c r="P8" s="741"/>
      <c r="Q8" s="741"/>
      <c r="AE8" s="200"/>
      <c r="AL8" s="572"/>
      <c r="AM8" s="572"/>
      <c r="AN8" s="572"/>
    </row>
    <row r="9" spans="1:42" s="139" customFormat="1" ht="15.75">
      <c r="B9" s="141"/>
      <c r="C9" s="134"/>
      <c r="D9" s="200" t="s">
        <v>45</v>
      </c>
      <c r="E9" s="134"/>
      <c r="F9" s="134"/>
      <c r="H9" s="572"/>
      <c r="I9" s="134"/>
      <c r="J9" s="200" t="s">
        <v>45</v>
      </c>
      <c r="K9" s="134"/>
      <c r="L9" s="134"/>
      <c r="P9" s="741"/>
      <c r="Q9" s="741"/>
      <c r="R9" s="134"/>
      <c r="S9" s="134"/>
      <c r="AE9"/>
      <c r="AF9"/>
      <c r="AG9"/>
      <c r="AH9" s="666"/>
      <c r="AI9" s="620"/>
      <c r="AJ9" s="620"/>
      <c r="AK9" s="621"/>
      <c r="AL9" s="576"/>
      <c r="AM9" s="576"/>
      <c r="AN9" s="576"/>
      <c r="AO9" s="620"/>
      <c r="AP9" s="620"/>
    </row>
    <row r="10" spans="1:42" s="139" customFormat="1" ht="15.75">
      <c r="B10" s="926" t="s">
        <v>23</v>
      </c>
      <c r="C10" s="931" t="s">
        <v>1934</v>
      </c>
      <c r="D10" s="925" t="s">
        <v>3193</v>
      </c>
      <c r="E10" s="925" t="s">
        <v>3194</v>
      </c>
      <c r="F10" s="925" t="s">
        <v>3195</v>
      </c>
      <c r="G10"/>
      <c r="H10" s="926" t="s">
        <v>1667</v>
      </c>
      <c r="I10" s="931" t="s">
        <v>1934</v>
      </c>
      <c r="J10" s="925" t="s">
        <v>3193</v>
      </c>
      <c r="K10" s="925" t="s">
        <v>3194</v>
      </c>
      <c r="L10" s="925" t="s">
        <v>3196</v>
      </c>
      <c r="P10" s="741"/>
      <c r="Q10" s="741"/>
      <c r="R10"/>
      <c r="S10"/>
      <c r="AA10" s="621"/>
      <c r="AE10"/>
      <c r="AF10"/>
      <c r="AG10"/>
      <c r="AH10" s="576"/>
      <c r="AI10" s="576"/>
      <c r="AJ10" s="576"/>
      <c r="AK10" s="621"/>
      <c r="AL10" s="576"/>
      <c r="AM10" s="576"/>
      <c r="AN10" s="576"/>
      <c r="AO10" s="576"/>
      <c r="AP10" s="576"/>
    </row>
    <row r="11" spans="1:42" ht="15.75">
      <c r="B11" s="927" t="s">
        <v>203</v>
      </c>
      <c r="C11" s="932">
        <v>8826</v>
      </c>
      <c r="D11" s="929">
        <v>0.15964196691593024</v>
      </c>
      <c r="E11" s="929">
        <v>0.35950600498527074</v>
      </c>
      <c r="F11" s="929">
        <v>0.22025832766825293</v>
      </c>
      <c r="G11"/>
      <c r="H11" s="927" t="s">
        <v>735</v>
      </c>
      <c r="I11" s="932">
        <v>365</v>
      </c>
      <c r="J11" s="929">
        <v>0</v>
      </c>
      <c r="K11" s="929">
        <v>6.02739726027397E-2</v>
      </c>
      <c r="L11" s="929">
        <v>0</v>
      </c>
      <c r="P11" s="741"/>
      <c r="Q11" s="741"/>
      <c r="R11"/>
      <c r="S11"/>
      <c r="U11" s="233"/>
      <c r="AE11"/>
      <c r="AF11"/>
      <c r="AG11"/>
      <c r="AH11"/>
      <c r="AI11"/>
      <c r="AJ11"/>
      <c r="AL11" s="572"/>
      <c r="AM11" s="572"/>
      <c r="AN11" s="572"/>
      <c r="AO11"/>
      <c r="AP11"/>
    </row>
    <row r="12" spans="1:42" ht="15.75">
      <c r="B12" s="927" t="s">
        <v>154</v>
      </c>
      <c r="C12" s="932">
        <v>2960</v>
      </c>
      <c r="D12" s="929">
        <v>0.93243243243243246</v>
      </c>
      <c r="E12" s="929">
        <v>6.6554054054054013E-2</v>
      </c>
      <c r="F12" s="929">
        <v>0</v>
      </c>
      <c r="G12"/>
      <c r="H12" s="927" t="s">
        <v>720</v>
      </c>
      <c r="I12" s="932">
        <v>5647</v>
      </c>
      <c r="J12" s="929">
        <v>0.1496369753851603</v>
      </c>
      <c r="K12" s="929">
        <v>0.23605454223481492</v>
      </c>
      <c r="L12" s="929">
        <v>5.5073490348857779E-2</v>
      </c>
      <c r="P12" s="741"/>
      <c r="Q12" s="741"/>
      <c r="R12"/>
      <c r="S12"/>
      <c r="U12" s="572"/>
      <c r="AE12"/>
      <c r="AF12"/>
      <c r="AG12"/>
      <c r="AH12"/>
      <c r="AI12"/>
      <c r="AJ12"/>
      <c r="AL12" s="572"/>
      <c r="AM12" s="572"/>
      <c r="AN12" s="572"/>
      <c r="AO12"/>
      <c r="AP12"/>
    </row>
    <row r="13" spans="1:42" ht="15.75">
      <c r="B13" s="927" t="s">
        <v>156</v>
      </c>
      <c r="C13" s="932">
        <v>3920</v>
      </c>
      <c r="D13" s="929">
        <v>0.36391156462585028</v>
      </c>
      <c r="E13" s="929">
        <v>0.1188775510204082</v>
      </c>
      <c r="F13" s="929">
        <v>3.5714285714285587E-3</v>
      </c>
      <c r="G13"/>
      <c r="H13" s="927" t="s">
        <v>723</v>
      </c>
      <c r="I13" s="932">
        <v>370</v>
      </c>
      <c r="J13" s="929">
        <v>0</v>
      </c>
      <c r="K13" s="929">
        <v>0.20270270270270274</v>
      </c>
      <c r="L13" s="929">
        <v>0</v>
      </c>
      <c r="P13" s="741"/>
      <c r="Q13" s="741"/>
      <c r="R13"/>
      <c r="S13"/>
      <c r="U13" s="572"/>
      <c r="AB13"/>
      <c r="AE13"/>
      <c r="AF13"/>
      <c r="AG13"/>
      <c r="AH13"/>
      <c r="AI13"/>
      <c r="AJ13"/>
      <c r="AL13" s="572"/>
      <c r="AM13" s="572"/>
      <c r="AN13" s="572"/>
      <c r="AO13"/>
      <c r="AP13"/>
    </row>
    <row r="14" spans="1:42" ht="15.75">
      <c r="B14" s="927" t="s">
        <v>40</v>
      </c>
      <c r="C14" s="932">
        <v>12974</v>
      </c>
      <c r="D14" s="929">
        <v>0.49213812239864341</v>
      </c>
      <c r="E14" s="929">
        <v>0.41344226915369198</v>
      </c>
      <c r="F14" s="929">
        <v>0.35756127639895174</v>
      </c>
      <c r="G14"/>
      <c r="H14" s="927" t="s">
        <v>726</v>
      </c>
      <c r="I14" s="932">
        <v>1332</v>
      </c>
      <c r="J14" s="929">
        <v>0.58483483483483489</v>
      </c>
      <c r="K14" s="929">
        <v>0</v>
      </c>
      <c r="L14" s="929">
        <v>0.58483483483483489</v>
      </c>
      <c r="P14" s="741"/>
      <c r="Q14" s="741"/>
      <c r="R14"/>
      <c r="S14"/>
      <c r="U14" s="572"/>
      <c r="AB14"/>
      <c r="AE14"/>
      <c r="AF14"/>
      <c r="AG14"/>
      <c r="AH14"/>
      <c r="AI14"/>
      <c r="AJ14"/>
      <c r="AL14" s="572"/>
      <c r="AM14" s="572"/>
      <c r="AN14" s="572"/>
      <c r="AO14"/>
      <c r="AP14"/>
    </row>
    <row r="15" spans="1:42" ht="15.75">
      <c r="B15" s="927" t="s">
        <v>160</v>
      </c>
      <c r="C15" s="932">
        <v>1462</v>
      </c>
      <c r="D15" s="929">
        <v>5.0615595075239384E-2</v>
      </c>
      <c r="E15" s="929">
        <v>0.4261285909712722</v>
      </c>
      <c r="F15" s="929">
        <v>0</v>
      </c>
      <c r="G15"/>
      <c r="H15" s="927" t="s">
        <v>717</v>
      </c>
      <c r="I15" s="932">
        <v>1972</v>
      </c>
      <c r="J15" s="929">
        <v>0.25422582826233941</v>
      </c>
      <c r="K15" s="929">
        <v>0.45638945233265715</v>
      </c>
      <c r="L15" s="929">
        <v>1.2677484787018245E-2</v>
      </c>
      <c r="P15" s="741"/>
      <c r="Q15" s="741"/>
      <c r="R15"/>
      <c r="S15"/>
      <c r="U15" s="572"/>
      <c r="AA15"/>
      <c r="AB15"/>
      <c r="AE15"/>
      <c r="AF15"/>
      <c r="AG15"/>
      <c r="AH15"/>
      <c r="AI15"/>
      <c r="AJ15"/>
      <c r="AL15" s="572"/>
      <c r="AM15" s="572"/>
      <c r="AN15" s="572"/>
      <c r="AO15"/>
      <c r="AP15"/>
    </row>
    <row r="16" spans="1:42" ht="15.75">
      <c r="B16" s="927" t="s">
        <v>165</v>
      </c>
      <c r="C16" s="932">
        <v>165</v>
      </c>
      <c r="D16" s="929">
        <v>0</v>
      </c>
      <c r="E16" s="929">
        <v>7.878787878787874E-2</v>
      </c>
      <c r="F16" s="929">
        <v>0</v>
      </c>
      <c r="G16"/>
      <c r="H16" s="927" t="s">
        <v>737</v>
      </c>
      <c r="I16" s="932">
        <v>738</v>
      </c>
      <c r="J16" s="929">
        <v>0.22222222222222221</v>
      </c>
      <c r="K16" s="929">
        <v>0.27777777777777779</v>
      </c>
      <c r="L16" s="929">
        <v>0</v>
      </c>
      <c r="P16" s="741"/>
      <c r="Q16" s="741"/>
      <c r="R16"/>
      <c r="S16"/>
      <c r="U16" s="572"/>
      <c r="AA16"/>
      <c r="AB16"/>
      <c r="AE16"/>
      <c r="AF16"/>
      <c r="AG16"/>
      <c r="AH16"/>
      <c r="AI16"/>
      <c r="AJ16"/>
      <c r="AL16" s="572"/>
      <c r="AM16" s="572"/>
      <c r="AN16" s="572"/>
      <c r="AO16"/>
      <c r="AP16"/>
    </row>
    <row r="17" spans="2:42" ht="15.75">
      <c r="B17" s="927" t="s">
        <v>213</v>
      </c>
      <c r="C17" s="932">
        <v>34426</v>
      </c>
      <c r="D17" s="929">
        <v>0.59301109626445137</v>
      </c>
      <c r="E17" s="929">
        <v>0.34929994771393713</v>
      </c>
      <c r="F17" s="929">
        <v>0.39406262708418061</v>
      </c>
      <c r="G17"/>
      <c r="H17" s="927" t="s">
        <v>1272</v>
      </c>
      <c r="I17" s="932">
        <v>95</v>
      </c>
      <c r="J17" s="929">
        <v>1</v>
      </c>
      <c r="K17" s="929">
        <v>0</v>
      </c>
      <c r="L17" s="929">
        <v>0</v>
      </c>
      <c r="P17" s="741"/>
      <c r="Q17" s="741"/>
      <c r="R17"/>
      <c r="S17"/>
      <c r="AA17"/>
      <c r="AB17"/>
      <c r="AE17"/>
      <c r="AF17"/>
      <c r="AG17"/>
      <c r="AH17"/>
      <c r="AI17"/>
      <c r="AJ17"/>
      <c r="AL17" s="572"/>
      <c r="AM17" s="572"/>
      <c r="AN17" s="572"/>
      <c r="AO17"/>
      <c r="AP17"/>
    </row>
    <row r="18" spans="2:42" ht="15.75">
      <c r="B18" s="927" t="s">
        <v>167</v>
      </c>
      <c r="C18" s="932">
        <v>9418</v>
      </c>
      <c r="D18" s="929">
        <v>4.7710058752743034E-2</v>
      </c>
      <c r="E18" s="929">
        <v>0.22839244000849435</v>
      </c>
      <c r="F18" s="929">
        <v>8.0165640263325511E-2</v>
      </c>
      <c r="G18"/>
      <c r="H18" s="927" t="s">
        <v>757</v>
      </c>
      <c r="I18" s="932">
        <v>1927</v>
      </c>
      <c r="J18" s="929">
        <v>1</v>
      </c>
      <c r="K18" s="929">
        <v>0.48105864037363777</v>
      </c>
      <c r="L18" s="929">
        <v>1</v>
      </c>
      <c r="P18" s="741"/>
      <c r="Q18" s="741"/>
      <c r="R18"/>
      <c r="S18"/>
      <c r="AA18"/>
      <c r="AB18"/>
      <c r="AE18"/>
      <c r="AF18"/>
      <c r="AG18"/>
      <c r="AL18" s="572"/>
      <c r="AM18" s="572"/>
      <c r="AN18" s="572"/>
      <c r="AO18"/>
      <c r="AP18"/>
    </row>
    <row r="19" spans="2:42" ht="15.75">
      <c r="B19" s="927" t="s">
        <v>181</v>
      </c>
      <c r="C19" s="932">
        <v>289</v>
      </c>
      <c r="D19" s="929">
        <v>0</v>
      </c>
      <c r="E19" s="929">
        <v>0.86159169550173009</v>
      </c>
      <c r="F19" s="929">
        <v>0</v>
      </c>
      <c r="G19"/>
      <c r="H19" s="927" t="s">
        <v>1290</v>
      </c>
      <c r="I19" s="932">
        <v>53</v>
      </c>
      <c r="J19" s="929">
        <v>1</v>
      </c>
      <c r="K19" s="929">
        <v>1</v>
      </c>
      <c r="L19" s="929">
        <v>0</v>
      </c>
      <c r="P19" s="741"/>
      <c r="Q19" s="741"/>
      <c r="R19"/>
      <c r="S19"/>
      <c r="AA19"/>
      <c r="AB19"/>
      <c r="AE19"/>
      <c r="AF19"/>
      <c r="AG19"/>
      <c r="AL19"/>
      <c r="AM19"/>
    </row>
    <row r="20" spans="2:42" ht="15.75">
      <c r="B20" s="927" t="s">
        <v>222</v>
      </c>
      <c r="C20" s="932">
        <v>1864</v>
      </c>
      <c r="D20" s="929">
        <v>0</v>
      </c>
      <c r="E20" s="929">
        <v>4.238197424892709E-2</v>
      </c>
      <c r="F20" s="929">
        <v>4.5064377682403456E-2</v>
      </c>
      <c r="G20"/>
      <c r="H20" s="927" t="s">
        <v>1669</v>
      </c>
      <c r="I20" s="932">
        <v>12499</v>
      </c>
      <c r="J20" s="929">
        <v>0.34917460063471739</v>
      </c>
      <c r="K20" s="929">
        <v>0.281222497799824</v>
      </c>
      <c r="L20" s="929">
        <v>0.24337947035762864</v>
      </c>
      <c r="P20" s="741"/>
      <c r="Q20" s="741"/>
      <c r="R20"/>
      <c r="S20"/>
      <c r="T20"/>
      <c r="AA20"/>
      <c r="AB20"/>
      <c r="AE20"/>
      <c r="AF20"/>
      <c r="AG20"/>
      <c r="AL20"/>
      <c r="AM20"/>
    </row>
    <row r="21" spans="2:42" ht="15.75">
      <c r="B21" s="927" t="s">
        <v>192</v>
      </c>
      <c r="C21" s="932">
        <v>872</v>
      </c>
      <c r="D21" s="929">
        <v>1</v>
      </c>
      <c r="E21" s="929">
        <v>0</v>
      </c>
      <c r="F21" s="929">
        <v>0</v>
      </c>
      <c r="G21"/>
      <c r="L21"/>
      <c r="P21" s="741"/>
      <c r="Q21" s="741"/>
      <c r="R21"/>
      <c r="S21"/>
      <c r="T21"/>
      <c r="U21"/>
      <c r="AA21"/>
      <c r="AB21"/>
      <c r="AE21"/>
      <c r="AF21"/>
      <c r="AG21"/>
      <c r="AL21"/>
      <c r="AM21"/>
    </row>
    <row r="22" spans="2:42" ht="15.75">
      <c r="B22" s="927" t="s">
        <v>150</v>
      </c>
      <c r="C22" s="932">
        <v>27149</v>
      </c>
      <c r="D22" s="929">
        <v>0.35547042862229428</v>
      </c>
      <c r="E22" s="929">
        <v>0.40955467973037685</v>
      </c>
      <c r="F22" s="929">
        <v>0.50208110795977756</v>
      </c>
      <c r="G22"/>
      <c r="H22" s="924" t="s">
        <v>20</v>
      </c>
      <c r="I22" s="925" t="s">
        <v>2519</v>
      </c>
      <c r="P22" s="741"/>
      <c r="Q22" s="741"/>
      <c r="R22" s="572"/>
      <c r="AA22"/>
      <c r="AB22"/>
      <c r="AE22"/>
      <c r="AF22"/>
      <c r="AG22"/>
      <c r="AL22"/>
      <c r="AM22"/>
    </row>
    <row r="23" spans="2:42" ht="15.75">
      <c r="B23" s="927" t="s">
        <v>1669</v>
      </c>
      <c r="C23" s="932">
        <v>104325</v>
      </c>
      <c r="D23" s="929">
        <v>0.41640578320952171</v>
      </c>
      <c r="E23" s="929">
        <v>0.3398897675533189</v>
      </c>
      <c r="F23" s="929">
        <v>0.33197220225257607</v>
      </c>
      <c r="G23"/>
      <c r="H23" s="924" t="s">
        <v>35</v>
      </c>
      <c r="I23" s="925" t="s">
        <v>35</v>
      </c>
      <c r="P23" s="741"/>
      <c r="Q23" s="741"/>
      <c r="R23" s="572"/>
      <c r="AA23"/>
      <c r="AB23"/>
      <c r="AF23"/>
      <c r="AG23"/>
      <c r="AL23"/>
      <c r="AM23"/>
    </row>
    <row r="24" spans="2:42" ht="15.75">
      <c r="H24" s="866" t="s">
        <v>22</v>
      </c>
      <c r="I24" s="866" t="s">
        <v>716</v>
      </c>
      <c r="P24" s="741"/>
      <c r="Q24" s="741"/>
      <c r="R24" s="572"/>
      <c r="AF24"/>
      <c r="AG24"/>
      <c r="AL24"/>
      <c r="AM24"/>
    </row>
    <row r="25" spans="2:42" ht="15.75">
      <c r="F25" s="572"/>
      <c r="H25" s="924" t="s">
        <v>142</v>
      </c>
      <c r="I25" s="925" t="s">
        <v>812</v>
      </c>
      <c r="P25" s="741"/>
      <c r="Q25" s="741"/>
      <c r="R25" s="572"/>
      <c r="S25" s="200"/>
      <c r="AA25" s="620"/>
      <c r="AB25" s="620"/>
      <c r="AE25" s="620"/>
      <c r="AF25" s="576"/>
      <c r="AG25" s="576"/>
      <c r="AH25" s="620"/>
      <c r="AI25" s="620"/>
      <c r="AJ25" s="620"/>
      <c r="AK25" s="620"/>
      <c r="AL25" s="576"/>
      <c r="AM25" s="576"/>
      <c r="AN25" s="620"/>
      <c r="AO25" s="620"/>
      <c r="AP25" s="620"/>
    </row>
    <row r="26" spans="2:42" ht="15.75">
      <c r="F26" s="572"/>
      <c r="H26" s="576"/>
      <c r="I26" s="620"/>
      <c r="J26" s="666" t="s">
        <v>812</v>
      </c>
      <c r="K26" s="620"/>
      <c r="L26" s="620"/>
      <c r="P26" s="741"/>
      <c r="Q26" s="741"/>
      <c r="R26" s="576"/>
      <c r="S26" s="576"/>
      <c r="T26" s="576"/>
      <c r="U26" s="576"/>
      <c r="AA26" s="620"/>
      <c r="AB26" s="620"/>
      <c r="AC26" s="576"/>
      <c r="AD26" s="576"/>
      <c r="AE26" s="620"/>
      <c r="AF26" s="576"/>
      <c r="AG26" s="576"/>
      <c r="AH26" s="620"/>
      <c r="AI26" s="620"/>
      <c r="AJ26" s="620"/>
      <c r="AK26" s="620"/>
      <c r="AL26" s="576"/>
      <c r="AM26" s="576"/>
      <c r="AN26" s="620"/>
      <c r="AO26" s="620"/>
      <c r="AP26" s="620"/>
    </row>
    <row r="27" spans="2:42" ht="15.75">
      <c r="C27" s="613"/>
      <c r="D27" s="613"/>
      <c r="F27" s="572"/>
      <c r="H27" s="926" t="s">
        <v>1667</v>
      </c>
      <c r="I27" s="931" t="s">
        <v>1934</v>
      </c>
      <c r="J27" s="925" t="s">
        <v>3193</v>
      </c>
      <c r="K27" s="925" t="s">
        <v>3194</v>
      </c>
      <c r="L27" s="925" t="s">
        <v>3195</v>
      </c>
      <c r="P27" s="741"/>
      <c r="Q27" s="741"/>
      <c r="R27" s="572"/>
      <c r="S27"/>
      <c r="T27"/>
      <c r="U27"/>
      <c r="AC27"/>
      <c r="AD27"/>
      <c r="AF27" s="572"/>
      <c r="AG27" s="572"/>
      <c r="AL27" s="572"/>
      <c r="AM27" s="572"/>
    </row>
    <row r="28" spans="2:42" ht="15.75">
      <c r="C28" s="613"/>
      <c r="D28" s="613"/>
      <c r="F28" s="572"/>
      <c r="H28" s="927" t="s">
        <v>1274</v>
      </c>
      <c r="I28" s="932">
        <v>4171</v>
      </c>
      <c r="J28" s="929">
        <v>0.77007911771757376</v>
      </c>
      <c r="K28" s="929">
        <v>0.1946775353632223</v>
      </c>
      <c r="L28" s="929">
        <v>0</v>
      </c>
      <c r="P28" s="741"/>
      <c r="Q28" s="741"/>
      <c r="R28" s="576"/>
      <c r="S28" s="576"/>
      <c r="T28" s="576"/>
      <c r="U28" s="576"/>
      <c r="AA28" s="620"/>
      <c r="AB28" s="620"/>
      <c r="AC28" s="576"/>
      <c r="AD28" s="576"/>
      <c r="AE28" s="620"/>
      <c r="AF28" s="576"/>
      <c r="AG28" s="576"/>
      <c r="AH28" s="620"/>
      <c r="AI28" s="620"/>
      <c r="AJ28" s="620"/>
      <c r="AK28" s="620"/>
      <c r="AL28" s="576"/>
      <c r="AM28" s="576"/>
      <c r="AN28" s="620"/>
      <c r="AO28" s="620"/>
      <c r="AP28" s="620"/>
    </row>
    <row r="29" spans="2:42" ht="15.75">
      <c r="F29" s="572"/>
      <c r="H29" s="927" t="s">
        <v>1669</v>
      </c>
      <c r="I29" s="932">
        <v>4171</v>
      </c>
      <c r="J29" s="929">
        <v>0.77007911771757376</v>
      </c>
      <c r="K29" s="929">
        <v>0.1946775353632223</v>
      </c>
      <c r="L29" s="929">
        <v>0</v>
      </c>
      <c r="P29" s="741"/>
      <c r="Q29" s="741"/>
      <c r="R29" s="572"/>
      <c r="S29"/>
      <c r="T29"/>
      <c r="U29"/>
      <c r="AC29"/>
      <c r="AD29"/>
      <c r="AF29" s="572"/>
      <c r="AG29" s="572"/>
      <c r="AL29" s="572"/>
      <c r="AM29" s="572"/>
    </row>
    <row r="30" spans="2:42" ht="15.75">
      <c r="C30" s="613"/>
      <c r="D30" s="613"/>
      <c r="F30" s="572"/>
      <c r="H30"/>
      <c r="I30"/>
      <c r="J30"/>
      <c r="K30"/>
      <c r="L30"/>
      <c r="P30" s="741"/>
      <c r="Q30" s="741"/>
      <c r="R30" s="572"/>
      <c r="S30"/>
      <c r="T30"/>
      <c r="U30"/>
      <c r="AC30"/>
      <c r="AD30"/>
      <c r="AF30"/>
      <c r="AG30"/>
      <c r="AL30"/>
      <c r="AM30"/>
    </row>
    <row r="31" spans="2:42" ht="15.75">
      <c r="C31" s="572"/>
      <c r="E31" s="200"/>
      <c r="H31" s="741"/>
      <c r="I31" s="741"/>
      <c r="J31" s="741"/>
      <c r="K31" s="741"/>
      <c r="L31" s="741"/>
      <c r="M31" s="741"/>
      <c r="N31" s="741"/>
      <c r="O31" s="741"/>
      <c r="P31" s="741"/>
      <c r="Q31" s="741"/>
      <c r="R31" s="572"/>
      <c r="S31"/>
      <c r="T31"/>
      <c r="U31"/>
      <c r="AC31"/>
      <c r="AD31"/>
      <c r="AF31"/>
      <c r="AG31"/>
      <c r="AL31"/>
      <c r="AM31"/>
    </row>
    <row r="32" spans="2:42" ht="15.75">
      <c r="C32"/>
      <c r="D32"/>
      <c r="E32"/>
      <c r="F32"/>
      <c r="G32"/>
      <c r="H32"/>
      <c r="I32"/>
      <c r="J32"/>
      <c r="K32"/>
      <c r="L32"/>
      <c r="M32"/>
      <c r="N32"/>
      <c r="Q32"/>
      <c r="R32" s="572"/>
      <c r="S32" s="572"/>
      <c r="T32" s="572"/>
      <c r="U32" s="572"/>
      <c r="AC32"/>
      <c r="AD32"/>
      <c r="AF32" s="572"/>
      <c r="AG32" s="572"/>
      <c r="AL32" s="572"/>
      <c r="AM32" s="572"/>
    </row>
    <row r="33" spans="1:39" s="153" customFormat="1" ht="18.75">
      <c r="A33" s="728"/>
      <c r="B33" s="729"/>
      <c r="C33" s="729"/>
      <c r="D33" s="729"/>
      <c r="E33" s="729"/>
      <c r="F33" s="729"/>
      <c r="G33" s="729"/>
      <c r="H33" s="730"/>
      <c r="I33" s="731"/>
      <c r="J33" s="732"/>
      <c r="K33" s="732"/>
      <c r="L33" s="732"/>
      <c r="M33" s="729"/>
      <c r="N33" s="729"/>
      <c r="O33" s="729"/>
      <c r="P33" s="729"/>
      <c r="Q33" s="729"/>
      <c r="R33" s="729"/>
      <c r="S33" s="729"/>
      <c r="T33" s="729"/>
      <c r="U33" s="729"/>
      <c r="V33" s="729"/>
      <c r="W33" s="729"/>
      <c r="X33" s="729"/>
      <c r="Y33" s="729"/>
      <c r="Z33" s="729"/>
      <c r="AC33" s="579"/>
      <c r="AF33" s="579"/>
      <c r="AL33" s="579"/>
      <c r="AM33" s="579"/>
    </row>
    <row r="34" spans="1:39" s="153" customFormat="1" ht="18.75">
      <c r="A34" s="728"/>
      <c r="B34" s="729"/>
      <c r="C34" s="729"/>
      <c r="D34" s="729"/>
      <c r="E34" s="729"/>
      <c r="F34" s="729"/>
      <c r="G34" s="729"/>
      <c r="H34" s="730"/>
      <c r="I34" s="731"/>
      <c r="J34" s="732"/>
      <c r="K34" s="732"/>
      <c r="L34" s="732"/>
      <c r="M34" s="729"/>
      <c r="N34" s="729"/>
      <c r="O34" s="729"/>
      <c r="P34" s="729"/>
      <c r="Q34" s="729"/>
      <c r="R34" s="729"/>
      <c r="S34" s="729"/>
      <c r="T34" s="729"/>
      <c r="U34" s="729"/>
      <c r="V34" s="729"/>
      <c r="W34" s="729"/>
      <c r="X34" s="729"/>
      <c r="Y34" s="729"/>
      <c r="Z34" s="729"/>
      <c r="AC34" s="579"/>
      <c r="AF34" s="579"/>
      <c r="AL34" s="579"/>
      <c r="AM34" s="579"/>
    </row>
    <row r="35" spans="1:39" ht="18.75">
      <c r="A35" s="195" t="s">
        <v>2054</v>
      </c>
      <c r="B35" s="142"/>
      <c r="C35" s="142"/>
      <c r="D35" s="142"/>
      <c r="E35" s="142"/>
      <c r="F35" s="142"/>
      <c r="G35" s="142"/>
      <c r="H35" s="725"/>
      <c r="I35" s="726"/>
      <c r="J35" s="727"/>
      <c r="K35" s="727"/>
      <c r="L35" s="727"/>
      <c r="M35" s="142"/>
      <c r="N35" s="142"/>
      <c r="O35" s="142"/>
      <c r="P35" s="142"/>
      <c r="Q35" s="142"/>
      <c r="R35" s="142"/>
      <c r="S35" s="142"/>
      <c r="T35" s="142"/>
      <c r="U35" s="142"/>
      <c r="V35" s="142"/>
      <c r="W35" s="142"/>
      <c r="X35" s="142"/>
      <c r="Y35" s="142"/>
      <c r="Z35" s="142"/>
      <c r="AC35" s="572"/>
      <c r="AF35" s="572"/>
      <c r="AL35" s="572"/>
      <c r="AM35" s="572"/>
    </row>
    <row r="36" spans="1:39" ht="15.75">
      <c r="AC36"/>
      <c r="AF36"/>
      <c r="AL36"/>
      <c r="AM36"/>
    </row>
    <row r="37" spans="1:39" ht="15.75">
      <c r="AC37"/>
      <c r="AL37"/>
      <c r="AM37"/>
    </row>
    <row r="38" spans="1:39" ht="15.75">
      <c r="AC38"/>
      <c r="AL38"/>
    </row>
    <row r="39" spans="1:39" ht="15.75">
      <c r="B39" s="924" t="s">
        <v>20</v>
      </c>
      <c r="C39" s="925" t="s">
        <v>2519</v>
      </c>
      <c r="I39" s="924" t="s">
        <v>20</v>
      </c>
      <c r="J39" s="925" t="s">
        <v>2519</v>
      </c>
      <c r="AC39"/>
      <c r="AL39"/>
    </row>
    <row r="40" spans="1:39" ht="15.75">
      <c r="B40" s="866" t="s">
        <v>22</v>
      </c>
      <c r="C40" s="866" t="s">
        <v>39</v>
      </c>
      <c r="I40" s="866" t="s">
        <v>22</v>
      </c>
      <c r="J40" s="925" t="s">
        <v>716</v>
      </c>
      <c r="AC40"/>
      <c r="AL40"/>
    </row>
    <row r="41" spans="1:39" ht="15.75">
      <c r="B41" s="924" t="s">
        <v>35</v>
      </c>
      <c r="C41" s="925" t="s">
        <v>35</v>
      </c>
      <c r="I41" s="924" t="s">
        <v>35</v>
      </c>
      <c r="J41" s="925" t="s">
        <v>35</v>
      </c>
      <c r="AC41"/>
      <c r="AL41"/>
    </row>
    <row r="42" spans="1:39" ht="15.75">
      <c r="B42" s="924" t="s">
        <v>142</v>
      </c>
      <c r="C42" s="925" t="s">
        <v>1668</v>
      </c>
      <c r="I42" s="924" t="s">
        <v>142</v>
      </c>
      <c r="J42" s="925" t="s">
        <v>1668</v>
      </c>
      <c r="AL42"/>
    </row>
    <row r="43" spans="1:39" ht="15.75">
      <c r="AL43"/>
    </row>
    <row r="44" spans="1:39" ht="15.75">
      <c r="B44" s="926" t="s">
        <v>1667</v>
      </c>
      <c r="C44" s="931" t="s">
        <v>1679</v>
      </c>
      <c r="D44" s="931" t="s">
        <v>1680</v>
      </c>
      <c r="E44" s="141"/>
      <c r="I44" s="926" t="s">
        <v>1667</v>
      </c>
      <c r="J44" s="931" t="s">
        <v>1679</v>
      </c>
      <c r="K44" s="931" t="s">
        <v>1680</v>
      </c>
      <c r="AL44"/>
    </row>
    <row r="45" spans="1:39">
      <c r="B45" s="927" t="s">
        <v>3014</v>
      </c>
      <c r="C45" s="933">
        <v>78.110933333333335</v>
      </c>
      <c r="D45" s="933">
        <v>78.433066666666647</v>
      </c>
      <c r="E45" s="141"/>
      <c r="I45" s="927" t="s">
        <v>3014</v>
      </c>
      <c r="J45" s="933">
        <v>16.269333333333336</v>
      </c>
      <c r="K45" s="933">
        <v>27.696666666666669</v>
      </c>
    </row>
    <row r="46" spans="1:39" ht="15.75">
      <c r="B46" s="927" t="s">
        <v>3015</v>
      </c>
      <c r="C46" s="933">
        <v>43.655999999999992</v>
      </c>
      <c r="D46" s="933">
        <v>61.124000000000002</v>
      </c>
      <c r="E46" s="141"/>
      <c r="I46"/>
      <c r="J46"/>
      <c r="K46"/>
      <c r="P46"/>
      <c r="Q46"/>
      <c r="R46"/>
    </row>
    <row r="47" spans="1:39" ht="15.75">
      <c r="B47"/>
      <c r="C47"/>
      <c r="D47"/>
      <c r="E47" s="141"/>
      <c r="F47" s="141"/>
      <c r="G47" s="141"/>
      <c r="H47" s="141"/>
      <c r="I47"/>
      <c r="J47"/>
      <c r="K47"/>
    </row>
    <row r="48" spans="1:39" ht="15.75">
      <c r="F48" s="141"/>
      <c r="G48" s="141"/>
      <c r="H48" s="141"/>
      <c r="I48"/>
      <c r="J48"/>
      <c r="K48"/>
    </row>
    <row r="52" spans="2:39">
      <c r="B52" s="141"/>
      <c r="C52" s="141"/>
      <c r="D52" s="141"/>
      <c r="F52" s="871"/>
      <c r="G52" s="141"/>
      <c r="H52" s="141"/>
      <c r="J52" s="141"/>
      <c r="K52" s="141"/>
      <c r="L52" s="141"/>
    </row>
    <row r="53" spans="2:39">
      <c r="B53" s="141"/>
      <c r="C53" s="141"/>
      <c r="D53" s="141"/>
      <c r="F53" s="141"/>
      <c r="G53" s="141"/>
      <c r="H53" s="141"/>
      <c r="J53" s="141"/>
      <c r="K53" s="141"/>
      <c r="L53" s="141"/>
    </row>
    <row r="54" spans="2:39">
      <c r="B54" s="924" t="s">
        <v>20</v>
      </c>
      <c r="C54" s="925" t="s">
        <v>2519</v>
      </c>
      <c r="D54" s="141"/>
      <c r="E54" s="239" t="s">
        <v>2297</v>
      </c>
      <c r="F54" s="141"/>
      <c r="G54" s="141"/>
      <c r="P54" s="924" t="s">
        <v>20</v>
      </c>
      <c r="Q54" s="925" t="s">
        <v>2519</v>
      </c>
      <c r="R54" s="141"/>
      <c r="S54" s="239" t="s">
        <v>2297</v>
      </c>
      <c r="T54" s="141"/>
    </row>
    <row r="55" spans="2:39">
      <c r="B55" s="924" t="s">
        <v>35</v>
      </c>
      <c r="C55" s="925" t="s">
        <v>35</v>
      </c>
      <c r="D55" s="141"/>
      <c r="F55" s="141"/>
      <c r="G55" s="141"/>
      <c r="P55" s="924" t="s">
        <v>35</v>
      </c>
      <c r="Q55" s="925" t="s">
        <v>35</v>
      </c>
      <c r="R55" s="141"/>
      <c r="T55" s="141"/>
    </row>
    <row r="56" spans="2:39">
      <c r="B56" s="924" t="s">
        <v>142</v>
      </c>
      <c r="C56" s="925" t="s">
        <v>1668</v>
      </c>
      <c r="D56" s="141"/>
      <c r="F56" s="141"/>
      <c r="G56" s="141"/>
      <c r="P56" s="924" t="s">
        <v>142</v>
      </c>
      <c r="Q56" s="925" t="s">
        <v>1668</v>
      </c>
      <c r="R56" s="141"/>
      <c r="T56" s="141"/>
    </row>
    <row r="57" spans="2:39" ht="15.75" thickBot="1">
      <c r="B57" s="141"/>
      <c r="C57" s="141"/>
      <c r="D57" s="141"/>
      <c r="F57" s="141"/>
      <c r="G57" s="141"/>
      <c r="P57" s="141"/>
      <c r="Q57" s="141"/>
      <c r="R57" s="141"/>
      <c r="S57" s="994" t="s">
        <v>146</v>
      </c>
      <c r="T57" s="995"/>
      <c r="W57" s="996" t="s">
        <v>3296</v>
      </c>
      <c r="X57" s="997"/>
    </row>
    <row r="58" spans="2:39" ht="30.75" thickBot="1">
      <c r="B58" s="926" t="s">
        <v>22</v>
      </c>
      <c r="C58" s="931" t="s">
        <v>1929</v>
      </c>
      <c r="D58" s="925" t="s">
        <v>3247</v>
      </c>
      <c r="E58" s="925" t="s">
        <v>3246</v>
      </c>
      <c r="F58" s="925" t="s">
        <v>3251</v>
      </c>
      <c r="G58" s="141"/>
      <c r="H58" s="819" t="s">
        <v>22</v>
      </c>
      <c r="I58" s="720" t="s">
        <v>1929</v>
      </c>
      <c r="J58" s="721" t="s">
        <v>1978</v>
      </c>
      <c r="K58" s="721" t="s">
        <v>1977</v>
      </c>
      <c r="L58" s="721" t="s">
        <v>3252</v>
      </c>
      <c r="M58" s="722" t="s">
        <v>3253</v>
      </c>
      <c r="P58" s="926" t="s">
        <v>22</v>
      </c>
      <c r="Q58" s="931" t="s">
        <v>1929</v>
      </c>
      <c r="R58" s="925" t="s">
        <v>3249</v>
      </c>
      <c r="S58" s="925" t="s">
        <v>3248</v>
      </c>
      <c r="T58" s="925" t="s">
        <v>3250</v>
      </c>
      <c r="U58" s="620"/>
      <c r="V58" s="819" t="s">
        <v>22</v>
      </c>
      <c r="W58" s="720" t="s">
        <v>1929</v>
      </c>
      <c r="X58" s="721" t="s">
        <v>1978</v>
      </c>
      <c r="Y58" s="721" t="s">
        <v>3254</v>
      </c>
      <c r="Z58" s="721" t="s">
        <v>3255</v>
      </c>
      <c r="AA58" s="722" t="s">
        <v>3256</v>
      </c>
      <c r="AB58" s="620"/>
      <c r="AC58" s="620"/>
      <c r="AD58" s="620"/>
      <c r="AE58" s="620"/>
      <c r="AF58" s="620"/>
      <c r="AG58" s="620"/>
      <c r="AH58" s="620"/>
      <c r="AI58" s="620"/>
      <c r="AJ58" s="620"/>
      <c r="AK58" s="620"/>
      <c r="AL58" s="620"/>
      <c r="AM58" s="620"/>
    </row>
    <row r="59" spans="2:39">
      <c r="B59" s="927" t="s">
        <v>39</v>
      </c>
      <c r="C59" s="928">
        <v>135</v>
      </c>
      <c r="D59" s="928">
        <v>15</v>
      </c>
      <c r="E59" s="928">
        <v>47</v>
      </c>
      <c r="F59" s="928">
        <v>37</v>
      </c>
      <c r="G59" s="141"/>
      <c r="H59" s="164" t="s">
        <v>39</v>
      </c>
      <c r="I59" s="723">
        <f>GETPIVOTDATA("Count of Site Name",$B$58,"State","Kachin")</f>
        <v>135</v>
      </c>
      <c r="J59" s="723">
        <f>GETPIVOTDATA("Count of #_Water sources tested for contamination",$B$58,"State","Kachin")</f>
        <v>15</v>
      </c>
      <c r="K59" s="820">
        <f>I59-J59</f>
        <v>120</v>
      </c>
      <c r="L59" s="723">
        <f>GETPIVOTDATA("Sum of #_Water sources tested for contamination2",$B$58,"State","Kachin")</f>
        <v>47</v>
      </c>
      <c r="M59" s="723">
        <f>GETPIVOTDATA("Sum of #_Water sources treated",$B$58,"State","Kachin")</f>
        <v>37</v>
      </c>
      <c r="P59" s="927" t="s">
        <v>39</v>
      </c>
      <c r="Q59" s="928">
        <v>135</v>
      </c>
      <c r="R59" s="928">
        <v>17</v>
      </c>
      <c r="S59" s="928">
        <v>700</v>
      </c>
      <c r="T59" s="928">
        <v>400</v>
      </c>
      <c r="V59" s="164" t="s">
        <v>39</v>
      </c>
      <c r="W59" s="723">
        <f>GETPIVOTDATA("Count of Site Name",$P$58,"State","Kachin")</f>
        <v>135</v>
      </c>
      <c r="X59" s="723">
        <f>GETPIVOTDATA("Count of #_Household water samples tested for contamination",$P$58,"State","Kachin")</f>
        <v>17</v>
      </c>
      <c r="Y59" s="723">
        <f>W59-X59</f>
        <v>118</v>
      </c>
      <c r="Z59" s="723">
        <f>GETPIVOTDATA("Sum of #_Household water samples tested for contamination2",$P$58,"State","Kachin")</f>
        <v>700</v>
      </c>
      <c r="AA59" s="723">
        <f>GETPIVOTDATA("Sum of #_Household received remediation action due to contamination",$P$58,"State","Kachin")</f>
        <v>400</v>
      </c>
    </row>
    <row r="60" spans="2:39">
      <c r="B60" s="927" t="s">
        <v>716</v>
      </c>
      <c r="C60" s="928">
        <v>39</v>
      </c>
      <c r="D60" s="928">
        <v>21</v>
      </c>
      <c r="E60" s="928">
        <v>23</v>
      </c>
      <c r="F60" s="928"/>
      <c r="G60" s="141"/>
      <c r="H60" s="165" t="s">
        <v>716</v>
      </c>
      <c r="I60" s="724">
        <f>GETPIVOTDATA("Count of Site Name",$B$58,"State","Shan (North)")</f>
        <v>39</v>
      </c>
      <c r="J60" s="724">
        <f>GETPIVOTDATA("Count of #_Water sources tested for contamination",$B$58,"State","Shan (North)")</f>
        <v>21</v>
      </c>
      <c r="K60" s="820">
        <f t="shared" ref="K60:K62" si="0">I60-J60</f>
        <v>18</v>
      </c>
      <c r="L60" s="724">
        <f>GETPIVOTDATA("Sum of #_Water sources tested for contamination2",$B$58,"State","Shan (North)")</f>
        <v>23</v>
      </c>
      <c r="M60" s="817">
        <f>GETPIVOTDATA("Sum of #_Water sources treated",$B$58,"State","Shan (North)")</f>
        <v>0</v>
      </c>
      <c r="P60" s="927" t="s">
        <v>716</v>
      </c>
      <c r="Q60" s="928">
        <v>36</v>
      </c>
      <c r="R60" s="928">
        <v>16</v>
      </c>
      <c r="S60" s="928">
        <v>274</v>
      </c>
      <c r="T60" s="928"/>
      <c r="V60" s="165" t="s">
        <v>716</v>
      </c>
      <c r="W60" s="724">
        <f>GETPIVOTDATA("Count of Site Name",$P$58,"State","Shan (North)")</f>
        <v>36</v>
      </c>
      <c r="X60" s="724">
        <f>GETPIVOTDATA("Count of #_Household water samples tested for contamination",$P$58,"State","Shan (North)")</f>
        <v>16</v>
      </c>
      <c r="Y60" s="723">
        <f t="shared" ref="Y60" si="1">W60-X60</f>
        <v>20</v>
      </c>
      <c r="Z60" s="724">
        <f>GETPIVOTDATA("Sum of #_Household water samples tested for contamination2",$P$58,"State","Shan (North)")</f>
        <v>274</v>
      </c>
      <c r="AA60" s="817">
        <f>GETPIVOTDATA("Sum of #_Household received remediation action due to contamination",$P$58,"State","Shan (North)")</f>
        <v>0</v>
      </c>
    </row>
    <row r="61" spans="2:39" ht="15.75" thickBot="1">
      <c r="B61" s="927" t="s">
        <v>1669</v>
      </c>
      <c r="C61" s="928">
        <v>174</v>
      </c>
      <c r="D61" s="928">
        <v>36</v>
      </c>
      <c r="E61" s="928">
        <v>70</v>
      </c>
      <c r="F61" s="928">
        <v>37</v>
      </c>
      <c r="G61" s="141"/>
      <c r="H61" s="164"/>
      <c r="I61" s="723"/>
      <c r="J61" s="723"/>
      <c r="K61" s="820"/>
      <c r="L61" s="723"/>
      <c r="M61" s="723"/>
      <c r="P61" s="927" t="s">
        <v>1669</v>
      </c>
      <c r="Q61" s="928">
        <v>171</v>
      </c>
      <c r="R61" s="928">
        <v>33</v>
      </c>
      <c r="S61" s="928">
        <v>974</v>
      </c>
      <c r="T61" s="928">
        <v>400</v>
      </c>
      <c r="V61" s="164"/>
      <c r="W61" s="723"/>
      <c r="X61" s="723"/>
      <c r="Y61" s="723"/>
      <c r="Z61" s="723"/>
      <c r="AA61" s="723"/>
    </row>
    <row r="62" spans="2:39" ht="16.5" thickBot="1">
      <c r="B62"/>
      <c r="C62"/>
      <c r="D62"/>
      <c r="E62"/>
      <c r="F62"/>
      <c r="H62" s="719" t="s">
        <v>1669</v>
      </c>
      <c r="I62" s="818">
        <f>SUM(I59:I61)</f>
        <v>174</v>
      </c>
      <c r="J62" s="818">
        <f>SUM(J59:J61)</f>
        <v>36</v>
      </c>
      <c r="K62" s="820">
        <f t="shared" si="0"/>
        <v>138</v>
      </c>
      <c r="L62" s="818">
        <f t="shared" ref="L62:M62" si="2">SUM(L59:L61)</f>
        <v>70</v>
      </c>
      <c r="M62" s="818">
        <f t="shared" si="2"/>
        <v>37</v>
      </c>
      <c r="P62"/>
      <c r="Q62"/>
      <c r="R62"/>
      <c r="S62"/>
      <c r="T62"/>
    </row>
    <row r="63" spans="2:39">
      <c r="B63" s="141"/>
      <c r="C63" s="141"/>
      <c r="D63" s="141"/>
    </row>
    <row r="64" spans="2:39">
      <c r="B64" s="924" t="s">
        <v>20</v>
      </c>
      <c r="C64" s="925" t="s">
        <v>2519</v>
      </c>
      <c r="D64" s="141"/>
    </row>
    <row r="65" spans="2:7">
      <c r="B65" s="924" t="s">
        <v>35</v>
      </c>
      <c r="C65" s="925" t="s">
        <v>35</v>
      </c>
      <c r="D65" s="141"/>
      <c r="E65" s="239" t="s">
        <v>2297</v>
      </c>
    </row>
    <row r="66" spans="2:7">
      <c r="B66" s="924" t="s">
        <v>142</v>
      </c>
      <c r="C66" s="925" t="s">
        <v>1668</v>
      </c>
      <c r="D66" s="141"/>
    </row>
    <row r="67" spans="2:7">
      <c r="B67" s="141"/>
      <c r="C67" s="141"/>
      <c r="D67" s="141"/>
    </row>
    <row r="68" spans="2:7">
      <c r="B68" s="924" t="s">
        <v>3018</v>
      </c>
      <c r="C68" s="924" t="s">
        <v>1994</v>
      </c>
      <c r="D68" s="925"/>
    </row>
    <row r="69" spans="2:7">
      <c r="B69" s="926" t="s">
        <v>22</v>
      </c>
      <c r="C69" s="925" t="s">
        <v>1977</v>
      </c>
      <c r="D69" s="925" t="s">
        <v>1978</v>
      </c>
    </row>
    <row r="70" spans="2:7">
      <c r="B70" s="927" t="s">
        <v>39</v>
      </c>
      <c r="C70" s="928">
        <v>116</v>
      </c>
      <c r="D70" s="928">
        <v>19</v>
      </c>
    </row>
    <row r="71" spans="2:7">
      <c r="B71" s="927" t="s">
        <v>716</v>
      </c>
      <c r="C71" s="928">
        <v>15</v>
      </c>
      <c r="D71" s="928">
        <v>21</v>
      </c>
    </row>
    <row r="72" spans="2:7" ht="15.75">
      <c r="B72"/>
      <c r="C72"/>
      <c r="D72"/>
    </row>
    <row r="73" spans="2:7" ht="15.75" thickBot="1">
      <c r="B73" s="141"/>
      <c r="C73" s="141"/>
      <c r="D73" s="141"/>
    </row>
    <row r="74" spans="2:7">
      <c r="B74" s="144"/>
      <c r="C74" s="147" t="s">
        <v>1977</v>
      </c>
      <c r="D74" s="148" t="s">
        <v>1978</v>
      </c>
      <c r="E74" s="141"/>
      <c r="F74" s="141"/>
      <c r="G74" s="141"/>
    </row>
    <row r="75" spans="2:7">
      <c r="B75" s="145" t="s">
        <v>39</v>
      </c>
      <c r="C75" s="149">
        <f>GETPIVOTDATA("Warter quality test done",$B$68,"State","Kachin","Warter quality test done","No Test")</f>
        <v>116</v>
      </c>
      <c r="D75" s="150">
        <f>GETPIVOTDATA("Warter quality test done",$B$68,"State","Kachin","Warter quality test done","Tested")</f>
        <v>19</v>
      </c>
      <c r="E75" s="141"/>
      <c r="F75" s="141"/>
      <c r="G75" s="141"/>
    </row>
    <row r="76" spans="2:7">
      <c r="B76" s="145"/>
      <c r="C76" s="149"/>
      <c r="D76" s="150"/>
      <c r="E76" s="141"/>
      <c r="F76" s="141"/>
      <c r="G76" s="141"/>
    </row>
    <row r="77" spans="2:7" ht="15.75" thickBot="1">
      <c r="B77" s="146" t="s">
        <v>716</v>
      </c>
      <c r="C77" s="151">
        <f>GETPIVOTDATA("Warter quality test done",$B$68,"State","Shan (North)","Warter quality test done","No Test")</f>
        <v>15</v>
      </c>
      <c r="D77" s="152">
        <f>GETPIVOTDATA("Warter quality test done",$B$68,"State","Shan (North)","Warter quality test done","Tested")</f>
        <v>21</v>
      </c>
      <c r="E77" s="137"/>
      <c r="F77" s="137"/>
      <c r="G77" s="138"/>
    </row>
    <row r="78" spans="2:7" s="153" customFormat="1">
      <c r="B78" s="154"/>
      <c r="C78" s="155"/>
      <c r="D78" s="155"/>
      <c r="E78" s="156"/>
      <c r="F78" s="156"/>
      <c r="G78" s="157"/>
    </row>
    <row r="79" spans="2:7" s="153" customFormat="1">
      <c r="B79" s="154"/>
      <c r="C79" s="155"/>
      <c r="D79" s="155"/>
      <c r="E79" s="156"/>
      <c r="F79" s="156"/>
      <c r="G79" s="157"/>
    </row>
    <row r="80" spans="2:7" s="153" customFormat="1">
      <c r="B80" s="154"/>
      <c r="C80" s="155"/>
      <c r="D80" s="155"/>
      <c r="E80" s="156"/>
      <c r="F80" s="156"/>
      <c r="G80" s="157"/>
    </row>
    <row r="81" spans="2:15" s="153" customFormat="1">
      <c r="B81" s="924" t="s">
        <v>20</v>
      </c>
      <c r="C81" s="925" t="s">
        <v>2519</v>
      </c>
      <c r="D81" s="155"/>
      <c r="E81" s="156"/>
      <c r="F81" s="156"/>
      <c r="G81" s="157"/>
      <c r="M81" s="627"/>
      <c r="N81" s="627"/>
      <c r="O81" s="155"/>
    </row>
    <row r="82" spans="2:15" s="153" customFormat="1">
      <c r="B82" s="924" t="s">
        <v>35</v>
      </c>
      <c r="C82" s="925" t="s">
        <v>35</v>
      </c>
      <c r="D82" s="141"/>
      <c r="E82" s="156"/>
      <c r="F82" s="156"/>
      <c r="G82" s="157"/>
      <c r="M82" s="627"/>
      <c r="N82" s="627"/>
      <c r="O82" s="628"/>
    </row>
    <row r="83" spans="2:15" s="153" customFormat="1">
      <c r="B83" s="926" t="s">
        <v>22</v>
      </c>
      <c r="C83" s="925" t="s">
        <v>39</v>
      </c>
      <c r="D83" s="141"/>
      <c r="E83" s="156"/>
      <c r="F83" s="156"/>
      <c r="G83" s="157"/>
      <c r="M83" s="629"/>
      <c r="N83" s="627"/>
      <c r="O83" s="628"/>
    </row>
    <row r="84" spans="2:15" s="153" customFormat="1">
      <c r="B84" s="924" t="s">
        <v>142</v>
      </c>
      <c r="C84" s="925" t="s">
        <v>1668</v>
      </c>
      <c r="D84" s="141"/>
      <c r="E84" s="156"/>
      <c r="F84" s="156"/>
      <c r="G84" s="157"/>
      <c r="M84" s="627"/>
      <c r="N84" s="627"/>
      <c r="O84" s="628"/>
    </row>
    <row r="85" spans="2:15" s="153" customFormat="1">
      <c r="B85" s="622"/>
      <c r="C85" s="141"/>
      <c r="D85" s="141"/>
      <c r="E85" s="156"/>
      <c r="F85" s="156"/>
      <c r="G85" s="157"/>
      <c r="M85" s="630"/>
      <c r="N85" s="628"/>
      <c r="O85" s="628"/>
    </row>
    <row r="86" spans="2:15" s="153" customFormat="1" ht="15.75">
      <c r="B86" s="930" t="s">
        <v>22</v>
      </c>
      <c r="C86" s="925" t="s">
        <v>3197</v>
      </c>
      <c r="D86" s="925" t="s">
        <v>3193</v>
      </c>
      <c r="E86"/>
      <c r="F86" s="156"/>
      <c r="G86" s="157"/>
      <c r="M86" s="579"/>
      <c r="N86" s="579"/>
      <c r="O86" s="579"/>
    </row>
    <row r="87" spans="2:15" s="153" customFormat="1" ht="15.75">
      <c r="B87" s="927" t="s">
        <v>203</v>
      </c>
      <c r="C87" s="929">
        <v>0.84035803308406976</v>
      </c>
      <c r="D87" s="929">
        <v>0.15964196691593024</v>
      </c>
      <c r="E87"/>
      <c r="F87" s="156"/>
      <c r="G87" s="157"/>
      <c r="M87" s="579"/>
      <c r="N87" s="579"/>
      <c r="O87" s="579"/>
    </row>
    <row r="88" spans="2:15" s="153" customFormat="1" ht="15.75">
      <c r="B88" s="927" t="s">
        <v>154</v>
      </c>
      <c r="C88" s="929">
        <v>6.7567567567567571E-2</v>
      </c>
      <c r="D88" s="929">
        <v>0.93243243243243246</v>
      </c>
      <c r="E88"/>
      <c r="F88" s="156"/>
      <c r="G88" s="157"/>
      <c r="M88" s="579"/>
      <c r="N88" s="579"/>
      <c r="O88" s="579"/>
    </row>
    <row r="89" spans="2:15" s="153" customFormat="1" ht="15.75">
      <c r="B89" s="927" t="s">
        <v>156</v>
      </c>
      <c r="C89" s="929">
        <v>0.63608843537414972</v>
      </c>
      <c r="D89" s="929">
        <v>0.36391156462585028</v>
      </c>
      <c r="E89"/>
      <c r="F89" s="156"/>
      <c r="G89" s="157"/>
      <c r="M89" s="579"/>
      <c r="N89" s="579"/>
      <c r="O89" s="579"/>
    </row>
    <row r="90" spans="2:15" s="153" customFormat="1" ht="15.75">
      <c r="B90" s="927" t="s">
        <v>40</v>
      </c>
      <c r="C90" s="929">
        <v>0.50786187760135659</v>
      </c>
      <c r="D90" s="929">
        <v>0.49213812239864341</v>
      </c>
      <c r="E90"/>
      <c r="F90" s="156"/>
      <c r="G90" s="157"/>
      <c r="M90"/>
      <c r="N90"/>
      <c r="O90"/>
    </row>
    <row r="91" spans="2:15" s="153" customFormat="1" ht="15.75">
      <c r="B91" s="927" t="s">
        <v>160</v>
      </c>
      <c r="C91" s="929">
        <v>0.94938440492476062</v>
      </c>
      <c r="D91" s="929">
        <v>5.0615595075239384E-2</v>
      </c>
      <c r="E91"/>
      <c r="F91" s="156"/>
      <c r="G91" s="157"/>
      <c r="M91"/>
      <c r="N91"/>
      <c r="O91"/>
    </row>
    <row r="92" spans="2:15" s="153" customFormat="1" ht="15.75">
      <c r="B92" s="927" t="s">
        <v>165</v>
      </c>
      <c r="C92" s="929">
        <v>1</v>
      </c>
      <c r="D92" s="929">
        <v>0</v>
      </c>
      <c r="E92"/>
      <c r="F92" s="156"/>
      <c r="G92" s="157"/>
      <c r="M92"/>
      <c r="N92"/>
      <c r="O92"/>
    </row>
    <row r="93" spans="2:15" s="153" customFormat="1" ht="15.75">
      <c r="B93" s="927" t="s">
        <v>213</v>
      </c>
      <c r="C93" s="929">
        <v>0.40698890373554863</v>
      </c>
      <c r="D93" s="929">
        <v>0.59301109626445137</v>
      </c>
      <c r="E93"/>
      <c r="F93" s="156"/>
      <c r="G93" s="157"/>
      <c r="M93"/>
      <c r="N93"/>
      <c r="O93"/>
    </row>
    <row r="94" spans="2:15" s="153" customFormat="1" ht="15.75">
      <c r="B94" s="927" t="s">
        <v>167</v>
      </c>
      <c r="C94" s="929">
        <v>0.95228994124725697</v>
      </c>
      <c r="D94" s="929">
        <v>4.7710058752743034E-2</v>
      </c>
      <c r="E94"/>
      <c r="F94" s="156"/>
      <c r="G94" s="157"/>
      <c r="M94"/>
      <c r="N94"/>
      <c r="O94"/>
    </row>
    <row r="95" spans="2:15" s="153" customFormat="1" ht="15.75">
      <c r="B95" s="927" t="s">
        <v>181</v>
      </c>
      <c r="C95" s="929">
        <v>1</v>
      </c>
      <c r="D95" s="929">
        <v>0</v>
      </c>
      <c r="E95"/>
      <c r="F95" s="156"/>
      <c r="G95" s="157"/>
      <c r="M95"/>
      <c r="N95"/>
      <c r="O95"/>
    </row>
    <row r="96" spans="2:15" s="153" customFormat="1" ht="15.75">
      <c r="B96" s="927" t="s">
        <v>222</v>
      </c>
      <c r="C96" s="929">
        <v>1</v>
      </c>
      <c r="D96" s="929">
        <v>0</v>
      </c>
      <c r="E96"/>
      <c r="F96" s="156"/>
      <c r="G96" s="157"/>
    </row>
    <row r="97" spans="2:15" s="153" customFormat="1" ht="15.75">
      <c r="B97" s="927" t="s">
        <v>192</v>
      </c>
      <c r="C97" s="929">
        <v>0</v>
      </c>
      <c r="D97" s="929">
        <v>1</v>
      </c>
      <c r="E97"/>
      <c r="F97" s="156"/>
      <c r="G97" s="157"/>
      <c r="M97"/>
      <c r="N97"/>
      <c r="O97"/>
    </row>
    <row r="98" spans="2:15" s="153" customFormat="1" ht="15.75">
      <c r="B98" s="927" t="s">
        <v>150</v>
      </c>
      <c r="C98" s="929">
        <v>0.64452957137770572</v>
      </c>
      <c r="D98" s="929">
        <v>0.35547042862229428</v>
      </c>
      <c r="E98"/>
      <c r="F98" s="156"/>
      <c r="G98" s="157"/>
      <c r="M98"/>
      <c r="N98"/>
      <c r="O98"/>
    </row>
    <row r="99" spans="2:15" s="153" customFormat="1" ht="15.75">
      <c r="B99"/>
      <c r="C99"/>
      <c r="D99"/>
      <c r="E99" s="156"/>
      <c r="F99" s="156"/>
      <c r="G99" s="157"/>
      <c r="M99"/>
      <c r="N99"/>
      <c r="O99"/>
    </row>
    <row r="100" spans="2:15" s="153" customFormat="1" ht="15.75">
      <c r="B100"/>
      <c r="C100"/>
      <c r="D100"/>
      <c r="E100" s="156"/>
      <c r="F100" s="156"/>
      <c r="G100" s="157"/>
    </row>
    <row r="101" spans="2:15" s="153" customFormat="1" ht="15.75">
      <c r="B101"/>
      <c r="C101"/>
      <c r="D101"/>
      <c r="E101" s="156"/>
      <c r="F101" s="156"/>
      <c r="G101" s="157"/>
      <c r="K101" s="821"/>
      <c r="L101" s="821"/>
      <c r="M101" s="155"/>
    </row>
    <row r="102" spans="2:15" s="153" customFormat="1">
      <c r="B102" s="924" t="s">
        <v>20</v>
      </c>
      <c r="C102" s="925" t="s">
        <v>2519</v>
      </c>
      <c r="D102" s="155"/>
      <c r="E102" s="156"/>
      <c r="F102" s="156"/>
      <c r="G102" s="157"/>
      <c r="K102" s="821"/>
      <c r="L102" s="821"/>
      <c r="M102" s="141"/>
    </row>
    <row r="103" spans="2:15" s="153" customFormat="1" ht="15.75">
      <c r="B103" s="924" t="s">
        <v>35</v>
      </c>
      <c r="C103" s="925" t="s">
        <v>35</v>
      </c>
      <c r="D103" s="141"/>
      <c r="E103" s="156"/>
      <c r="F103" s="156"/>
      <c r="G103" s="157"/>
      <c r="K103" s="741"/>
      <c r="L103" s="821"/>
      <c r="M103" s="141"/>
    </row>
    <row r="104" spans="2:15" s="153" customFormat="1" ht="15.75">
      <c r="B104" s="893" t="s">
        <v>22</v>
      </c>
      <c r="C104" s="893" t="s">
        <v>716</v>
      </c>
      <c r="D104" s="141"/>
      <c r="E104" s="156"/>
      <c r="F104" s="156"/>
      <c r="G104" s="157"/>
      <c r="K104" s="741"/>
      <c r="L104" s="821"/>
      <c r="M104" s="141"/>
    </row>
    <row r="105" spans="2:15" s="153" customFormat="1" ht="15.75">
      <c r="B105" s="924" t="s">
        <v>142</v>
      </c>
      <c r="C105" s="925" t="s">
        <v>1668</v>
      </c>
      <c r="D105" s="141"/>
      <c r="E105" s="156"/>
      <c r="F105" s="156"/>
      <c r="G105" s="157"/>
      <c r="K105" s="741"/>
      <c r="L105" s="141"/>
      <c r="M105" s="141"/>
    </row>
    <row r="106" spans="2:15" s="153" customFormat="1" ht="15.75">
      <c r="B106" s="623"/>
      <c r="C106" s="141"/>
      <c r="D106" s="141"/>
      <c r="E106" s="156"/>
      <c r="F106" s="156"/>
      <c r="G106" s="157"/>
      <c r="K106"/>
      <c r="L106"/>
      <c r="M106"/>
    </row>
    <row r="107" spans="2:15" s="153" customFormat="1" ht="15.75">
      <c r="B107" s="930" t="s">
        <v>22</v>
      </c>
      <c r="C107" s="925" t="s">
        <v>3197</v>
      </c>
      <c r="D107" s="925" t="s">
        <v>3193</v>
      </c>
      <c r="E107" s="156"/>
      <c r="F107" s="156"/>
      <c r="G107" s="157"/>
      <c r="K107"/>
      <c r="L107"/>
      <c r="M107"/>
    </row>
    <row r="108" spans="2:15" s="153" customFormat="1" ht="15.75">
      <c r="B108" s="927" t="s">
        <v>735</v>
      </c>
      <c r="C108" s="929">
        <v>1</v>
      </c>
      <c r="D108" s="929">
        <v>0</v>
      </c>
      <c r="E108" s="156"/>
      <c r="F108" s="156"/>
      <c r="G108" s="157"/>
      <c r="K108"/>
      <c r="L108"/>
      <c r="M108"/>
    </row>
    <row r="109" spans="2:15" s="153" customFormat="1" ht="15.75">
      <c r="B109" s="927" t="s">
        <v>720</v>
      </c>
      <c r="C109" s="929">
        <v>0.8503630246148397</v>
      </c>
      <c r="D109" s="929">
        <v>0.1496369753851603</v>
      </c>
      <c r="E109" s="156"/>
      <c r="F109" s="156"/>
      <c r="G109" s="157"/>
      <c r="K109"/>
      <c r="L109"/>
      <c r="M109"/>
    </row>
    <row r="110" spans="2:15" s="153" customFormat="1" ht="15.75">
      <c r="B110" s="927" t="s">
        <v>1272</v>
      </c>
      <c r="C110" s="929">
        <v>0</v>
      </c>
      <c r="D110" s="929">
        <v>1</v>
      </c>
      <c r="E110" s="156"/>
      <c r="F110" s="156"/>
      <c r="G110" s="157"/>
      <c r="K110"/>
      <c r="L110"/>
      <c r="M110"/>
    </row>
    <row r="111" spans="2:15" s="153" customFormat="1" ht="15.75">
      <c r="B111" s="927" t="s">
        <v>723</v>
      </c>
      <c r="C111" s="929">
        <v>1</v>
      </c>
      <c r="D111" s="929">
        <v>0</v>
      </c>
      <c r="E111" s="156"/>
      <c r="F111" s="156"/>
      <c r="G111" s="157"/>
      <c r="K111"/>
      <c r="L111"/>
      <c r="M111"/>
    </row>
    <row r="112" spans="2:15" s="153" customFormat="1" ht="15.75">
      <c r="B112" s="927" t="s">
        <v>726</v>
      </c>
      <c r="C112" s="929">
        <v>0.41516516516516516</v>
      </c>
      <c r="D112" s="929">
        <v>0.58483483483483489</v>
      </c>
      <c r="E112" s="156"/>
      <c r="F112" s="156"/>
      <c r="G112" s="157"/>
      <c r="K112"/>
      <c r="L112"/>
      <c r="M112"/>
    </row>
    <row r="113" spans="1:30" s="153" customFormat="1" ht="15.75">
      <c r="B113" s="927" t="s">
        <v>717</v>
      </c>
      <c r="C113" s="929">
        <v>0.74577417173766059</v>
      </c>
      <c r="D113" s="929">
        <v>0.25422582826233941</v>
      </c>
      <c r="E113" s="156"/>
      <c r="F113" s="156"/>
      <c r="G113" s="157"/>
      <c r="K113"/>
      <c r="L113"/>
      <c r="M113"/>
      <c r="T113"/>
      <c r="U113"/>
      <c r="V113"/>
      <c r="W113"/>
      <c r="X113"/>
      <c r="Y113"/>
    </row>
    <row r="114" spans="1:30" s="153" customFormat="1" ht="15.75">
      <c r="B114" s="927" t="s">
        <v>737</v>
      </c>
      <c r="C114" s="929">
        <v>0.77777777777777779</v>
      </c>
      <c r="D114" s="929">
        <v>0.22222222222222221</v>
      </c>
      <c r="E114" s="156"/>
      <c r="F114" s="156"/>
      <c r="G114" s="157"/>
      <c r="K114"/>
      <c r="L114"/>
      <c r="M114"/>
      <c r="T114"/>
      <c r="U114"/>
      <c r="V114"/>
    </row>
    <row r="115" spans="1:30" s="153" customFormat="1" ht="15.75">
      <c r="B115" s="927" t="s">
        <v>1290</v>
      </c>
      <c r="C115" s="929">
        <v>0</v>
      </c>
      <c r="D115" s="929">
        <v>1</v>
      </c>
      <c r="E115" s="156"/>
      <c r="F115" s="156"/>
      <c r="G115" s="157"/>
      <c r="K115"/>
      <c r="L115"/>
      <c r="M115"/>
      <c r="T115"/>
      <c r="U115"/>
      <c r="V115"/>
    </row>
    <row r="116" spans="1:30" s="153" customFormat="1" ht="15.75">
      <c r="B116"/>
      <c r="C116"/>
      <c r="D116" s="155"/>
      <c r="E116" s="156"/>
      <c r="F116" s="156"/>
      <c r="G116" s="157"/>
      <c r="K116"/>
      <c r="L116"/>
      <c r="M116"/>
      <c r="T116"/>
      <c r="U116"/>
      <c r="V116"/>
    </row>
    <row r="117" spans="1:30" s="153" customFormat="1" ht="15.75">
      <c r="B117" s="154"/>
      <c r="C117" s="155"/>
      <c r="D117" s="155"/>
      <c r="E117" s="156"/>
      <c r="F117" s="156"/>
      <c r="G117" s="157"/>
      <c r="K117"/>
      <c r="L117"/>
      <c r="M117"/>
      <c r="T117"/>
      <c r="U117"/>
    </row>
    <row r="118" spans="1:30" s="153" customFormat="1" ht="15.75">
      <c r="B118" s="154"/>
      <c r="C118" s="155"/>
      <c r="D118" s="155"/>
      <c r="E118" s="156"/>
      <c r="F118" s="156"/>
      <c r="G118" s="157"/>
      <c r="T118"/>
      <c r="U118"/>
    </row>
    <row r="119" spans="1:30" s="169" customFormat="1" ht="18.75">
      <c r="A119" s="132" t="s">
        <v>2055</v>
      </c>
      <c r="B119" s="132"/>
      <c r="C119" s="166"/>
      <c r="D119" s="167"/>
      <c r="E119" s="167"/>
      <c r="F119" s="167"/>
      <c r="G119" s="168"/>
      <c r="H119" s="132"/>
      <c r="I119" s="132"/>
      <c r="J119" s="132"/>
      <c r="K119" s="132"/>
      <c r="L119" s="132"/>
      <c r="M119" s="132"/>
      <c r="N119" s="132"/>
      <c r="O119" s="132"/>
      <c r="P119" s="132"/>
      <c r="Q119" s="132"/>
      <c r="R119" s="132"/>
      <c r="S119" s="132"/>
      <c r="T119" s="132"/>
      <c r="U119" s="132"/>
      <c r="V119" s="132"/>
      <c r="W119" s="132"/>
      <c r="X119" s="132"/>
      <c r="Y119" s="132"/>
      <c r="Z119" s="132"/>
    </row>
    <row r="120" spans="1:30">
      <c r="C120" s="136"/>
      <c r="D120" s="137"/>
      <c r="E120" s="137"/>
      <c r="F120" s="137"/>
      <c r="G120" s="138"/>
    </row>
    <row r="121" spans="1:30" ht="15.75">
      <c r="F121" s="137"/>
      <c r="G121" s="138"/>
      <c r="K121"/>
      <c r="L121"/>
    </row>
    <row r="122" spans="1:30">
      <c r="C122" s="924" t="s">
        <v>20</v>
      </c>
      <c r="D122" s="925" t="s">
        <v>2519</v>
      </c>
      <c r="E122" s="137"/>
      <c r="J122" s="924" t="s">
        <v>20</v>
      </c>
      <c r="K122" s="925" t="s">
        <v>2519</v>
      </c>
      <c r="L122" s="834"/>
    </row>
    <row r="123" spans="1:30" ht="15.75">
      <c r="C123" s="926" t="s">
        <v>22</v>
      </c>
      <c r="D123" s="925" t="s">
        <v>39</v>
      </c>
      <c r="J123" s="894" t="s">
        <v>22</v>
      </c>
      <c r="K123" s="894" t="s">
        <v>716</v>
      </c>
      <c r="L123" s="741"/>
    </row>
    <row r="124" spans="1:30" ht="15.75">
      <c r="C124" s="924" t="s">
        <v>35</v>
      </c>
      <c r="D124" s="925" t="s">
        <v>35</v>
      </c>
      <c r="J124" s="924" t="s">
        <v>35</v>
      </c>
      <c r="K124" s="925" t="s">
        <v>35</v>
      </c>
      <c r="L124" s="741"/>
    </row>
    <row r="125" spans="1:30" s="139" customFormat="1">
      <c r="C125" s="134"/>
      <c r="D125" s="134"/>
      <c r="E125" s="134"/>
      <c r="F125" s="141"/>
      <c r="G125" s="141"/>
      <c r="H125" s="134"/>
      <c r="I125" s="134"/>
      <c r="J125" s="134"/>
      <c r="K125" s="134"/>
      <c r="L125" s="134"/>
      <c r="M125" s="134"/>
      <c r="U125" s="134"/>
      <c r="V125" s="134"/>
      <c r="W125" s="134"/>
      <c r="Y125" s="134"/>
      <c r="AC125" s="134"/>
      <c r="AD125" s="134"/>
    </row>
    <row r="126" spans="1:30" ht="15.75">
      <c r="C126" s="925"/>
      <c r="D126" s="924" t="s">
        <v>1926</v>
      </c>
      <c r="E126" s="925"/>
      <c r="F126"/>
      <c r="G126"/>
      <c r="J126" s="925"/>
      <c r="K126" s="924" t="s">
        <v>1926</v>
      </c>
      <c r="L126"/>
      <c r="M126"/>
      <c r="Q126" s="141"/>
      <c r="U126"/>
    </row>
    <row r="127" spans="1:30" ht="15.75">
      <c r="C127" s="924" t="s">
        <v>1927</v>
      </c>
      <c r="D127" s="925" t="s">
        <v>1974</v>
      </c>
      <c r="E127" s="925" t="s">
        <v>1975</v>
      </c>
      <c r="F127"/>
      <c r="G127"/>
      <c r="J127" s="924" t="s">
        <v>1927</v>
      </c>
      <c r="K127" s="925" t="s">
        <v>1974</v>
      </c>
      <c r="L127"/>
      <c r="M127"/>
      <c r="Q127" s="141"/>
      <c r="U127"/>
    </row>
    <row r="128" spans="1:30" ht="15.75">
      <c r="C128" s="927" t="s">
        <v>1972</v>
      </c>
      <c r="D128" s="928">
        <v>2647</v>
      </c>
      <c r="E128" s="928">
        <v>2884</v>
      </c>
      <c r="F128"/>
      <c r="G128"/>
      <c r="J128" s="927" t="s">
        <v>1972</v>
      </c>
      <c r="K128" s="928">
        <v>1589</v>
      </c>
      <c r="L128"/>
      <c r="M128"/>
      <c r="Q128" s="141"/>
      <c r="U128"/>
    </row>
    <row r="129" spans="1:21" ht="15.75">
      <c r="C129" s="927" t="s">
        <v>3020</v>
      </c>
      <c r="D129" s="928">
        <v>80</v>
      </c>
      <c r="E129" s="928">
        <v>63</v>
      </c>
      <c r="F129"/>
      <c r="G129"/>
      <c r="J129" s="927" t="s">
        <v>3020</v>
      </c>
      <c r="K129" s="928">
        <v>51</v>
      </c>
      <c r="L129"/>
      <c r="M129"/>
      <c r="Q129" s="141"/>
      <c r="U129"/>
    </row>
    <row r="130" spans="1:21" ht="15.75">
      <c r="C130" s="927" t="s">
        <v>3021</v>
      </c>
      <c r="D130" s="928">
        <v>565</v>
      </c>
      <c r="E130" s="928">
        <v>21</v>
      </c>
      <c r="F130"/>
      <c r="G130"/>
      <c r="J130" s="927" t="s">
        <v>3021</v>
      </c>
      <c r="K130" s="928">
        <v>10</v>
      </c>
      <c r="L130"/>
      <c r="M130"/>
      <c r="Q130" s="141"/>
      <c r="U130"/>
    </row>
    <row r="131" spans="1:21" ht="15.75">
      <c r="C131" s="927" t="s">
        <v>3022</v>
      </c>
      <c r="D131" s="928">
        <v>755</v>
      </c>
      <c r="E131" s="928">
        <v>800</v>
      </c>
      <c r="F131"/>
      <c r="G131"/>
      <c r="J131" s="927" t="s">
        <v>3022</v>
      </c>
      <c r="K131" s="928"/>
      <c r="L131"/>
      <c r="M131"/>
      <c r="Q131" s="141"/>
      <c r="U131"/>
    </row>
    <row r="132" spans="1:21" ht="15.75">
      <c r="B132" s="141"/>
      <c r="C132" s="927" t="s">
        <v>3023</v>
      </c>
      <c r="D132" s="928">
        <v>2044</v>
      </c>
      <c r="E132" s="928">
        <v>3194</v>
      </c>
      <c r="F132"/>
      <c r="G132"/>
      <c r="J132" s="927" t="s">
        <v>3023</v>
      </c>
      <c r="K132" s="928">
        <v>1535</v>
      </c>
      <c r="L132"/>
      <c r="M132"/>
      <c r="Q132" s="141"/>
      <c r="U132"/>
    </row>
    <row r="133" spans="1:21" ht="15.75">
      <c r="B133" s="141"/>
      <c r="C133" s="927" t="s">
        <v>3024</v>
      </c>
      <c r="D133" s="928">
        <v>2175</v>
      </c>
      <c r="E133" s="928">
        <v>3575</v>
      </c>
      <c r="F133"/>
      <c r="G133"/>
      <c r="J133" s="927" t="s">
        <v>3024</v>
      </c>
      <c r="K133" s="928">
        <v>1551</v>
      </c>
      <c r="L133" s="741"/>
      <c r="M133" s="741"/>
      <c r="N133" s="741"/>
      <c r="O133" s="741"/>
      <c r="Q133" s="141"/>
      <c r="U133"/>
    </row>
    <row r="134" spans="1:21" ht="16.5" thickBot="1">
      <c r="B134" s="141"/>
      <c r="C134"/>
      <c r="D134"/>
      <c r="E134"/>
      <c r="F134"/>
      <c r="G134"/>
      <c r="J134" s="136"/>
      <c r="K134" s="741"/>
      <c r="L134" s="741"/>
      <c r="M134" s="741"/>
      <c r="N134" s="741"/>
      <c r="O134" s="741"/>
      <c r="Q134" s="141"/>
      <c r="R134" s="141"/>
      <c r="S134"/>
      <c r="T134"/>
      <c r="U134"/>
    </row>
    <row r="135" spans="1:21" ht="16.5" thickBot="1">
      <c r="B135" s="141"/>
      <c r="C135" s="136"/>
      <c r="D135" s="138"/>
      <c r="E135" s="138"/>
      <c r="F135" s="141"/>
      <c r="G135" s="141"/>
      <c r="J135" s="180" t="s">
        <v>716</v>
      </c>
      <c r="K135" s="172" t="s">
        <v>1974</v>
      </c>
      <c r="L135" s="173" t="s">
        <v>1975</v>
      </c>
      <c r="M135" s="741"/>
      <c r="N135" s="141" t="s">
        <v>1992</v>
      </c>
      <c r="O135" s="140">
        <f>K136</f>
        <v>1535</v>
      </c>
      <c r="S135" s="141"/>
    </row>
    <row r="136" spans="1:21" ht="15.75">
      <c r="B136" s="171" t="s">
        <v>39</v>
      </c>
      <c r="C136" s="172" t="s">
        <v>1974</v>
      </c>
      <c r="D136" s="173" t="s">
        <v>1975</v>
      </c>
      <c r="F136" s="141"/>
      <c r="G136" s="141"/>
      <c r="J136" s="174" t="s">
        <v>1679</v>
      </c>
      <c r="K136" s="175">
        <f>GETPIVOTDATA("Sum of # Existing functional latrines",$J$126,"Ethnic or GCA/NGCA","# in GCA (20:1)")</f>
        <v>1535</v>
      </c>
      <c r="L136" s="176" t="e">
        <f>GETPIVOTDATA("Sum of # Existing functional latrines",$J$126,"Ethnic or GCA/NGCA","# in NGCA (20:1)")</f>
        <v>#REF!</v>
      </c>
      <c r="M136" s="741"/>
      <c r="N136" s="141" t="s">
        <v>3028</v>
      </c>
      <c r="O136" s="140">
        <f>K140</f>
        <v>51</v>
      </c>
    </row>
    <row r="137" spans="1:21" ht="15.75">
      <c r="A137" s="631" t="s">
        <v>3027</v>
      </c>
      <c r="B137" s="174" t="s">
        <v>1679</v>
      </c>
      <c r="C137" s="175">
        <f>GETPIVOTDATA("Sum of # Existing functional latrines",$C$126,"Ethnic or GCA/NGCA","# in GCA (20:1)")</f>
        <v>2044</v>
      </c>
      <c r="D137" s="176">
        <f>GETPIVOTDATA("Sum of # Existing functional latrines",$C$126,"Ethnic or GCA/NGCA","# in NGCA (20:1)")</f>
        <v>3194</v>
      </c>
      <c r="F137" s="141" t="s">
        <v>1992</v>
      </c>
      <c r="G137" s="141">
        <f>SUM(C137:D137)</f>
        <v>5238</v>
      </c>
      <c r="J137" s="174" t="s">
        <v>1987</v>
      </c>
      <c r="K137" s="175">
        <f>GETPIVOTDATA("  Total # of latrine",$J$126,"Ethnic or GCA/NGCA","# in GCA (20:1)")-GETPIVOTDATA("Sum of # Existing functional latrines",$J$126,"Ethnic or GCA/NGCA","# in GCA (20:1)")</f>
        <v>16</v>
      </c>
      <c r="L137" s="176">
        <v>0</v>
      </c>
      <c r="M137" s="741"/>
      <c r="N137" s="141" t="s">
        <v>1993</v>
      </c>
      <c r="O137" s="140">
        <f>K141</f>
        <v>10</v>
      </c>
      <c r="P137" s="140"/>
    </row>
    <row r="138" spans="1:21" ht="30">
      <c r="A138" s="631" t="s">
        <v>3026</v>
      </c>
      <c r="B138" s="174" t="s">
        <v>1987</v>
      </c>
      <c r="C138" s="175">
        <f>GETPIVOTDATA("# latrines (target)",$C$126,"Ethnic or GCA/NGCA","# in GCA (20:1)")-GETPIVOTDATA("Sum of # Existing functional latrines",$C$126,"Ethnic or GCA/NGCA","# in GCA (20:1)")</f>
        <v>603</v>
      </c>
      <c r="D138" s="176">
        <f>IF(GETPIVOTDATA("# latrines (target)",$C$126,"Ethnic or GCA/NGCA","# in NGCA (20:1)")-GETPIVOTDATA("Sum of # Existing functional latrines",$C$126,"Ethnic or GCA/NGCA","# in NGCA (20:1)")&lt;0,0,GETPIVOTDATA("# latrines (target)",$C$126,"Ethnic or GCA/NGCA","# in NGCA (20:1)")-GETPIVOTDATA("Sum of # Existing functional latrines",$C$126,"Ethnic or GCA/NGCA","# in NGCA (20:1)"))</f>
        <v>0</v>
      </c>
      <c r="F138" s="141" t="s">
        <v>3025</v>
      </c>
      <c r="G138" s="159">
        <f>SUM(C141:D141)</f>
        <v>143</v>
      </c>
      <c r="J138" s="174" t="s">
        <v>1988</v>
      </c>
      <c r="K138" s="175">
        <f>GETPIVOTDATA("# handed over",$J$126,"Ethnic or GCA/NGCA","# in GCA (20:1)")</f>
        <v>0</v>
      </c>
      <c r="L138" s="176" t="e">
        <f>GETPIVOTDATA("# handed over",$J$126,"Ethnic or GCA/NGCA","# in NGCA (20:1)")</f>
        <v>#REF!</v>
      </c>
      <c r="M138" s="741"/>
      <c r="N138" s="741"/>
      <c r="O138" s="741"/>
      <c r="P138" s="140"/>
    </row>
    <row r="139" spans="1:21" ht="30">
      <c r="B139" s="174" t="s">
        <v>1988</v>
      </c>
      <c r="C139" s="175">
        <f>GETPIVOTDATA("# handed over",$C$126,"Ethnic or GCA/NGCA","# in GCA (20:1)")</f>
        <v>755</v>
      </c>
      <c r="D139" s="176">
        <f>GETPIVOTDATA("# handed over",$C$126,"Ethnic or GCA/NGCA","# in NGCA (20:1)")</f>
        <v>800</v>
      </c>
      <c r="F139" s="141" t="s">
        <v>1993</v>
      </c>
      <c r="G139" s="141">
        <f>SUM(C142:D142)</f>
        <v>586</v>
      </c>
      <c r="J139" s="174" t="s">
        <v>1989</v>
      </c>
      <c r="K139" s="175">
        <f>GETPIVOTDATA("  Total # of latrine",$J$126,"Ethnic or GCA/NGCA","# in GCA (20:1)")-GETPIVOTDATA("# handed over",$J$126,"Ethnic or GCA/NGCA","# in GCA (20:1)")</f>
        <v>1551</v>
      </c>
      <c r="L139" s="176" t="e">
        <f>GETPIVOTDATA("Sum of # Existing functional latrines",$J$126,"Ethnic or GCA/NGCA","# in NGCA (20:1)")-GETPIVOTDATA("# handed over",$J$126,"Ethnic or GCA/NGCA","# in NGCA (20:1)")</f>
        <v>#REF!</v>
      </c>
      <c r="M139" s="741"/>
      <c r="N139" s="741"/>
      <c r="O139" s="741"/>
      <c r="P139" s="140"/>
    </row>
    <row r="140" spans="1:21" ht="30">
      <c r="B140" s="174" t="s">
        <v>1989</v>
      </c>
      <c r="C140" s="175">
        <f>GETPIVOTDATA("# latrines (target)",$C$126,"Ethnic or GCA/NGCA","# in GCA (20:1)")-GETPIVOTDATA("# handed over",$C$126,"Ethnic or GCA/NGCA","# in GCA (20:1)")</f>
        <v>1892</v>
      </c>
      <c r="D140" s="176">
        <f>D137-D139</f>
        <v>2394</v>
      </c>
      <c r="G140" s="141"/>
      <c r="H140" s="141"/>
      <c r="J140" s="174" t="s">
        <v>3028</v>
      </c>
      <c r="K140" s="175">
        <f>GETPIVOTDATA("# Operation &amp; maintenance of latrines",$J$126,"Ethnic or GCA/NGCA","# in GCA (20:1)")</f>
        <v>51</v>
      </c>
      <c r="L140" s="176" t="e">
        <f>GETPIVOTDATA("#latrines dysfunctional",$J$126,"Ethnic or GCA/NGCA","# in NGCA (20:1)")</f>
        <v>#REF!</v>
      </c>
      <c r="M140" s="741"/>
      <c r="N140" s="741"/>
      <c r="O140" s="741"/>
    </row>
    <row r="141" spans="1:21" ht="60">
      <c r="B141" s="174" t="s">
        <v>3020</v>
      </c>
      <c r="C141" s="175">
        <f>GETPIVOTDATA("# Operation &amp; maintenance of latrines",$C$126,"Ethnic or GCA/NGCA","# in GCA (20:1)")</f>
        <v>80</v>
      </c>
      <c r="D141" s="176">
        <f>GETPIVOTDATA("# Operation &amp; maintenance of latrines",$C$126,"Ethnic or GCA/NGCA","# in NGCA (20:1)")</f>
        <v>63</v>
      </c>
      <c r="G141" s="141"/>
      <c r="J141" s="174" t="s">
        <v>1973</v>
      </c>
      <c r="K141" s="175">
        <f>GETPIVOTDATA("# Latrines desludged",$J$126,"Ethnic or GCA/NGCA","# in GCA (20:1)")</f>
        <v>10</v>
      </c>
      <c r="L141" s="176" t="e">
        <f>GETPIVOTDATA("# latrines desludged.",$J$126,"Ethnic or GCA/NGCA","# in NGCA (20:1)")</f>
        <v>#REF!</v>
      </c>
      <c r="M141" s="741"/>
      <c r="N141" s="741"/>
      <c r="O141" s="741"/>
    </row>
    <row r="142" spans="1:21" ht="30.75" thickBot="1">
      <c r="B142" s="174" t="s">
        <v>1973</v>
      </c>
      <c r="C142" s="175">
        <f>GETPIVOTDATA("# latrines desludged",$C$126,"Ethnic or GCA/NGCA","# in GCA (20:1)")</f>
        <v>565</v>
      </c>
      <c r="D142" s="176">
        <f>GETPIVOTDATA("# latrines desludged",$C$126,"Ethnic or GCA/NGCA","# in NGCA (20:1)")</f>
        <v>21</v>
      </c>
      <c r="G142" s="141"/>
      <c r="J142" s="177" t="s">
        <v>1972</v>
      </c>
      <c r="K142" s="178">
        <f>GETPIVOTDATA("# latrines (target)",$J$126,"Ethnic or GCA/NGCA","# in GCA (20:1)")</f>
        <v>1589</v>
      </c>
      <c r="L142" s="179" t="e">
        <f>GETPIVOTDATA("# latrines (target)",$J$126,"Ethnic or GCA/NGCA","# in NGCA (20:1)")</f>
        <v>#REF!</v>
      </c>
      <c r="M142" s="741"/>
      <c r="N142" s="741"/>
      <c r="O142" s="741"/>
    </row>
    <row r="143" spans="1:21" ht="16.5" thickBot="1">
      <c r="B143" s="177" t="s">
        <v>1972</v>
      </c>
      <c r="C143" s="178">
        <f>GETPIVOTDATA("# latrines (target)",$C$126,"Ethnic or GCA/NGCA","# in GCA (20:1)")</f>
        <v>2647</v>
      </c>
      <c r="D143" s="179">
        <f>GETPIVOTDATA("# latrines (target)",$C$126,"Ethnic or GCA/NGCA","# in NGCA (20:1)")</f>
        <v>2884</v>
      </c>
      <c r="G143" s="141"/>
      <c r="K143" s="741"/>
      <c r="L143" s="741"/>
      <c r="M143" s="741"/>
      <c r="N143" s="741"/>
      <c r="O143" s="741"/>
      <c r="Q143" s="141"/>
      <c r="R143" s="141"/>
    </row>
    <row r="144" spans="1:21" ht="15.75">
      <c r="B144" s="141"/>
      <c r="C144" s="181"/>
      <c r="D144" s="182"/>
      <c r="E144" s="182"/>
      <c r="G144" s="141"/>
      <c r="K144" s="741"/>
      <c r="L144" s="741"/>
      <c r="M144" s="741"/>
      <c r="N144" s="741"/>
      <c r="O144" s="741"/>
      <c r="Q144" s="141"/>
      <c r="R144" s="141"/>
      <c r="S144" s="181"/>
      <c r="T144" s="182"/>
      <c r="U144" s="182"/>
    </row>
    <row r="145" spans="2:21" ht="15.75">
      <c r="B145" s="141"/>
      <c r="C145" s="181"/>
      <c r="D145" s="182"/>
      <c r="E145" s="182"/>
      <c r="G145" s="141"/>
      <c r="K145" s="741"/>
      <c r="L145" s="741"/>
      <c r="M145" s="741"/>
      <c r="N145" s="741"/>
      <c r="O145" s="741"/>
      <c r="Q145" s="141"/>
      <c r="R145" s="141"/>
      <c r="S145" s="181"/>
      <c r="T145" s="182"/>
      <c r="U145" s="182"/>
    </row>
    <row r="146" spans="2:21" ht="15.75">
      <c r="B146" s="141"/>
      <c r="C146" s="181"/>
      <c r="D146" s="182"/>
      <c r="E146" s="182"/>
      <c r="G146" s="141"/>
      <c r="K146" s="741"/>
      <c r="L146" s="741"/>
      <c r="M146" s="741"/>
      <c r="N146" s="741"/>
      <c r="O146" s="741"/>
      <c r="Q146" s="141"/>
      <c r="R146" s="141"/>
      <c r="S146" s="181"/>
      <c r="T146" s="182"/>
      <c r="U146" s="182"/>
    </row>
    <row r="147" spans="2:21">
      <c r="B147" s="141"/>
      <c r="C147" s="136"/>
      <c r="D147" s="138"/>
      <c r="E147" s="138"/>
      <c r="F147" s="141"/>
      <c r="G147" s="141"/>
      <c r="J147" s="141"/>
      <c r="K147" s="141"/>
      <c r="L147" s="141"/>
      <c r="Q147" s="141"/>
      <c r="R147" s="141"/>
      <c r="S147" s="141"/>
    </row>
    <row r="148" spans="2:21">
      <c r="B148" s="141"/>
      <c r="C148" s="136"/>
      <c r="D148" s="138"/>
      <c r="E148" s="138"/>
      <c r="F148" s="141"/>
      <c r="G148" s="141"/>
      <c r="J148" s="141"/>
      <c r="K148" s="141"/>
      <c r="L148" s="141"/>
      <c r="Q148" s="141"/>
      <c r="R148" s="141"/>
      <c r="S148" s="141"/>
    </row>
    <row r="149" spans="2:21">
      <c r="B149" s="141"/>
      <c r="C149" s="136"/>
      <c r="D149" s="138"/>
      <c r="E149" s="138"/>
      <c r="F149" s="141"/>
      <c r="G149" s="141"/>
      <c r="J149" s="141"/>
      <c r="K149" s="141"/>
      <c r="L149" s="141"/>
      <c r="Q149" s="141"/>
      <c r="R149" s="141"/>
      <c r="S149" s="141"/>
    </row>
    <row r="150" spans="2:21">
      <c r="B150" s="141"/>
      <c r="C150" s="136"/>
      <c r="D150" s="138"/>
      <c r="E150" s="138"/>
      <c r="F150" s="141"/>
      <c r="G150" s="141"/>
      <c r="J150" s="141"/>
      <c r="K150" s="141"/>
      <c r="L150" s="141"/>
      <c r="Q150" s="141"/>
      <c r="R150" s="141"/>
      <c r="S150" s="141"/>
    </row>
    <row r="151" spans="2:21">
      <c r="B151" s="141"/>
      <c r="C151" s="136"/>
      <c r="D151" s="138"/>
      <c r="E151" s="138"/>
      <c r="F151" s="141"/>
      <c r="G151" s="141"/>
      <c r="J151" s="141"/>
      <c r="K151" s="141"/>
      <c r="L151" s="141"/>
      <c r="Q151" s="141"/>
      <c r="R151" s="141"/>
      <c r="S151" s="141"/>
    </row>
    <row r="152" spans="2:21">
      <c r="B152" s="141"/>
      <c r="C152" s="136"/>
      <c r="D152" s="138"/>
      <c r="E152" s="138"/>
      <c r="F152" s="141"/>
      <c r="G152" s="141"/>
      <c r="J152" s="141"/>
      <c r="K152" s="141"/>
      <c r="L152" s="141"/>
      <c r="Q152" s="141"/>
      <c r="R152" s="141"/>
      <c r="S152" s="141"/>
    </row>
    <row r="153" spans="2:21">
      <c r="B153" s="141"/>
      <c r="C153" s="136"/>
      <c r="D153" s="138"/>
      <c r="E153" s="138"/>
      <c r="F153" s="141"/>
      <c r="G153" s="141"/>
      <c r="J153" s="141"/>
      <c r="K153" s="141"/>
      <c r="L153" s="141"/>
      <c r="Q153" s="141"/>
      <c r="R153" s="141"/>
      <c r="S153" s="141"/>
    </row>
    <row r="154" spans="2:21">
      <c r="B154" s="141"/>
      <c r="C154" s="136"/>
      <c r="D154" s="138"/>
      <c r="E154" s="138"/>
      <c r="F154" s="141"/>
      <c r="G154" s="141"/>
      <c r="J154" s="141"/>
      <c r="K154" s="141"/>
      <c r="L154" s="141"/>
      <c r="Q154" s="141"/>
      <c r="R154" s="141"/>
      <c r="S154" s="141"/>
    </row>
    <row r="155" spans="2:21">
      <c r="B155" s="924" t="s">
        <v>20</v>
      </c>
      <c r="C155" s="925" t="s">
        <v>2519</v>
      </c>
      <c r="D155" s="138"/>
      <c r="E155" s="138"/>
      <c r="F155" s="141"/>
      <c r="G155" s="141"/>
      <c r="J155" s="141"/>
      <c r="K155" s="141"/>
      <c r="L155" s="141"/>
      <c r="Q155" s="141"/>
      <c r="R155" s="141"/>
      <c r="S155" s="141"/>
    </row>
    <row r="156" spans="2:21">
      <c r="B156" s="924" t="s">
        <v>35</v>
      </c>
      <c r="C156" s="925" t="s">
        <v>35</v>
      </c>
      <c r="D156" s="138"/>
      <c r="E156" s="138"/>
      <c r="F156" s="141"/>
      <c r="G156" s="141"/>
      <c r="J156" s="141"/>
      <c r="K156" s="141"/>
      <c r="L156" s="141"/>
      <c r="Q156" s="141"/>
      <c r="R156" s="141"/>
      <c r="S156" s="141"/>
    </row>
    <row r="157" spans="2:21">
      <c r="B157" s="924" t="s">
        <v>142</v>
      </c>
      <c r="C157" s="925" t="s">
        <v>1668</v>
      </c>
    </row>
    <row r="159" spans="2:21" ht="15.75">
      <c r="B159" s="924" t="s">
        <v>3029</v>
      </c>
      <c r="C159" s="924" t="s">
        <v>1926</v>
      </c>
      <c r="D159" s="925"/>
      <c r="E159" s="925"/>
      <c r="F159" s="925"/>
      <c r="G159"/>
    </row>
    <row r="160" spans="2:21" ht="15.75">
      <c r="B160" s="924" t="s">
        <v>22</v>
      </c>
      <c r="C160" s="925" t="s">
        <v>145</v>
      </c>
      <c r="D160" s="925" t="s">
        <v>148</v>
      </c>
      <c r="E160" s="925" t="s">
        <v>144</v>
      </c>
      <c r="F160" s="925" t="s">
        <v>1200</v>
      </c>
      <c r="G160"/>
    </row>
    <row r="161" spans="2:19" ht="15.75">
      <c r="B161" s="927" t="s">
        <v>39</v>
      </c>
      <c r="C161" s="928">
        <v>95</v>
      </c>
      <c r="D161" s="928">
        <v>10</v>
      </c>
      <c r="E161" s="928">
        <v>11</v>
      </c>
      <c r="F161" s="928">
        <v>19</v>
      </c>
      <c r="G161"/>
    </row>
    <row r="162" spans="2:19" ht="15.75">
      <c r="B162" s="927" t="s">
        <v>716</v>
      </c>
      <c r="C162" s="928">
        <v>16</v>
      </c>
      <c r="D162" s="928">
        <v>10</v>
      </c>
      <c r="E162" s="928">
        <v>7</v>
      </c>
      <c r="F162" s="928">
        <v>6</v>
      </c>
      <c r="G162"/>
    </row>
    <row r="163" spans="2:19" ht="15.75">
      <c r="B163"/>
      <c r="C163"/>
      <c r="D163"/>
      <c r="E163"/>
      <c r="F163"/>
      <c r="G163"/>
    </row>
    <row r="164" spans="2:19">
      <c r="B164" s="141"/>
      <c r="C164" s="141"/>
      <c r="D164" s="141"/>
      <c r="E164" s="141"/>
      <c r="F164" s="141"/>
      <c r="G164" s="141"/>
      <c r="Q164" s="141"/>
      <c r="R164" s="141"/>
      <c r="S164" s="141"/>
    </row>
    <row r="165" spans="2:19">
      <c r="B165" s="183"/>
      <c r="C165" s="183" t="s">
        <v>145</v>
      </c>
      <c r="D165" s="183" t="s">
        <v>148</v>
      </c>
      <c r="E165" s="183" t="s">
        <v>1200</v>
      </c>
      <c r="F165" s="183" t="s">
        <v>194</v>
      </c>
    </row>
    <row r="166" spans="2:19">
      <c r="B166" s="184" t="s">
        <v>39</v>
      </c>
      <c r="C166" s="185">
        <f>GETPIVOTDATA("Is there constructed surface water drainage system?
",$B$159,"State","Kachin","Is there constructed surface water drainage system?
","Functional")</f>
        <v>95</v>
      </c>
      <c r="D166" s="185">
        <f>GETPIVOTDATA("Is there constructed surface water drainage system?
",$B$159,"State","Kachin","Is there constructed surface water drainage system?
","NA")</f>
        <v>10</v>
      </c>
      <c r="E166" s="185">
        <f>GETPIVOTDATA("Is there constructed surface water drainage system?
",$B$159,"State","Kachin","Is there constructed surface water drainage system?
","Not_Functional")</f>
        <v>19</v>
      </c>
      <c r="F166" s="185">
        <f>GETPIVOTDATA("Is there constructed surface water drainage system?
",$B$159,"State","Kachin","Is there constructed surface water drainage system?
","No")</f>
        <v>11</v>
      </c>
    </row>
    <row r="167" spans="2:19">
      <c r="B167" s="184"/>
      <c r="C167" s="185"/>
      <c r="D167" s="185"/>
      <c r="E167" s="185"/>
      <c r="F167" s="185"/>
    </row>
    <row r="168" spans="2:19">
      <c r="B168" s="184" t="s">
        <v>716</v>
      </c>
      <c r="C168" s="185">
        <f>GETPIVOTDATA("Is there constructed surface water drainage system?
",$B$159,"State","Shan (North)","Is there constructed surface water drainage system?
","Functional")</f>
        <v>16</v>
      </c>
      <c r="D168" s="185">
        <f>GETPIVOTDATA("Is there constructed surface water drainage system?
",$B$159,"State","Shan (North)","Is there constructed surface water drainage system?
","NA")</f>
        <v>10</v>
      </c>
      <c r="E168" s="185">
        <f>GETPIVOTDATA("Is there constructed surface water drainage system?
",$B$159,"State","Shan (North)","Is there constructed surface water drainage system?
","Not_Functional")</f>
        <v>6</v>
      </c>
      <c r="F168" s="185">
        <f>GETPIVOTDATA("Is there constructed surface water drainage system?
",$B$159,"State","Shan (North)","Is there constructed surface water drainage system?
","No")</f>
        <v>7</v>
      </c>
    </row>
    <row r="169" spans="2:19">
      <c r="B169" s="181"/>
      <c r="C169" s="182"/>
      <c r="D169" s="182"/>
      <c r="E169" s="182"/>
      <c r="F169" s="182"/>
    </row>
    <row r="170" spans="2:19">
      <c r="B170" s="181"/>
      <c r="C170" s="182"/>
      <c r="D170" s="182"/>
      <c r="E170" s="182"/>
      <c r="F170" s="182"/>
    </row>
    <row r="171" spans="2:19">
      <c r="B171" s="924" t="s">
        <v>20</v>
      </c>
      <c r="C171" s="925" t="s">
        <v>2519</v>
      </c>
    </row>
    <row r="172" spans="2:19">
      <c r="B172" s="924" t="s">
        <v>35</v>
      </c>
      <c r="C172" s="925" t="s">
        <v>35</v>
      </c>
    </row>
    <row r="173" spans="2:19">
      <c r="B173" s="924" t="s">
        <v>142</v>
      </c>
      <c r="C173" s="925" t="s">
        <v>1668</v>
      </c>
    </row>
    <row r="175" spans="2:19" ht="15.75">
      <c r="B175" s="924" t="s">
        <v>3030</v>
      </c>
      <c r="C175" s="924" t="s">
        <v>1926</v>
      </c>
      <c r="D175" s="925"/>
      <c r="E175" s="925"/>
      <c r="F175"/>
      <c r="G175"/>
      <c r="H175" s="141"/>
      <c r="I175" s="141"/>
      <c r="J175" s="141"/>
      <c r="K175" s="141"/>
    </row>
    <row r="176" spans="2:19" ht="15.75">
      <c r="B176" s="924" t="s">
        <v>22</v>
      </c>
      <c r="C176" s="925" t="s">
        <v>148</v>
      </c>
      <c r="D176" s="925" t="s">
        <v>144</v>
      </c>
      <c r="E176" s="925" t="s">
        <v>43</v>
      </c>
      <c r="F176"/>
      <c r="G176"/>
      <c r="H176" s="141"/>
      <c r="I176" s="141"/>
      <c r="J176" s="141"/>
      <c r="K176" s="141"/>
    </row>
    <row r="177" spans="2:24" ht="15.75">
      <c r="B177" s="927" t="s">
        <v>39</v>
      </c>
      <c r="C177" s="928">
        <v>7</v>
      </c>
      <c r="D177" s="928">
        <v>11</v>
      </c>
      <c r="E177" s="928">
        <v>117</v>
      </c>
      <c r="F177"/>
      <c r="G177"/>
      <c r="H177" s="141"/>
      <c r="I177" s="141"/>
      <c r="J177" s="141"/>
      <c r="K177" s="141"/>
    </row>
    <row r="178" spans="2:24" ht="15.75">
      <c r="B178" s="927" t="s">
        <v>716</v>
      </c>
      <c r="C178" s="928">
        <v>11</v>
      </c>
      <c r="D178" s="928">
        <v>8</v>
      </c>
      <c r="E178" s="928">
        <v>20</v>
      </c>
      <c r="F178"/>
      <c r="G178"/>
      <c r="H178" s="141"/>
      <c r="I178" s="141"/>
      <c r="J178" s="141"/>
      <c r="K178" s="141"/>
    </row>
    <row r="179" spans="2:24" ht="15.75">
      <c r="B179"/>
      <c r="C179"/>
      <c r="D179"/>
      <c r="E179"/>
      <c r="F179"/>
      <c r="G179"/>
      <c r="H179" s="141"/>
      <c r="I179" s="141"/>
      <c r="J179" s="141"/>
      <c r="K179" s="141"/>
    </row>
    <row r="180" spans="2:24">
      <c r="B180" s="141"/>
      <c r="C180" s="141"/>
      <c r="D180" s="141"/>
      <c r="E180" s="141"/>
      <c r="F180" s="141"/>
      <c r="G180" s="141"/>
      <c r="H180" s="141"/>
      <c r="I180" s="141"/>
    </row>
    <row r="181" spans="2:24">
      <c r="B181" s="192" t="s">
        <v>1667</v>
      </c>
      <c r="C181" s="634" t="s">
        <v>148</v>
      </c>
      <c r="D181" s="634" t="s">
        <v>144</v>
      </c>
      <c r="E181" s="634" t="s">
        <v>43</v>
      </c>
    </row>
    <row r="182" spans="2:24">
      <c r="B182" s="188" t="s">
        <v>39</v>
      </c>
      <c r="C182" s="190">
        <f>GETPIVOTDATA("Is there provision of solid waste management equipment?",$B$175,"State","Kachin","Is there provision of solid waste management equipment?","NA")</f>
        <v>7</v>
      </c>
      <c r="D182" s="189">
        <f>GETPIVOTDATA("Is there provision of solid waste management equipment?",$B$175,"State","Kachin","Is there provision of solid waste management equipment?","No")</f>
        <v>11</v>
      </c>
      <c r="E182" s="190">
        <f>GETPIVOTDATA("Is there provision of solid waste management equipment?",$B$175,"State","Kachin","Is there provision of solid waste management equipment?","Yes")</f>
        <v>117</v>
      </c>
    </row>
    <row r="183" spans="2:24">
      <c r="B183" s="186"/>
      <c r="C183" s="191"/>
      <c r="D183" s="187"/>
      <c r="E183" s="191"/>
    </row>
    <row r="184" spans="2:24">
      <c r="B184" s="188" t="s">
        <v>716</v>
      </c>
      <c r="C184" s="190">
        <f>GETPIVOTDATA("Is there provision of solid waste management equipment?",$B$175,"State","Shan (North)","Is there provision of solid waste management equipment?","NA")</f>
        <v>11</v>
      </c>
      <c r="D184" s="189">
        <f>GETPIVOTDATA("Is there provision of solid waste management equipment?",$B$175,"State","Shan (North)","Is there provision of solid waste management equipment?","No")</f>
        <v>8</v>
      </c>
      <c r="E184" s="190">
        <f>GETPIVOTDATA("Is there provision of solid waste management equipment?",$B$175,"State","Shan (North)","Is there provision of solid waste management equipment?","Yes")</f>
        <v>20</v>
      </c>
    </row>
    <row r="188" spans="2:24">
      <c r="B188" s="924" t="s">
        <v>20</v>
      </c>
      <c r="C188" s="925" t="s">
        <v>2519</v>
      </c>
      <c r="D188" s="155"/>
    </row>
    <row r="189" spans="2:24">
      <c r="B189" s="924" t="s">
        <v>35</v>
      </c>
      <c r="C189" s="925" t="s">
        <v>35</v>
      </c>
      <c r="D189" s="141"/>
      <c r="L189" s="924" t="s">
        <v>20</v>
      </c>
      <c r="M189" s="925" t="s">
        <v>2519</v>
      </c>
      <c r="N189" s="155"/>
      <c r="V189" s="924" t="s">
        <v>20</v>
      </c>
      <c r="W189" s="925" t="s">
        <v>2519</v>
      </c>
      <c r="X189" s="155"/>
    </row>
    <row r="190" spans="2:24">
      <c r="B190" s="868" t="s">
        <v>22</v>
      </c>
      <c r="C190" s="869" t="s">
        <v>39</v>
      </c>
      <c r="D190" s="141"/>
      <c r="L190" s="924" t="s">
        <v>35</v>
      </c>
      <c r="M190" s="925" t="s">
        <v>35</v>
      </c>
      <c r="N190" s="141"/>
      <c r="V190" s="924" t="s">
        <v>35</v>
      </c>
      <c r="W190" s="925" t="s">
        <v>35</v>
      </c>
      <c r="X190" s="141"/>
    </row>
    <row r="191" spans="2:24">
      <c r="B191" s="924" t="s">
        <v>142</v>
      </c>
      <c r="C191" s="925" t="s">
        <v>1668</v>
      </c>
      <c r="D191" s="141"/>
      <c r="L191" s="868" t="s">
        <v>22</v>
      </c>
      <c r="M191" s="869" t="s">
        <v>716</v>
      </c>
      <c r="N191" s="141"/>
      <c r="V191" s="868" t="s">
        <v>22</v>
      </c>
      <c r="W191" s="869" t="s">
        <v>716</v>
      </c>
      <c r="X191" s="141"/>
    </row>
    <row r="192" spans="2:24">
      <c r="B192" s="624"/>
      <c r="C192" s="141"/>
      <c r="D192" s="141"/>
      <c r="L192" s="924" t="s">
        <v>142</v>
      </c>
      <c r="M192" s="925" t="s">
        <v>1668</v>
      </c>
      <c r="N192" s="141"/>
      <c r="V192" s="924" t="s">
        <v>142</v>
      </c>
      <c r="W192" s="925" t="s">
        <v>3017</v>
      </c>
      <c r="X192" s="141"/>
    </row>
    <row r="193" spans="2:24">
      <c r="B193" s="930" t="s">
        <v>22</v>
      </c>
      <c r="C193" s="925" t="s">
        <v>3200</v>
      </c>
      <c r="D193" s="925" t="s">
        <v>3199</v>
      </c>
      <c r="L193" s="624"/>
      <c r="M193" s="141"/>
      <c r="N193" s="141"/>
      <c r="V193" s="624"/>
      <c r="W193" s="141"/>
      <c r="X193" s="141"/>
    </row>
    <row r="194" spans="2:24">
      <c r="B194" s="927" t="s">
        <v>203</v>
      </c>
      <c r="C194" s="929">
        <v>0.64049399501472926</v>
      </c>
      <c r="D194" s="929">
        <v>0.35950600498527074</v>
      </c>
      <c r="L194" s="930" t="s">
        <v>22</v>
      </c>
      <c r="M194" s="925" t="s">
        <v>3198</v>
      </c>
      <c r="N194" s="925" t="s">
        <v>3199</v>
      </c>
      <c r="V194" s="930" t="s">
        <v>22</v>
      </c>
      <c r="W194" s="925" t="s">
        <v>3198</v>
      </c>
      <c r="X194" s="925" t="s">
        <v>3199</v>
      </c>
    </row>
    <row r="195" spans="2:24">
      <c r="B195" s="927" t="s">
        <v>154</v>
      </c>
      <c r="C195" s="929">
        <v>0.93344594594594599</v>
      </c>
      <c r="D195" s="929">
        <v>6.6554054054054013E-2</v>
      </c>
      <c r="L195" s="927" t="s">
        <v>735</v>
      </c>
      <c r="M195" s="929">
        <v>0.9397260273972603</v>
      </c>
      <c r="N195" s="929">
        <v>6.02739726027397E-2</v>
      </c>
      <c r="V195" s="927" t="s">
        <v>757</v>
      </c>
      <c r="W195" s="929">
        <v>0.51894135962636223</v>
      </c>
      <c r="X195" s="929">
        <v>0.48105864037363777</v>
      </c>
    </row>
    <row r="196" spans="2:24" ht="15.75">
      <c r="B196" s="927" t="s">
        <v>156</v>
      </c>
      <c r="C196" s="929">
        <v>0.8811224489795918</v>
      </c>
      <c r="D196" s="929">
        <v>0.1188775510204082</v>
      </c>
      <c r="L196" s="927" t="s">
        <v>720</v>
      </c>
      <c r="M196" s="929">
        <v>0.76394545776518508</v>
      </c>
      <c r="N196" s="929">
        <v>0.23605454223481492</v>
      </c>
      <c r="V196"/>
      <c r="W196"/>
      <c r="X196"/>
    </row>
    <row r="197" spans="2:24" ht="15.75">
      <c r="B197" s="927" t="s">
        <v>40</v>
      </c>
      <c r="C197" s="929">
        <v>0.58655773084630802</v>
      </c>
      <c r="D197" s="929">
        <v>0.41344226915369198</v>
      </c>
      <c r="L197" s="927" t="s">
        <v>1272</v>
      </c>
      <c r="M197" s="929">
        <v>1</v>
      </c>
      <c r="N197" s="929">
        <v>0</v>
      </c>
      <c r="V197"/>
      <c r="W197"/>
      <c r="X197"/>
    </row>
    <row r="198" spans="2:24" ht="15.75">
      <c r="B198" s="927" t="s">
        <v>160</v>
      </c>
      <c r="C198" s="929">
        <v>0.5738714090287278</v>
      </c>
      <c r="D198" s="929">
        <v>0.4261285909712722</v>
      </c>
      <c r="L198" s="927" t="s">
        <v>723</v>
      </c>
      <c r="M198" s="929">
        <v>0.79729729729729726</v>
      </c>
      <c r="N198" s="929">
        <v>0.20270270270270274</v>
      </c>
      <c r="V198"/>
      <c r="W198"/>
      <c r="X198"/>
    </row>
    <row r="199" spans="2:24" ht="15.75">
      <c r="B199" s="927" t="s">
        <v>165</v>
      </c>
      <c r="C199" s="929">
        <v>0.92121212121212126</v>
      </c>
      <c r="D199" s="929">
        <v>7.878787878787874E-2</v>
      </c>
      <c r="L199" s="927" t="s">
        <v>726</v>
      </c>
      <c r="M199" s="929">
        <v>1</v>
      </c>
      <c r="N199" s="929">
        <v>0</v>
      </c>
      <c r="V199"/>
      <c r="W199"/>
      <c r="X199"/>
    </row>
    <row r="200" spans="2:24" ht="15.75">
      <c r="B200" s="927" t="s">
        <v>213</v>
      </c>
      <c r="C200" s="929">
        <v>0.65070005228606287</v>
      </c>
      <c r="D200" s="929">
        <v>0.34929994771393713</v>
      </c>
      <c r="L200" s="927" t="s">
        <v>717</v>
      </c>
      <c r="M200" s="929">
        <v>0.54361054766734285</v>
      </c>
      <c r="N200" s="929">
        <v>0.45638945233265715</v>
      </c>
      <c r="V200"/>
      <c r="W200"/>
      <c r="X200"/>
    </row>
    <row r="201" spans="2:24">
      <c r="B201" s="927" t="s">
        <v>167</v>
      </c>
      <c r="C201" s="929">
        <v>0.77160755999150565</v>
      </c>
      <c r="D201" s="929">
        <v>0.22839244000849435</v>
      </c>
      <c r="L201" s="927" t="s">
        <v>737</v>
      </c>
      <c r="M201" s="929">
        <v>0.72222222222222221</v>
      </c>
      <c r="N201" s="929">
        <v>0.27777777777777779</v>
      </c>
    </row>
    <row r="202" spans="2:24">
      <c r="B202" s="927" t="s">
        <v>181</v>
      </c>
      <c r="C202" s="929">
        <v>0.13840830449826991</v>
      </c>
      <c r="D202" s="929">
        <v>0.86159169550173009</v>
      </c>
      <c r="L202" s="927" t="s">
        <v>1290</v>
      </c>
      <c r="M202" s="929">
        <v>0</v>
      </c>
      <c r="N202" s="929">
        <v>1</v>
      </c>
    </row>
    <row r="203" spans="2:24" ht="15.75">
      <c r="B203" s="927" t="s">
        <v>222</v>
      </c>
      <c r="C203" s="929">
        <v>0.95761802575107291</v>
      </c>
      <c r="D203" s="929">
        <v>4.238197424892709E-2</v>
      </c>
      <c r="L203"/>
      <c r="M203"/>
      <c r="N203"/>
    </row>
    <row r="204" spans="2:24" ht="15.75">
      <c r="B204" s="927" t="s">
        <v>192</v>
      </c>
      <c r="C204" s="929">
        <v>1</v>
      </c>
      <c r="D204" s="929">
        <v>0</v>
      </c>
      <c r="L204"/>
      <c r="M204"/>
      <c r="N204"/>
    </row>
    <row r="205" spans="2:24" ht="15.75">
      <c r="B205" s="927" t="s">
        <v>150</v>
      </c>
      <c r="C205" s="929">
        <v>0.59044532026962315</v>
      </c>
      <c r="D205" s="929">
        <v>0.40955467973037685</v>
      </c>
      <c r="L205"/>
      <c r="M205"/>
      <c r="N205"/>
    </row>
    <row r="206" spans="2:24" ht="15.75">
      <c r="B206"/>
      <c r="C206"/>
      <c r="D206"/>
      <c r="L206"/>
      <c r="M206"/>
      <c r="N206"/>
    </row>
    <row r="207" spans="2:24" ht="15.75">
      <c r="B207"/>
      <c r="C207"/>
      <c r="D207"/>
      <c r="L207"/>
      <c r="M207"/>
      <c r="N207"/>
    </row>
    <row r="208" spans="2:24" ht="15.75">
      <c r="B208" s="136"/>
      <c r="C208" s="137"/>
      <c r="D208" s="137"/>
      <c r="L208"/>
      <c r="M208"/>
      <c r="N208"/>
    </row>
    <row r="209" spans="1:26" ht="15.75">
      <c r="L209"/>
      <c r="M209"/>
      <c r="N209"/>
    </row>
    <row r="210" spans="1:26" ht="15.75">
      <c r="B210" s="141"/>
      <c r="C210" s="141"/>
      <c r="D210" s="141"/>
      <c r="S210"/>
      <c r="T210"/>
    </row>
    <row r="211" spans="1:26" ht="18.75">
      <c r="A211" s="196" t="s">
        <v>2056</v>
      </c>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5.75">
      <c r="S212"/>
      <c r="T212"/>
    </row>
    <row r="214" spans="1:26">
      <c r="B214" s="924" t="s">
        <v>20</v>
      </c>
      <c r="C214" s="925" t="s">
        <v>2519</v>
      </c>
      <c r="D214" s="141"/>
    </row>
    <row r="215" spans="1:26">
      <c r="B215" s="924" t="s">
        <v>35</v>
      </c>
      <c r="C215" s="925" t="s">
        <v>35</v>
      </c>
      <c r="J215" s="160" t="s">
        <v>39</v>
      </c>
      <c r="K215" s="137"/>
      <c r="L215" s="137"/>
      <c r="M215" s="138"/>
      <c r="Q215" s="160" t="s">
        <v>1928</v>
      </c>
    </row>
    <row r="216" spans="1:26">
      <c r="B216" s="924" t="s">
        <v>142</v>
      </c>
      <c r="C216" s="925" t="s">
        <v>1668</v>
      </c>
      <c r="D216" s="141"/>
      <c r="I216" s="158" t="s">
        <v>25</v>
      </c>
      <c r="K216" s="134">
        <f>GETPIVOTDATA("Sum of Total HH",$B$218,"State","Kachin")</f>
        <v>20364</v>
      </c>
      <c r="P216" s="158" t="s">
        <v>25</v>
      </c>
      <c r="R216" s="134">
        <f>GETPIVOTDATA("Sum of Total HH",$B$218,"State","Shan (North)")</f>
        <v>2373</v>
      </c>
    </row>
    <row r="218" spans="1:26">
      <c r="B218" s="924" t="s">
        <v>1667</v>
      </c>
      <c r="C218" s="925" t="s">
        <v>1931</v>
      </c>
      <c r="D218" s="925" t="s">
        <v>1965</v>
      </c>
      <c r="E218" s="925" t="s">
        <v>1932</v>
      </c>
      <c r="F218" s="925" t="s">
        <v>3042</v>
      </c>
      <c r="G218" s="925" t="s">
        <v>3043</v>
      </c>
      <c r="J218" s="160" t="s">
        <v>35</v>
      </c>
      <c r="K218" s="160" t="s">
        <v>1680</v>
      </c>
      <c r="Q218" s="160" t="s">
        <v>35</v>
      </c>
      <c r="R218" s="160" t="s">
        <v>1680</v>
      </c>
    </row>
    <row r="219" spans="1:26">
      <c r="B219" s="927" t="s">
        <v>39</v>
      </c>
      <c r="C219" s="937">
        <v>20364</v>
      </c>
      <c r="D219" s="928">
        <v>53167</v>
      </c>
      <c r="E219" s="937">
        <v>6777</v>
      </c>
      <c r="F219" s="928">
        <v>5618</v>
      </c>
      <c r="G219" s="928">
        <v>4017</v>
      </c>
      <c r="I219" s="158" t="s">
        <v>1933</v>
      </c>
      <c r="J219" s="161">
        <f>GETPIVOTDATA("Sum of # people reached by regular dedicated hygiene promotion_5",$B$218,"State","Kachin")/5</f>
        <v>10633.4</v>
      </c>
      <c r="K219" s="161">
        <f>$K$216-J219</f>
        <v>9730.6</v>
      </c>
      <c r="P219" s="158" t="s">
        <v>1933</v>
      </c>
      <c r="Q219" s="143">
        <f>GETPIVOTDATA("Sum of # people reached by regular dedicated hygiene promotion_5",$B$218,"State","Shan (North)")/5</f>
        <v>1560.8</v>
      </c>
      <c r="R219" s="143">
        <f>$R$216-Q219</f>
        <v>812.2</v>
      </c>
    </row>
    <row r="220" spans="1:26">
      <c r="B220" s="927" t="s">
        <v>716</v>
      </c>
      <c r="C220" s="937">
        <v>2373</v>
      </c>
      <c r="D220" s="928">
        <v>7804</v>
      </c>
      <c r="E220" s="937">
        <v>604</v>
      </c>
      <c r="F220" s="928">
        <v>2165.8000000000002</v>
      </c>
      <c r="G220" s="928">
        <v>1533</v>
      </c>
      <c r="I220" s="158" t="s">
        <v>1663</v>
      </c>
      <c r="J220" s="161">
        <f>GETPIVOTDATA("Sum of #HH with access to Hand Washing Station",$B$218,"State","Kachin")</f>
        <v>6777</v>
      </c>
      <c r="K220" s="161">
        <f>$K$216-J220</f>
        <v>13587</v>
      </c>
      <c r="P220" s="158" t="s">
        <v>1663</v>
      </c>
      <c r="Q220" s="143">
        <f>GETPIVOTDATA("Sum of #HH with access to Hand Washing Station",$B$218,"State","Shan (North)")</f>
        <v>604</v>
      </c>
      <c r="R220" s="143">
        <f>$R$216-Q220</f>
        <v>1769</v>
      </c>
    </row>
    <row r="221" spans="1:26">
      <c r="B221" s="927" t="s">
        <v>1669</v>
      </c>
      <c r="C221" s="937">
        <v>22737</v>
      </c>
      <c r="D221" s="928">
        <v>60971</v>
      </c>
      <c r="E221" s="937">
        <v>7381</v>
      </c>
      <c r="F221" s="928">
        <v>7783.8</v>
      </c>
      <c r="G221" s="928">
        <v>5550</v>
      </c>
      <c r="I221" s="158" t="s">
        <v>1651</v>
      </c>
      <c r="J221" s="161">
        <f>GETPIVOTDATA("Sum of #_households that received standard amount of soap for this quarter",$B$218,"State","Kachin")</f>
        <v>5618</v>
      </c>
      <c r="K221" s="161">
        <f>$K$216-J221</f>
        <v>14746</v>
      </c>
      <c r="P221" s="158" t="s">
        <v>1651</v>
      </c>
      <c r="Q221" s="143">
        <f>GETPIVOTDATA("Sum of #_households that received standard amount of soap for this quarter",$B$218,"State","Shan (North)")</f>
        <v>2165.8000000000002</v>
      </c>
      <c r="R221" s="143">
        <f>$R$216-Q221</f>
        <v>207.19999999999982</v>
      </c>
    </row>
    <row r="222" spans="1:26" ht="15.75">
      <c r="B222"/>
      <c r="C222"/>
      <c r="D222"/>
      <c r="E222"/>
      <c r="F222"/>
      <c r="G222"/>
      <c r="I222" s="158" t="s">
        <v>1650</v>
      </c>
      <c r="J222" s="161">
        <f>GETPIVOTDATA("Sum of #_households that received standard amount of sanitary pads for this quarter",$B$218,"State","Kachin")</f>
        <v>4017</v>
      </c>
      <c r="K222" s="161">
        <f>$K$216-J222</f>
        <v>16347</v>
      </c>
      <c r="P222" s="158" t="s">
        <v>1650</v>
      </c>
      <c r="Q222" s="143">
        <f>GETPIVOTDATA("Sum of #_households that received standard amount of sanitary pads for this quarter",$B$218,"State","Shan (North)")</f>
        <v>1533</v>
      </c>
      <c r="R222" s="143">
        <f>$R$216-Q222</f>
        <v>840</v>
      </c>
    </row>
    <row r="223" spans="1:26" ht="15.75">
      <c r="B223"/>
      <c r="C223"/>
      <c r="D223"/>
      <c r="E223"/>
      <c r="F223"/>
      <c r="G223"/>
      <c r="Q223" s="143"/>
      <c r="R223" s="143"/>
    </row>
    <row r="224" spans="1:26">
      <c r="B224" s="141"/>
      <c r="C224" s="141"/>
      <c r="D224" s="141"/>
    </row>
    <row r="225" spans="2:42">
      <c r="B225" s="141"/>
      <c r="C225" s="141"/>
      <c r="D225" s="141"/>
    </row>
    <row r="226" spans="2:42">
      <c r="B226" s="141"/>
      <c r="C226" s="141"/>
      <c r="D226" s="141"/>
    </row>
    <row r="227" spans="2:42">
      <c r="B227" s="141"/>
      <c r="C227" s="141"/>
      <c r="D227" s="141"/>
    </row>
    <row r="228" spans="2:42" ht="15.75">
      <c r="B228" s="865"/>
      <c r="C228" s="865"/>
      <c r="D228" s="141"/>
      <c r="I228" s="741"/>
      <c r="J228" s="741"/>
      <c r="K228" s="741"/>
      <c r="L228"/>
      <c r="M228" s="155"/>
    </row>
    <row r="229" spans="2:42" ht="15.75">
      <c r="B229" s="865"/>
      <c r="C229" s="865"/>
      <c r="I229" s="741"/>
      <c r="J229" s="741"/>
      <c r="K229" s="741"/>
      <c r="L229" s="572"/>
      <c r="M229" s="155"/>
    </row>
    <row r="230" spans="2:42" ht="15.75">
      <c r="B230" s="865"/>
      <c r="C230" s="865"/>
      <c r="D230" s="141"/>
      <c r="I230" s="741"/>
      <c r="J230" s="741"/>
      <c r="K230" s="741"/>
      <c r="L230" s="572"/>
      <c r="M230" s="155"/>
    </row>
    <row r="231" spans="2:42" ht="15.75">
      <c r="I231" s="741"/>
      <c r="J231" s="741"/>
      <c r="K231" s="741"/>
      <c r="L231" s="572"/>
      <c r="M231" s="155"/>
    </row>
    <row r="232" spans="2:42" ht="15.75">
      <c r="B232"/>
      <c r="C232"/>
      <c r="D232"/>
      <c r="E232"/>
      <c r="F232"/>
      <c r="G232"/>
      <c r="I232" s="741"/>
      <c r="J232" s="741"/>
      <c r="K232" s="741"/>
      <c r="L232" s="741"/>
      <c r="M232" s="642"/>
      <c r="N232" s="620"/>
      <c r="R232" s="620"/>
      <c r="S232" s="620"/>
      <c r="T232" s="620"/>
      <c r="U232" s="620"/>
      <c r="V232" s="620"/>
      <c r="W232" s="620"/>
      <c r="X232" s="620"/>
      <c r="Y232" s="620"/>
      <c r="Z232" s="620"/>
      <c r="AA232" s="620"/>
      <c r="AB232" s="620"/>
      <c r="AC232" s="620"/>
      <c r="AD232" s="620"/>
      <c r="AE232" s="620"/>
      <c r="AF232" s="620"/>
      <c r="AG232" s="620"/>
      <c r="AH232" s="620"/>
      <c r="AI232" s="620"/>
      <c r="AJ232" s="620"/>
      <c r="AK232" s="620"/>
      <c r="AL232" s="620"/>
      <c r="AM232" s="620"/>
      <c r="AN232" s="620"/>
      <c r="AO232" s="620"/>
      <c r="AP232" s="620"/>
    </row>
    <row r="233" spans="2:42" ht="15.75">
      <c r="B233"/>
      <c r="C233"/>
      <c r="D233"/>
      <c r="E233"/>
      <c r="F233"/>
      <c r="G233"/>
      <c r="I233" s="741"/>
      <c r="J233" s="741"/>
      <c r="K233" s="741"/>
      <c r="L233" s="572"/>
      <c r="M233" s="155"/>
    </row>
    <row r="234" spans="2:42" ht="15.75">
      <c r="B234"/>
      <c r="C234"/>
      <c r="D234"/>
      <c r="E234"/>
      <c r="F234"/>
      <c r="G234"/>
      <c r="I234" s="741"/>
      <c r="J234" s="741"/>
      <c r="K234" s="741"/>
      <c r="L234" s="572"/>
      <c r="M234" s="155"/>
    </row>
    <row r="235" spans="2:42" ht="15.75">
      <c r="B235"/>
      <c r="C235"/>
      <c r="D235"/>
      <c r="E235"/>
      <c r="F235"/>
      <c r="G235"/>
      <c r="I235" s="741"/>
      <c r="J235" s="741"/>
      <c r="K235" s="741"/>
      <c r="L235" s="572"/>
      <c r="M235" s="155"/>
    </row>
    <row r="236" spans="2:42" ht="15.75">
      <c r="B236"/>
      <c r="C236"/>
      <c r="D236"/>
      <c r="E236"/>
      <c r="F236"/>
      <c r="G236"/>
      <c r="I236" s="741"/>
      <c r="J236" s="741"/>
      <c r="K236" s="741"/>
      <c r="L236" s="572"/>
      <c r="M236" s="155"/>
    </row>
    <row r="237" spans="2:42" ht="15.75">
      <c r="B237" s="572"/>
      <c r="C237" s="572"/>
      <c r="D237" s="572"/>
      <c r="E237" s="572"/>
      <c r="F237" s="572"/>
      <c r="G237" s="572"/>
      <c r="I237" s="741"/>
      <c r="J237" s="741"/>
      <c r="K237" s="741"/>
      <c r="L237" s="572"/>
      <c r="M237" s="155"/>
    </row>
    <row r="238" spans="2:42" ht="15.75">
      <c r="B238" s="572"/>
      <c r="C238" s="572"/>
      <c r="D238" s="572"/>
      <c r="E238" s="572"/>
      <c r="F238" s="572"/>
      <c r="G238" s="572"/>
      <c r="I238" s="741"/>
      <c r="J238" s="741"/>
      <c r="K238" s="741"/>
      <c r="L238" s="572"/>
      <c r="M238" s="155"/>
    </row>
    <row r="239" spans="2:42" ht="15.75">
      <c r="B239" s="834"/>
      <c r="C239" s="834"/>
      <c r="D239" s="572"/>
      <c r="E239" s="572"/>
      <c r="F239" s="572"/>
      <c r="G239" s="572"/>
      <c r="K239" s="572"/>
      <c r="L239" s="572"/>
      <c r="M239" s="155"/>
    </row>
    <row r="240" spans="2:42" ht="15.75">
      <c r="B240" s="834"/>
      <c r="C240" s="834"/>
      <c r="D240" s="141"/>
      <c r="K240" s="572"/>
      <c r="L240" s="572"/>
      <c r="M240" s="155"/>
    </row>
    <row r="241" spans="2:23" ht="15.75">
      <c r="B241" s="834"/>
      <c r="C241" s="834"/>
      <c r="K241" s="572"/>
      <c r="L241" s="572"/>
      <c r="M241" s="155"/>
    </row>
    <row r="242" spans="2:23" ht="15.75">
      <c r="B242" s="572"/>
      <c r="C242" s="572"/>
      <c r="D242" s="572"/>
      <c r="E242" s="572"/>
      <c r="F242" s="572"/>
      <c r="G242" s="572"/>
      <c r="K242" s="572"/>
      <c r="L242" s="572"/>
      <c r="M242" s="155"/>
    </row>
    <row r="243" spans="2:23" ht="15.75">
      <c r="B243" s="572"/>
      <c r="C243" s="572"/>
      <c r="D243" s="572"/>
      <c r="E243" s="572"/>
      <c r="F243" s="572"/>
      <c r="G243" s="572"/>
      <c r="K243" s="572"/>
      <c r="L243" s="572"/>
      <c r="M243" s="155"/>
    </row>
    <row r="244" spans="2:23" ht="15.75">
      <c r="B244" s="572"/>
      <c r="C244" s="572"/>
      <c r="D244" s="572"/>
      <c r="E244" s="572"/>
      <c r="F244" s="572"/>
      <c r="G244" s="572"/>
      <c r="K244" s="572"/>
      <c r="L244" s="572"/>
      <c r="M244" s="155"/>
    </row>
    <row r="245" spans="2:23" ht="15.75">
      <c r="B245" s="572"/>
      <c r="C245" s="572"/>
      <c r="D245" s="572"/>
      <c r="E245" s="572"/>
      <c r="F245" s="572"/>
      <c r="G245" s="572"/>
      <c r="K245" s="572"/>
      <c r="L245" s="572"/>
      <c r="M245" s="155"/>
    </row>
    <row r="246" spans="2:23" ht="15.75">
      <c r="B246" s="572"/>
      <c r="C246" s="572"/>
      <c r="D246" s="572"/>
      <c r="E246" s="572"/>
      <c r="F246" s="572"/>
      <c r="G246" s="572"/>
      <c r="K246" s="572"/>
      <c r="L246" s="572"/>
      <c r="M246" s="155"/>
    </row>
    <row r="247" spans="2:23" ht="15.75">
      <c r="B247" s="572"/>
      <c r="C247" s="572"/>
      <c r="D247" s="572"/>
      <c r="E247" s="572"/>
      <c r="F247" s="572"/>
      <c r="G247" s="572"/>
      <c r="K247" s="572"/>
      <c r="L247" s="572"/>
      <c r="M247" s="155"/>
    </row>
    <row r="248" spans="2:23" ht="15.75">
      <c r="B248" s="572"/>
      <c r="C248" s="572"/>
      <c r="D248" s="572"/>
      <c r="E248" s="572"/>
      <c r="F248" s="572"/>
      <c r="G248" s="572"/>
      <c r="K248" s="924" t="s">
        <v>20</v>
      </c>
      <c r="L248" s="925" t="s">
        <v>2519</v>
      </c>
    </row>
    <row r="249" spans="2:23">
      <c r="B249" s="924" t="s">
        <v>20</v>
      </c>
      <c r="C249" s="925" t="s">
        <v>2519</v>
      </c>
      <c r="D249" s="155"/>
      <c r="K249" s="924" t="s">
        <v>35</v>
      </c>
      <c r="L249" s="925" t="s">
        <v>35</v>
      </c>
      <c r="M249" s="141"/>
      <c r="U249" s="924" t="s">
        <v>20</v>
      </c>
      <c r="V249" s="925" t="s">
        <v>2519</v>
      </c>
      <c r="W249" s="155"/>
    </row>
    <row r="250" spans="2:23">
      <c r="B250" s="924" t="s">
        <v>35</v>
      </c>
      <c r="C250" s="925" t="s">
        <v>35</v>
      </c>
      <c r="D250" s="141"/>
      <c r="K250" s="868" t="s">
        <v>22</v>
      </c>
      <c r="L250" s="869" t="s">
        <v>716</v>
      </c>
      <c r="M250" s="141"/>
      <c r="U250" s="924" t="s">
        <v>35</v>
      </c>
      <c r="V250" s="925" t="s">
        <v>35</v>
      </c>
      <c r="W250" s="141"/>
    </row>
    <row r="251" spans="2:23">
      <c r="B251" s="868" t="s">
        <v>22</v>
      </c>
      <c r="C251" s="869" t="s">
        <v>39</v>
      </c>
      <c r="D251" s="141"/>
      <c r="K251" s="924" t="s">
        <v>142</v>
      </c>
      <c r="L251" s="925" t="s">
        <v>1668</v>
      </c>
      <c r="M251" s="141"/>
      <c r="U251" s="868" t="s">
        <v>22</v>
      </c>
      <c r="V251" s="925" t="s">
        <v>716</v>
      </c>
      <c r="W251" s="141"/>
    </row>
    <row r="252" spans="2:23">
      <c r="B252" s="924" t="s">
        <v>142</v>
      </c>
      <c r="C252" s="925" t="s">
        <v>1668</v>
      </c>
      <c r="D252" s="141"/>
      <c r="K252" s="624"/>
      <c r="L252" s="141"/>
      <c r="M252" s="141"/>
      <c r="U252" s="924" t="s">
        <v>142</v>
      </c>
      <c r="V252" s="925" t="s">
        <v>3017</v>
      </c>
      <c r="W252" s="141"/>
    </row>
    <row r="253" spans="2:23">
      <c r="B253" s="624"/>
      <c r="C253" s="141"/>
      <c r="D253" s="141"/>
      <c r="K253" s="930" t="s">
        <v>22</v>
      </c>
      <c r="L253" s="925" t="s">
        <v>3201</v>
      </c>
      <c r="M253" s="925" t="s">
        <v>3196</v>
      </c>
      <c r="U253" s="624"/>
      <c r="V253" s="141"/>
      <c r="W253" s="141"/>
    </row>
    <row r="254" spans="2:23">
      <c r="B254" s="930" t="s">
        <v>22</v>
      </c>
      <c r="C254" s="925" t="s">
        <v>3201</v>
      </c>
      <c r="D254" s="925" t="s">
        <v>3196</v>
      </c>
      <c r="K254" s="927" t="s">
        <v>735</v>
      </c>
      <c r="L254" s="929">
        <v>1</v>
      </c>
      <c r="M254" s="929">
        <v>0</v>
      </c>
      <c r="U254" s="930" t="s">
        <v>22</v>
      </c>
      <c r="V254" s="925" t="s">
        <v>3201</v>
      </c>
      <c r="W254" s="925" t="s">
        <v>3196</v>
      </c>
    </row>
    <row r="255" spans="2:23">
      <c r="B255" s="927" t="s">
        <v>203</v>
      </c>
      <c r="C255" s="929">
        <v>0.77974167233174707</v>
      </c>
      <c r="D255" s="929">
        <v>0.22025832766825293</v>
      </c>
      <c r="K255" s="927" t="s">
        <v>757</v>
      </c>
      <c r="L255" s="929">
        <v>0</v>
      </c>
      <c r="M255" s="929">
        <v>1</v>
      </c>
      <c r="U255" s="927" t="s">
        <v>757</v>
      </c>
      <c r="V255" s="929">
        <v>0</v>
      </c>
      <c r="W255" s="929">
        <v>1</v>
      </c>
    </row>
    <row r="256" spans="2:23">
      <c r="B256" s="927" t="s">
        <v>154</v>
      </c>
      <c r="C256" s="929">
        <v>1</v>
      </c>
      <c r="D256" s="929">
        <v>0</v>
      </c>
      <c r="K256" s="927" t="s">
        <v>720</v>
      </c>
      <c r="L256" s="929">
        <v>0.94492650965114222</v>
      </c>
      <c r="M256" s="929">
        <v>5.5073490348857779E-2</v>
      </c>
    </row>
    <row r="257" spans="2:23">
      <c r="B257" s="927" t="s">
        <v>156</v>
      </c>
      <c r="C257" s="929">
        <v>0.99642857142857144</v>
      </c>
      <c r="D257" s="929">
        <v>3.5714285714285587E-3</v>
      </c>
      <c r="K257" s="927" t="s">
        <v>1272</v>
      </c>
      <c r="L257" s="929">
        <v>1</v>
      </c>
      <c r="M257" s="929">
        <v>0</v>
      </c>
    </row>
    <row r="258" spans="2:23">
      <c r="B258" s="927" t="s">
        <v>40</v>
      </c>
      <c r="C258" s="929">
        <v>0.64243872360104826</v>
      </c>
      <c r="D258" s="929">
        <v>0.35756127639895174</v>
      </c>
      <c r="K258" s="927" t="s">
        <v>723</v>
      </c>
      <c r="L258" s="929">
        <v>1</v>
      </c>
      <c r="M258" s="929">
        <v>0</v>
      </c>
    </row>
    <row r="259" spans="2:23">
      <c r="B259" s="927" t="s">
        <v>160</v>
      </c>
      <c r="C259" s="929">
        <v>1</v>
      </c>
      <c r="D259" s="929">
        <v>0</v>
      </c>
      <c r="K259" s="927" t="s">
        <v>726</v>
      </c>
      <c r="L259" s="929">
        <v>0.41516516516516516</v>
      </c>
      <c r="M259" s="929">
        <v>0.58483483483483489</v>
      </c>
    </row>
    <row r="260" spans="2:23">
      <c r="B260" s="927" t="s">
        <v>165</v>
      </c>
      <c r="C260" s="929">
        <v>1</v>
      </c>
      <c r="D260" s="929">
        <v>0</v>
      </c>
      <c r="K260" s="927" t="s">
        <v>717</v>
      </c>
      <c r="L260" s="929">
        <v>0.98732251521298176</v>
      </c>
      <c r="M260" s="929">
        <v>1.2677484787018245E-2</v>
      </c>
    </row>
    <row r="261" spans="2:23">
      <c r="B261" s="927" t="s">
        <v>213</v>
      </c>
      <c r="C261" s="929">
        <v>0.60593737291581939</v>
      </c>
      <c r="D261" s="929">
        <v>0.39406262708418061</v>
      </c>
      <c r="K261" s="927" t="s">
        <v>737</v>
      </c>
      <c r="L261" s="929">
        <v>1</v>
      </c>
      <c r="M261" s="929">
        <v>0</v>
      </c>
    </row>
    <row r="262" spans="2:23">
      <c r="B262" s="927" t="s">
        <v>167</v>
      </c>
      <c r="C262" s="929">
        <v>0.91983435973667449</v>
      </c>
      <c r="D262" s="929">
        <v>8.0165640263325511E-2</v>
      </c>
      <c r="K262" s="927" t="s">
        <v>1290</v>
      </c>
      <c r="L262" s="929">
        <v>1</v>
      </c>
      <c r="M262" s="929">
        <v>0</v>
      </c>
    </row>
    <row r="263" spans="2:23" ht="15.75">
      <c r="B263" s="927" t="s">
        <v>181</v>
      </c>
      <c r="C263" s="929">
        <v>1</v>
      </c>
      <c r="D263" s="929">
        <v>0</v>
      </c>
      <c r="K263"/>
      <c r="L263"/>
      <c r="M263"/>
    </row>
    <row r="264" spans="2:23" ht="15.75">
      <c r="B264" s="927" t="s">
        <v>222</v>
      </c>
      <c r="C264" s="929">
        <v>0.95493562231759654</v>
      </c>
      <c r="D264" s="929">
        <v>4.5064377682403456E-2</v>
      </c>
      <c r="K264"/>
      <c r="L264"/>
      <c r="M264"/>
    </row>
    <row r="265" spans="2:23" ht="15.75">
      <c r="B265" s="927" t="s">
        <v>192</v>
      </c>
      <c r="C265" s="929">
        <v>1</v>
      </c>
      <c r="D265" s="929">
        <v>0</v>
      </c>
      <c r="K265"/>
      <c r="L265"/>
      <c r="M265"/>
    </row>
    <row r="266" spans="2:23" ht="15.75">
      <c r="B266" s="927" t="s">
        <v>150</v>
      </c>
      <c r="C266" s="929">
        <v>0.49791889204022249</v>
      </c>
      <c r="D266" s="929">
        <v>0.50208110795977756</v>
      </c>
      <c r="K266"/>
      <c r="L266"/>
      <c r="M266"/>
    </row>
    <row r="267" spans="2:23" ht="15.75">
      <c r="B267"/>
      <c r="C267"/>
      <c r="D267"/>
      <c r="K267"/>
      <c r="L267"/>
      <c r="M267"/>
    </row>
    <row r="268" spans="2:23" ht="15.75">
      <c r="B268"/>
      <c r="C268"/>
      <c r="D268"/>
    </row>
    <row r="269" spans="2:23" ht="15.75">
      <c r="B269" s="141"/>
      <c r="C269" s="141"/>
      <c r="D269" s="141"/>
      <c r="K269"/>
      <c r="L269"/>
      <c r="M269"/>
      <c r="U269"/>
      <c r="V269"/>
      <c r="W269"/>
    </row>
    <row r="270" spans="2:23" ht="15.75">
      <c r="B270" s="141"/>
      <c r="C270" s="141"/>
      <c r="D270" s="141"/>
      <c r="K270"/>
      <c r="L270"/>
      <c r="M270"/>
      <c r="U270"/>
      <c r="V270"/>
      <c r="W270"/>
    </row>
    <row r="271" spans="2:23" ht="15.75">
      <c r="B271" s="141"/>
      <c r="C271" s="141"/>
      <c r="D271" s="141"/>
      <c r="K271" s="696"/>
      <c r="L271" s="697"/>
      <c r="M271" s="697"/>
      <c r="U271" s="572"/>
      <c r="V271" s="572"/>
      <c r="W271" s="572"/>
    </row>
    <row r="272" spans="2:23" ht="15.75">
      <c r="B272" s="141"/>
      <c r="C272" s="141"/>
      <c r="D272" s="141"/>
      <c r="K272" s="696"/>
      <c r="L272" s="697"/>
      <c r="M272" s="697"/>
      <c r="U272" s="572"/>
      <c r="V272" s="572"/>
      <c r="W272" s="572"/>
    </row>
    <row r="273" spans="1:26" ht="15.75">
      <c r="B273" s="141"/>
      <c r="C273" s="141"/>
      <c r="D273" s="141"/>
      <c r="K273" s="696"/>
      <c r="L273" s="697"/>
      <c r="M273" s="697"/>
      <c r="U273" s="572"/>
      <c r="V273" s="572"/>
      <c r="W273" s="572"/>
    </row>
    <row r="274" spans="1:26" ht="15.75">
      <c r="B274" s="141"/>
      <c r="C274" s="141"/>
      <c r="D274" s="141"/>
      <c r="K274" s="696"/>
      <c r="L274" s="697"/>
      <c r="M274" s="697"/>
      <c r="U274" s="572"/>
      <c r="V274" s="572"/>
      <c r="W274" s="572"/>
    </row>
    <row r="275" spans="1:26" ht="18.75">
      <c r="A275" s="197" t="s">
        <v>1679</v>
      </c>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c r="B276" s="141"/>
      <c r="C276" s="141"/>
      <c r="D276" s="141"/>
    </row>
    <row r="277" spans="1:26">
      <c r="B277" s="141"/>
      <c r="C277" s="141"/>
      <c r="D277" s="141"/>
    </row>
    <row r="278" spans="1:26">
      <c r="C278" s="924" t="s">
        <v>20</v>
      </c>
      <c r="D278" s="925" t="s">
        <v>2519</v>
      </c>
    </row>
    <row r="279" spans="1:26">
      <c r="C279" s="869" t="s">
        <v>22</v>
      </c>
      <c r="D279" s="925" t="s">
        <v>39</v>
      </c>
      <c r="H279" s="924" t="s">
        <v>20</v>
      </c>
      <c r="I279" s="925" t="s">
        <v>2519</v>
      </c>
    </row>
    <row r="280" spans="1:26">
      <c r="H280" s="869" t="s">
        <v>22</v>
      </c>
      <c r="I280" s="869" t="s">
        <v>716</v>
      </c>
    </row>
    <row r="281" spans="1:26">
      <c r="C281" s="924" t="s">
        <v>1929</v>
      </c>
      <c r="D281" s="924" t="s">
        <v>1926</v>
      </c>
      <c r="E281" s="925"/>
    </row>
    <row r="282" spans="1:26">
      <c r="C282" s="924" t="s">
        <v>1667</v>
      </c>
      <c r="D282" s="925" t="s">
        <v>35</v>
      </c>
      <c r="E282" s="925" t="s">
        <v>1680</v>
      </c>
      <c r="H282" s="924" t="s">
        <v>1929</v>
      </c>
      <c r="I282" s="924" t="s">
        <v>1926</v>
      </c>
      <c r="J282" s="925"/>
    </row>
    <row r="283" spans="1:26">
      <c r="C283" s="927" t="s">
        <v>45</v>
      </c>
      <c r="D283" s="928">
        <v>118</v>
      </c>
      <c r="E283" s="928">
        <v>22</v>
      </c>
      <c r="H283" s="924" t="s">
        <v>1667</v>
      </c>
      <c r="I283" s="925" t="s">
        <v>35</v>
      </c>
      <c r="J283" s="925" t="s">
        <v>1680</v>
      </c>
    </row>
    <row r="284" spans="1:26">
      <c r="C284" s="927" t="s">
        <v>1481</v>
      </c>
      <c r="D284" s="928">
        <v>17</v>
      </c>
      <c r="E284" s="928"/>
      <c r="H284" s="927" t="s">
        <v>45</v>
      </c>
      <c r="I284" s="928">
        <v>33</v>
      </c>
      <c r="J284" s="928">
        <v>3</v>
      </c>
    </row>
    <row r="285" spans="1:26" ht="15.75">
      <c r="C285"/>
      <c r="D285"/>
      <c r="E285"/>
      <c r="H285" s="927" t="s">
        <v>1481</v>
      </c>
      <c r="I285" s="928">
        <v>3</v>
      </c>
      <c r="J285" s="928"/>
    </row>
    <row r="286" spans="1:26" ht="15.75">
      <c r="C286"/>
      <c r="D286"/>
      <c r="E286"/>
      <c r="H286" s="927" t="s">
        <v>3017</v>
      </c>
      <c r="I286" s="928">
        <v>3</v>
      </c>
      <c r="J286" s="928"/>
    </row>
    <row r="287" spans="1:26">
      <c r="H287" s="927" t="s">
        <v>812</v>
      </c>
      <c r="I287" s="928">
        <v>4</v>
      </c>
      <c r="J287" s="928"/>
    </row>
    <row r="299" spans="1:26" ht="18.75">
      <c r="A299" s="198" t="s">
        <v>2057</v>
      </c>
      <c r="B299" s="194"/>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94"/>
      <c r="Y299" s="194"/>
      <c r="Z299" s="194"/>
    </row>
    <row r="302" spans="1:26">
      <c r="C302" s="924" t="s">
        <v>20</v>
      </c>
      <c r="D302" s="925" t="s">
        <v>2519</v>
      </c>
    </row>
    <row r="303" spans="1:26">
      <c r="C303" s="924" t="s">
        <v>35</v>
      </c>
      <c r="D303" s="925" t="s">
        <v>1680</v>
      </c>
    </row>
    <row r="305" spans="3:12">
      <c r="C305" s="924" t="s">
        <v>22</v>
      </c>
      <c r="D305" s="924" t="s">
        <v>23</v>
      </c>
      <c r="E305" s="924" t="s">
        <v>24</v>
      </c>
      <c r="F305" s="924" t="s">
        <v>30</v>
      </c>
      <c r="G305" s="925" t="s">
        <v>1929</v>
      </c>
      <c r="H305" s="925" t="s">
        <v>1979</v>
      </c>
      <c r="I305" s="925" t="s">
        <v>1980</v>
      </c>
      <c r="J305" s="925" t="s">
        <v>1981</v>
      </c>
      <c r="K305" s="925" t="s">
        <v>1982</v>
      </c>
      <c r="L305" s="925" t="s">
        <v>1983</v>
      </c>
    </row>
    <row r="306" spans="3:12">
      <c r="C306" s="925" t="s">
        <v>39</v>
      </c>
      <c r="D306" s="925" t="s">
        <v>203</v>
      </c>
      <c r="E306" s="925" t="s">
        <v>1023</v>
      </c>
      <c r="F306" s="925" t="s">
        <v>786</v>
      </c>
      <c r="G306" s="928">
        <v>1</v>
      </c>
      <c r="H306" s="932">
        <v>190</v>
      </c>
      <c r="I306" s="932">
        <v>928</v>
      </c>
      <c r="J306" s="929">
        <v>1</v>
      </c>
      <c r="K306" s="929">
        <v>1</v>
      </c>
      <c r="L306" s="929">
        <v>1</v>
      </c>
    </row>
    <row r="307" spans="3:12">
      <c r="C307" s="925"/>
      <c r="D307" s="925" t="s">
        <v>156</v>
      </c>
      <c r="E307" s="925" t="s">
        <v>238</v>
      </c>
      <c r="F307" s="925" t="s">
        <v>1101</v>
      </c>
      <c r="G307" s="928">
        <v>1</v>
      </c>
      <c r="H307" s="932">
        <v>70</v>
      </c>
      <c r="I307" s="932">
        <v>350</v>
      </c>
      <c r="J307" s="929">
        <v>1</v>
      </c>
      <c r="K307" s="929">
        <v>1</v>
      </c>
      <c r="L307" s="929">
        <v>1</v>
      </c>
    </row>
    <row r="308" spans="3:12">
      <c r="C308" s="925"/>
      <c r="D308" s="925"/>
      <c r="E308" s="925" t="s">
        <v>265</v>
      </c>
      <c r="F308" s="925" t="s">
        <v>790</v>
      </c>
      <c r="G308" s="928">
        <v>1</v>
      </c>
      <c r="H308" s="932">
        <v>3</v>
      </c>
      <c r="I308" s="932">
        <v>15</v>
      </c>
      <c r="J308" s="929">
        <v>0</v>
      </c>
      <c r="K308" s="929">
        <v>1</v>
      </c>
      <c r="L308" s="929">
        <v>1</v>
      </c>
    </row>
    <row r="309" spans="3:12">
      <c r="C309" s="925"/>
      <c r="D309" s="925"/>
      <c r="E309" s="925" t="s">
        <v>198</v>
      </c>
      <c r="F309" s="925" t="s">
        <v>1101</v>
      </c>
      <c r="G309" s="928">
        <v>1</v>
      </c>
      <c r="H309" s="932">
        <v>10</v>
      </c>
      <c r="I309" s="932">
        <v>18</v>
      </c>
      <c r="J309" s="929">
        <v>1</v>
      </c>
      <c r="K309" s="929">
        <v>1</v>
      </c>
      <c r="L309" s="929">
        <v>1</v>
      </c>
    </row>
    <row r="310" spans="3:12">
      <c r="C310" s="925"/>
      <c r="D310" s="925" t="s">
        <v>40</v>
      </c>
      <c r="E310" s="925" t="s">
        <v>1009</v>
      </c>
      <c r="F310" s="925" t="s">
        <v>786</v>
      </c>
      <c r="G310" s="928">
        <v>1</v>
      </c>
      <c r="H310" s="932">
        <v>80</v>
      </c>
      <c r="I310" s="932">
        <v>290</v>
      </c>
      <c r="J310" s="929">
        <v>1</v>
      </c>
      <c r="K310" s="929">
        <v>1</v>
      </c>
      <c r="L310" s="929">
        <v>1</v>
      </c>
    </row>
    <row r="311" spans="3:12">
      <c r="C311" s="925"/>
      <c r="D311" s="925" t="s">
        <v>160</v>
      </c>
      <c r="E311" s="925" t="s">
        <v>2015</v>
      </c>
      <c r="F311" s="925" t="s">
        <v>790</v>
      </c>
      <c r="G311" s="928">
        <v>1</v>
      </c>
      <c r="H311" s="932">
        <v>6</v>
      </c>
      <c r="I311" s="932">
        <v>32</v>
      </c>
      <c r="J311" s="929">
        <v>1</v>
      </c>
      <c r="K311" s="929">
        <v>1</v>
      </c>
      <c r="L311" s="929">
        <v>1</v>
      </c>
    </row>
    <row r="312" spans="3:12">
      <c r="C312" s="925"/>
      <c r="D312" s="925" t="s">
        <v>165</v>
      </c>
      <c r="E312" s="925" t="s">
        <v>1048</v>
      </c>
      <c r="F312" s="925" t="s">
        <v>786</v>
      </c>
      <c r="G312" s="928">
        <v>1</v>
      </c>
      <c r="H312" s="932">
        <v>27</v>
      </c>
      <c r="I312" s="932">
        <v>121</v>
      </c>
      <c r="J312" s="929">
        <v>1</v>
      </c>
      <c r="K312" s="929">
        <v>1</v>
      </c>
      <c r="L312" s="929">
        <v>1</v>
      </c>
    </row>
    <row r="313" spans="3:12">
      <c r="C313" s="925"/>
      <c r="D313" s="925"/>
      <c r="E313" s="925" t="s">
        <v>1044</v>
      </c>
      <c r="F313" s="925" t="s">
        <v>786</v>
      </c>
      <c r="G313" s="928">
        <v>1</v>
      </c>
      <c r="H313" s="932">
        <v>14</v>
      </c>
      <c r="I313" s="932">
        <v>63</v>
      </c>
      <c r="J313" s="929">
        <v>1</v>
      </c>
      <c r="K313" s="929">
        <v>1</v>
      </c>
      <c r="L313" s="929">
        <v>1</v>
      </c>
    </row>
    <row r="314" spans="3:12">
      <c r="C314" s="925"/>
      <c r="D314" s="925" t="s">
        <v>213</v>
      </c>
      <c r="E314" s="925" t="s">
        <v>1026</v>
      </c>
      <c r="F314" s="925" t="s">
        <v>786</v>
      </c>
      <c r="G314" s="928">
        <v>1</v>
      </c>
      <c r="H314" s="932">
        <v>3</v>
      </c>
      <c r="I314" s="932">
        <v>18</v>
      </c>
      <c r="J314" s="929">
        <v>1</v>
      </c>
      <c r="K314" s="929">
        <v>1</v>
      </c>
      <c r="L314" s="929">
        <v>1</v>
      </c>
    </row>
    <row r="315" spans="3:12">
      <c r="C315" s="925"/>
      <c r="D315" s="925"/>
      <c r="E315" s="925" t="s">
        <v>1018</v>
      </c>
      <c r="F315" s="925" t="s">
        <v>786</v>
      </c>
      <c r="G315" s="928">
        <v>1</v>
      </c>
      <c r="H315" s="932">
        <v>223</v>
      </c>
      <c r="I315" s="932">
        <v>1067</v>
      </c>
      <c r="J315" s="929">
        <v>1</v>
      </c>
      <c r="K315" s="929">
        <v>1</v>
      </c>
      <c r="L315" s="929">
        <v>1</v>
      </c>
    </row>
    <row r="316" spans="3:12">
      <c r="C316" s="925"/>
      <c r="D316" s="925"/>
      <c r="E316" s="925" t="s">
        <v>1028</v>
      </c>
      <c r="F316" s="925" t="s">
        <v>786</v>
      </c>
      <c r="G316" s="928">
        <v>1</v>
      </c>
      <c r="H316" s="932">
        <v>47</v>
      </c>
      <c r="I316" s="932">
        <v>153</v>
      </c>
      <c r="J316" s="929">
        <v>1</v>
      </c>
      <c r="K316" s="929">
        <v>1</v>
      </c>
      <c r="L316" s="929">
        <v>1</v>
      </c>
    </row>
    <row r="317" spans="3:12">
      <c r="C317" s="925"/>
      <c r="D317" s="925" t="s">
        <v>167</v>
      </c>
      <c r="E317" s="925" t="s">
        <v>785</v>
      </c>
      <c r="F317" s="925" t="s">
        <v>774</v>
      </c>
      <c r="G317" s="928">
        <v>1</v>
      </c>
      <c r="H317" s="932">
        <v>375</v>
      </c>
      <c r="I317" s="932">
        <v>1691</v>
      </c>
      <c r="J317" s="929">
        <v>1</v>
      </c>
      <c r="K317" s="929">
        <v>1</v>
      </c>
      <c r="L317" s="929">
        <v>1</v>
      </c>
    </row>
    <row r="318" spans="3:12">
      <c r="C318" s="925"/>
      <c r="D318" s="925"/>
      <c r="E318" s="925" t="s">
        <v>2185</v>
      </c>
      <c r="F318" s="925" t="s">
        <v>1101</v>
      </c>
      <c r="G318" s="928">
        <v>1</v>
      </c>
      <c r="H318" s="932">
        <v>255</v>
      </c>
      <c r="I318" s="932">
        <v>1374</v>
      </c>
      <c r="J318" s="929">
        <v>1</v>
      </c>
      <c r="K318" s="929">
        <v>1</v>
      </c>
      <c r="L318" s="929">
        <v>1</v>
      </c>
    </row>
    <row r="319" spans="3:12">
      <c r="C319" s="925"/>
      <c r="D319" s="925" t="s">
        <v>181</v>
      </c>
      <c r="E319" s="925" t="s">
        <v>1088</v>
      </c>
      <c r="F319" s="925" t="s">
        <v>786</v>
      </c>
      <c r="G319" s="928">
        <v>1</v>
      </c>
      <c r="H319" s="932">
        <v>10</v>
      </c>
      <c r="I319" s="932">
        <v>56</v>
      </c>
      <c r="J319" s="929">
        <v>1</v>
      </c>
      <c r="K319" s="929">
        <v>1</v>
      </c>
      <c r="L319" s="929">
        <v>1</v>
      </c>
    </row>
    <row r="320" spans="3:12">
      <c r="C320" s="925"/>
      <c r="D320" s="925"/>
      <c r="E320" s="925" t="s">
        <v>1094</v>
      </c>
      <c r="F320" s="925" t="s">
        <v>786</v>
      </c>
      <c r="G320" s="928">
        <v>1</v>
      </c>
      <c r="H320" s="932">
        <v>14</v>
      </c>
      <c r="I320" s="932">
        <v>75</v>
      </c>
      <c r="J320" s="929">
        <v>1</v>
      </c>
      <c r="K320" s="929">
        <v>1</v>
      </c>
      <c r="L320" s="929">
        <v>1</v>
      </c>
    </row>
    <row r="321" spans="3:12">
      <c r="C321" s="925"/>
      <c r="D321" s="925" t="s">
        <v>192</v>
      </c>
      <c r="E321" s="925" t="s">
        <v>192</v>
      </c>
      <c r="F321" s="925" t="s">
        <v>790</v>
      </c>
      <c r="G321" s="928">
        <v>1</v>
      </c>
      <c r="H321" s="932">
        <v>5</v>
      </c>
      <c r="I321" s="932">
        <v>32</v>
      </c>
      <c r="J321" s="929">
        <v>1</v>
      </c>
      <c r="K321" s="929">
        <v>1</v>
      </c>
      <c r="L321" s="929">
        <v>1</v>
      </c>
    </row>
    <row r="322" spans="3:12">
      <c r="C322" s="925"/>
      <c r="D322" s="925"/>
      <c r="E322" s="925" t="s">
        <v>3034</v>
      </c>
      <c r="F322" s="925" t="s">
        <v>790</v>
      </c>
      <c r="G322" s="928">
        <v>1</v>
      </c>
      <c r="H322" s="932">
        <v>29</v>
      </c>
      <c r="I322" s="932">
        <v>140</v>
      </c>
      <c r="J322" s="929">
        <v>1</v>
      </c>
      <c r="K322" s="929">
        <v>1</v>
      </c>
      <c r="L322" s="929">
        <v>1</v>
      </c>
    </row>
    <row r="323" spans="3:12">
      <c r="C323" s="925"/>
      <c r="D323" s="925" t="s">
        <v>1153</v>
      </c>
      <c r="E323" s="925" t="s">
        <v>1155</v>
      </c>
      <c r="F323" s="925" t="s">
        <v>1101</v>
      </c>
      <c r="G323" s="928">
        <v>1</v>
      </c>
      <c r="H323" s="932">
        <v>36</v>
      </c>
      <c r="I323" s="932">
        <v>152</v>
      </c>
      <c r="J323" s="929">
        <v>1</v>
      </c>
      <c r="K323" s="929">
        <v>1</v>
      </c>
      <c r="L323" s="929">
        <v>1</v>
      </c>
    </row>
    <row r="324" spans="3:12">
      <c r="C324" s="925"/>
      <c r="D324" s="925"/>
      <c r="E324" s="925" t="s">
        <v>2195</v>
      </c>
      <c r="F324" s="925" t="s">
        <v>1101</v>
      </c>
      <c r="G324" s="928">
        <v>1</v>
      </c>
      <c r="H324" s="932">
        <v>127</v>
      </c>
      <c r="I324" s="932">
        <v>450</v>
      </c>
      <c r="J324" s="929">
        <v>1</v>
      </c>
      <c r="K324" s="929">
        <v>1</v>
      </c>
      <c r="L324" s="929">
        <v>1</v>
      </c>
    </row>
    <row r="325" spans="3:12">
      <c r="C325" s="925"/>
      <c r="D325" s="925"/>
      <c r="E325" s="925" t="s">
        <v>2315</v>
      </c>
      <c r="F325" s="925" t="s">
        <v>1101</v>
      </c>
      <c r="G325" s="928">
        <v>1</v>
      </c>
      <c r="H325" s="932">
        <v>31</v>
      </c>
      <c r="I325" s="932">
        <v>129</v>
      </c>
      <c r="J325" s="929">
        <v>1</v>
      </c>
      <c r="K325" s="929">
        <v>1</v>
      </c>
      <c r="L325" s="929">
        <v>1</v>
      </c>
    </row>
    <row r="326" spans="3:12">
      <c r="C326" s="925"/>
      <c r="D326" s="925" t="s">
        <v>150</v>
      </c>
      <c r="E326" s="925" t="s">
        <v>1057</v>
      </c>
      <c r="F326" s="925" t="s">
        <v>790</v>
      </c>
      <c r="G326" s="928">
        <v>1</v>
      </c>
      <c r="H326" s="932">
        <v>62</v>
      </c>
      <c r="I326" s="932">
        <v>410</v>
      </c>
      <c r="J326" s="929">
        <v>1</v>
      </c>
      <c r="K326" s="929">
        <v>1</v>
      </c>
      <c r="L326" s="929">
        <v>1</v>
      </c>
    </row>
    <row r="327" spans="3:12">
      <c r="C327" s="925"/>
      <c r="D327" s="925"/>
      <c r="E327" s="925" t="s">
        <v>1064</v>
      </c>
      <c r="F327" s="925" t="s">
        <v>790</v>
      </c>
      <c r="G327" s="928">
        <v>1</v>
      </c>
      <c r="H327" s="932">
        <v>80</v>
      </c>
      <c r="I327" s="932">
        <v>449</v>
      </c>
      <c r="J327" s="929">
        <v>1</v>
      </c>
      <c r="K327" s="929">
        <v>1</v>
      </c>
      <c r="L327" s="929">
        <v>1</v>
      </c>
    </row>
    <row r="328" spans="3:12">
      <c r="C328" s="925" t="s">
        <v>1939</v>
      </c>
      <c r="D328" s="925"/>
      <c r="E328" s="925"/>
      <c r="F328" s="925"/>
      <c r="G328" s="928">
        <v>22</v>
      </c>
      <c r="H328" s="932">
        <v>1697</v>
      </c>
      <c r="I328" s="932">
        <v>8013</v>
      </c>
      <c r="J328" s="929">
        <v>0.95454545454545459</v>
      </c>
      <c r="K328" s="929">
        <v>1</v>
      </c>
      <c r="L328" s="929">
        <v>1</v>
      </c>
    </row>
    <row r="329" spans="3:12">
      <c r="C329" s="925" t="s">
        <v>716</v>
      </c>
      <c r="D329" s="925" t="s">
        <v>757</v>
      </c>
      <c r="E329" s="925" t="s">
        <v>758</v>
      </c>
      <c r="F329" s="925" t="s">
        <v>790</v>
      </c>
      <c r="G329" s="928">
        <v>1</v>
      </c>
      <c r="H329" s="932">
        <v>37</v>
      </c>
      <c r="I329" s="932">
        <v>120</v>
      </c>
      <c r="J329" s="929">
        <v>1</v>
      </c>
      <c r="K329" s="929">
        <v>1</v>
      </c>
      <c r="L329" s="929">
        <v>1</v>
      </c>
    </row>
    <row r="330" spans="3:12">
      <c r="C330" s="925"/>
      <c r="D330" s="925" t="s">
        <v>726</v>
      </c>
      <c r="E330" s="925" t="s">
        <v>751</v>
      </c>
      <c r="F330" s="925" t="s">
        <v>790</v>
      </c>
      <c r="G330" s="928">
        <v>1</v>
      </c>
      <c r="H330" s="932">
        <v>55</v>
      </c>
      <c r="I330" s="932">
        <v>221</v>
      </c>
      <c r="J330" s="929">
        <v>1</v>
      </c>
      <c r="K330" s="929">
        <v>0</v>
      </c>
      <c r="L330" s="929">
        <v>1</v>
      </c>
    </row>
    <row r="331" spans="3:12">
      <c r="C331" s="925"/>
      <c r="D331" s="925"/>
      <c r="E331" s="925" t="s">
        <v>727</v>
      </c>
      <c r="F331" s="925" t="s">
        <v>1101</v>
      </c>
      <c r="G331" s="928">
        <v>1</v>
      </c>
      <c r="H331" s="932">
        <v>24</v>
      </c>
      <c r="I331" s="932">
        <v>114</v>
      </c>
      <c r="J331" s="929">
        <v>0</v>
      </c>
      <c r="K331" s="929">
        <v>0</v>
      </c>
      <c r="L331" s="929">
        <v>0</v>
      </c>
    </row>
    <row r="332" spans="3:12">
      <c r="C332" s="925" t="s">
        <v>2983</v>
      </c>
      <c r="D332" s="925"/>
      <c r="E332" s="925"/>
      <c r="F332" s="925"/>
      <c r="G332" s="928">
        <v>3</v>
      </c>
      <c r="H332" s="932">
        <v>116</v>
      </c>
      <c r="I332" s="932">
        <v>455</v>
      </c>
      <c r="J332" s="929">
        <v>0.66666666666666663</v>
      </c>
      <c r="K332" s="929">
        <v>0.33333333333333331</v>
      </c>
      <c r="L332" s="929">
        <v>0.66666666666666663</v>
      </c>
    </row>
    <row r="333" spans="3:12" ht="15.75">
      <c r="C333"/>
      <c r="D333"/>
      <c r="E333"/>
      <c r="F333"/>
      <c r="G333"/>
      <c r="H333"/>
      <c r="I333"/>
      <c r="J333"/>
      <c r="K333"/>
      <c r="L333"/>
    </row>
    <row r="334" spans="3:12" ht="15.75">
      <c r="C334"/>
      <c r="D334"/>
      <c r="E334"/>
      <c r="F334"/>
      <c r="G334"/>
      <c r="H334"/>
      <c r="I334"/>
      <c r="J334"/>
      <c r="K334"/>
      <c r="L334"/>
    </row>
    <row r="335" spans="3:12" ht="15.75">
      <c r="C335"/>
      <c r="D335"/>
      <c r="E335"/>
      <c r="F335"/>
      <c r="G335"/>
      <c r="H335"/>
      <c r="I335"/>
      <c r="J335"/>
      <c r="K335"/>
      <c r="L335"/>
    </row>
    <row r="336" spans="3:12" ht="15.75">
      <c r="C336"/>
      <c r="D336"/>
      <c r="E336"/>
      <c r="F336"/>
      <c r="G336"/>
      <c r="H336"/>
      <c r="I336"/>
      <c r="J336"/>
      <c r="K336"/>
      <c r="L336"/>
    </row>
    <row r="337" spans="1:25" ht="15.75">
      <c r="C337"/>
      <c r="D337"/>
      <c r="E337"/>
      <c r="F337"/>
      <c r="G337"/>
      <c r="H337"/>
      <c r="I337"/>
      <c r="J337"/>
      <c r="K337"/>
      <c r="L337"/>
    </row>
    <row r="338" spans="1:25" ht="15.75">
      <c r="C338"/>
      <c r="D338"/>
      <c r="E338"/>
      <c r="F338"/>
      <c r="G338"/>
      <c r="H338"/>
      <c r="I338"/>
      <c r="J338"/>
      <c r="K338"/>
      <c r="L338"/>
    </row>
    <row r="339" spans="1:25" ht="15.75">
      <c r="C339"/>
      <c r="D339"/>
      <c r="E339"/>
      <c r="F339"/>
      <c r="G339"/>
      <c r="H339"/>
      <c r="I339"/>
      <c r="J339"/>
      <c r="K339"/>
      <c r="L339"/>
    </row>
    <row r="340" spans="1:25" ht="15.75">
      <c r="C340"/>
      <c r="D340"/>
      <c r="E340"/>
      <c r="F340"/>
      <c r="G340"/>
      <c r="H340"/>
      <c r="I340"/>
      <c r="J340"/>
      <c r="K340"/>
      <c r="L340"/>
    </row>
    <row r="341" spans="1:25" ht="15.75">
      <c r="C341"/>
      <c r="D341"/>
      <c r="E341"/>
      <c r="F341"/>
      <c r="G341"/>
      <c r="H341"/>
      <c r="I341"/>
      <c r="J341"/>
      <c r="K341"/>
      <c r="L341"/>
    </row>
    <row r="342" spans="1:25" ht="15.75">
      <c r="C342"/>
      <c r="D342"/>
      <c r="E342"/>
      <c r="F342"/>
      <c r="G342"/>
      <c r="H342"/>
      <c r="I342"/>
      <c r="J342"/>
      <c r="K342"/>
      <c r="L342"/>
    </row>
    <row r="343" spans="1:25" ht="15.75">
      <c r="C343"/>
      <c r="D343"/>
      <c r="E343"/>
      <c r="F343"/>
      <c r="G343"/>
      <c r="H343"/>
      <c r="I343"/>
      <c r="J343"/>
      <c r="K343"/>
      <c r="L343"/>
    </row>
    <row r="344" spans="1:25" ht="15.75">
      <c r="C344"/>
      <c r="D344"/>
      <c r="E344"/>
      <c r="F344"/>
      <c r="G344"/>
      <c r="H344"/>
      <c r="I344"/>
      <c r="J344"/>
      <c r="K344"/>
      <c r="L344"/>
    </row>
    <row r="345" spans="1:25" ht="15.75">
      <c r="C345"/>
      <c r="D345"/>
      <c r="E345"/>
      <c r="F345"/>
      <c r="G345"/>
      <c r="H345"/>
      <c r="I345"/>
      <c r="J345"/>
      <c r="K345"/>
      <c r="L345"/>
    </row>
    <row r="346" spans="1:25" ht="15.75">
      <c r="C346"/>
      <c r="D346"/>
      <c r="E346"/>
      <c r="F346"/>
      <c r="G346"/>
      <c r="H346"/>
      <c r="I346"/>
      <c r="J346"/>
      <c r="K346"/>
      <c r="L346"/>
    </row>
    <row r="347" spans="1:25" ht="15.75">
      <c r="C347"/>
      <c r="D347"/>
      <c r="E347"/>
      <c r="F347"/>
      <c r="G347"/>
      <c r="H347"/>
      <c r="I347"/>
      <c r="J347"/>
      <c r="K347"/>
      <c r="L347"/>
    </row>
    <row r="348" spans="1:25" ht="15.75">
      <c r="C348"/>
      <c r="D348"/>
      <c r="E348"/>
      <c r="F348"/>
      <c r="G348"/>
      <c r="H348"/>
      <c r="I348"/>
      <c r="J348"/>
      <c r="K348"/>
      <c r="L348"/>
    </row>
    <row r="349" spans="1:25" ht="15.75">
      <c r="C349"/>
      <c r="D349"/>
      <c r="E349"/>
      <c r="F349"/>
      <c r="G349"/>
      <c r="H349"/>
      <c r="I349"/>
      <c r="J349"/>
      <c r="K349"/>
      <c r="L349"/>
    </row>
    <row r="350" spans="1:25" ht="18.75">
      <c r="A350" s="199" t="s">
        <v>1984</v>
      </c>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row>
    <row r="351" spans="1:25">
      <c r="C351" s="141"/>
      <c r="D351" s="141"/>
      <c r="E351" s="141"/>
      <c r="F351" s="141"/>
      <c r="G351" s="141"/>
      <c r="H351" s="141"/>
      <c r="I351" s="141"/>
      <c r="J351" s="141"/>
      <c r="K351" s="141"/>
    </row>
    <row r="352" spans="1:25">
      <c r="C352" s="141"/>
      <c r="D352" s="141"/>
      <c r="E352" s="141"/>
      <c r="F352" s="141"/>
      <c r="G352" s="141"/>
      <c r="H352" s="141"/>
      <c r="I352" s="141"/>
      <c r="J352" s="141"/>
      <c r="K352" s="141"/>
    </row>
    <row r="353" spans="3:11">
      <c r="C353" s="141"/>
      <c r="D353" s="141"/>
      <c r="E353" s="141"/>
      <c r="F353" s="141"/>
      <c r="G353" s="141"/>
      <c r="H353" s="141"/>
      <c r="I353" s="141"/>
      <c r="J353" s="141"/>
      <c r="K353" s="141"/>
    </row>
    <row r="354" spans="3:11">
      <c r="C354" s="924" t="s">
        <v>20</v>
      </c>
      <c r="D354" s="925" t="s">
        <v>2519</v>
      </c>
      <c r="F354" s="141"/>
      <c r="G354" s="141"/>
      <c r="H354" s="141"/>
      <c r="I354" s="141"/>
      <c r="J354" s="141"/>
      <c r="K354" s="141"/>
    </row>
    <row r="355" spans="3:11">
      <c r="C355" s="924" t="s">
        <v>35</v>
      </c>
      <c r="D355" s="925" t="s">
        <v>35</v>
      </c>
      <c r="F355" s="141"/>
      <c r="G355" s="141"/>
      <c r="H355" s="141"/>
      <c r="I355" s="141"/>
      <c r="J355" s="141"/>
      <c r="K355" s="141"/>
    </row>
    <row r="356" spans="3:11">
      <c r="C356" s="699"/>
      <c r="F356" s="141"/>
      <c r="G356" s="141"/>
      <c r="H356" s="141"/>
      <c r="I356" s="141"/>
      <c r="J356" s="141"/>
      <c r="K356" s="141"/>
    </row>
    <row r="357" spans="3:11" s="139" customFormat="1" ht="75">
      <c r="C357" s="934" t="s">
        <v>22</v>
      </c>
      <c r="D357" s="935" t="s">
        <v>3007</v>
      </c>
      <c r="E357" s="935" t="s">
        <v>3047</v>
      </c>
      <c r="F357" s="935" t="s">
        <v>3048</v>
      </c>
      <c r="G357" s="936" t="s">
        <v>3049</v>
      </c>
      <c r="H357" s="935" t="s">
        <v>3050</v>
      </c>
      <c r="I357" s="935" t="s">
        <v>3051</v>
      </c>
      <c r="J357" s="643"/>
      <c r="K357" s="643"/>
    </row>
    <row r="358" spans="3:11">
      <c r="C358" s="927" t="s">
        <v>39</v>
      </c>
      <c r="D358" s="932">
        <v>9278</v>
      </c>
      <c r="E358" s="932">
        <v>37</v>
      </c>
      <c r="F358" s="932">
        <v>170</v>
      </c>
      <c r="G358" s="932">
        <v>137</v>
      </c>
      <c r="H358" s="932">
        <v>38</v>
      </c>
      <c r="I358" s="932">
        <v>94</v>
      </c>
      <c r="J358" s="141"/>
      <c r="K358" s="141"/>
    </row>
    <row r="359" spans="3:11">
      <c r="C359" s="927" t="s">
        <v>716</v>
      </c>
      <c r="D359" s="932">
        <v>1930</v>
      </c>
      <c r="E359" s="932"/>
      <c r="F359" s="932">
        <v>6</v>
      </c>
      <c r="G359" s="932">
        <v>1</v>
      </c>
      <c r="H359" s="932">
        <v>87</v>
      </c>
      <c r="I359" s="932">
        <v>0</v>
      </c>
      <c r="J359" s="141"/>
      <c r="K359" s="141"/>
    </row>
    <row r="360" spans="3:11" ht="15.75">
      <c r="C360"/>
      <c r="D360"/>
      <c r="E360"/>
      <c r="F360"/>
      <c r="G360"/>
      <c r="H360"/>
      <c r="I360"/>
      <c r="J360" s="141"/>
      <c r="K360" s="141"/>
    </row>
    <row r="361" spans="3:11" ht="15.75">
      <c r="C361"/>
      <c r="D361"/>
      <c r="E361"/>
      <c r="F361"/>
      <c r="G361"/>
      <c r="H361"/>
      <c r="I361"/>
      <c r="J361" s="141"/>
      <c r="K361" s="141"/>
    </row>
    <row r="362" spans="3:11" ht="15.75" thickBot="1">
      <c r="C362" s="700"/>
      <c r="D362" s="141"/>
      <c r="E362" s="141"/>
      <c r="F362" s="141"/>
      <c r="G362" s="141"/>
      <c r="H362" s="141"/>
      <c r="I362" s="141"/>
      <c r="J362" s="141"/>
      <c r="K362" s="141"/>
    </row>
    <row r="363" spans="3:11" s="644" customFormat="1" ht="41.25" customHeight="1" thickBot="1">
      <c r="C363" s="645" t="s">
        <v>22</v>
      </c>
      <c r="D363" s="640" t="s">
        <v>2371</v>
      </c>
      <c r="E363" s="640" t="s">
        <v>1985</v>
      </c>
      <c r="F363" s="640" t="s">
        <v>3052</v>
      </c>
      <c r="G363" s="641" t="s">
        <v>1986</v>
      </c>
      <c r="H363" s="641" t="s">
        <v>2043</v>
      </c>
      <c r="I363" s="646"/>
      <c r="J363" s="646"/>
      <c r="K363" s="646"/>
    </row>
    <row r="364" spans="3:11">
      <c r="C364" s="164" t="s">
        <v>39</v>
      </c>
      <c r="D364" s="240">
        <f>GETPIVOTDATA(" # of hand washing stations with soap in TLS",$C$357,"State","Kachin")</f>
        <v>94</v>
      </c>
      <c r="E364" s="240">
        <f>GETPIVOTDATA(" #_Constructed/Existing hand washing stations at TLS",$C$357,"State","Kachin")</f>
        <v>137</v>
      </c>
      <c r="F364" s="240">
        <f>GETPIVOTDATA(" #_Hygiene Promotion activities (sessions) in TLS?",$C$357,"State","Kachin")</f>
        <v>38</v>
      </c>
      <c r="G364" s="240">
        <f>GETPIVOTDATA(" #_Constructed/Existing latrines in TLS",$C$357,"State","Kachin")</f>
        <v>170</v>
      </c>
      <c r="H364" s="240">
        <f>GETPIVOTDATA(" #_of water points in TLS and CFS ",$C$357,"State","Kachin")</f>
        <v>37</v>
      </c>
      <c r="I364" s="141"/>
      <c r="J364" s="141"/>
      <c r="K364" s="141"/>
    </row>
    <row r="365" spans="3:11">
      <c r="C365" s="165"/>
      <c r="D365" s="240"/>
      <c r="E365" s="241"/>
      <c r="F365" s="241"/>
      <c r="G365" s="242"/>
      <c r="H365" s="242"/>
      <c r="I365" s="141"/>
      <c r="J365" s="141"/>
      <c r="K365" s="141"/>
    </row>
    <row r="366" spans="3:11">
      <c r="C366" s="164" t="s">
        <v>716</v>
      </c>
      <c r="D366" s="240">
        <f>GETPIVOTDATA(" # of hand washing stations with soap in TLS",$C$357,"State","Shan (North)")</f>
        <v>0</v>
      </c>
      <c r="E366" s="240">
        <f>GETPIVOTDATA(" #_Constructed/Existing hand washing stations at TLS",$C$357,"State","Shan (North)")</f>
        <v>1</v>
      </c>
      <c r="F366" s="240">
        <f>GETPIVOTDATA(" #_Hygiene Promotion activities (sessions) in TLS?",$C$357,"State","Shan (North)")</f>
        <v>87</v>
      </c>
      <c r="G366" s="240">
        <f>GETPIVOTDATA(" #_Constructed/Existing latrines in TLS",$C$357,"State","Shan (North)")</f>
        <v>6</v>
      </c>
      <c r="H366" s="240">
        <f>GETPIVOTDATA(" #_of water points in TLS and CFS ",$C$357,"State","Shan (North)")</f>
        <v>0</v>
      </c>
      <c r="I366" s="141"/>
      <c r="J366" s="141"/>
      <c r="K366" s="141"/>
    </row>
    <row r="367" spans="3:11">
      <c r="C367" s="141"/>
      <c r="D367" s="141"/>
      <c r="E367" s="141"/>
      <c r="F367" s="141"/>
      <c r="G367" s="141"/>
      <c r="H367" s="141"/>
      <c r="I367" s="141"/>
      <c r="J367" s="141"/>
      <c r="K367" s="141"/>
    </row>
    <row r="368" spans="3:11">
      <c r="C368" s="141"/>
      <c r="D368" s="141"/>
      <c r="E368" s="141"/>
      <c r="F368" s="141"/>
      <c r="G368" s="141"/>
      <c r="H368" s="141"/>
      <c r="I368" s="141"/>
      <c r="J368" s="141"/>
      <c r="K368" s="141"/>
    </row>
    <row r="369" spans="3:11">
      <c r="C369" s="141"/>
      <c r="D369" s="141"/>
      <c r="E369" s="141"/>
      <c r="F369" s="141"/>
      <c r="G369" s="141"/>
      <c r="H369" s="141"/>
      <c r="I369" s="141"/>
      <c r="J369" s="141"/>
      <c r="K369" s="141"/>
    </row>
    <row r="370" spans="3:11">
      <c r="C370" s="141"/>
      <c r="D370" s="141"/>
      <c r="E370" s="141"/>
      <c r="F370" s="141"/>
      <c r="G370" s="141"/>
      <c r="H370" s="141"/>
      <c r="I370" s="141"/>
      <c r="J370" s="141"/>
      <c r="K370" s="141"/>
    </row>
    <row r="371" spans="3:11">
      <c r="C371" s="141"/>
      <c r="D371" s="141"/>
      <c r="E371" s="141"/>
      <c r="F371" s="141"/>
      <c r="G371" s="141"/>
      <c r="H371" s="141"/>
      <c r="I371" s="141"/>
      <c r="J371" s="141"/>
      <c r="K371" s="141"/>
    </row>
    <row r="372" spans="3:11">
      <c r="C372" s="141"/>
      <c r="D372" s="141"/>
      <c r="E372" s="141"/>
      <c r="F372" s="141"/>
      <c r="G372" s="141"/>
      <c r="H372" s="141"/>
      <c r="I372" s="141"/>
      <c r="J372" s="141"/>
      <c r="K372" s="141"/>
    </row>
    <row r="373" spans="3:11">
      <c r="C373" s="141"/>
      <c r="D373" s="141"/>
      <c r="E373" s="141"/>
      <c r="F373" s="141"/>
      <c r="G373" s="141"/>
      <c r="H373" s="141"/>
      <c r="I373" s="141"/>
      <c r="J373" s="141"/>
      <c r="K373" s="141"/>
    </row>
    <row r="374" spans="3:11">
      <c r="C374" s="141"/>
      <c r="D374" s="141"/>
      <c r="E374" s="141"/>
      <c r="F374" s="141"/>
      <c r="G374" s="141"/>
      <c r="H374" s="141"/>
      <c r="I374" s="141"/>
      <c r="J374" s="141"/>
      <c r="K374" s="141"/>
    </row>
    <row r="375" spans="3:11">
      <c r="C375" s="141"/>
      <c r="D375" s="141"/>
      <c r="E375" s="141"/>
      <c r="F375" s="141"/>
      <c r="G375" s="141"/>
      <c r="H375" s="141"/>
      <c r="I375" s="141"/>
      <c r="J375" s="141"/>
      <c r="K375" s="141"/>
    </row>
    <row r="376" spans="3:11">
      <c r="C376" s="141"/>
      <c r="D376" s="141"/>
      <c r="E376" s="141"/>
      <c r="F376" s="141"/>
      <c r="G376" s="141"/>
      <c r="H376" s="141"/>
      <c r="I376" s="141"/>
      <c r="J376" s="141"/>
      <c r="K376" s="141"/>
    </row>
    <row r="377" spans="3:11">
      <c r="C377" s="141"/>
      <c r="D377" s="141"/>
      <c r="E377" s="141"/>
      <c r="F377" s="141"/>
      <c r="G377" s="141"/>
      <c r="H377" s="141"/>
      <c r="I377" s="141"/>
      <c r="J377" s="141"/>
      <c r="K377" s="141"/>
    </row>
    <row r="378" spans="3:11">
      <c r="C378" s="141"/>
      <c r="D378" s="141"/>
      <c r="E378" s="141"/>
      <c r="F378" s="141"/>
      <c r="G378" s="141"/>
      <c r="H378" s="141"/>
      <c r="I378" s="141"/>
      <c r="J378" s="141"/>
      <c r="K378" s="141"/>
    </row>
    <row r="379" spans="3:11">
      <c r="C379" s="141"/>
      <c r="D379" s="141"/>
      <c r="E379" s="141"/>
      <c r="F379" s="141"/>
      <c r="G379" s="141"/>
      <c r="H379" s="141"/>
      <c r="I379" s="141"/>
      <c r="J379" s="141"/>
      <c r="K379" s="141"/>
    </row>
    <row r="380" spans="3:11">
      <c r="C380" s="141"/>
      <c r="D380" s="141"/>
      <c r="E380" s="141"/>
      <c r="F380" s="141"/>
      <c r="G380" s="141"/>
      <c r="H380" s="141"/>
      <c r="I380" s="141"/>
      <c r="J380" s="141"/>
      <c r="K380" s="141"/>
    </row>
    <row r="381" spans="3:11">
      <c r="C381" s="141"/>
      <c r="D381" s="141"/>
      <c r="E381" s="141"/>
      <c r="F381" s="141"/>
      <c r="G381" s="141"/>
      <c r="H381" s="141"/>
      <c r="I381" s="141"/>
      <c r="J381" s="141"/>
      <c r="K381" s="141"/>
    </row>
    <row r="382" spans="3:11">
      <c r="C382" s="141"/>
      <c r="D382" s="141"/>
      <c r="E382" s="141"/>
      <c r="F382" s="141"/>
      <c r="G382" s="141"/>
      <c r="H382" s="141"/>
      <c r="I382" s="141"/>
      <c r="J382" s="141"/>
      <c r="K382" s="141"/>
    </row>
    <row r="383" spans="3:11">
      <c r="C383" s="141"/>
      <c r="D383" s="141"/>
      <c r="E383" s="141"/>
      <c r="F383" s="141"/>
      <c r="G383" s="141"/>
      <c r="H383" s="141"/>
      <c r="I383" s="141"/>
      <c r="J383" s="141"/>
      <c r="K383" s="141"/>
    </row>
    <row r="384" spans="3:11">
      <c r="C384" s="141"/>
      <c r="D384" s="141"/>
      <c r="E384" s="141"/>
      <c r="F384" s="141"/>
      <c r="G384" s="141"/>
      <c r="H384" s="141"/>
      <c r="I384" s="141"/>
      <c r="J384" s="141"/>
      <c r="K384" s="141"/>
    </row>
    <row r="385" spans="3:12">
      <c r="C385" s="924" t="s">
        <v>20</v>
      </c>
      <c r="D385" s="925" t="s">
        <v>2519</v>
      </c>
      <c r="E385" s="141"/>
      <c r="F385" s="141"/>
      <c r="G385" s="141"/>
      <c r="H385" s="141"/>
      <c r="I385" s="141"/>
      <c r="J385" s="141"/>
      <c r="K385" s="141"/>
    </row>
    <row r="386" spans="3:12">
      <c r="C386" s="924" t="s">
        <v>35</v>
      </c>
      <c r="D386" s="925" t="s">
        <v>35</v>
      </c>
      <c r="F386" s="141"/>
      <c r="G386" s="141"/>
      <c r="H386" s="141" t="s">
        <v>39</v>
      </c>
      <c r="I386" s="141"/>
      <c r="J386" s="141"/>
      <c r="K386" s="687" t="s">
        <v>3107</v>
      </c>
      <c r="L386" s="687"/>
    </row>
    <row r="387" spans="3:12">
      <c r="C387" s="924" t="s">
        <v>142</v>
      </c>
      <c r="D387" s="925" t="s">
        <v>1668</v>
      </c>
      <c r="F387" s="141"/>
      <c r="G387" s="141"/>
      <c r="H387" s="141"/>
      <c r="I387" s="141"/>
      <c r="J387" s="141"/>
      <c r="K387" s="141"/>
    </row>
    <row r="388" spans="3:12">
      <c r="F388" s="141"/>
      <c r="G388" s="141"/>
      <c r="H388" s="141"/>
      <c r="I388" s="141"/>
      <c r="J388" s="141"/>
      <c r="K388" s="141"/>
    </row>
    <row r="389" spans="3:12" ht="15.75">
      <c r="C389" s="924" t="s">
        <v>3106</v>
      </c>
      <c r="D389" s="924" t="s">
        <v>1926</v>
      </c>
      <c r="E389" s="925"/>
      <c r="F389"/>
      <c r="G389"/>
      <c r="H389"/>
      <c r="I389" s="141"/>
      <c r="J389" s="141"/>
      <c r="K389" s="141"/>
    </row>
    <row r="390" spans="3:12" ht="15.75">
      <c r="C390" s="924" t="s">
        <v>22</v>
      </c>
      <c r="D390" s="925" t="s">
        <v>144</v>
      </c>
      <c r="E390" s="925" t="s">
        <v>43</v>
      </c>
      <c r="F390"/>
      <c r="G390"/>
      <c r="H390"/>
      <c r="I390" s="141"/>
      <c r="J390" s="141"/>
      <c r="K390" s="141"/>
    </row>
    <row r="391" spans="3:12" ht="15.75">
      <c r="C391" s="927" t="s">
        <v>39</v>
      </c>
      <c r="D391" s="929">
        <v>0.85925925925925928</v>
      </c>
      <c r="E391" s="929">
        <v>0.14074074074074075</v>
      </c>
      <c r="F391"/>
      <c r="G391"/>
      <c r="H391"/>
      <c r="I391" s="141"/>
      <c r="J391" s="141"/>
      <c r="K391" s="141"/>
    </row>
    <row r="392" spans="3:12" ht="15.75">
      <c r="C392" s="927" t="s">
        <v>716</v>
      </c>
      <c r="D392" s="929">
        <v>0.33333333333333331</v>
      </c>
      <c r="E392" s="929">
        <v>0.66666666666666663</v>
      </c>
      <c r="F392"/>
      <c r="G392"/>
      <c r="H392"/>
      <c r="I392" s="141"/>
      <c r="J392" s="141"/>
      <c r="K392" s="141"/>
    </row>
    <row r="393" spans="3:12" ht="15.75">
      <c r="C393"/>
      <c r="D393"/>
      <c r="E393"/>
      <c r="F393"/>
      <c r="G393" s="141"/>
      <c r="H393" s="141"/>
      <c r="I393" s="141"/>
      <c r="J393" s="141"/>
      <c r="K393" s="141"/>
    </row>
    <row r="394" spans="3:12" ht="15.75">
      <c r="C394"/>
      <c r="D394"/>
      <c r="E394" s="141"/>
      <c r="F394" s="141"/>
      <c r="G394" s="141"/>
      <c r="H394" s="141"/>
      <c r="I394" s="141"/>
      <c r="J394" s="141"/>
      <c r="K394" s="141"/>
    </row>
    <row r="395" spans="3:12" ht="15.75" thickBot="1">
      <c r="C395" s="690" t="s">
        <v>22</v>
      </c>
      <c r="D395" s="688" t="s">
        <v>144</v>
      </c>
      <c r="E395" s="689" t="s">
        <v>43</v>
      </c>
      <c r="F395" s="141"/>
      <c r="G395" s="141"/>
      <c r="H395" s="141"/>
      <c r="I395" s="141"/>
      <c r="J395" s="141"/>
      <c r="K395" s="141"/>
    </row>
    <row r="396" spans="3:12">
      <c r="C396" s="164" t="s">
        <v>39</v>
      </c>
      <c r="D396" s="691">
        <f>GETPIVOTDATA("Sites with TLS",$C$389,"State","Kachin","Sites with TLS","No")</f>
        <v>0.85925925925925928</v>
      </c>
      <c r="E396" s="691">
        <f>GETPIVOTDATA("Sites with TLS",$C$389,"State","Kachin","Sites with TLS","Yes")</f>
        <v>0.14074074074074075</v>
      </c>
      <c r="F396" s="141"/>
      <c r="G396" s="141"/>
      <c r="H396" s="141"/>
      <c r="I396" s="141"/>
      <c r="J396" s="141"/>
      <c r="K396" s="141"/>
    </row>
    <row r="397" spans="3:12">
      <c r="C397" s="165" t="s">
        <v>716</v>
      </c>
      <c r="D397" s="692">
        <f>GETPIVOTDATA("Sites with TLS",$C$389,"State","Shan (North)","Sites with TLS","No")</f>
        <v>0.33333333333333331</v>
      </c>
      <c r="E397" s="693">
        <f>GETPIVOTDATA("Sites with TLS",$C$389,"State","Shan (North)","Sites with TLS","Yes")</f>
        <v>0.66666666666666663</v>
      </c>
      <c r="F397" s="141"/>
      <c r="G397" s="141"/>
      <c r="H397" s="141"/>
      <c r="I397" s="141"/>
      <c r="J397" s="141"/>
      <c r="K397" s="141"/>
    </row>
    <row r="398" spans="3:12">
      <c r="C398" s="164"/>
      <c r="D398" s="691"/>
      <c r="E398" s="691"/>
      <c r="F398" s="141"/>
      <c r="G398" s="141"/>
      <c r="H398" s="141"/>
      <c r="I398" s="141"/>
      <c r="J398" s="141"/>
      <c r="K398" s="141"/>
    </row>
    <row r="399" spans="3:12">
      <c r="C399" s="141"/>
      <c r="D399" s="141"/>
      <c r="E399" s="141"/>
      <c r="F399" s="141"/>
      <c r="G399" s="141"/>
      <c r="H399" s="141"/>
      <c r="I399" s="141"/>
      <c r="J399" s="141"/>
      <c r="K399" s="141"/>
    </row>
    <row r="400" spans="3:12">
      <c r="C400" s="141"/>
      <c r="D400" s="141"/>
      <c r="E400" s="141"/>
      <c r="F400" s="141"/>
      <c r="G400" s="141"/>
      <c r="H400" s="141"/>
      <c r="I400" s="141"/>
      <c r="J400" s="141"/>
      <c r="K400" s="141"/>
    </row>
    <row r="401" spans="3:11">
      <c r="C401" s="141"/>
      <c r="D401" s="141"/>
      <c r="E401" s="871"/>
      <c r="F401" s="141"/>
      <c r="G401" s="141"/>
      <c r="H401" s="141"/>
      <c r="I401" s="141"/>
      <c r="J401" s="141"/>
      <c r="K401" s="141"/>
    </row>
    <row r="402" spans="3:11">
      <c r="C402" s="141"/>
      <c r="D402" s="141"/>
      <c r="E402" s="141"/>
      <c r="F402" s="141"/>
      <c r="G402" s="141"/>
      <c r="H402" s="141"/>
      <c r="I402" s="141"/>
      <c r="J402" s="141"/>
      <c r="K402" s="141"/>
    </row>
    <row r="403" spans="3:11">
      <c r="C403" s="141"/>
      <c r="D403" s="141"/>
      <c r="E403" s="141"/>
      <c r="F403" s="141"/>
      <c r="G403" s="141"/>
      <c r="H403" s="141"/>
      <c r="I403" s="141"/>
      <c r="J403" s="141"/>
      <c r="K403" s="141"/>
    </row>
    <row r="404" spans="3:11">
      <c r="C404" s="141"/>
      <c r="D404" s="141"/>
      <c r="E404" s="141"/>
      <c r="F404" s="141"/>
      <c r="G404" s="141"/>
      <c r="H404" s="141"/>
      <c r="I404" s="141"/>
      <c r="J404" s="141"/>
      <c r="K404" s="141"/>
    </row>
    <row r="405" spans="3:11">
      <c r="C405" s="141"/>
      <c r="D405" s="141"/>
      <c r="E405" s="141"/>
      <c r="F405" s="141"/>
      <c r="G405" s="141"/>
      <c r="H405" s="141"/>
      <c r="I405" s="141"/>
      <c r="J405" s="141"/>
      <c r="K405" s="141"/>
    </row>
    <row r="406" spans="3:11">
      <c r="C406" s="141"/>
      <c r="D406" s="141"/>
      <c r="E406" s="141"/>
      <c r="F406" s="141"/>
      <c r="G406" s="141"/>
      <c r="H406" s="141"/>
      <c r="I406" s="141"/>
      <c r="J406" s="141"/>
      <c r="K406" s="141"/>
    </row>
    <row r="407" spans="3:11">
      <c r="C407" s="141"/>
      <c r="D407" s="141"/>
      <c r="E407" s="141"/>
      <c r="F407" s="141"/>
      <c r="G407" s="141"/>
      <c r="H407" s="141"/>
      <c r="I407" s="141"/>
      <c r="J407" s="141"/>
      <c r="K407" s="141"/>
    </row>
    <row r="408" spans="3:11">
      <c r="C408" s="141"/>
      <c r="D408" s="141"/>
      <c r="E408" s="141"/>
      <c r="F408" s="141"/>
      <c r="G408" s="141"/>
      <c r="H408" s="141"/>
      <c r="I408" s="141"/>
      <c r="J408" s="141"/>
      <c r="K408" s="141"/>
    </row>
    <row r="409" spans="3:11">
      <c r="C409" s="141"/>
      <c r="D409" s="141"/>
      <c r="E409" s="141"/>
      <c r="F409" s="141"/>
      <c r="G409" s="141"/>
      <c r="H409" s="141"/>
      <c r="I409" s="141"/>
      <c r="J409" s="141"/>
      <c r="K409" s="141"/>
    </row>
    <row r="410" spans="3:11">
      <c r="C410" s="141"/>
      <c r="D410" s="141"/>
      <c r="E410" s="141"/>
      <c r="F410" s="141"/>
      <c r="G410" s="141"/>
      <c r="H410" s="141"/>
      <c r="I410" s="141"/>
      <c r="J410" s="141"/>
      <c r="K410" s="141"/>
    </row>
    <row r="411" spans="3:11">
      <c r="C411" s="141"/>
      <c r="D411" s="141"/>
      <c r="E411" s="141"/>
      <c r="F411" s="141"/>
      <c r="G411" s="141"/>
      <c r="H411" s="141"/>
      <c r="I411" s="141"/>
      <c r="J411" s="141"/>
      <c r="K411" s="141"/>
    </row>
    <row r="412" spans="3:11">
      <c r="C412" s="141"/>
      <c r="D412" s="141"/>
      <c r="E412" s="141"/>
      <c r="F412" s="141"/>
      <c r="G412" s="141"/>
      <c r="H412" s="141"/>
      <c r="I412" s="141"/>
      <c r="J412" s="141"/>
      <c r="K412" s="141"/>
    </row>
    <row r="413" spans="3:11">
      <c r="C413" s="141"/>
      <c r="D413" s="141"/>
      <c r="E413" s="141"/>
      <c r="F413" s="141"/>
      <c r="G413" s="141"/>
      <c r="H413" s="141"/>
      <c r="I413" s="141"/>
      <c r="J413" s="141"/>
      <c r="K413" s="141"/>
    </row>
    <row r="414" spans="3:11">
      <c r="C414" s="141"/>
      <c r="D414" s="141"/>
      <c r="E414" s="141"/>
      <c r="F414" s="141"/>
      <c r="G414" s="141"/>
      <c r="H414" s="141"/>
      <c r="I414" s="141"/>
      <c r="J414" s="141"/>
      <c r="K414" s="141"/>
    </row>
    <row r="415" spans="3:11">
      <c r="C415" s="141"/>
      <c r="D415" s="141"/>
      <c r="E415" s="141"/>
      <c r="F415" s="141"/>
      <c r="G415" s="141"/>
      <c r="H415" s="141"/>
      <c r="I415" s="141"/>
      <c r="J415" s="141"/>
      <c r="K415" s="141"/>
    </row>
    <row r="416" spans="3:11">
      <c r="C416" s="141"/>
      <c r="D416" s="141"/>
      <c r="E416" s="141"/>
      <c r="F416" s="141"/>
      <c r="G416" s="141"/>
      <c r="H416" s="141"/>
      <c r="I416" s="141"/>
      <c r="J416" s="141"/>
      <c r="K416" s="141"/>
    </row>
    <row r="417" spans="3:11">
      <c r="C417" s="141"/>
      <c r="D417" s="141"/>
      <c r="E417" s="141"/>
      <c r="F417" s="141"/>
      <c r="G417" s="141"/>
      <c r="H417" s="141"/>
      <c r="I417" s="141"/>
      <c r="J417" s="141"/>
      <c r="K417" s="141"/>
    </row>
    <row r="418" spans="3:11">
      <c r="C418" s="141"/>
      <c r="D418" s="141"/>
      <c r="E418" s="141"/>
      <c r="F418" s="141"/>
      <c r="G418" s="141"/>
      <c r="H418" s="141"/>
      <c r="I418" s="141"/>
      <c r="J418" s="141"/>
      <c r="K418" s="141"/>
    </row>
    <row r="419" spans="3:11">
      <c r="C419" s="141"/>
      <c r="D419" s="141"/>
      <c r="E419" s="141"/>
      <c r="F419" s="141"/>
      <c r="G419" s="141"/>
      <c r="H419" s="141"/>
      <c r="I419" s="141"/>
      <c r="J419" s="141"/>
      <c r="K419" s="141"/>
    </row>
    <row r="420" spans="3:11">
      <c r="C420" s="141"/>
      <c r="D420" s="141"/>
      <c r="E420" s="141"/>
      <c r="F420" s="141"/>
      <c r="G420" s="141"/>
      <c r="H420" s="141"/>
      <c r="I420" s="141"/>
      <c r="J420" s="141"/>
      <c r="K420" s="141"/>
    </row>
    <row r="421" spans="3:11">
      <c r="C421" s="141"/>
      <c r="D421" s="141"/>
      <c r="E421" s="141"/>
      <c r="F421" s="141"/>
      <c r="G421" s="141"/>
      <c r="H421" s="141"/>
      <c r="I421" s="141"/>
      <c r="J421" s="141"/>
      <c r="K421" s="141"/>
    </row>
    <row r="422" spans="3:11">
      <c r="C422" s="141"/>
      <c r="D422" s="141"/>
      <c r="E422" s="141"/>
      <c r="F422" s="141"/>
      <c r="G422" s="141"/>
      <c r="H422" s="141"/>
      <c r="I422" s="141"/>
      <c r="J422" s="141"/>
      <c r="K422" s="141"/>
    </row>
    <row r="423" spans="3:11">
      <c r="C423" s="141"/>
      <c r="D423" s="141"/>
      <c r="E423" s="141"/>
      <c r="F423" s="141"/>
      <c r="G423" s="141"/>
      <c r="H423" s="141"/>
      <c r="I423" s="141"/>
      <c r="J423" s="141"/>
      <c r="K423" s="141"/>
    </row>
    <row r="424" spans="3:11">
      <c r="C424" s="141"/>
      <c r="D424" s="141"/>
      <c r="E424" s="141"/>
      <c r="F424" s="141"/>
      <c r="G424" s="141"/>
      <c r="H424" s="141"/>
      <c r="I424" s="141"/>
      <c r="J424" s="141"/>
      <c r="K424" s="141"/>
    </row>
    <row r="425" spans="3:11">
      <c r="C425" s="141"/>
      <c r="D425" s="141"/>
      <c r="E425" s="141"/>
      <c r="F425" s="141"/>
      <c r="G425" s="141"/>
      <c r="H425" s="141"/>
      <c r="I425" s="141"/>
      <c r="J425" s="141"/>
      <c r="K425" s="141"/>
    </row>
    <row r="426" spans="3:11">
      <c r="C426" s="141"/>
      <c r="D426" s="141"/>
      <c r="E426" s="141"/>
      <c r="F426" s="141"/>
      <c r="G426" s="141"/>
      <c r="H426" s="141"/>
      <c r="I426" s="141"/>
      <c r="J426" s="141"/>
      <c r="K426" s="141"/>
    </row>
    <row r="427" spans="3:11">
      <c r="C427" s="141"/>
      <c r="D427" s="141"/>
      <c r="E427" s="141"/>
      <c r="F427" s="141"/>
      <c r="G427" s="141"/>
      <c r="H427" s="141"/>
      <c r="I427" s="141"/>
      <c r="J427" s="141"/>
      <c r="K427" s="141"/>
    </row>
    <row r="428" spans="3:11">
      <c r="C428" s="141"/>
      <c r="D428" s="141"/>
      <c r="E428" s="141"/>
      <c r="F428" s="141"/>
      <c r="G428" s="141"/>
      <c r="H428" s="141"/>
      <c r="I428" s="141"/>
      <c r="J428" s="141"/>
      <c r="K428" s="141"/>
    </row>
    <row r="429" spans="3:11">
      <c r="C429" s="141"/>
      <c r="D429" s="141"/>
      <c r="E429" s="141"/>
      <c r="F429" s="141"/>
      <c r="G429" s="141"/>
      <c r="H429" s="141"/>
      <c r="I429" s="141"/>
      <c r="J429" s="141"/>
      <c r="K429" s="141"/>
    </row>
    <row r="430" spans="3:11">
      <c r="C430" s="141"/>
      <c r="D430" s="141"/>
      <c r="E430" s="141"/>
      <c r="F430" s="141"/>
      <c r="G430" s="141"/>
      <c r="H430" s="141"/>
      <c r="I430" s="141"/>
      <c r="J430" s="141"/>
      <c r="K430" s="141"/>
    </row>
    <row r="431" spans="3:11">
      <c r="C431" s="141"/>
      <c r="D431" s="141"/>
      <c r="E431" s="141"/>
      <c r="F431" s="141"/>
      <c r="G431" s="141"/>
      <c r="H431" s="141"/>
      <c r="I431" s="141"/>
      <c r="J431" s="141"/>
      <c r="K431" s="141"/>
    </row>
    <row r="432" spans="3:11">
      <c r="C432" s="141"/>
      <c r="D432" s="141"/>
      <c r="E432" s="141"/>
      <c r="F432" s="141"/>
      <c r="G432" s="141"/>
      <c r="H432" s="141"/>
      <c r="I432" s="141"/>
      <c r="J432" s="141"/>
      <c r="K432" s="141"/>
    </row>
    <row r="433" spans="3:11">
      <c r="C433" s="141"/>
      <c r="D433" s="141"/>
      <c r="E433" s="141"/>
      <c r="F433" s="141"/>
      <c r="G433" s="141"/>
      <c r="H433" s="141"/>
      <c r="I433" s="141"/>
      <c r="J433" s="141"/>
      <c r="K433" s="141"/>
    </row>
    <row r="434" spans="3:11">
      <c r="C434" s="141"/>
      <c r="D434" s="141"/>
      <c r="E434" s="141"/>
      <c r="F434" s="141"/>
      <c r="G434" s="141"/>
      <c r="H434" s="141"/>
      <c r="I434" s="141"/>
      <c r="J434" s="141"/>
      <c r="K434" s="141"/>
    </row>
    <row r="435" spans="3:11">
      <c r="C435" s="141"/>
      <c r="D435" s="141"/>
      <c r="E435" s="141"/>
      <c r="F435" s="141"/>
      <c r="G435" s="141"/>
      <c r="H435" s="141"/>
      <c r="I435" s="141"/>
      <c r="J435" s="141"/>
      <c r="K435" s="141"/>
    </row>
    <row r="436" spans="3:11">
      <c r="C436" s="141"/>
      <c r="D436" s="141"/>
      <c r="E436" s="141"/>
      <c r="F436" s="141"/>
      <c r="G436" s="141"/>
      <c r="H436" s="141"/>
      <c r="I436" s="141"/>
      <c r="J436" s="141"/>
      <c r="K436" s="141"/>
    </row>
    <row r="437" spans="3:11">
      <c r="C437" s="141"/>
      <c r="D437" s="141"/>
      <c r="E437" s="141"/>
      <c r="F437" s="141"/>
      <c r="G437" s="141"/>
      <c r="H437" s="141"/>
      <c r="I437" s="141"/>
      <c r="J437" s="141"/>
      <c r="K437" s="141"/>
    </row>
    <row r="438" spans="3:11">
      <c r="C438" s="141"/>
      <c r="D438" s="141"/>
      <c r="E438" s="141"/>
      <c r="F438" s="141"/>
      <c r="G438" s="141"/>
      <c r="H438" s="141"/>
      <c r="I438" s="141"/>
      <c r="J438" s="141"/>
      <c r="K438" s="141"/>
    </row>
    <row r="439" spans="3:11">
      <c r="C439" s="141"/>
      <c r="D439" s="141"/>
      <c r="E439" s="141"/>
      <c r="F439" s="141"/>
      <c r="G439" s="141"/>
      <c r="H439" s="141"/>
      <c r="I439" s="141"/>
      <c r="J439" s="141"/>
      <c r="K439" s="141"/>
    </row>
    <row r="440" spans="3:11">
      <c r="C440" s="141"/>
      <c r="D440" s="141"/>
      <c r="E440" s="141"/>
      <c r="F440" s="141"/>
      <c r="G440" s="141"/>
      <c r="H440" s="141"/>
      <c r="I440" s="141"/>
      <c r="J440" s="141"/>
      <c r="K440" s="141"/>
    </row>
    <row r="441" spans="3:11">
      <c r="C441" s="141"/>
      <c r="D441" s="141"/>
      <c r="E441" s="141"/>
      <c r="F441" s="141"/>
      <c r="G441" s="141"/>
      <c r="H441" s="141"/>
      <c r="I441" s="141"/>
      <c r="J441" s="141"/>
      <c r="K441" s="141"/>
    </row>
    <row r="442" spans="3:11">
      <c r="C442" s="141"/>
      <c r="D442" s="141"/>
      <c r="E442" s="141"/>
      <c r="F442" s="141"/>
      <c r="G442" s="141"/>
      <c r="H442" s="141"/>
      <c r="I442" s="141"/>
      <c r="J442" s="141"/>
      <c r="K442" s="141"/>
    </row>
    <row r="443" spans="3:11">
      <c r="C443" s="141"/>
      <c r="D443" s="141"/>
      <c r="E443" s="141"/>
      <c r="F443" s="141"/>
      <c r="G443" s="141"/>
      <c r="H443" s="141"/>
      <c r="I443" s="141"/>
      <c r="J443" s="141"/>
      <c r="K443" s="141"/>
    </row>
    <row r="444" spans="3:11">
      <c r="C444" s="141"/>
      <c r="D444" s="141"/>
      <c r="E444" s="141"/>
      <c r="F444" s="141"/>
      <c r="G444" s="141"/>
      <c r="H444" s="141"/>
      <c r="I444" s="141"/>
      <c r="J444" s="141"/>
      <c r="K444" s="141"/>
    </row>
    <row r="445" spans="3:11">
      <c r="C445" s="141"/>
      <c r="D445" s="141"/>
      <c r="E445" s="141"/>
      <c r="F445" s="141"/>
      <c r="G445" s="141"/>
      <c r="H445" s="141"/>
      <c r="I445" s="141"/>
      <c r="J445" s="141"/>
      <c r="K445" s="141"/>
    </row>
    <row r="446" spans="3:11">
      <c r="C446" s="141"/>
      <c r="D446" s="141"/>
      <c r="E446" s="141"/>
      <c r="F446" s="141"/>
      <c r="G446" s="141"/>
      <c r="H446" s="141"/>
      <c r="I446" s="141"/>
      <c r="J446" s="141"/>
      <c r="K446" s="141"/>
    </row>
    <row r="447" spans="3:11">
      <c r="C447" s="141"/>
      <c r="D447" s="141"/>
      <c r="E447" s="141"/>
      <c r="F447" s="141"/>
      <c r="G447" s="141"/>
      <c r="H447" s="141"/>
      <c r="I447" s="141"/>
      <c r="J447" s="141"/>
      <c r="K447" s="141"/>
    </row>
    <row r="448" spans="3:11">
      <c r="C448" s="141"/>
      <c r="D448" s="141"/>
      <c r="E448" s="141"/>
      <c r="F448" s="141"/>
      <c r="G448" s="141"/>
      <c r="H448" s="141"/>
      <c r="I448" s="141"/>
      <c r="J448" s="141"/>
      <c r="K448" s="141"/>
    </row>
    <row r="449" spans="3:11">
      <c r="C449" s="141"/>
      <c r="D449" s="141"/>
      <c r="E449" s="141"/>
      <c r="F449" s="141"/>
      <c r="G449" s="141"/>
      <c r="H449" s="141"/>
      <c r="I449" s="141"/>
      <c r="J449" s="141"/>
      <c r="K449" s="141"/>
    </row>
    <row r="450" spans="3:11">
      <c r="C450" s="141"/>
      <c r="D450" s="141"/>
      <c r="E450" s="141"/>
      <c r="F450" s="141"/>
      <c r="G450" s="141"/>
      <c r="H450" s="141"/>
      <c r="I450" s="141"/>
      <c r="J450" s="141"/>
      <c r="K450" s="141"/>
    </row>
    <row r="451" spans="3:11">
      <c r="C451" s="141"/>
      <c r="D451" s="141"/>
      <c r="E451" s="141"/>
      <c r="F451" s="141"/>
      <c r="G451" s="141"/>
      <c r="H451" s="141"/>
      <c r="I451" s="141"/>
      <c r="J451" s="141"/>
      <c r="K451" s="141"/>
    </row>
    <row r="452" spans="3:11">
      <c r="C452" s="141"/>
      <c r="D452" s="141"/>
      <c r="E452" s="141"/>
      <c r="F452" s="141"/>
      <c r="G452" s="141"/>
      <c r="H452" s="141"/>
      <c r="I452" s="141"/>
      <c r="J452" s="141"/>
      <c r="K452" s="141"/>
    </row>
    <row r="453" spans="3:11">
      <c r="C453" s="141"/>
      <c r="D453" s="141"/>
      <c r="E453" s="141"/>
      <c r="F453" s="141"/>
      <c r="G453" s="141"/>
      <c r="H453" s="141"/>
      <c r="I453" s="141"/>
      <c r="J453" s="141"/>
      <c r="K453" s="141"/>
    </row>
    <row r="454" spans="3:11">
      <c r="C454" s="141"/>
      <c r="D454" s="141"/>
      <c r="E454" s="141"/>
      <c r="F454" s="141"/>
      <c r="G454" s="141"/>
      <c r="H454" s="141"/>
      <c r="I454" s="141"/>
      <c r="J454" s="141"/>
      <c r="K454" s="141"/>
    </row>
    <row r="455" spans="3:11">
      <c r="C455" s="141"/>
      <c r="D455" s="141"/>
      <c r="E455" s="141"/>
      <c r="F455" s="141"/>
      <c r="G455" s="141"/>
      <c r="H455" s="141"/>
      <c r="I455" s="141"/>
      <c r="J455" s="141"/>
      <c r="K455" s="141"/>
    </row>
    <row r="456" spans="3:11">
      <c r="C456" s="141"/>
      <c r="D456" s="141"/>
      <c r="E456" s="141"/>
      <c r="F456" s="141"/>
      <c r="G456" s="141"/>
      <c r="H456" s="141"/>
      <c r="I456" s="141"/>
      <c r="J456" s="141"/>
      <c r="K456" s="141"/>
    </row>
    <row r="457" spans="3:11">
      <c r="C457" s="141"/>
      <c r="D457" s="141"/>
      <c r="E457" s="141"/>
      <c r="F457" s="141"/>
      <c r="G457" s="141"/>
      <c r="H457" s="141"/>
      <c r="I457" s="141"/>
      <c r="J457" s="141"/>
      <c r="K457" s="141"/>
    </row>
    <row r="458" spans="3:11">
      <c r="C458" s="141"/>
      <c r="D458" s="141"/>
      <c r="E458" s="141"/>
      <c r="F458" s="141"/>
      <c r="G458" s="141"/>
      <c r="H458" s="141"/>
      <c r="I458" s="141"/>
      <c r="J458" s="141"/>
      <c r="K458" s="141"/>
    </row>
    <row r="459" spans="3:11">
      <c r="C459" s="141"/>
      <c r="D459" s="141"/>
      <c r="E459" s="141"/>
      <c r="F459" s="141"/>
      <c r="G459" s="141"/>
      <c r="H459" s="141"/>
      <c r="I459" s="141"/>
      <c r="J459" s="141"/>
      <c r="K459" s="141"/>
    </row>
    <row r="460" spans="3:11">
      <c r="C460" s="141"/>
      <c r="D460" s="141"/>
      <c r="E460" s="141"/>
      <c r="F460" s="141"/>
      <c r="G460" s="141"/>
      <c r="H460" s="141"/>
      <c r="I460" s="141"/>
      <c r="J460" s="141"/>
      <c r="K460" s="141"/>
    </row>
    <row r="461" spans="3:11">
      <c r="C461" s="141"/>
      <c r="D461" s="141"/>
      <c r="E461" s="141"/>
      <c r="F461" s="141"/>
      <c r="G461" s="141"/>
      <c r="H461" s="141"/>
      <c r="I461" s="141"/>
      <c r="J461" s="141"/>
      <c r="K461" s="141"/>
    </row>
    <row r="462" spans="3:11">
      <c r="C462" s="141"/>
      <c r="D462" s="141"/>
      <c r="E462" s="141"/>
      <c r="F462" s="141"/>
      <c r="G462" s="141"/>
      <c r="H462" s="141"/>
      <c r="I462" s="141"/>
      <c r="J462" s="141"/>
      <c r="K462" s="141"/>
    </row>
    <row r="463" spans="3:11">
      <c r="C463" s="141"/>
      <c r="D463" s="141"/>
      <c r="E463" s="141"/>
      <c r="F463" s="141"/>
      <c r="G463" s="141"/>
      <c r="H463" s="141"/>
      <c r="I463" s="141"/>
      <c r="J463" s="141"/>
      <c r="K463" s="141"/>
    </row>
    <row r="464" spans="3:11">
      <c r="C464" s="141"/>
      <c r="D464" s="141"/>
      <c r="E464" s="141"/>
      <c r="F464" s="141"/>
      <c r="G464" s="141"/>
      <c r="H464" s="141"/>
      <c r="I464" s="141"/>
      <c r="J464" s="141"/>
      <c r="K464" s="141"/>
    </row>
    <row r="465" spans="3:11">
      <c r="C465" s="141"/>
      <c r="D465" s="141"/>
      <c r="E465" s="141"/>
      <c r="F465" s="141"/>
      <c r="G465" s="141"/>
      <c r="H465" s="141"/>
      <c r="I465" s="141"/>
      <c r="J465" s="141"/>
      <c r="K465" s="141"/>
    </row>
    <row r="466" spans="3:11">
      <c r="C466" s="141"/>
      <c r="D466" s="141"/>
      <c r="E466" s="141"/>
      <c r="F466" s="141"/>
      <c r="G466" s="141"/>
      <c r="H466" s="141"/>
      <c r="I466" s="141"/>
      <c r="J466" s="141"/>
      <c r="K466" s="141"/>
    </row>
    <row r="467" spans="3:11">
      <c r="C467" s="141"/>
      <c r="D467" s="141"/>
      <c r="E467" s="141"/>
      <c r="F467" s="141"/>
      <c r="G467" s="141"/>
      <c r="H467" s="141"/>
      <c r="I467" s="141"/>
      <c r="J467" s="141"/>
      <c r="K467" s="141"/>
    </row>
    <row r="468" spans="3:11">
      <c r="C468" s="141"/>
      <c r="D468" s="141"/>
      <c r="E468" s="141"/>
      <c r="F468" s="141"/>
      <c r="G468" s="141"/>
      <c r="H468" s="141"/>
      <c r="I468" s="141"/>
      <c r="J468" s="141"/>
      <c r="K468" s="141"/>
    </row>
    <row r="469" spans="3:11">
      <c r="C469" s="141"/>
      <c r="D469" s="141"/>
      <c r="E469" s="141"/>
      <c r="F469" s="141"/>
      <c r="G469" s="141"/>
      <c r="H469" s="141"/>
      <c r="I469" s="141"/>
      <c r="J469" s="141"/>
      <c r="K469" s="141"/>
    </row>
    <row r="470" spans="3:11">
      <c r="C470" s="141"/>
      <c r="D470" s="141"/>
      <c r="E470" s="141"/>
      <c r="F470" s="141"/>
      <c r="G470" s="141"/>
      <c r="H470" s="141"/>
      <c r="I470" s="141"/>
      <c r="J470" s="141"/>
      <c r="K470" s="141"/>
    </row>
    <row r="471" spans="3:11">
      <c r="C471" s="141"/>
      <c r="D471" s="141"/>
      <c r="E471" s="141"/>
      <c r="F471" s="141"/>
      <c r="G471" s="141"/>
      <c r="H471" s="141"/>
      <c r="I471" s="141"/>
      <c r="J471" s="141"/>
      <c r="K471" s="141"/>
    </row>
    <row r="472" spans="3:11">
      <c r="C472" s="141"/>
      <c r="D472" s="141"/>
      <c r="E472" s="141"/>
      <c r="F472" s="141"/>
      <c r="G472" s="141"/>
      <c r="H472" s="141"/>
      <c r="I472" s="141"/>
      <c r="J472" s="141"/>
      <c r="K472" s="141"/>
    </row>
    <row r="473" spans="3:11">
      <c r="C473" s="141"/>
      <c r="D473" s="141"/>
      <c r="E473" s="141"/>
      <c r="F473" s="141"/>
      <c r="G473" s="141"/>
      <c r="H473" s="141"/>
      <c r="I473" s="141"/>
      <c r="J473" s="141"/>
      <c r="K473" s="141"/>
    </row>
    <row r="474" spans="3:11">
      <c r="C474" s="141"/>
      <c r="D474" s="141"/>
      <c r="E474" s="141"/>
      <c r="F474" s="141"/>
      <c r="G474" s="141"/>
      <c r="H474" s="141"/>
      <c r="I474" s="141"/>
      <c r="J474" s="141"/>
      <c r="K474" s="141"/>
    </row>
    <row r="475" spans="3:11">
      <c r="C475" s="141"/>
      <c r="D475" s="141"/>
      <c r="E475" s="141"/>
      <c r="F475" s="141"/>
      <c r="G475" s="141"/>
      <c r="H475" s="141"/>
      <c r="I475" s="141"/>
      <c r="J475" s="141"/>
      <c r="K475" s="141"/>
    </row>
    <row r="476" spans="3:11">
      <c r="C476" s="141"/>
      <c r="D476" s="141"/>
      <c r="E476" s="141"/>
      <c r="F476" s="141"/>
      <c r="G476" s="141"/>
      <c r="H476" s="141"/>
      <c r="I476" s="141"/>
      <c r="J476" s="141"/>
      <c r="K476" s="141"/>
    </row>
    <row r="477" spans="3:11">
      <c r="C477" s="141"/>
      <c r="D477" s="141"/>
      <c r="E477" s="141"/>
      <c r="F477" s="141"/>
      <c r="G477" s="141"/>
      <c r="H477" s="141"/>
      <c r="I477" s="141"/>
      <c r="J477" s="141"/>
      <c r="K477" s="141"/>
    </row>
    <row r="478" spans="3:11">
      <c r="C478" s="141"/>
      <c r="D478" s="141"/>
      <c r="E478" s="141"/>
      <c r="F478" s="141"/>
      <c r="G478" s="141"/>
      <c r="H478" s="141"/>
      <c r="I478" s="141"/>
      <c r="J478" s="141"/>
      <c r="K478" s="141"/>
    </row>
    <row r="479" spans="3:11">
      <c r="C479" s="141"/>
      <c r="D479" s="141"/>
      <c r="E479" s="141"/>
      <c r="F479" s="141"/>
      <c r="G479" s="141"/>
      <c r="H479" s="141"/>
      <c r="I479" s="141"/>
      <c r="J479" s="141"/>
      <c r="K479" s="141"/>
    </row>
    <row r="480" spans="3:11">
      <c r="C480" s="141"/>
      <c r="D480" s="141"/>
      <c r="E480" s="141"/>
      <c r="F480" s="141"/>
      <c r="G480" s="141"/>
      <c r="H480" s="141"/>
      <c r="I480" s="141"/>
      <c r="J480" s="141"/>
      <c r="K480" s="141"/>
    </row>
    <row r="481" spans="3:11">
      <c r="C481" s="141"/>
      <c r="D481" s="141"/>
      <c r="E481" s="141"/>
      <c r="F481" s="141"/>
      <c r="G481" s="141"/>
      <c r="H481" s="141"/>
      <c r="I481" s="141"/>
      <c r="J481" s="141"/>
      <c r="K481" s="141"/>
    </row>
    <row r="482" spans="3:11">
      <c r="C482" s="141"/>
      <c r="D482" s="141"/>
      <c r="E482" s="141"/>
      <c r="F482" s="141"/>
      <c r="G482" s="141"/>
      <c r="H482" s="141"/>
      <c r="I482" s="141"/>
      <c r="J482" s="141"/>
      <c r="K482" s="141"/>
    </row>
    <row r="483" spans="3:11">
      <c r="C483" s="141"/>
      <c r="D483" s="141"/>
      <c r="E483" s="141"/>
      <c r="F483" s="141"/>
      <c r="G483" s="141"/>
      <c r="H483" s="141"/>
      <c r="I483" s="141"/>
      <c r="J483" s="141"/>
      <c r="K483" s="141"/>
    </row>
    <row r="484" spans="3:11">
      <c r="C484" s="141"/>
      <c r="D484" s="141"/>
      <c r="E484" s="141"/>
      <c r="F484" s="141"/>
      <c r="G484" s="141"/>
      <c r="H484" s="141"/>
      <c r="I484" s="141"/>
      <c r="J484" s="141"/>
      <c r="K484" s="141"/>
    </row>
    <row r="485" spans="3:11">
      <c r="C485" s="141"/>
      <c r="D485" s="141"/>
      <c r="E485" s="141"/>
      <c r="F485" s="141"/>
      <c r="G485" s="141"/>
      <c r="H485" s="141"/>
      <c r="I485" s="141"/>
      <c r="J485" s="141"/>
      <c r="K485" s="141"/>
    </row>
    <row r="486" spans="3:11">
      <c r="C486" s="141"/>
      <c r="D486" s="141"/>
      <c r="E486" s="141"/>
      <c r="F486" s="141"/>
      <c r="G486" s="141"/>
      <c r="H486" s="141"/>
      <c r="I486" s="141"/>
      <c r="J486" s="141"/>
      <c r="K486" s="141"/>
    </row>
    <row r="487" spans="3:11">
      <c r="C487" s="141"/>
      <c r="D487" s="141"/>
      <c r="E487" s="141"/>
      <c r="F487" s="141"/>
      <c r="G487" s="141"/>
      <c r="H487" s="141"/>
      <c r="I487" s="141"/>
      <c r="J487" s="141"/>
      <c r="K487" s="141"/>
    </row>
    <row r="488" spans="3:11">
      <c r="C488" s="141"/>
      <c r="D488" s="141"/>
      <c r="E488" s="141"/>
      <c r="F488" s="141"/>
      <c r="G488" s="141"/>
      <c r="H488" s="141"/>
      <c r="I488" s="141"/>
      <c r="J488" s="141"/>
      <c r="K488" s="141"/>
    </row>
    <row r="489" spans="3:11">
      <c r="C489" s="141"/>
      <c r="D489" s="141"/>
      <c r="E489" s="141"/>
      <c r="F489" s="141"/>
      <c r="G489" s="141"/>
      <c r="H489" s="141"/>
      <c r="I489" s="141"/>
      <c r="J489" s="141"/>
      <c r="K489" s="141"/>
    </row>
    <row r="490" spans="3:11">
      <c r="C490" s="141"/>
      <c r="D490" s="141"/>
      <c r="E490" s="141"/>
      <c r="F490" s="141"/>
      <c r="G490" s="141"/>
      <c r="H490" s="141"/>
      <c r="I490" s="141"/>
      <c r="J490" s="141"/>
      <c r="K490" s="141"/>
    </row>
    <row r="491" spans="3:11">
      <c r="C491" s="141"/>
      <c r="D491" s="141"/>
      <c r="E491" s="141"/>
      <c r="F491" s="141"/>
      <c r="G491" s="141"/>
      <c r="H491" s="141"/>
      <c r="I491" s="141"/>
      <c r="J491" s="141"/>
      <c r="K491" s="141"/>
    </row>
    <row r="492" spans="3:11">
      <c r="C492" s="141"/>
      <c r="D492" s="141"/>
      <c r="E492" s="141"/>
      <c r="F492" s="141"/>
      <c r="G492" s="141"/>
      <c r="H492" s="141"/>
      <c r="I492" s="141"/>
      <c r="J492" s="141"/>
      <c r="K492" s="141"/>
    </row>
    <row r="493" spans="3:11">
      <c r="C493" s="141"/>
      <c r="D493" s="141"/>
      <c r="E493" s="141"/>
      <c r="F493" s="141"/>
      <c r="G493" s="141"/>
      <c r="H493" s="141"/>
      <c r="I493" s="141"/>
      <c r="J493" s="141"/>
      <c r="K493" s="141"/>
    </row>
    <row r="494" spans="3:11">
      <c r="C494" s="141"/>
      <c r="D494" s="141"/>
      <c r="E494" s="141"/>
      <c r="F494" s="141"/>
      <c r="G494" s="141"/>
      <c r="H494" s="141"/>
      <c r="I494" s="141"/>
      <c r="J494" s="141"/>
      <c r="K494" s="141"/>
    </row>
    <row r="495" spans="3:11">
      <c r="C495" s="141"/>
      <c r="D495" s="141"/>
      <c r="E495" s="141"/>
      <c r="F495" s="141"/>
      <c r="G495" s="141"/>
      <c r="H495" s="141"/>
      <c r="I495" s="141"/>
      <c r="J495" s="141"/>
      <c r="K495" s="141"/>
    </row>
    <row r="496" spans="3:11">
      <c r="C496" s="141"/>
      <c r="D496" s="141"/>
      <c r="E496" s="141"/>
      <c r="F496" s="141"/>
      <c r="G496" s="141"/>
      <c r="H496" s="141"/>
      <c r="I496" s="141"/>
      <c r="J496" s="141"/>
      <c r="K496" s="141"/>
    </row>
    <row r="497" spans="3:11">
      <c r="C497" s="141"/>
      <c r="D497" s="141"/>
      <c r="E497" s="141"/>
      <c r="F497" s="141"/>
      <c r="G497" s="141"/>
      <c r="H497" s="141"/>
      <c r="I497" s="141"/>
      <c r="J497" s="141"/>
      <c r="K497" s="141"/>
    </row>
    <row r="498" spans="3:11">
      <c r="C498" s="141"/>
      <c r="D498" s="141"/>
      <c r="E498" s="141"/>
      <c r="F498" s="141"/>
      <c r="G498" s="141"/>
      <c r="H498" s="141"/>
      <c r="I498" s="141"/>
      <c r="J498" s="141"/>
      <c r="K498" s="141"/>
    </row>
    <row r="499" spans="3:11">
      <c r="C499" s="141"/>
      <c r="D499" s="141"/>
      <c r="E499" s="141"/>
      <c r="F499" s="141"/>
      <c r="G499" s="141"/>
      <c r="H499" s="141"/>
      <c r="I499" s="141"/>
      <c r="J499" s="141"/>
      <c r="K499" s="141"/>
    </row>
    <row r="500" spans="3:11">
      <c r="C500" s="141"/>
      <c r="D500" s="141"/>
      <c r="E500" s="141"/>
      <c r="F500" s="141"/>
      <c r="G500" s="141"/>
      <c r="H500" s="141"/>
      <c r="I500" s="141"/>
      <c r="J500" s="141"/>
      <c r="K500" s="141"/>
    </row>
    <row r="501" spans="3:11">
      <c r="C501" s="141"/>
      <c r="D501" s="141"/>
      <c r="E501" s="141"/>
      <c r="F501" s="141"/>
      <c r="G501" s="141"/>
      <c r="H501" s="141"/>
      <c r="I501" s="141"/>
      <c r="J501" s="141"/>
      <c r="K501" s="141"/>
    </row>
    <row r="502" spans="3:11">
      <c r="C502" s="141"/>
      <c r="D502" s="141"/>
      <c r="E502" s="141"/>
      <c r="F502" s="141"/>
      <c r="G502" s="141"/>
      <c r="H502" s="141"/>
      <c r="I502" s="141"/>
      <c r="J502" s="141"/>
      <c r="K502" s="141"/>
    </row>
    <row r="503" spans="3:11">
      <c r="C503" s="141"/>
      <c r="D503" s="141"/>
      <c r="E503" s="141"/>
      <c r="F503" s="141"/>
      <c r="G503" s="141"/>
      <c r="H503" s="141"/>
      <c r="I503" s="141"/>
      <c r="J503" s="141"/>
      <c r="K503" s="141"/>
    </row>
    <row r="504" spans="3:11">
      <c r="C504" s="141"/>
      <c r="D504" s="141"/>
      <c r="E504" s="141"/>
      <c r="F504" s="141"/>
      <c r="G504" s="141"/>
      <c r="H504" s="141"/>
      <c r="I504" s="141"/>
      <c r="J504" s="141"/>
      <c r="K504" s="141"/>
    </row>
    <row r="505" spans="3:11">
      <c r="C505" s="141"/>
      <c r="D505" s="141"/>
      <c r="E505" s="141"/>
      <c r="F505" s="141"/>
      <c r="G505" s="141"/>
      <c r="H505" s="141"/>
      <c r="I505" s="141"/>
      <c r="J505" s="141"/>
      <c r="K505" s="141"/>
    </row>
    <row r="506" spans="3:11">
      <c r="C506" s="141"/>
      <c r="D506" s="141"/>
      <c r="E506" s="141"/>
      <c r="F506" s="141"/>
      <c r="G506" s="141"/>
      <c r="H506" s="141"/>
      <c r="I506" s="141"/>
      <c r="J506" s="141"/>
      <c r="K506" s="141"/>
    </row>
    <row r="507" spans="3:11">
      <c r="C507" s="141"/>
      <c r="D507" s="141"/>
      <c r="E507" s="141"/>
      <c r="F507" s="141"/>
      <c r="G507" s="141"/>
      <c r="H507" s="141"/>
      <c r="I507" s="141"/>
      <c r="J507" s="141"/>
      <c r="K507" s="141"/>
    </row>
    <row r="508" spans="3:11">
      <c r="C508" s="141"/>
      <c r="D508" s="141"/>
      <c r="E508" s="141"/>
      <c r="F508" s="141"/>
      <c r="G508" s="141"/>
      <c r="H508" s="141"/>
      <c r="I508" s="141"/>
      <c r="J508" s="141"/>
      <c r="K508" s="141"/>
    </row>
    <row r="509" spans="3:11">
      <c r="C509" s="141"/>
      <c r="D509" s="141"/>
      <c r="E509" s="141"/>
      <c r="F509" s="141"/>
      <c r="G509" s="141"/>
      <c r="H509" s="141"/>
      <c r="I509" s="141"/>
      <c r="J509" s="141"/>
      <c r="K509" s="141"/>
    </row>
    <row r="510" spans="3:11">
      <c r="C510" s="141"/>
      <c r="D510" s="141"/>
      <c r="E510" s="141"/>
      <c r="F510" s="141"/>
      <c r="G510" s="141"/>
      <c r="H510" s="141"/>
      <c r="I510" s="141"/>
      <c r="J510" s="141"/>
      <c r="K510" s="141"/>
    </row>
    <row r="511" spans="3:11">
      <c r="C511" s="141"/>
      <c r="D511" s="141"/>
      <c r="E511" s="141"/>
      <c r="F511" s="141"/>
      <c r="G511" s="141"/>
      <c r="H511" s="141"/>
      <c r="I511" s="141"/>
      <c r="J511" s="141"/>
      <c r="K511" s="141"/>
    </row>
    <row r="512" spans="3:11">
      <c r="C512" s="141"/>
      <c r="D512" s="141"/>
      <c r="E512" s="141"/>
      <c r="F512" s="141"/>
      <c r="G512" s="141"/>
      <c r="H512" s="141"/>
      <c r="I512" s="141"/>
      <c r="J512" s="141"/>
      <c r="K512" s="141"/>
    </row>
    <row r="513" spans="3:11">
      <c r="C513" s="141"/>
      <c r="D513" s="141"/>
      <c r="E513" s="141"/>
      <c r="F513" s="141"/>
      <c r="G513" s="141"/>
      <c r="H513" s="141"/>
      <c r="I513" s="141"/>
      <c r="J513" s="141"/>
      <c r="K513" s="141"/>
    </row>
    <row r="514" spans="3:11">
      <c r="C514" s="141"/>
      <c r="D514" s="141"/>
      <c r="E514" s="141"/>
      <c r="F514" s="141"/>
      <c r="G514" s="141"/>
      <c r="H514" s="141"/>
      <c r="I514" s="141"/>
      <c r="J514" s="141"/>
      <c r="K514" s="141"/>
    </row>
    <row r="515" spans="3:11">
      <c r="C515" s="141"/>
      <c r="D515" s="141"/>
      <c r="E515" s="141"/>
      <c r="F515" s="141"/>
      <c r="G515" s="141"/>
      <c r="H515" s="141"/>
      <c r="I515" s="141"/>
      <c r="J515" s="141"/>
      <c r="K515" s="141"/>
    </row>
    <row r="516" spans="3:11">
      <c r="C516" s="141"/>
      <c r="D516" s="141"/>
      <c r="E516" s="141"/>
      <c r="F516" s="141"/>
      <c r="G516" s="141"/>
      <c r="H516" s="141"/>
      <c r="I516" s="141"/>
      <c r="J516" s="141"/>
      <c r="K516" s="141"/>
    </row>
    <row r="517" spans="3:11">
      <c r="C517" s="141"/>
      <c r="D517" s="141"/>
      <c r="E517" s="141"/>
      <c r="F517" s="141"/>
      <c r="G517" s="141"/>
      <c r="H517" s="141"/>
      <c r="I517" s="141"/>
      <c r="J517" s="141"/>
      <c r="K517" s="141"/>
    </row>
    <row r="518" spans="3:11">
      <c r="C518" s="141"/>
      <c r="D518" s="141"/>
      <c r="E518" s="141"/>
      <c r="F518" s="141"/>
      <c r="G518" s="141"/>
      <c r="H518" s="141"/>
      <c r="I518" s="141"/>
      <c r="J518" s="141"/>
      <c r="K518" s="141"/>
    </row>
    <row r="519" spans="3:11">
      <c r="C519" s="141"/>
      <c r="D519" s="141"/>
      <c r="E519" s="141"/>
      <c r="F519" s="141"/>
      <c r="G519" s="141"/>
      <c r="H519" s="141"/>
      <c r="I519" s="141"/>
      <c r="J519" s="141"/>
      <c r="K519" s="141"/>
    </row>
    <row r="520" spans="3:11">
      <c r="C520" s="141"/>
      <c r="D520" s="141"/>
      <c r="E520" s="141"/>
      <c r="F520" s="141"/>
      <c r="G520" s="141"/>
      <c r="H520" s="141"/>
      <c r="I520" s="141"/>
      <c r="J520" s="141"/>
      <c r="K520" s="141"/>
    </row>
    <row r="521" spans="3:11">
      <c r="C521" s="141"/>
      <c r="D521" s="141"/>
      <c r="E521" s="141"/>
      <c r="F521" s="141"/>
      <c r="G521" s="141"/>
      <c r="H521" s="141"/>
      <c r="I521" s="141"/>
      <c r="J521" s="141"/>
      <c r="K521" s="141"/>
    </row>
    <row r="522" spans="3:11">
      <c r="C522" s="141"/>
      <c r="D522" s="141"/>
      <c r="E522" s="141"/>
      <c r="F522" s="141"/>
      <c r="G522" s="141"/>
      <c r="H522" s="141"/>
      <c r="I522" s="141"/>
      <c r="J522" s="141"/>
      <c r="K522" s="141"/>
    </row>
    <row r="523" spans="3:11">
      <c r="C523" s="141"/>
      <c r="D523" s="141"/>
      <c r="E523" s="141"/>
      <c r="F523" s="141"/>
      <c r="G523" s="141"/>
      <c r="H523" s="141"/>
      <c r="I523" s="141"/>
      <c r="J523" s="141"/>
      <c r="K523" s="141"/>
    </row>
    <row r="524" spans="3:11">
      <c r="C524" s="141"/>
      <c r="D524" s="141"/>
      <c r="E524" s="141"/>
      <c r="F524" s="141"/>
      <c r="G524" s="141"/>
      <c r="H524" s="141"/>
      <c r="I524" s="141"/>
      <c r="J524" s="141"/>
      <c r="K524" s="141"/>
    </row>
    <row r="525" spans="3:11">
      <c r="C525" s="141"/>
      <c r="D525" s="141"/>
      <c r="E525" s="141"/>
      <c r="F525" s="141"/>
      <c r="G525" s="141"/>
      <c r="H525" s="141"/>
      <c r="I525" s="141"/>
      <c r="J525" s="141"/>
      <c r="K525" s="141"/>
    </row>
    <row r="526" spans="3:11">
      <c r="C526" s="141"/>
      <c r="D526" s="141"/>
      <c r="E526" s="141"/>
      <c r="F526" s="141"/>
      <c r="G526" s="141"/>
      <c r="H526" s="141"/>
      <c r="I526" s="141"/>
      <c r="J526" s="141"/>
      <c r="K526" s="141"/>
    </row>
    <row r="527" spans="3:11">
      <c r="C527" s="141"/>
      <c r="D527" s="141"/>
      <c r="E527" s="141"/>
      <c r="F527" s="141"/>
      <c r="G527" s="141"/>
      <c r="H527" s="141"/>
      <c r="I527" s="141"/>
      <c r="J527" s="141"/>
      <c r="K527" s="141"/>
    </row>
    <row r="528" spans="3:11">
      <c r="C528" s="141"/>
      <c r="D528" s="141"/>
      <c r="E528" s="141"/>
      <c r="F528" s="141"/>
      <c r="G528" s="141"/>
      <c r="H528" s="141"/>
      <c r="I528" s="141"/>
      <c r="J528" s="141"/>
      <c r="K528" s="141"/>
    </row>
    <row r="529" spans="3:11">
      <c r="C529" s="141"/>
      <c r="D529" s="141"/>
      <c r="E529" s="141"/>
      <c r="F529" s="141"/>
      <c r="G529" s="141"/>
      <c r="H529" s="141"/>
      <c r="I529" s="141"/>
      <c r="J529" s="141"/>
      <c r="K529" s="141"/>
    </row>
    <row r="530" spans="3:11">
      <c r="C530" s="141"/>
      <c r="D530" s="141"/>
      <c r="E530" s="141"/>
      <c r="F530" s="141"/>
      <c r="G530" s="141"/>
      <c r="H530" s="141"/>
      <c r="I530" s="141"/>
      <c r="J530" s="141"/>
      <c r="K530" s="141"/>
    </row>
    <row r="531" spans="3:11">
      <c r="C531" s="141"/>
      <c r="D531" s="141"/>
      <c r="E531" s="141"/>
      <c r="F531" s="141"/>
      <c r="G531" s="141"/>
      <c r="H531" s="141"/>
      <c r="I531" s="141"/>
      <c r="J531" s="141"/>
      <c r="K531" s="141"/>
    </row>
    <row r="532" spans="3:11">
      <c r="C532" s="141"/>
      <c r="D532" s="141"/>
      <c r="E532" s="141"/>
      <c r="F532" s="141"/>
      <c r="G532" s="141"/>
      <c r="H532" s="141"/>
      <c r="I532" s="141"/>
      <c r="J532" s="141"/>
      <c r="K532" s="141"/>
    </row>
    <row r="533" spans="3:11">
      <c r="C533" s="141"/>
      <c r="D533" s="141"/>
      <c r="E533" s="141"/>
      <c r="F533" s="141"/>
      <c r="G533" s="141"/>
      <c r="H533" s="141"/>
      <c r="I533" s="141"/>
      <c r="J533" s="141"/>
      <c r="K533" s="141"/>
    </row>
    <row r="534" spans="3:11">
      <c r="C534" s="141"/>
      <c r="D534" s="141"/>
      <c r="E534" s="141"/>
      <c r="F534" s="141"/>
      <c r="G534" s="141"/>
      <c r="H534" s="141"/>
      <c r="I534" s="141"/>
      <c r="J534" s="141"/>
      <c r="K534" s="141"/>
    </row>
    <row r="535" spans="3:11">
      <c r="C535" s="141"/>
      <c r="D535" s="141"/>
      <c r="E535" s="141"/>
      <c r="F535" s="141"/>
      <c r="G535" s="141"/>
      <c r="H535" s="141"/>
      <c r="I535" s="141"/>
      <c r="J535" s="141"/>
      <c r="K535" s="141"/>
    </row>
    <row r="536" spans="3:11">
      <c r="C536" s="141"/>
      <c r="D536" s="141"/>
      <c r="E536" s="141"/>
      <c r="F536" s="141"/>
      <c r="G536" s="141"/>
      <c r="H536" s="141"/>
      <c r="I536" s="141"/>
      <c r="J536" s="141"/>
      <c r="K536" s="141"/>
    </row>
    <row r="537" spans="3:11">
      <c r="C537" s="141"/>
      <c r="D537" s="141"/>
      <c r="E537" s="141"/>
      <c r="F537" s="141"/>
      <c r="G537" s="141"/>
      <c r="H537" s="141"/>
      <c r="I537" s="141"/>
      <c r="J537" s="141"/>
      <c r="K537" s="141"/>
    </row>
    <row r="538" spans="3:11">
      <c r="C538" s="141"/>
      <c r="D538" s="141"/>
      <c r="E538" s="141"/>
      <c r="F538" s="141"/>
      <c r="G538" s="141"/>
      <c r="H538" s="141"/>
      <c r="I538" s="141"/>
      <c r="J538" s="141"/>
      <c r="K538" s="141"/>
    </row>
    <row r="539" spans="3:11">
      <c r="C539" s="141"/>
      <c r="D539" s="141"/>
      <c r="E539" s="141"/>
      <c r="F539" s="141"/>
      <c r="G539" s="141"/>
      <c r="H539" s="141"/>
      <c r="I539" s="141"/>
      <c r="J539" s="141"/>
      <c r="K539" s="141"/>
    </row>
    <row r="540" spans="3:11">
      <c r="C540" s="141"/>
      <c r="D540" s="141"/>
      <c r="E540" s="141"/>
      <c r="F540" s="141"/>
      <c r="G540" s="141"/>
      <c r="H540" s="141"/>
      <c r="I540" s="141"/>
      <c r="J540" s="141"/>
      <c r="K540" s="141"/>
    </row>
    <row r="541" spans="3:11">
      <c r="C541" s="141"/>
      <c r="D541" s="141"/>
      <c r="E541" s="141"/>
      <c r="F541" s="141"/>
      <c r="G541" s="141"/>
      <c r="H541" s="141"/>
      <c r="I541" s="141"/>
      <c r="J541" s="141"/>
      <c r="K541" s="141"/>
    </row>
    <row r="542" spans="3:11">
      <c r="C542" s="141"/>
      <c r="D542" s="141"/>
      <c r="E542" s="141"/>
      <c r="F542" s="141"/>
      <c r="G542" s="141"/>
      <c r="H542" s="141"/>
      <c r="I542" s="141"/>
      <c r="J542" s="141"/>
      <c r="K542" s="141"/>
    </row>
    <row r="543" spans="3:11">
      <c r="C543" s="141"/>
      <c r="D543" s="141"/>
      <c r="E543" s="141"/>
      <c r="F543" s="141"/>
      <c r="G543" s="141"/>
      <c r="H543" s="141"/>
      <c r="I543" s="141"/>
      <c r="J543" s="141"/>
      <c r="K543" s="141"/>
    </row>
    <row r="544" spans="3:11">
      <c r="C544" s="141"/>
      <c r="D544" s="141"/>
      <c r="E544" s="141"/>
      <c r="F544" s="141"/>
      <c r="G544" s="141"/>
      <c r="H544" s="141"/>
      <c r="I544" s="141"/>
      <c r="J544" s="141"/>
      <c r="K544" s="141"/>
    </row>
    <row r="545" spans="3:11">
      <c r="C545" s="141"/>
      <c r="D545" s="141"/>
      <c r="E545" s="141"/>
      <c r="F545" s="141"/>
      <c r="G545" s="141"/>
      <c r="H545" s="141"/>
      <c r="I545" s="141"/>
      <c r="J545" s="141"/>
      <c r="K545" s="141"/>
    </row>
    <row r="546" spans="3:11">
      <c r="C546" s="141"/>
      <c r="D546" s="141"/>
      <c r="E546" s="141"/>
      <c r="F546" s="141"/>
      <c r="G546" s="141"/>
      <c r="H546" s="141"/>
    </row>
    <row r="547" spans="3:11">
      <c r="C547" s="141"/>
      <c r="D547" s="141"/>
      <c r="E547" s="141"/>
      <c r="F547" s="141"/>
      <c r="G547" s="141"/>
      <c r="H547" s="141"/>
    </row>
    <row r="548" spans="3:11">
      <c r="C548" s="141"/>
      <c r="D548" s="141"/>
      <c r="E548" s="141"/>
      <c r="F548" s="141"/>
      <c r="G548" s="141"/>
      <c r="H548" s="141"/>
    </row>
    <row r="549" spans="3:11">
      <c r="C549" s="141"/>
      <c r="D549" s="141"/>
      <c r="E549" s="141"/>
      <c r="F549" s="141"/>
      <c r="G549" s="141"/>
      <c r="H549" s="141"/>
    </row>
    <row r="550" spans="3:11">
      <c r="C550" s="141"/>
      <c r="D550" s="141"/>
      <c r="E550" s="141"/>
      <c r="F550" s="141"/>
      <c r="G550" s="141"/>
      <c r="H550" s="141"/>
    </row>
    <row r="551" spans="3:11">
      <c r="C551" s="141"/>
      <c r="D551" s="141"/>
      <c r="E551" s="141"/>
      <c r="F551" s="141"/>
      <c r="G551" s="141"/>
      <c r="H551" s="141"/>
    </row>
    <row r="552" spans="3:11">
      <c r="C552" s="141"/>
      <c r="D552" s="141"/>
      <c r="E552" s="141"/>
      <c r="F552" s="141"/>
      <c r="G552" s="141"/>
      <c r="H552" s="141"/>
    </row>
    <row r="553" spans="3:11">
      <c r="C553" s="141"/>
      <c r="D553" s="141"/>
      <c r="E553" s="141"/>
      <c r="F553" s="141"/>
      <c r="G553" s="141"/>
      <c r="H553" s="141"/>
    </row>
    <row r="554" spans="3:11">
      <c r="C554" s="141"/>
      <c r="D554" s="141"/>
      <c r="E554" s="141"/>
      <c r="F554" s="141"/>
      <c r="G554" s="141"/>
      <c r="H554" s="141"/>
    </row>
    <row r="555" spans="3:11">
      <c r="C555" s="141"/>
      <c r="D555" s="141"/>
      <c r="E555" s="141"/>
      <c r="F555" s="141"/>
      <c r="G555" s="141"/>
      <c r="H555" s="141"/>
    </row>
    <row r="556" spans="3:11">
      <c r="C556" s="141"/>
      <c r="D556" s="141"/>
      <c r="E556" s="141"/>
      <c r="F556" s="141"/>
      <c r="G556" s="141"/>
      <c r="H556" s="141"/>
    </row>
    <row r="557" spans="3:11">
      <c r="C557" s="141"/>
      <c r="D557" s="141"/>
      <c r="E557" s="141"/>
      <c r="F557" s="141"/>
      <c r="G557" s="141"/>
      <c r="H557" s="141"/>
    </row>
    <row r="558" spans="3:11">
      <c r="C558" s="141"/>
      <c r="D558" s="141"/>
      <c r="E558" s="141"/>
      <c r="F558" s="141"/>
      <c r="G558" s="141"/>
      <c r="H558" s="141"/>
    </row>
    <row r="559" spans="3:11">
      <c r="C559" s="141"/>
      <c r="D559" s="141"/>
      <c r="E559" s="141"/>
      <c r="F559" s="141"/>
      <c r="G559" s="141"/>
      <c r="H559" s="141"/>
    </row>
    <row r="560" spans="3:11">
      <c r="C560" s="141"/>
      <c r="D560" s="141"/>
      <c r="E560" s="141"/>
      <c r="F560" s="141"/>
      <c r="G560" s="141"/>
      <c r="H560" s="141"/>
    </row>
    <row r="561" spans="3:8">
      <c r="C561" s="141"/>
      <c r="D561" s="141"/>
      <c r="E561" s="141"/>
      <c r="F561" s="141"/>
      <c r="G561" s="141"/>
      <c r="H561" s="141"/>
    </row>
    <row r="562" spans="3:8">
      <c r="C562" s="141"/>
      <c r="D562" s="141"/>
      <c r="E562" s="141"/>
      <c r="F562" s="141"/>
      <c r="G562" s="141"/>
      <c r="H562" s="141"/>
    </row>
    <row r="563" spans="3:8">
      <c r="C563" s="141"/>
      <c r="D563" s="141"/>
      <c r="E563" s="141"/>
      <c r="F563" s="141"/>
      <c r="G563" s="141"/>
      <c r="H563" s="141"/>
    </row>
    <row r="564" spans="3:8">
      <c r="C564" s="141"/>
      <c r="D564" s="141"/>
      <c r="E564" s="141"/>
      <c r="F564" s="141"/>
      <c r="G564" s="141"/>
      <c r="H564" s="141"/>
    </row>
    <row r="565" spans="3:8">
      <c r="C565" s="141"/>
      <c r="D565" s="141"/>
      <c r="E565" s="141"/>
      <c r="F565" s="141"/>
      <c r="G565" s="141"/>
      <c r="H565" s="141"/>
    </row>
    <row r="566" spans="3:8">
      <c r="C566" s="141"/>
      <c r="D566" s="141"/>
      <c r="E566" s="141"/>
      <c r="F566" s="141"/>
      <c r="G566" s="141"/>
      <c r="H566" s="141"/>
    </row>
    <row r="567" spans="3:8">
      <c r="C567" s="141"/>
      <c r="D567" s="141"/>
      <c r="E567" s="141"/>
      <c r="F567" s="141"/>
      <c r="G567" s="141"/>
      <c r="H567" s="141"/>
    </row>
    <row r="568" spans="3:8">
      <c r="C568" s="141"/>
      <c r="D568" s="141"/>
      <c r="E568" s="141"/>
      <c r="F568" s="141"/>
      <c r="G568" s="141"/>
      <c r="H568" s="141"/>
    </row>
    <row r="569" spans="3:8">
      <c r="C569" s="141"/>
      <c r="D569" s="141"/>
      <c r="E569" s="141"/>
      <c r="F569" s="141"/>
      <c r="G569" s="141"/>
      <c r="H569" s="141"/>
    </row>
    <row r="570" spans="3:8">
      <c r="C570" s="141"/>
      <c r="D570" s="141"/>
      <c r="E570" s="141"/>
      <c r="F570" s="141"/>
      <c r="G570" s="141"/>
      <c r="H570" s="141"/>
    </row>
    <row r="571" spans="3:8">
      <c r="C571" s="141"/>
      <c r="D571" s="141"/>
      <c r="E571" s="141"/>
      <c r="F571" s="141"/>
      <c r="G571" s="141"/>
      <c r="H571" s="141"/>
    </row>
    <row r="572" spans="3:8">
      <c r="C572" s="141"/>
      <c r="D572" s="141"/>
      <c r="E572" s="141"/>
      <c r="F572" s="141"/>
      <c r="G572" s="141"/>
      <c r="H572" s="141"/>
    </row>
    <row r="573" spans="3:8">
      <c r="C573" s="141"/>
      <c r="D573" s="141"/>
      <c r="E573" s="141"/>
      <c r="F573" s="141"/>
      <c r="G573" s="141"/>
      <c r="H573" s="141"/>
    </row>
    <row r="574" spans="3:8">
      <c r="C574" s="141"/>
      <c r="D574" s="141"/>
      <c r="E574" s="141"/>
      <c r="F574" s="141"/>
      <c r="G574" s="141"/>
      <c r="H574" s="141"/>
    </row>
    <row r="575" spans="3:8">
      <c r="C575" s="141"/>
      <c r="D575" s="141"/>
      <c r="E575" s="141"/>
      <c r="F575" s="141"/>
      <c r="G575" s="141"/>
      <c r="H575" s="141"/>
    </row>
    <row r="576" spans="3:8">
      <c r="C576" s="141"/>
      <c r="D576" s="141"/>
      <c r="E576" s="141"/>
      <c r="F576" s="141"/>
      <c r="G576" s="141"/>
      <c r="H576" s="141"/>
    </row>
    <row r="577" spans="3:8">
      <c r="C577" s="141"/>
      <c r="D577" s="141"/>
      <c r="E577" s="141"/>
      <c r="F577" s="141"/>
      <c r="G577" s="141"/>
      <c r="H577" s="141"/>
    </row>
    <row r="578" spans="3:8">
      <c r="C578" s="141"/>
      <c r="D578" s="141"/>
      <c r="E578" s="141"/>
      <c r="F578" s="141"/>
      <c r="G578" s="141"/>
      <c r="H578" s="141"/>
    </row>
    <row r="579" spans="3:8">
      <c r="C579" s="141"/>
      <c r="D579" s="141"/>
      <c r="E579" s="141"/>
      <c r="F579" s="141"/>
      <c r="G579" s="141"/>
      <c r="H579" s="141"/>
    </row>
    <row r="580" spans="3:8">
      <c r="C580" s="141"/>
      <c r="D580" s="141"/>
      <c r="E580" s="141"/>
      <c r="F580" s="141"/>
      <c r="G580" s="141"/>
      <c r="H580" s="141"/>
    </row>
    <row r="581" spans="3:8">
      <c r="C581" s="141"/>
      <c r="D581" s="141"/>
      <c r="E581" s="141"/>
      <c r="F581" s="141"/>
      <c r="G581" s="141"/>
      <c r="H581" s="141"/>
    </row>
    <row r="582" spans="3:8">
      <c r="C582" s="141"/>
      <c r="D582" s="141"/>
      <c r="E582" s="141"/>
      <c r="F582" s="141"/>
      <c r="G582" s="141"/>
      <c r="H582" s="141"/>
    </row>
    <row r="583" spans="3:8">
      <c r="C583" s="141"/>
      <c r="D583" s="141"/>
      <c r="E583" s="141"/>
      <c r="F583" s="141"/>
      <c r="G583" s="141"/>
      <c r="H583" s="141"/>
    </row>
    <row r="584" spans="3:8">
      <c r="C584" s="141"/>
      <c r="D584" s="141"/>
      <c r="E584" s="141"/>
      <c r="F584" s="141"/>
      <c r="G584" s="141"/>
      <c r="H584" s="141"/>
    </row>
    <row r="585" spans="3:8">
      <c r="C585" s="141"/>
      <c r="D585" s="141"/>
      <c r="E585" s="141"/>
      <c r="F585" s="141"/>
      <c r="G585" s="141"/>
      <c r="H585" s="141"/>
    </row>
    <row r="586" spans="3:8">
      <c r="C586" s="141"/>
      <c r="D586" s="141"/>
      <c r="E586" s="141"/>
      <c r="F586" s="141"/>
      <c r="G586" s="141"/>
      <c r="H586" s="141"/>
    </row>
    <row r="587" spans="3:8">
      <c r="C587" s="141"/>
      <c r="D587" s="141"/>
      <c r="E587" s="141"/>
      <c r="F587" s="141"/>
      <c r="G587" s="141"/>
      <c r="H587" s="141"/>
    </row>
    <row r="588" spans="3:8">
      <c r="C588" s="141"/>
      <c r="D588" s="141"/>
      <c r="E588" s="141"/>
      <c r="F588" s="141"/>
      <c r="G588" s="141"/>
      <c r="H588" s="141"/>
    </row>
    <row r="589" spans="3:8">
      <c r="C589" s="141"/>
      <c r="D589" s="141"/>
      <c r="E589" s="141"/>
      <c r="F589" s="141"/>
      <c r="G589" s="141"/>
      <c r="H589" s="141"/>
    </row>
    <row r="590" spans="3:8">
      <c r="C590" s="141"/>
      <c r="D590" s="141"/>
      <c r="E590" s="141"/>
      <c r="F590" s="141"/>
      <c r="G590" s="141"/>
      <c r="H590" s="141"/>
    </row>
    <row r="591" spans="3:8">
      <c r="C591" s="141"/>
      <c r="D591" s="141"/>
      <c r="E591" s="141"/>
      <c r="F591" s="141"/>
      <c r="G591" s="141"/>
      <c r="H591" s="141"/>
    </row>
    <row r="592" spans="3:8">
      <c r="C592" s="141"/>
      <c r="D592" s="141"/>
      <c r="E592" s="141"/>
      <c r="F592" s="141"/>
      <c r="G592" s="141"/>
      <c r="H592" s="141"/>
    </row>
    <row r="593" spans="3:8">
      <c r="C593" s="141"/>
      <c r="D593" s="141"/>
      <c r="E593" s="141"/>
      <c r="F593" s="141"/>
      <c r="G593" s="141"/>
      <c r="H593" s="141"/>
    </row>
    <row r="594" spans="3:8">
      <c r="C594" s="141"/>
      <c r="D594" s="141"/>
      <c r="E594" s="141"/>
      <c r="F594" s="141"/>
      <c r="G594" s="141"/>
      <c r="H594" s="141"/>
    </row>
    <row r="595" spans="3:8">
      <c r="C595" s="141"/>
      <c r="D595" s="141"/>
      <c r="E595" s="141"/>
      <c r="F595" s="141"/>
      <c r="G595" s="141"/>
      <c r="H595" s="141"/>
    </row>
    <row r="596" spans="3:8">
      <c r="C596" s="141"/>
      <c r="D596" s="141"/>
      <c r="E596" s="141"/>
      <c r="F596" s="141"/>
      <c r="G596" s="141"/>
      <c r="H596" s="141"/>
    </row>
    <row r="597" spans="3:8">
      <c r="C597" s="141"/>
      <c r="D597" s="141"/>
      <c r="E597" s="141"/>
      <c r="F597" s="141"/>
      <c r="G597" s="141"/>
      <c r="H597" s="141"/>
    </row>
    <row r="598" spans="3:8">
      <c r="C598" s="141"/>
      <c r="D598" s="141"/>
      <c r="E598" s="141"/>
      <c r="F598" s="141"/>
      <c r="G598" s="141"/>
      <c r="H598" s="141"/>
    </row>
    <row r="599" spans="3:8">
      <c r="C599" s="141"/>
      <c r="D599" s="141"/>
      <c r="E599" s="141"/>
      <c r="F599" s="141"/>
      <c r="G599" s="141"/>
      <c r="H599" s="141"/>
    </row>
    <row r="600" spans="3:8">
      <c r="C600" s="141"/>
      <c r="D600" s="141"/>
      <c r="E600" s="141"/>
      <c r="F600" s="141"/>
      <c r="G600" s="141"/>
      <c r="H600" s="141"/>
    </row>
    <row r="601" spans="3:8">
      <c r="C601" s="141"/>
      <c r="D601" s="141"/>
      <c r="E601" s="141"/>
      <c r="F601" s="141"/>
      <c r="G601" s="141"/>
      <c r="H601" s="141"/>
    </row>
    <row r="602" spans="3:8">
      <c r="C602" s="141"/>
      <c r="D602" s="141"/>
      <c r="E602" s="141"/>
      <c r="F602" s="141"/>
      <c r="G602" s="141"/>
      <c r="H602" s="141"/>
    </row>
    <row r="603" spans="3:8">
      <c r="C603" s="141"/>
      <c r="D603" s="141"/>
      <c r="E603" s="141"/>
      <c r="F603" s="141"/>
      <c r="G603" s="141"/>
      <c r="H603" s="141"/>
    </row>
    <row r="604" spans="3:8">
      <c r="C604" s="141"/>
      <c r="D604" s="141"/>
      <c r="E604" s="141"/>
      <c r="F604" s="141"/>
      <c r="G604" s="141"/>
      <c r="H604" s="141"/>
    </row>
    <row r="605" spans="3:8">
      <c r="C605" s="141"/>
      <c r="D605" s="141"/>
      <c r="E605" s="141"/>
      <c r="F605" s="141"/>
      <c r="G605" s="141"/>
      <c r="H605" s="141"/>
    </row>
    <row r="606" spans="3:8">
      <c r="C606" s="141"/>
      <c r="D606" s="141"/>
      <c r="E606" s="141"/>
      <c r="F606" s="141"/>
      <c r="G606" s="141"/>
      <c r="H606" s="141"/>
    </row>
    <row r="607" spans="3:8">
      <c r="C607" s="141"/>
      <c r="D607" s="141"/>
      <c r="E607" s="141"/>
      <c r="F607" s="141"/>
      <c r="G607" s="141"/>
      <c r="H607" s="141"/>
    </row>
    <row r="608" spans="3:8">
      <c r="C608" s="141"/>
      <c r="D608" s="141"/>
      <c r="E608" s="141"/>
      <c r="F608" s="141"/>
      <c r="G608" s="141"/>
      <c r="H608" s="141"/>
    </row>
    <row r="609" spans="3:8">
      <c r="C609" s="141"/>
      <c r="D609" s="141"/>
      <c r="E609" s="141"/>
      <c r="F609" s="141"/>
      <c r="G609" s="141"/>
      <c r="H609" s="141"/>
    </row>
    <row r="610" spans="3:8">
      <c r="C610" s="141"/>
      <c r="D610" s="141"/>
      <c r="E610" s="141"/>
      <c r="F610" s="141"/>
      <c r="G610" s="141"/>
      <c r="H610" s="141"/>
    </row>
    <row r="611" spans="3:8">
      <c r="C611" s="141"/>
      <c r="D611" s="141"/>
      <c r="E611" s="141"/>
      <c r="F611" s="141"/>
      <c r="G611" s="141"/>
      <c r="H611" s="141"/>
    </row>
    <row r="612" spans="3:8">
      <c r="C612" s="141"/>
      <c r="D612" s="141"/>
      <c r="E612" s="141"/>
      <c r="F612" s="141"/>
      <c r="G612" s="141"/>
      <c r="H612" s="141"/>
    </row>
    <row r="613" spans="3:8">
      <c r="C613" s="141"/>
      <c r="D613" s="141"/>
      <c r="E613" s="141"/>
      <c r="F613" s="141"/>
      <c r="G613" s="141"/>
      <c r="H613" s="141"/>
    </row>
    <row r="614" spans="3:8">
      <c r="C614" s="141"/>
      <c r="D614" s="141"/>
      <c r="E614" s="141"/>
      <c r="F614" s="141"/>
      <c r="G614" s="141"/>
      <c r="H614" s="141"/>
    </row>
    <row r="615" spans="3:8">
      <c r="C615" s="141"/>
      <c r="D615" s="141"/>
      <c r="E615" s="141"/>
      <c r="F615" s="141"/>
      <c r="G615" s="141"/>
      <c r="H615" s="141"/>
    </row>
    <row r="616" spans="3:8">
      <c r="C616" s="141"/>
      <c r="D616" s="141"/>
      <c r="E616" s="141"/>
      <c r="F616" s="141"/>
      <c r="G616" s="141"/>
      <c r="H616" s="141"/>
    </row>
    <row r="617" spans="3:8">
      <c r="C617" s="141"/>
      <c r="D617" s="141"/>
      <c r="E617" s="141"/>
      <c r="F617" s="141"/>
      <c r="G617" s="141"/>
      <c r="H617" s="141"/>
    </row>
    <row r="618" spans="3:8">
      <c r="C618" s="141"/>
      <c r="D618" s="141"/>
      <c r="E618" s="141"/>
      <c r="F618" s="141"/>
      <c r="G618" s="141"/>
      <c r="H618" s="141"/>
    </row>
    <row r="619" spans="3:8">
      <c r="C619" s="141"/>
      <c r="D619" s="141"/>
      <c r="E619" s="141"/>
      <c r="F619" s="141"/>
      <c r="G619" s="141"/>
      <c r="H619" s="141"/>
    </row>
    <row r="620" spans="3:8">
      <c r="C620" s="141"/>
      <c r="D620" s="141"/>
      <c r="E620" s="141"/>
      <c r="F620" s="141"/>
      <c r="G620" s="141"/>
      <c r="H620" s="141"/>
    </row>
    <row r="621" spans="3:8">
      <c r="C621" s="141"/>
      <c r="D621" s="141"/>
      <c r="E621" s="141"/>
      <c r="F621" s="141"/>
      <c r="G621" s="141"/>
      <c r="H621" s="141"/>
    </row>
    <row r="622" spans="3:8">
      <c r="C622" s="141"/>
      <c r="D622" s="141"/>
      <c r="E622" s="141"/>
      <c r="F622" s="141"/>
      <c r="G622" s="141"/>
      <c r="H622" s="141"/>
    </row>
    <row r="623" spans="3:8">
      <c r="C623" s="141"/>
      <c r="D623" s="141"/>
      <c r="E623" s="141"/>
      <c r="F623" s="141"/>
      <c r="G623" s="141"/>
      <c r="H623" s="141"/>
    </row>
    <row r="624" spans="3:8">
      <c r="C624" s="141"/>
      <c r="D624" s="141"/>
      <c r="E624" s="141"/>
      <c r="F624" s="141"/>
      <c r="G624" s="141"/>
      <c r="H624" s="141"/>
    </row>
    <row r="625" spans="3:8">
      <c r="C625" s="141"/>
      <c r="D625" s="141"/>
      <c r="E625" s="141"/>
      <c r="F625" s="141"/>
      <c r="G625" s="141"/>
      <c r="H625" s="141"/>
    </row>
    <row r="626" spans="3:8">
      <c r="C626" s="141"/>
      <c r="D626" s="141"/>
      <c r="E626" s="141"/>
      <c r="F626" s="141"/>
      <c r="G626" s="141"/>
      <c r="H626" s="141"/>
    </row>
    <row r="627" spans="3:8">
      <c r="C627" s="141"/>
      <c r="D627" s="141"/>
      <c r="E627" s="141"/>
      <c r="F627" s="141"/>
      <c r="G627" s="141"/>
      <c r="H627" s="141"/>
    </row>
    <row r="628" spans="3:8">
      <c r="C628" s="141"/>
      <c r="D628" s="141"/>
      <c r="E628" s="141"/>
      <c r="F628" s="141"/>
      <c r="G628" s="141"/>
      <c r="H628" s="141"/>
    </row>
    <row r="629" spans="3:8">
      <c r="C629" s="141"/>
      <c r="D629" s="141"/>
      <c r="E629" s="141"/>
      <c r="F629" s="141"/>
      <c r="G629" s="141"/>
      <c r="H629" s="141"/>
    </row>
    <row r="630" spans="3:8">
      <c r="C630" s="141"/>
      <c r="D630" s="141"/>
      <c r="E630" s="141"/>
      <c r="F630" s="141"/>
      <c r="G630" s="141"/>
      <c r="H630" s="141"/>
    </row>
    <row r="631" spans="3:8">
      <c r="C631" s="141"/>
      <c r="D631" s="141"/>
      <c r="E631" s="141"/>
      <c r="F631" s="141"/>
      <c r="G631" s="141"/>
      <c r="H631" s="141"/>
    </row>
    <row r="632" spans="3:8">
      <c r="C632" s="141"/>
      <c r="D632" s="141"/>
      <c r="E632" s="141"/>
      <c r="F632" s="141"/>
      <c r="G632" s="141"/>
      <c r="H632" s="141"/>
    </row>
    <row r="633" spans="3:8">
      <c r="C633" s="141"/>
      <c r="D633" s="141"/>
      <c r="E633" s="141"/>
      <c r="F633" s="141"/>
      <c r="G633" s="141"/>
      <c r="H633" s="141"/>
    </row>
    <row r="634" spans="3:8">
      <c r="C634" s="141"/>
      <c r="D634" s="141"/>
      <c r="E634" s="141"/>
      <c r="F634" s="141"/>
      <c r="G634" s="141"/>
      <c r="H634" s="141"/>
    </row>
    <row r="635" spans="3:8">
      <c r="C635" s="141"/>
      <c r="D635" s="141"/>
      <c r="E635" s="141"/>
      <c r="F635" s="141"/>
      <c r="G635" s="141"/>
      <c r="H635" s="141"/>
    </row>
    <row r="636" spans="3:8">
      <c r="C636" s="141"/>
      <c r="D636" s="141"/>
      <c r="E636" s="141"/>
      <c r="F636" s="141"/>
      <c r="G636" s="141"/>
      <c r="H636" s="141"/>
    </row>
    <row r="637" spans="3:8">
      <c r="C637" s="141"/>
      <c r="D637" s="141"/>
      <c r="E637" s="141"/>
      <c r="F637" s="141"/>
      <c r="G637" s="141"/>
      <c r="H637" s="141"/>
    </row>
    <row r="638" spans="3:8">
      <c r="C638" s="141"/>
      <c r="D638" s="141"/>
      <c r="E638" s="141"/>
      <c r="F638" s="141"/>
      <c r="G638" s="141"/>
      <c r="H638" s="141"/>
    </row>
    <row r="639" spans="3:8">
      <c r="C639" s="141"/>
      <c r="D639" s="141"/>
      <c r="E639" s="141"/>
      <c r="F639" s="141"/>
      <c r="G639" s="141"/>
      <c r="H639" s="141"/>
    </row>
    <row r="640" spans="3:8">
      <c r="C640" s="141"/>
      <c r="D640" s="141"/>
      <c r="E640" s="141"/>
      <c r="F640" s="141"/>
      <c r="G640" s="141"/>
      <c r="H640" s="141"/>
    </row>
    <row r="641" spans="3:8">
      <c r="C641" s="141"/>
      <c r="D641" s="141"/>
      <c r="E641" s="141"/>
      <c r="F641" s="141"/>
      <c r="G641" s="141"/>
      <c r="H641" s="141"/>
    </row>
    <row r="642" spans="3:8">
      <c r="C642" s="141"/>
      <c r="D642" s="141"/>
      <c r="E642" s="141"/>
      <c r="F642" s="141"/>
      <c r="G642" s="141"/>
      <c r="H642" s="141"/>
    </row>
    <row r="643" spans="3:8">
      <c r="C643" s="141"/>
      <c r="D643" s="141"/>
      <c r="E643" s="141"/>
      <c r="F643" s="141"/>
      <c r="G643" s="141"/>
      <c r="H643" s="141"/>
    </row>
    <row r="644" spans="3:8">
      <c r="C644" s="141"/>
      <c r="D644" s="141"/>
      <c r="E644" s="141"/>
      <c r="F644" s="141"/>
      <c r="G644" s="141"/>
      <c r="H644" s="141"/>
    </row>
    <row r="645" spans="3:8">
      <c r="C645" s="141"/>
      <c r="D645" s="141"/>
      <c r="E645" s="141"/>
      <c r="F645" s="141"/>
      <c r="G645" s="141"/>
      <c r="H645" s="141"/>
    </row>
    <row r="646" spans="3:8">
      <c r="C646" s="141"/>
      <c r="D646" s="141"/>
      <c r="E646" s="141"/>
      <c r="F646" s="141"/>
      <c r="G646" s="141"/>
      <c r="H646" s="141"/>
    </row>
    <row r="647" spans="3:8">
      <c r="C647" s="141"/>
      <c r="D647" s="141"/>
      <c r="E647" s="141"/>
      <c r="F647" s="141"/>
      <c r="G647" s="141"/>
      <c r="H647" s="141"/>
    </row>
    <row r="648" spans="3:8">
      <c r="C648" s="141"/>
      <c r="D648" s="141"/>
      <c r="E648" s="141"/>
      <c r="F648" s="141"/>
      <c r="G648" s="141"/>
      <c r="H648" s="141"/>
    </row>
    <row r="649" spans="3:8">
      <c r="C649" s="141"/>
      <c r="D649" s="141"/>
      <c r="E649" s="141"/>
      <c r="F649" s="141"/>
      <c r="G649" s="141"/>
      <c r="H649" s="141"/>
    </row>
    <row r="650" spans="3:8">
      <c r="C650" s="141"/>
      <c r="D650" s="141"/>
      <c r="E650" s="141"/>
      <c r="F650" s="141"/>
      <c r="G650" s="141"/>
      <c r="H650" s="141"/>
    </row>
    <row r="651" spans="3:8">
      <c r="C651" s="141"/>
      <c r="D651" s="141"/>
      <c r="E651" s="141"/>
      <c r="F651" s="141"/>
      <c r="G651" s="141"/>
      <c r="H651" s="141"/>
    </row>
    <row r="652" spans="3:8">
      <c r="C652" s="141"/>
      <c r="D652" s="141"/>
      <c r="E652" s="141"/>
      <c r="F652" s="141"/>
      <c r="G652" s="141"/>
      <c r="H652" s="141"/>
    </row>
    <row r="653" spans="3:8">
      <c r="C653" s="141"/>
      <c r="D653" s="141"/>
      <c r="E653" s="141"/>
      <c r="F653" s="141"/>
      <c r="G653" s="141"/>
      <c r="H653" s="141"/>
    </row>
    <row r="654" spans="3:8">
      <c r="C654" s="141"/>
      <c r="D654" s="141"/>
      <c r="E654" s="141"/>
      <c r="F654" s="141"/>
      <c r="G654" s="141"/>
      <c r="H654" s="141"/>
    </row>
    <row r="655" spans="3:8">
      <c r="C655" s="141"/>
      <c r="D655" s="141"/>
      <c r="E655" s="141"/>
      <c r="F655" s="141"/>
      <c r="G655" s="141"/>
      <c r="H655" s="141"/>
    </row>
    <row r="656" spans="3:8">
      <c r="C656" s="141"/>
      <c r="D656" s="141"/>
      <c r="E656" s="141"/>
      <c r="F656" s="141"/>
      <c r="G656" s="141"/>
      <c r="H656" s="141"/>
    </row>
    <row r="657" spans="3:8">
      <c r="C657" s="141"/>
      <c r="D657" s="141"/>
      <c r="E657" s="141"/>
      <c r="F657" s="141"/>
      <c r="G657" s="141"/>
      <c r="H657" s="141"/>
    </row>
    <row r="658" spans="3:8">
      <c r="C658" s="141"/>
      <c r="D658" s="141"/>
      <c r="E658" s="141"/>
      <c r="F658" s="141"/>
      <c r="G658" s="141"/>
      <c r="H658" s="141"/>
    </row>
    <row r="659" spans="3:8">
      <c r="C659" s="141"/>
      <c r="D659" s="141"/>
      <c r="E659" s="141"/>
      <c r="F659" s="141"/>
      <c r="G659" s="141"/>
      <c r="H659" s="141"/>
    </row>
    <row r="660" spans="3:8">
      <c r="C660" s="141"/>
      <c r="D660" s="141"/>
      <c r="E660" s="141"/>
      <c r="F660" s="141"/>
      <c r="G660" s="141"/>
      <c r="H660" s="141"/>
    </row>
    <row r="661" spans="3:8">
      <c r="C661" s="141"/>
      <c r="D661" s="141"/>
      <c r="E661" s="141"/>
      <c r="F661" s="141"/>
      <c r="G661" s="141"/>
      <c r="H661" s="141"/>
    </row>
    <row r="662" spans="3:8">
      <c r="C662" s="141"/>
      <c r="D662" s="141"/>
      <c r="E662" s="141"/>
      <c r="F662" s="141"/>
      <c r="G662" s="141"/>
      <c r="H662" s="141"/>
    </row>
    <row r="663" spans="3:8">
      <c r="C663" s="141"/>
      <c r="D663" s="141"/>
      <c r="E663" s="141"/>
      <c r="F663" s="141"/>
      <c r="G663" s="141"/>
      <c r="H663" s="141"/>
    </row>
    <row r="664" spans="3:8">
      <c r="C664" s="141"/>
      <c r="D664" s="141"/>
      <c r="E664" s="141"/>
      <c r="F664" s="141"/>
      <c r="G664" s="141"/>
      <c r="H664" s="141"/>
    </row>
    <row r="665" spans="3:8">
      <c r="C665" s="141"/>
      <c r="D665" s="141"/>
      <c r="E665" s="141"/>
      <c r="F665" s="141"/>
      <c r="G665" s="141"/>
      <c r="H665" s="141"/>
    </row>
    <row r="666" spans="3:8">
      <c r="C666" s="141"/>
      <c r="D666" s="141"/>
      <c r="E666" s="141"/>
      <c r="F666" s="141"/>
      <c r="G666" s="141"/>
      <c r="H666" s="141"/>
    </row>
    <row r="667" spans="3:8">
      <c r="C667" s="141"/>
      <c r="D667" s="141"/>
      <c r="E667" s="141"/>
      <c r="F667" s="141"/>
      <c r="G667" s="141"/>
      <c r="H667" s="141"/>
    </row>
    <row r="668" spans="3:8">
      <c r="C668" s="141"/>
      <c r="D668" s="141"/>
      <c r="E668" s="141"/>
      <c r="F668" s="141"/>
      <c r="G668" s="141"/>
      <c r="H668" s="141"/>
    </row>
    <row r="669" spans="3:8">
      <c r="C669" s="141"/>
      <c r="D669" s="141"/>
      <c r="E669" s="141"/>
      <c r="F669" s="141"/>
      <c r="G669" s="141"/>
      <c r="H669" s="141"/>
    </row>
    <row r="670" spans="3:8">
      <c r="C670" s="141"/>
      <c r="D670" s="141"/>
      <c r="E670" s="141"/>
      <c r="F670" s="141"/>
      <c r="G670" s="141"/>
      <c r="H670" s="141"/>
    </row>
    <row r="671" spans="3:8">
      <c r="C671" s="141"/>
      <c r="D671" s="141"/>
      <c r="E671" s="141"/>
      <c r="F671" s="141"/>
      <c r="G671" s="141"/>
      <c r="H671" s="141"/>
    </row>
    <row r="672" spans="3:8">
      <c r="C672" s="141"/>
      <c r="D672" s="141"/>
      <c r="E672" s="141"/>
      <c r="F672" s="141"/>
      <c r="G672" s="141"/>
      <c r="H672" s="141"/>
    </row>
    <row r="673" spans="3:8">
      <c r="C673" s="141"/>
      <c r="D673" s="141"/>
      <c r="E673" s="141"/>
      <c r="F673" s="141"/>
      <c r="G673" s="141"/>
      <c r="H673" s="141"/>
    </row>
    <row r="674" spans="3:8">
      <c r="C674" s="141"/>
      <c r="D674" s="141"/>
      <c r="E674" s="141"/>
      <c r="F674" s="141"/>
      <c r="G674" s="141"/>
      <c r="H674" s="141"/>
    </row>
    <row r="675" spans="3:8">
      <c r="C675" s="141"/>
      <c r="D675" s="141"/>
      <c r="E675" s="141"/>
      <c r="F675" s="141"/>
      <c r="G675" s="141"/>
      <c r="H675" s="141"/>
    </row>
    <row r="676" spans="3:8">
      <c r="C676" s="141"/>
      <c r="D676" s="141"/>
      <c r="E676" s="141"/>
      <c r="F676" s="141"/>
      <c r="G676" s="141"/>
      <c r="H676" s="141"/>
    </row>
    <row r="677" spans="3:8">
      <c r="C677" s="141"/>
      <c r="D677" s="141"/>
      <c r="E677" s="141"/>
      <c r="F677" s="141"/>
      <c r="G677" s="141"/>
      <c r="H677" s="141"/>
    </row>
    <row r="678" spans="3:8">
      <c r="C678" s="141"/>
      <c r="D678" s="141"/>
      <c r="E678" s="141"/>
      <c r="F678" s="141"/>
      <c r="G678" s="141"/>
      <c r="H678" s="141"/>
    </row>
    <row r="679" spans="3:8">
      <c r="C679" s="141"/>
      <c r="D679" s="141"/>
      <c r="E679" s="141"/>
      <c r="F679" s="141"/>
      <c r="G679" s="141"/>
      <c r="H679" s="141"/>
    </row>
    <row r="680" spans="3:8">
      <c r="C680" s="141"/>
      <c r="D680" s="141"/>
      <c r="E680" s="141"/>
      <c r="F680" s="141"/>
      <c r="G680" s="141"/>
      <c r="H680" s="141"/>
    </row>
    <row r="681" spans="3:8">
      <c r="C681" s="141"/>
      <c r="D681" s="141"/>
      <c r="E681" s="141"/>
      <c r="F681" s="141"/>
      <c r="G681" s="141"/>
      <c r="H681" s="141"/>
    </row>
    <row r="682" spans="3:8">
      <c r="C682" s="141"/>
      <c r="D682" s="141"/>
      <c r="E682" s="141"/>
      <c r="F682" s="141"/>
      <c r="G682" s="141"/>
      <c r="H682" s="141"/>
    </row>
    <row r="683" spans="3:8">
      <c r="C683" s="141"/>
      <c r="D683" s="141"/>
      <c r="E683" s="141"/>
      <c r="F683" s="141"/>
      <c r="G683" s="141"/>
      <c r="H683" s="141"/>
    </row>
    <row r="684" spans="3:8">
      <c r="C684" s="141"/>
      <c r="D684" s="141"/>
      <c r="E684" s="141"/>
      <c r="F684" s="141"/>
      <c r="G684" s="141"/>
      <c r="H684" s="141"/>
    </row>
    <row r="685" spans="3:8">
      <c r="C685" s="141"/>
      <c r="D685" s="141"/>
      <c r="E685" s="141"/>
      <c r="F685" s="141"/>
      <c r="G685" s="141"/>
      <c r="H685" s="141"/>
    </row>
    <row r="686" spans="3:8">
      <c r="C686" s="141"/>
      <c r="D686" s="141"/>
      <c r="E686" s="141"/>
      <c r="F686" s="141"/>
      <c r="G686" s="141"/>
      <c r="H686" s="141"/>
    </row>
    <row r="687" spans="3:8">
      <c r="C687" s="141"/>
      <c r="D687" s="141"/>
      <c r="E687" s="141"/>
      <c r="F687" s="141"/>
      <c r="G687" s="141"/>
      <c r="H687" s="141"/>
    </row>
    <row r="688" spans="3:8">
      <c r="C688" s="141"/>
      <c r="D688" s="141"/>
      <c r="E688" s="141"/>
      <c r="F688" s="141"/>
      <c r="G688" s="141"/>
      <c r="H688" s="141"/>
    </row>
    <row r="689" spans="3:8">
      <c r="C689" s="141"/>
      <c r="D689" s="141"/>
      <c r="E689" s="141"/>
      <c r="F689" s="141"/>
      <c r="G689" s="141"/>
      <c r="H689" s="141"/>
    </row>
    <row r="690" spans="3:8">
      <c r="C690" s="141"/>
      <c r="D690" s="141"/>
      <c r="E690" s="141"/>
      <c r="F690" s="141"/>
      <c r="G690" s="141"/>
      <c r="H690" s="141"/>
    </row>
    <row r="691" spans="3:8">
      <c r="C691" s="141"/>
      <c r="D691" s="141"/>
      <c r="E691" s="141"/>
      <c r="F691" s="141"/>
      <c r="G691" s="141"/>
      <c r="H691" s="141"/>
    </row>
    <row r="692" spans="3:8">
      <c r="C692" s="141"/>
      <c r="D692" s="141"/>
      <c r="E692" s="141"/>
      <c r="F692" s="141"/>
      <c r="G692" s="141"/>
      <c r="H692" s="141"/>
    </row>
    <row r="693" spans="3:8">
      <c r="C693" s="141"/>
      <c r="D693" s="141"/>
      <c r="E693" s="141"/>
      <c r="F693" s="141"/>
      <c r="G693" s="141"/>
      <c r="H693" s="141"/>
    </row>
    <row r="694" spans="3:8">
      <c r="C694" s="141"/>
      <c r="D694" s="141"/>
      <c r="E694" s="141"/>
      <c r="F694" s="141"/>
      <c r="G694" s="141"/>
      <c r="H694" s="141"/>
    </row>
    <row r="695" spans="3:8">
      <c r="C695" s="141"/>
      <c r="D695" s="141"/>
      <c r="E695" s="141"/>
      <c r="F695" s="141"/>
      <c r="G695" s="141"/>
      <c r="H695" s="141"/>
    </row>
    <row r="696" spans="3:8">
      <c r="C696" s="141"/>
      <c r="D696" s="141"/>
      <c r="E696" s="141"/>
      <c r="F696" s="141"/>
      <c r="G696" s="141"/>
      <c r="H696" s="141"/>
    </row>
    <row r="697" spans="3:8">
      <c r="C697" s="141"/>
      <c r="D697" s="141"/>
      <c r="E697" s="141"/>
      <c r="F697" s="141"/>
      <c r="G697" s="141"/>
      <c r="H697" s="141"/>
    </row>
    <row r="698" spans="3:8">
      <c r="C698" s="141"/>
      <c r="D698" s="141"/>
      <c r="E698" s="141"/>
      <c r="F698" s="141"/>
      <c r="G698" s="141"/>
      <c r="H698" s="141"/>
    </row>
    <row r="699" spans="3:8">
      <c r="C699" s="141"/>
      <c r="D699" s="141"/>
      <c r="E699" s="141"/>
      <c r="F699" s="141"/>
      <c r="G699" s="141"/>
      <c r="H699" s="141"/>
    </row>
    <row r="700" spans="3:8">
      <c r="C700" s="141"/>
      <c r="D700" s="141"/>
      <c r="E700" s="141"/>
      <c r="F700" s="141"/>
      <c r="G700" s="141"/>
      <c r="H700" s="141"/>
    </row>
    <row r="701" spans="3:8">
      <c r="C701" s="141"/>
      <c r="D701" s="141"/>
      <c r="E701" s="141"/>
      <c r="F701" s="141"/>
      <c r="G701" s="141"/>
      <c r="H701" s="141"/>
    </row>
    <row r="702" spans="3:8">
      <c r="C702" s="141"/>
      <c r="D702" s="141"/>
      <c r="E702" s="141"/>
      <c r="F702" s="141"/>
      <c r="G702" s="141"/>
      <c r="H702" s="141"/>
    </row>
    <row r="703" spans="3:8">
      <c r="C703" s="141"/>
      <c r="D703" s="141"/>
      <c r="E703" s="141"/>
      <c r="F703" s="141"/>
      <c r="G703" s="141"/>
      <c r="H703" s="141"/>
    </row>
    <row r="704" spans="3:8">
      <c r="C704" s="141"/>
      <c r="D704" s="141"/>
      <c r="E704" s="141"/>
      <c r="F704" s="141"/>
      <c r="G704" s="141"/>
      <c r="H704" s="141"/>
    </row>
    <row r="705" spans="3:8">
      <c r="C705" s="141"/>
      <c r="D705" s="141"/>
      <c r="E705" s="141"/>
      <c r="F705" s="141"/>
      <c r="G705" s="141"/>
      <c r="H705" s="141"/>
    </row>
    <row r="706" spans="3:8">
      <c r="C706" s="141"/>
      <c r="D706" s="141"/>
      <c r="E706" s="141"/>
      <c r="F706" s="141"/>
      <c r="G706" s="141"/>
      <c r="H706" s="141"/>
    </row>
    <row r="707" spans="3:8">
      <c r="C707" s="141"/>
      <c r="D707" s="141"/>
      <c r="E707" s="141"/>
      <c r="F707" s="141"/>
      <c r="G707" s="141"/>
      <c r="H707" s="141"/>
    </row>
    <row r="708" spans="3:8">
      <c r="C708" s="141"/>
      <c r="D708" s="141"/>
      <c r="E708" s="141"/>
      <c r="F708" s="141"/>
      <c r="G708" s="141"/>
      <c r="H708" s="141"/>
    </row>
    <row r="709" spans="3:8">
      <c r="C709" s="141"/>
      <c r="D709" s="141"/>
      <c r="E709" s="141"/>
      <c r="F709" s="141"/>
      <c r="G709" s="141"/>
      <c r="H709" s="141"/>
    </row>
    <row r="710" spans="3:8">
      <c r="C710" s="141"/>
      <c r="D710" s="141"/>
      <c r="E710" s="141"/>
      <c r="F710" s="141"/>
      <c r="G710" s="141"/>
      <c r="H710" s="141"/>
    </row>
    <row r="711" spans="3:8">
      <c r="C711" s="141"/>
      <c r="D711" s="141"/>
      <c r="E711" s="141"/>
      <c r="F711" s="141"/>
      <c r="G711" s="141"/>
      <c r="H711" s="141"/>
    </row>
    <row r="712" spans="3:8">
      <c r="C712" s="141"/>
      <c r="D712" s="141"/>
      <c r="E712" s="141"/>
      <c r="F712" s="141"/>
      <c r="G712" s="141"/>
      <c r="H712" s="141"/>
    </row>
    <row r="713" spans="3:8">
      <c r="C713" s="141"/>
      <c r="D713" s="141"/>
      <c r="E713" s="141"/>
      <c r="F713" s="141"/>
      <c r="G713" s="141"/>
      <c r="H713" s="141"/>
    </row>
    <row r="714" spans="3:8">
      <c r="C714" s="141"/>
      <c r="D714" s="141"/>
      <c r="E714" s="141"/>
      <c r="F714" s="141"/>
      <c r="G714" s="141"/>
      <c r="H714" s="141"/>
    </row>
    <row r="715" spans="3:8">
      <c r="C715" s="141"/>
      <c r="D715" s="141"/>
      <c r="E715" s="141"/>
      <c r="F715" s="141"/>
      <c r="G715" s="141"/>
      <c r="H715" s="141"/>
    </row>
    <row r="716" spans="3:8">
      <c r="C716" s="141"/>
      <c r="D716" s="141"/>
      <c r="E716" s="141"/>
      <c r="F716" s="141"/>
      <c r="G716" s="141"/>
      <c r="H716" s="141"/>
    </row>
    <row r="717" spans="3:8">
      <c r="C717" s="141"/>
      <c r="D717" s="141"/>
      <c r="E717" s="141"/>
      <c r="F717" s="141"/>
      <c r="G717" s="141"/>
      <c r="H717" s="141"/>
    </row>
    <row r="718" spans="3:8">
      <c r="C718" s="141"/>
      <c r="D718" s="141"/>
      <c r="E718" s="141"/>
      <c r="F718" s="141"/>
      <c r="G718" s="141"/>
      <c r="H718" s="141"/>
    </row>
    <row r="719" spans="3:8">
      <c r="C719" s="141"/>
      <c r="D719" s="141"/>
      <c r="E719" s="141"/>
      <c r="F719" s="141"/>
      <c r="G719" s="141"/>
      <c r="H719" s="141"/>
    </row>
    <row r="720" spans="3:8">
      <c r="C720" s="141"/>
      <c r="D720" s="141"/>
      <c r="E720" s="141"/>
      <c r="F720" s="141"/>
      <c r="G720" s="141"/>
      <c r="H720" s="141"/>
    </row>
    <row r="721" spans="3:8">
      <c r="C721" s="141"/>
      <c r="D721" s="141"/>
      <c r="E721" s="141"/>
      <c r="F721" s="141"/>
      <c r="G721" s="141"/>
      <c r="H721" s="141"/>
    </row>
    <row r="722" spans="3:8">
      <c r="C722" s="141"/>
      <c r="D722" s="141"/>
      <c r="E722" s="141"/>
      <c r="F722" s="141"/>
      <c r="G722" s="141"/>
      <c r="H722" s="141"/>
    </row>
    <row r="723" spans="3:8">
      <c r="C723" s="141"/>
      <c r="D723" s="141"/>
      <c r="E723" s="141"/>
      <c r="F723" s="141"/>
      <c r="G723" s="141"/>
      <c r="H723" s="141"/>
    </row>
    <row r="724" spans="3:8">
      <c r="C724" s="141"/>
      <c r="D724" s="141"/>
      <c r="E724" s="141"/>
      <c r="F724" s="141"/>
      <c r="G724" s="141"/>
      <c r="H724" s="141"/>
    </row>
    <row r="725" spans="3:8">
      <c r="C725" s="141"/>
      <c r="D725" s="141"/>
      <c r="E725" s="141"/>
      <c r="F725" s="141"/>
      <c r="G725" s="141"/>
      <c r="H725" s="141"/>
    </row>
    <row r="726" spans="3:8">
      <c r="C726" s="141"/>
      <c r="D726" s="141"/>
      <c r="E726" s="141"/>
      <c r="F726" s="141"/>
      <c r="G726" s="141"/>
      <c r="H726" s="141"/>
    </row>
    <row r="727" spans="3:8">
      <c r="C727" s="141"/>
      <c r="D727" s="141"/>
      <c r="E727" s="141"/>
      <c r="F727" s="141"/>
      <c r="G727" s="141"/>
      <c r="H727" s="141"/>
    </row>
    <row r="728" spans="3:8">
      <c r="C728" s="141"/>
      <c r="D728" s="141"/>
      <c r="E728" s="141"/>
      <c r="F728" s="141"/>
      <c r="G728" s="141"/>
      <c r="H728" s="141"/>
    </row>
    <row r="729" spans="3:8">
      <c r="C729" s="141"/>
      <c r="D729" s="141"/>
      <c r="E729" s="141"/>
      <c r="F729" s="141"/>
      <c r="G729" s="141"/>
      <c r="H729" s="141"/>
    </row>
    <row r="730" spans="3:8">
      <c r="C730" s="141"/>
      <c r="D730" s="141"/>
      <c r="E730" s="141"/>
      <c r="F730" s="141"/>
      <c r="G730" s="141"/>
      <c r="H730" s="141"/>
    </row>
    <row r="731" spans="3:8">
      <c r="C731" s="141"/>
      <c r="D731" s="141"/>
      <c r="E731" s="141"/>
      <c r="F731" s="141"/>
      <c r="G731" s="141"/>
      <c r="H731" s="141"/>
    </row>
    <row r="732" spans="3:8">
      <c r="C732" s="141"/>
      <c r="D732" s="141"/>
      <c r="E732" s="141"/>
      <c r="F732" s="141"/>
      <c r="G732" s="141"/>
      <c r="H732" s="141"/>
    </row>
    <row r="733" spans="3:8">
      <c r="C733" s="141"/>
      <c r="D733" s="141"/>
      <c r="E733" s="141"/>
      <c r="F733" s="141"/>
      <c r="G733" s="141"/>
      <c r="H733" s="141"/>
    </row>
    <row r="734" spans="3:8">
      <c r="C734" s="141"/>
      <c r="D734" s="141"/>
      <c r="E734" s="141"/>
      <c r="F734" s="141"/>
      <c r="G734" s="141"/>
      <c r="H734" s="141"/>
    </row>
    <row r="735" spans="3:8">
      <c r="C735" s="141"/>
      <c r="D735" s="141"/>
      <c r="E735" s="141"/>
      <c r="F735" s="141"/>
      <c r="G735" s="141"/>
      <c r="H735" s="141"/>
    </row>
    <row r="736" spans="3:8">
      <c r="C736" s="141"/>
      <c r="D736" s="141"/>
      <c r="E736" s="141"/>
      <c r="F736" s="141"/>
      <c r="G736" s="141"/>
      <c r="H736" s="141"/>
    </row>
    <row r="737" spans="3:8">
      <c r="C737" s="141"/>
      <c r="D737" s="141"/>
      <c r="E737" s="141"/>
      <c r="F737" s="141"/>
      <c r="G737" s="141"/>
      <c r="H737" s="141"/>
    </row>
    <row r="738" spans="3:8">
      <c r="C738" s="141"/>
      <c r="D738" s="141"/>
      <c r="E738" s="141"/>
      <c r="F738" s="141"/>
      <c r="G738" s="141"/>
      <c r="H738" s="141"/>
    </row>
    <row r="739" spans="3:8">
      <c r="C739" s="141"/>
      <c r="D739" s="141"/>
      <c r="E739" s="141"/>
      <c r="F739" s="141"/>
      <c r="G739" s="141"/>
      <c r="H739" s="141"/>
    </row>
    <row r="740" spans="3:8">
      <c r="C740" s="141"/>
      <c r="D740" s="141"/>
      <c r="E740" s="141"/>
      <c r="F740" s="141"/>
      <c r="G740" s="141"/>
      <c r="H740" s="141"/>
    </row>
    <row r="741" spans="3:8">
      <c r="C741" s="141"/>
      <c r="D741" s="141"/>
      <c r="E741" s="141"/>
      <c r="F741" s="141"/>
      <c r="G741" s="141"/>
      <c r="H741" s="141"/>
    </row>
    <row r="742" spans="3:8">
      <c r="C742" s="141"/>
      <c r="D742" s="141"/>
      <c r="E742" s="141"/>
      <c r="F742" s="141"/>
      <c r="G742" s="141"/>
      <c r="H742" s="141"/>
    </row>
    <row r="743" spans="3:8">
      <c r="C743" s="141"/>
      <c r="D743" s="141"/>
      <c r="E743" s="141"/>
      <c r="F743" s="141"/>
      <c r="G743" s="141"/>
      <c r="H743" s="141"/>
    </row>
    <row r="744" spans="3:8">
      <c r="C744" s="141"/>
      <c r="D744" s="141"/>
      <c r="E744" s="141"/>
      <c r="F744" s="141"/>
      <c r="G744" s="141"/>
      <c r="H744" s="141"/>
    </row>
    <row r="745" spans="3:8">
      <c r="C745" s="141"/>
      <c r="D745" s="141"/>
      <c r="E745" s="141"/>
      <c r="F745" s="141"/>
      <c r="G745" s="141"/>
      <c r="H745" s="141"/>
    </row>
    <row r="746" spans="3:8">
      <c r="C746" s="141"/>
      <c r="D746" s="141"/>
      <c r="E746" s="141"/>
      <c r="F746" s="141"/>
      <c r="G746" s="141"/>
      <c r="H746" s="141"/>
    </row>
    <row r="747" spans="3:8">
      <c r="C747" s="141"/>
      <c r="D747" s="141"/>
      <c r="E747" s="141"/>
      <c r="F747" s="141"/>
      <c r="G747" s="141"/>
      <c r="H747" s="141"/>
    </row>
    <row r="748" spans="3:8">
      <c r="C748" s="141"/>
      <c r="D748" s="141"/>
      <c r="E748" s="141"/>
      <c r="F748" s="141"/>
      <c r="G748" s="141"/>
      <c r="H748" s="141"/>
    </row>
    <row r="749" spans="3:8">
      <c r="C749" s="141"/>
      <c r="D749" s="141"/>
      <c r="E749" s="141"/>
      <c r="F749" s="141"/>
      <c r="G749" s="141"/>
      <c r="H749" s="141"/>
    </row>
    <row r="750" spans="3:8">
      <c r="C750" s="141"/>
      <c r="D750" s="141"/>
      <c r="E750" s="141"/>
      <c r="F750" s="141"/>
      <c r="G750" s="141"/>
      <c r="H750" s="141"/>
    </row>
    <row r="751" spans="3:8">
      <c r="C751" s="141"/>
      <c r="D751" s="141"/>
      <c r="E751" s="141"/>
      <c r="F751" s="141"/>
      <c r="G751" s="141"/>
      <c r="H751" s="141"/>
    </row>
    <row r="752" spans="3:8">
      <c r="C752" s="141"/>
      <c r="D752" s="141"/>
      <c r="E752" s="141"/>
      <c r="F752" s="141"/>
      <c r="G752" s="141"/>
      <c r="H752" s="141"/>
    </row>
    <row r="753" spans="3:8">
      <c r="C753" s="141"/>
      <c r="D753" s="141"/>
      <c r="E753" s="141"/>
      <c r="F753" s="141"/>
      <c r="G753" s="141"/>
      <c r="H753" s="141"/>
    </row>
    <row r="754" spans="3:8">
      <c r="C754" s="141"/>
      <c r="D754" s="141"/>
      <c r="E754" s="141"/>
      <c r="F754" s="141"/>
      <c r="G754" s="141"/>
      <c r="H754" s="141"/>
    </row>
    <row r="755" spans="3:8">
      <c r="C755" s="141"/>
      <c r="D755" s="141"/>
      <c r="E755" s="141"/>
      <c r="F755" s="141"/>
      <c r="G755" s="141"/>
      <c r="H755" s="141"/>
    </row>
    <row r="756" spans="3:8">
      <c r="C756" s="141"/>
      <c r="D756" s="141"/>
      <c r="E756" s="141"/>
      <c r="F756" s="141"/>
      <c r="G756" s="141"/>
      <c r="H756" s="141"/>
    </row>
    <row r="757" spans="3:8">
      <c r="C757" s="141"/>
      <c r="D757" s="141"/>
      <c r="E757" s="141"/>
      <c r="F757" s="141"/>
      <c r="G757" s="141"/>
      <c r="H757" s="141"/>
    </row>
    <row r="758" spans="3:8">
      <c r="C758" s="141"/>
      <c r="D758" s="141"/>
      <c r="E758" s="141"/>
      <c r="F758" s="141"/>
      <c r="G758" s="141"/>
      <c r="H758" s="141"/>
    </row>
    <row r="759" spans="3:8">
      <c r="C759" s="141"/>
      <c r="D759" s="141"/>
      <c r="E759" s="141"/>
      <c r="F759" s="141"/>
      <c r="G759" s="141"/>
      <c r="H759" s="141"/>
    </row>
    <row r="760" spans="3:8">
      <c r="C760" s="141"/>
      <c r="D760" s="141"/>
      <c r="E760" s="141"/>
      <c r="F760" s="141"/>
      <c r="G760" s="141"/>
      <c r="H760" s="141"/>
    </row>
    <row r="761" spans="3:8">
      <c r="C761" s="141"/>
      <c r="D761" s="141"/>
      <c r="E761" s="141"/>
      <c r="F761" s="141"/>
      <c r="G761" s="141"/>
      <c r="H761" s="141"/>
    </row>
    <row r="762" spans="3:8">
      <c r="C762" s="141"/>
      <c r="D762" s="141"/>
      <c r="E762" s="141"/>
      <c r="F762" s="141"/>
      <c r="G762" s="141"/>
      <c r="H762" s="141"/>
    </row>
    <row r="763" spans="3:8">
      <c r="C763" s="141"/>
      <c r="D763" s="141"/>
      <c r="E763" s="141"/>
      <c r="F763" s="141"/>
      <c r="G763" s="141"/>
      <c r="H763" s="141"/>
    </row>
    <row r="764" spans="3:8">
      <c r="C764" s="141"/>
      <c r="D764" s="141"/>
      <c r="E764" s="141"/>
      <c r="F764" s="141"/>
      <c r="G764" s="141"/>
      <c r="H764" s="141"/>
    </row>
    <row r="765" spans="3:8">
      <c r="C765" s="141"/>
      <c r="D765" s="141"/>
      <c r="E765" s="141"/>
      <c r="F765" s="141"/>
      <c r="G765" s="141"/>
      <c r="H765" s="141"/>
    </row>
    <row r="766" spans="3:8">
      <c r="C766" s="141"/>
      <c r="D766" s="141"/>
      <c r="E766" s="141"/>
      <c r="F766" s="141"/>
      <c r="G766" s="141"/>
      <c r="H766" s="141"/>
    </row>
    <row r="767" spans="3:8">
      <c r="C767" s="141"/>
      <c r="D767" s="141"/>
      <c r="E767" s="141"/>
      <c r="F767" s="141"/>
      <c r="G767" s="141"/>
      <c r="H767" s="141"/>
    </row>
    <row r="768" spans="3:8">
      <c r="C768" s="141"/>
      <c r="D768" s="141"/>
      <c r="E768" s="141"/>
      <c r="F768" s="141"/>
      <c r="G768" s="141"/>
      <c r="H768" s="141"/>
    </row>
    <row r="769" spans="3:8">
      <c r="C769" s="141"/>
      <c r="D769" s="141"/>
      <c r="E769" s="141"/>
      <c r="F769" s="141"/>
      <c r="G769" s="141"/>
      <c r="H769" s="141"/>
    </row>
    <row r="770" spans="3:8">
      <c r="C770" s="141"/>
      <c r="D770" s="141"/>
      <c r="E770" s="141"/>
      <c r="F770" s="141"/>
      <c r="G770" s="141"/>
      <c r="H770" s="141"/>
    </row>
    <row r="771" spans="3:8">
      <c r="C771" s="141"/>
      <c r="D771" s="141"/>
      <c r="E771" s="141"/>
      <c r="F771" s="141"/>
      <c r="G771" s="141"/>
      <c r="H771" s="141"/>
    </row>
    <row r="772" spans="3:8">
      <c r="C772" s="141"/>
      <c r="D772" s="141"/>
      <c r="E772" s="141"/>
      <c r="F772" s="141"/>
      <c r="G772" s="141"/>
      <c r="H772" s="141"/>
    </row>
    <row r="773" spans="3:8">
      <c r="C773" s="141"/>
      <c r="D773" s="141"/>
      <c r="E773" s="141"/>
      <c r="F773" s="141"/>
      <c r="G773" s="141"/>
      <c r="H773" s="141"/>
    </row>
    <row r="774" spans="3:8">
      <c r="C774" s="141"/>
      <c r="D774" s="141"/>
      <c r="E774" s="141"/>
      <c r="F774" s="141"/>
      <c r="G774" s="141"/>
      <c r="H774" s="141"/>
    </row>
    <row r="775" spans="3:8">
      <c r="C775" s="141"/>
      <c r="D775" s="141"/>
      <c r="E775" s="141"/>
      <c r="F775" s="141"/>
      <c r="G775" s="141"/>
      <c r="H775" s="141"/>
    </row>
    <row r="776" spans="3:8">
      <c r="C776" s="141"/>
      <c r="D776" s="141"/>
      <c r="E776" s="141"/>
      <c r="F776" s="141"/>
      <c r="G776" s="141"/>
      <c r="H776" s="141"/>
    </row>
    <row r="777" spans="3:8">
      <c r="C777" s="141"/>
      <c r="D777" s="141"/>
      <c r="E777" s="141"/>
      <c r="F777" s="141"/>
      <c r="G777" s="141"/>
      <c r="H777" s="141"/>
    </row>
    <row r="778" spans="3:8">
      <c r="C778" s="141"/>
      <c r="D778" s="141"/>
      <c r="E778" s="141"/>
      <c r="F778" s="141"/>
      <c r="G778" s="141"/>
      <c r="H778" s="141"/>
    </row>
    <row r="779" spans="3:8">
      <c r="C779" s="141"/>
      <c r="D779" s="141"/>
      <c r="E779" s="141"/>
      <c r="F779" s="141"/>
      <c r="G779" s="141"/>
      <c r="H779" s="141"/>
    </row>
    <row r="780" spans="3:8">
      <c r="C780" s="141"/>
      <c r="D780" s="141"/>
      <c r="E780" s="141"/>
      <c r="F780" s="141"/>
      <c r="G780" s="141"/>
      <c r="H780" s="141"/>
    </row>
    <row r="781" spans="3:8">
      <c r="C781" s="141"/>
      <c r="D781" s="141"/>
      <c r="E781" s="141"/>
      <c r="F781" s="141"/>
      <c r="G781" s="141"/>
      <c r="H781" s="141"/>
    </row>
    <row r="782" spans="3:8">
      <c r="C782" s="141"/>
      <c r="D782" s="141"/>
      <c r="E782" s="141"/>
      <c r="F782" s="141"/>
      <c r="G782" s="141"/>
      <c r="H782" s="141"/>
    </row>
    <row r="783" spans="3:8">
      <c r="C783" s="141"/>
      <c r="D783" s="141"/>
      <c r="E783" s="141"/>
      <c r="F783" s="141"/>
      <c r="G783" s="141"/>
      <c r="H783" s="141"/>
    </row>
    <row r="784" spans="3:8">
      <c r="C784" s="141"/>
      <c r="D784" s="141"/>
      <c r="E784" s="141"/>
      <c r="F784" s="141"/>
      <c r="G784" s="141"/>
      <c r="H784" s="141"/>
    </row>
    <row r="785" spans="3:8">
      <c r="C785" s="141"/>
      <c r="D785" s="141"/>
      <c r="E785" s="141"/>
      <c r="F785" s="141"/>
      <c r="G785" s="141"/>
      <c r="H785" s="141"/>
    </row>
    <row r="786" spans="3:8">
      <c r="C786" s="141"/>
      <c r="D786" s="141"/>
      <c r="E786" s="141"/>
      <c r="F786" s="141"/>
      <c r="G786" s="141"/>
      <c r="H786" s="141"/>
    </row>
    <row r="787" spans="3:8">
      <c r="C787" s="141"/>
      <c r="D787" s="141"/>
      <c r="E787" s="141"/>
      <c r="F787" s="141"/>
      <c r="G787" s="141"/>
      <c r="H787" s="141"/>
    </row>
    <row r="788" spans="3:8">
      <c r="C788" s="141"/>
      <c r="D788" s="141"/>
      <c r="E788" s="141"/>
      <c r="F788" s="141"/>
      <c r="G788" s="141"/>
      <c r="H788" s="141"/>
    </row>
    <row r="789" spans="3:8">
      <c r="C789" s="141"/>
      <c r="D789" s="141"/>
      <c r="E789" s="141"/>
      <c r="F789" s="141"/>
      <c r="G789" s="141"/>
      <c r="H789" s="141"/>
    </row>
    <row r="790" spans="3:8">
      <c r="C790" s="141"/>
      <c r="D790" s="141"/>
      <c r="E790" s="141"/>
      <c r="F790" s="141"/>
      <c r="G790" s="141"/>
      <c r="H790" s="141"/>
    </row>
    <row r="791" spans="3:8">
      <c r="C791" s="141"/>
      <c r="D791" s="141"/>
      <c r="E791" s="141"/>
      <c r="F791" s="141"/>
      <c r="G791" s="141"/>
      <c r="H791" s="141"/>
    </row>
    <row r="792" spans="3:8">
      <c r="C792" s="141"/>
      <c r="D792" s="141"/>
      <c r="E792" s="141"/>
      <c r="F792" s="141"/>
      <c r="G792" s="141"/>
      <c r="H792" s="141"/>
    </row>
    <row r="793" spans="3:8">
      <c r="C793" s="141"/>
      <c r="D793" s="141"/>
      <c r="E793" s="141"/>
      <c r="F793" s="141"/>
      <c r="G793" s="141"/>
      <c r="H793" s="141"/>
    </row>
    <row r="794" spans="3:8">
      <c r="C794" s="141"/>
      <c r="D794" s="141"/>
      <c r="E794" s="141"/>
      <c r="F794" s="141"/>
      <c r="G794" s="141"/>
      <c r="H794" s="141"/>
    </row>
    <row r="795" spans="3:8">
      <c r="C795" s="141"/>
      <c r="D795" s="141"/>
      <c r="E795" s="141"/>
      <c r="F795" s="141"/>
      <c r="G795" s="141"/>
      <c r="H795" s="141"/>
    </row>
    <row r="796" spans="3:8">
      <c r="C796" s="141"/>
      <c r="D796" s="141"/>
      <c r="E796" s="141"/>
      <c r="F796" s="141"/>
      <c r="G796" s="141"/>
      <c r="H796" s="141"/>
    </row>
    <row r="797" spans="3:8">
      <c r="C797" s="141"/>
      <c r="D797" s="141"/>
      <c r="E797" s="141"/>
      <c r="F797" s="141"/>
      <c r="G797" s="141"/>
      <c r="H797" s="141"/>
    </row>
    <row r="798" spans="3:8">
      <c r="C798" s="141"/>
      <c r="D798" s="141"/>
      <c r="E798" s="141"/>
      <c r="F798" s="141"/>
      <c r="G798" s="141"/>
      <c r="H798" s="141"/>
    </row>
    <row r="799" spans="3:8">
      <c r="C799" s="141"/>
      <c r="D799" s="141"/>
      <c r="E799" s="141"/>
      <c r="F799" s="141"/>
      <c r="G799" s="141"/>
      <c r="H799" s="141"/>
    </row>
    <row r="800" spans="3:8">
      <c r="C800" s="141"/>
      <c r="D800" s="141"/>
      <c r="E800" s="141"/>
      <c r="F800" s="141"/>
      <c r="G800" s="141"/>
      <c r="H800" s="141"/>
    </row>
    <row r="801" spans="3:8">
      <c r="C801" s="141"/>
      <c r="D801" s="141"/>
      <c r="E801" s="141"/>
      <c r="F801" s="141"/>
      <c r="G801" s="141"/>
      <c r="H801" s="141"/>
    </row>
    <row r="802" spans="3:8">
      <c r="C802" s="141"/>
      <c r="D802" s="141"/>
      <c r="E802" s="141"/>
      <c r="F802" s="141"/>
      <c r="G802" s="141"/>
      <c r="H802" s="141"/>
    </row>
    <row r="803" spans="3:8">
      <c r="C803" s="141"/>
      <c r="D803" s="141"/>
      <c r="E803" s="141"/>
      <c r="F803" s="141"/>
      <c r="G803" s="141"/>
      <c r="H803" s="141"/>
    </row>
    <row r="804" spans="3:8">
      <c r="C804" s="141"/>
      <c r="D804" s="141"/>
      <c r="E804" s="141"/>
      <c r="F804" s="141"/>
      <c r="G804" s="141"/>
      <c r="H804" s="141"/>
    </row>
    <row r="805" spans="3:8">
      <c r="C805" s="141"/>
      <c r="D805" s="141"/>
      <c r="E805" s="141"/>
      <c r="F805" s="141"/>
      <c r="G805" s="141"/>
      <c r="H805" s="141"/>
    </row>
    <row r="806" spans="3:8">
      <c r="C806" s="141"/>
      <c r="D806" s="141"/>
      <c r="E806" s="141"/>
      <c r="F806" s="141"/>
      <c r="G806" s="141"/>
      <c r="H806" s="141"/>
    </row>
    <row r="807" spans="3:8">
      <c r="C807" s="141"/>
      <c r="D807" s="141"/>
      <c r="E807" s="141"/>
      <c r="F807" s="141"/>
      <c r="G807" s="141"/>
      <c r="H807" s="141"/>
    </row>
    <row r="808" spans="3:8">
      <c r="C808" s="141"/>
      <c r="D808" s="141"/>
      <c r="E808" s="141"/>
      <c r="F808" s="141"/>
      <c r="G808" s="141"/>
      <c r="H808" s="141"/>
    </row>
    <row r="809" spans="3:8">
      <c r="C809" s="141"/>
      <c r="D809" s="141"/>
      <c r="E809" s="141"/>
      <c r="F809" s="141"/>
      <c r="G809" s="141"/>
      <c r="H809" s="141"/>
    </row>
    <row r="810" spans="3:8">
      <c r="C810" s="141"/>
      <c r="D810" s="141"/>
      <c r="E810" s="141"/>
      <c r="F810" s="141"/>
      <c r="G810" s="141"/>
      <c r="H810" s="141"/>
    </row>
    <row r="811" spans="3:8">
      <c r="C811" s="141"/>
      <c r="D811" s="141"/>
      <c r="E811" s="141"/>
      <c r="F811" s="141"/>
      <c r="G811" s="141"/>
      <c r="H811" s="141"/>
    </row>
    <row r="812" spans="3:8">
      <c r="C812" s="141"/>
      <c r="D812" s="141"/>
      <c r="E812" s="141"/>
      <c r="F812" s="141"/>
      <c r="G812" s="141"/>
      <c r="H812" s="141"/>
    </row>
    <row r="813" spans="3:8">
      <c r="C813" s="141"/>
      <c r="D813" s="141"/>
      <c r="E813" s="141"/>
      <c r="F813" s="141"/>
      <c r="G813" s="141"/>
      <c r="H813" s="141"/>
    </row>
    <row r="814" spans="3:8">
      <c r="C814" s="141"/>
      <c r="D814" s="141"/>
      <c r="E814" s="141"/>
      <c r="F814" s="141"/>
      <c r="G814" s="141"/>
      <c r="H814" s="141"/>
    </row>
    <row r="815" spans="3:8">
      <c r="C815" s="141"/>
      <c r="D815" s="141"/>
      <c r="E815" s="141"/>
      <c r="F815" s="141"/>
      <c r="G815" s="141"/>
      <c r="H815" s="141"/>
    </row>
    <row r="816" spans="3:8">
      <c r="C816" s="141"/>
      <c r="D816" s="141"/>
      <c r="E816" s="141"/>
      <c r="F816" s="141"/>
      <c r="G816" s="141"/>
      <c r="H816" s="141"/>
    </row>
    <row r="817" spans="3:8">
      <c r="C817" s="141"/>
      <c r="D817" s="141"/>
      <c r="E817" s="141"/>
      <c r="F817" s="141"/>
      <c r="G817" s="141"/>
      <c r="H817" s="141"/>
    </row>
    <row r="818" spans="3:8">
      <c r="C818" s="141"/>
      <c r="D818" s="141"/>
      <c r="E818" s="141"/>
      <c r="F818" s="141"/>
      <c r="G818" s="141"/>
      <c r="H818" s="141"/>
    </row>
    <row r="819" spans="3:8">
      <c r="C819" s="141"/>
      <c r="D819" s="141"/>
      <c r="E819" s="141"/>
      <c r="F819" s="141"/>
      <c r="G819" s="141"/>
      <c r="H819" s="141"/>
    </row>
    <row r="820" spans="3:8">
      <c r="C820" s="141"/>
      <c r="D820" s="141"/>
      <c r="E820" s="141"/>
      <c r="F820" s="141"/>
      <c r="G820" s="141"/>
      <c r="H820" s="141"/>
    </row>
    <row r="821" spans="3:8">
      <c r="C821" s="141"/>
      <c r="D821" s="141"/>
      <c r="E821" s="141"/>
      <c r="F821" s="141"/>
      <c r="G821" s="141"/>
      <c r="H821" s="141"/>
    </row>
    <row r="822" spans="3:8">
      <c r="C822" s="141"/>
      <c r="D822" s="141"/>
      <c r="E822" s="141"/>
      <c r="F822" s="141"/>
      <c r="G822" s="141"/>
      <c r="H822" s="141"/>
    </row>
    <row r="823" spans="3:8">
      <c r="C823" s="141"/>
      <c r="D823" s="141"/>
      <c r="E823" s="141"/>
      <c r="F823" s="141"/>
      <c r="G823" s="141"/>
      <c r="H823" s="141"/>
    </row>
    <row r="824" spans="3:8">
      <c r="C824" s="141"/>
      <c r="D824" s="141"/>
      <c r="E824" s="141"/>
      <c r="F824" s="141"/>
      <c r="G824" s="141"/>
      <c r="H824" s="141"/>
    </row>
    <row r="825" spans="3:8">
      <c r="C825" s="141"/>
      <c r="D825" s="141"/>
      <c r="E825" s="141"/>
      <c r="F825" s="141"/>
      <c r="G825" s="141"/>
      <c r="H825" s="141"/>
    </row>
    <row r="826" spans="3:8">
      <c r="C826" s="141"/>
      <c r="D826" s="141"/>
      <c r="E826" s="141"/>
      <c r="F826" s="141"/>
      <c r="G826" s="141"/>
      <c r="H826" s="141"/>
    </row>
    <row r="827" spans="3:8">
      <c r="C827" s="141"/>
      <c r="D827" s="141"/>
      <c r="E827" s="141"/>
      <c r="F827" s="141"/>
      <c r="G827" s="141"/>
      <c r="H827" s="141"/>
    </row>
    <row r="828" spans="3:8">
      <c r="C828" s="141"/>
      <c r="D828" s="141"/>
      <c r="E828" s="141"/>
      <c r="F828" s="141"/>
      <c r="G828" s="141"/>
      <c r="H828" s="141"/>
    </row>
    <row r="829" spans="3:8">
      <c r="C829" s="141"/>
      <c r="D829" s="141"/>
      <c r="E829" s="141"/>
      <c r="F829" s="141"/>
      <c r="G829" s="141"/>
      <c r="H829" s="141"/>
    </row>
    <row r="830" spans="3:8">
      <c r="C830" s="141"/>
      <c r="D830" s="141"/>
      <c r="E830" s="141"/>
      <c r="F830" s="141"/>
      <c r="G830" s="141"/>
      <c r="H830" s="141"/>
    </row>
    <row r="831" spans="3:8">
      <c r="C831" s="141"/>
      <c r="D831" s="141"/>
      <c r="E831" s="141"/>
      <c r="F831" s="141"/>
      <c r="G831" s="141"/>
      <c r="H831" s="141"/>
    </row>
    <row r="832" spans="3:8">
      <c r="C832" s="141"/>
      <c r="D832" s="141"/>
      <c r="E832" s="141"/>
      <c r="F832" s="141"/>
      <c r="G832" s="141"/>
      <c r="H832" s="141"/>
    </row>
    <row r="833" spans="3:8">
      <c r="C833" s="141"/>
      <c r="D833" s="141"/>
      <c r="E833" s="141"/>
      <c r="F833" s="141"/>
      <c r="G833" s="141"/>
      <c r="H833" s="141"/>
    </row>
    <row r="834" spans="3:8">
      <c r="C834" s="141"/>
      <c r="D834" s="141"/>
      <c r="E834" s="141"/>
      <c r="F834" s="141"/>
      <c r="G834" s="141"/>
      <c r="H834" s="141"/>
    </row>
    <row r="835" spans="3:8">
      <c r="C835" s="141"/>
      <c r="D835" s="141"/>
      <c r="E835" s="141"/>
      <c r="F835" s="141"/>
      <c r="G835" s="141"/>
      <c r="H835" s="141"/>
    </row>
    <row r="836" spans="3:8">
      <c r="C836" s="141"/>
      <c r="D836" s="141"/>
      <c r="E836" s="141"/>
      <c r="F836" s="141"/>
      <c r="G836" s="141"/>
      <c r="H836" s="141"/>
    </row>
    <row r="837" spans="3:8">
      <c r="C837" s="141"/>
      <c r="D837" s="141"/>
      <c r="E837" s="141"/>
      <c r="F837" s="141"/>
      <c r="G837" s="141"/>
      <c r="H837" s="141"/>
    </row>
    <row r="838" spans="3:8">
      <c r="C838" s="141"/>
      <c r="D838" s="141"/>
      <c r="E838" s="141"/>
      <c r="F838" s="141"/>
      <c r="G838" s="141"/>
      <c r="H838" s="141"/>
    </row>
    <row r="839" spans="3:8">
      <c r="C839" s="141"/>
      <c r="D839" s="141"/>
      <c r="E839" s="141"/>
      <c r="F839" s="141"/>
      <c r="G839" s="141"/>
      <c r="H839" s="141"/>
    </row>
    <row r="840" spans="3:8">
      <c r="C840" s="141"/>
      <c r="D840" s="141"/>
      <c r="E840" s="141"/>
      <c r="F840" s="141"/>
      <c r="G840" s="141"/>
      <c r="H840" s="141"/>
    </row>
    <row r="841" spans="3:8">
      <c r="C841" s="141"/>
      <c r="D841" s="141"/>
      <c r="E841" s="141"/>
      <c r="F841" s="141"/>
      <c r="G841" s="141"/>
      <c r="H841" s="141"/>
    </row>
    <row r="842" spans="3:8">
      <c r="C842" s="141"/>
      <c r="D842" s="141"/>
      <c r="E842" s="141"/>
      <c r="F842" s="141"/>
      <c r="G842" s="141"/>
      <c r="H842" s="141"/>
    </row>
    <row r="843" spans="3:8">
      <c r="C843" s="141"/>
      <c r="D843" s="141"/>
      <c r="E843" s="141"/>
      <c r="F843" s="141"/>
      <c r="G843" s="141"/>
      <c r="H843" s="141"/>
    </row>
    <row r="844" spans="3:8">
      <c r="C844" s="141"/>
      <c r="D844" s="141"/>
      <c r="E844" s="141"/>
      <c r="F844" s="141"/>
      <c r="G844" s="141"/>
      <c r="H844" s="141"/>
    </row>
    <row r="845" spans="3:8">
      <c r="C845" s="141"/>
      <c r="D845" s="141"/>
      <c r="E845" s="141"/>
      <c r="F845" s="141"/>
      <c r="G845" s="141"/>
      <c r="H845" s="141"/>
    </row>
    <row r="846" spans="3:8">
      <c r="C846" s="141"/>
      <c r="D846" s="141"/>
      <c r="E846" s="141"/>
      <c r="F846" s="141"/>
      <c r="G846" s="141"/>
      <c r="H846" s="141"/>
    </row>
    <row r="847" spans="3:8">
      <c r="C847" s="141"/>
      <c r="D847" s="141"/>
      <c r="E847" s="141"/>
      <c r="F847" s="141"/>
      <c r="G847" s="141"/>
      <c r="H847" s="141"/>
    </row>
    <row r="848" spans="3:8">
      <c r="C848" s="141"/>
      <c r="D848" s="141"/>
      <c r="E848" s="141"/>
      <c r="F848" s="141"/>
      <c r="G848" s="141"/>
      <c r="H848" s="141"/>
    </row>
    <row r="849" spans="3:8">
      <c r="C849" s="141"/>
      <c r="D849" s="141"/>
      <c r="E849" s="141"/>
      <c r="F849" s="141"/>
      <c r="G849" s="141"/>
      <c r="H849" s="141"/>
    </row>
    <row r="850" spans="3:8">
      <c r="C850" s="141"/>
      <c r="D850" s="141"/>
      <c r="E850" s="141"/>
      <c r="F850" s="141"/>
      <c r="G850" s="141"/>
      <c r="H850" s="141"/>
    </row>
    <row r="851" spans="3:8">
      <c r="C851" s="141"/>
      <c r="D851" s="141"/>
      <c r="E851" s="141"/>
      <c r="F851" s="141"/>
      <c r="G851" s="141"/>
      <c r="H851" s="141"/>
    </row>
    <row r="852" spans="3:8">
      <c r="C852" s="141"/>
      <c r="D852" s="141"/>
      <c r="E852" s="141"/>
      <c r="F852" s="141"/>
      <c r="G852" s="141"/>
      <c r="H852" s="141"/>
    </row>
    <row r="853" spans="3:8">
      <c r="C853" s="141"/>
      <c r="D853" s="141"/>
      <c r="E853" s="141"/>
      <c r="F853" s="141"/>
      <c r="G853" s="141"/>
      <c r="H853" s="141"/>
    </row>
    <row r="854" spans="3:8">
      <c r="C854" s="141"/>
      <c r="D854" s="141"/>
      <c r="E854" s="141"/>
      <c r="F854" s="141"/>
      <c r="G854" s="141"/>
      <c r="H854" s="141"/>
    </row>
    <row r="855" spans="3:8">
      <c r="C855" s="141"/>
      <c r="D855" s="141"/>
      <c r="E855" s="141"/>
      <c r="F855" s="141"/>
      <c r="G855" s="141"/>
      <c r="H855" s="141"/>
    </row>
    <row r="856" spans="3:8">
      <c r="C856" s="141"/>
      <c r="D856" s="141"/>
      <c r="E856" s="141"/>
      <c r="F856" s="141"/>
      <c r="G856" s="141"/>
      <c r="H856" s="141"/>
    </row>
    <row r="857" spans="3:8">
      <c r="C857" s="141"/>
      <c r="D857" s="141"/>
      <c r="E857" s="141"/>
      <c r="F857" s="141"/>
      <c r="G857" s="141"/>
      <c r="H857" s="141"/>
    </row>
    <row r="858" spans="3:8">
      <c r="C858" s="141"/>
      <c r="D858" s="141"/>
      <c r="E858" s="141"/>
      <c r="F858" s="141"/>
      <c r="G858" s="141"/>
      <c r="H858" s="141"/>
    </row>
    <row r="859" spans="3:8">
      <c r="C859" s="141"/>
      <c r="D859" s="141"/>
      <c r="E859" s="141"/>
      <c r="F859" s="141"/>
      <c r="G859" s="141"/>
      <c r="H859" s="141"/>
    </row>
    <row r="860" spans="3:8">
      <c r="C860" s="141"/>
      <c r="D860" s="141"/>
      <c r="E860" s="141"/>
      <c r="F860" s="141"/>
      <c r="G860" s="141"/>
      <c r="H860" s="141"/>
    </row>
    <row r="861" spans="3:8">
      <c r="C861" s="141"/>
      <c r="D861" s="141"/>
      <c r="E861" s="141"/>
      <c r="F861" s="141"/>
      <c r="G861" s="141"/>
      <c r="H861" s="141"/>
    </row>
    <row r="862" spans="3:8">
      <c r="C862" s="141"/>
      <c r="D862" s="141"/>
      <c r="E862" s="141"/>
      <c r="F862" s="141"/>
      <c r="G862" s="141"/>
      <c r="H862" s="141"/>
    </row>
    <row r="863" spans="3:8">
      <c r="C863" s="141"/>
      <c r="D863" s="141"/>
      <c r="E863" s="141"/>
      <c r="F863" s="141"/>
      <c r="G863" s="141"/>
      <c r="H863" s="141"/>
    </row>
    <row r="864" spans="3:8">
      <c r="C864" s="141"/>
      <c r="D864" s="141"/>
      <c r="E864" s="141"/>
      <c r="F864" s="141"/>
      <c r="G864" s="141"/>
      <c r="H864" s="141"/>
    </row>
    <row r="865" spans="3:8">
      <c r="C865" s="141"/>
      <c r="D865" s="141"/>
      <c r="E865" s="141"/>
      <c r="F865" s="141"/>
      <c r="G865" s="141"/>
      <c r="H865" s="141"/>
    </row>
    <row r="866" spans="3:8">
      <c r="C866" s="141"/>
      <c r="D866" s="141"/>
      <c r="E866" s="141"/>
      <c r="F866" s="141"/>
      <c r="G866" s="141"/>
      <c r="H866" s="141"/>
    </row>
    <row r="867" spans="3:8">
      <c r="C867" s="141"/>
      <c r="D867" s="141"/>
      <c r="E867" s="141"/>
      <c r="F867" s="141"/>
      <c r="G867" s="141"/>
      <c r="H867" s="141"/>
    </row>
    <row r="868" spans="3:8">
      <c r="C868" s="141"/>
      <c r="D868" s="141"/>
      <c r="E868" s="141"/>
      <c r="F868" s="141"/>
      <c r="G868" s="141"/>
      <c r="H868" s="141"/>
    </row>
    <row r="869" spans="3:8">
      <c r="C869" s="141"/>
      <c r="D869" s="141"/>
      <c r="E869" s="141"/>
      <c r="F869" s="141"/>
      <c r="G869" s="141"/>
      <c r="H869" s="141"/>
    </row>
    <row r="870" spans="3:8">
      <c r="C870" s="141"/>
      <c r="D870" s="141"/>
      <c r="E870" s="141"/>
      <c r="F870" s="141"/>
      <c r="G870" s="141"/>
      <c r="H870" s="141"/>
    </row>
    <row r="871" spans="3:8">
      <c r="C871" s="141"/>
      <c r="D871" s="141"/>
      <c r="E871" s="141"/>
      <c r="F871" s="141"/>
      <c r="G871" s="141"/>
      <c r="H871" s="141"/>
    </row>
    <row r="872" spans="3:8">
      <c r="C872" s="141"/>
      <c r="D872" s="141"/>
      <c r="E872" s="141"/>
      <c r="F872" s="141"/>
      <c r="G872" s="141"/>
      <c r="H872" s="141"/>
    </row>
    <row r="873" spans="3:8">
      <c r="C873" s="141"/>
      <c r="D873" s="141"/>
      <c r="E873" s="141"/>
      <c r="F873" s="141"/>
      <c r="G873" s="141"/>
      <c r="H873" s="141"/>
    </row>
    <row r="874" spans="3:8">
      <c r="C874" s="141"/>
      <c r="D874" s="141"/>
      <c r="E874" s="141"/>
      <c r="F874" s="141"/>
      <c r="G874" s="141"/>
      <c r="H874" s="141"/>
    </row>
    <row r="875" spans="3:8">
      <c r="C875" s="141"/>
      <c r="D875" s="141"/>
      <c r="E875" s="141"/>
      <c r="F875" s="141"/>
      <c r="G875" s="141"/>
      <c r="H875" s="141"/>
    </row>
    <row r="876" spans="3:8">
      <c r="C876" s="141"/>
      <c r="D876" s="141"/>
      <c r="E876" s="141"/>
      <c r="F876" s="141"/>
      <c r="G876" s="141"/>
      <c r="H876" s="141"/>
    </row>
    <row r="877" spans="3:8">
      <c r="C877" s="141"/>
      <c r="D877" s="141"/>
      <c r="E877" s="141"/>
      <c r="F877" s="141"/>
      <c r="G877" s="141"/>
      <c r="H877" s="141"/>
    </row>
    <row r="878" spans="3:8">
      <c r="C878" s="141"/>
      <c r="D878" s="141"/>
      <c r="E878" s="141"/>
      <c r="F878" s="141"/>
      <c r="G878" s="141"/>
      <c r="H878" s="141"/>
    </row>
    <row r="879" spans="3:8">
      <c r="C879" s="141"/>
      <c r="D879" s="141"/>
      <c r="E879" s="141"/>
      <c r="F879" s="141"/>
      <c r="G879" s="141"/>
      <c r="H879" s="141"/>
    </row>
    <row r="880" spans="3:8">
      <c r="C880" s="141"/>
      <c r="D880" s="141"/>
      <c r="E880" s="141"/>
      <c r="F880" s="141"/>
      <c r="G880" s="141"/>
      <c r="H880" s="141"/>
    </row>
    <row r="881" spans="3:8">
      <c r="C881" s="141"/>
      <c r="D881" s="141"/>
      <c r="E881" s="141"/>
      <c r="F881" s="141"/>
      <c r="G881" s="141"/>
      <c r="H881" s="141"/>
    </row>
    <row r="882" spans="3:8">
      <c r="C882" s="141"/>
      <c r="D882" s="141"/>
      <c r="E882" s="141"/>
      <c r="F882" s="141"/>
      <c r="G882" s="141"/>
      <c r="H882" s="141"/>
    </row>
    <row r="883" spans="3:8">
      <c r="C883" s="141"/>
      <c r="D883" s="141"/>
      <c r="E883" s="141"/>
      <c r="F883" s="141"/>
      <c r="G883" s="141"/>
      <c r="H883" s="141"/>
    </row>
    <row r="884" spans="3:8">
      <c r="C884" s="141"/>
      <c r="D884" s="141"/>
      <c r="E884" s="141"/>
      <c r="F884" s="141"/>
      <c r="G884" s="141"/>
      <c r="H884" s="141"/>
    </row>
    <row r="885" spans="3:8">
      <c r="C885" s="141"/>
      <c r="D885" s="141"/>
      <c r="E885" s="141"/>
      <c r="F885" s="141"/>
      <c r="G885" s="141"/>
      <c r="H885" s="141"/>
    </row>
    <row r="886" spans="3:8">
      <c r="C886" s="141"/>
      <c r="D886" s="141"/>
      <c r="E886" s="141"/>
      <c r="F886" s="141"/>
      <c r="G886" s="141"/>
      <c r="H886" s="141"/>
    </row>
    <row r="887" spans="3:8">
      <c r="C887" s="141"/>
      <c r="D887" s="141"/>
      <c r="E887" s="141"/>
      <c r="F887" s="141"/>
      <c r="G887" s="141"/>
      <c r="H887" s="141"/>
    </row>
    <row r="888" spans="3:8">
      <c r="C888" s="141"/>
      <c r="D888" s="141"/>
      <c r="E888" s="141"/>
      <c r="F888" s="141"/>
      <c r="G888" s="141"/>
      <c r="H888" s="141"/>
    </row>
    <row r="889" spans="3:8">
      <c r="C889" s="141"/>
      <c r="D889" s="141"/>
      <c r="E889" s="141"/>
      <c r="F889" s="141"/>
      <c r="G889" s="141"/>
      <c r="H889" s="141"/>
    </row>
    <row r="890" spans="3:8">
      <c r="C890" s="141"/>
      <c r="D890" s="141"/>
      <c r="E890" s="141"/>
      <c r="F890" s="141"/>
      <c r="G890" s="141"/>
      <c r="H890" s="141"/>
    </row>
    <row r="891" spans="3:8">
      <c r="C891" s="141"/>
      <c r="D891" s="141"/>
      <c r="E891" s="141"/>
      <c r="F891" s="141"/>
      <c r="G891" s="141"/>
      <c r="H891" s="141"/>
    </row>
    <row r="892" spans="3:8">
      <c r="C892" s="141"/>
      <c r="D892" s="141"/>
      <c r="E892" s="141"/>
      <c r="F892" s="141"/>
      <c r="G892" s="141"/>
      <c r="H892" s="141"/>
    </row>
    <row r="893" spans="3:8">
      <c r="C893" s="141"/>
      <c r="D893" s="141"/>
      <c r="E893" s="141"/>
      <c r="F893" s="141"/>
      <c r="G893" s="141"/>
      <c r="H893" s="141"/>
    </row>
    <row r="894" spans="3:8">
      <c r="C894" s="141"/>
      <c r="D894" s="141"/>
      <c r="E894" s="141"/>
      <c r="F894" s="141"/>
      <c r="G894" s="141"/>
      <c r="H894" s="141"/>
    </row>
    <row r="895" spans="3:8">
      <c r="C895" s="141"/>
      <c r="D895" s="141"/>
      <c r="E895" s="141"/>
      <c r="F895" s="141"/>
      <c r="G895" s="141"/>
      <c r="H895" s="141"/>
    </row>
    <row r="896" spans="3:8">
      <c r="C896" s="141"/>
      <c r="D896" s="141"/>
      <c r="E896" s="141"/>
      <c r="F896" s="141"/>
      <c r="G896" s="141"/>
      <c r="H896" s="141"/>
    </row>
    <row r="897" spans="3:8">
      <c r="C897" s="141"/>
      <c r="D897" s="141"/>
      <c r="E897" s="141"/>
      <c r="F897" s="141"/>
      <c r="G897" s="141"/>
      <c r="H897" s="141"/>
    </row>
    <row r="898" spans="3:8">
      <c r="C898" s="141"/>
      <c r="D898" s="141"/>
      <c r="E898" s="141"/>
      <c r="F898" s="141"/>
      <c r="G898" s="141"/>
      <c r="H898" s="141"/>
    </row>
    <row r="899" spans="3:8">
      <c r="C899" s="141"/>
      <c r="D899" s="141"/>
      <c r="E899" s="141"/>
      <c r="F899" s="141"/>
      <c r="G899" s="141"/>
      <c r="H899" s="141"/>
    </row>
    <row r="900" spans="3:8">
      <c r="C900" s="141"/>
      <c r="D900" s="141"/>
      <c r="E900" s="141"/>
      <c r="F900" s="141"/>
      <c r="G900" s="141"/>
      <c r="H900" s="141"/>
    </row>
    <row r="901" spans="3:8">
      <c r="C901" s="141"/>
      <c r="D901" s="141"/>
      <c r="E901" s="141"/>
      <c r="F901" s="141"/>
      <c r="G901" s="141"/>
      <c r="H901" s="141"/>
    </row>
    <row r="902" spans="3:8">
      <c r="C902" s="141"/>
      <c r="D902" s="141"/>
      <c r="E902" s="141"/>
      <c r="F902" s="141"/>
      <c r="G902" s="141"/>
      <c r="H902" s="141"/>
    </row>
    <row r="903" spans="3:8">
      <c r="C903" s="141"/>
      <c r="D903" s="141"/>
      <c r="E903" s="141"/>
      <c r="F903" s="141"/>
      <c r="G903" s="141"/>
      <c r="H903" s="141"/>
    </row>
    <row r="904" spans="3:8">
      <c r="C904" s="141"/>
      <c r="D904" s="141"/>
      <c r="E904" s="141"/>
      <c r="F904" s="141"/>
      <c r="G904" s="141"/>
      <c r="H904" s="141"/>
    </row>
    <row r="905" spans="3:8">
      <c r="C905" s="141"/>
      <c r="D905" s="141"/>
      <c r="E905" s="141"/>
      <c r="F905" s="141"/>
      <c r="G905" s="141"/>
      <c r="H905" s="141"/>
    </row>
    <row r="906" spans="3:8">
      <c r="C906" s="141"/>
      <c r="D906" s="141"/>
      <c r="E906" s="141"/>
      <c r="F906" s="141"/>
      <c r="G906" s="141"/>
      <c r="H906" s="141"/>
    </row>
    <row r="907" spans="3:8">
      <c r="C907" s="141"/>
      <c r="D907" s="141"/>
      <c r="E907" s="141"/>
      <c r="F907" s="141"/>
      <c r="G907" s="141"/>
      <c r="H907" s="141"/>
    </row>
    <row r="908" spans="3:8">
      <c r="C908" s="141"/>
      <c r="D908" s="141"/>
      <c r="E908" s="141"/>
      <c r="F908" s="141"/>
      <c r="G908" s="141"/>
      <c r="H908" s="141"/>
    </row>
    <row r="909" spans="3:8">
      <c r="C909" s="141"/>
      <c r="D909" s="141"/>
      <c r="E909" s="141"/>
      <c r="F909" s="141"/>
      <c r="G909" s="141"/>
      <c r="H909" s="141"/>
    </row>
    <row r="910" spans="3:8">
      <c r="C910" s="141"/>
      <c r="D910" s="141"/>
      <c r="E910" s="141"/>
      <c r="F910" s="141"/>
      <c r="G910" s="141"/>
      <c r="H910" s="141"/>
    </row>
    <row r="911" spans="3:8">
      <c r="C911" s="141"/>
      <c r="D911" s="141"/>
      <c r="E911" s="141"/>
      <c r="F911" s="141"/>
      <c r="G911" s="141"/>
      <c r="H911" s="141"/>
    </row>
    <row r="912" spans="3:8">
      <c r="C912" s="141"/>
      <c r="D912" s="141"/>
      <c r="E912" s="141"/>
      <c r="F912" s="141"/>
      <c r="G912" s="141"/>
      <c r="H912" s="141"/>
    </row>
    <row r="913" spans="3:8">
      <c r="C913" s="141"/>
      <c r="D913" s="141"/>
      <c r="E913" s="141"/>
      <c r="F913" s="141"/>
      <c r="G913" s="141"/>
      <c r="H913" s="141"/>
    </row>
    <row r="914" spans="3:8">
      <c r="C914" s="141"/>
      <c r="D914" s="141"/>
      <c r="E914" s="141"/>
      <c r="F914" s="141"/>
      <c r="G914" s="141"/>
      <c r="H914" s="141"/>
    </row>
    <row r="915" spans="3:8">
      <c r="C915" s="141"/>
      <c r="D915" s="141"/>
      <c r="E915" s="141"/>
      <c r="F915" s="141"/>
      <c r="G915" s="141"/>
      <c r="H915" s="141"/>
    </row>
    <row r="916" spans="3:8">
      <c r="C916" s="141"/>
      <c r="D916" s="141"/>
      <c r="E916" s="141"/>
      <c r="F916" s="141"/>
      <c r="G916" s="141"/>
      <c r="H916" s="141"/>
    </row>
    <row r="917" spans="3:8">
      <c r="C917" s="141"/>
      <c r="D917" s="141"/>
      <c r="E917" s="141"/>
      <c r="F917" s="141"/>
      <c r="G917" s="141"/>
      <c r="H917" s="141"/>
    </row>
    <row r="918" spans="3:8">
      <c r="C918" s="141"/>
      <c r="D918" s="141"/>
      <c r="E918" s="141"/>
      <c r="F918" s="141"/>
      <c r="G918" s="141"/>
      <c r="H918" s="141"/>
    </row>
    <row r="919" spans="3:8">
      <c r="C919" s="141"/>
      <c r="D919" s="141"/>
      <c r="E919" s="141"/>
      <c r="F919" s="141"/>
      <c r="G919" s="141"/>
      <c r="H919" s="141"/>
    </row>
    <row r="920" spans="3:8">
      <c r="C920" s="141"/>
      <c r="D920" s="141"/>
      <c r="E920" s="141"/>
      <c r="F920" s="141"/>
      <c r="G920" s="141"/>
      <c r="H920" s="141"/>
    </row>
    <row r="921" spans="3:8">
      <c r="C921" s="141"/>
      <c r="D921" s="141"/>
      <c r="E921" s="141"/>
      <c r="F921" s="141"/>
      <c r="G921" s="141"/>
      <c r="H921" s="141"/>
    </row>
    <row r="922" spans="3:8">
      <c r="C922" s="141"/>
      <c r="D922" s="141"/>
      <c r="E922" s="141"/>
      <c r="F922" s="141"/>
      <c r="G922" s="141"/>
      <c r="H922" s="141"/>
    </row>
    <row r="923" spans="3:8">
      <c r="C923" s="141"/>
      <c r="D923" s="141"/>
      <c r="E923" s="141"/>
      <c r="F923" s="141"/>
      <c r="G923" s="141"/>
      <c r="H923" s="141"/>
    </row>
    <row r="924" spans="3:8">
      <c r="C924" s="141"/>
      <c r="D924" s="141"/>
      <c r="E924" s="141"/>
      <c r="F924" s="141"/>
      <c r="G924" s="141"/>
      <c r="H924" s="141"/>
    </row>
    <row r="925" spans="3:8">
      <c r="C925" s="141"/>
      <c r="D925" s="141"/>
      <c r="E925" s="141"/>
      <c r="F925" s="141"/>
      <c r="G925" s="141"/>
      <c r="H925" s="141"/>
    </row>
    <row r="926" spans="3:8">
      <c r="C926" s="141"/>
      <c r="D926" s="141"/>
      <c r="E926" s="141"/>
      <c r="F926" s="141"/>
      <c r="G926" s="141"/>
      <c r="H926" s="141"/>
    </row>
    <row r="927" spans="3:8">
      <c r="C927" s="141"/>
      <c r="D927" s="141"/>
      <c r="E927" s="141"/>
      <c r="F927" s="141"/>
      <c r="G927" s="141"/>
      <c r="H927" s="141"/>
    </row>
    <row r="928" spans="3:8">
      <c r="C928" s="141"/>
      <c r="D928" s="141"/>
      <c r="E928" s="141"/>
      <c r="F928" s="141"/>
      <c r="G928" s="141"/>
      <c r="H928" s="141"/>
    </row>
    <row r="929" spans="3:8">
      <c r="C929" s="141"/>
      <c r="D929" s="141"/>
      <c r="E929" s="141"/>
      <c r="F929" s="141"/>
      <c r="G929" s="141"/>
      <c r="H929" s="141"/>
    </row>
    <row r="930" spans="3:8">
      <c r="C930" s="141"/>
      <c r="D930" s="141"/>
      <c r="E930" s="141"/>
      <c r="F930" s="141"/>
      <c r="G930" s="141"/>
      <c r="H930" s="141"/>
    </row>
    <row r="931" spans="3:8">
      <c r="C931" s="141"/>
      <c r="D931" s="141"/>
      <c r="E931" s="141"/>
      <c r="F931" s="141"/>
      <c r="G931" s="141"/>
      <c r="H931" s="141"/>
    </row>
    <row r="932" spans="3:8">
      <c r="C932" s="141"/>
      <c r="D932" s="141"/>
      <c r="E932" s="141"/>
      <c r="F932" s="141"/>
      <c r="G932" s="141"/>
      <c r="H932" s="141"/>
    </row>
    <row r="933" spans="3:8">
      <c r="C933" s="141"/>
      <c r="D933" s="141"/>
      <c r="E933" s="141"/>
      <c r="F933" s="141"/>
      <c r="G933" s="141"/>
      <c r="H933" s="141"/>
    </row>
    <row r="934" spans="3:8">
      <c r="C934" s="141"/>
      <c r="D934" s="141"/>
      <c r="E934" s="141"/>
      <c r="F934" s="141"/>
      <c r="G934" s="141"/>
      <c r="H934" s="141"/>
    </row>
    <row r="935" spans="3:8">
      <c r="C935" s="141"/>
      <c r="D935" s="141"/>
      <c r="E935" s="141"/>
      <c r="F935" s="141"/>
      <c r="G935" s="141"/>
      <c r="H935" s="141"/>
    </row>
    <row r="936" spans="3:8">
      <c r="C936" s="141"/>
      <c r="D936" s="141"/>
      <c r="E936" s="141"/>
      <c r="F936" s="141"/>
      <c r="G936" s="141"/>
      <c r="H936" s="141"/>
    </row>
    <row r="937" spans="3:8">
      <c r="C937" s="141"/>
      <c r="D937" s="141"/>
      <c r="E937" s="141"/>
      <c r="F937" s="141"/>
      <c r="G937" s="141"/>
      <c r="H937" s="141"/>
    </row>
    <row r="938" spans="3:8">
      <c r="C938" s="141"/>
      <c r="D938" s="141"/>
      <c r="E938" s="141"/>
      <c r="F938" s="141"/>
      <c r="G938" s="141"/>
      <c r="H938" s="141"/>
    </row>
    <row r="939" spans="3:8">
      <c r="C939" s="141"/>
      <c r="D939" s="141"/>
      <c r="E939" s="141"/>
      <c r="F939" s="141"/>
      <c r="G939" s="141"/>
      <c r="H939" s="141"/>
    </row>
    <row r="940" spans="3:8">
      <c r="C940" s="141"/>
      <c r="D940" s="141"/>
      <c r="E940" s="141"/>
      <c r="F940" s="141"/>
      <c r="G940" s="141"/>
      <c r="H940" s="141"/>
    </row>
    <row r="941" spans="3:8">
      <c r="C941" s="141"/>
      <c r="D941" s="141"/>
      <c r="E941" s="141"/>
      <c r="F941" s="141"/>
      <c r="G941" s="141"/>
      <c r="H941" s="141"/>
    </row>
    <row r="942" spans="3:8">
      <c r="C942" s="141"/>
      <c r="D942" s="141"/>
      <c r="E942" s="141"/>
      <c r="F942" s="141"/>
      <c r="G942" s="141"/>
      <c r="H942" s="141"/>
    </row>
    <row r="943" spans="3:8">
      <c r="C943" s="141"/>
      <c r="D943" s="141"/>
      <c r="E943" s="141"/>
      <c r="F943" s="141"/>
      <c r="G943" s="141"/>
      <c r="H943" s="141"/>
    </row>
    <row r="944" spans="3:8">
      <c r="C944" s="141"/>
      <c r="D944" s="141"/>
      <c r="E944" s="141"/>
      <c r="F944" s="141"/>
      <c r="G944" s="141"/>
      <c r="H944" s="141"/>
    </row>
    <row r="945" spans="3:8">
      <c r="C945" s="141"/>
      <c r="D945" s="141"/>
      <c r="E945" s="141"/>
      <c r="F945" s="141"/>
      <c r="G945" s="141"/>
      <c r="H945" s="141"/>
    </row>
    <row r="946" spans="3:8">
      <c r="C946" s="141"/>
      <c r="D946" s="141"/>
      <c r="E946" s="141"/>
      <c r="F946" s="141"/>
      <c r="G946" s="141"/>
      <c r="H946" s="141"/>
    </row>
    <row r="947" spans="3:8">
      <c r="C947" s="141"/>
      <c r="D947" s="141"/>
      <c r="E947" s="141"/>
      <c r="F947" s="141"/>
      <c r="G947" s="141"/>
      <c r="H947" s="141"/>
    </row>
    <row r="948" spans="3:8">
      <c r="C948" s="141"/>
      <c r="D948" s="141"/>
      <c r="E948" s="141"/>
      <c r="F948" s="141"/>
      <c r="G948" s="141"/>
      <c r="H948" s="141"/>
    </row>
    <row r="949" spans="3:8">
      <c r="C949" s="141"/>
      <c r="D949" s="141"/>
      <c r="E949" s="141"/>
      <c r="F949" s="141"/>
      <c r="G949" s="141"/>
      <c r="H949" s="141"/>
    </row>
    <row r="950" spans="3:8">
      <c r="C950" s="141"/>
      <c r="D950" s="141"/>
      <c r="E950" s="141"/>
      <c r="F950" s="141"/>
      <c r="G950" s="141"/>
      <c r="H950" s="141"/>
    </row>
    <row r="951" spans="3:8">
      <c r="C951" s="141"/>
      <c r="D951" s="141"/>
      <c r="E951" s="141"/>
      <c r="F951" s="141"/>
      <c r="G951" s="141"/>
      <c r="H951" s="141"/>
    </row>
    <row r="952" spans="3:8">
      <c r="C952" s="141"/>
      <c r="D952" s="141"/>
      <c r="E952" s="141"/>
      <c r="F952" s="141"/>
      <c r="G952" s="141"/>
      <c r="H952" s="141"/>
    </row>
    <row r="953" spans="3:8">
      <c r="C953" s="141"/>
      <c r="D953" s="141"/>
      <c r="E953" s="141"/>
      <c r="F953" s="141"/>
      <c r="G953" s="141"/>
      <c r="H953" s="141"/>
    </row>
    <row r="954" spans="3:8">
      <c r="C954" s="141"/>
      <c r="D954" s="141"/>
      <c r="E954" s="141"/>
      <c r="F954" s="141"/>
      <c r="G954" s="141"/>
      <c r="H954" s="141"/>
    </row>
    <row r="955" spans="3:8">
      <c r="C955" s="141"/>
      <c r="D955" s="141"/>
      <c r="E955" s="141"/>
      <c r="F955" s="141"/>
      <c r="G955" s="141"/>
      <c r="H955" s="141"/>
    </row>
    <row r="956" spans="3:8">
      <c r="C956" s="141"/>
      <c r="D956" s="141"/>
      <c r="E956" s="141"/>
      <c r="F956" s="141"/>
      <c r="G956" s="141"/>
      <c r="H956" s="141"/>
    </row>
    <row r="957" spans="3:8">
      <c r="C957" s="141"/>
      <c r="D957" s="141"/>
      <c r="E957" s="141"/>
      <c r="F957" s="141"/>
      <c r="G957" s="141"/>
      <c r="H957" s="141"/>
    </row>
    <row r="958" spans="3:8">
      <c r="C958" s="141"/>
      <c r="D958" s="141"/>
      <c r="E958" s="141"/>
      <c r="F958" s="141"/>
      <c r="G958" s="141"/>
      <c r="H958" s="141"/>
    </row>
    <row r="959" spans="3:8">
      <c r="C959" s="141"/>
      <c r="D959" s="141"/>
      <c r="E959" s="141"/>
      <c r="F959" s="141"/>
      <c r="G959" s="141"/>
      <c r="H959" s="141"/>
    </row>
    <row r="960" spans="3:8">
      <c r="C960" s="141"/>
      <c r="D960" s="141"/>
      <c r="E960" s="141"/>
      <c r="F960" s="141"/>
      <c r="G960" s="141"/>
      <c r="H960" s="141"/>
    </row>
    <row r="961" spans="3:8">
      <c r="C961" s="141"/>
      <c r="D961" s="141"/>
      <c r="E961" s="141"/>
      <c r="F961" s="141"/>
      <c r="G961" s="141"/>
      <c r="H961" s="141"/>
    </row>
    <row r="962" spans="3:8">
      <c r="C962" s="141"/>
      <c r="D962" s="141"/>
      <c r="E962" s="141"/>
      <c r="F962" s="141"/>
      <c r="G962" s="141"/>
      <c r="H962" s="141"/>
    </row>
    <row r="963" spans="3:8">
      <c r="C963" s="141"/>
      <c r="D963" s="141"/>
      <c r="E963" s="141"/>
      <c r="F963" s="141"/>
      <c r="G963" s="141"/>
      <c r="H963" s="141"/>
    </row>
    <row r="964" spans="3:8">
      <c r="C964" s="141"/>
      <c r="D964" s="141"/>
      <c r="E964" s="141"/>
      <c r="F964" s="141"/>
      <c r="G964" s="141"/>
      <c r="H964" s="141"/>
    </row>
    <row r="965" spans="3:8">
      <c r="C965" s="141"/>
      <c r="D965" s="141"/>
      <c r="E965" s="141"/>
      <c r="F965" s="141"/>
      <c r="G965" s="141"/>
      <c r="H965" s="141"/>
    </row>
    <row r="966" spans="3:8">
      <c r="C966" s="141"/>
      <c r="D966" s="141"/>
      <c r="E966" s="141"/>
      <c r="F966" s="141"/>
      <c r="G966" s="141"/>
      <c r="H966" s="141"/>
    </row>
    <row r="967" spans="3:8">
      <c r="C967" s="141"/>
      <c r="D967" s="141"/>
      <c r="E967" s="141"/>
      <c r="F967" s="141"/>
      <c r="G967" s="141"/>
      <c r="H967" s="141"/>
    </row>
    <row r="968" spans="3:8">
      <c r="C968" s="141"/>
      <c r="D968" s="141"/>
      <c r="E968" s="141"/>
      <c r="F968" s="141"/>
      <c r="G968" s="141"/>
      <c r="H968" s="141"/>
    </row>
    <row r="969" spans="3:8">
      <c r="C969" s="141"/>
      <c r="D969" s="141"/>
      <c r="E969" s="141"/>
      <c r="F969" s="141"/>
      <c r="G969" s="141"/>
      <c r="H969" s="141"/>
    </row>
    <row r="970" spans="3:8">
      <c r="C970" s="141"/>
      <c r="D970" s="141"/>
      <c r="E970" s="141"/>
      <c r="F970" s="141"/>
      <c r="G970" s="141"/>
      <c r="H970" s="141"/>
    </row>
    <row r="971" spans="3:8">
      <c r="C971" s="141"/>
      <c r="D971" s="141"/>
      <c r="E971" s="141"/>
      <c r="F971" s="141"/>
      <c r="G971" s="141"/>
      <c r="H971" s="141"/>
    </row>
    <row r="972" spans="3:8">
      <c r="C972" s="141"/>
      <c r="D972" s="141"/>
      <c r="E972" s="141"/>
      <c r="F972" s="141"/>
      <c r="G972" s="141"/>
      <c r="H972" s="141"/>
    </row>
    <row r="973" spans="3:8">
      <c r="C973" s="141"/>
      <c r="D973" s="141"/>
      <c r="E973" s="141"/>
      <c r="F973" s="141"/>
      <c r="G973" s="141"/>
      <c r="H973" s="141"/>
    </row>
    <row r="974" spans="3:8">
      <c r="C974" s="141"/>
      <c r="D974" s="141"/>
      <c r="E974" s="141"/>
      <c r="F974" s="141"/>
      <c r="G974" s="141"/>
      <c r="H974" s="141"/>
    </row>
    <row r="975" spans="3:8">
      <c r="C975" s="141"/>
      <c r="D975" s="141"/>
      <c r="E975" s="141"/>
      <c r="F975" s="141"/>
      <c r="G975" s="141"/>
      <c r="H975" s="141"/>
    </row>
    <row r="976" spans="3:8">
      <c r="C976" s="141"/>
      <c r="D976" s="141"/>
      <c r="E976" s="141"/>
      <c r="F976" s="141"/>
      <c r="G976" s="141"/>
      <c r="H976" s="141"/>
    </row>
    <row r="977" spans="3:8">
      <c r="C977" s="141"/>
      <c r="D977" s="141"/>
      <c r="E977" s="141"/>
      <c r="F977" s="141"/>
      <c r="G977" s="141"/>
      <c r="H977" s="141"/>
    </row>
    <row r="978" spans="3:8">
      <c r="C978" s="141"/>
      <c r="D978" s="141"/>
      <c r="E978" s="141"/>
      <c r="F978" s="141"/>
      <c r="G978" s="141"/>
      <c r="H978" s="141"/>
    </row>
    <row r="979" spans="3:8">
      <c r="C979" s="141"/>
      <c r="D979" s="141"/>
      <c r="E979" s="141"/>
      <c r="F979" s="141"/>
      <c r="G979" s="141"/>
      <c r="H979" s="141"/>
    </row>
    <row r="980" spans="3:8">
      <c r="C980" s="141"/>
      <c r="D980" s="141"/>
      <c r="E980" s="141"/>
      <c r="F980" s="141"/>
      <c r="G980" s="141"/>
      <c r="H980" s="141"/>
    </row>
    <row r="981" spans="3:8">
      <c r="C981" s="141"/>
      <c r="D981" s="141"/>
      <c r="E981" s="141"/>
      <c r="F981" s="141"/>
      <c r="G981" s="141"/>
      <c r="H981" s="141"/>
    </row>
    <row r="982" spans="3:8">
      <c r="C982" s="141"/>
      <c r="D982" s="141"/>
      <c r="E982" s="141"/>
      <c r="F982" s="141"/>
      <c r="G982" s="141"/>
      <c r="H982" s="141"/>
    </row>
    <row r="983" spans="3:8">
      <c r="C983" s="141"/>
      <c r="D983" s="141"/>
      <c r="E983" s="141"/>
      <c r="F983" s="141"/>
      <c r="G983" s="141"/>
      <c r="H983" s="141"/>
    </row>
    <row r="984" spans="3:8">
      <c r="C984" s="141"/>
      <c r="D984" s="141"/>
      <c r="E984" s="141"/>
      <c r="F984" s="141"/>
      <c r="G984" s="141"/>
      <c r="H984" s="141"/>
    </row>
    <row r="985" spans="3:8">
      <c r="C985" s="141"/>
      <c r="D985" s="141"/>
      <c r="E985" s="141"/>
      <c r="F985" s="141"/>
      <c r="G985" s="141"/>
      <c r="H985" s="141"/>
    </row>
    <row r="986" spans="3:8">
      <c r="C986" s="141"/>
      <c r="D986" s="141"/>
      <c r="E986" s="141"/>
      <c r="F986" s="141"/>
      <c r="G986" s="141"/>
      <c r="H986" s="141"/>
    </row>
    <row r="987" spans="3:8">
      <c r="C987" s="141"/>
      <c r="D987" s="141"/>
      <c r="E987" s="141"/>
      <c r="F987" s="141"/>
      <c r="G987" s="141"/>
      <c r="H987" s="141"/>
    </row>
    <row r="988" spans="3:8">
      <c r="C988" s="141"/>
      <c r="D988" s="141"/>
      <c r="E988" s="141"/>
      <c r="F988" s="141"/>
      <c r="G988" s="141"/>
      <c r="H988" s="141"/>
    </row>
    <row r="989" spans="3:8">
      <c r="C989" s="141"/>
      <c r="D989" s="141"/>
      <c r="E989" s="141"/>
      <c r="F989" s="141"/>
      <c r="G989" s="141"/>
      <c r="H989" s="141"/>
    </row>
    <row r="990" spans="3:8">
      <c r="C990" s="141"/>
      <c r="D990" s="141"/>
      <c r="E990" s="141"/>
      <c r="F990" s="141"/>
      <c r="G990" s="141"/>
      <c r="H990" s="141"/>
    </row>
    <row r="991" spans="3:8">
      <c r="C991" s="141"/>
      <c r="D991" s="141"/>
      <c r="E991" s="141"/>
      <c r="F991" s="141"/>
      <c r="G991" s="141"/>
      <c r="H991" s="141"/>
    </row>
    <row r="992" spans="3:8">
      <c r="C992" s="141"/>
      <c r="D992" s="141"/>
      <c r="E992" s="141"/>
      <c r="F992" s="141"/>
      <c r="G992" s="141"/>
      <c r="H992" s="141"/>
    </row>
    <row r="993" spans="3:8">
      <c r="C993" s="141"/>
      <c r="D993" s="141"/>
      <c r="E993" s="141"/>
      <c r="F993" s="141"/>
      <c r="G993" s="141"/>
      <c r="H993" s="141"/>
    </row>
    <row r="994" spans="3:8">
      <c r="C994" s="141"/>
      <c r="D994" s="141"/>
      <c r="E994" s="141"/>
      <c r="F994" s="141"/>
      <c r="G994" s="141"/>
      <c r="H994" s="141"/>
    </row>
    <row r="995" spans="3:8">
      <c r="C995" s="141"/>
      <c r="D995" s="141"/>
      <c r="E995" s="141"/>
      <c r="F995" s="141"/>
      <c r="G995" s="141"/>
      <c r="H995" s="141"/>
    </row>
    <row r="996" spans="3:8">
      <c r="C996" s="141"/>
      <c r="D996" s="141"/>
      <c r="E996" s="141"/>
      <c r="F996" s="141"/>
      <c r="G996" s="141"/>
      <c r="H996" s="141"/>
    </row>
    <row r="997" spans="3:8">
      <c r="C997" s="141"/>
      <c r="D997" s="141"/>
      <c r="E997" s="141"/>
      <c r="F997" s="141"/>
      <c r="G997" s="141"/>
      <c r="H997" s="141"/>
    </row>
    <row r="998" spans="3:8">
      <c r="C998" s="141"/>
      <c r="D998" s="141"/>
      <c r="E998" s="141"/>
      <c r="F998" s="141"/>
      <c r="G998" s="141"/>
      <c r="H998" s="141"/>
    </row>
    <row r="999" spans="3:8">
      <c r="C999" s="141"/>
      <c r="D999" s="141"/>
      <c r="E999" s="141"/>
      <c r="F999" s="141"/>
      <c r="G999" s="141"/>
      <c r="H999" s="141"/>
    </row>
    <row r="1000" spans="3:8">
      <c r="C1000" s="141"/>
      <c r="D1000" s="141"/>
      <c r="E1000" s="141"/>
      <c r="F1000" s="141"/>
      <c r="G1000" s="141"/>
      <c r="H1000" s="141"/>
    </row>
    <row r="1001" spans="3:8">
      <c r="C1001" s="141"/>
      <c r="D1001" s="141"/>
      <c r="E1001" s="141"/>
      <c r="F1001" s="141"/>
      <c r="G1001" s="141"/>
      <c r="H1001" s="141"/>
    </row>
    <row r="1002" spans="3:8">
      <c r="C1002" s="141"/>
      <c r="D1002" s="141"/>
      <c r="E1002" s="141"/>
      <c r="F1002" s="141"/>
      <c r="G1002" s="141"/>
      <c r="H1002" s="141"/>
    </row>
    <row r="1003" spans="3:8">
      <c r="C1003" s="141"/>
      <c r="D1003" s="141"/>
      <c r="E1003" s="141"/>
      <c r="F1003" s="141"/>
      <c r="G1003" s="141"/>
      <c r="H1003" s="141"/>
    </row>
    <row r="1004" spans="3:8">
      <c r="C1004" s="141"/>
      <c r="D1004" s="141"/>
      <c r="E1004" s="141"/>
      <c r="F1004" s="141"/>
      <c r="G1004" s="141"/>
      <c r="H1004" s="141"/>
    </row>
    <row r="1005" spans="3:8">
      <c r="C1005" s="141"/>
      <c r="D1005" s="141"/>
      <c r="E1005" s="141"/>
      <c r="F1005" s="141"/>
      <c r="G1005" s="141"/>
      <c r="H1005" s="141"/>
    </row>
    <row r="1006" spans="3:8">
      <c r="C1006" s="141"/>
      <c r="D1006" s="141"/>
      <c r="E1006" s="141"/>
      <c r="F1006" s="141"/>
      <c r="G1006" s="141"/>
      <c r="H1006" s="141"/>
    </row>
    <row r="1007" spans="3:8">
      <c r="C1007" s="141"/>
      <c r="D1007" s="141"/>
      <c r="E1007" s="141"/>
      <c r="F1007" s="141"/>
      <c r="G1007" s="141"/>
      <c r="H1007" s="141"/>
    </row>
    <row r="1008" spans="3:8">
      <c r="C1008" s="141"/>
      <c r="D1008" s="141"/>
      <c r="E1008" s="141"/>
      <c r="F1008" s="141"/>
      <c r="G1008" s="141"/>
      <c r="H1008" s="141"/>
    </row>
    <row r="1009" spans="3:8">
      <c r="C1009" s="141"/>
      <c r="D1009" s="141"/>
      <c r="E1009" s="141"/>
      <c r="F1009" s="141"/>
      <c r="G1009" s="141"/>
      <c r="H1009" s="141"/>
    </row>
    <row r="1010" spans="3:8">
      <c r="C1010" s="141"/>
      <c r="D1010" s="141"/>
      <c r="E1010" s="141"/>
      <c r="F1010" s="141"/>
      <c r="G1010" s="141"/>
      <c r="H1010" s="141"/>
    </row>
    <row r="1011" spans="3:8">
      <c r="C1011" s="141"/>
      <c r="D1011" s="141"/>
      <c r="E1011" s="141"/>
      <c r="F1011" s="141"/>
      <c r="G1011" s="141"/>
      <c r="H1011" s="141"/>
    </row>
    <row r="1012" spans="3:8">
      <c r="C1012" s="141"/>
      <c r="D1012" s="141"/>
      <c r="E1012" s="141"/>
      <c r="F1012" s="141"/>
      <c r="G1012" s="141"/>
      <c r="H1012" s="141"/>
    </row>
    <row r="1013" spans="3:8">
      <c r="C1013" s="141"/>
      <c r="D1013" s="141"/>
      <c r="E1013" s="141"/>
      <c r="F1013" s="141"/>
      <c r="G1013" s="141"/>
      <c r="H1013" s="141"/>
    </row>
    <row r="1014" spans="3:8">
      <c r="C1014" s="141"/>
      <c r="D1014" s="141"/>
      <c r="E1014" s="141"/>
      <c r="F1014" s="141"/>
      <c r="G1014" s="141"/>
      <c r="H1014" s="141"/>
    </row>
    <row r="1015" spans="3:8">
      <c r="C1015" s="141"/>
      <c r="D1015" s="141"/>
      <c r="E1015" s="141"/>
      <c r="F1015" s="141"/>
      <c r="G1015" s="141"/>
      <c r="H1015" s="141"/>
    </row>
    <row r="1016" spans="3:8">
      <c r="C1016" s="141"/>
      <c r="D1016" s="141"/>
      <c r="E1016" s="141"/>
      <c r="F1016" s="141"/>
      <c r="G1016" s="141"/>
      <c r="H1016" s="141"/>
    </row>
    <row r="1017" spans="3:8">
      <c r="C1017" s="141"/>
      <c r="D1017" s="141"/>
      <c r="E1017" s="141"/>
      <c r="F1017" s="141"/>
      <c r="G1017" s="141"/>
      <c r="H1017" s="141"/>
    </row>
    <row r="1018" spans="3:8">
      <c r="C1018" s="141"/>
      <c r="D1018" s="141"/>
      <c r="E1018" s="141"/>
      <c r="F1018" s="141"/>
      <c r="G1018" s="141"/>
      <c r="H1018" s="141"/>
    </row>
    <row r="1019" spans="3:8">
      <c r="C1019" s="141"/>
      <c r="D1019" s="141"/>
      <c r="E1019" s="141"/>
      <c r="F1019" s="141"/>
      <c r="G1019" s="141"/>
      <c r="H1019" s="141"/>
    </row>
    <row r="1020" spans="3:8">
      <c r="C1020" s="141"/>
      <c r="D1020" s="141"/>
      <c r="E1020" s="141"/>
      <c r="F1020" s="141"/>
      <c r="G1020" s="141"/>
      <c r="H1020" s="141"/>
    </row>
    <row r="1021" spans="3:8">
      <c r="C1021" s="141"/>
      <c r="D1021" s="141"/>
      <c r="E1021" s="141"/>
      <c r="F1021" s="141"/>
      <c r="G1021" s="141"/>
      <c r="H1021" s="141"/>
    </row>
    <row r="1022" spans="3:8">
      <c r="C1022" s="141"/>
      <c r="D1022" s="141"/>
      <c r="E1022" s="141"/>
      <c r="F1022" s="141"/>
      <c r="G1022" s="141"/>
      <c r="H1022" s="141"/>
    </row>
    <row r="1023" spans="3:8">
      <c r="C1023" s="141"/>
      <c r="D1023" s="141"/>
      <c r="E1023" s="141"/>
      <c r="F1023" s="141"/>
      <c r="G1023" s="141"/>
      <c r="H1023" s="141"/>
    </row>
    <row r="1024" spans="3:8">
      <c r="C1024" s="141"/>
      <c r="D1024" s="141"/>
      <c r="E1024" s="141"/>
      <c r="F1024" s="141"/>
      <c r="G1024" s="141"/>
      <c r="H1024" s="141"/>
    </row>
    <row r="1025" spans="3:8">
      <c r="C1025" s="141"/>
      <c r="D1025" s="141"/>
      <c r="E1025" s="141"/>
      <c r="F1025" s="141"/>
      <c r="G1025" s="141"/>
      <c r="H1025" s="141"/>
    </row>
    <row r="1026" spans="3:8">
      <c r="C1026" s="141"/>
      <c r="D1026" s="141"/>
      <c r="E1026" s="141"/>
      <c r="F1026" s="141"/>
      <c r="G1026" s="141"/>
      <c r="H1026" s="141"/>
    </row>
    <row r="1027" spans="3:8">
      <c r="C1027" s="141"/>
      <c r="D1027" s="141"/>
      <c r="E1027" s="141"/>
      <c r="F1027" s="141"/>
      <c r="G1027" s="141"/>
      <c r="H1027" s="141"/>
    </row>
    <row r="1028" spans="3:8">
      <c r="C1028" s="141"/>
      <c r="D1028" s="141"/>
      <c r="E1028" s="141"/>
      <c r="F1028" s="141"/>
      <c r="G1028" s="141"/>
      <c r="H1028" s="141"/>
    </row>
    <row r="1029" spans="3:8">
      <c r="C1029" s="141"/>
      <c r="D1029" s="141"/>
      <c r="E1029" s="141"/>
      <c r="F1029" s="141"/>
      <c r="G1029" s="141"/>
      <c r="H1029" s="141"/>
    </row>
    <row r="1030" spans="3:8">
      <c r="C1030" s="141"/>
      <c r="D1030" s="141"/>
      <c r="E1030" s="141"/>
      <c r="F1030" s="141"/>
      <c r="G1030" s="141"/>
      <c r="H1030" s="141"/>
    </row>
    <row r="1031" spans="3:8">
      <c r="C1031" s="141"/>
      <c r="D1031" s="141"/>
      <c r="E1031" s="141"/>
      <c r="F1031" s="141"/>
      <c r="G1031" s="141"/>
      <c r="H1031" s="141"/>
    </row>
    <row r="1032" spans="3:8">
      <c r="C1032" s="141"/>
      <c r="D1032" s="141"/>
      <c r="E1032" s="141"/>
      <c r="F1032" s="141"/>
      <c r="G1032" s="141"/>
      <c r="H1032" s="141"/>
    </row>
    <row r="1033" spans="3:8">
      <c r="C1033" s="141"/>
      <c r="D1033" s="141"/>
      <c r="E1033" s="141"/>
      <c r="F1033" s="141"/>
      <c r="G1033" s="141"/>
      <c r="H1033" s="141"/>
    </row>
    <row r="1034" spans="3:8">
      <c r="C1034" s="141"/>
      <c r="D1034" s="141"/>
      <c r="E1034" s="141"/>
      <c r="F1034" s="141"/>
      <c r="G1034" s="141"/>
      <c r="H1034" s="141"/>
    </row>
    <row r="1035" spans="3:8">
      <c r="C1035" s="141"/>
      <c r="D1035" s="141"/>
      <c r="E1035" s="141"/>
      <c r="F1035" s="141"/>
      <c r="G1035" s="141"/>
      <c r="H1035" s="141"/>
    </row>
    <row r="1036" spans="3:8">
      <c r="C1036" s="141"/>
      <c r="D1036" s="141"/>
      <c r="E1036" s="141"/>
      <c r="F1036" s="141"/>
      <c r="G1036" s="141"/>
      <c r="H1036" s="141"/>
    </row>
    <row r="1037" spans="3:8">
      <c r="C1037" s="141"/>
      <c r="D1037" s="141"/>
      <c r="E1037" s="141"/>
      <c r="F1037" s="141"/>
      <c r="G1037" s="141"/>
      <c r="H1037" s="141"/>
    </row>
    <row r="1038" spans="3:8">
      <c r="C1038" s="141"/>
      <c r="D1038" s="141"/>
      <c r="E1038" s="141"/>
      <c r="F1038" s="141"/>
      <c r="G1038" s="141"/>
      <c r="H1038" s="141"/>
    </row>
    <row r="1039" spans="3:8">
      <c r="C1039" s="141"/>
      <c r="D1039" s="141"/>
      <c r="E1039" s="141"/>
      <c r="F1039" s="141"/>
      <c r="G1039" s="141"/>
      <c r="H1039" s="141"/>
    </row>
    <row r="1040" spans="3:8">
      <c r="C1040" s="141"/>
      <c r="D1040" s="141"/>
      <c r="E1040" s="141"/>
      <c r="F1040" s="141"/>
      <c r="G1040" s="141"/>
      <c r="H1040" s="141"/>
    </row>
    <row r="1041" spans="3:8">
      <c r="C1041" s="141"/>
      <c r="D1041" s="141"/>
      <c r="E1041" s="141"/>
      <c r="F1041" s="141"/>
      <c r="G1041" s="141"/>
      <c r="H1041" s="141"/>
    </row>
    <row r="1042" spans="3:8">
      <c r="C1042" s="141"/>
      <c r="D1042" s="141"/>
      <c r="E1042" s="141"/>
      <c r="F1042" s="141"/>
      <c r="G1042" s="141"/>
      <c r="H1042" s="141"/>
    </row>
    <row r="1043" spans="3:8">
      <c r="C1043" s="141"/>
      <c r="D1043" s="141"/>
      <c r="E1043" s="141"/>
      <c r="F1043" s="141"/>
      <c r="G1043" s="141"/>
      <c r="H1043" s="141"/>
    </row>
    <row r="1044" spans="3:8">
      <c r="C1044" s="141"/>
      <c r="D1044" s="141"/>
      <c r="E1044" s="141"/>
      <c r="F1044" s="141"/>
      <c r="G1044" s="141"/>
      <c r="H1044" s="141"/>
    </row>
    <row r="1045" spans="3:8">
      <c r="C1045" s="141"/>
      <c r="D1045" s="141"/>
      <c r="E1045" s="141"/>
      <c r="F1045" s="141"/>
      <c r="G1045" s="141"/>
      <c r="H1045" s="141"/>
    </row>
    <row r="1046" spans="3:8">
      <c r="C1046" s="141"/>
      <c r="D1046" s="141"/>
      <c r="E1046" s="141"/>
      <c r="F1046" s="141"/>
      <c r="G1046" s="141"/>
      <c r="H1046" s="141"/>
    </row>
    <row r="1047" spans="3:8">
      <c r="C1047" s="141"/>
      <c r="D1047" s="141"/>
      <c r="E1047" s="141"/>
      <c r="F1047" s="141"/>
      <c r="G1047" s="141"/>
      <c r="H1047" s="141"/>
    </row>
    <row r="1048" spans="3:8">
      <c r="C1048" s="141"/>
      <c r="D1048" s="141"/>
      <c r="E1048" s="141"/>
      <c r="F1048" s="141"/>
      <c r="G1048" s="141"/>
      <c r="H1048" s="141"/>
    </row>
    <row r="1049" spans="3:8">
      <c r="C1049" s="141"/>
      <c r="D1049" s="141"/>
      <c r="E1049" s="141"/>
      <c r="F1049" s="141"/>
      <c r="G1049" s="141"/>
      <c r="H1049" s="141"/>
    </row>
    <row r="1050" spans="3:8">
      <c r="C1050" s="141"/>
      <c r="D1050" s="141"/>
      <c r="E1050" s="141"/>
      <c r="F1050" s="141"/>
      <c r="G1050" s="141"/>
      <c r="H1050" s="141"/>
    </row>
    <row r="1051" spans="3:8">
      <c r="C1051" s="141"/>
      <c r="D1051" s="141"/>
      <c r="E1051" s="141"/>
      <c r="F1051" s="141"/>
      <c r="G1051" s="141"/>
      <c r="H1051" s="141"/>
    </row>
    <row r="1052" spans="3:8">
      <c r="C1052" s="141"/>
      <c r="D1052" s="141"/>
      <c r="E1052" s="141"/>
      <c r="F1052" s="141"/>
      <c r="G1052" s="141"/>
      <c r="H1052" s="141"/>
    </row>
    <row r="1053" spans="3:8">
      <c r="C1053" s="141"/>
      <c r="D1053" s="141"/>
      <c r="E1053" s="141"/>
      <c r="F1053" s="141"/>
      <c r="G1053" s="141"/>
      <c r="H1053" s="141"/>
    </row>
    <row r="1054" spans="3:8">
      <c r="C1054" s="141"/>
      <c r="D1054" s="141"/>
      <c r="E1054" s="141"/>
      <c r="F1054" s="141"/>
      <c r="G1054" s="141"/>
      <c r="H1054" s="141"/>
    </row>
    <row r="1055" spans="3:8">
      <c r="C1055" s="141"/>
      <c r="D1055" s="141"/>
      <c r="E1055" s="141"/>
      <c r="F1055" s="141"/>
      <c r="G1055" s="141"/>
      <c r="H1055" s="141"/>
    </row>
    <row r="1056" spans="3:8">
      <c r="C1056" s="141"/>
      <c r="D1056" s="141"/>
      <c r="E1056" s="141"/>
      <c r="F1056" s="141"/>
      <c r="G1056" s="141"/>
      <c r="H1056" s="141"/>
    </row>
    <row r="1057" spans="3:8">
      <c r="C1057" s="141"/>
      <c r="D1057" s="141"/>
      <c r="E1057" s="141"/>
      <c r="F1057" s="141"/>
      <c r="G1057" s="141"/>
      <c r="H1057" s="141"/>
    </row>
    <row r="1058" spans="3:8">
      <c r="C1058" s="141"/>
      <c r="D1058" s="141"/>
      <c r="E1058" s="141"/>
      <c r="F1058" s="141"/>
      <c r="G1058" s="141"/>
      <c r="H1058" s="141"/>
    </row>
    <row r="1059" spans="3:8">
      <c r="C1059" s="141"/>
      <c r="D1059" s="141"/>
      <c r="E1059" s="141"/>
      <c r="F1059" s="141"/>
      <c r="G1059" s="141"/>
      <c r="H1059" s="141"/>
    </row>
    <row r="1060" spans="3:8">
      <c r="C1060" s="141"/>
      <c r="D1060" s="141"/>
      <c r="E1060" s="141"/>
      <c r="F1060" s="141"/>
      <c r="G1060" s="141"/>
      <c r="H1060" s="141"/>
    </row>
    <row r="1061" spans="3:8">
      <c r="C1061" s="141"/>
      <c r="D1061" s="141"/>
      <c r="E1061" s="141"/>
      <c r="F1061" s="141"/>
      <c r="G1061" s="141"/>
      <c r="H1061" s="141"/>
    </row>
    <row r="1062" spans="3:8">
      <c r="C1062" s="141"/>
      <c r="D1062" s="141"/>
      <c r="E1062" s="141"/>
      <c r="F1062" s="141"/>
      <c r="G1062" s="141"/>
      <c r="H1062" s="141"/>
    </row>
    <row r="1063" spans="3:8">
      <c r="C1063" s="141"/>
      <c r="D1063" s="141"/>
      <c r="E1063" s="141"/>
      <c r="F1063" s="141"/>
      <c r="G1063" s="141"/>
      <c r="H1063" s="141"/>
    </row>
    <row r="1064" spans="3:8">
      <c r="C1064" s="141"/>
      <c r="D1064" s="141"/>
      <c r="E1064" s="141"/>
      <c r="F1064" s="141"/>
      <c r="G1064" s="141"/>
      <c r="H1064" s="141"/>
    </row>
    <row r="1065" spans="3:8">
      <c r="C1065" s="141"/>
      <c r="D1065" s="141"/>
      <c r="E1065" s="141"/>
      <c r="F1065" s="141"/>
      <c r="G1065" s="141"/>
      <c r="H1065" s="141"/>
    </row>
    <row r="1066" spans="3:8">
      <c r="C1066" s="141"/>
      <c r="D1066" s="141"/>
      <c r="E1066" s="141"/>
      <c r="F1066" s="141"/>
      <c r="G1066" s="141"/>
      <c r="H1066" s="141"/>
    </row>
    <row r="1067" spans="3:8">
      <c r="C1067" s="141"/>
      <c r="D1067" s="141"/>
      <c r="E1067" s="141"/>
      <c r="F1067" s="141"/>
      <c r="G1067" s="141"/>
      <c r="H1067" s="141"/>
    </row>
    <row r="1068" spans="3:8">
      <c r="C1068" s="141"/>
      <c r="D1068" s="141"/>
      <c r="E1068" s="141"/>
      <c r="F1068" s="141"/>
      <c r="G1068" s="141"/>
      <c r="H1068" s="141"/>
    </row>
    <row r="1069" spans="3:8">
      <c r="C1069" s="141"/>
      <c r="D1069" s="141"/>
      <c r="E1069" s="141"/>
      <c r="F1069" s="141"/>
      <c r="G1069" s="141"/>
      <c r="H1069" s="141"/>
    </row>
    <row r="1070" spans="3:8">
      <c r="C1070" s="141"/>
      <c r="D1070" s="141"/>
      <c r="E1070" s="141"/>
      <c r="F1070" s="141"/>
      <c r="G1070" s="141"/>
      <c r="H1070" s="141"/>
    </row>
    <row r="1071" spans="3:8">
      <c r="C1071" s="141"/>
      <c r="D1071" s="141"/>
      <c r="E1071" s="141"/>
      <c r="F1071" s="141"/>
      <c r="G1071" s="141"/>
      <c r="H1071" s="141"/>
    </row>
    <row r="1072" spans="3:8">
      <c r="C1072" s="141"/>
      <c r="D1072" s="141"/>
      <c r="E1072" s="141"/>
      <c r="F1072" s="141"/>
      <c r="G1072" s="141"/>
      <c r="H1072" s="141"/>
    </row>
    <row r="1073" spans="3:8">
      <c r="C1073" s="141"/>
      <c r="D1073" s="141"/>
      <c r="E1073" s="141"/>
      <c r="F1073" s="141"/>
      <c r="G1073" s="141"/>
      <c r="H1073" s="141"/>
    </row>
    <row r="1074" spans="3:8">
      <c r="C1074" s="141"/>
      <c r="D1074" s="141"/>
      <c r="E1074" s="141"/>
      <c r="F1074" s="141"/>
      <c r="G1074" s="141"/>
      <c r="H1074" s="141"/>
    </row>
    <row r="1075" spans="3:8">
      <c r="C1075" s="141"/>
      <c r="D1075" s="141"/>
      <c r="E1075" s="141"/>
      <c r="F1075" s="141"/>
      <c r="G1075" s="141"/>
      <c r="H1075" s="141"/>
    </row>
    <row r="1076" spans="3:8">
      <c r="C1076" s="141"/>
      <c r="D1076" s="141"/>
      <c r="E1076" s="141"/>
      <c r="F1076" s="141"/>
      <c r="G1076" s="141"/>
      <c r="H1076" s="141"/>
    </row>
    <row r="1077" spans="3:8">
      <c r="C1077" s="141"/>
      <c r="D1077" s="141"/>
      <c r="E1077" s="141"/>
      <c r="F1077" s="141"/>
      <c r="G1077" s="141"/>
      <c r="H1077" s="141"/>
    </row>
    <row r="1078" spans="3:8">
      <c r="C1078" s="141"/>
      <c r="D1078" s="141"/>
      <c r="E1078" s="141"/>
      <c r="F1078" s="141"/>
      <c r="G1078" s="141"/>
      <c r="H1078" s="141"/>
    </row>
    <row r="1079" spans="3:8">
      <c r="C1079" s="141"/>
      <c r="D1079" s="141"/>
      <c r="E1079" s="141"/>
      <c r="F1079" s="141"/>
      <c r="G1079" s="141"/>
      <c r="H1079" s="141"/>
    </row>
    <row r="1080" spans="3:8">
      <c r="C1080" s="141"/>
      <c r="D1080" s="141"/>
      <c r="E1080" s="141"/>
      <c r="F1080" s="141"/>
      <c r="G1080" s="141"/>
      <c r="H1080" s="141"/>
    </row>
    <row r="1081" spans="3:8">
      <c r="C1081" s="141"/>
      <c r="D1081" s="141"/>
      <c r="E1081" s="141"/>
      <c r="F1081" s="141"/>
      <c r="G1081" s="141"/>
      <c r="H1081" s="141"/>
    </row>
    <row r="1082" spans="3:8">
      <c r="C1082" s="141"/>
      <c r="D1082" s="141"/>
      <c r="E1082" s="141"/>
      <c r="F1082" s="141"/>
      <c r="G1082" s="141"/>
      <c r="H1082" s="141"/>
    </row>
    <row r="1083" spans="3:8">
      <c r="C1083" s="141"/>
      <c r="D1083" s="141"/>
      <c r="E1083" s="141"/>
      <c r="F1083" s="141"/>
      <c r="G1083" s="141"/>
      <c r="H1083" s="141"/>
    </row>
    <row r="1084" spans="3:8">
      <c r="C1084" s="141"/>
      <c r="D1084" s="141"/>
      <c r="E1084" s="141"/>
      <c r="F1084" s="141"/>
      <c r="G1084" s="141"/>
      <c r="H1084" s="141"/>
    </row>
    <row r="1085" spans="3:8">
      <c r="C1085" s="141"/>
      <c r="D1085" s="141"/>
      <c r="E1085" s="141"/>
      <c r="F1085" s="141"/>
      <c r="G1085" s="141"/>
      <c r="H1085" s="141"/>
    </row>
    <row r="1086" spans="3:8">
      <c r="C1086" s="141"/>
      <c r="D1086" s="141"/>
      <c r="E1086" s="141"/>
      <c r="F1086" s="141"/>
      <c r="G1086" s="141"/>
      <c r="H1086" s="141"/>
    </row>
    <row r="1087" spans="3:8">
      <c r="C1087" s="141"/>
      <c r="D1087" s="141"/>
      <c r="E1087" s="141"/>
      <c r="F1087" s="141"/>
      <c r="G1087" s="141"/>
      <c r="H1087" s="141"/>
    </row>
    <row r="1088" spans="3:8">
      <c r="C1088" s="141"/>
      <c r="D1088" s="141"/>
      <c r="E1088" s="141"/>
      <c r="F1088" s="141"/>
      <c r="G1088" s="141"/>
      <c r="H1088" s="141"/>
    </row>
    <row r="1089" spans="3:8">
      <c r="C1089" s="141"/>
      <c r="D1089" s="141"/>
      <c r="E1089" s="141"/>
      <c r="F1089" s="141"/>
      <c r="G1089" s="141"/>
      <c r="H1089" s="141"/>
    </row>
    <row r="1090" spans="3:8">
      <c r="C1090" s="141"/>
      <c r="D1090" s="141"/>
      <c r="E1090" s="141"/>
      <c r="F1090" s="141"/>
      <c r="G1090" s="141"/>
      <c r="H1090" s="141"/>
    </row>
    <row r="1091" spans="3:8">
      <c r="C1091" s="141"/>
      <c r="D1091" s="141"/>
      <c r="E1091" s="141"/>
      <c r="F1091" s="141"/>
      <c r="G1091" s="141"/>
      <c r="H1091" s="141"/>
    </row>
    <row r="1092" spans="3:8">
      <c r="C1092" s="141"/>
      <c r="D1092" s="141"/>
      <c r="E1092" s="141"/>
      <c r="F1092" s="141"/>
      <c r="G1092" s="141"/>
      <c r="H1092" s="141"/>
    </row>
    <row r="1093" spans="3:8">
      <c r="C1093" s="141"/>
      <c r="D1093" s="141"/>
      <c r="E1093" s="141"/>
      <c r="F1093" s="141"/>
      <c r="G1093" s="141"/>
      <c r="H1093" s="141"/>
    </row>
    <row r="1094" spans="3:8">
      <c r="C1094" s="141"/>
      <c r="D1094" s="141"/>
      <c r="E1094" s="141"/>
      <c r="F1094" s="141"/>
      <c r="G1094" s="141"/>
      <c r="H1094" s="141"/>
    </row>
    <row r="1095" spans="3:8">
      <c r="C1095" s="141"/>
      <c r="D1095" s="141"/>
      <c r="E1095" s="141"/>
      <c r="F1095" s="141"/>
      <c r="G1095" s="141"/>
      <c r="H1095" s="141"/>
    </row>
    <row r="1096" spans="3:8">
      <c r="C1096" s="141"/>
      <c r="D1096" s="141"/>
      <c r="E1096" s="141"/>
      <c r="F1096" s="141"/>
      <c r="G1096" s="141"/>
      <c r="H1096" s="141"/>
    </row>
    <row r="1097" spans="3:8">
      <c r="C1097" s="141"/>
      <c r="D1097" s="141"/>
      <c r="E1097" s="141"/>
      <c r="F1097" s="141"/>
      <c r="G1097" s="141"/>
      <c r="H1097" s="141"/>
    </row>
    <row r="1098" spans="3:8">
      <c r="C1098" s="141"/>
      <c r="D1098" s="141"/>
      <c r="E1098" s="141"/>
      <c r="F1098" s="141"/>
      <c r="G1098" s="141"/>
      <c r="H1098" s="141"/>
    </row>
    <row r="1099" spans="3:8">
      <c r="C1099" s="141"/>
      <c r="D1099" s="141"/>
      <c r="E1099" s="141"/>
      <c r="F1099" s="141"/>
      <c r="G1099" s="141"/>
      <c r="H1099" s="141"/>
    </row>
    <row r="1100" spans="3:8">
      <c r="C1100" s="141"/>
      <c r="D1100" s="141"/>
      <c r="E1100" s="141"/>
      <c r="F1100" s="141"/>
      <c r="G1100" s="141"/>
      <c r="H1100" s="141"/>
    </row>
    <row r="1101" spans="3:8">
      <c r="C1101" s="141"/>
      <c r="D1101" s="141"/>
      <c r="E1101" s="141"/>
      <c r="F1101" s="141"/>
      <c r="G1101" s="141"/>
      <c r="H1101" s="141"/>
    </row>
    <row r="1102" spans="3:8">
      <c r="C1102" s="141"/>
      <c r="D1102" s="141"/>
      <c r="E1102" s="141"/>
      <c r="F1102" s="141"/>
      <c r="G1102" s="141"/>
      <c r="H1102" s="141"/>
    </row>
    <row r="1103" spans="3:8">
      <c r="C1103" s="141"/>
      <c r="D1103" s="141"/>
      <c r="E1103" s="141"/>
      <c r="F1103" s="141"/>
      <c r="G1103" s="141"/>
      <c r="H1103" s="141"/>
    </row>
    <row r="1104" spans="3:8">
      <c r="C1104" s="141"/>
      <c r="D1104" s="141"/>
      <c r="E1104" s="141"/>
      <c r="F1104" s="141"/>
      <c r="G1104" s="141"/>
      <c r="H1104" s="141"/>
    </row>
    <row r="1105" spans="3:8">
      <c r="C1105" s="141"/>
      <c r="D1105" s="141"/>
      <c r="E1105" s="141"/>
      <c r="F1105" s="141"/>
      <c r="G1105" s="141"/>
      <c r="H1105" s="141"/>
    </row>
    <row r="1106" spans="3:8">
      <c r="C1106" s="141"/>
      <c r="D1106" s="141"/>
      <c r="E1106" s="141"/>
      <c r="F1106" s="141"/>
      <c r="G1106" s="141"/>
      <c r="H1106" s="141"/>
    </row>
    <row r="1107" spans="3:8">
      <c r="C1107" s="141"/>
      <c r="D1107" s="141"/>
      <c r="E1107" s="141"/>
      <c r="F1107" s="141"/>
      <c r="G1107" s="141"/>
      <c r="H1107" s="141"/>
    </row>
    <row r="1108" spans="3:8">
      <c r="C1108" s="141"/>
      <c r="D1108" s="141"/>
      <c r="E1108" s="141"/>
      <c r="F1108" s="141"/>
      <c r="G1108" s="141"/>
      <c r="H1108" s="141"/>
    </row>
    <row r="1109" spans="3:8">
      <c r="C1109" s="141"/>
      <c r="D1109" s="141"/>
      <c r="E1109" s="141"/>
      <c r="F1109" s="141"/>
      <c r="G1109" s="141"/>
      <c r="H1109" s="141"/>
    </row>
    <row r="1110" spans="3:8">
      <c r="C1110" s="141"/>
      <c r="D1110" s="141"/>
      <c r="E1110" s="141"/>
      <c r="F1110" s="141"/>
      <c r="G1110" s="141"/>
      <c r="H1110" s="141"/>
    </row>
    <row r="1111" spans="3:8">
      <c r="C1111" s="141"/>
      <c r="D1111" s="141"/>
      <c r="E1111" s="141"/>
      <c r="F1111" s="141"/>
      <c r="G1111" s="141"/>
      <c r="H1111" s="141"/>
    </row>
    <row r="1112" spans="3:8">
      <c r="C1112" s="141"/>
      <c r="D1112" s="141"/>
      <c r="E1112" s="141"/>
      <c r="F1112" s="141"/>
      <c r="G1112" s="141"/>
      <c r="H1112" s="141"/>
    </row>
    <row r="1113" spans="3:8">
      <c r="C1113" s="141"/>
      <c r="D1113" s="141"/>
      <c r="E1113" s="141"/>
      <c r="F1113" s="141"/>
      <c r="G1113" s="141"/>
      <c r="H1113" s="141"/>
    </row>
    <row r="1114" spans="3:8">
      <c r="C1114" s="141"/>
      <c r="D1114" s="141"/>
      <c r="E1114" s="141"/>
      <c r="F1114" s="141"/>
      <c r="G1114" s="141"/>
      <c r="H1114" s="141"/>
    </row>
    <row r="1115" spans="3:8">
      <c r="C1115" s="141"/>
      <c r="D1115" s="141"/>
      <c r="E1115" s="141"/>
      <c r="F1115" s="141"/>
      <c r="G1115" s="141"/>
      <c r="H1115" s="141"/>
    </row>
    <row r="1116" spans="3:8">
      <c r="C1116" s="141"/>
      <c r="D1116" s="141"/>
      <c r="E1116" s="141"/>
      <c r="F1116" s="141"/>
      <c r="G1116" s="141"/>
      <c r="H1116" s="141"/>
    </row>
    <row r="1117" spans="3:8">
      <c r="C1117" s="141"/>
      <c r="D1117" s="141"/>
      <c r="E1117" s="141"/>
      <c r="F1117" s="141"/>
      <c r="G1117" s="141"/>
      <c r="H1117" s="141"/>
    </row>
    <row r="1118" spans="3:8">
      <c r="C1118" s="141"/>
      <c r="D1118" s="141"/>
      <c r="E1118" s="141"/>
      <c r="F1118" s="141"/>
      <c r="G1118" s="141"/>
      <c r="H1118" s="141"/>
    </row>
    <row r="1119" spans="3:8">
      <c r="C1119" s="141"/>
      <c r="D1119" s="141"/>
      <c r="E1119" s="141"/>
      <c r="F1119" s="141"/>
      <c r="G1119" s="141"/>
      <c r="H1119" s="141"/>
    </row>
    <row r="1120" spans="3:8">
      <c r="C1120" s="141"/>
      <c r="D1120" s="141"/>
      <c r="E1120" s="141"/>
      <c r="F1120" s="141"/>
      <c r="G1120" s="141"/>
      <c r="H1120" s="141"/>
    </row>
    <row r="1121" spans="3:8">
      <c r="C1121" s="141"/>
      <c r="D1121" s="141"/>
      <c r="E1121" s="141"/>
      <c r="F1121" s="141"/>
      <c r="G1121" s="141"/>
      <c r="H1121" s="141"/>
    </row>
    <row r="1122" spans="3:8">
      <c r="C1122" s="141"/>
      <c r="D1122" s="141"/>
      <c r="E1122" s="141"/>
      <c r="F1122" s="141"/>
      <c r="G1122" s="141"/>
      <c r="H1122" s="141"/>
    </row>
    <row r="1123" spans="3:8">
      <c r="C1123" s="141"/>
      <c r="D1123" s="141"/>
      <c r="E1123" s="141"/>
      <c r="F1123" s="141"/>
      <c r="G1123" s="141"/>
      <c r="H1123" s="141"/>
    </row>
    <row r="1124" spans="3:8">
      <c r="C1124" s="141"/>
      <c r="D1124" s="141"/>
      <c r="E1124" s="141"/>
      <c r="F1124" s="141"/>
      <c r="G1124" s="141"/>
      <c r="H1124" s="141"/>
    </row>
    <row r="1125" spans="3:8">
      <c r="C1125" s="141"/>
      <c r="D1125" s="141"/>
      <c r="E1125" s="141"/>
      <c r="F1125" s="141"/>
      <c r="G1125" s="141"/>
      <c r="H1125" s="141"/>
    </row>
    <row r="1126" spans="3:8">
      <c r="C1126" s="141"/>
      <c r="D1126" s="141"/>
      <c r="E1126" s="141"/>
      <c r="F1126" s="141"/>
      <c r="G1126" s="141"/>
      <c r="H1126" s="141"/>
    </row>
    <row r="1127" spans="3:8">
      <c r="C1127" s="141"/>
      <c r="D1127" s="141"/>
      <c r="E1127" s="141"/>
      <c r="F1127" s="141"/>
      <c r="G1127" s="141"/>
      <c r="H1127" s="141"/>
    </row>
    <row r="1128" spans="3:8">
      <c r="C1128" s="141"/>
      <c r="D1128" s="141"/>
      <c r="E1128" s="141"/>
      <c r="F1128" s="141"/>
      <c r="G1128" s="141"/>
      <c r="H1128" s="141"/>
    </row>
    <row r="1129" spans="3:8">
      <c r="C1129" s="141"/>
      <c r="D1129" s="141"/>
      <c r="E1129" s="141"/>
      <c r="F1129" s="141"/>
      <c r="G1129" s="141"/>
      <c r="H1129" s="141"/>
    </row>
    <row r="1130" spans="3:8">
      <c r="C1130" s="141"/>
      <c r="D1130" s="141"/>
      <c r="E1130" s="141"/>
      <c r="F1130" s="141"/>
      <c r="G1130" s="141"/>
      <c r="H1130" s="141"/>
    </row>
    <row r="1131" spans="3:8">
      <c r="C1131" s="141"/>
      <c r="D1131" s="141"/>
      <c r="E1131" s="141"/>
      <c r="F1131" s="141"/>
      <c r="G1131" s="141"/>
      <c r="H1131" s="141"/>
    </row>
    <row r="1132" spans="3:8">
      <c r="C1132" s="141"/>
      <c r="D1132" s="141"/>
      <c r="E1132" s="141"/>
      <c r="F1132" s="141"/>
      <c r="G1132" s="141"/>
      <c r="H1132" s="141"/>
    </row>
    <row r="1133" spans="3:8">
      <c r="C1133" s="141"/>
      <c r="D1133" s="141"/>
      <c r="E1133" s="141"/>
      <c r="F1133" s="141"/>
      <c r="G1133" s="141"/>
      <c r="H1133" s="141"/>
    </row>
    <row r="1134" spans="3:8">
      <c r="C1134" s="141"/>
      <c r="D1134" s="141"/>
      <c r="E1134" s="141"/>
      <c r="F1134" s="141"/>
      <c r="G1134" s="141"/>
      <c r="H1134" s="141"/>
    </row>
    <row r="1135" spans="3:8">
      <c r="C1135" s="141"/>
      <c r="D1135" s="141"/>
      <c r="E1135" s="141"/>
      <c r="F1135" s="141"/>
      <c r="G1135" s="141"/>
      <c r="H1135" s="141"/>
    </row>
    <row r="1136" spans="3:8">
      <c r="C1136" s="141"/>
      <c r="D1136" s="141"/>
      <c r="E1136" s="141"/>
      <c r="F1136" s="141"/>
      <c r="G1136" s="141"/>
      <c r="H1136" s="141"/>
    </row>
    <row r="1137" spans="3:8">
      <c r="C1137" s="141"/>
      <c r="D1137" s="141"/>
      <c r="E1137" s="141"/>
      <c r="F1137" s="141"/>
      <c r="G1137" s="141"/>
      <c r="H1137" s="141"/>
    </row>
    <row r="1138" spans="3:8">
      <c r="C1138" s="141"/>
      <c r="D1138" s="141"/>
      <c r="E1138" s="141"/>
      <c r="F1138" s="141"/>
      <c r="G1138" s="141"/>
      <c r="H1138" s="141"/>
    </row>
    <row r="1139" spans="3:8">
      <c r="C1139" s="141"/>
      <c r="D1139" s="141"/>
      <c r="E1139" s="141"/>
      <c r="F1139" s="141"/>
      <c r="G1139" s="141"/>
      <c r="H1139" s="141"/>
    </row>
    <row r="1140" spans="3:8">
      <c r="C1140" s="141"/>
      <c r="D1140" s="141"/>
      <c r="E1140" s="141"/>
      <c r="F1140" s="141"/>
      <c r="G1140" s="141"/>
      <c r="H1140" s="141"/>
    </row>
    <row r="1141" spans="3:8">
      <c r="C1141" s="141"/>
      <c r="D1141" s="141"/>
      <c r="E1141" s="141"/>
      <c r="F1141" s="141"/>
      <c r="G1141" s="141"/>
      <c r="H1141" s="141"/>
    </row>
    <row r="1142" spans="3:8">
      <c r="C1142" s="141"/>
      <c r="D1142" s="141"/>
      <c r="E1142" s="141"/>
      <c r="F1142" s="141"/>
      <c r="G1142" s="141"/>
      <c r="H1142" s="141"/>
    </row>
    <row r="1143" spans="3:8">
      <c r="C1143" s="141"/>
      <c r="D1143" s="141"/>
      <c r="E1143" s="141"/>
      <c r="F1143" s="141"/>
      <c r="G1143" s="141"/>
      <c r="H1143" s="141"/>
    </row>
    <row r="1144" spans="3:8">
      <c r="C1144" s="141"/>
      <c r="D1144" s="141"/>
      <c r="E1144" s="141"/>
      <c r="F1144" s="141"/>
      <c r="G1144" s="141"/>
      <c r="H1144" s="141"/>
    </row>
    <row r="1145" spans="3:8">
      <c r="C1145" s="141"/>
      <c r="D1145" s="141"/>
      <c r="E1145" s="141"/>
      <c r="F1145" s="141"/>
      <c r="G1145" s="141"/>
      <c r="H1145" s="141"/>
    </row>
    <row r="1146" spans="3:8">
      <c r="C1146" s="141"/>
      <c r="D1146" s="141"/>
      <c r="E1146" s="141"/>
      <c r="F1146" s="141"/>
      <c r="G1146" s="141"/>
      <c r="H1146" s="141"/>
    </row>
    <row r="1147" spans="3:8">
      <c r="C1147" s="141"/>
      <c r="D1147" s="141"/>
      <c r="E1147" s="141"/>
      <c r="F1147" s="141"/>
      <c r="G1147" s="141"/>
      <c r="H1147" s="141"/>
    </row>
    <row r="1148" spans="3:8">
      <c r="C1148" s="141"/>
      <c r="D1148" s="141"/>
      <c r="E1148" s="141"/>
      <c r="F1148" s="141"/>
      <c r="G1148" s="141"/>
      <c r="H1148" s="141"/>
    </row>
    <row r="1149" spans="3:8">
      <c r="C1149" s="141"/>
      <c r="D1149" s="141"/>
      <c r="E1149" s="141"/>
      <c r="F1149" s="141"/>
      <c r="G1149" s="141"/>
      <c r="H1149" s="141"/>
    </row>
    <row r="1150" spans="3:8">
      <c r="C1150" s="141"/>
      <c r="D1150" s="141"/>
      <c r="E1150" s="141"/>
      <c r="F1150" s="141"/>
      <c r="G1150" s="141"/>
      <c r="H1150" s="141"/>
    </row>
    <row r="1151" spans="3:8">
      <c r="C1151" s="141"/>
      <c r="D1151" s="141"/>
      <c r="E1151" s="141"/>
      <c r="F1151" s="141"/>
      <c r="G1151" s="141"/>
      <c r="H1151" s="141"/>
    </row>
    <row r="1152" spans="3:8">
      <c r="C1152" s="141"/>
      <c r="D1152" s="141"/>
      <c r="E1152" s="141"/>
      <c r="F1152" s="141"/>
      <c r="G1152" s="141"/>
      <c r="H1152" s="141"/>
    </row>
    <row r="1153" spans="3:8">
      <c r="C1153" s="141"/>
      <c r="D1153" s="141"/>
      <c r="E1153" s="141"/>
      <c r="F1153" s="141"/>
      <c r="G1153" s="141"/>
      <c r="H1153" s="141"/>
    </row>
    <row r="1154" spans="3:8">
      <c r="C1154" s="141"/>
      <c r="D1154" s="141"/>
      <c r="E1154" s="141"/>
      <c r="F1154" s="141"/>
      <c r="G1154" s="141"/>
      <c r="H1154" s="141"/>
    </row>
    <row r="1155" spans="3:8">
      <c r="C1155" s="141"/>
      <c r="D1155" s="141"/>
      <c r="E1155" s="141"/>
      <c r="F1155" s="141"/>
      <c r="G1155" s="141"/>
      <c r="H1155" s="141"/>
    </row>
    <row r="1156" spans="3:8">
      <c r="C1156" s="141"/>
      <c r="D1156" s="141"/>
      <c r="E1156" s="141"/>
      <c r="F1156" s="141"/>
      <c r="G1156" s="141"/>
      <c r="H1156" s="141"/>
    </row>
    <row r="1157" spans="3:8">
      <c r="C1157" s="141"/>
      <c r="D1157" s="141"/>
      <c r="E1157" s="141"/>
      <c r="F1157" s="141"/>
      <c r="G1157" s="141"/>
      <c r="H1157" s="141"/>
    </row>
    <row r="1158" spans="3:8">
      <c r="C1158" s="141"/>
      <c r="D1158" s="141"/>
      <c r="E1158" s="141"/>
      <c r="F1158" s="141"/>
      <c r="G1158" s="141"/>
      <c r="H1158" s="141"/>
    </row>
    <row r="1159" spans="3:8">
      <c r="C1159" s="141"/>
      <c r="D1159" s="141"/>
      <c r="E1159" s="141"/>
      <c r="F1159" s="141"/>
      <c r="G1159" s="141"/>
      <c r="H1159" s="141"/>
    </row>
    <row r="1160" spans="3:8">
      <c r="C1160" s="141"/>
      <c r="D1160" s="141"/>
      <c r="E1160" s="141"/>
      <c r="F1160" s="141"/>
      <c r="G1160" s="141"/>
      <c r="H1160" s="141"/>
    </row>
    <row r="1161" spans="3:8">
      <c r="C1161" s="141"/>
      <c r="D1161" s="141"/>
      <c r="E1161" s="141"/>
      <c r="F1161" s="141"/>
      <c r="G1161" s="141"/>
      <c r="H1161" s="141"/>
    </row>
    <row r="1162" spans="3:8">
      <c r="C1162" s="141"/>
      <c r="D1162" s="141"/>
      <c r="E1162" s="141"/>
      <c r="F1162" s="141"/>
      <c r="G1162" s="141"/>
      <c r="H1162" s="141"/>
    </row>
    <row r="1163" spans="3:8">
      <c r="C1163" s="141"/>
      <c r="D1163" s="141"/>
      <c r="E1163" s="141"/>
      <c r="F1163" s="141"/>
      <c r="G1163" s="141"/>
      <c r="H1163" s="141"/>
    </row>
    <row r="1164" spans="3:8">
      <c r="C1164" s="141"/>
      <c r="D1164" s="141"/>
      <c r="E1164" s="141"/>
      <c r="F1164" s="141"/>
      <c r="G1164" s="141"/>
      <c r="H1164" s="141"/>
    </row>
    <row r="1165" spans="3:8">
      <c r="C1165" s="141"/>
      <c r="D1165" s="141"/>
      <c r="E1165" s="141"/>
      <c r="F1165" s="141"/>
      <c r="G1165" s="141"/>
      <c r="H1165" s="141"/>
    </row>
    <row r="1166" spans="3:8">
      <c r="C1166" s="141"/>
      <c r="D1166" s="141"/>
      <c r="E1166" s="141"/>
      <c r="F1166" s="141"/>
      <c r="G1166" s="141"/>
      <c r="H1166" s="141"/>
    </row>
    <row r="1167" spans="3:8">
      <c r="C1167" s="141"/>
      <c r="D1167" s="141"/>
      <c r="E1167" s="141"/>
      <c r="F1167" s="141"/>
      <c r="G1167" s="141"/>
      <c r="H1167" s="141"/>
    </row>
    <row r="1168" spans="3:8">
      <c r="C1168" s="141"/>
      <c r="D1168" s="141"/>
      <c r="E1168" s="141"/>
      <c r="F1168" s="141"/>
      <c r="G1168" s="141"/>
      <c r="H1168" s="141"/>
    </row>
    <row r="1169" spans="3:8">
      <c r="C1169" s="141"/>
      <c r="D1169" s="141"/>
      <c r="E1169" s="141"/>
      <c r="F1169" s="141"/>
      <c r="G1169" s="141"/>
      <c r="H1169" s="141"/>
    </row>
    <row r="1170" spans="3:8">
      <c r="C1170" s="141"/>
      <c r="D1170" s="141"/>
      <c r="E1170" s="141"/>
      <c r="F1170" s="141"/>
      <c r="G1170" s="141"/>
      <c r="H1170" s="141"/>
    </row>
    <row r="1171" spans="3:8">
      <c r="C1171" s="141"/>
      <c r="D1171" s="141"/>
      <c r="E1171" s="141"/>
      <c r="F1171" s="141"/>
      <c r="G1171" s="141"/>
      <c r="H1171" s="141"/>
    </row>
    <row r="1172" spans="3:8">
      <c r="C1172" s="141"/>
      <c r="D1172" s="141"/>
      <c r="E1172" s="141"/>
      <c r="F1172" s="141"/>
      <c r="G1172" s="141"/>
      <c r="H1172" s="141"/>
    </row>
    <row r="1173" spans="3:8">
      <c r="C1173" s="141"/>
      <c r="D1173" s="141"/>
      <c r="E1173" s="141"/>
      <c r="F1173" s="141"/>
      <c r="G1173" s="141"/>
      <c r="H1173" s="141"/>
    </row>
    <row r="1174" spans="3:8">
      <c r="C1174" s="141"/>
      <c r="D1174" s="141"/>
      <c r="E1174" s="141"/>
      <c r="F1174" s="141"/>
      <c r="G1174" s="141"/>
      <c r="H1174" s="141"/>
    </row>
    <row r="1175" spans="3:8">
      <c r="C1175" s="141"/>
      <c r="D1175" s="141"/>
      <c r="E1175" s="141"/>
      <c r="F1175" s="141"/>
      <c r="G1175" s="141"/>
      <c r="H1175" s="141"/>
    </row>
    <row r="1176" spans="3:8">
      <c r="C1176" s="141"/>
      <c r="D1176" s="141"/>
      <c r="E1176" s="141"/>
      <c r="F1176" s="141"/>
      <c r="G1176" s="141"/>
      <c r="H1176" s="141"/>
    </row>
    <row r="1177" spans="3:8">
      <c r="C1177" s="141"/>
      <c r="D1177" s="141"/>
      <c r="E1177" s="141"/>
      <c r="F1177" s="141"/>
      <c r="G1177" s="141"/>
      <c r="H1177" s="141"/>
    </row>
    <row r="1178" spans="3:8">
      <c r="C1178" s="141"/>
      <c r="D1178" s="141"/>
      <c r="E1178" s="141"/>
      <c r="F1178" s="141"/>
      <c r="G1178" s="141"/>
      <c r="H1178" s="141"/>
    </row>
    <row r="1179" spans="3:8">
      <c r="C1179" s="141"/>
      <c r="D1179" s="141"/>
      <c r="E1179" s="141"/>
      <c r="F1179" s="141"/>
      <c r="G1179" s="141"/>
      <c r="H1179" s="141"/>
    </row>
    <row r="1180" spans="3:8">
      <c r="C1180" s="141"/>
      <c r="D1180" s="141"/>
      <c r="E1180" s="141"/>
      <c r="F1180" s="141"/>
      <c r="G1180" s="141"/>
      <c r="H1180" s="141"/>
    </row>
    <row r="1181" spans="3:8">
      <c r="C1181" s="141"/>
      <c r="D1181" s="141"/>
      <c r="E1181" s="141"/>
      <c r="F1181" s="141"/>
      <c r="G1181" s="141"/>
      <c r="H1181" s="141"/>
    </row>
    <row r="1182" spans="3:8">
      <c r="C1182" s="141"/>
      <c r="D1182" s="141"/>
      <c r="E1182" s="141"/>
      <c r="F1182" s="141"/>
      <c r="G1182" s="141"/>
      <c r="H1182" s="141"/>
    </row>
    <row r="1183" spans="3:8">
      <c r="C1183" s="141"/>
      <c r="D1183" s="141"/>
      <c r="E1183" s="141"/>
      <c r="F1183" s="141"/>
      <c r="G1183" s="141"/>
      <c r="H1183" s="141"/>
    </row>
    <row r="1184" spans="3:8">
      <c r="C1184" s="141"/>
      <c r="D1184" s="141"/>
      <c r="E1184" s="141"/>
      <c r="F1184" s="141"/>
      <c r="G1184" s="141"/>
      <c r="H1184" s="141"/>
    </row>
    <row r="1185" spans="3:8">
      <c r="C1185" s="141"/>
      <c r="D1185" s="141"/>
      <c r="E1185" s="141"/>
      <c r="F1185" s="141"/>
      <c r="G1185" s="141"/>
      <c r="H1185" s="141"/>
    </row>
    <row r="1186" spans="3:8">
      <c r="C1186" s="141"/>
      <c r="D1186" s="141"/>
      <c r="E1186" s="141"/>
      <c r="F1186" s="141"/>
      <c r="G1186" s="141"/>
      <c r="H1186" s="141"/>
    </row>
    <row r="1187" spans="3:8">
      <c r="C1187" s="141"/>
      <c r="D1187" s="141"/>
      <c r="E1187" s="141"/>
      <c r="F1187" s="141"/>
      <c r="G1187" s="141"/>
      <c r="H1187" s="141"/>
    </row>
    <row r="1188" spans="3:8">
      <c r="C1188" s="141"/>
      <c r="D1188" s="141"/>
      <c r="E1188" s="141"/>
      <c r="F1188" s="141"/>
      <c r="G1188" s="141"/>
      <c r="H1188" s="141"/>
    </row>
    <row r="1189" spans="3:8">
      <c r="C1189" s="141"/>
      <c r="D1189" s="141"/>
      <c r="E1189" s="141"/>
      <c r="F1189" s="141"/>
      <c r="G1189" s="141"/>
      <c r="H1189" s="141"/>
    </row>
    <row r="1190" spans="3:8">
      <c r="C1190" s="141"/>
      <c r="D1190" s="141"/>
      <c r="E1190" s="141"/>
      <c r="F1190" s="141"/>
      <c r="G1190" s="141"/>
      <c r="H1190" s="141"/>
    </row>
    <row r="1191" spans="3:8">
      <c r="C1191" s="141"/>
      <c r="D1191" s="141"/>
      <c r="E1191" s="141"/>
      <c r="F1191" s="141"/>
      <c r="G1191" s="141"/>
      <c r="H1191" s="141"/>
    </row>
    <row r="1192" spans="3:8">
      <c r="C1192" s="141"/>
      <c r="D1192" s="141"/>
      <c r="E1192" s="141"/>
      <c r="F1192" s="141"/>
      <c r="G1192" s="141"/>
      <c r="H1192" s="141"/>
    </row>
    <row r="1193" spans="3:8">
      <c r="C1193" s="141"/>
      <c r="D1193" s="141"/>
      <c r="E1193" s="141"/>
      <c r="F1193" s="141"/>
      <c r="G1193" s="141"/>
      <c r="H1193" s="141"/>
    </row>
    <row r="1194" spans="3:8">
      <c r="C1194" s="141"/>
      <c r="D1194" s="141"/>
      <c r="E1194" s="141"/>
      <c r="F1194" s="141"/>
      <c r="G1194" s="141"/>
      <c r="H1194" s="141"/>
    </row>
    <row r="1195" spans="3:8">
      <c r="C1195" s="141"/>
      <c r="D1195" s="141"/>
      <c r="E1195" s="141"/>
      <c r="F1195" s="141"/>
      <c r="G1195" s="141"/>
      <c r="H1195" s="141"/>
    </row>
    <row r="1196" spans="3:8">
      <c r="C1196" s="141"/>
      <c r="D1196" s="141"/>
      <c r="E1196" s="141"/>
      <c r="F1196" s="141"/>
      <c r="G1196" s="141"/>
      <c r="H1196" s="141"/>
    </row>
    <row r="1197" spans="3:8">
      <c r="C1197" s="141"/>
      <c r="D1197" s="141"/>
      <c r="E1197" s="141"/>
      <c r="F1197" s="141"/>
      <c r="G1197" s="141"/>
      <c r="H1197" s="141"/>
    </row>
    <row r="1198" spans="3:8">
      <c r="C1198" s="141"/>
      <c r="D1198" s="141"/>
      <c r="E1198" s="141"/>
      <c r="F1198" s="141"/>
      <c r="G1198" s="141"/>
      <c r="H1198" s="141"/>
    </row>
    <row r="1199" spans="3:8">
      <c r="C1199" s="141"/>
      <c r="D1199" s="141"/>
      <c r="E1199" s="141"/>
      <c r="F1199" s="141"/>
      <c r="G1199" s="141"/>
      <c r="H1199" s="141"/>
    </row>
    <row r="1200" spans="3:8">
      <c r="C1200" s="141"/>
      <c r="D1200" s="141"/>
      <c r="E1200" s="141"/>
      <c r="F1200" s="141"/>
      <c r="G1200" s="141"/>
      <c r="H1200" s="141"/>
    </row>
    <row r="1201" spans="3:8">
      <c r="C1201" s="141"/>
      <c r="D1201" s="141"/>
      <c r="E1201" s="141"/>
      <c r="F1201" s="141"/>
      <c r="G1201" s="141"/>
      <c r="H1201" s="141"/>
    </row>
    <row r="1202" spans="3:8">
      <c r="C1202" s="141"/>
      <c r="D1202" s="141"/>
      <c r="E1202" s="141"/>
      <c r="F1202" s="141"/>
      <c r="G1202" s="141"/>
      <c r="H1202" s="141"/>
    </row>
    <row r="1203" spans="3:8">
      <c r="C1203" s="141"/>
      <c r="D1203" s="141"/>
      <c r="E1203" s="141"/>
      <c r="F1203" s="141"/>
      <c r="G1203" s="141"/>
      <c r="H1203" s="141"/>
    </row>
    <row r="1204" spans="3:8">
      <c r="C1204" s="141"/>
      <c r="D1204" s="141"/>
      <c r="E1204" s="141"/>
      <c r="F1204" s="141"/>
      <c r="G1204" s="141"/>
      <c r="H1204" s="141"/>
    </row>
    <row r="1205" spans="3:8">
      <c r="C1205" s="141"/>
      <c r="D1205" s="141"/>
      <c r="E1205" s="141"/>
      <c r="F1205" s="141"/>
      <c r="G1205" s="141"/>
      <c r="H1205" s="141"/>
    </row>
    <row r="1206" spans="3:8">
      <c r="C1206" s="141"/>
      <c r="D1206" s="141"/>
      <c r="E1206" s="141"/>
      <c r="F1206" s="141"/>
      <c r="G1206" s="141"/>
      <c r="H1206" s="141"/>
    </row>
    <row r="1207" spans="3:8">
      <c r="C1207" s="141"/>
      <c r="D1207" s="141"/>
      <c r="E1207" s="141"/>
      <c r="F1207" s="141"/>
      <c r="G1207" s="141"/>
      <c r="H1207" s="141"/>
    </row>
    <row r="1208" spans="3:8">
      <c r="C1208" s="141"/>
      <c r="D1208" s="141"/>
      <c r="E1208" s="141"/>
      <c r="F1208" s="141"/>
      <c r="G1208" s="141"/>
      <c r="H1208" s="141"/>
    </row>
    <row r="1209" spans="3:8">
      <c r="C1209" s="141"/>
      <c r="D1209" s="141"/>
      <c r="E1209" s="141"/>
      <c r="F1209" s="141"/>
      <c r="G1209" s="141"/>
      <c r="H1209" s="141"/>
    </row>
    <row r="1210" spans="3:8">
      <c r="C1210" s="141"/>
      <c r="D1210" s="141"/>
      <c r="E1210" s="141"/>
      <c r="F1210" s="141"/>
      <c r="G1210" s="141"/>
      <c r="H1210" s="141"/>
    </row>
    <row r="1211" spans="3:8">
      <c r="C1211" s="141"/>
      <c r="D1211" s="141"/>
      <c r="E1211" s="141"/>
      <c r="F1211" s="141"/>
      <c r="G1211" s="141"/>
      <c r="H1211" s="141"/>
    </row>
    <row r="1212" spans="3:8">
      <c r="C1212" s="141"/>
      <c r="D1212" s="141"/>
      <c r="E1212" s="141"/>
      <c r="F1212" s="141"/>
      <c r="G1212" s="141"/>
      <c r="H1212" s="141"/>
    </row>
    <row r="1213" spans="3:8">
      <c r="C1213" s="141"/>
      <c r="D1213" s="141"/>
      <c r="E1213" s="141"/>
      <c r="F1213" s="141"/>
      <c r="G1213" s="141"/>
      <c r="H1213" s="141"/>
    </row>
    <row r="1214" spans="3:8">
      <c r="C1214" s="141"/>
      <c r="D1214" s="141"/>
      <c r="E1214" s="141"/>
      <c r="F1214" s="141"/>
      <c r="G1214" s="141"/>
      <c r="H1214" s="141"/>
    </row>
    <row r="1215" spans="3:8">
      <c r="C1215" s="141"/>
      <c r="D1215" s="141"/>
      <c r="E1215" s="141"/>
      <c r="F1215" s="141"/>
      <c r="G1215" s="141"/>
      <c r="H1215" s="141"/>
    </row>
    <row r="1216" spans="3:8">
      <c r="C1216" s="141"/>
      <c r="D1216" s="141"/>
      <c r="E1216" s="141"/>
      <c r="F1216" s="141"/>
      <c r="G1216" s="141"/>
      <c r="H1216" s="141"/>
    </row>
    <row r="1217" spans="3:8">
      <c r="C1217" s="141"/>
      <c r="D1217" s="141"/>
      <c r="E1217" s="141"/>
      <c r="F1217" s="141"/>
      <c r="G1217" s="141"/>
      <c r="H1217" s="141"/>
    </row>
    <row r="1218" spans="3:8">
      <c r="C1218" s="141"/>
      <c r="D1218" s="141"/>
      <c r="E1218" s="141"/>
      <c r="F1218" s="141"/>
      <c r="G1218" s="141"/>
      <c r="H1218" s="141"/>
    </row>
    <row r="1219" spans="3:8">
      <c r="C1219" s="141"/>
      <c r="D1219" s="141"/>
      <c r="E1219" s="141"/>
      <c r="F1219" s="141"/>
      <c r="G1219" s="141"/>
      <c r="H1219" s="141"/>
    </row>
    <row r="1220" spans="3:8">
      <c r="C1220" s="141"/>
      <c r="D1220" s="141"/>
      <c r="E1220" s="141"/>
      <c r="F1220" s="141"/>
      <c r="G1220" s="141"/>
      <c r="H1220" s="141"/>
    </row>
    <row r="1221" spans="3:8">
      <c r="C1221" s="141"/>
      <c r="D1221" s="141"/>
      <c r="E1221" s="141"/>
      <c r="F1221" s="141"/>
      <c r="G1221" s="141"/>
      <c r="H1221" s="141"/>
    </row>
    <row r="1222" spans="3:8">
      <c r="C1222" s="141"/>
      <c r="D1222" s="141"/>
      <c r="E1222" s="141"/>
      <c r="F1222" s="141"/>
      <c r="G1222" s="141"/>
      <c r="H1222" s="141"/>
    </row>
    <row r="1223" spans="3:8">
      <c r="C1223" s="141"/>
      <c r="D1223" s="141"/>
      <c r="E1223" s="141"/>
      <c r="F1223" s="141"/>
      <c r="G1223" s="141"/>
      <c r="H1223" s="141"/>
    </row>
    <row r="1224" spans="3:8">
      <c r="C1224" s="141"/>
      <c r="D1224" s="141"/>
      <c r="E1224" s="141"/>
      <c r="F1224" s="141"/>
      <c r="G1224" s="141"/>
      <c r="H1224" s="141"/>
    </row>
    <row r="1225" spans="3:8">
      <c r="C1225" s="141"/>
      <c r="D1225" s="141"/>
      <c r="E1225" s="141"/>
      <c r="F1225" s="141"/>
      <c r="G1225" s="141"/>
      <c r="H1225" s="141"/>
    </row>
    <row r="1226" spans="3:8">
      <c r="C1226" s="141"/>
      <c r="D1226" s="141"/>
      <c r="E1226" s="141"/>
      <c r="F1226" s="141"/>
      <c r="G1226" s="141"/>
      <c r="H1226" s="141"/>
    </row>
    <row r="1227" spans="3:8">
      <c r="C1227" s="141"/>
      <c r="D1227" s="141"/>
      <c r="E1227" s="141"/>
      <c r="F1227" s="141"/>
      <c r="G1227" s="141"/>
      <c r="H1227" s="141"/>
    </row>
    <row r="1228" spans="3:8">
      <c r="C1228" s="141"/>
      <c r="D1228" s="141"/>
      <c r="E1228" s="141"/>
      <c r="F1228" s="141"/>
      <c r="G1228" s="141"/>
      <c r="H1228" s="141"/>
    </row>
    <row r="1229" spans="3:8">
      <c r="C1229" s="141"/>
      <c r="D1229" s="141"/>
      <c r="E1229" s="141"/>
      <c r="F1229" s="141"/>
      <c r="G1229" s="141"/>
      <c r="H1229" s="141"/>
    </row>
    <row r="1230" spans="3:8">
      <c r="C1230" s="141"/>
      <c r="D1230" s="141"/>
      <c r="E1230" s="141"/>
      <c r="F1230" s="141"/>
      <c r="G1230" s="141"/>
      <c r="H1230" s="141"/>
    </row>
    <row r="1231" spans="3:8">
      <c r="C1231" s="141"/>
      <c r="D1231" s="141"/>
      <c r="E1231" s="141"/>
      <c r="F1231" s="141"/>
      <c r="G1231" s="141"/>
      <c r="H1231" s="141"/>
    </row>
    <row r="1232" spans="3:8">
      <c r="C1232" s="141"/>
      <c r="D1232" s="141"/>
      <c r="E1232" s="141"/>
      <c r="F1232" s="141"/>
      <c r="G1232" s="141"/>
      <c r="H1232" s="141"/>
    </row>
    <row r="1233" spans="3:8">
      <c r="C1233" s="141"/>
      <c r="D1233" s="141"/>
      <c r="E1233" s="141"/>
      <c r="F1233" s="141"/>
      <c r="G1233" s="141"/>
      <c r="H1233" s="141"/>
    </row>
    <row r="1234" spans="3:8">
      <c r="C1234" s="141"/>
      <c r="D1234" s="141"/>
      <c r="E1234" s="141"/>
      <c r="F1234" s="141"/>
      <c r="G1234" s="141"/>
      <c r="H1234" s="141"/>
    </row>
    <row r="1235" spans="3:8">
      <c r="C1235" s="141"/>
      <c r="D1235" s="141"/>
      <c r="E1235" s="141"/>
      <c r="F1235" s="141"/>
      <c r="G1235" s="141"/>
      <c r="H1235" s="141"/>
    </row>
    <row r="1236" spans="3:8">
      <c r="C1236" s="141"/>
      <c r="D1236" s="141"/>
      <c r="E1236" s="141"/>
      <c r="F1236" s="141"/>
      <c r="G1236" s="141"/>
      <c r="H1236" s="141"/>
    </row>
    <row r="1237" spans="3:8">
      <c r="C1237" s="141"/>
      <c r="D1237" s="141"/>
      <c r="E1237" s="141"/>
      <c r="F1237" s="141"/>
      <c r="G1237" s="141"/>
      <c r="H1237" s="141"/>
    </row>
    <row r="1238" spans="3:8">
      <c r="C1238" s="141"/>
      <c r="D1238" s="141"/>
      <c r="E1238" s="141"/>
      <c r="F1238" s="141"/>
      <c r="G1238" s="141"/>
      <c r="H1238" s="141"/>
    </row>
    <row r="1239" spans="3:8">
      <c r="C1239" s="141"/>
      <c r="D1239" s="141"/>
      <c r="E1239" s="141"/>
      <c r="F1239" s="141"/>
      <c r="G1239" s="141"/>
      <c r="H1239" s="141"/>
    </row>
    <row r="1240" spans="3:8">
      <c r="C1240" s="141"/>
      <c r="D1240" s="141"/>
      <c r="E1240" s="141"/>
      <c r="F1240" s="141"/>
      <c r="G1240" s="141"/>
      <c r="H1240" s="141"/>
    </row>
    <row r="1241" spans="3:8">
      <c r="C1241" s="141"/>
      <c r="D1241" s="141"/>
      <c r="E1241" s="141"/>
      <c r="F1241" s="141"/>
      <c r="G1241" s="141"/>
      <c r="H1241" s="141"/>
    </row>
    <row r="1242" spans="3:8">
      <c r="C1242" s="141"/>
      <c r="D1242" s="141"/>
      <c r="E1242" s="141"/>
      <c r="F1242" s="141"/>
      <c r="G1242" s="141"/>
      <c r="H1242" s="141"/>
    </row>
    <row r="1243" spans="3:8">
      <c r="C1243" s="141"/>
      <c r="D1243" s="141"/>
      <c r="E1243" s="141"/>
      <c r="F1243" s="141"/>
      <c r="G1243" s="141"/>
      <c r="H1243" s="141"/>
    </row>
    <row r="1244" spans="3:8">
      <c r="C1244" s="141"/>
      <c r="D1244" s="141"/>
      <c r="E1244" s="141"/>
      <c r="F1244" s="141"/>
      <c r="G1244" s="141"/>
      <c r="H1244" s="141"/>
    </row>
    <row r="1245" spans="3:8">
      <c r="C1245" s="141"/>
      <c r="D1245" s="141"/>
      <c r="E1245" s="141"/>
      <c r="F1245" s="141"/>
      <c r="G1245" s="141"/>
      <c r="H1245" s="141"/>
    </row>
    <row r="1246" spans="3:8">
      <c r="C1246" s="141"/>
      <c r="D1246" s="141"/>
      <c r="E1246" s="141"/>
      <c r="F1246" s="141"/>
      <c r="G1246" s="141"/>
      <c r="H1246" s="141"/>
    </row>
    <row r="1247" spans="3:8">
      <c r="C1247" s="141"/>
      <c r="D1247" s="141"/>
      <c r="E1247" s="141"/>
      <c r="F1247" s="141"/>
      <c r="G1247" s="141"/>
      <c r="H1247" s="141"/>
    </row>
    <row r="1248" spans="3:8">
      <c r="C1248" s="141"/>
      <c r="D1248" s="141"/>
      <c r="E1248" s="141"/>
      <c r="F1248" s="141"/>
      <c r="G1248" s="141"/>
      <c r="H1248" s="141"/>
    </row>
    <row r="1249" spans="3:8">
      <c r="C1249" s="141"/>
      <c r="D1249" s="141"/>
      <c r="E1249" s="141"/>
      <c r="F1249" s="141"/>
      <c r="G1249" s="141"/>
      <c r="H1249" s="141"/>
    </row>
    <row r="1250" spans="3:8">
      <c r="C1250" s="141"/>
      <c r="D1250" s="141"/>
      <c r="E1250" s="141"/>
      <c r="F1250" s="141"/>
      <c r="G1250" s="141"/>
      <c r="H1250" s="141"/>
    </row>
    <row r="1251" spans="3:8">
      <c r="C1251" s="141"/>
      <c r="D1251" s="141"/>
      <c r="E1251" s="141"/>
      <c r="F1251" s="141"/>
      <c r="G1251" s="141"/>
      <c r="H1251" s="141"/>
    </row>
    <row r="1252" spans="3:8">
      <c r="C1252" s="141"/>
      <c r="D1252" s="141"/>
      <c r="E1252" s="141"/>
      <c r="F1252" s="141"/>
      <c r="G1252" s="141"/>
      <c r="H1252" s="141"/>
    </row>
    <row r="1253" spans="3:8">
      <c r="C1253" s="141"/>
      <c r="D1253" s="141"/>
      <c r="E1253" s="141"/>
      <c r="F1253" s="141"/>
      <c r="G1253" s="141"/>
      <c r="H1253" s="141"/>
    </row>
    <row r="1254" spans="3:8">
      <c r="C1254" s="141"/>
      <c r="D1254" s="141"/>
      <c r="E1254" s="141"/>
      <c r="F1254" s="141"/>
      <c r="G1254" s="141"/>
      <c r="H1254" s="141"/>
    </row>
    <row r="1255" spans="3:8">
      <c r="C1255" s="141"/>
      <c r="D1255" s="141"/>
      <c r="E1255" s="141"/>
      <c r="F1255" s="141"/>
      <c r="G1255" s="141"/>
      <c r="H1255" s="141"/>
    </row>
    <row r="1256" spans="3:8">
      <c r="C1256" s="141"/>
      <c r="D1256" s="141"/>
      <c r="E1256" s="141"/>
      <c r="F1256" s="141"/>
      <c r="G1256" s="141"/>
      <c r="H1256" s="141"/>
    </row>
    <row r="1257" spans="3:8">
      <c r="C1257" s="141"/>
      <c r="D1257" s="141"/>
      <c r="E1257" s="141"/>
      <c r="F1257" s="141"/>
      <c r="G1257" s="141"/>
      <c r="H1257" s="141"/>
    </row>
    <row r="1258" spans="3:8">
      <c r="C1258" s="141"/>
      <c r="D1258" s="141"/>
      <c r="E1258" s="141"/>
      <c r="F1258" s="141"/>
      <c r="G1258" s="141"/>
      <c r="H1258" s="141"/>
    </row>
    <row r="1259" spans="3:8">
      <c r="C1259" s="141"/>
      <c r="D1259" s="141"/>
      <c r="E1259" s="141"/>
      <c r="F1259" s="141"/>
      <c r="G1259" s="141"/>
      <c r="H1259" s="141"/>
    </row>
    <row r="1260" spans="3:8">
      <c r="C1260" s="141"/>
      <c r="D1260" s="141"/>
      <c r="E1260" s="141"/>
      <c r="F1260" s="141"/>
      <c r="G1260" s="141"/>
      <c r="H1260" s="141"/>
    </row>
    <row r="1261" spans="3:8">
      <c r="C1261" s="141"/>
      <c r="D1261" s="141"/>
      <c r="E1261" s="141"/>
      <c r="F1261" s="141"/>
      <c r="G1261" s="141"/>
      <c r="H1261" s="141"/>
    </row>
    <row r="1262" spans="3:8">
      <c r="C1262" s="141"/>
      <c r="D1262" s="141"/>
      <c r="E1262" s="141"/>
      <c r="F1262" s="141"/>
      <c r="G1262" s="141"/>
      <c r="H1262" s="141"/>
    </row>
    <row r="1263" spans="3:8">
      <c r="C1263" s="141"/>
      <c r="D1263" s="141"/>
      <c r="E1263" s="141"/>
      <c r="F1263" s="141"/>
      <c r="G1263" s="141"/>
      <c r="H1263" s="141"/>
    </row>
    <row r="1264" spans="3:8">
      <c r="C1264" s="141"/>
      <c r="D1264" s="141"/>
      <c r="E1264" s="141"/>
      <c r="F1264" s="141"/>
      <c r="G1264" s="141"/>
      <c r="H1264" s="141"/>
    </row>
    <row r="1265" spans="3:8">
      <c r="C1265" s="141"/>
      <c r="D1265" s="141"/>
      <c r="E1265" s="141"/>
      <c r="F1265" s="141"/>
      <c r="G1265" s="141"/>
      <c r="H1265" s="141"/>
    </row>
    <row r="1266" spans="3:8">
      <c r="C1266" s="141"/>
      <c r="D1266" s="141"/>
      <c r="E1266" s="141"/>
      <c r="F1266" s="141"/>
      <c r="G1266" s="141"/>
      <c r="H1266" s="141"/>
    </row>
    <row r="1267" spans="3:8">
      <c r="C1267" s="141"/>
      <c r="D1267" s="141"/>
      <c r="E1267" s="141"/>
      <c r="F1267" s="141"/>
      <c r="G1267" s="141"/>
      <c r="H1267" s="141"/>
    </row>
    <row r="1268" spans="3:8">
      <c r="C1268" s="141"/>
      <c r="D1268" s="141"/>
      <c r="E1268" s="141"/>
      <c r="F1268" s="141"/>
      <c r="G1268" s="141"/>
      <c r="H1268" s="141"/>
    </row>
    <row r="1269" spans="3:8">
      <c r="C1269" s="141"/>
      <c r="D1269" s="141"/>
      <c r="E1269" s="141"/>
      <c r="F1269" s="141"/>
      <c r="G1269" s="141"/>
      <c r="H1269" s="141"/>
    </row>
    <row r="1270" spans="3:8">
      <c r="C1270" s="141"/>
      <c r="D1270" s="141"/>
      <c r="E1270" s="141"/>
      <c r="F1270" s="141"/>
      <c r="G1270" s="141"/>
      <c r="H1270" s="141"/>
    </row>
    <row r="1271" spans="3:8">
      <c r="C1271" s="141"/>
      <c r="D1271" s="141"/>
      <c r="E1271" s="141"/>
      <c r="F1271" s="141"/>
      <c r="G1271" s="141"/>
      <c r="H1271" s="141"/>
    </row>
    <row r="1272" spans="3:8">
      <c r="C1272" s="141"/>
      <c r="D1272" s="141"/>
      <c r="E1272" s="141"/>
      <c r="F1272" s="141"/>
      <c r="G1272" s="141"/>
      <c r="H1272" s="141"/>
    </row>
    <row r="1273" spans="3:8">
      <c r="C1273" s="141"/>
      <c r="D1273" s="141"/>
      <c r="E1273" s="141"/>
      <c r="F1273" s="141"/>
      <c r="G1273" s="141"/>
      <c r="H1273" s="141"/>
    </row>
    <row r="1274" spans="3:8">
      <c r="C1274" s="141"/>
      <c r="D1274" s="141"/>
      <c r="E1274" s="141"/>
      <c r="F1274" s="141"/>
      <c r="G1274" s="141"/>
      <c r="H1274" s="141"/>
    </row>
    <row r="1275" spans="3:8">
      <c r="C1275" s="141"/>
      <c r="D1275" s="141"/>
      <c r="E1275" s="141"/>
      <c r="F1275" s="141"/>
      <c r="G1275" s="141"/>
      <c r="H1275" s="141"/>
    </row>
    <row r="1276" spans="3:8">
      <c r="C1276" s="141"/>
      <c r="D1276" s="141"/>
      <c r="E1276" s="141"/>
      <c r="F1276" s="141"/>
      <c r="G1276" s="141"/>
      <c r="H1276" s="141"/>
    </row>
    <row r="1277" spans="3:8">
      <c r="C1277" s="141"/>
      <c r="D1277" s="141"/>
      <c r="E1277" s="141"/>
      <c r="F1277" s="141"/>
      <c r="G1277" s="141"/>
      <c r="H1277" s="141"/>
    </row>
    <row r="1278" spans="3:8">
      <c r="C1278" s="141"/>
      <c r="D1278" s="141"/>
      <c r="E1278" s="141"/>
      <c r="F1278" s="141"/>
      <c r="G1278" s="141"/>
      <c r="H1278" s="141"/>
    </row>
    <row r="1279" spans="3:8">
      <c r="C1279" s="141"/>
      <c r="D1279" s="141"/>
      <c r="E1279" s="141"/>
      <c r="F1279" s="141"/>
      <c r="G1279" s="141"/>
      <c r="H1279" s="141"/>
    </row>
    <row r="1280" spans="3:8">
      <c r="C1280" s="141"/>
      <c r="D1280" s="141"/>
      <c r="E1280" s="141"/>
      <c r="F1280" s="141"/>
      <c r="G1280" s="141"/>
      <c r="H1280" s="141"/>
    </row>
    <row r="1281" spans="3:8">
      <c r="C1281" s="141"/>
      <c r="D1281" s="141"/>
      <c r="E1281" s="141"/>
      <c r="F1281" s="141"/>
      <c r="G1281" s="141"/>
      <c r="H1281" s="141"/>
    </row>
    <row r="1282" spans="3:8">
      <c r="C1282" s="141"/>
      <c r="D1282" s="141"/>
      <c r="E1282" s="141"/>
      <c r="F1282" s="141"/>
      <c r="G1282" s="141"/>
      <c r="H1282" s="141"/>
    </row>
    <row r="1283" spans="3:8">
      <c r="C1283" s="141"/>
      <c r="D1283" s="141"/>
      <c r="E1283" s="141"/>
      <c r="F1283" s="141"/>
      <c r="G1283" s="141"/>
      <c r="H1283" s="141"/>
    </row>
    <row r="1284" spans="3:8">
      <c r="C1284" s="141"/>
      <c r="D1284" s="141"/>
      <c r="E1284" s="141"/>
      <c r="F1284" s="141"/>
      <c r="G1284" s="141"/>
      <c r="H1284" s="141"/>
    </row>
    <row r="1285" spans="3:8">
      <c r="C1285" s="141"/>
      <c r="D1285" s="141"/>
      <c r="E1285" s="141"/>
      <c r="F1285" s="141"/>
      <c r="G1285" s="141"/>
      <c r="H1285" s="141"/>
    </row>
    <row r="1286" spans="3:8">
      <c r="C1286" s="141"/>
      <c r="D1286" s="141"/>
      <c r="E1286" s="141"/>
      <c r="F1286" s="141"/>
      <c r="G1286" s="141"/>
      <c r="H1286" s="141"/>
    </row>
    <row r="1287" spans="3:8">
      <c r="C1287" s="141"/>
      <c r="D1287" s="141"/>
      <c r="E1287" s="141"/>
      <c r="F1287" s="141"/>
      <c r="G1287" s="141"/>
      <c r="H1287" s="141"/>
    </row>
    <row r="1288" spans="3:8">
      <c r="C1288" s="141"/>
      <c r="D1288" s="141"/>
      <c r="E1288" s="141"/>
      <c r="F1288" s="141"/>
      <c r="G1288" s="141"/>
      <c r="H1288" s="141"/>
    </row>
    <row r="1289" spans="3:8">
      <c r="C1289" s="141"/>
      <c r="D1289" s="141"/>
      <c r="E1289" s="141"/>
      <c r="F1289" s="141"/>
      <c r="G1289" s="141"/>
      <c r="H1289" s="141"/>
    </row>
    <row r="1290" spans="3:8">
      <c r="C1290" s="141"/>
      <c r="D1290" s="141"/>
      <c r="E1290" s="141"/>
      <c r="F1290" s="141"/>
      <c r="G1290" s="141"/>
      <c r="H1290" s="141"/>
    </row>
    <row r="1291" spans="3:8">
      <c r="C1291" s="141"/>
      <c r="D1291" s="141"/>
      <c r="E1291" s="141"/>
      <c r="F1291" s="141"/>
      <c r="G1291" s="141"/>
      <c r="H1291" s="141"/>
    </row>
    <row r="1292" spans="3:8">
      <c r="C1292" s="141"/>
      <c r="D1292" s="141"/>
      <c r="E1292" s="141"/>
      <c r="F1292" s="141"/>
      <c r="G1292" s="141"/>
      <c r="H1292" s="141"/>
    </row>
    <row r="1293" spans="3:8">
      <c r="C1293" s="141"/>
      <c r="D1293" s="141"/>
      <c r="E1293" s="141"/>
      <c r="F1293" s="141"/>
      <c r="G1293" s="141"/>
      <c r="H1293" s="141"/>
    </row>
    <row r="1294" spans="3:8">
      <c r="C1294" s="141"/>
      <c r="D1294" s="141"/>
      <c r="E1294" s="141"/>
      <c r="F1294" s="141"/>
      <c r="G1294" s="141"/>
      <c r="H1294" s="141"/>
    </row>
    <row r="1295" spans="3:8">
      <c r="C1295" s="141"/>
      <c r="D1295" s="141"/>
      <c r="E1295" s="141"/>
      <c r="F1295" s="141"/>
      <c r="G1295" s="141"/>
      <c r="H1295" s="141"/>
    </row>
    <row r="1296" spans="3:8">
      <c r="C1296" s="141"/>
      <c r="D1296" s="141"/>
      <c r="E1296" s="141"/>
      <c r="F1296" s="141"/>
      <c r="G1296" s="141"/>
      <c r="H1296" s="141"/>
    </row>
    <row r="1297" spans="3:8">
      <c r="C1297" s="141"/>
      <c r="D1297" s="141"/>
      <c r="E1297" s="141"/>
      <c r="F1297" s="141"/>
      <c r="G1297" s="141"/>
      <c r="H1297" s="141"/>
    </row>
    <row r="1298" spans="3:8">
      <c r="C1298" s="141"/>
      <c r="D1298" s="141"/>
      <c r="E1298" s="141"/>
      <c r="F1298" s="141"/>
      <c r="G1298" s="141"/>
      <c r="H1298" s="141"/>
    </row>
    <row r="1299" spans="3:8">
      <c r="C1299" s="141"/>
      <c r="D1299" s="141"/>
      <c r="E1299" s="141"/>
      <c r="F1299" s="141"/>
      <c r="G1299" s="141"/>
      <c r="H1299" s="141"/>
    </row>
    <row r="1300" spans="3:8">
      <c r="C1300" s="141"/>
      <c r="D1300" s="141"/>
      <c r="E1300" s="141"/>
      <c r="F1300" s="141"/>
      <c r="G1300" s="141"/>
      <c r="H1300" s="141"/>
    </row>
    <row r="1301" spans="3:8">
      <c r="C1301" s="141"/>
      <c r="D1301" s="141"/>
      <c r="E1301" s="141"/>
      <c r="F1301" s="141"/>
      <c r="G1301" s="141"/>
      <c r="H1301" s="141"/>
    </row>
    <row r="1302" spans="3:8">
      <c r="C1302" s="141"/>
      <c r="D1302" s="141"/>
      <c r="E1302" s="141"/>
      <c r="F1302" s="141"/>
      <c r="G1302" s="141"/>
      <c r="H1302" s="141"/>
    </row>
    <row r="1303" spans="3:8">
      <c r="C1303" s="141"/>
      <c r="D1303" s="141"/>
      <c r="E1303" s="141"/>
      <c r="F1303" s="141"/>
      <c r="G1303" s="141"/>
      <c r="H1303" s="141"/>
    </row>
    <row r="1304" spans="3:8">
      <c r="C1304" s="141"/>
      <c r="D1304" s="141"/>
      <c r="E1304" s="141"/>
      <c r="F1304" s="141"/>
      <c r="G1304" s="141"/>
      <c r="H1304" s="141"/>
    </row>
    <row r="1305" spans="3:8">
      <c r="C1305" s="141"/>
      <c r="D1305" s="141"/>
      <c r="E1305" s="141"/>
      <c r="F1305" s="141"/>
      <c r="G1305" s="141"/>
      <c r="H1305" s="141"/>
    </row>
    <row r="1306" spans="3:8">
      <c r="C1306" s="141"/>
      <c r="D1306" s="141"/>
      <c r="E1306" s="141"/>
      <c r="F1306" s="141"/>
      <c r="G1306" s="141"/>
      <c r="H1306" s="141"/>
    </row>
    <row r="1307" spans="3:8">
      <c r="C1307" s="141"/>
      <c r="D1307" s="141"/>
      <c r="E1307" s="141"/>
      <c r="F1307" s="141"/>
      <c r="G1307" s="141"/>
      <c r="H1307" s="141"/>
    </row>
    <row r="1308" spans="3:8">
      <c r="C1308" s="141"/>
      <c r="D1308" s="141"/>
      <c r="E1308" s="141"/>
      <c r="F1308" s="141"/>
      <c r="G1308" s="141"/>
      <c r="H1308" s="141"/>
    </row>
    <row r="1309" spans="3:8">
      <c r="C1309" s="141"/>
      <c r="D1309" s="141"/>
      <c r="E1309" s="141"/>
      <c r="F1309" s="141"/>
      <c r="G1309" s="141"/>
      <c r="H1309" s="141"/>
    </row>
    <row r="1310" spans="3:8">
      <c r="C1310" s="141"/>
      <c r="D1310" s="141"/>
      <c r="E1310" s="141"/>
      <c r="F1310" s="141"/>
      <c r="G1310" s="141"/>
      <c r="H1310" s="141"/>
    </row>
    <row r="1311" spans="3:8">
      <c r="C1311" s="141"/>
      <c r="D1311" s="141"/>
      <c r="E1311" s="141"/>
      <c r="F1311" s="141"/>
      <c r="G1311" s="141"/>
      <c r="H1311" s="141"/>
    </row>
    <row r="1312" spans="3:8">
      <c r="C1312" s="141"/>
      <c r="D1312" s="141"/>
      <c r="E1312" s="141"/>
      <c r="F1312" s="141"/>
      <c r="G1312" s="141"/>
      <c r="H1312" s="141"/>
    </row>
    <row r="1313" spans="3:8">
      <c r="C1313" s="141"/>
      <c r="D1313" s="141"/>
      <c r="E1313" s="141"/>
      <c r="F1313" s="141"/>
      <c r="G1313" s="141"/>
      <c r="H1313" s="141"/>
    </row>
    <row r="1314" spans="3:8">
      <c r="C1314" s="141"/>
      <c r="D1314" s="141"/>
      <c r="E1314" s="141"/>
      <c r="F1314" s="141"/>
      <c r="G1314" s="141"/>
      <c r="H1314" s="141"/>
    </row>
    <row r="1315" spans="3:8">
      <c r="C1315" s="141"/>
      <c r="D1315" s="141"/>
      <c r="E1315" s="141"/>
      <c r="F1315" s="141"/>
      <c r="G1315" s="141"/>
      <c r="H1315" s="141"/>
    </row>
    <row r="1316" spans="3:8">
      <c r="C1316" s="141"/>
      <c r="D1316" s="141"/>
      <c r="E1316" s="141"/>
      <c r="F1316" s="141"/>
      <c r="G1316" s="141"/>
      <c r="H1316" s="141"/>
    </row>
    <row r="1317" spans="3:8">
      <c r="C1317" s="141"/>
      <c r="D1317" s="141"/>
      <c r="E1317" s="141"/>
      <c r="F1317" s="141"/>
      <c r="G1317" s="141"/>
      <c r="H1317" s="141"/>
    </row>
    <row r="1318" spans="3:8">
      <c r="C1318" s="141"/>
      <c r="D1318" s="141"/>
      <c r="E1318" s="141"/>
      <c r="F1318" s="141"/>
      <c r="G1318" s="141"/>
      <c r="H1318" s="141"/>
    </row>
    <row r="1319" spans="3:8">
      <c r="C1319" s="141"/>
      <c r="D1319" s="141"/>
      <c r="E1319" s="141"/>
      <c r="F1319" s="141"/>
      <c r="G1319" s="141"/>
      <c r="H1319" s="141"/>
    </row>
    <row r="1320" spans="3:8">
      <c r="C1320" s="141"/>
      <c r="D1320" s="141"/>
      <c r="E1320" s="141"/>
      <c r="F1320" s="141"/>
      <c r="G1320" s="141"/>
      <c r="H1320" s="141"/>
    </row>
    <row r="1321" spans="3:8">
      <c r="C1321" s="141"/>
      <c r="D1321" s="141"/>
      <c r="E1321" s="141"/>
      <c r="F1321" s="141"/>
      <c r="G1321" s="141"/>
      <c r="H1321" s="141"/>
    </row>
    <row r="1322" spans="3:8">
      <c r="C1322" s="141"/>
      <c r="D1322" s="141"/>
      <c r="E1322" s="141"/>
      <c r="F1322" s="141"/>
      <c r="G1322" s="141"/>
      <c r="H1322" s="141"/>
    </row>
    <row r="1323" spans="3:8">
      <c r="C1323" s="141"/>
      <c r="D1323" s="141"/>
      <c r="E1323" s="141"/>
      <c r="F1323" s="141"/>
      <c r="G1323" s="141"/>
      <c r="H1323" s="141"/>
    </row>
    <row r="1324" spans="3:8">
      <c r="C1324" s="141"/>
      <c r="D1324" s="141"/>
      <c r="E1324" s="141"/>
      <c r="F1324" s="141"/>
      <c r="G1324" s="141"/>
      <c r="H1324" s="141"/>
    </row>
    <row r="1325" spans="3:8">
      <c r="C1325" s="141"/>
      <c r="D1325" s="141"/>
      <c r="E1325" s="141"/>
      <c r="F1325" s="141"/>
      <c r="G1325" s="141"/>
      <c r="H1325" s="141"/>
    </row>
    <row r="1326" spans="3:8">
      <c r="C1326" s="141"/>
      <c r="D1326" s="141"/>
      <c r="E1326" s="141"/>
      <c r="F1326" s="141"/>
      <c r="G1326" s="141"/>
      <c r="H1326" s="141"/>
    </row>
    <row r="1327" spans="3:8">
      <c r="C1327" s="141"/>
      <c r="D1327" s="141"/>
      <c r="E1327" s="141"/>
      <c r="F1327" s="141"/>
      <c r="G1327" s="141"/>
      <c r="H1327" s="141"/>
    </row>
    <row r="1328" spans="3:8">
      <c r="C1328" s="141"/>
      <c r="D1328" s="141"/>
      <c r="E1328" s="141"/>
      <c r="F1328" s="141"/>
      <c r="G1328" s="141"/>
      <c r="H1328" s="141"/>
    </row>
    <row r="1329" spans="3:8">
      <c r="C1329" s="141"/>
      <c r="D1329" s="141"/>
      <c r="E1329" s="141"/>
      <c r="F1329" s="141"/>
      <c r="G1329" s="141"/>
      <c r="H1329" s="141"/>
    </row>
    <row r="1330" spans="3:8">
      <c r="C1330" s="141"/>
      <c r="D1330" s="141"/>
      <c r="E1330" s="141"/>
      <c r="F1330" s="141"/>
      <c r="G1330" s="141"/>
      <c r="H1330" s="141"/>
    </row>
    <row r="1331" spans="3:8">
      <c r="C1331" s="141"/>
      <c r="D1331" s="141"/>
      <c r="E1331" s="141"/>
      <c r="F1331" s="141"/>
      <c r="G1331" s="141"/>
      <c r="H1331" s="141"/>
    </row>
    <row r="1332" spans="3:8">
      <c r="C1332" s="141"/>
      <c r="D1332" s="141"/>
      <c r="E1332" s="141"/>
      <c r="F1332" s="141"/>
      <c r="G1332" s="141"/>
      <c r="H1332" s="141"/>
    </row>
    <row r="1333" spans="3:8">
      <c r="C1333" s="141"/>
      <c r="D1333" s="141"/>
      <c r="E1333" s="141"/>
      <c r="F1333" s="141"/>
      <c r="G1333" s="141"/>
      <c r="H1333" s="141"/>
    </row>
    <row r="1334" spans="3:8">
      <c r="C1334" s="141"/>
      <c r="D1334" s="141"/>
      <c r="E1334" s="141"/>
      <c r="F1334" s="141"/>
      <c r="G1334" s="141"/>
      <c r="H1334" s="141"/>
    </row>
    <row r="1335" spans="3:8">
      <c r="C1335" s="141"/>
      <c r="D1335" s="141"/>
      <c r="E1335" s="141"/>
      <c r="F1335" s="141"/>
      <c r="G1335" s="141"/>
      <c r="H1335" s="141"/>
    </row>
    <row r="1336" spans="3:8">
      <c r="C1336" s="141"/>
      <c r="D1336" s="141"/>
      <c r="E1336" s="141"/>
      <c r="F1336" s="141"/>
      <c r="G1336" s="141"/>
      <c r="H1336" s="141"/>
    </row>
    <row r="1337" spans="3:8">
      <c r="C1337" s="141"/>
      <c r="D1337" s="141"/>
      <c r="E1337" s="141"/>
      <c r="F1337" s="141"/>
      <c r="G1337" s="141"/>
      <c r="H1337" s="141"/>
    </row>
    <row r="1338" spans="3:8">
      <c r="C1338" s="141"/>
      <c r="D1338" s="141"/>
      <c r="E1338" s="141"/>
      <c r="F1338" s="141"/>
      <c r="G1338" s="141"/>
      <c r="H1338" s="141"/>
    </row>
    <row r="1339" spans="3:8">
      <c r="C1339" s="141"/>
      <c r="D1339" s="141"/>
      <c r="E1339" s="141"/>
      <c r="F1339" s="141"/>
      <c r="G1339" s="141"/>
      <c r="H1339" s="141"/>
    </row>
    <row r="1340" spans="3:8">
      <c r="C1340" s="141"/>
      <c r="D1340" s="141"/>
      <c r="E1340" s="141"/>
      <c r="F1340" s="141"/>
      <c r="G1340" s="141"/>
      <c r="H1340" s="141"/>
    </row>
    <row r="1341" spans="3:8">
      <c r="C1341" s="141"/>
      <c r="D1341" s="141"/>
      <c r="E1341" s="141"/>
      <c r="F1341" s="141"/>
      <c r="G1341" s="141"/>
      <c r="H1341" s="141"/>
    </row>
    <row r="1342" spans="3:8">
      <c r="C1342" s="141"/>
      <c r="D1342" s="141"/>
      <c r="E1342" s="141"/>
      <c r="F1342" s="141"/>
      <c r="G1342" s="141"/>
      <c r="H1342" s="141"/>
    </row>
    <row r="1343" spans="3:8">
      <c r="C1343" s="141"/>
      <c r="D1343" s="141"/>
      <c r="E1343" s="141"/>
      <c r="F1343" s="141"/>
      <c r="G1343" s="141"/>
      <c r="H1343" s="141"/>
    </row>
    <row r="1344" spans="3:8">
      <c r="C1344" s="141"/>
      <c r="D1344" s="141"/>
      <c r="E1344" s="141"/>
      <c r="F1344" s="141"/>
      <c r="G1344" s="141"/>
      <c r="H1344" s="141"/>
    </row>
    <row r="1345" spans="3:8">
      <c r="C1345" s="141"/>
      <c r="D1345" s="141"/>
      <c r="E1345" s="141"/>
      <c r="F1345" s="141"/>
      <c r="G1345" s="141"/>
      <c r="H1345" s="141"/>
    </row>
    <row r="1346" spans="3:8">
      <c r="C1346" s="141"/>
      <c r="D1346" s="141"/>
      <c r="E1346" s="141"/>
      <c r="F1346" s="141"/>
      <c r="G1346" s="141"/>
      <c r="H1346" s="141"/>
    </row>
    <row r="1347" spans="3:8">
      <c r="C1347" s="141"/>
      <c r="D1347" s="141"/>
      <c r="E1347" s="141"/>
      <c r="F1347" s="141"/>
      <c r="G1347" s="141"/>
      <c r="H1347" s="141"/>
    </row>
    <row r="1348" spans="3:8">
      <c r="C1348" s="141"/>
      <c r="D1348" s="141"/>
      <c r="E1348" s="141"/>
      <c r="F1348" s="141"/>
      <c r="G1348" s="141"/>
      <c r="H1348" s="141"/>
    </row>
    <row r="1349" spans="3:8">
      <c r="C1349" s="141"/>
      <c r="D1349" s="141"/>
      <c r="E1349" s="141"/>
      <c r="F1349" s="141"/>
      <c r="G1349" s="141"/>
      <c r="H1349" s="141"/>
    </row>
    <row r="1350" spans="3:8">
      <c r="C1350" s="141"/>
      <c r="D1350" s="141"/>
      <c r="E1350" s="141"/>
      <c r="F1350" s="141"/>
      <c r="G1350" s="141"/>
      <c r="H1350" s="141"/>
    </row>
    <row r="1351" spans="3:8">
      <c r="C1351" s="141"/>
      <c r="D1351" s="141"/>
      <c r="E1351" s="141"/>
      <c r="F1351" s="141"/>
      <c r="G1351" s="141"/>
      <c r="H1351" s="141"/>
    </row>
    <row r="1352" spans="3:8">
      <c r="C1352" s="141"/>
      <c r="D1352" s="141"/>
      <c r="E1352" s="141"/>
      <c r="F1352" s="141"/>
      <c r="G1352" s="141"/>
      <c r="H1352" s="141"/>
    </row>
    <row r="1353" spans="3:8">
      <c r="C1353" s="141"/>
      <c r="D1353" s="141"/>
      <c r="E1353" s="141"/>
      <c r="F1353" s="141"/>
      <c r="G1353" s="141"/>
      <c r="H1353" s="141"/>
    </row>
    <row r="1354" spans="3:8">
      <c r="C1354" s="141"/>
      <c r="D1354" s="141"/>
      <c r="E1354" s="141"/>
      <c r="F1354" s="141"/>
      <c r="G1354" s="141"/>
      <c r="H1354" s="141"/>
    </row>
    <row r="1355" spans="3:8">
      <c r="C1355" s="141"/>
      <c r="D1355" s="141"/>
      <c r="E1355" s="141"/>
      <c r="F1355" s="141"/>
      <c r="G1355" s="141"/>
      <c r="H1355" s="141"/>
    </row>
    <row r="1356" spans="3:8">
      <c r="C1356" s="141"/>
      <c r="D1356" s="141"/>
      <c r="E1356" s="141"/>
      <c r="F1356" s="141"/>
      <c r="G1356" s="141"/>
      <c r="H1356" s="141"/>
    </row>
    <row r="1357" spans="3:8">
      <c r="C1357" s="141"/>
      <c r="D1357" s="141"/>
      <c r="E1357" s="141"/>
      <c r="F1357" s="141"/>
      <c r="G1357" s="141"/>
      <c r="H1357" s="141"/>
    </row>
    <row r="1358" spans="3:8">
      <c r="C1358" s="141"/>
      <c r="D1358" s="141"/>
      <c r="E1358" s="141"/>
      <c r="F1358" s="141"/>
      <c r="G1358" s="141"/>
      <c r="H1358" s="141"/>
    </row>
    <row r="1359" spans="3:8">
      <c r="C1359" s="141"/>
      <c r="D1359" s="141"/>
      <c r="E1359" s="141"/>
      <c r="F1359" s="141"/>
      <c r="G1359" s="141"/>
      <c r="H1359" s="141"/>
    </row>
    <row r="1360" spans="3:8">
      <c r="C1360" s="141"/>
      <c r="D1360" s="141"/>
      <c r="E1360" s="141"/>
      <c r="F1360" s="141"/>
      <c r="G1360" s="141"/>
      <c r="H1360" s="141"/>
    </row>
    <row r="1361" spans="3:8">
      <c r="C1361" s="141"/>
      <c r="D1361" s="141"/>
      <c r="E1361" s="141"/>
      <c r="F1361" s="141"/>
      <c r="G1361" s="141"/>
      <c r="H1361" s="141"/>
    </row>
    <row r="1362" spans="3:8">
      <c r="C1362" s="141"/>
      <c r="D1362" s="141"/>
      <c r="E1362" s="141"/>
      <c r="F1362" s="141"/>
      <c r="G1362" s="141"/>
      <c r="H1362" s="141"/>
    </row>
    <row r="1363" spans="3:8">
      <c r="C1363" s="141"/>
      <c r="D1363" s="141"/>
      <c r="E1363" s="141"/>
      <c r="F1363" s="141"/>
      <c r="G1363" s="141"/>
      <c r="H1363" s="141"/>
    </row>
    <row r="1364" spans="3:8">
      <c r="C1364" s="141"/>
      <c r="D1364" s="141"/>
      <c r="E1364" s="141"/>
      <c r="F1364" s="141"/>
      <c r="G1364" s="141"/>
      <c r="H1364" s="141"/>
    </row>
    <row r="1365" spans="3:8">
      <c r="C1365" s="141"/>
      <c r="D1365" s="141"/>
      <c r="E1365" s="141"/>
      <c r="F1365" s="141"/>
      <c r="G1365" s="141"/>
      <c r="H1365" s="141"/>
    </row>
    <row r="1366" spans="3:8">
      <c r="C1366" s="141"/>
      <c r="D1366" s="141"/>
      <c r="E1366" s="141"/>
      <c r="F1366" s="141"/>
      <c r="G1366" s="141"/>
      <c r="H1366" s="141"/>
    </row>
    <row r="1367" spans="3:8">
      <c r="C1367" s="141"/>
      <c r="D1367" s="141"/>
      <c r="E1367" s="141"/>
      <c r="F1367" s="141"/>
      <c r="G1367" s="141"/>
      <c r="H1367" s="141"/>
    </row>
    <row r="1368" spans="3:8">
      <c r="C1368" s="141"/>
      <c r="D1368" s="141"/>
      <c r="E1368" s="141"/>
      <c r="F1368" s="141"/>
      <c r="G1368" s="141"/>
      <c r="H1368" s="141"/>
    </row>
    <row r="1369" spans="3:8">
      <c r="C1369" s="141"/>
      <c r="D1369" s="141"/>
      <c r="E1369" s="141"/>
      <c r="F1369" s="141"/>
      <c r="G1369" s="141"/>
      <c r="H1369" s="141"/>
    </row>
    <row r="1370" spans="3:8">
      <c r="C1370" s="141"/>
      <c r="D1370" s="141"/>
      <c r="E1370" s="141"/>
      <c r="F1370" s="141"/>
      <c r="G1370" s="141"/>
      <c r="H1370" s="141"/>
    </row>
    <row r="1371" spans="3:8">
      <c r="C1371" s="141"/>
      <c r="D1371" s="141"/>
      <c r="E1371" s="141"/>
      <c r="F1371" s="141"/>
      <c r="G1371" s="141"/>
      <c r="H1371" s="141"/>
    </row>
    <row r="1372" spans="3:8">
      <c r="C1372" s="141"/>
      <c r="D1372" s="141"/>
      <c r="E1372" s="141"/>
      <c r="F1372" s="141"/>
      <c r="G1372" s="141"/>
      <c r="H1372" s="141"/>
    </row>
    <row r="1373" spans="3:8">
      <c r="C1373" s="141"/>
      <c r="D1373" s="141"/>
      <c r="E1373" s="141"/>
      <c r="F1373" s="141"/>
      <c r="G1373" s="141"/>
      <c r="H1373" s="141"/>
    </row>
    <row r="1374" spans="3:8">
      <c r="C1374" s="141"/>
      <c r="D1374" s="141"/>
      <c r="E1374" s="141"/>
      <c r="F1374" s="141"/>
      <c r="G1374" s="141"/>
      <c r="H1374" s="141"/>
    </row>
    <row r="1375" spans="3:8">
      <c r="C1375" s="141"/>
      <c r="D1375" s="141"/>
      <c r="E1375" s="141"/>
      <c r="F1375" s="141"/>
      <c r="G1375" s="141"/>
      <c r="H1375" s="141"/>
    </row>
    <row r="1376" spans="3:8">
      <c r="C1376" s="141"/>
      <c r="D1376" s="141"/>
      <c r="E1376" s="141"/>
      <c r="F1376" s="141"/>
      <c r="G1376" s="141"/>
      <c r="H1376" s="141"/>
    </row>
    <row r="1377" spans="3:8">
      <c r="C1377" s="141"/>
      <c r="D1377" s="141"/>
      <c r="E1377" s="141"/>
      <c r="F1377" s="141"/>
      <c r="G1377" s="141"/>
      <c r="H1377" s="141"/>
    </row>
    <row r="1378" spans="3:8">
      <c r="C1378" s="141"/>
      <c r="D1378" s="141"/>
      <c r="E1378" s="141"/>
      <c r="F1378" s="141"/>
      <c r="G1378" s="141"/>
      <c r="H1378" s="141"/>
    </row>
    <row r="1379" spans="3:8">
      <c r="C1379" s="141"/>
      <c r="D1379" s="141"/>
      <c r="E1379" s="141"/>
      <c r="F1379" s="141"/>
      <c r="G1379" s="141"/>
      <c r="H1379" s="141"/>
    </row>
    <row r="1380" spans="3:8">
      <c r="C1380" s="141"/>
      <c r="D1380" s="141"/>
      <c r="E1380" s="141"/>
      <c r="F1380" s="141"/>
      <c r="G1380" s="141"/>
      <c r="H1380" s="141"/>
    </row>
    <row r="1381" spans="3:8">
      <c r="C1381" s="141"/>
      <c r="D1381" s="141"/>
      <c r="E1381" s="141"/>
      <c r="F1381" s="141"/>
      <c r="G1381" s="141"/>
      <c r="H1381" s="141"/>
    </row>
    <row r="1382" spans="3:8">
      <c r="C1382" s="141"/>
      <c r="D1382" s="141"/>
      <c r="E1382" s="141"/>
      <c r="F1382" s="141"/>
      <c r="G1382" s="141"/>
      <c r="H1382" s="141"/>
    </row>
    <row r="1383" spans="3:8">
      <c r="C1383" s="141"/>
      <c r="D1383" s="141"/>
      <c r="E1383" s="141"/>
      <c r="F1383" s="141"/>
      <c r="G1383" s="141"/>
      <c r="H1383" s="141"/>
    </row>
    <row r="1384" spans="3:8">
      <c r="C1384" s="141"/>
      <c r="D1384" s="141"/>
      <c r="E1384" s="141"/>
      <c r="F1384" s="141"/>
      <c r="G1384" s="141"/>
      <c r="H1384" s="141"/>
    </row>
    <row r="1385" spans="3:8">
      <c r="C1385" s="141"/>
      <c r="D1385" s="141"/>
      <c r="E1385" s="141"/>
      <c r="F1385" s="141"/>
      <c r="G1385" s="141"/>
      <c r="H1385" s="141"/>
    </row>
    <row r="1386" spans="3:8">
      <c r="C1386" s="141"/>
      <c r="D1386" s="141"/>
      <c r="E1386" s="141"/>
      <c r="F1386" s="141"/>
      <c r="G1386" s="141"/>
      <c r="H1386" s="141"/>
    </row>
    <row r="1387" spans="3:8">
      <c r="C1387" s="141"/>
      <c r="D1387" s="141"/>
      <c r="E1387" s="141"/>
      <c r="F1387" s="141"/>
      <c r="G1387" s="141"/>
      <c r="H1387" s="141"/>
    </row>
    <row r="1388" spans="3:8">
      <c r="C1388" s="141"/>
      <c r="D1388" s="141"/>
      <c r="E1388" s="141"/>
      <c r="F1388" s="141"/>
      <c r="G1388" s="141"/>
      <c r="H1388" s="141"/>
    </row>
    <row r="1389" spans="3:8">
      <c r="C1389" s="141"/>
      <c r="D1389" s="141"/>
      <c r="E1389" s="141"/>
      <c r="F1389" s="141"/>
      <c r="G1389" s="141"/>
      <c r="H1389" s="141"/>
    </row>
    <row r="1390" spans="3:8">
      <c r="C1390" s="141"/>
      <c r="D1390" s="141"/>
      <c r="E1390" s="141"/>
      <c r="F1390" s="141"/>
      <c r="G1390" s="141"/>
      <c r="H1390" s="141"/>
    </row>
    <row r="1391" spans="3:8">
      <c r="C1391" s="141"/>
      <c r="D1391" s="141"/>
      <c r="E1391" s="141"/>
      <c r="F1391" s="141"/>
      <c r="G1391" s="141"/>
      <c r="H1391" s="141"/>
    </row>
    <row r="1392" spans="3:8">
      <c r="C1392" s="141"/>
      <c r="D1392" s="141"/>
      <c r="E1392" s="141"/>
      <c r="F1392" s="141"/>
      <c r="G1392" s="141"/>
      <c r="H1392" s="141"/>
    </row>
    <row r="1393" spans="3:8">
      <c r="C1393" s="141"/>
      <c r="D1393" s="141"/>
      <c r="E1393" s="141"/>
      <c r="F1393" s="141"/>
      <c r="G1393" s="141"/>
      <c r="H1393" s="141"/>
    </row>
    <row r="1394" spans="3:8">
      <c r="C1394" s="141"/>
      <c r="D1394" s="141"/>
      <c r="E1394" s="141"/>
      <c r="F1394" s="141"/>
      <c r="G1394" s="141"/>
      <c r="H1394" s="141"/>
    </row>
    <row r="1395" spans="3:8">
      <c r="C1395" s="141"/>
      <c r="D1395" s="141"/>
      <c r="E1395" s="141"/>
      <c r="F1395" s="141"/>
      <c r="G1395" s="141"/>
      <c r="H1395" s="141"/>
    </row>
    <row r="1396" spans="3:8">
      <c r="C1396" s="141"/>
      <c r="D1396" s="141"/>
      <c r="E1396" s="141"/>
      <c r="F1396" s="141"/>
      <c r="G1396" s="141"/>
      <c r="H1396" s="141"/>
    </row>
    <row r="1397" spans="3:8">
      <c r="C1397" s="141"/>
      <c r="D1397" s="141"/>
      <c r="E1397" s="141"/>
      <c r="F1397" s="141"/>
      <c r="G1397" s="141"/>
      <c r="H1397" s="141"/>
    </row>
    <row r="1398" spans="3:8">
      <c r="C1398" s="141"/>
      <c r="D1398" s="141"/>
      <c r="E1398" s="141"/>
      <c r="F1398" s="141"/>
      <c r="G1398" s="141"/>
      <c r="H1398" s="141"/>
    </row>
    <row r="1399" spans="3:8">
      <c r="C1399" s="141"/>
      <c r="D1399" s="141"/>
      <c r="E1399" s="141"/>
      <c r="F1399" s="141"/>
      <c r="G1399" s="141"/>
      <c r="H1399" s="141"/>
    </row>
    <row r="1400" spans="3:8">
      <c r="C1400" s="141"/>
      <c r="D1400" s="141"/>
      <c r="E1400" s="141"/>
      <c r="F1400" s="141"/>
      <c r="G1400" s="141"/>
      <c r="H1400" s="141"/>
    </row>
    <row r="1401" spans="3:8">
      <c r="C1401" s="141"/>
      <c r="D1401" s="141"/>
      <c r="E1401" s="141"/>
      <c r="F1401" s="141"/>
      <c r="G1401" s="141"/>
      <c r="H1401" s="141"/>
    </row>
    <row r="1402" spans="3:8">
      <c r="C1402" s="141"/>
      <c r="D1402" s="141"/>
      <c r="E1402" s="141"/>
      <c r="F1402" s="141"/>
      <c r="G1402" s="141"/>
      <c r="H1402" s="141"/>
    </row>
    <row r="1403" spans="3:8">
      <c r="C1403" s="141"/>
      <c r="D1403" s="141"/>
      <c r="E1403" s="141"/>
      <c r="F1403" s="141"/>
      <c r="G1403" s="141"/>
      <c r="H1403" s="141"/>
    </row>
    <row r="1404" spans="3:8">
      <c r="C1404" s="141"/>
      <c r="D1404" s="141"/>
      <c r="E1404" s="141"/>
      <c r="F1404" s="141"/>
      <c r="G1404" s="141"/>
      <c r="H1404" s="141"/>
    </row>
    <row r="1405" spans="3:8">
      <c r="C1405" s="141"/>
      <c r="D1405" s="141"/>
      <c r="E1405" s="141"/>
      <c r="F1405" s="141"/>
      <c r="G1405" s="141"/>
      <c r="H1405" s="141"/>
    </row>
    <row r="1406" spans="3:8">
      <c r="C1406" s="141"/>
      <c r="D1406" s="141"/>
      <c r="E1406" s="141"/>
      <c r="F1406" s="141"/>
      <c r="G1406" s="141"/>
      <c r="H1406" s="141"/>
    </row>
    <row r="1407" spans="3:8">
      <c r="C1407" s="141"/>
      <c r="D1407" s="141"/>
      <c r="E1407" s="141"/>
      <c r="F1407" s="141"/>
      <c r="G1407" s="141"/>
      <c r="H1407" s="141"/>
    </row>
    <row r="1408" spans="3:8">
      <c r="C1408" s="141"/>
      <c r="D1408" s="141"/>
      <c r="E1408" s="141"/>
      <c r="F1408" s="141"/>
      <c r="G1408" s="141"/>
      <c r="H1408" s="141"/>
    </row>
    <row r="1409" spans="3:8">
      <c r="C1409" s="141"/>
      <c r="D1409" s="141"/>
      <c r="E1409" s="141"/>
      <c r="F1409" s="141"/>
      <c r="G1409" s="141"/>
      <c r="H1409" s="141"/>
    </row>
    <row r="1410" spans="3:8">
      <c r="C1410" s="141"/>
      <c r="D1410" s="141"/>
      <c r="E1410" s="141"/>
      <c r="F1410" s="141"/>
      <c r="G1410" s="141"/>
      <c r="H1410" s="141"/>
    </row>
    <row r="1411" spans="3:8">
      <c r="C1411" s="141"/>
      <c r="D1411" s="141"/>
      <c r="E1411" s="141"/>
      <c r="F1411" s="141"/>
      <c r="G1411" s="141"/>
      <c r="H1411" s="141"/>
    </row>
    <row r="1412" spans="3:8">
      <c r="C1412" s="141"/>
      <c r="D1412" s="141"/>
      <c r="E1412" s="141"/>
      <c r="F1412" s="141"/>
      <c r="G1412" s="141"/>
      <c r="H1412" s="141"/>
    </row>
    <row r="1413" spans="3:8">
      <c r="C1413" s="141"/>
      <c r="D1413" s="141"/>
      <c r="E1413" s="141"/>
      <c r="F1413" s="141"/>
      <c r="G1413" s="141"/>
      <c r="H1413" s="141"/>
    </row>
    <row r="1414" spans="3:8">
      <c r="C1414" s="141"/>
      <c r="D1414" s="141"/>
      <c r="E1414" s="141"/>
      <c r="F1414" s="141"/>
      <c r="G1414" s="141"/>
      <c r="H1414" s="141"/>
    </row>
    <row r="1415" spans="3:8">
      <c r="C1415" s="141"/>
      <c r="D1415" s="141"/>
      <c r="E1415" s="141"/>
      <c r="F1415" s="141"/>
      <c r="G1415" s="141"/>
      <c r="H1415" s="141"/>
    </row>
    <row r="1416" spans="3:8">
      <c r="C1416" s="141"/>
      <c r="D1416" s="141"/>
      <c r="E1416" s="141"/>
      <c r="F1416" s="141"/>
      <c r="G1416" s="141"/>
      <c r="H1416" s="141"/>
    </row>
    <row r="1417" spans="3:8">
      <c r="C1417" s="141"/>
      <c r="D1417" s="141"/>
      <c r="E1417" s="141"/>
      <c r="F1417" s="141"/>
      <c r="G1417" s="141"/>
      <c r="H1417" s="141"/>
    </row>
    <row r="1418" spans="3:8">
      <c r="C1418" s="141"/>
      <c r="D1418" s="141"/>
      <c r="E1418" s="141"/>
      <c r="F1418" s="141"/>
      <c r="G1418" s="141"/>
      <c r="H1418" s="141"/>
    </row>
    <row r="1419" spans="3:8">
      <c r="C1419" s="141"/>
      <c r="D1419" s="141"/>
      <c r="E1419" s="141"/>
      <c r="F1419" s="141"/>
      <c r="G1419" s="141"/>
      <c r="H1419" s="141"/>
    </row>
    <row r="1420" spans="3:8">
      <c r="C1420" s="141"/>
      <c r="D1420" s="141"/>
      <c r="E1420" s="141"/>
      <c r="F1420" s="141"/>
      <c r="G1420" s="141"/>
      <c r="H1420" s="141"/>
    </row>
    <row r="1421" spans="3:8">
      <c r="C1421" s="141"/>
      <c r="D1421" s="141"/>
      <c r="E1421" s="141"/>
      <c r="F1421" s="141"/>
      <c r="G1421" s="141"/>
      <c r="H1421" s="141"/>
    </row>
    <row r="1422" spans="3:8">
      <c r="C1422" s="141"/>
      <c r="D1422" s="141"/>
      <c r="E1422" s="141"/>
      <c r="F1422" s="141"/>
      <c r="G1422" s="141"/>
      <c r="H1422" s="141"/>
    </row>
    <row r="1423" spans="3:8">
      <c r="C1423" s="141"/>
      <c r="D1423" s="141"/>
      <c r="E1423" s="141"/>
      <c r="F1423" s="141"/>
      <c r="G1423" s="141"/>
      <c r="H1423" s="141"/>
    </row>
    <row r="1424" spans="3:8">
      <c r="C1424" s="141"/>
      <c r="D1424" s="141"/>
      <c r="E1424" s="141"/>
      <c r="F1424" s="141"/>
      <c r="G1424" s="141"/>
      <c r="H1424" s="141"/>
    </row>
    <row r="1425" spans="3:8">
      <c r="C1425" s="141"/>
      <c r="D1425" s="141"/>
      <c r="E1425" s="141"/>
      <c r="F1425" s="141"/>
      <c r="G1425" s="141"/>
      <c r="H1425" s="141"/>
    </row>
    <row r="1426" spans="3:8">
      <c r="C1426" s="141"/>
      <c r="D1426" s="141"/>
      <c r="E1426" s="141"/>
      <c r="F1426" s="141"/>
      <c r="G1426" s="141"/>
      <c r="H1426" s="141"/>
    </row>
    <row r="1427" spans="3:8">
      <c r="C1427" s="141"/>
      <c r="D1427" s="141"/>
      <c r="E1427" s="141"/>
      <c r="F1427" s="141"/>
      <c r="G1427" s="141"/>
      <c r="H1427" s="141"/>
    </row>
    <row r="1428" spans="3:8">
      <c r="C1428" s="141"/>
      <c r="D1428" s="141"/>
      <c r="E1428" s="141"/>
      <c r="F1428" s="141"/>
      <c r="G1428" s="141"/>
      <c r="H1428" s="141"/>
    </row>
    <row r="1429" spans="3:8">
      <c r="C1429" s="141"/>
      <c r="D1429" s="141"/>
      <c r="E1429" s="141"/>
      <c r="F1429" s="141"/>
      <c r="G1429" s="141"/>
      <c r="H1429" s="141"/>
    </row>
    <row r="1430" spans="3:8">
      <c r="C1430" s="141"/>
      <c r="D1430" s="141"/>
      <c r="E1430" s="141"/>
      <c r="F1430" s="141"/>
      <c r="G1430" s="141"/>
      <c r="H1430" s="141"/>
    </row>
    <row r="1431" spans="3:8">
      <c r="C1431" s="141"/>
      <c r="D1431" s="141"/>
      <c r="E1431" s="141"/>
      <c r="F1431" s="141"/>
      <c r="G1431" s="141"/>
      <c r="H1431" s="141"/>
    </row>
    <row r="1432" spans="3:8">
      <c r="C1432" s="141"/>
      <c r="D1432" s="141"/>
      <c r="E1432" s="141"/>
      <c r="F1432" s="141"/>
      <c r="G1432" s="141"/>
      <c r="H1432" s="141"/>
    </row>
    <row r="1433" spans="3:8">
      <c r="C1433" s="141"/>
      <c r="D1433" s="141"/>
      <c r="E1433" s="141"/>
      <c r="F1433" s="141"/>
      <c r="G1433" s="141"/>
      <c r="H1433" s="141"/>
    </row>
    <row r="1434" spans="3:8">
      <c r="C1434" s="141"/>
      <c r="D1434" s="141"/>
      <c r="E1434" s="141"/>
      <c r="F1434" s="141"/>
      <c r="G1434" s="141"/>
      <c r="H1434" s="141"/>
    </row>
    <row r="1435" spans="3:8">
      <c r="C1435" s="141"/>
      <c r="D1435" s="141"/>
      <c r="E1435" s="141"/>
      <c r="F1435" s="141"/>
      <c r="G1435" s="141"/>
      <c r="H1435" s="141"/>
    </row>
    <row r="1436" spans="3:8">
      <c r="C1436" s="141"/>
      <c r="D1436" s="141"/>
      <c r="E1436" s="141"/>
      <c r="F1436" s="141"/>
      <c r="G1436" s="141"/>
      <c r="H1436" s="141"/>
    </row>
    <row r="1437" spans="3:8">
      <c r="C1437" s="141"/>
      <c r="D1437" s="141"/>
      <c r="E1437" s="141"/>
      <c r="F1437" s="141"/>
      <c r="G1437" s="141"/>
      <c r="H1437" s="141"/>
    </row>
    <row r="1438" spans="3:8">
      <c r="C1438" s="141"/>
      <c r="D1438" s="141"/>
      <c r="E1438" s="141"/>
      <c r="F1438" s="141"/>
      <c r="G1438" s="141"/>
      <c r="H1438" s="141"/>
    </row>
    <row r="1439" spans="3:8">
      <c r="C1439" s="141"/>
      <c r="D1439" s="141"/>
      <c r="E1439" s="141"/>
      <c r="F1439" s="141"/>
      <c r="G1439" s="141"/>
      <c r="H1439" s="141"/>
    </row>
    <row r="1440" spans="3:8">
      <c r="C1440" s="141"/>
      <c r="D1440" s="141"/>
      <c r="E1440" s="141"/>
      <c r="F1440" s="141"/>
      <c r="G1440" s="141"/>
      <c r="H1440" s="141"/>
    </row>
    <row r="1441" spans="3:8">
      <c r="C1441" s="141"/>
      <c r="D1441" s="141"/>
      <c r="E1441" s="141"/>
      <c r="F1441" s="141"/>
      <c r="G1441" s="141"/>
      <c r="H1441" s="141"/>
    </row>
    <row r="1442" spans="3:8">
      <c r="C1442" s="141"/>
      <c r="D1442" s="141"/>
      <c r="E1442" s="141"/>
      <c r="F1442" s="141"/>
      <c r="G1442" s="141"/>
      <c r="H1442" s="141"/>
    </row>
    <row r="1443" spans="3:8">
      <c r="C1443" s="141"/>
      <c r="D1443" s="141"/>
      <c r="E1443" s="141"/>
      <c r="F1443" s="141"/>
      <c r="G1443" s="141"/>
      <c r="H1443" s="141"/>
    </row>
    <row r="1444" spans="3:8">
      <c r="C1444" s="141"/>
      <c r="D1444" s="141"/>
      <c r="E1444" s="141"/>
      <c r="F1444" s="141"/>
      <c r="G1444" s="141"/>
      <c r="H1444" s="141"/>
    </row>
    <row r="1445" spans="3:8">
      <c r="C1445" s="141"/>
      <c r="D1445" s="141"/>
      <c r="E1445" s="141"/>
      <c r="F1445" s="141"/>
      <c r="G1445" s="141"/>
      <c r="H1445" s="141"/>
    </row>
    <row r="1446" spans="3:8">
      <c r="C1446" s="141"/>
      <c r="D1446" s="141"/>
      <c r="E1446" s="141"/>
      <c r="F1446" s="141"/>
      <c r="G1446" s="141"/>
      <c r="H1446" s="141"/>
    </row>
    <row r="1447" spans="3:8">
      <c r="C1447" s="141"/>
      <c r="D1447" s="141"/>
      <c r="E1447" s="141"/>
      <c r="F1447" s="141"/>
      <c r="G1447" s="141"/>
      <c r="H1447" s="141"/>
    </row>
    <row r="1448" spans="3:8">
      <c r="C1448" s="141"/>
      <c r="D1448" s="141"/>
      <c r="E1448" s="141"/>
      <c r="F1448" s="141"/>
      <c r="G1448" s="141"/>
      <c r="H1448" s="141"/>
    </row>
    <row r="1449" spans="3:8">
      <c r="C1449" s="141"/>
      <c r="D1449" s="141"/>
      <c r="E1449" s="141"/>
      <c r="F1449" s="141"/>
      <c r="G1449" s="141"/>
      <c r="H1449" s="141"/>
    </row>
    <row r="1450" spans="3:8">
      <c r="C1450" s="141"/>
      <c r="D1450" s="141"/>
      <c r="E1450" s="141"/>
      <c r="F1450" s="141"/>
      <c r="G1450" s="141"/>
      <c r="H1450" s="141"/>
    </row>
    <row r="1451" spans="3:8">
      <c r="C1451" s="141"/>
      <c r="D1451" s="141"/>
      <c r="E1451" s="141"/>
      <c r="F1451" s="141"/>
      <c r="G1451" s="141"/>
      <c r="H1451" s="141"/>
    </row>
    <row r="1452" spans="3:8">
      <c r="C1452" s="141"/>
      <c r="D1452" s="141"/>
      <c r="E1452" s="141"/>
      <c r="F1452" s="141"/>
      <c r="G1452" s="141"/>
      <c r="H1452" s="141"/>
    </row>
    <row r="1453" spans="3:8">
      <c r="C1453" s="141"/>
      <c r="D1453" s="141"/>
      <c r="E1453" s="141"/>
      <c r="F1453" s="141"/>
      <c r="G1453" s="141"/>
      <c r="H1453" s="141"/>
    </row>
    <row r="1454" spans="3:8">
      <c r="C1454" s="141"/>
      <c r="D1454" s="141"/>
      <c r="E1454" s="141"/>
      <c r="F1454" s="141"/>
      <c r="G1454" s="141"/>
      <c r="H1454" s="141"/>
    </row>
    <row r="1455" spans="3:8">
      <c r="C1455" s="141"/>
      <c r="D1455" s="141"/>
      <c r="E1455" s="141"/>
      <c r="F1455" s="141"/>
      <c r="G1455" s="141"/>
      <c r="H1455" s="141"/>
    </row>
    <row r="1456" spans="3:8">
      <c r="C1456" s="141"/>
      <c r="D1456" s="141"/>
      <c r="E1456" s="141"/>
      <c r="F1456" s="141"/>
      <c r="G1456" s="141"/>
      <c r="H1456" s="141"/>
    </row>
    <row r="1457" spans="3:8">
      <c r="C1457" s="141"/>
      <c r="D1457" s="141"/>
      <c r="E1457" s="141"/>
      <c r="F1457" s="141"/>
      <c r="G1457" s="141"/>
      <c r="H1457" s="141"/>
    </row>
    <row r="1458" spans="3:8">
      <c r="C1458" s="141"/>
      <c r="D1458" s="141"/>
      <c r="E1458" s="141"/>
      <c r="F1458" s="141"/>
      <c r="G1458" s="141"/>
      <c r="H1458" s="141"/>
    </row>
    <row r="1459" spans="3:8">
      <c r="C1459" s="141"/>
      <c r="D1459" s="141"/>
      <c r="E1459" s="141"/>
      <c r="F1459" s="141"/>
      <c r="G1459" s="141"/>
      <c r="H1459" s="141"/>
    </row>
    <row r="1460" spans="3:8">
      <c r="C1460" s="141"/>
      <c r="D1460" s="141"/>
      <c r="E1460" s="141"/>
      <c r="F1460" s="141"/>
      <c r="G1460" s="141"/>
      <c r="H1460" s="141"/>
    </row>
    <row r="1461" spans="3:8">
      <c r="C1461" s="141"/>
      <c r="D1461" s="141"/>
      <c r="E1461" s="141"/>
      <c r="F1461" s="141"/>
      <c r="G1461" s="141"/>
      <c r="H1461" s="141"/>
    </row>
    <row r="1462" spans="3:8">
      <c r="C1462" s="141"/>
      <c r="D1462" s="141"/>
      <c r="E1462" s="141"/>
      <c r="F1462" s="141"/>
      <c r="G1462" s="141"/>
      <c r="H1462" s="141"/>
    </row>
    <row r="1463" spans="3:8">
      <c r="C1463" s="141"/>
      <c r="D1463" s="141"/>
      <c r="E1463" s="141"/>
      <c r="F1463" s="141"/>
      <c r="G1463" s="141"/>
      <c r="H1463" s="141"/>
    </row>
    <row r="1464" spans="3:8">
      <c r="C1464" s="141"/>
      <c r="D1464" s="141"/>
      <c r="E1464" s="141"/>
      <c r="F1464" s="141"/>
      <c r="G1464" s="141"/>
      <c r="H1464" s="141"/>
    </row>
    <row r="1465" spans="3:8">
      <c r="C1465" s="141"/>
      <c r="D1465" s="141"/>
      <c r="E1465" s="141"/>
      <c r="F1465" s="141"/>
      <c r="G1465" s="141"/>
      <c r="H1465" s="141"/>
    </row>
    <row r="1466" spans="3:8">
      <c r="C1466" s="141"/>
      <c r="D1466" s="141"/>
      <c r="E1466" s="141"/>
      <c r="F1466" s="141"/>
      <c r="G1466" s="141"/>
      <c r="H1466" s="141"/>
    </row>
    <row r="1467" spans="3:8">
      <c r="C1467" s="141"/>
      <c r="D1467" s="141"/>
      <c r="E1467" s="141"/>
      <c r="F1467" s="141"/>
      <c r="G1467" s="141"/>
      <c r="H1467" s="141"/>
    </row>
    <row r="1468" spans="3:8">
      <c r="C1468" s="141"/>
      <c r="D1468" s="141"/>
      <c r="E1468" s="141"/>
      <c r="F1468" s="141"/>
      <c r="G1468" s="141"/>
      <c r="H1468" s="141"/>
    </row>
    <row r="1469" spans="3:8">
      <c r="C1469" s="141"/>
      <c r="D1469" s="141"/>
      <c r="E1469" s="141"/>
      <c r="F1469" s="141"/>
      <c r="G1469" s="141"/>
      <c r="H1469" s="141"/>
    </row>
    <row r="1470" spans="3:8">
      <c r="C1470" s="141"/>
      <c r="D1470" s="141"/>
      <c r="E1470" s="141"/>
      <c r="F1470" s="141"/>
      <c r="G1470" s="141"/>
      <c r="H1470" s="141"/>
    </row>
    <row r="1471" spans="3:8">
      <c r="C1471" s="141"/>
      <c r="D1471" s="141"/>
      <c r="E1471" s="141"/>
      <c r="F1471" s="141"/>
      <c r="G1471" s="141"/>
      <c r="H1471" s="141"/>
    </row>
    <row r="1472" spans="3:8">
      <c r="C1472" s="141"/>
      <c r="D1472" s="141"/>
      <c r="E1472" s="141"/>
      <c r="F1472" s="141"/>
      <c r="G1472" s="141"/>
      <c r="H1472" s="141"/>
    </row>
    <row r="1473" spans="3:8">
      <c r="C1473" s="141"/>
      <c r="D1473" s="141"/>
      <c r="E1473" s="141"/>
      <c r="F1473" s="141"/>
      <c r="G1473" s="141"/>
      <c r="H1473" s="141"/>
    </row>
    <row r="1474" spans="3:8">
      <c r="C1474" s="141"/>
      <c r="D1474" s="141"/>
      <c r="E1474" s="141"/>
      <c r="F1474" s="141"/>
      <c r="G1474" s="141"/>
      <c r="H1474" s="141"/>
    </row>
    <row r="1475" spans="3:8">
      <c r="C1475" s="141"/>
      <c r="D1475" s="141"/>
      <c r="E1475" s="141"/>
      <c r="F1475" s="141"/>
      <c r="G1475" s="141"/>
      <c r="H1475" s="141"/>
    </row>
    <row r="1476" spans="3:8">
      <c r="C1476" s="141"/>
      <c r="D1476" s="141"/>
      <c r="E1476" s="141"/>
      <c r="F1476" s="141"/>
      <c r="G1476" s="141"/>
      <c r="H1476" s="141"/>
    </row>
    <row r="1477" spans="3:8">
      <c r="C1477" s="141"/>
      <c r="D1477" s="141"/>
      <c r="E1477" s="141"/>
      <c r="F1477" s="141"/>
      <c r="G1477" s="141"/>
      <c r="H1477" s="141"/>
    </row>
    <row r="1478" spans="3:8">
      <c r="C1478" s="141"/>
      <c r="D1478" s="141"/>
      <c r="E1478" s="141"/>
      <c r="F1478" s="141"/>
      <c r="G1478" s="141"/>
      <c r="H1478" s="141"/>
    </row>
    <row r="1479" spans="3:8">
      <c r="C1479" s="141"/>
      <c r="D1479" s="141"/>
      <c r="E1479" s="141"/>
      <c r="F1479" s="141"/>
      <c r="G1479" s="141"/>
      <c r="H1479" s="141"/>
    </row>
    <row r="1480" spans="3:8">
      <c r="C1480" s="141"/>
      <c r="D1480" s="141"/>
      <c r="E1480" s="141"/>
      <c r="F1480" s="141"/>
      <c r="G1480" s="141"/>
      <c r="H1480" s="141"/>
    </row>
    <row r="1481" spans="3:8">
      <c r="C1481" s="141"/>
      <c r="D1481" s="141"/>
      <c r="E1481" s="141"/>
      <c r="F1481" s="141"/>
      <c r="G1481" s="141"/>
      <c r="H1481" s="141"/>
    </row>
    <row r="1482" spans="3:8">
      <c r="C1482" s="141"/>
      <c r="D1482" s="141"/>
      <c r="E1482" s="141"/>
      <c r="F1482" s="141"/>
      <c r="G1482" s="141"/>
      <c r="H1482" s="141"/>
    </row>
    <row r="1483" spans="3:8">
      <c r="C1483" s="141"/>
      <c r="D1483" s="141"/>
      <c r="E1483" s="141"/>
      <c r="F1483" s="141"/>
      <c r="G1483" s="141"/>
      <c r="H1483" s="141"/>
    </row>
    <row r="1484" spans="3:8">
      <c r="C1484" s="141"/>
      <c r="D1484" s="141"/>
      <c r="E1484" s="141"/>
      <c r="F1484" s="141"/>
      <c r="G1484" s="141"/>
      <c r="H1484" s="141"/>
    </row>
    <row r="1485" spans="3:8">
      <c r="C1485" s="141"/>
      <c r="D1485" s="141"/>
      <c r="E1485" s="141"/>
      <c r="F1485" s="141"/>
      <c r="G1485" s="141"/>
      <c r="H1485" s="141"/>
    </row>
    <row r="1486" spans="3:8">
      <c r="C1486" s="141"/>
      <c r="D1486" s="141"/>
      <c r="E1486" s="141"/>
      <c r="F1486" s="141"/>
      <c r="G1486" s="141"/>
      <c r="H1486" s="141"/>
    </row>
    <row r="1487" spans="3:8">
      <c r="C1487" s="141"/>
      <c r="D1487" s="141"/>
      <c r="E1487" s="141"/>
      <c r="F1487" s="141"/>
      <c r="G1487" s="141"/>
      <c r="H1487" s="141"/>
    </row>
    <row r="1488" spans="3:8">
      <c r="C1488" s="141"/>
      <c r="D1488" s="141"/>
      <c r="E1488" s="141"/>
      <c r="F1488" s="141"/>
      <c r="G1488" s="141"/>
      <c r="H1488" s="141"/>
    </row>
    <row r="1489" spans="3:8">
      <c r="C1489" s="141"/>
      <c r="D1489" s="141"/>
      <c r="E1489" s="141"/>
      <c r="F1489" s="141"/>
      <c r="G1489" s="141"/>
      <c r="H1489" s="141"/>
    </row>
    <row r="1490" spans="3:8">
      <c r="C1490" s="141"/>
      <c r="D1490" s="141"/>
      <c r="E1490" s="141"/>
      <c r="F1490" s="141"/>
      <c r="G1490" s="141"/>
      <c r="H1490" s="141"/>
    </row>
    <row r="1491" spans="3:8">
      <c r="C1491" s="141"/>
      <c r="D1491" s="141"/>
      <c r="E1491" s="141"/>
      <c r="F1491" s="141"/>
      <c r="G1491" s="141"/>
      <c r="H1491" s="141"/>
    </row>
    <row r="1492" spans="3:8">
      <c r="C1492" s="141"/>
      <c r="D1492" s="141"/>
      <c r="E1492" s="141"/>
      <c r="F1492" s="141"/>
      <c r="G1492" s="141"/>
      <c r="H1492" s="141"/>
    </row>
    <row r="1493" spans="3:8">
      <c r="C1493" s="141"/>
      <c r="D1493" s="141"/>
      <c r="E1493" s="141"/>
      <c r="F1493" s="141"/>
      <c r="G1493" s="141"/>
      <c r="H1493" s="141"/>
    </row>
    <row r="1494" spans="3:8">
      <c r="C1494" s="141"/>
      <c r="D1494" s="141"/>
      <c r="E1494" s="141"/>
      <c r="F1494" s="141"/>
      <c r="G1494" s="141"/>
      <c r="H1494" s="141"/>
    </row>
    <row r="1495" spans="3:8">
      <c r="C1495" s="141"/>
      <c r="D1495" s="141"/>
      <c r="E1495" s="141"/>
      <c r="F1495" s="141"/>
      <c r="G1495" s="141"/>
      <c r="H1495" s="141"/>
    </row>
    <row r="1496" spans="3:8">
      <c r="C1496" s="141"/>
      <c r="D1496" s="141"/>
      <c r="E1496" s="141"/>
      <c r="F1496" s="141"/>
      <c r="G1496" s="141"/>
      <c r="H1496" s="141"/>
    </row>
    <row r="1497" spans="3:8">
      <c r="C1497" s="141"/>
      <c r="D1497" s="141"/>
      <c r="E1497" s="141"/>
      <c r="F1497" s="141"/>
      <c r="G1497" s="141"/>
      <c r="H1497" s="141"/>
    </row>
    <row r="1498" spans="3:8">
      <c r="C1498" s="141"/>
      <c r="D1498" s="141"/>
      <c r="E1498" s="141"/>
      <c r="F1498" s="141"/>
      <c r="G1498" s="141"/>
      <c r="H1498" s="141"/>
    </row>
    <row r="1499" spans="3:8">
      <c r="C1499" s="141"/>
      <c r="D1499" s="141"/>
      <c r="E1499" s="141"/>
      <c r="F1499" s="141"/>
      <c r="G1499" s="141"/>
      <c r="H1499" s="141"/>
    </row>
    <row r="1500" spans="3:8">
      <c r="C1500" s="141"/>
      <c r="D1500" s="141"/>
      <c r="E1500" s="141"/>
      <c r="F1500" s="141"/>
      <c r="G1500" s="141"/>
      <c r="H1500" s="141"/>
    </row>
    <row r="1501" spans="3:8">
      <c r="C1501" s="141"/>
      <c r="D1501" s="141"/>
      <c r="E1501" s="141"/>
      <c r="F1501" s="141"/>
      <c r="G1501" s="141"/>
      <c r="H1501" s="141"/>
    </row>
    <row r="1502" spans="3:8">
      <c r="C1502" s="141"/>
      <c r="D1502" s="141"/>
      <c r="E1502" s="141"/>
      <c r="F1502" s="141"/>
      <c r="G1502" s="141"/>
      <c r="H1502" s="141"/>
    </row>
    <row r="1503" spans="3:8">
      <c r="C1503" s="141"/>
      <c r="D1503" s="141"/>
      <c r="E1503" s="141"/>
      <c r="F1503" s="141"/>
      <c r="G1503" s="141"/>
      <c r="H1503" s="141"/>
    </row>
    <row r="1504" spans="3:8">
      <c r="C1504" s="141"/>
      <c r="D1504" s="141"/>
      <c r="E1504" s="141"/>
      <c r="F1504" s="141"/>
      <c r="G1504" s="141"/>
      <c r="H1504" s="141"/>
    </row>
    <row r="1505" spans="3:8">
      <c r="C1505" s="141"/>
      <c r="D1505" s="141"/>
      <c r="E1505" s="141"/>
      <c r="F1505" s="141"/>
      <c r="G1505" s="141"/>
      <c r="H1505" s="141"/>
    </row>
    <row r="1506" spans="3:8">
      <c r="C1506" s="141"/>
      <c r="D1506" s="141"/>
      <c r="E1506" s="141"/>
      <c r="F1506" s="141"/>
      <c r="G1506" s="141"/>
      <c r="H1506" s="141"/>
    </row>
    <row r="1507" spans="3:8">
      <c r="C1507" s="141"/>
      <c r="D1507" s="141"/>
      <c r="E1507" s="141"/>
      <c r="F1507" s="141"/>
      <c r="G1507" s="141"/>
      <c r="H1507" s="141"/>
    </row>
    <row r="1508" spans="3:8">
      <c r="C1508" s="141"/>
      <c r="D1508" s="141"/>
      <c r="E1508" s="141"/>
      <c r="F1508" s="141"/>
      <c r="G1508" s="141"/>
      <c r="H1508" s="141"/>
    </row>
    <row r="1509" spans="3:8">
      <c r="C1509" s="141"/>
      <c r="D1509" s="141"/>
      <c r="E1509" s="141"/>
      <c r="F1509" s="141"/>
      <c r="G1509" s="141"/>
      <c r="H1509" s="141"/>
    </row>
    <row r="1510" spans="3:8">
      <c r="C1510" s="141"/>
      <c r="D1510" s="141"/>
      <c r="E1510" s="141"/>
      <c r="F1510" s="141"/>
      <c r="G1510" s="141"/>
      <c r="H1510" s="141"/>
    </row>
    <row r="1511" spans="3:8">
      <c r="C1511" s="141"/>
      <c r="D1511" s="141"/>
      <c r="E1511" s="141"/>
      <c r="F1511" s="141"/>
      <c r="G1511" s="141"/>
      <c r="H1511" s="141"/>
    </row>
    <row r="1512" spans="3:8">
      <c r="C1512" s="141"/>
      <c r="D1512" s="141"/>
      <c r="E1512" s="141"/>
      <c r="F1512" s="141"/>
      <c r="G1512" s="141"/>
      <c r="H1512" s="141"/>
    </row>
    <row r="1513" spans="3:8">
      <c r="C1513" s="141"/>
      <c r="D1513" s="141"/>
      <c r="E1513" s="141"/>
      <c r="F1513" s="141"/>
      <c r="G1513" s="141"/>
      <c r="H1513" s="141"/>
    </row>
    <row r="1514" spans="3:8">
      <c r="C1514" s="141"/>
      <c r="D1514" s="141"/>
      <c r="E1514" s="141"/>
      <c r="F1514" s="141"/>
      <c r="G1514" s="141"/>
      <c r="H1514" s="141"/>
    </row>
    <row r="1515" spans="3:8">
      <c r="C1515" s="141"/>
      <c r="D1515" s="141"/>
      <c r="E1515" s="141"/>
      <c r="F1515" s="141"/>
      <c r="G1515" s="141"/>
      <c r="H1515" s="141"/>
    </row>
    <row r="1516" spans="3:8">
      <c r="C1516" s="141"/>
      <c r="D1516" s="141"/>
      <c r="E1516" s="141"/>
      <c r="F1516" s="141"/>
      <c r="G1516" s="141"/>
      <c r="H1516" s="141"/>
    </row>
    <row r="1517" spans="3:8">
      <c r="C1517" s="141"/>
      <c r="D1517" s="141"/>
      <c r="E1517" s="141"/>
      <c r="F1517" s="141"/>
      <c r="G1517" s="141"/>
      <c r="H1517" s="141"/>
    </row>
    <row r="1518" spans="3:8">
      <c r="C1518" s="141"/>
      <c r="D1518" s="141"/>
      <c r="E1518" s="141"/>
      <c r="F1518" s="141"/>
      <c r="G1518" s="141"/>
      <c r="H1518" s="141"/>
    </row>
    <row r="1519" spans="3:8">
      <c r="C1519" s="141"/>
      <c r="D1519" s="141"/>
      <c r="E1519" s="141"/>
      <c r="F1519" s="141"/>
      <c r="G1519" s="141"/>
      <c r="H1519" s="141"/>
    </row>
    <row r="1520" spans="3:8">
      <c r="C1520" s="141"/>
      <c r="D1520" s="141"/>
      <c r="E1520" s="141"/>
      <c r="F1520" s="141"/>
      <c r="G1520" s="141"/>
      <c r="H1520" s="141"/>
    </row>
    <row r="1521" spans="3:8">
      <c r="C1521" s="141"/>
      <c r="D1521" s="141"/>
      <c r="E1521" s="141"/>
      <c r="F1521" s="141"/>
      <c r="G1521" s="141"/>
      <c r="H1521" s="141"/>
    </row>
    <row r="1522" spans="3:8">
      <c r="C1522" s="141"/>
      <c r="D1522" s="141"/>
      <c r="E1522" s="141"/>
      <c r="F1522" s="141"/>
      <c r="G1522" s="141"/>
      <c r="H1522" s="141"/>
    </row>
    <row r="1523" spans="3:8">
      <c r="C1523" s="141"/>
      <c r="D1523" s="141"/>
      <c r="E1523" s="141"/>
      <c r="F1523" s="141"/>
      <c r="G1523" s="141"/>
      <c r="H1523" s="141"/>
    </row>
    <row r="1524" spans="3:8">
      <c r="C1524" s="141"/>
      <c r="D1524" s="141"/>
      <c r="E1524" s="141"/>
      <c r="F1524" s="141"/>
      <c r="G1524" s="141"/>
      <c r="H1524" s="141"/>
    </row>
    <row r="1525" spans="3:8">
      <c r="C1525" s="141"/>
      <c r="D1525" s="141"/>
      <c r="E1525" s="141"/>
      <c r="F1525" s="141"/>
      <c r="G1525" s="141"/>
      <c r="H1525" s="141"/>
    </row>
    <row r="1526" spans="3:8">
      <c r="C1526" s="141"/>
      <c r="D1526" s="141"/>
      <c r="E1526" s="141"/>
      <c r="F1526" s="141"/>
      <c r="G1526" s="141"/>
      <c r="H1526" s="141"/>
    </row>
    <row r="1527" spans="3:8">
      <c r="C1527" s="141"/>
      <c r="D1527" s="141"/>
      <c r="E1527" s="141"/>
      <c r="F1527" s="141"/>
      <c r="G1527" s="141"/>
      <c r="H1527" s="141"/>
    </row>
    <row r="1528" spans="3:8">
      <c r="C1528" s="141"/>
      <c r="D1528" s="141"/>
      <c r="E1528" s="141"/>
      <c r="F1528" s="141"/>
      <c r="G1528" s="141"/>
      <c r="H1528" s="141"/>
    </row>
    <row r="1529" spans="3:8">
      <c r="C1529" s="141"/>
      <c r="D1529" s="141"/>
      <c r="E1529" s="141"/>
      <c r="F1529" s="141"/>
      <c r="G1529" s="141"/>
      <c r="H1529" s="141"/>
    </row>
    <row r="1530" spans="3:8">
      <c r="C1530" s="141"/>
      <c r="D1530" s="141"/>
      <c r="E1530" s="141"/>
      <c r="F1530" s="141"/>
      <c r="G1530" s="141"/>
      <c r="H1530" s="141"/>
    </row>
    <row r="1531" spans="3:8">
      <c r="C1531" s="141"/>
      <c r="D1531" s="141"/>
      <c r="E1531" s="141"/>
      <c r="F1531" s="141"/>
      <c r="G1531" s="141"/>
      <c r="H1531" s="141"/>
    </row>
    <row r="1532" spans="3:8">
      <c r="C1532" s="141"/>
      <c r="D1532" s="141"/>
      <c r="E1532" s="141"/>
      <c r="F1532" s="141"/>
      <c r="G1532" s="141"/>
      <c r="H1532" s="141"/>
    </row>
    <row r="1533" spans="3:8">
      <c r="C1533" s="141"/>
      <c r="D1533" s="141"/>
      <c r="E1533" s="141"/>
      <c r="F1533" s="141"/>
      <c r="G1533" s="141"/>
      <c r="H1533" s="141"/>
    </row>
    <row r="1534" spans="3:8">
      <c r="C1534" s="141"/>
      <c r="D1534" s="141"/>
      <c r="E1534" s="141"/>
      <c r="F1534" s="141"/>
      <c r="G1534" s="141"/>
      <c r="H1534" s="141"/>
    </row>
    <row r="1535" spans="3:8">
      <c r="C1535" s="141"/>
      <c r="D1535" s="141"/>
      <c r="E1535" s="141"/>
      <c r="F1535" s="141"/>
      <c r="G1535" s="141"/>
      <c r="H1535" s="141"/>
    </row>
    <row r="1536" spans="3:8">
      <c r="C1536" s="141"/>
      <c r="D1536" s="141"/>
      <c r="E1536" s="141"/>
      <c r="F1536" s="141"/>
      <c r="G1536" s="141"/>
      <c r="H1536" s="141"/>
    </row>
    <row r="1537" spans="3:8">
      <c r="C1537" s="141"/>
      <c r="D1537" s="141"/>
      <c r="E1537" s="141"/>
      <c r="F1537" s="141"/>
      <c r="G1537" s="141"/>
      <c r="H1537" s="141"/>
    </row>
    <row r="1538" spans="3:8">
      <c r="C1538" s="141"/>
      <c r="D1538" s="141"/>
      <c r="E1538" s="141"/>
      <c r="F1538" s="141"/>
      <c r="G1538" s="141"/>
      <c r="H1538" s="141"/>
    </row>
    <row r="1539" spans="3:8">
      <c r="C1539" s="141"/>
      <c r="D1539" s="141"/>
      <c r="E1539" s="141"/>
      <c r="F1539" s="141"/>
      <c r="G1539" s="141"/>
      <c r="H1539" s="141"/>
    </row>
    <row r="1540" spans="3:8">
      <c r="C1540" s="141"/>
      <c r="D1540" s="141"/>
      <c r="E1540" s="141"/>
      <c r="F1540" s="141"/>
      <c r="G1540" s="141"/>
      <c r="H1540" s="141"/>
    </row>
    <row r="1541" spans="3:8">
      <c r="C1541" s="141"/>
      <c r="D1541" s="141"/>
      <c r="E1541" s="141"/>
      <c r="F1541" s="141"/>
      <c r="G1541" s="141"/>
      <c r="H1541" s="141"/>
    </row>
    <row r="1542" spans="3:8">
      <c r="C1542" s="141"/>
      <c r="D1542" s="141"/>
      <c r="E1542" s="141"/>
      <c r="F1542" s="141"/>
      <c r="G1542" s="141"/>
      <c r="H1542" s="141"/>
    </row>
    <row r="1543" spans="3:8">
      <c r="C1543" s="141"/>
      <c r="D1543" s="141"/>
      <c r="E1543" s="141"/>
      <c r="F1543" s="141"/>
      <c r="G1543" s="141"/>
      <c r="H1543" s="141"/>
    </row>
    <row r="1544" spans="3:8">
      <c r="C1544" s="141"/>
      <c r="D1544" s="141"/>
      <c r="E1544" s="141"/>
      <c r="F1544" s="141"/>
      <c r="G1544" s="141"/>
      <c r="H1544" s="141"/>
    </row>
    <row r="1545" spans="3:8">
      <c r="C1545" s="141"/>
      <c r="D1545" s="141"/>
      <c r="E1545" s="141"/>
      <c r="F1545" s="141"/>
      <c r="G1545" s="141"/>
      <c r="H1545" s="141"/>
    </row>
    <row r="1546" spans="3:8">
      <c r="C1546" s="141"/>
      <c r="D1546" s="141"/>
      <c r="E1546" s="141"/>
      <c r="F1546" s="141"/>
      <c r="G1546" s="141"/>
      <c r="H1546" s="141"/>
    </row>
    <row r="1547" spans="3:8">
      <c r="C1547" s="141"/>
      <c r="D1547" s="141"/>
      <c r="E1547" s="141"/>
      <c r="F1547" s="141"/>
      <c r="G1547" s="141"/>
      <c r="H1547" s="141"/>
    </row>
    <row r="1548" spans="3:8">
      <c r="C1548" s="141"/>
      <c r="D1548" s="141"/>
      <c r="E1548" s="141"/>
      <c r="F1548" s="141"/>
      <c r="G1548" s="141"/>
      <c r="H1548" s="141"/>
    </row>
    <row r="1549" spans="3:8">
      <c r="C1549" s="141"/>
      <c r="D1549" s="141"/>
      <c r="E1549" s="141"/>
      <c r="F1549" s="141"/>
      <c r="G1549" s="141"/>
      <c r="H1549" s="141"/>
    </row>
    <row r="1550" spans="3:8">
      <c r="C1550" s="141"/>
      <c r="D1550" s="141"/>
      <c r="E1550" s="141"/>
      <c r="F1550" s="141"/>
      <c r="G1550" s="141"/>
      <c r="H1550" s="141"/>
    </row>
    <row r="1551" spans="3:8">
      <c r="C1551" s="141"/>
      <c r="D1551" s="141"/>
      <c r="E1551" s="141"/>
      <c r="F1551" s="141"/>
      <c r="G1551" s="141"/>
      <c r="H1551" s="141"/>
    </row>
    <row r="1552" spans="3:8">
      <c r="C1552" s="141"/>
      <c r="D1552" s="141"/>
      <c r="E1552" s="141"/>
      <c r="F1552" s="141"/>
      <c r="G1552" s="141"/>
      <c r="H1552" s="141"/>
    </row>
    <row r="1553" spans="3:8">
      <c r="C1553" s="141"/>
      <c r="D1553" s="141"/>
      <c r="E1553" s="141"/>
      <c r="F1553" s="141"/>
      <c r="G1553" s="141"/>
      <c r="H1553" s="141"/>
    </row>
    <row r="1554" spans="3:8">
      <c r="C1554" s="141"/>
      <c r="D1554" s="141"/>
      <c r="E1554" s="141"/>
      <c r="F1554" s="141"/>
      <c r="G1554" s="141"/>
      <c r="H1554" s="141"/>
    </row>
    <row r="1555" spans="3:8">
      <c r="C1555" s="141"/>
      <c r="D1555" s="141"/>
      <c r="E1555" s="141"/>
      <c r="F1555" s="141"/>
      <c r="G1555" s="141"/>
      <c r="H1555" s="141"/>
    </row>
    <row r="1556" spans="3:8">
      <c r="C1556" s="141"/>
      <c r="D1556" s="141"/>
      <c r="E1556" s="141"/>
      <c r="F1556" s="141"/>
      <c r="G1556" s="141"/>
      <c r="H1556" s="141"/>
    </row>
    <row r="1557" spans="3:8">
      <c r="C1557" s="141"/>
      <c r="D1557" s="141"/>
      <c r="E1557" s="141"/>
      <c r="F1557" s="141"/>
      <c r="G1557" s="141"/>
      <c r="H1557" s="141"/>
    </row>
    <row r="1558" spans="3:8">
      <c r="C1558" s="141"/>
      <c r="D1558" s="141"/>
      <c r="E1558" s="141"/>
      <c r="F1558" s="141"/>
      <c r="G1558" s="141"/>
      <c r="H1558" s="141"/>
    </row>
    <row r="1559" spans="3:8">
      <c r="C1559" s="141"/>
      <c r="D1559" s="141"/>
      <c r="E1559" s="141"/>
      <c r="F1559" s="141"/>
      <c r="G1559" s="141"/>
      <c r="H1559" s="141"/>
    </row>
    <row r="1560" spans="3:8">
      <c r="C1560" s="141"/>
      <c r="D1560" s="141"/>
      <c r="E1560" s="141"/>
      <c r="F1560" s="141"/>
      <c r="G1560" s="141"/>
      <c r="H1560" s="141"/>
    </row>
    <row r="1561" spans="3:8">
      <c r="C1561" s="141"/>
      <c r="D1561" s="141"/>
      <c r="E1561" s="141"/>
      <c r="F1561" s="141"/>
      <c r="G1561" s="141"/>
      <c r="H1561" s="141"/>
    </row>
    <row r="1562" spans="3:8">
      <c r="C1562" s="141"/>
      <c r="D1562" s="141"/>
      <c r="E1562" s="141"/>
      <c r="F1562" s="141"/>
      <c r="G1562" s="141"/>
      <c r="H1562" s="141"/>
    </row>
    <row r="1563" spans="3:8">
      <c r="C1563" s="141"/>
      <c r="D1563" s="141"/>
      <c r="E1563" s="141"/>
      <c r="F1563" s="141"/>
      <c r="G1563" s="141"/>
      <c r="H1563" s="141"/>
    </row>
    <row r="1564" spans="3:8">
      <c r="C1564" s="141"/>
      <c r="D1564" s="141"/>
      <c r="E1564" s="141"/>
      <c r="F1564" s="141"/>
      <c r="G1564" s="141"/>
      <c r="H1564" s="141"/>
    </row>
    <row r="1565" spans="3:8">
      <c r="C1565" s="141"/>
      <c r="D1565" s="141"/>
      <c r="E1565" s="141"/>
      <c r="F1565" s="141"/>
      <c r="G1565" s="141"/>
      <c r="H1565" s="141"/>
    </row>
    <row r="1566" spans="3:8">
      <c r="C1566" s="141"/>
      <c r="D1566" s="141"/>
      <c r="E1566" s="141"/>
      <c r="F1566" s="141"/>
      <c r="G1566" s="141"/>
      <c r="H1566" s="141"/>
    </row>
    <row r="1567" spans="3:8">
      <c r="C1567" s="141"/>
      <c r="D1567" s="141"/>
      <c r="E1567" s="141"/>
      <c r="F1567" s="141"/>
      <c r="G1567" s="141"/>
      <c r="H1567" s="141"/>
    </row>
    <row r="1568" spans="3:8">
      <c r="C1568" s="141"/>
      <c r="D1568" s="141"/>
      <c r="E1568" s="141"/>
      <c r="F1568" s="141"/>
      <c r="G1568" s="141"/>
      <c r="H1568" s="141"/>
    </row>
    <row r="1569" spans="3:8">
      <c r="C1569" s="141"/>
      <c r="D1569" s="141"/>
      <c r="E1569" s="141"/>
      <c r="F1569" s="141"/>
      <c r="G1569" s="141"/>
      <c r="H1569" s="141"/>
    </row>
    <row r="1570" spans="3:8">
      <c r="C1570" s="141"/>
      <c r="D1570" s="141"/>
      <c r="E1570" s="141"/>
      <c r="F1570" s="141"/>
      <c r="G1570" s="141"/>
      <c r="H1570" s="141"/>
    </row>
    <row r="1571" spans="3:8">
      <c r="C1571" s="141"/>
      <c r="D1571" s="141"/>
      <c r="E1571" s="141"/>
      <c r="F1571" s="141"/>
      <c r="G1571" s="141"/>
      <c r="H1571" s="141"/>
    </row>
    <row r="1572" spans="3:8">
      <c r="C1572" s="141"/>
      <c r="D1572" s="141"/>
      <c r="E1572" s="141"/>
      <c r="F1572" s="141"/>
      <c r="G1572" s="141"/>
      <c r="H1572" s="141"/>
    </row>
    <row r="1573" spans="3:8">
      <c r="C1573" s="141"/>
      <c r="D1573" s="141"/>
      <c r="E1573" s="141"/>
      <c r="F1573" s="141"/>
      <c r="G1573" s="141"/>
      <c r="H1573" s="141"/>
    </row>
    <row r="1574" spans="3:8">
      <c r="C1574" s="141"/>
      <c r="D1574" s="141"/>
      <c r="E1574" s="141"/>
      <c r="F1574" s="141"/>
      <c r="G1574" s="141"/>
      <c r="H1574" s="141"/>
    </row>
    <row r="1575" spans="3:8">
      <c r="C1575" s="141"/>
      <c r="D1575" s="141"/>
      <c r="E1575" s="141"/>
      <c r="F1575" s="141"/>
      <c r="G1575" s="141"/>
      <c r="H1575" s="141"/>
    </row>
    <row r="1576" spans="3:8">
      <c r="C1576" s="141"/>
      <c r="D1576" s="141"/>
      <c r="E1576" s="141"/>
      <c r="F1576" s="141"/>
      <c r="G1576" s="141"/>
      <c r="H1576" s="141"/>
    </row>
    <row r="1577" spans="3:8">
      <c r="C1577" s="141"/>
      <c r="D1577" s="141"/>
      <c r="E1577" s="141"/>
      <c r="F1577" s="141"/>
      <c r="G1577" s="141"/>
      <c r="H1577" s="141"/>
    </row>
    <row r="1578" spans="3:8">
      <c r="C1578" s="141"/>
      <c r="D1578" s="141"/>
      <c r="E1578" s="141"/>
      <c r="F1578" s="141"/>
      <c r="G1578" s="141"/>
      <c r="H1578" s="141"/>
    </row>
    <row r="1579" spans="3:8">
      <c r="C1579" s="141"/>
      <c r="D1579" s="141"/>
      <c r="E1579" s="141"/>
      <c r="F1579" s="141"/>
      <c r="G1579" s="141"/>
      <c r="H1579" s="141"/>
    </row>
    <row r="1580" spans="3:8">
      <c r="C1580" s="141"/>
      <c r="D1580" s="141"/>
      <c r="E1580" s="141"/>
      <c r="F1580" s="141"/>
      <c r="G1580" s="141"/>
      <c r="H1580" s="141"/>
    </row>
    <row r="1581" spans="3:8">
      <c r="C1581" s="141"/>
      <c r="D1581" s="141"/>
      <c r="E1581" s="141"/>
      <c r="F1581" s="141"/>
      <c r="G1581" s="141"/>
      <c r="H1581" s="141"/>
    </row>
    <row r="1582" spans="3:8">
      <c r="C1582" s="141"/>
      <c r="D1582" s="141"/>
      <c r="E1582" s="141"/>
      <c r="F1582" s="141"/>
      <c r="G1582" s="141"/>
      <c r="H1582" s="141"/>
    </row>
    <row r="1583" spans="3:8">
      <c r="C1583" s="141"/>
      <c r="D1583" s="141"/>
      <c r="E1583" s="141"/>
      <c r="F1583" s="141"/>
      <c r="G1583" s="141"/>
      <c r="H1583" s="141"/>
    </row>
    <row r="1584" spans="3:8">
      <c r="C1584" s="141"/>
      <c r="D1584" s="141"/>
      <c r="E1584" s="141"/>
      <c r="F1584" s="141"/>
      <c r="G1584" s="141"/>
      <c r="H1584" s="141"/>
    </row>
    <row r="1585" spans="3:8">
      <c r="C1585" s="141"/>
      <c r="D1585" s="141"/>
      <c r="E1585" s="141"/>
      <c r="F1585" s="141"/>
      <c r="G1585" s="141"/>
      <c r="H1585" s="141"/>
    </row>
    <row r="1586" spans="3:8">
      <c r="C1586" s="141"/>
      <c r="D1586" s="141"/>
      <c r="E1586" s="141"/>
      <c r="F1586" s="141"/>
      <c r="G1586" s="141"/>
      <c r="H1586" s="141"/>
    </row>
    <row r="1587" spans="3:8">
      <c r="C1587" s="141"/>
      <c r="D1587" s="141"/>
      <c r="E1587" s="141"/>
      <c r="F1587" s="141"/>
      <c r="G1587" s="141"/>
      <c r="H1587" s="141"/>
    </row>
    <row r="1588" spans="3:8">
      <c r="C1588" s="141"/>
      <c r="D1588" s="141"/>
      <c r="E1588" s="141"/>
      <c r="F1588" s="141"/>
      <c r="G1588" s="141"/>
      <c r="H1588" s="141"/>
    </row>
    <row r="1589" spans="3:8">
      <c r="C1589" s="141"/>
      <c r="D1589" s="141"/>
      <c r="E1589" s="141"/>
      <c r="F1589" s="141"/>
      <c r="G1589" s="141"/>
      <c r="H1589" s="141"/>
    </row>
    <row r="1590" spans="3:8">
      <c r="C1590" s="141"/>
      <c r="D1590" s="141"/>
      <c r="E1590" s="141"/>
      <c r="F1590" s="141"/>
      <c r="G1590" s="141"/>
      <c r="H1590" s="141"/>
    </row>
    <row r="1591" spans="3:8">
      <c r="C1591" s="141"/>
      <c r="D1591" s="141"/>
      <c r="E1591" s="141"/>
      <c r="F1591" s="141"/>
      <c r="G1591" s="141"/>
      <c r="H1591" s="141"/>
    </row>
    <row r="1592" spans="3:8">
      <c r="C1592" s="141"/>
      <c r="D1592" s="141"/>
      <c r="E1592" s="141"/>
      <c r="F1592" s="141"/>
      <c r="G1592" s="141"/>
      <c r="H1592" s="141"/>
    </row>
    <row r="1593" spans="3:8">
      <c r="C1593" s="141"/>
      <c r="D1593" s="141"/>
      <c r="E1593" s="141"/>
      <c r="F1593" s="141"/>
      <c r="G1593" s="141"/>
      <c r="H1593" s="141"/>
    </row>
    <row r="1594" spans="3:8">
      <c r="C1594" s="141"/>
      <c r="D1594" s="141"/>
      <c r="E1594" s="141"/>
      <c r="F1594" s="141"/>
      <c r="G1594" s="141"/>
      <c r="H1594" s="141"/>
    </row>
    <row r="1595" spans="3:8">
      <c r="C1595" s="141"/>
      <c r="D1595" s="141"/>
      <c r="E1595" s="141"/>
      <c r="F1595" s="141"/>
      <c r="G1595" s="141"/>
      <c r="H1595" s="141"/>
    </row>
    <row r="1596" spans="3:8">
      <c r="C1596" s="141"/>
      <c r="D1596" s="141"/>
      <c r="E1596" s="141"/>
      <c r="F1596" s="141"/>
      <c r="G1596" s="141"/>
      <c r="H1596" s="141"/>
    </row>
    <row r="1597" spans="3:8">
      <c r="C1597" s="141"/>
      <c r="D1597" s="141"/>
      <c r="E1597" s="141"/>
      <c r="F1597" s="141"/>
      <c r="G1597" s="141"/>
      <c r="H1597" s="141"/>
    </row>
    <row r="1598" spans="3:8">
      <c r="C1598" s="141"/>
      <c r="D1598" s="141"/>
      <c r="E1598" s="141"/>
      <c r="F1598" s="141"/>
      <c r="G1598" s="141"/>
      <c r="H1598" s="141"/>
    </row>
    <row r="1599" spans="3:8">
      <c r="C1599" s="141"/>
      <c r="D1599" s="141"/>
      <c r="E1599" s="141"/>
      <c r="F1599" s="141"/>
      <c r="G1599" s="141"/>
      <c r="H1599" s="141"/>
    </row>
    <row r="1600" spans="3:8">
      <c r="C1600" s="141"/>
      <c r="D1600" s="141"/>
      <c r="E1600" s="141"/>
      <c r="F1600" s="141"/>
      <c r="G1600" s="141"/>
      <c r="H1600" s="141"/>
    </row>
    <row r="1601" spans="3:8">
      <c r="C1601" s="141"/>
      <c r="D1601" s="141"/>
      <c r="E1601" s="141"/>
      <c r="F1601" s="141"/>
      <c r="G1601" s="141"/>
      <c r="H1601" s="141"/>
    </row>
    <row r="1602" spans="3:8">
      <c r="C1602" s="141"/>
      <c r="D1602" s="141"/>
      <c r="E1602" s="141"/>
      <c r="F1602" s="141"/>
      <c r="G1602" s="141"/>
      <c r="H1602" s="141"/>
    </row>
    <row r="1603" spans="3:8">
      <c r="C1603" s="141"/>
      <c r="D1603" s="141"/>
      <c r="E1603" s="141"/>
      <c r="F1603" s="141"/>
      <c r="G1603" s="141"/>
      <c r="H1603" s="141"/>
    </row>
    <row r="1604" spans="3:8">
      <c r="C1604" s="141"/>
      <c r="D1604" s="141"/>
      <c r="E1604" s="141"/>
      <c r="F1604" s="141"/>
      <c r="G1604" s="141"/>
      <c r="H1604" s="141"/>
    </row>
    <row r="1605" spans="3:8">
      <c r="C1605" s="141"/>
      <c r="D1605" s="141"/>
      <c r="E1605" s="141"/>
      <c r="F1605" s="141"/>
      <c r="G1605" s="141"/>
      <c r="H1605" s="141"/>
    </row>
    <row r="1606" spans="3:8">
      <c r="C1606" s="141"/>
      <c r="D1606" s="141"/>
      <c r="E1606" s="141"/>
      <c r="F1606" s="141"/>
      <c r="G1606" s="141"/>
      <c r="H1606" s="141"/>
    </row>
    <row r="1607" spans="3:8">
      <c r="C1607" s="141"/>
      <c r="D1607" s="141"/>
      <c r="E1607" s="141"/>
      <c r="F1607" s="141"/>
      <c r="G1607" s="141"/>
      <c r="H1607" s="141"/>
    </row>
    <row r="1608" spans="3:8">
      <c r="C1608" s="141"/>
      <c r="D1608" s="141"/>
      <c r="E1608" s="141"/>
      <c r="F1608" s="141"/>
      <c r="G1608" s="141"/>
      <c r="H1608" s="141"/>
    </row>
    <row r="1609" spans="3:8">
      <c r="C1609" s="141"/>
      <c r="D1609" s="141"/>
      <c r="E1609" s="141"/>
      <c r="F1609" s="141"/>
      <c r="G1609" s="141"/>
      <c r="H1609" s="141"/>
    </row>
    <row r="1610" spans="3:8">
      <c r="C1610" s="141"/>
      <c r="D1610" s="141"/>
      <c r="E1610" s="141"/>
      <c r="F1610" s="141"/>
      <c r="G1610" s="141"/>
      <c r="H1610" s="141"/>
    </row>
    <row r="1611" spans="3:8">
      <c r="C1611" s="141"/>
      <c r="D1611" s="141"/>
      <c r="E1611" s="141"/>
      <c r="F1611" s="141"/>
      <c r="G1611" s="141"/>
      <c r="H1611" s="141"/>
    </row>
    <row r="1612" spans="3:8">
      <c r="C1612" s="141"/>
      <c r="D1612" s="141"/>
      <c r="E1612" s="141"/>
      <c r="F1612" s="141"/>
      <c r="G1612" s="141"/>
      <c r="H1612" s="141"/>
    </row>
    <row r="1613" spans="3:8">
      <c r="C1613" s="141"/>
      <c r="D1613" s="141"/>
      <c r="E1613" s="141"/>
      <c r="F1613" s="141"/>
      <c r="G1613" s="141"/>
      <c r="H1613" s="141"/>
    </row>
    <row r="1614" spans="3:8">
      <c r="C1614" s="141"/>
      <c r="D1614" s="141"/>
      <c r="E1614" s="141"/>
      <c r="F1614" s="141"/>
      <c r="G1614" s="141"/>
      <c r="H1614" s="141"/>
    </row>
    <row r="1615" spans="3:8">
      <c r="C1615" s="141"/>
      <c r="D1615" s="141"/>
      <c r="E1615" s="141"/>
      <c r="F1615" s="141"/>
      <c r="G1615" s="141"/>
      <c r="H1615" s="141"/>
    </row>
    <row r="1616" spans="3:8">
      <c r="C1616" s="141"/>
      <c r="D1616" s="141"/>
      <c r="E1616" s="141"/>
      <c r="F1616" s="141"/>
      <c r="G1616" s="141"/>
      <c r="H1616" s="141"/>
    </row>
    <row r="1617" spans="3:8">
      <c r="C1617" s="141"/>
      <c r="D1617" s="141"/>
      <c r="E1617" s="141"/>
      <c r="F1617" s="141"/>
      <c r="G1617" s="141"/>
      <c r="H1617" s="141"/>
    </row>
    <row r="1618" spans="3:8">
      <c r="C1618" s="141"/>
      <c r="D1618" s="141"/>
      <c r="E1618" s="141"/>
      <c r="F1618" s="141"/>
      <c r="G1618" s="141"/>
      <c r="H1618" s="141"/>
    </row>
    <row r="1619" spans="3:8">
      <c r="C1619" s="141"/>
      <c r="D1619" s="141"/>
      <c r="E1619" s="141"/>
      <c r="F1619" s="141"/>
      <c r="G1619" s="141"/>
      <c r="H1619" s="141"/>
    </row>
    <row r="1620" spans="3:8">
      <c r="C1620" s="141"/>
      <c r="D1620" s="141"/>
      <c r="E1620" s="141"/>
      <c r="F1620" s="141"/>
      <c r="G1620" s="141"/>
      <c r="H1620" s="141"/>
    </row>
    <row r="1621" spans="3:8">
      <c r="C1621" s="141"/>
      <c r="D1621" s="141"/>
      <c r="E1621" s="141"/>
      <c r="F1621" s="141"/>
      <c r="G1621" s="141"/>
      <c r="H1621" s="141"/>
    </row>
    <row r="1622" spans="3:8">
      <c r="C1622" s="141"/>
      <c r="D1622" s="141"/>
      <c r="E1622" s="141"/>
      <c r="F1622" s="141"/>
      <c r="G1622" s="141"/>
      <c r="H1622" s="141"/>
    </row>
    <row r="1623" spans="3:8">
      <c r="C1623" s="141"/>
      <c r="D1623" s="141"/>
      <c r="E1623" s="141"/>
      <c r="F1623" s="141"/>
      <c r="G1623" s="141"/>
      <c r="H1623" s="141"/>
    </row>
    <row r="1624" spans="3:8">
      <c r="C1624" s="141"/>
      <c r="D1624" s="141"/>
      <c r="E1624" s="141"/>
      <c r="F1624" s="141"/>
      <c r="G1624" s="141"/>
      <c r="H1624" s="141"/>
    </row>
    <row r="1625" spans="3:8">
      <c r="C1625" s="141"/>
      <c r="D1625" s="141"/>
      <c r="E1625" s="141"/>
      <c r="F1625" s="141"/>
      <c r="G1625" s="141"/>
      <c r="H1625" s="141"/>
    </row>
    <row r="1626" spans="3:8">
      <c r="C1626" s="141"/>
      <c r="D1626" s="141"/>
      <c r="E1626" s="141"/>
      <c r="F1626" s="141"/>
      <c r="G1626" s="141"/>
      <c r="H1626" s="141"/>
    </row>
    <row r="1627" spans="3:8">
      <c r="C1627" s="141"/>
      <c r="D1627" s="141"/>
      <c r="E1627" s="141"/>
      <c r="F1627" s="141"/>
      <c r="G1627" s="141"/>
      <c r="H1627" s="141"/>
    </row>
    <row r="1628" spans="3:8">
      <c r="C1628" s="141"/>
      <c r="D1628" s="141"/>
      <c r="E1628" s="141"/>
      <c r="F1628" s="141"/>
      <c r="G1628" s="141"/>
      <c r="H1628" s="141"/>
    </row>
    <row r="1629" spans="3:8">
      <c r="C1629" s="141"/>
      <c r="D1629" s="141"/>
      <c r="E1629" s="141"/>
      <c r="F1629" s="141"/>
      <c r="G1629" s="141"/>
      <c r="H1629" s="141"/>
    </row>
    <row r="1630" spans="3:8">
      <c r="C1630" s="141"/>
      <c r="D1630" s="141"/>
      <c r="E1630" s="141"/>
      <c r="F1630" s="141"/>
      <c r="G1630" s="141"/>
      <c r="H1630" s="141"/>
    </row>
    <row r="1631" spans="3:8">
      <c r="C1631" s="141"/>
      <c r="D1631" s="141"/>
      <c r="E1631" s="141"/>
      <c r="F1631" s="141"/>
      <c r="G1631" s="141"/>
      <c r="H1631" s="141"/>
    </row>
    <row r="1632" spans="3:8">
      <c r="C1632" s="141"/>
      <c r="D1632" s="141"/>
      <c r="E1632" s="141"/>
      <c r="F1632" s="141"/>
      <c r="G1632" s="141"/>
      <c r="H1632" s="141"/>
    </row>
    <row r="1633" spans="3:8">
      <c r="C1633" s="141"/>
      <c r="D1633" s="141"/>
      <c r="E1633" s="141"/>
      <c r="F1633" s="141"/>
      <c r="G1633" s="141"/>
      <c r="H1633" s="141"/>
    </row>
    <row r="1634" spans="3:8">
      <c r="C1634" s="141"/>
      <c r="D1634" s="141"/>
      <c r="E1634" s="141"/>
      <c r="F1634" s="141"/>
      <c r="G1634" s="141"/>
      <c r="H1634" s="141"/>
    </row>
    <row r="1635" spans="3:8">
      <c r="C1635" s="141"/>
      <c r="D1635" s="141"/>
      <c r="E1635" s="141"/>
      <c r="F1635" s="141"/>
      <c r="G1635" s="141"/>
      <c r="H1635" s="141"/>
    </row>
    <row r="1636" spans="3:8">
      <c r="C1636" s="141"/>
      <c r="D1636" s="141"/>
      <c r="E1636" s="141"/>
      <c r="F1636" s="141"/>
      <c r="G1636" s="141"/>
      <c r="H1636" s="141"/>
    </row>
    <row r="1637" spans="3:8">
      <c r="C1637" s="141"/>
      <c r="D1637" s="141"/>
      <c r="E1637" s="141"/>
      <c r="F1637" s="141"/>
      <c r="G1637" s="141"/>
      <c r="H1637" s="141"/>
    </row>
    <row r="1638" spans="3:8">
      <c r="C1638" s="141"/>
      <c r="D1638" s="141"/>
      <c r="E1638" s="141"/>
      <c r="F1638" s="141"/>
      <c r="G1638" s="141"/>
      <c r="H1638" s="141"/>
    </row>
    <row r="1639" spans="3:8">
      <c r="C1639" s="141"/>
      <c r="D1639" s="141"/>
      <c r="E1639" s="141"/>
      <c r="F1639" s="141"/>
      <c r="G1639" s="141"/>
      <c r="H1639" s="141"/>
    </row>
    <row r="1640" spans="3:8">
      <c r="C1640" s="141"/>
      <c r="D1640" s="141"/>
      <c r="E1640" s="141"/>
      <c r="F1640" s="141"/>
      <c r="G1640" s="141"/>
      <c r="H1640" s="141"/>
    </row>
    <row r="1641" spans="3:8">
      <c r="C1641" s="141"/>
      <c r="D1641" s="141"/>
      <c r="E1641" s="141"/>
      <c r="F1641" s="141"/>
      <c r="G1641" s="141"/>
      <c r="H1641" s="141"/>
    </row>
    <row r="1642" spans="3:8">
      <c r="C1642" s="141"/>
      <c r="D1642" s="141"/>
      <c r="E1642" s="141"/>
      <c r="F1642" s="141"/>
      <c r="G1642" s="141"/>
      <c r="H1642" s="141"/>
    </row>
    <row r="1643" spans="3:8">
      <c r="C1643" s="141"/>
      <c r="D1643" s="141"/>
      <c r="E1643" s="141"/>
      <c r="F1643" s="141"/>
      <c r="G1643" s="141"/>
      <c r="H1643" s="141"/>
    </row>
    <row r="1644" spans="3:8">
      <c r="C1644" s="141"/>
      <c r="D1644" s="141"/>
      <c r="E1644" s="141"/>
      <c r="F1644" s="141"/>
      <c r="G1644" s="141"/>
      <c r="H1644" s="141"/>
    </row>
    <row r="1645" spans="3:8">
      <c r="C1645" s="141"/>
      <c r="D1645" s="141"/>
      <c r="E1645" s="141"/>
      <c r="F1645" s="141"/>
      <c r="G1645" s="141"/>
      <c r="H1645" s="141"/>
    </row>
    <row r="1646" spans="3:8">
      <c r="C1646" s="141"/>
      <c r="D1646" s="141"/>
      <c r="E1646" s="141"/>
      <c r="F1646" s="141"/>
      <c r="G1646" s="141"/>
      <c r="H1646" s="141"/>
    </row>
    <row r="1647" spans="3:8">
      <c r="C1647" s="141"/>
      <c r="D1647" s="141"/>
      <c r="E1647" s="141"/>
      <c r="F1647" s="141"/>
      <c r="G1647" s="141"/>
      <c r="H1647" s="141"/>
    </row>
    <row r="1648" spans="3:8">
      <c r="C1648" s="141"/>
      <c r="D1648" s="141"/>
      <c r="E1648" s="141"/>
      <c r="F1648" s="141"/>
      <c r="G1648" s="141"/>
      <c r="H1648" s="141"/>
    </row>
    <row r="1649" spans="3:8">
      <c r="C1649" s="141"/>
      <c r="D1649" s="141"/>
      <c r="E1649" s="141"/>
      <c r="F1649" s="141"/>
      <c r="G1649" s="141"/>
      <c r="H1649" s="141"/>
    </row>
    <row r="1650" spans="3:8">
      <c r="C1650" s="141"/>
      <c r="D1650" s="141"/>
      <c r="E1650" s="141"/>
      <c r="F1650" s="141"/>
      <c r="G1650" s="141"/>
      <c r="H1650" s="141"/>
    </row>
    <row r="1651" spans="3:8">
      <c r="C1651" s="141"/>
      <c r="D1651" s="141"/>
      <c r="E1651" s="141"/>
      <c r="F1651" s="141"/>
      <c r="G1651" s="141"/>
      <c r="H1651" s="141"/>
    </row>
    <row r="1652" spans="3:8">
      <c r="C1652" s="141"/>
      <c r="D1652" s="141"/>
      <c r="E1652" s="141"/>
      <c r="F1652" s="141"/>
      <c r="G1652" s="141"/>
      <c r="H1652" s="141"/>
    </row>
    <row r="1653" spans="3:8">
      <c r="C1653" s="141"/>
      <c r="D1653" s="141"/>
      <c r="E1653" s="141"/>
      <c r="F1653" s="141"/>
      <c r="G1653" s="141"/>
      <c r="H1653" s="141"/>
    </row>
    <row r="1654" spans="3:8">
      <c r="C1654" s="141"/>
      <c r="D1654" s="141"/>
      <c r="E1654" s="141"/>
      <c r="F1654" s="141"/>
      <c r="G1654" s="141"/>
      <c r="H1654" s="141"/>
    </row>
    <row r="1655" spans="3:8">
      <c r="C1655" s="141"/>
      <c r="D1655" s="141"/>
      <c r="E1655" s="141"/>
      <c r="F1655" s="141"/>
      <c r="G1655" s="141"/>
      <c r="H1655" s="141"/>
    </row>
    <row r="1656" spans="3:8">
      <c r="C1656" s="141"/>
      <c r="D1656" s="141"/>
      <c r="E1656" s="141"/>
      <c r="F1656" s="141"/>
      <c r="G1656" s="141"/>
      <c r="H1656" s="141"/>
    </row>
    <row r="1657" spans="3:8">
      <c r="C1657" s="141"/>
      <c r="D1657" s="141"/>
      <c r="E1657" s="141"/>
      <c r="F1657" s="141"/>
      <c r="G1657" s="141"/>
      <c r="H1657" s="141"/>
    </row>
    <row r="1658" spans="3:8">
      <c r="C1658" s="141"/>
      <c r="D1658" s="141"/>
      <c r="E1658" s="141"/>
      <c r="F1658" s="141"/>
      <c r="G1658" s="141"/>
      <c r="H1658" s="141"/>
    </row>
    <row r="1659" spans="3:8">
      <c r="C1659" s="141"/>
      <c r="D1659" s="141"/>
      <c r="E1659" s="141"/>
      <c r="F1659" s="141"/>
      <c r="G1659" s="141"/>
      <c r="H1659" s="141"/>
    </row>
    <row r="1660" spans="3:8">
      <c r="C1660" s="141"/>
      <c r="D1660" s="141"/>
      <c r="E1660" s="141"/>
      <c r="F1660" s="141"/>
      <c r="G1660" s="141"/>
      <c r="H1660" s="141"/>
    </row>
    <row r="1661" spans="3:8">
      <c r="C1661" s="141"/>
      <c r="D1661" s="141"/>
      <c r="E1661" s="141"/>
      <c r="F1661" s="141"/>
      <c r="G1661" s="141"/>
      <c r="H1661" s="141"/>
    </row>
    <row r="1662" spans="3:8">
      <c r="C1662" s="141"/>
      <c r="D1662" s="141"/>
      <c r="E1662" s="141"/>
      <c r="F1662" s="141"/>
      <c r="G1662" s="141"/>
      <c r="H1662" s="141"/>
    </row>
    <row r="1663" spans="3:8">
      <c r="C1663" s="141"/>
      <c r="D1663" s="141"/>
      <c r="E1663" s="141"/>
      <c r="F1663" s="141"/>
      <c r="G1663" s="141"/>
      <c r="H1663" s="141"/>
    </row>
    <row r="1664" spans="3:8">
      <c r="C1664" s="141"/>
      <c r="D1664" s="141"/>
      <c r="E1664" s="141"/>
      <c r="F1664" s="141"/>
      <c r="G1664" s="141"/>
      <c r="H1664" s="141"/>
    </row>
    <row r="1665" spans="3:8">
      <c r="C1665" s="141"/>
      <c r="D1665" s="141"/>
      <c r="E1665" s="141"/>
      <c r="F1665" s="141"/>
      <c r="G1665" s="141"/>
      <c r="H1665" s="141"/>
    </row>
    <row r="1666" spans="3:8">
      <c r="C1666" s="141"/>
      <c r="D1666" s="141"/>
      <c r="E1666" s="141"/>
      <c r="F1666" s="141"/>
      <c r="G1666" s="141"/>
      <c r="H1666" s="141"/>
    </row>
    <row r="1667" spans="3:8">
      <c r="C1667" s="141"/>
      <c r="D1667" s="141"/>
      <c r="E1667" s="141"/>
      <c r="F1667" s="141"/>
      <c r="G1667" s="141"/>
      <c r="H1667" s="141"/>
    </row>
    <row r="1668" spans="3:8">
      <c r="C1668" s="141"/>
      <c r="D1668" s="141"/>
      <c r="E1668" s="141"/>
      <c r="F1668" s="141"/>
      <c r="G1668" s="141"/>
      <c r="H1668" s="141"/>
    </row>
    <row r="1669" spans="3:8">
      <c r="C1669" s="141"/>
      <c r="D1669" s="141"/>
      <c r="E1669" s="141"/>
      <c r="F1669" s="141"/>
      <c r="G1669" s="141"/>
      <c r="H1669" s="141"/>
    </row>
    <row r="1670" spans="3:8">
      <c r="C1670" s="141"/>
      <c r="D1670" s="141"/>
      <c r="E1670" s="141"/>
      <c r="F1670" s="141"/>
      <c r="G1670" s="141"/>
      <c r="H1670" s="141"/>
    </row>
    <row r="1671" spans="3:8">
      <c r="C1671" s="141"/>
      <c r="D1671" s="141"/>
      <c r="E1671" s="141"/>
      <c r="F1671" s="141"/>
      <c r="G1671" s="141"/>
      <c r="H1671" s="141"/>
    </row>
    <row r="1672" spans="3:8">
      <c r="C1672" s="141"/>
      <c r="D1672" s="141"/>
      <c r="E1672" s="141"/>
      <c r="F1672" s="141"/>
      <c r="G1672" s="141"/>
      <c r="H1672" s="141"/>
    </row>
    <row r="1673" spans="3:8">
      <c r="C1673" s="141"/>
      <c r="D1673" s="141"/>
      <c r="E1673" s="141"/>
      <c r="F1673" s="141"/>
      <c r="G1673" s="141"/>
      <c r="H1673" s="141"/>
    </row>
    <row r="1674" spans="3:8">
      <c r="C1674" s="141"/>
      <c r="D1674" s="141"/>
      <c r="E1674" s="141"/>
      <c r="F1674" s="141"/>
      <c r="G1674" s="141"/>
      <c r="H1674" s="141"/>
    </row>
    <row r="1675" spans="3:8">
      <c r="C1675" s="141"/>
      <c r="D1675" s="141"/>
      <c r="E1675" s="141"/>
      <c r="F1675" s="141"/>
      <c r="G1675" s="141"/>
      <c r="H1675" s="141"/>
    </row>
    <row r="1676" spans="3:8">
      <c r="C1676" s="141"/>
      <c r="D1676" s="141"/>
      <c r="E1676" s="141"/>
      <c r="F1676" s="141"/>
      <c r="G1676" s="141"/>
      <c r="H1676" s="141"/>
    </row>
    <row r="1677" spans="3:8">
      <c r="C1677" s="141"/>
      <c r="D1677" s="141"/>
      <c r="E1677" s="141"/>
      <c r="F1677" s="141"/>
      <c r="G1677" s="141"/>
      <c r="H1677" s="141"/>
    </row>
    <row r="1678" spans="3:8">
      <c r="C1678" s="141"/>
      <c r="D1678" s="141"/>
      <c r="E1678" s="141"/>
      <c r="F1678" s="141"/>
      <c r="G1678" s="141"/>
      <c r="H1678" s="141"/>
    </row>
    <row r="1679" spans="3:8">
      <c r="C1679" s="141"/>
      <c r="D1679" s="141"/>
      <c r="E1679" s="141"/>
      <c r="F1679" s="141"/>
      <c r="G1679" s="141"/>
      <c r="H1679" s="141"/>
    </row>
    <row r="1680" spans="3:8">
      <c r="C1680" s="141"/>
      <c r="D1680" s="141"/>
      <c r="E1680" s="141"/>
      <c r="F1680" s="141"/>
      <c r="G1680" s="141"/>
      <c r="H1680" s="141"/>
    </row>
    <row r="1681" spans="3:8">
      <c r="C1681" s="141"/>
      <c r="D1681" s="141"/>
      <c r="E1681" s="141"/>
      <c r="F1681" s="141"/>
      <c r="G1681" s="141"/>
      <c r="H1681" s="141"/>
    </row>
    <row r="1682" spans="3:8">
      <c r="C1682" s="141"/>
      <c r="D1682" s="141"/>
      <c r="E1682" s="141"/>
      <c r="F1682" s="141"/>
      <c r="G1682" s="141"/>
      <c r="H1682" s="141"/>
    </row>
    <row r="1683" spans="3:8">
      <c r="C1683" s="141"/>
      <c r="D1683" s="141"/>
      <c r="E1683" s="141"/>
      <c r="F1683" s="141"/>
      <c r="G1683" s="141"/>
      <c r="H1683" s="141"/>
    </row>
    <row r="1684" spans="3:8">
      <c r="C1684" s="141"/>
      <c r="D1684" s="141"/>
      <c r="E1684" s="141"/>
      <c r="F1684" s="141"/>
      <c r="G1684" s="141"/>
      <c r="H1684" s="141"/>
    </row>
    <row r="1685" spans="3:8">
      <c r="C1685" s="141"/>
      <c r="D1685" s="141"/>
      <c r="E1685" s="141"/>
      <c r="F1685" s="141"/>
      <c r="G1685" s="141"/>
      <c r="H1685" s="141"/>
    </row>
    <row r="1686" spans="3:8">
      <c r="C1686" s="141"/>
      <c r="D1686" s="141"/>
      <c r="E1686" s="141"/>
      <c r="F1686" s="141"/>
      <c r="G1686" s="141"/>
      <c r="H1686" s="141"/>
    </row>
    <row r="1687" spans="3:8">
      <c r="C1687" s="141"/>
      <c r="D1687" s="141"/>
      <c r="E1687" s="141"/>
      <c r="F1687" s="141"/>
      <c r="G1687" s="141"/>
      <c r="H1687" s="141"/>
    </row>
    <row r="1688" spans="3:8">
      <c r="C1688" s="141"/>
      <c r="D1688" s="141"/>
      <c r="E1688" s="141"/>
      <c r="F1688" s="141"/>
      <c r="G1688" s="141"/>
      <c r="H1688" s="141"/>
    </row>
    <row r="1689" spans="3:8">
      <c r="C1689" s="141"/>
      <c r="D1689" s="141"/>
      <c r="E1689" s="141"/>
      <c r="F1689" s="141"/>
      <c r="G1689" s="141"/>
      <c r="H1689" s="141"/>
    </row>
    <row r="1690" spans="3:8">
      <c r="C1690" s="141"/>
      <c r="D1690" s="141"/>
      <c r="E1690" s="141"/>
      <c r="F1690" s="141"/>
      <c r="G1690" s="141"/>
      <c r="H1690" s="141"/>
    </row>
    <row r="1691" spans="3:8">
      <c r="C1691" s="141"/>
      <c r="D1691" s="141"/>
      <c r="E1691" s="141"/>
      <c r="F1691" s="141"/>
      <c r="G1691" s="141"/>
      <c r="H1691" s="141"/>
    </row>
    <row r="1692" spans="3:8">
      <c r="C1692" s="141"/>
      <c r="D1692" s="141"/>
      <c r="E1692" s="141"/>
      <c r="F1692" s="141"/>
      <c r="G1692" s="141"/>
      <c r="H1692" s="141"/>
    </row>
    <row r="1693" spans="3:8">
      <c r="C1693" s="141"/>
      <c r="D1693" s="141"/>
      <c r="E1693" s="141"/>
      <c r="F1693" s="141"/>
      <c r="G1693" s="141"/>
      <c r="H1693" s="141"/>
    </row>
    <row r="1694" spans="3:8">
      <c r="C1694" s="141"/>
      <c r="D1694" s="141"/>
      <c r="E1694" s="141"/>
      <c r="F1694" s="141"/>
      <c r="G1694" s="141"/>
      <c r="H1694" s="141"/>
    </row>
    <row r="1695" spans="3:8">
      <c r="C1695" s="141"/>
      <c r="D1695" s="141"/>
      <c r="E1695" s="141"/>
      <c r="F1695" s="141"/>
      <c r="G1695" s="141"/>
      <c r="H1695" s="141"/>
    </row>
    <row r="1696" spans="3:8">
      <c r="C1696" s="141"/>
      <c r="D1696" s="141"/>
      <c r="E1696" s="141"/>
      <c r="F1696" s="141"/>
      <c r="G1696" s="141"/>
      <c r="H1696" s="141"/>
    </row>
    <row r="1697" spans="3:8">
      <c r="C1697" s="141"/>
      <c r="D1697" s="141"/>
      <c r="E1697" s="141"/>
      <c r="F1697" s="141"/>
      <c r="G1697" s="141"/>
      <c r="H1697" s="141"/>
    </row>
    <row r="1698" spans="3:8">
      <c r="C1698" s="141"/>
      <c r="D1698" s="141"/>
      <c r="E1698" s="141"/>
      <c r="F1698" s="141"/>
      <c r="G1698" s="141"/>
      <c r="H1698" s="141"/>
    </row>
    <row r="1699" spans="3:8">
      <c r="C1699" s="141"/>
      <c r="D1699" s="141"/>
      <c r="E1699" s="141"/>
      <c r="F1699" s="141"/>
      <c r="G1699" s="141"/>
      <c r="H1699" s="141"/>
    </row>
    <row r="1700" spans="3:8">
      <c r="C1700" s="141"/>
      <c r="D1700" s="141"/>
      <c r="E1700" s="141"/>
      <c r="F1700" s="141"/>
      <c r="G1700" s="141"/>
      <c r="H1700" s="141"/>
    </row>
    <row r="1701" spans="3:8">
      <c r="C1701" s="141"/>
      <c r="D1701" s="141"/>
      <c r="E1701" s="141"/>
      <c r="F1701" s="141"/>
      <c r="G1701" s="141"/>
      <c r="H1701" s="141"/>
    </row>
    <row r="1702" spans="3:8">
      <c r="C1702" s="141"/>
      <c r="D1702" s="141"/>
      <c r="E1702" s="141"/>
      <c r="F1702" s="141"/>
      <c r="G1702" s="141"/>
      <c r="H1702" s="141"/>
    </row>
    <row r="1703" spans="3:8">
      <c r="C1703" s="141"/>
      <c r="D1703" s="141"/>
      <c r="E1703" s="141"/>
      <c r="F1703" s="141"/>
      <c r="G1703" s="141"/>
      <c r="H1703" s="141"/>
    </row>
    <row r="1704" spans="3:8">
      <c r="C1704" s="141"/>
      <c r="D1704" s="141"/>
      <c r="E1704" s="141"/>
      <c r="F1704" s="141"/>
      <c r="G1704" s="141"/>
      <c r="H1704" s="141"/>
    </row>
    <row r="1705" spans="3:8">
      <c r="C1705" s="141"/>
      <c r="D1705" s="141"/>
      <c r="E1705" s="141"/>
      <c r="F1705" s="141"/>
      <c r="G1705" s="141"/>
      <c r="H1705" s="141"/>
    </row>
    <row r="1706" spans="3:8">
      <c r="C1706" s="141"/>
      <c r="D1706" s="141"/>
      <c r="E1706" s="141"/>
      <c r="F1706" s="141"/>
      <c r="G1706" s="141"/>
      <c r="H1706" s="141"/>
    </row>
    <row r="1707" spans="3:8">
      <c r="C1707" s="141"/>
      <c r="D1707" s="141"/>
      <c r="E1707" s="141"/>
      <c r="F1707" s="141"/>
      <c r="G1707" s="141"/>
      <c r="H1707" s="141"/>
    </row>
    <row r="1708" spans="3:8">
      <c r="C1708" s="141"/>
      <c r="D1708" s="141"/>
      <c r="E1708" s="141"/>
      <c r="F1708" s="141"/>
      <c r="G1708" s="141"/>
      <c r="H1708" s="141"/>
    </row>
    <row r="1709" spans="3:8">
      <c r="C1709" s="141"/>
      <c r="D1709" s="141"/>
      <c r="E1709" s="141"/>
      <c r="F1709" s="141"/>
      <c r="G1709" s="141"/>
      <c r="H1709" s="141"/>
    </row>
    <row r="1710" spans="3:8">
      <c r="C1710" s="141"/>
      <c r="D1710" s="141"/>
      <c r="E1710" s="141"/>
      <c r="F1710" s="141"/>
      <c r="G1710" s="141"/>
      <c r="H1710" s="141"/>
    </row>
    <row r="1711" spans="3:8">
      <c r="C1711" s="141"/>
      <c r="D1711" s="141"/>
      <c r="E1711" s="141"/>
      <c r="F1711" s="141"/>
      <c r="G1711" s="141"/>
      <c r="H1711" s="141"/>
    </row>
    <row r="1712" spans="3:8">
      <c r="C1712" s="141"/>
      <c r="D1712" s="141"/>
      <c r="E1712" s="141"/>
      <c r="F1712" s="141"/>
      <c r="G1712" s="141"/>
      <c r="H1712" s="141"/>
    </row>
    <row r="1713" spans="3:8">
      <c r="C1713" s="141"/>
      <c r="D1713" s="141"/>
      <c r="E1713" s="141"/>
      <c r="F1713" s="141"/>
      <c r="G1713" s="141"/>
      <c r="H1713" s="141"/>
    </row>
    <row r="1714" spans="3:8">
      <c r="C1714" s="141"/>
      <c r="D1714" s="141"/>
      <c r="E1714" s="141"/>
      <c r="F1714" s="141"/>
      <c r="G1714" s="141"/>
      <c r="H1714" s="141"/>
    </row>
    <row r="1715" spans="3:8">
      <c r="C1715" s="141"/>
      <c r="D1715" s="141"/>
      <c r="E1715" s="141"/>
      <c r="F1715" s="141"/>
      <c r="G1715" s="141"/>
      <c r="H1715" s="141"/>
    </row>
    <row r="1716" spans="3:8">
      <c r="C1716" s="141"/>
      <c r="D1716" s="141"/>
      <c r="E1716" s="141"/>
      <c r="F1716" s="141"/>
      <c r="G1716" s="141"/>
      <c r="H1716" s="141"/>
    </row>
    <row r="1717" spans="3:8">
      <c r="C1717" s="141"/>
      <c r="D1717" s="141"/>
      <c r="E1717" s="141"/>
      <c r="F1717" s="141"/>
      <c r="G1717" s="141"/>
      <c r="H1717" s="141"/>
    </row>
    <row r="1718" spans="3:8">
      <c r="C1718" s="141"/>
      <c r="D1718" s="141"/>
      <c r="E1718" s="141"/>
      <c r="F1718" s="141"/>
      <c r="G1718" s="141"/>
      <c r="H1718" s="141"/>
    </row>
    <row r="1719" spans="3:8">
      <c r="C1719" s="141"/>
      <c r="D1719" s="141"/>
      <c r="E1719" s="141"/>
      <c r="F1719" s="141"/>
      <c r="G1719" s="141"/>
      <c r="H1719" s="141"/>
    </row>
    <row r="1720" spans="3:8">
      <c r="C1720" s="141"/>
      <c r="D1720" s="141"/>
      <c r="E1720" s="141"/>
      <c r="F1720" s="141"/>
      <c r="G1720" s="141"/>
      <c r="H1720" s="141"/>
    </row>
    <row r="1721" spans="3:8">
      <c r="C1721" s="141"/>
      <c r="D1721" s="141"/>
      <c r="E1721" s="141"/>
      <c r="F1721" s="141"/>
      <c r="G1721" s="141"/>
      <c r="H1721" s="141"/>
    </row>
    <row r="1722" spans="3:8">
      <c r="C1722" s="141"/>
      <c r="D1722" s="141"/>
      <c r="E1722" s="141"/>
      <c r="F1722" s="141"/>
      <c r="G1722" s="141"/>
      <c r="H1722" s="141"/>
    </row>
    <row r="1723" spans="3:8">
      <c r="C1723" s="141"/>
      <c r="D1723" s="141"/>
      <c r="E1723" s="141"/>
      <c r="F1723" s="141"/>
      <c r="G1723" s="141"/>
      <c r="H1723" s="141"/>
    </row>
    <row r="1724" spans="3:8">
      <c r="C1724" s="141"/>
      <c r="D1724" s="141"/>
      <c r="E1724" s="141"/>
      <c r="F1724" s="141"/>
      <c r="G1724" s="141"/>
      <c r="H1724" s="141"/>
    </row>
    <row r="1725" spans="3:8">
      <c r="C1725" s="141"/>
      <c r="D1725" s="141"/>
      <c r="E1725" s="141"/>
      <c r="F1725" s="141"/>
      <c r="G1725" s="141"/>
      <c r="H1725" s="141"/>
    </row>
    <row r="1726" spans="3:8">
      <c r="C1726" s="141"/>
      <c r="D1726" s="141"/>
      <c r="E1726" s="141"/>
      <c r="F1726" s="141"/>
      <c r="G1726" s="141"/>
      <c r="H1726" s="141"/>
    </row>
    <row r="1727" spans="3:8">
      <c r="C1727" s="141"/>
      <c r="D1727" s="141"/>
      <c r="E1727" s="141"/>
      <c r="F1727" s="141"/>
      <c r="G1727" s="141"/>
      <c r="H1727" s="141"/>
    </row>
    <row r="1728" spans="3:8">
      <c r="C1728" s="141"/>
      <c r="D1728" s="141"/>
      <c r="E1728" s="141"/>
      <c r="F1728" s="141"/>
      <c r="G1728" s="141"/>
      <c r="H1728" s="141"/>
    </row>
    <row r="1729" spans="3:8">
      <c r="C1729" s="141"/>
      <c r="D1729" s="141"/>
      <c r="E1729" s="141"/>
      <c r="F1729" s="141"/>
      <c r="G1729" s="141"/>
      <c r="H1729" s="141"/>
    </row>
    <row r="1730" spans="3:8">
      <c r="C1730" s="141"/>
      <c r="D1730" s="141"/>
      <c r="E1730" s="141"/>
      <c r="F1730" s="141"/>
      <c r="G1730" s="141"/>
      <c r="H1730" s="141"/>
    </row>
    <row r="1731" spans="3:8">
      <c r="C1731" s="141"/>
      <c r="D1731" s="141"/>
      <c r="E1731" s="141"/>
      <c r="F1731" s="141"/>
      <c r="G1731" s="141"/>
      <c r="H1731" s="141"/>
    </row>
    <row r="1732" spans="3:8">
      <c r="C1732" s="141"/>
      <c r="D1732" s="141"/>
      <c r="E1732" s="141"/>
      <c r="F1732" s="141"/>
      <c r="G1732" s="141"/>
      <c r="H1732" s="141"/>
    </row>
    <row r="1733" spans="3:8">
      <c r="C1733" s="141"/>
      <c r="D1733" s="141"/>
      <c r="E1733" s="141"/>
      <c r="F1733" s="141"/>
      <c r="G1733" s="141"/>
      <c r="H1733" s="141"/>
    </row>
    <row r="1734" spans="3:8">
      <c r="C1734" s="141"/>
      <c r="D1734" s="141"/>
      <c r="E1734" s="141"/>
      <c r="F1734" s="141"/>
      <c r="G1734" s="141"/>
      <c r="H1734" s="141"/>
    </row>
    <row r="1735" spans="3:8">
      <c r="C1735" s="141"/>
      <c r="D1735" s="141"/>
      <c r="E1735" s="141"/>
      <c r="F1735" s="141"/>
      <c r="G1735" s="141"/>
      <c r="H1735" s="141"/>
    </row>
    <row r="1736" spans="3:8">
      <c r="C1736" s="141"/>
      <c r="D1736" s="141"/>
      <c r="E1736" s="141"/>
      <c r="F1736" s="141"/>
      <c r="G1736" s="141"/>
      <c r="H1736" s="141"/>
    </row>
    <row r="1737" spans="3:8">
      <c r="C1737" s="141"/>
      <c r="D1737" s="141"/>
      <c r="E1737" s="141"/>
      <c r="F1737" s="141"/>
      <c r="G1737" s="141"/>
      <c r="H1737" s="141"/>
    </row>
    <row r="1738" spans="3:8">
      <c r="C1738" s="141"/>
      <c r="D1738" s="141"/>
      <c r="E1738" s="141"/>
      <c r="F1738" s="141"/>
      <c r="G1738" s="141"/>
      <c r="H1738" s="141"/>
    </row>
    <row r="1739" spans="3:8">
      <c r="C1739" s="141"/>
      <c r="D1739" s="141"/>
      <c r="E1739" s="141"/>
      <c r="F1739" s="141"/>
      <c r="G1739" s="141"/>
      <c r="H1739" s="141"/>
    </row>
    <row r="1740" spans="3:8">
      <c r="C1740" s="141"/>
      <c r="D1740" s="141"/>
      <c r="E1740" s="141"/>
      <c r="F1740" s="141"/>
      <c r="G1740" s="141"/>
      <c r="H1740" s="141"/>
    </row>
    <row r="1741" spans="3:8">
      <c r="C1741" s="141"/>
      <c r="D1741" s="141"/>
      <c r="E1741" s="141"/>
      <c r="F1741" s="141"/>
      <c r="G1741" s="141"/>
      <c r="H1741" s="141"/>
    </row>
    <row r="1742" spans="3:8">
      <c r="C1742" s="141"/>
      <c r="D1742" s="141"/>
      <c r="E1742" s="141"/>
      <c r="F1742" s="141"/>
      <c r="G1742" s="141"/>
      <c r="H1742" s="141"/>
    </row>
    <row r="1743" spans="3:8">
      <c r="C1743" s="141"/>
      <c r="D1743" s="141"/>
      <c r="E1743" s="141"/>
      <c r="F1743" s="141"/>
      <c r="G1743" s="141"/>
      <c r="H1743" s="141"/>
    </row>
    <row r="1744" spans="3:8">
      <c r="C1744" s="141"/>
      <c r="D1744" s="141"/>
      <c r="E1744" s="141"/>
      <c r="F1744" s="141"/>
      <c r="G1744" s="141"/>
      <c r="H1744" s="141"/>
    </row>
    <row r="1745" spans="3:8">
      <c r="C1745" s="141"/>
      <c r="D1745" s="141"/>
      <c r="E1745" s="141"/>
      <c r="F1745" s="141"/>
      <c r="G1745" s="141"/>
      <c r="H1745" s="141"/>
    </row>
    <row r="1746" spans="3:8">
      <c r="C1746" s="141"/>
      <c r="D1746" s="141"/>
    </row>
    <row r="1747" spans="3:8">
      <c r="C1747" s="141"/>
      <c r="D1747" s="141"/>
    </row>
    <row r="1748" spans="3:8">
      <c r="C1748" s="141"/>
      <c r="D1748" s="141"/>
    </row>
    <row r="1749" spans="3:8">
      <c r="C1749" s="141"/>
      <c r="D1749" s="141"/>
    </row>
    <row r="1750" spans="3:8">
      <c r="C1750" s="141"/>
      <c r="D1750" s="141"/>
    </row>
    <row r="1751" spans="3:8">
      <c r="C1751" s="141"/>
      <c r="D1751" s="141"/>
    </row>
    <row r="1752" spans="3:8">
      <c r="C1752" s="141"/>
      <c r="D1752" s="141"/>
    </row>
    <row r="1753" spans="3:8">
      <c r="C1753" s="141"/>
      <c r="D1753" s="141"/>
    </row>
    <row r="1754" spans="3:8">
      <c r="C1754" s="141"/>
      <c r="D1754" s="141"/>
    </row>
    <row r="1755" spans="3:8">
      <c r="C1755" s="141"/>
      <c r="D1755" s="141"/>
    </row>
    <row r="1756" spans="3:8">
      <c r="C1756" s="141"/>
      <c r="D1756" s="141"/>
    </row>
    <row r="1757" spans="3:8">
      <c r="C1757" s="141"/>
      <c r="D1757" s="141"/>
    </row>
    <row r="1758" spans="3:8">
      <c r="C1758" s="141"/>
      <c r="D1758" s="141"/>
    </row>
    <row r="1759" spans="3:8">
      <c r="C1759" s="141"/>
      <c r="D1759" s="141"/>
    </row>
    <row r="1760" spans="3:8">
      <c r="C1760" s="141"/>
      <c r="D1760" s="141"/>
    </row>
    <row r="1761" spans="3:4">
      <c r="C1761" s="141"/>
      <c r="D1761" s="141"/>
    </row>
    <row r="1762" spans="3:4">
      <c r="C1762" s="141"/>
      <c r="D1762" s="141"/>
    </row>
    <row r="1763" spans="3:4">
      <c r="C1763" s="141"/>
      <c r="D1763" s="141"/>
    </row>
    <row r="1764" spans="3:4">
      <c r="C1764" s="141"/>
      <c r="D1764" s="141"/>
    </row>
    <row r="1765" spans="3:4">
      <c r="C1765" s="141"/>
      <c r="D1765" s="141"/>
    </row>
    <row r="1766" spans="3:4">
      <c r="C1766" s="141"/>
      <c r="D1766" s="141"/>
    </row>
    <row r="1767" spans="3:4">
      <c r="C1767" s="141"/>
      <c r="D1767" s="141"/>
    </row>
    <row r="1768" spans="3:4">
      <c r="C1768" s="141"/>
      <c r="D1768" s="141"/>
    </row>
    <row r="1769" spans="3:4">
      <c r="C1769" s="141"/>
      <c r="D1769" s="141"/>
    </row>
    <row r="1770" spans="3:4">
      <c r="C1770" s="141"/>
      <c r="D1770" s="141"/>
    </row>
    <row r="1771" spans="3:4">
      <c r="C1771" s="141"/>
      <c r="D1771" s="141"/>
    </row>
    <row r="1772" spans="3:4">
      <c r="C1772" s="141"/>
      <c r="D1772" s="141"/>
    </row>
    <row r="1773" spans="3:4">
      <c r="C1773" s="141"/>
      <c r="D1773" s="141"/>
    </row>
    <row r="1774" spans="3:4">
      <c r="C1774" s="141"/>
      <c r="D1774" s="141"/>
    </row>
    <row r="1775" spans="3:4">
      <c r="C1775" s="141"/>
      <c r="D1775" s="141"/>
    </row>
    <row r="1776" spans="3:4">
      <c r="C1776" s="141"/>
      <c r="D1776" s="141"/>
    </row>
    <row r="1777" spans="3:4">
      <c r="C1777" s="141"/>
      <c r="D1777" s="141"/>
    </row>
    <row r="1778" spans="3:4">
      <c r="C1778" s="141"/>
      <c r="D1778" s="141"/>
    </row>
    <row r="1779" spans="3:4">
      <c r="C1779" s="141"/>
      <c r="D1779" s="141"/>
    </row>
    <row r="1780" spans="3:4">
      <c r="C1780" s="141"/>
      <c r="D1780" s="141"/>
    </row>
    <row r="1781" spans="3:4">
      <c r="C1781" s="141"/>
      <c r="D1781" s="141"/>
    </row>
    <row r="1782" spans="3:4">
      <c r="C1782" s="141"/>
      <c r="D1782" s="141"/>
    </row>
    <row r="1783" spans="3:4">
      <c r="C1783" s="141"/>
      <c r="D1783" s="141"/>
    </row>
    <row r="1784" spans="3:4">
      <c r="C1784" s="141"/>
      <c r="D1784" s="141"/>
    </row>
    <row r="1785" spans="3:4">
      <c r="C1785" s="141"/>
      <c r="D1785" s="141"/>
    </row>
    <row r="1786" spans="3:4">
      <c r="C1786" s="141"/>
      <c r="D1786" s="141"/>
    </row>
    <row r="1787" spans="3:4">
      <c r="C1787" s="141"/>
      <c r="D1787" s="141"/>
    </row>
    <row r="1788" spans="3:4">
      <c r="C1788" s="141"/>
      <c r="D1788" s="141"/>
    </row>
    <row r="1789" spans="3:4">
      <c r="C1789" s="141"/>
      <c r="D1789" s="141"/>
    </row>
    <row r="1790" spans="3:4">
      <c r="C1790" s="141"/>
      <c r="D1790" s="141"/>
    </row>
    <row r="1791" spans="3:4">
      <c r="C1791" s="141"/>
      <c r="D1791" s="141"/>
    </row>
    <row r="1792" spans="3:4">
      <c r="C1792" s="141"/>
      <c r="D1792" s="141"/>
    </row>
    <row r="1793" spans="3:4">
      <c r="C1793" s="141"/>
      <c r="D1793" s="141"/>
    </row>
    <row r="1794" spans="3:4">
      <c r="C1794" s="141"/>
      <c r="D1794" s="141"/>
    </row>
    <row r="1795" spans="3:4">
      <c r="C1795" s="141"/>
      <c r="D1795" s="141"/>
    </row>
    <row r="1796" spans="3:4">
      <c r="C1796" s="141"/>
      <c r="D1796" s="141"/>
    </row>
    <row r="1797" spans="3:4">
      <c r="C1797" s="141"/>
      <c r="D1797" s="141"/>
    </row>
    <row r="1798" spans="3:4">
      <c r="C1798" s="141"/>
      <c r="D1798" s="141"/>
    </row>
    <row r="1799" spans="3:4">
      <c r="C1799" s="141"/>
      <c r="D1799" s="141"/>
    </row>
    <row r="1800" spans="3:4">
      <c r="C1800" s="141"/>
      <c r="D1800" s="141"/>
    </row>
    <row r="1801" spans="3:4">
      <c r="C1801" s="141"/>
      <c r="D1801" s="141"/>
    </row>
    <row r="1802" spans="3:4">
      <c r="C1802" s="141"/>
      <c r="D1802" s="141"/>
    </row>
    <row r="1803" spans="3:4">
      <c r="C1803" s="141"/>
      <c r="D1803" s="141"/>
    </row>
    <row r="1804" spans="3:4">
      <c r="C1804" s="141"/>
      <c r="D1804" s="141"/>
    </row>
    <row r="1805" spans="3:4">
      <c r="C1805" s="141"/>
      <c r="D1805" s="141"/>
    </row>
    <row r="1806" spans="3:4">
      <c r="C1806" s="141"/>
      <c r="D1806" s="141"/>
    </row>
    <row r="1807" spans="3:4">
      <c r="C1807" s="141"/>
      <c r="D1807" s="141"/>
    </row>
    <row r="1808" spans="3:4">
      <c r="C1808" s="141"/>
      <c r="D1808" s="141"/>
    </row>
    <row r="1809" spans="3:4">
      <c r="C1809" s="141"/>
      <c r="D1809" s="141"/>
    </row>
    <row r="1810" spans="3:4">
      <c r="C1810" s="141"/>
      <c r="D1810" s="141"/>
    </row>
    <row r="1811" spans="3:4">
      <c r="C1811" s="141"/>
      <c r="D1811" s="141"/>
    </row>
    <row r="1812" spans="3:4">
      <c r="C1812" s="141"/>
      <c r="D1812" s="141"/>
    </row>
    <row r="1813" spans="3:4">
      <c r="C1813" s="141"/>
      <c r="D1813" s="141"/>
    </row>
    <row r="1814" spans="3:4">
      <c r="C1814" s="141"/>
      <c r="D1814" s="141"/>
    </row>
    <row r="1815" spans="3:4">
      <c r="C1815" s="141"/>
      <c r="D1815" s="141"/>
    </row>
    <row r="1816" spans="3:4">
      <c r="C1816" s="141"/>
      <c r="D1816" s="141"/>
    </row>
    <row r="1817" spans="3:4">
      <c r="C1817" s="141"/>
      <c r="D1817" s="141"/>
    </row>
    <row r="1818" spans="3:4">
      <c r="C1818" s="141"/>
      <c r="D1818" s="141"/>
    </row>
    <row r="1819" spans="3:4">
      <c r="C1819" s="141"/>
      <c r="D1819" s="141"/>
    </row>
    <row r="1820" spans="3:4">
      <c r="C1820" s="141"/>
      <c r="D1820" s="141"/>
    </row>
    <row r="1821" spans="3:4">
      <c r="C1821" s="141"/>
      <c r="D1821" s="141"/>
    </row>
    <row r="1822" spans="3:4">
      <c r="C1822" s="141"/>
      <c r="D1822" s="141"/>
    </row>
    <row r="1823" spans="3:4">
      <c r="C1823" s="141"/>
      <c r="D1823" s="141"/>
    </row>
    <row r="1824" spans="3:4">
      <c r="C1824" s="141"/>
      <c r="D1824" s="141"/>
    </row>
    <row r="1825" spans="3:4">
      <c r="C1825" s="141"/>
      <c r="D1825" s="141"/>
    </row>
    <row r="1826" spans="3:4">
      <c r="C1826" s="141"/>
      <c r="D1826" s="141"/>
    </row>
    <row r="1827" spans="3:4">
      <c r="C1827" s="141"/>
      <c r="D1827" s="141"/>
    </row>
    <row r="1828" spans="3:4">
      <c r="C1828" s="141"/>
      <c r="D1828" s="141"/>
    </row>
    <row r="1829" spans="3:4">
      <c r="C1829" s="141"/>
      <c r="D1829" s="141"/>
    </row>
    <row r="1830" spans="3:4">
      <c r="C1830" s="141"/>
      <c r="D1830" s="141"/>
    </row>
    <row r="1831" spans="3:4">
      <c r="C1831" s="141"/>
      <c r="D1831" s="141"/>
    </row>
    <row r="1832" spans="3:4">
      <c r="C1832" s="141"/>
      <c r="D1832" s="141"/>
    </row>
    <row r="1833" spans="3:4">
      <c r="C1833" s="141"/>
      <c r="D1833" s="141"/>
    </row>
    <row r="1834" spans="3:4">
      <c r="C1834" s="141"/>
      <c r="D1834" s="141"/>
    </row>
    <row r="1835" spans="3:4">
      <c r="C1835" s="141"/>
      <c r="D1835" s="141"/>
    </row>
    <row r="1836" spans="3:4">
      <c r="C1836" s="141"/>
      <c r="D1836" s="141"/>
    </row>
    <row r="1837" spans="3:4">
      <c r="C1837" s="141"/>
      <c r="D1837" s="141"/>
    </row>
    <row r="1838" spans="3:4">
      <c r="C1838" s="141"/>
      <c r="D1838" s="141"/>
    </row>
    <row r="1839" spans="3:4">
      <c r="C1839" s="141"/>
      <c r="D1839" s="141"/>
    </row>
    <row r="1840" spans="3:4">
      <c r="C1840" s="141"/>
      <c r="D1840" s="141"/>
    </row>
    <row r="1841" spans="3:4">
      <c r="C1841" s="141"/>
      <c r="D1841" s="141"/>
    </row>
    <row r="1842" spans="3:4">
      <c r="C1842" s="141"/>
      <c r="D1842" s="141"/>
    </row>
    <row r="1843" spans="3:4">
      <c r="C1843" s="141"/>
      <c r="D1843" s="141"/>
    </row>
    <row r="1844" spans="3:4">
      <c r="C1844" s="141"/>
      <c r="D1844" s="141"/>
    </row>
    <row r="1845" spans="3:4">
      <c r="C1845" s="141"/>
      <c r="D1845" s="141"/>
    </row>
    <row r="1846" spans="3:4">
      <c r="C1846" s="141"/>
      <c r="D1846" s="141"/>
    </row>
    <row r="1847" spans="3:4">
      <c r="C1847" s="141"/>
      <c r="D1847" s="141"/>
    </row>
    <row r="1848" spans="3:4">
      <c r="C1848" s="141"/>
      <c r="D1848" s="141"/>
    </row>
    <row r="1849" spans="3:4">
      <c r="C1849" s="141"/>
      <c r="D1849" s="141"/>
    </row>
    <row r="1850" spans="3:4">
      <c r="C1850" s="141"/>
      <c r="D1850" s="141"/>
    </row>
    <row r="1851" spans="3:4">
      <c r="C1851" s="141"/>
      <c r="D1851" s="141"/>
    </row>
    <row r="1852" spans="3:4">
      <c r="C1852" s="141"/>
      <c r="D1852" s="141"/>
    </row>
    <row r="1853" spans="3:4">
      <c r="C1853" s="141"/>
      <c r="D1853" s="141"/>
    </row>
    <row r="1854" spans="3:4">
      <c r="C1854" s="141"/>
      <c r="D1854" s="141"/>
    </row>
    <row r="1855" spans="3:4">
      <c r="C1855" s="141"/>
      <c r="D1855" s="141"/>
    </row>
    <row r="1856" spans="3:4">
      <c r="C1856" s="141"/>
      <c r="D1856" s="141"/>
    </row>
    <row r="1857" spans="3:4">
      <c r="C1857" s="141"/>
      <c r="D1857" s="141"/>
    </row>
    <row r="1858" spans="3:4">
      <c r="C1858" s="141"/>
      <c r="D1858" s="141"/>
    </row>
    <row r="1859" spans="3:4">
      <c r="C1859" s="141"/>
      <c r="D1859" s="141"/>
    </row>
    <row r="1860" spans="3:4">
      <c r="C1860" s="141"/>
      <c r="D1860" s="141"/>
    </row>
    <row r="1861" spans="3:4">
      <c r="C1861" s="141"/>
      <c r="D1861" s="141"/>
    </row>
    <row r="1862" spans="3:4">
      <c r="C1862" s="141"/>
      <c r="D1862" s="141"/>
    </row>
    <row r="1863" spans="3:4">
      <c r="C1863" s="141"/>
      <c r="D1863" s="141"/>
    </row>
    <row r="1864" spans="3:4">
      <c r="C1864" s="141"/>
      <c r="D1864" s="141"/>
    </row>
    <row r="1865" spans="3:4">
      <c r="C1865" s="141"/>
      <c r="D1865" s="141"/>
    </row>
    <row r="1866" spans="3:4">
      <c r="C1866" s="141"/>
      <c r="D1866" s="141"/>
    </row>
    <row r="1867" spans="3:4">
      <c r="C1867" s="141"/>
      <c r="D1867" s="141"/>
    </row>
    <row r="1868" spans="3:4">
      <c r="C1868" s="141"/>
      <c r="D1868" s="141"/>
    </row>
    <row r="1869" spans="3:4">
      <c r="C1869" s="141"/>
      <c r="D1869" s="141"/>
    </row>
    <row r="1870" spans="3:4">
      <c r="C1870" s="141"/>
      <c r="D1870" s="141"/>
    </row>
    <row r="1871" spans="3:4">
      <c r="C1871" s="141"/>
      <c r="D1871" s="141"/>
    </row>
    <row r="1872" spans="3:4">
      <c r="C1872" s="141"/>
      <c r="D1872" s="141"/>
    </row>
    <row r="1873" spans="3:4">
      <c r="C1873" s="141"/>
      <c r="D1873" s="141"/>
    </row>
    <row r="1874" spans="3:4">
      <c r="C1874" s="141"/>
      <c r="D1874" s="141"/>
    </row>
    <row r="1875" spans="3:4">
      <c r="C1875" s="141"/>
      <c r="D1875" s="141"/>
    </row>
    <row r="1876" spans="3:4">
      <c r="C1876" s="141"/>
      <c r="D1876" s="141"/>
    </row>
    <row r="1877" spans="3:4">
      <c r="C1877" s="141"/>
      <c r="D1877" s="141"/>
    </row>
    <row r="1878" spans="3:4">
      <c r="C1878" s="141"/>
      <c r="D1878" s="141"/>
    </row>
    <row r="1879" spans="3:4">
      <c r="C1879" s="141"/>
      <c r="D1879" s="141"/>
    </row>
    <row r="1880" spans="3:4">
      <c r="C1880" s="141"/>
      <c r="D1880" s="141"/>
    </row>
    <row r="1881" spans="3:4">
      <c r="C1881" s="141"/>
      <c r="D1881" s="141"/>
    </row>
    <row r="1882" spans="3:4">
      <c r="C1882" s="141"/>
      <c r="D1882" s="141"/>
    </row>
    <row r="1883" spans="3:4">
      <c r="C1883" s="141"/>
      <c r="D1883" s="141"/>
    </row>
    <row r="1884" spans="3:4">
      <c r="C1884" s="141"/>
      <c r="D1884" s="141"/>
    </row>
    <row r="1885" spans="3:4">
      <c r="C1885" s="141"/>
      <c r="D1885" s="141"/>
    </row>
    <row r="1886" spans="3:4">
      <c r="C1886" s="141"/>
      <c r="D1886" s="141"/>
    </row>
    <row r="1887" spans="3:4">
      <c r="C1887" s="141"/>
      <c r="D1887" s="141"/>
    </row>
    <row r="1888" spans="3:4">
      <c r="C1888" s="141"/>
      <c r="D1888" s="141"/>
    </row>
    <row r="1889" spans="3:4">
      <c r="C1889" s="141"/>
      <c r="D1889" s="141"/>
    </row>
    <row r="1890" spans="3:4">
      <c r="C1890" s="141"/>
      <c r="D1890" s="141"/>
    </row>
    <row r="1891" spans="3:4">
      <c r="C1891" s="141"/>
      <c r="D1891" s="141"/>
    </row>
    <row r="1892" spans="3:4">
      <c r="C1892" s="141"/>
      <c r="D1892" s="141"/>
    </row>
    <row r="1893" spans="3:4">
      <c r="C1893" s="141"/>
      <c r="D1893" s="141"/>
    </row>
    <row r="1894" spans="3:4">
      <c r="C1894" s="141"/>
      <c r="D1894" s="141"/>
    </row>
    <row r="1895" spans="3:4">
      <c r="C1895" s="141"/>
      <c r="D1895" s="141"/>
    </row>
    <row r="1896" spans="3:4">
      <c r="C1896" s="141"/>
      <c r="D1896" s="141"/>
    </row>
    <row r="1897" spans="3:4">
      <c r="C1897" s="141"/>
      <c r="D1897" s="141"/>
    </row>
    <row r="1898" spans="3:4">
      <c r="C1898" s="141"/>
      <c r="D1898" s="141"/>
    </row>
    <row r="1899" spans="3:4">
      <c r="C1899" s="141"/>
      <c r="D1899" s="141"/>
    </row>
    <row r="1900" spans="3:4">
      <c r="C1900" s="141"/>
      <c r="D1900" s="141"/>
    </row>
    <row r="1901" spans="3:4">
      <c r="C1901" s="141"/>
      <c r="D1901" s="141"/>
    </row>
    <row r="1902" spans="3:4">
      <c r="C1902" s="141"/>
      <c r="D1902" s="141"/>
    </row>
    <row r="1903" spans="3:4">
      <c r="C1903" s="141"/>
      <c r="D1903" s="141"/>
    </row>
    <row r="1904" spans="3:4">
      <c r="C1904" s="141"/>
      <c r="D1904" s="141"/>
    </row>
    <row r="1905" spans="3:4">
      <c r="C1905" s="141"/>
      <c r="D1905" s="141"/>
    </row>
    <row r="1906" spans="3:4">
      <c r="C1906" s="141"/>
      <c r="D1906" s="141"/>
    </row>
    <row r="1907" spans="3:4">
      <c r="C1907" s="141"/>
      <c r="D1907" s="141"/>
    </row>
    <row r="1908" spans="3:4">
      <c r="C1908" s="141"/>
      <c r="D1908" s="141"/>
    </row>
    <row r="1909" spans="3:4">
      <c r="C1909" s="141"/>
      <c r="D1909" s="141"/>
    </row>
    <row r="1910" spans="3:4">
      <c r="C1910" s="141"/>
      <c r="D1910" s="141"/>
    </row>
    <row r="1911" spans="3:4">
      <c r="C1911" s="141"/>
      <c r="D1911" s="141"/>
    </row>
    <row r="1912" spans="3:4">
      <c r="C1912" s="141"/>
      <c r="D1912" s="141"/>
    </row>
    <row r="1913" spans="3:4">
      <c r="C1913" s="141"/>
      <c r="D1913" s="141"/>
    </row>
    <row r="1914" spans="3:4">
      <c r="C1914" s="141"/>
      <c r="D1914" s="141"/>
    </row>
    <row r="1915" spans="3:4">
      <c r="C1915" s="141"/>
      <c r="D1915" s="141"/>
    </row>
    <row r="1916" spans="3:4">
      <c r="C1916" s="141"/>
      <c r="D1916" s="141"/>
    </row>
    <row r="1917" spans="3:4">
      <c r="C1917" s="141"/>
      <c r="D1917" s="141"/>
    </row>
    <row r="1918" spans="3:4">
      <c r="C1918" s="141"/>
      <c r="D1918" s="141"/>
    </row>
    <row r="1919" spans="3:4">
      <c r="C1919" s="141"/>
      <c r="D1919" s="141"/>
    </row>
    <row r="1920" spans="3:4">
      <c r="C1920" s="141"/>
      <c r="D1920" s="141"/>
    </row>
    <row r="1921" spans="3:4">
      <c r="C1921" s="141"/>
      <c r="D1921" s="141"/>
    </row>
    <row r="1922" spans="3:4">
      <c r="C1922" s="141"/>
      <c r="D1922" s="141"/>
    </row>
    <row r="1923" spans="3:4">
      <c r="C1923" s="141"/>
      <c r="D1923" s="141"/>
    </row>
    <row r="1924" spans="3:4">
      <c r="C1924" s="141"/>
      <c r="D1924" s="141"/>
    </row>
    <row r="1925" spans="3:4">
      <c r="C1925" s="141"/>
      <c r="D1925" s="141"/>
    </row>
    <row r="1926" spans="3:4">
      <c r="C1926" s="141"/>
      <c r="D1926" s="141"/>
    </row>
    <row r="1927" spans="3:4">
      <c r="C1927" s="141"/>
      <c r="D1927" s="141"/>
    </row>
    <row r="1928" spans="3:4">
      <c r="C1928" s="141"/>
      <c r="D1928" s="141"/>
    </row>
    <row r="1929" spans="3:4">
      <c r="C1929" s="141"/>
      <c r="D1929" s="141"/>
    </row>
    <row r="1930" spans="3:4">
      <c r="C1930" s="141"/>
      <c r="D1930" s="141"/>
    </row>
    <row r="1931" spans="3:4">
      <c r="C1931" s="141"/>
      <c r="D1931" s="141"/>
    </row>
    <row r="1932" spans="3:4">
      <c r="C1932" s="141"/>
      <c r="D1932" s="141"/>
    </row>
    <row r="1933" spans="3:4">
      <c r="C1933" s="141"/>
      <c r="D1933" s="141"/>
    </row>
    <row r="1934" spans="3:4">
      <c r="C1934" s="141"/>
      <c r="D1934" s="141"/>
    </row>
    <row r="1935" spans="3:4">
      <c r="C1935" s="141"/>
      <c r="D1935" s="141"/>
    </row>
    <row r="1936" spans="3:4">
      <c r="C1936" s="141"/>
      <c r="D1936" s="141"/>
    </row>
    <row r="1937" spans="3:4">
      <c r="C1937" s="141"/>
      <c r="D1937" s="141"/>
    </row>
    <row r="1938" spans="3:4">
      <c r="C1938" s="141"/>
      <c r="D1938" s="141"/>
    </row>
    <row r="1939" spans="3:4">
      <c r="C1939" s="141"/>
      <c r="D1939" s="141"/>
    </row>
    <row r="1940" spans="3:4">
      <c r="C1940" s="141"/>
      <c r="D1940" s="141"/>
    </row>
    <row r="1941" spans="3:4">
      <c r="C1941" s="141"/>
      <c r="D1941" s="141"/>
    </row>
    <row r="1942" spans="3:4">
      <c r="C1942" s="141"/>
      <c r="D1942" s="141"/>
    </row>
    <row r="1943" spans="3:4">
      <c r="C1943" s="141"/>
      <c r="D1943" s="141"/>
    </row>
    <row r="1944" spans="3:4">
      <c r="C1944" s="141"/>
      <c r="D1944" s="141"/>
    </row>
    <row r="1945" spans="3:4">
      <c r="C1945" s="141"/>
      <c r="D1945" s="141"/>
    </row>
    <row r="1946" spans="3:4">
      <c r="C1946" s="141"/>
      <c r="D1946" s="141"/>
    </row>
    <row r="1947" spans="3:4">
      <c r="C1947" s="141"/>
      <c r="D1947" s="141"/>
    </row>
    <row r="1948" spans="3:4">
      <c r="C1948" s="141"/>
      <c r="D1948" s="141"/>
    </row>
    <row r="1949" spans="3:4">
      <c r="C1949" s="141"/>
      <c r="D1949" s="141"/>
    </row>
    <row r="1950" spans="3:4">
      <c r="C1950" s="141"/>
      <c r="D1950" s="141"/>
    </row>
    <row r="1951" spans="3:4">
      <c r="C1951" s="141"/>
      <c r="D1951" s="141"/>
    </row>
    <row r="1952" spans="3:4">
      <c r="C1952" s="141"/>
      <c r="D1952" s="141"/>
    </row>
    <row r="1953" spans="3:4">
      <c r="C1953" s="141"/>
      <c r="D1953" s="141"/>
    </row>
    <row r="1954" spans="3:4">
      <c r="C1954" s="141"/>
      <c r="D1954" s="141"/>
    </row>
    <row r="1955" spans="3:4">
      <c r="C1955" s="141"/>
      <c r="D1955" s="141"/>
    </row>
    <row r="1956" spans="3:4">
      <c r="C1956" s="141"/>
      <c r="D1956" s="141"/>
    </row>
    <row r="1957" spans="3:4">
      <c r="C1957" s="141"/>
      <c r="D1957" s="141"/>
    </row>
    <row r="1958" spans="3:4">
      <c r="C1958" s="141"/>
      <c r="D1958" s="141"/>
    </row>
    <row r="1959" spans="3:4">
      <c r="C1959" s="141"/>
      <c r="D1959" s="141"/>
    </row>
    <row r="1960" spans="3:4">
      <c r="C1960" s="141"/>
      <c r="D1960" s="141"/>
    </row>
    <row r="1961" spans="3:4">
      <c r="C1961" s="141"/>
      <c r="D1961" s="141"/>
    </row>
    <row r="1962" spans="3:4">
      <c r="C1962" s="141"/>
      <c r="D1962" s="141"/>
    </row>
    <row r="1963" spans="3:4">
      <c r="C1963" s="141"/>
      <c r="D1963" s="141"/>
    </row>
    <row r="1964" spans="3:4">
      <c r="C1964" s="141"/>
      <c r="D1964" s="141"/>
    </row>
    <row r="1965" spans="3:4">
      <c r="C1965" s="141"/>
      <c r="D1965" s="141"/>
    </row>
    <row r="1966" spans="3:4">
      <c r="C1966" s="141"/>
      <c r="D1966" s="141"/>
    </row>
    <row r="1967" spans="3:4">
      <c r="C1967" s="141"/>
      <c r="D1967" s="141"/>
    </row>
    <row r="1968" spans="3:4">
      <c r="C1968" s="141"/>
      <c r="D1968" s="141"/>
    </row>
    <row r="1969" spans="3:4">
      <c r="C1969" s="141"/>
      <c r="D1969" s="141"/>
    </row>
    <row r="1970" spans="3:4">
      <c r="C1970" s="141"/>
      <c r="D1970" s="141"/>
    </row>
    <row r="1971" spans="3:4">
      <c r="C1971" s="141"/>
      <c r="D1971" s="141"/>
    </row>
    <row r="1972" spans="3:4">
      <c r="C1972" s="141"/>
      <c r="D1972" s="141"/>
    </row>
    <row r="1973" spans="3:4">
      <c r="C1973" s="141"/>
      <c r="D1973" s="141"/>
    </row>
    <row r="1974" spans="3:4">
      <c r="C1974" s="141"/>
      <c r="D1974" s="141"/>
    </row>
    <row r="1975" spans="3:4">
      <c r="C1975" s="141"/>
      <c r="D1975" s="141"/>
    </row>
    <row r="1976" spans="3:4">
      <c r="C1976" s="141"/>
      <c r="D1976" s="141"/>
    </row>
    <row r="1977" spans="3:4">
      <c r="C1977" s="141"/>
      <c r="D1977" s="141"/>
    </row>
    <row r="1978" spans="3:4">
      <c r="C1978" s="141"/>
      <c r="D1978" s="141"/>
    </row>
    <row r="1979" spans="3:4">
      <c r="C1979" s="141"/>
      <c r="D1979" s="141"/>
    </row>
    <row r="1980" spans="3:4">
      <c r="C1980" s="141"/>
      <c r="D1980" s="141"/>
    </row>
    <row r="1981" spans="3:4">
      <c r="C1981" s="141"/>
      <c r="D1981" s="141"/>
    </row>
    <row r="1982" spans="3:4">
      <c r="C1982" s="141"/>
      <c r="D1982" s="141"/>
    </row>
    <row r="1983" spans="3:4">
      <c r="C1983" s="141"/>
      <c r="D1983" s="141"/>
    </row>
    <row r="1984" spans="3:4">
      <c r="C1984" s="141"/>
      <c r="D1984" s="141"/>
    </row>
    <row r="1985" spans="3:4">
      <c r="C1985" s="141"/>
      <c r="D1985" s="141"/>
    </row>
    <row r="1986" spans="3:4">
      <c r="C1986" s="141"/>
      <c r="D1986" s="141"/>
    </row>
    <row r="1987" spans="3:4">
      <c r="C1987" s="141"/>
      <c r="D1987" s="141"/>
    </row>
    <row r="1988" spans="3:4">
      <c r="C1988" s="141"/>
      <c r="D1988" s="141"/>
    </row>
    <row r="1989" spans="3:4">
      <c r="C1989" s="141"/>
      <c r="D1989" s="141"/>
    </row>
    <row r="1990" spans="3:4">
      <c r="C1990" s="141"/>
      <c r="D1990" s="141"/>
    </row>
    <row r="1991" spans="3:4">
      <c r="C1991" s="141"/>
      <c r="D1991" s="141"/>
    </row>
    <row r="1992" spans="3:4">
      <c r="C1992" s="141"/>
      <c r="D1992" s="141"/>
    </row>
    <row r="1993" spans="3:4">
      <c r="C1993" s="141"/>
      <c r="D1993" s="141"/>
    </row>
    <row r="1994" spans="3:4">
      <c r="C1994" s="141"/>
      <c r="D1994" s="141"/>
    </row>
    <row r="1995" spans="3:4">
      <c r="C1995" s="141"/>
      <c r="D1995" s="141"/>
    </row>
    <row r="1996" spans="3:4">
      <c r="C1996" s="141"/>
      <c r="D1996" s="141"/>
    </row>
    <row r="1997" spans="3:4">
      <c r="C1997" s="141"/>
      <c r="D1997" s="141"/>
    </row>
    <row r="1998" spans="3:4">
      <c r="C1998" s="141"/>
      <c r="D1998" s="141"/>
    </row>
    <row r="1999" spans="3:4">
      <c r="C1999" s="141"/>
      <c r="D1999" s="141"/>
    </row>
    <row r="2000" spans="3:4">
      <c r="C2000" s="141"/>
      <c r="D2000" s="141"/>
    </row>
    <row r="2001" spans="3:4">
      <c r="C2001" s="141"/>
      <c r="D2001" s="141"/>
    </row>
    <row r="2002" spans="3:4">
      <c r="C2002" s="141"/>
      <c r="D2002" s="141"/>
    </row>
    <row r="2003" spans="3:4">
      <c r="C2003" s="141"/>
      <c r="D2003" s="141"/>
    </row>
    <row r="2004" spans="3:4">
      <c r="C2004" s="141"/>
      <c r="D2004" s="141"/>
    </row>
    <row r="2005" spans="3:4">
      <c r="C2005" s="141"/>
      <c r="D2005" s="141"/>
    </row>
    <row r="2006" spans="3:4">
      <c r="C2006" s="141"/>
      <c r="D2006" s="141"/>
    </row>
    <row r="2007" spans="3:4">
      <c r="C2007" s="141"/>
      <c r="D2007" s="141"/>
    </row>
    <row r="2008" spans="3:4">
      <c r="C2008" s="141"/>
      <c r="D2008" s="141"/>
    </row>
    <row r="2009" spans="3:4">
      <c r="C2009" s="141"/>
      <c r="D2009" s="141"/>
    </row>
    <row r="2010" spans="3:4">
      <c r="C2010" s="141"/>
      <c r="D2010" s="141"/>
    </row>
    <row r="2011" spans="3:4">
      <c r="C2011" s="141"/>
      <c r="D2011" s="141"/>
    </row>
    <row r="2012" spans="3:4">
      <c r="C2012" s="141"/>
      <c r="D2012" s="141"/>
    </row>
    <row r="2013" spans="3:4">
      <c r="C2013" s="141"/>
      <c r="D2013" s="141"/>
    </row>
    <row r="2014" spans="3:4">
      <c r="C2014" s="141"/>
      <c r="D2014" s="141"/>
    </row>
    <row r="2015" spans="3:4">
      <c r="C2015" s="141"/>
      <c r="D2015" s="141"/>
    </row>
    <row r="2016" spans="3:4">
      <c r="C2016" s="141"/>
      <c r="D2016" s="141"/>
    </row>
    <row r="2017" spans="3:4">
      <c r="C2017" s="141"/>
      <c r="D2017" s="141"/>
    </row>
    <row r="2018" spans="3:4">
      <c r="C2018" s="141"/>
      <c r="D2018" s="141"/>
    </row>
    <row r="2019" spans="3:4">
      <c r="C2019" s="141"/>
      <c r="D2019" s="141"/>
    </row>
    <row r="2020" spans="3:4">
      <c r="C2020" s="141"/>
      <c r="D2020" s="141"/>
    </row>
    <row r="2021" spans="3:4">
      <c r="C2021" s="141"/>
      <c r="D2021" s="141"/>
    </row>
    <row r="2022" spans="3:4">
      <c r="C2022" s="141"/>
      <c r="D2022" s="141"/>
    </row>
    <row r="2023" spans="3:4">
      <c r="C2023" s="141"/>
      <c r="D2023" s="141"/>
    </row>
    <row r="2024" spans="3:4">
      <c r="C2024" s="141"/>
      <c r="D2024" s="141"/>
    </row>
    <row r="2025" spans="3:4">
      <c r="C2025" s="141"/>
      <c r="D2025" s="141"/>
    </row>
    <row r="2026" spans="3:4">
      <c r="C2026" s="141"/>
      <c r="D2026" s="141"/>
    </row>
    <row r="2027" spans="3:4">
      <c r="C2027" s="141"/>
      <c r="D2027" s="141"/>
    </row>
    <row r="2028" spans="3:4">
      <c r="C2028" s="141"/>
      <c r="D2028" s="141"/>
    </row>
    <row r="2029" spans="3:4">
      <c r="C2029" s="141"/>
      <c r="D2029" s="141"/>
    </row>
    <row r="2030" spans="3:4">
      <c r="C2030" s="141"/>
      <c r="D2030" s="141"/>
    </row>
    <row r="2031" spans="3:4">
      <c r="C2031" s="141"/>
      <c r="D2031" s="141"/>
    </row>
    <row r="2032" spans="3:4">
      <c r="C2032" s="141"/>
      <c r="D2032" s="141"/>
    </row>
    <row r="2033" spans="3:4">
      <c r="C2033" s="141"/>
      <c r="D2033" s="141"/>
    </row>
    <row r="2034" spans="3:4">
      <c r="C2034" s="141"/>
      <c r="D2034" s="141"/>
    </row>
    <row r="2035" spans="3:4">
      <c r="C2035" s="141"/>
      <c r="D2035" s="141"/>
    </row>
    <row r="2036" spans="3:4">
      <c r="C2036" s="141"/>
      <c r="D2036" s="141"/>
    </row>
    <row r="2037" spans="3:4">
      <c r="C2037" s="141"/>
      <c r="D2037" s="141"/>
    </row>
    <row r="2038" spans="3:4">
      <c r="C2038" s="141"/>
      <c r="D2038" s="141"/>
    </row>
    <row r="2039" spans="3:4">
      <c r="C2039" s="141"/>
      <c r="D2039" s="141"/>
    </row>
    <row r="2040" spans="3:4">
      <c r="C2040" s="141"/>
      <c r="D2040" s="141"/>
    </row>
    <row r="2041" spans="3:4">
      <c r="C2041" s="141"/>
      <c r="D2041" s="141"/>
    </row>
    <row r="2042" spans="3:4">
      <c r="C2042" s="141"/>
      <c r="D2042" s="141"/>
    </row>
    <row r="2043" spans="3:4">
      <c r="C2043" s="141"/>
      <c r="D2043" s="141"/>
    </row>
    <row r="2044" spans="3:4">
      <c r="C2044" s="141"/>
      <c r="D2044" s="141"/>
    </row>
    <row r="2045" spans="3:4">
      <c r="C2045" s="141"/>
      <c r="D2045" s="141"/>
    </row>
    <row r="2046" spans="3:4">
      <c r="C2046" s="141"/>
      <c r="D2046" s="141"/>
    </row>
    <row r="2047" spans="3:4">
      <c r="C2047" s="141"/>
      <c r="D2047" s="141"/>
    </row>
    <row r="2048" spans="3:4">
      <c r="C2048" s="141"/>
      <c r="D2048" s="141"/>
    </row>
    <row r="2049" spans="3:4">
      <c r="C2049" s="141"/>
      <c r="D2049" s="141"/>
    </row>
    <row r="2050" spans="3:4">
      <c r="C2050" s="141"/>
      <c r="D2050" s="141"/>
    </row>
    <row r="2051" spans="3:4">
      <c r="C2051" s="141"/>
      <c r="D2051" s="141"/>
    </row>
    <row r="2052" spans="3:4">
      <c r="C2052" s="141"/>
      <c r="D2052" s="141"/>
    </row>
    <row r="2053" spans="3:4">
      <c r="C2053" s="141"/>
      <c r="D2053" s="141"/>
    </row>
    <row r="2054" spans="3:4">
      <c r="C2054" s="141"/>
      <c r="D2054" s="141"/>
    </row>
    <row r="2055" spans="3:4">
      <c r="C2055" s="141"/>
      <c r="D2055" s="141"/>
    </row>
    <row r="2056" spans="3:4">
      <c r="C2056" s="141"/>
      <c r="D2056" s="141"/>
    </row>
    <row r="2057" spans="3:4">
      <c r="C2057" s="141"/>
      <c r="D2057" s="141"/>
    </row>
    <row r="2058" spans="3:4">
      <c r="C2058" s="141"/>
      <c r="D2058" s="141"/>
    </row>
    <row r="2059" spans="3:4">
      <c r="C2059" s="141"/>
      <c r="D2059" s="141"/>
    </row>
    <row r="2060" spans="3:4">
      <c r="C2060" s="141"/>
      <c r="D2060" s="141"/>
    </row>
    <row r="2061" spans="3:4">
      <c r="C2061" s="141"/>
      <c r="D2061" s="141"/>
    </row>
    <row r="2062" spans="3:4">
      <c r="C2062" s="141"/>
      <c r="D2062" s="141"/>
    </row>
    <row r="2063" spans="3:4">
      <c r="C2063" s="141"/>
      <c r="D2063" s="141"/>
    </row>
    <row r="2064" spans="3:4">
      <c r="C2064" s="141"/>
      <c r="D2064" s="141"/>
    </row>
    <row r="2065" spans="3:4">
      <c r="C2065" s="141"/>
      <c r="D2065" s="141"/>
    </row>
    <row r="2066" spans="3:4">
      <c r="C2066" s="141"/>
      <c r="D2066" s="141"/>
    </row>
    <row r="2067" spans="3:4">
      <c r="C2067" s="141"/>
      <c r="D2067" s="141"/>
    </row>
    <row r="2068" spans="3:4">
      <c r="C2068" s="141"/>
      <c r="D2068" s="141"/>
    </row>
    <row r="2069" spans="3:4">
      <c r="C2069" s="141"/>
      <c r="D2069" s="141"/>
    </row>
    <row r="2070" spans="3:4">
      <c r="C2070" s="141"/>
      <c r="D2070" s="141"/>
    </row>
    <row r="2071" spans="3:4">
      <c r="C2071" s="141"/>
      <c r="D2071" s="141"/>
    </row>
    <row r="2072" spans="3:4">
      <c r="C2072" s="141"/>
      <c r="D2072" s="141"/>
    </row>
    <row r="2073" spans="3:4">
      <c r="C2073" s="141"/>
      <c r="D2073" s="141"/>
    </row>
    <row r="2074" spans="3:4">
      <c r="C2074" s="141"/>
      <c r="D2074" s="141"/>
    </row>
    <row r="2075" spans="3:4">
      <c r="C2075" s="141"/>
      <c r="D2075" s="141"/>
    </row>
    <row r="2076" spans="3:4">
      <c r="C2076" s="141"/>
      <c r="D2076" s="141"/>
    </row>
    <row r="2077" spans="3:4">
      <c r="C2077" s="141"/>
      <c r="D2077" s="141"/>
    </row>
    <row r="2078" spans="3:4">
      <c r="C2078" s="141"/>
      <c r="D2078" s="141"/>
    </row>
    <row r="2079" spans="3:4">
      <c r="C2079" s="141"/>
      <c r="D2079" s="141"/>
    </row>
    <row r="2080" spans="3:4">
      <c r="C2080" s="141"/>
      <c r="D2080" s="141"/>
    </row>
    <row r="2081" spans="3:4">
      <c r="C2081" s="141"/>
      <c r="D2081" s="141"/>
    </row>
    <row r="2082" spans="3:4">
      <c r="C2082" s="141"/>
      <c r="D2082" s="141"/>
    </row>
    <row r="2083" spans="3:4">
      <c r="C2083" s="141"/>
      <c r="D2083" s="141"/>
    </row>
    <row r="2084" spans="3:4">
      <c r="C2084" s="141"/>
      <c r="D2084" s="141"/>
    </row>
    <row r="2085" spans="3:4">
      <c r="C2085" s="141"/>
      <c r="D2085" s="141"/>
    </row>
    <row r="2086" spans="3:4">
      <c r="C2086" s="141"/>
      <c r="D2086" s="141"/>
    </row>
    <row r="2087" spans="3:4">
      <c r="C2087" s="141"/>
      <c r="D2087" s="141"/>
    </row>
    <row r="2088" spans="3:4">
      <c r="C2088" s="141"/>
      <c r="D2088" s="141"/>
    </row>
    <row r="2089" spans="3:4">
      <c r="C2089" s="141"/>
      <c r="D2089" s="141"/>
    </row>
    <row r="2090" spans="3:4">
      <c r="C2090" s="141"/>
      <c r="D2090" s="141"/>
    </row>
    <row r="2091" spans="3:4">
      <c r="C2091" s="141"/>
      <c r="D2091" s="141"/>
    </row>
    <row r="2092" spans="3:4">
      <c r="C2092" s="141"/>
      <c r="D2092" s="141"/>
    </row>
    <row r="2093" spans="3:4">
      <c r="C2093" s="141"/>
      <c r="D2093" s="141"/>
    </row>
    <row r="2094" spans="3:4">
      <c r="C2094" s="141"/>
      <c r="D2094" s="141"/>
    </row>
    <row r="2095" spans="3:4">
      <c r="C2095" s="141"/>
      <c r="D2095" s="141"/>
    </row>
    <row r="2096" spans="3:4">
      <c r="C2096" s="141"/>
      <c r="D2096" s="141"/>
    </row>
    <row r="2097" spans="3:4">
      <c r="C2097" s="141"/>
      <c r="D2097" s="141"/>
    </row>
    <row r="2098" spans="3:4">
      <c r="C2098" s="141"/>
      <c r="D2098" s="141"/>
    </row>
    <row r="2099" spans="3:4">
      <c r="C2099" s="141"/>
      <c r="D2099" s="141"/>
    </row>
    <row r="2100" spans="3:4">
      <c r="C2100" s="141"/>
      <c r="D2100" s="141"/>
    </row>
    <row r="2101" spans="3:4">
      <c r="C2101" s="141"/>
      <c r="D2101" s="141"/>
    </row>
    <row r="2102" spans="3:4">
      <c r="C2102" s="141"/>
      <c r="D2102" s="141"/>
    </row>
    <row r="2103" spans="3:4">
      <c r="C2103" s="141"/>
      <c r="D2103" s="141"/>
    </row>
    <row r="2104" spans="3:4">
      <c r="C2104" s="141"/>
      <c r="D2104" s="141"/>
    </row>
    <row r="2105" spans="3:4">
      <c r="C2105" s="141"/>
      <c r="D2105" s="141"/>
    </row>
    <row r="2106" spans="3:4">
      <c r="C2106" s="141"/>
      <c r="D2106" s="141"/>
    </row>
    <row r="2107" spans="3:4">
      <c r="C2107" s="141"/>
      <c r="D2107" s="141"/>
    </row>
    <row r="2108" spans="3:4">
      <c r="C2108" s="141"/>
      <c r="D2108" s="141"/>
    </row>
    <row r="2109" spans="3:4">
      <c r="C2109" s="141"/>
      <c r="D2109" s="141"/>
    </row>
    <row r="2110" spans="3:4">
      <c r="C2110" s="141"/>
      <c r="D2110" s="141"/>
    </row>
    <row r="2111" spans="3:4">
      <c r="C2111" s="141"/>
      <c r="D2111" s="141"/>
    </row>
    <row r="2112" spans="3:4">
      <c r="C2112" s="141"/>
      <c r="D2112" s="141"/>
    </row>
    <row r="2113" spans="3:4">
      <c r="C2113" s="141"/>
      <c r="D2113" s="141"/>
    </row>
    <row r="2114" spans="3:4">
      <c r="C2114" s="141"/>
      <c r="D2114" s="141"/>
    </row>
    <row r="2115" spans="3:4">
      <c r="C2115" s="141"/>
      <c r="D2115" s="141"/>
    </row>
    <row r="2116" spans="3:4">
      <c r="C2116" s="141"/>
      <c r="D2116" s="141"/>
    </row>
    <row r="2117" spans="3:4">
      <c r="C2117" s="141"/>
      <c r="D2117" s="141"/>
    </row>
    <row r="2118" spans="3:4">
      <c r="C2118" s="141"/>
      <c r="D2118" s="141"/>
    </row>
    <row r="2119" spans="3:4">
      <c r="C2119" s="141"/>
      <c r="D2119" s="141"/>
    </row>
    <row r="2120" spans="3:4">
      <c r="C2120" s="141"/>
      <c r="D2120" s="141"/>
    </row>
    <row r="2121" spans="3:4">
      <c r="C2121" s="141"/>
      <c r="D2121" s="141"/>
    </row>
    <row r="2122" spans="3:4">
      <c r="C2122" s="141"/>
      <c r="D2122" s="141"/>
    </row>
    <row r="2123" spans="3:4">
      <c r="C2123" s="141"/>
      <c r="D2123" s="141"/>
    </row>
    <row r="2124" spans="3:4">
      <c r="C2124" s="141"/>
      <c r="D2124" s="141"/>
    </row>
    <row r="2125" spans="3:4">
      <c r="C2125" s="141"/>
      <c r="D2125" s="141"/>
    </row>
    <row r="2126" spans="3:4">
      <c r="C2126" s="141"/>
      <c r="D2126" s="141"/>
    </row>
    <row r="2127" spans="3:4">
      <c r="C2127" s="141"/>
      <c r="D2127" s="141"/>
    </row>
    <row r="2128" spans="3:4">
      <c r="C2128" s="141"/>
      <c r="D2128" s="141"/>
    </row>
    <row r="2129" spans="3:4">
      <c r="C2129" s="141"/>
      <c r="D2129" s="141"/>
    </row>
    <row r="2130" spans="3:4">
      <c r="C2130" s="141"/>
      <c r="D2130" s="141"/>
    </row>
    <row r="2131" spans="3:4">
      <c r="C2131" s="141"/>
      <c r="D2131" s="141"/>
    </row>
    <row r="2132" spans="3:4">
      <c r="C2132" s="141"/>
      <c r="D2132" s="141"/>
    </row>
    <row r="2133" spans="3:4">
      <c r="C2133" s="141"/>
      <c r="D2133" s="141"/>
    </row>
    <row r="2134" spans="3:4">
      <c r="C2134" s="141"/>
      <c r="D2134" s="141"/>
    </row>
    <row r="2135" spans="3:4">
      <c r="C2135" s="141"/>
      <c r="D2135" s="141"/>
    </row>
    <row r="2136" spans="3:4">
      <c r="C2136" s="141"/>
      <c r="D2136" s="141"/>
    </row>
    <row r="2137" spans="3:4">
      <c r="C2137" s="141"/>
      <c r="D2137" s="141"/>
    </row>
    <row r="2138" spans="3:4">
      <c r="C2138" s="141"/>
      <c r="D2138" s="141"/>
    </row>
    <row r="2139" spans="3:4">
      <c r="C2139" s="141"/>
      <c r="D2139" s="141"/>
    </row>
    <row r="2140" spans="3:4">
      <c r="C2140" s="141"/>
      <c r="D2140" s="141"/>
    </row>
    <row r="2141" spans="3:4">
      <c r="C2141" s="141"/>
      <c r="D2141" s="141"/>
    </row>
    <row r="2142" spans="3:4">
      <c r="C2142" s="141"/>
      <c r="D2142" s="141"/>
    </row>
    <row r="2143" spans="3:4">
      <c r="C2143" s="141"/>
      <c r="D2143" s="141"/>
    </row>
    <row r="2144" spans="3:4">
      <c r="C2144" s="141"/>
      <c r="D2144" s="141"/>
    </row>
    <row r="2145" spans="3:4">
      <c r="C2145" s="141"/>
      <c r="D2145" s="141"/>
    </row>
    <row r="2146" spans="3:4">
      <c r="C2146" s="141"/>
      <c r="D2146" s="141"/>
    </row>
    <row r="2147" spans="3:4">
      <c r="C2147" s="141"/>
      <c r="D2147" s="141"/>
    </row>
    <row r="2148" spans="3:4">
      <c r="C2148" s="141"/>
      <c r="D2148" s="141"/>
    </row>
    <row r="2149" spans="3:4">
      <c r="C2149" s="141"/>
      <c r="D2149" s="141"/>
    </row>
    <row r="2150" spans="3:4">
      <c r="C2150" s="141"/>
      <c r="D2150" s="141"/>
    </row>
    <row r="2151" spans="3:4">
      <c r="C2151" s="141"/>
      <c r="D2151" s="141"/>
    </row>
    <row r="2152" spans="3:4">
      <c r="C2152" s="141"/>
      <c r="D2152" s="141"/>
    </row>
    <row r="2153" spans="3:4">
      <c r="C2153" s="141"/>
      <c r="D2153" s="141"/>
    </row>
    <row r="2154" spans="3:4">
      <c r="C2154" s="141"/>
      <c r="D2154" s="141"/>
    </row>
    <row r="2155" spans="3:4">
      <c r="C2155" s="141"/>
      <c r="D2155" s="141"/>
    </row>
    <row r="2156" spans="3:4">
      <c r="C2156" s="141"/>
      <c r="D2156" s="141"/>
    </row>
    <row r="2157" spans="3:4">
      <c r="C2157" s="141"/>
      <c r="D2157" s="141"/>
    </row>
    <row r="2158" spans="3:4">
      <c r="C2158" s="141"/>
      <c r="D2158" s="141"/>
    </row>
    <row r="2159" spans="3:4">
      <c r="C2159" s="141"/>
      <c r="D2159" s="141"/>
    </row>
    <row r="2160" spans="3:4">
      <c r="C2160" s="141"/>
      <c r="D2160" s="141"/>
    </row>
    <row r="2161" spans="3:4">
      <c r="C2161" s="141"/>
      <c r="D2161" s="141"/>
    </row>
    <row r="2162" spans="3:4">
      <c r="C2162" s="141"/>
      <c r="D2162" s="141"/>
    </row>
    <row r="2163" spans="3:4">
      <c r="C2163" s="141"/>
      <c r="D2163" s="141"/>
    </row>
    <row r="2164" spans="3:4">
      <c r="C2164" s="141"/>
      <c r="D2164" s="141"/>
    </row>
    <row r="2165" spans="3:4">
      <c r="C2165" s="141"/>
      <c r="D2165" s="141"/>
    </row>
    <row r="2166" spans="3:4">
      <c r="C2166" s="141"/>
      <c r="D2166" s="141"/>
    </row>
    <row r="2167" spans="3:4">
      <c r="C2167" s="141"/>
      <c r="D2167" s="141"/>
    </row>
    <row r="2168" spans="3:4">
      <c r="C2168" s="141"/>
      <c r="D2168" s="141"/>
    </row>
    <row r="2169" spans="3:4">
      <c r="C2169" s="141"/>
      <c r="D2169" s="141"/>
    </row>
    <row r="2170" spans="3:4">
      <c r="C2170" s="141"/>
      <c r="D2170" s="141"/>
    </row>
    <row r="2171" spans="3:4">
      <c r="C2171" s="141"/>
      <c r="D2171" s="141"/>
    </row>
    <row r="2172" spans="3:4">
      <c r="C2172" s="141"/>
      <c r="D2172" s="141"/>
    </row>
    <row r="2173" spans="3:4">
      <c r="C2173" s="141"/>
      <c r="D2173" s="141"/>
    </row>
    <row r="2174" spans="3:4">
      <c r="C2174" s="141"/>
      <c r="D2174" s="141"/>
    </row>
    <row r="2175" spans="3:4">
      <c r="C2175" s="141"/>
      <c r="D2175" s="141"/>
    </row>
    <row r="2176" spans="3:4">
      <c r="C2176" s="141"/>
      <c r="D2176" s="141"/>
    </row>
    <row r="2177" spans="3:4">
      <c r="C2177" s="141"/>
      <c r="D2177" s="141"/>
    </row>
    <row r="2178" spans="3:4">
      <c r="C2178" s="141"/>
      <c r="D2178" s="141"/>
    </row>
    <row r="2179" spans="3:4">
      <c r="C2179" s="141"/>
      <c r="D2179" s="141"/>
    </row>
    <row r="2180" spans="3:4">
      <c r="C2180" s="141"/>
      <c r="D2180" s="141"/>
    </row>
    <row r="2181" spans="3:4">
      <c r="C2181" s="141"/>
      <c r="D2181" s="141"/>
    </row>
    <row r="2182" spans="3:4">
      <c r="C2182" s="141"/>
      <c r="D2182" s="141"/>
    </row>
    <row r="2183" spans="3:4">
      <c r="C2183" s="141"/>
      <c r="D2183" s="141"/>
    </row>
    <row r="2184" spans="3:4">
      <c r="C2184" s="141"/>
      <c r="D2184" s="141"/>
    </row>
    <row r="2185" spans="3:4">
      <c r="C2185" s="141"/>
      <c r="D2185" s="141"/>
    </row>
    <row r="2186" spans="3:4">
      <c r="C2186" s="141"/>
      <c r="D2186" s="141"/>
    </row>
    <row r="2187" spans="3:4">
      <c r="C2187" s="141"/>
      <c r="D2187" s="141"/>
    </row>
    <row r="2188" spans="3:4">
      <c r="C2188" s="141"/>
      <c r="D2188" s="141"/>
    </row>
    <row r="2189" spans="3:4">
      <c r="C2189" s="141"/>
      <c r="D2189" s="141"/>
    </row>
    <row r="2190" spans="3:4">
      <c r="C2190" s="141"/>
      <c r="D2190" s="141"/>
    </row>
    <row r="2191" spans="3:4">
      <c r="C2191" s="141"/>
      <c r="D2191" s="141"/>
    </row>
    <row r="2192" spans="3:4">
      <c r="C2192" s="141"/>
      <c r="D2192" s="141"/>
    </row>
    <row r="2193" spans="3:4">
      <c r="C2193" s="141"/>
      <c r="D2193" s="141"/>
    </row>
    <row r="2194" spans="3:4">
      <c r="C2194" s="141"/>
      <c r="D2194" s="141"/>
    </row>
    <row r="2195" spans="3:4">
      <c r="C2195" s="141"/>
      <c r="D2195" s="141"/>
    </row>
    <row r="2196" spans="3:4">
      <c r="C2196" s="141"/>
      <c r="D2196" s="141"/>
    </row>
    <row r="2197" spans="3:4">
      <c r="C2197" s="141"/>
      <c r="D2197" s="141"/>
    </row>
    <row r="2198" spans="3:4">
      <c r="C2198" s="141"/>
      <c r="D2198" s="141"/>
    </row>
    <row r="2199" spans="3:4">
      <c r="C2199" s="141"/>
      <c r="D2199" s="141"/>
    </row>
    <row r="2200" spans="3:4">
      <c r="C2200" s="141"/>
      <c r="D2200" s="141"/>
    </row>
    <row r="2201" spans="3:4">
      <c r="C2201" s="141"/>
      <c r="D2201" s="141"/>
    </row>
    <row r="2202" spans="3:4">
      <c r="C2202" s="141"/>
      <c r="D2202" s="141"/>
    </row>
    <row r="2203" spans="3:4">
      <c r="C2203" s="141"/>
      <c r="D2203" s="141"/>
    </row>
    <row r="2204" spans="3:4">
      <c r="C2204" s="141"/>
      <c r="D2204" s="141"/>
    </row>
    <row r="2205" spans="3:4">
      <c r="C2205" s="141"/>
      <c r="D2205" s="141"/>
    </row>
    <row r="2206" spans="3:4">
      <c r="C2206" s="141"/>
      <c r="D2206" s="141"/>
    </row>
    <row r="2207" spans="3:4">
      <c r="C2207" s="141"/>
      <c r="D2207" s="141"/>
    </row>
    <row r="2208" spans="3:4">
      <c r="C2208" s="141"/>
      <c r="D2208" s="141"/>
    </row>
    <row r="2209" spans="3:4">
      <c r="C2209" s="141"/>
      <c r="D2209" s="141"/>
    </row>
    <row r="2210" spans="3:4">
      <c r="C2210" s="141"/>
      <c r="D2210" s="141"/>
    </row>
    <row r="2211" spans="3:4">
      <c r="C2211" s="141"/>
      <c r="D2211" s="141"/>
    </row>
    <row r="2212" spans="3:4">
      <c r="C2212" s="141"/>
      <c r="D2212" s="141"/>
    </row>
    <row r="2213" spans="3:4">
      <c r="C2213" s="141"/>
      <c r="D2213" s="141"/>
    </row>
    <row r="2214" spans="3:4">
      <c r="C2214" s="141"/>
      <c r="D2214" s="141"/>
    </row>
    <row r="2215" spans="3:4">
      <c r="C2215" s="141"/>
      <c r="D2215" s="141"/>
    </row>
    <row r="2216" spans="3:4">
      <c r="C2216" s="141"/>
      <c r="D2216" s="141"/>
    </row>
    <row r="2217" spans="3:4">
      <c r="C2217" s="141"/>
      <c r="D2217" s="141"/>
    </row>
    <row r="2218" spans="3:4">
      <c r="C2218" s="141"/>
      <c r="D2218" s="141"/>
    </row>
    <row r="2219" spans="3:4">
      <c r="C2219" s="141"/>
      <c r="D2219" s="141"/>
    </row>
    <row r="2220" spans="3:4">
      <c r="C2220" s="141"/>
      <c r="D2220" s="141"/>
    </row>
    <row r="2221" spans="3:4">
      <c r="C2221" s="141"/>
      <c r="D2221" s="141"/>
    </row>
    <row r="2222" spans="3:4">
      <c r="C2222" s="141"/>
      <c r="D2222" s="141"/>
    </row>
    <row r="2223" spans="3:4">
      <c r="C2223" s="141"/>
      <c r="D2223" s="141"/>
    </row>
    <row r="2224" spans="3:4">
      <c r="C2224" s="141"/>
      <c r="D2224" s="141"/>
    </row>
    <row r="2225" spans="3:4">
      <c r="C2225" s="141"/>
      <c r="D2225" s="141"/>
    </row>
    <row r="2226" spans="3:4">
      <c r="C2226" s="141"/>
      <c r="D2226" s="141"/>
    </row>
    <row r="2227" spans="3:4">
      <c r="C2227" s="141"/>
      <c r="D2227" s="141"/>
    </row>
    <row r="2228" spans="3:4">
      <c r="C2228" s="141"/>
      <c r="D2228" s="141"/>
    </row>
    <row r="2229" spans="3:4">
      <c r="C2229" s="141"/>
      <c r="D2229" s="141"/>
    </row>
    <row r="2230" spans="3:4">
      <c r="C2230" s="141"/>
      <c r="D2230" s="141"/>
    </row>
    <row r="2231" spans="3:4">
      <c r="C2231" s="141"/>
      <c r="D2231" s="141"/>
    </row>
    <row r="2232" spans="3:4">
      <c r="C2232" s="141"/>
      <c r="D2232" s="141"/>
    </row>
    <row r="2233" spans="3:4">
      <c r="C2233" s="141"/>
      <c r="D2233" s="141"/>
    </row>
    <row r="2234" spans="3:4">
      <c r="C2234" s="141"/>
      <c r="D2234" s="141"/>
    </row>
    <row r="2235" spans="3:4">
      <c r="C2235" s="141"/>
      <c r="D2235" s="141"/>
    </row>
    <row r="2236" spans="3:4">
      <c r="C2236" s="141"/>
      <c r="D2236" s="141"/>
    </row>
    <row r="2237" spans="3:4">
      <c r="C2237" s="141"/>
      <c r="D2237" s="141"/>
    </row>
    <row r="2238" spans="3:4">
      <c r="C2238" s="141"/>
      <c r="D2238" s="141"/>
    </row>
    <row r="2239" spans="3:4">
      <c r="C2239" s="141"/>
      <c r="D2239" s="141"/>
    </row>
    <row r="2240" spans="3:4">
      <c r="C2240" s="141"/>
      <c r="D2240" s="141"/>
    </row>
    <row r="2241" spans="3:4">
      <c r="C2241" s="141"/>
      <c r="D2241" s="141"/>
    </row>
    <row r="2242" spans="3:4">
      <c r="C2242" s="141"/>
      <c r="D2242" s="141"/>
    </row>
    <row r="2243" spans="3:4">
      <c r="C2243" s="141"/>
      <c r="D2243" s="141"/>
    </row>
    <row r="2244" spans="3:4">
      <c r="C2244" s="141"/>
      <c r="D2244" s="141"/>
    </row>
    <row r="2245" spans="3:4">
      <c r="C2245" s="141"/>
      <c r="D2245" s="141"/>
    </row>
    <row r="2246" spans="3:4">
      <c r="C2246" s="141"/>
      <c r="D2246" s="141"/>
    </row>
    <row r="2247" spans="3:4">
      <c r="C2247" s="141"/>
      <c r="D2247" s="141"/>
    </row>
    <row r="2248" spans="3:4">
      <c r="C2248" s="141"/>
      <c r="D2248" s="141"/>
    </row>
    <row r="2249" spans="3:4">
      <c r="C2249" s="141"/>
      <c r="D2249" s="141"/>
    </row>
    <row r="2250" spans="3:4">
      <c r="C2250" s="141"/>
      <c r="D2250" s="141"/>
    </row>
    <row r="2251" spans="3:4">
      <c r="C2251" s="141"/>
      <c r="D2251" s="141"/>
    </row>
    <row r="2252" spans="3:4">
      <c r="C2252" s="141"/>
      <c r="D2252" s="141"/>
    </row>
    <row r="2253" spans="3:4">
      <c r="C2253" s="141"/>
      <c r="D2253" s="141"/>
    </row>
    <row r="2254" spans="3:4">
      <c r="C2254" s="141"/>
      <c r="D2254" s="141"/>
    </row>
    <row r="2255" spans="3:4">
      <c r="C2255" s="141"/>
      <c r="D2255" s="141"/>
    </row>
    <row r="2256" spans="3:4">
      <c r="C2256" s="141"/>
      <c r="D2256" s="141"/>
    </row>
    <row r="2257" spans="3:4">
      <c r="C2257" s="141"/>
      <c r="D2257" s="141"/>
    </row>
    <row r="2258" spans="3:4">
      <c r="C2258" s="141"/>
      <c r="D2258" s="141"/>
    </row>
    <row r="2259" spans="3:4">
      <c r="C2259" s="141"/>
      <c r="D2259" s="141"/>
    </row>
    <row r="2260" spans="3:4">
      <c r="C2260" s="141"/>
      <c r="D2260" s="141"/>
    </row>
    <row r="2261" spans="3:4">
      <c r="C2261" s="141"/>
      <c r="D2261" s="141"/>
    </row>
    <row r="2262" spans="3:4">
      <c r="C2262" s="141"/>
      <c r="D2262" s="141"/>
    </row>
    <row r="2263" spans="3:4">
      <c r="C2263" s="141"/>
      <c r="D2263" s="141"/>
    </row>
    <row r="2264" spans="3:4">
      <c r="C2264" s="141"/>
      <c r="D2264" s="141"/>
    </row>
    <row r="2265" spans="3:4">
      <c r="C2265" s="141"/>
      <c r="D2265" s="141"/>
    </row>
    <row r="2266" spans="3:4">
      <c r="C2266" s="141"/>
      <c r="D2266" s="141"/>
    </row>
    <row r="2267" spans="3:4">
      <c r="C2267" s="141"/>
      <c r="D2267" s="141"/>
    </row>
    <row r="2268" spans="3:4">
      <c r="C2268" s="141"/>
      <c r="D2268" s="141"/>
    </row>
    <row r="2269" spans="3:4">
      <c r="C2269" s="141"/>
      <c r="D2269" s="141"/>
    </row>
    <row r="2270" spans="3:4">
      <c r="C2270" s="141"/>
      <c r="D2270" s="141"/>
    </row>
    <row r="2271" spans="3:4">
      <c r="C2271" s="141"/>
      <c r="D2271" s="141"/>
    </row>
    <row r="2272" spans="3:4">
      <c r="C2272" s="141"/>
      <c r="D2272" s="141"/>
    </row>
    <row r="2273" spans="3:4">
      <c r="C2273" s="141"/>
      <c r="D2273" s="141"/>
    </row>
    <row r="2274" spans="3:4">
      <c r="C2274" s="141"/>
      <c r="D2274" s="141"/>
    </row>
    <row r="2275" spans="3:4">
      <c r="C2275" s="141"/>
      <c r="D2275" s="141"/>
    </row>
    <row r="2276" spans="3:4">
      <c r="C2276" s="141"/>
      <c r="D2276" s="141"/>
    </row>
    <row r="2277" spans="3:4">
      <c r="C2277" s="141"/>
      <c r="D2277" s="141"/>
    </row>
    <row r="2278" spans="3:4">
      <c r="C2278" s="141"/>
      <c r="D2278" s="141"/>
    </row>
    <row r="2279" spans="3:4">
      <c r="C2279" s="141"/>
      <c r="D2279" s="141"/>
    </row>
    <row r="2280" spans="3:4">
      <c r="C2280" s="141"/>
      <c r="D2280" s="141"/>
    </row>
    <row r="2281" spans="3:4">
      <c r="C2281" s="141"/>
      <c r="D2281" s="141"/>
    </row>
    <row r="2282" spans="3:4">
      <c r="C2282" s="141"/>
      <c r="D2282" s="141"/>
    </row>
    <row r="2283" spans="3:4">
      <c r="C2283" s="141"/>
      <c r="D2283" s="141"/>
    </row>
    <row r="2284" spans="3:4">
      <c r="C2284" s="141"/>
      <c r="D2284" s="141"/>
    </row>
    <row r="2285" spans="3:4">
      <c r="C2285" s="141"/>
      <c r="D2285" s="141"/>
    </row>
    <row r="2286" spans="3:4">
      <c r="C2286" s="141"/>
      <c r="D2286" s="141"/>
    </row>
    <row r="2287" spans="3:4">
      <c r="C2287" s="141"/>
      <c r="D2287" s="141"/>
    </row>
    <row r="2288" spans="3:4">
      <c r="C2288" s="141"/>
      <c r="D2288" s="141"/>
    </row>
    <row r="2289" spans="3:4">
      <c r="C2289" s="141"/>
      <c r="D2289" s="141"/>
    </row>
    <row r="2290" spans="3:4">
      <c r="C2290" s="141"/>
      <c r="D2290" s="141"/>
    </row>
    <row r="2291" spans="3:4">
      <c r="C2291" s="141"/>
      <c r="D2291" s="141"/>
    </row>
    <row r="2292" spans="3:4">
      <c r="C2292" s="141"/>
      <c r="D2292" s="141"/>
    </row>
    <row r="2293" spans="3:4">
      <c r="C2293" s="141"/>
      <c r="D2293" s="141"/>
    </row>
    <row r="2294" spans="3:4">
      <c r="C2294" s="141"/>
      <c r="D2294" s="141"/>
    </row>
    <row r="2295" spans="3:4">
      <c r="C2295" s="141"/>
      <c r="D2295" s="141"/>
    </row>
    <row r="2296" spans="3:4">
      <c r="C2296" s="141"/>
      <c r="D2296" s="141"/>
    </row>
    <row r="2297" spans="3:4">
      <c r="C2297" s="141"/>
      <c r="D2297" s="141"/>
    </row>
    <row r="2298" spans="3:4">
      <c r="C2298" s="141"/>
      <c r="D2298" s="141"/>
    </row>
    <row r="2299" spans="3:4">
      <c r="C2299" s="141"/>
      <c r="D2299" s="141"/>
    </row>
    <row r="2300" spans="3:4">
      <c r="C2300" s="141"/>
      <c r="D2300" s="141"/>
    </row>
    <row r="2301" spans="3:4">
      <c r="C2301" s="141"/>
      <c r="D2301" s="141"/>
    </row>
    <row r="2302" spans="3:4">
      <c r="C2302" s="141"/>
      <c r="D2302" s="141"/>
    </row>
    <row r="2303" spans="3:4">
      <c r="C2303" s="141"/>
      <c r="D2303" s="141"/>
    </row>
    <row r="2304" spans="3:4">
      <c r="C2304" s="141"/>
      <c r="D2304" s="141"/>
    </row>
    <row r="2305" spans="3:4">
      <c r="C2305" s="141"/>
      <c r="D2305" s="141"/>
    </row>
    <row r="2306" spans="3:4">
      <c r="C2306" s="141"/>
      <c r="D2306" s="141"/>
    </row>
    <row r="2307" spans="3:4">
      <c r="C2307" s="141"/>
      <c r="D2307" s="141"/>
    </row>
    <row r="2308" spans="3:4">
      <c r="C2308" s="141"/>
      <c r="D2308" s="141"/>
    </row>
    <row r="2309" spans="3:4">
      <c r="C2309" s="141"/>
      <c r="D2309" s="141"/>
    </row>
    <row r="2310" spans="3:4">
      <c r="C2310" s="141"/>
      <c r="D2310" s="141"/>
    </row>
    <row r="2311" spans="3:4">
      <c r="C2311" s="141"/>
      <c r="D2311" s="141"/>
    </row>
    <row r="2312" spans="3:4">
      <c r="C2312" s="141"/>
      <c r="D2312" s="141"/>
    </row>
    <row r="2313" spans="3:4">
      <c r="C2313" s="141"/>
      <c r="D2313" s="141"/>
    </row>
    <row r="2314" spans="3:4">
      <c r="C2314" s="141"/>
      <c r="D2314" s="141"/>
    </row>
    <row r="2315" spans="3:4">
      <c r="C2315" s="141"/>
      <c r="D2315" s="141"/>
    </row>
    <row r="2316" spans="3:4">
      <c r="C2316" s="141"/>
      <c r="D2316" s="141"/>
    </row>
    <row r="2317" spans="3:4">
      <c r="C2317" s="141"/>
      <c r="D2317" s="141"/>
    </row>
    <row r="2318" spans="3:4">
      <c r="C2318" s="141"/>
      <c r="D2318" s="141"/>
    </row>
    <row r="2319" spans="3:4">
      <c r="C2319" s="141"/>
      <c r="D2319" s="141"/>
    </row>
    <row r="2320" spans="3:4">
      <c r="C2320" s="141"/>
      <c r="D2320" s="141"/>
    </row>
    <row r="2321" spans="3:4">
      <c r="C2321" s="141"/>
      <c r="D2321" s="141"/>
    </row>
    <row r="2322" spans="3:4">
      <c r="C2322" s="141"/>
      <c r="D2322" s="141"/>
    </row>
    <row r="2323" spans="3:4">
      <c r="C2323" s="141"/>
      <c r="D2323" s="141"/>
    </row>
    <row r="2324" spans="3:4">
      <c r="C2324" s="141"/>
      <c r="D2324" s="141"/>
    </row>
    <row r="2325" spans="3:4">
      <c r="C2325" s="141"/>
      <c r="D2325" s="141"/>
    </row>
    <row r="2326" spans="3:4">
      <c r="C2326" s="141"/>
      <c r="D2326" s="141"/>
    </row>
    <row r="2327" spans="3:4">
      <c r="C2327" s="141"/>
      <c r="D2327" s="141"/>
    </row>
    <row r="2328" spans="3:4">
      <c r="C2328" s="141"/>
      <c r="D2328" s="141"/>
    </row>
    <row r="2329" spans="3:4">
      <c r="C2329" s="141"/>
      <c r="D2329" s="141"/>
    </row>
    <row r="2330" spans="3:4">
      <c r="C2330" s="141"/>
      <c r="D2330" s="141"/>
    </row>
    <row r="2331" spans="3:4">
      <c r="C2331" s="141"/>
      <c r="D2331" s="141"/>
    </row>
    <row r="2332" spans="3:4">
      <c r="C2332" s="141"/>
      <c r="D2332" s="141"/>
    </row>
    <row r="2333" spans="3:4">
      <c r="C2333" s="141"/>
      <c r="D2333" s="141"/>
    </row>
    <row r="2334" spans="3:4">
      <c r="C2334" s="141"/>
      <c r="D2334" s="141"/>
    </row>
    <row r="2335" spans="3:4">
      <c r="C2335" s="141"/>
      <c r="D2335" s="141"/>
    </row>
    <row r="2336" spans="3:4">
      <c r="C2336" s="141"/>
      <c r="D2336" s="141"/>
    </row>
    <row r="2337" spans="3:4">
      <c r="C2337" s="141"/>
      <c r="D2337" s="141"/>
    </row>
    <row r="2338" spans="3:4">
      <c r="C2338" s="141"/>
      <c r="D2338" s="141"/>
    </row>
    <row r="2339" spans="3:4">
      <c r="C2339" s="141"/>
      <c r="D2339" s="141"/>
    </row>
    <row r="2340" spans="3:4">
      <c r="C2340" s="141"/>
      <c r="D2340" s="141"/>
    </row>
    <row r="2341" spans="3:4">
      <c r="C2341" s="141"/>
      <c r="D2341" s="141"/>
    </row>
    <row r="2342" spans="3:4">
      <c r="C2342" s="141"/>
      <c r="D2342" s="141"/>
    </row>
    <row r="2343" spans="3:4">
      <c r="C2343" s="141"/>
      <c r="D2343" s="141"/>
    </row>
    <row r="2344" spans="3:4">
      <c r="C2344" s="141"/>
      <c r="D2344" s="141"/>
    </row>
    <row r="2345" spans="3:4">
      <c r="C2345" s="141"/>
      <c r="D2345" s="141"/>
    </row>
    <row r="2346" spans="3:4">
      <c r="C2346" s="141"/>
      <c r="D2346" s="141"/>
    </row>
    <row r="2347" spans="3:4">
      <c r="C2347" s="141"/>
      <c r="D2347" s="141"/>
    </row>
    <row r="2348" spans="3:4">
      <c r="C2348" s="141"/>
      <c r="D2348" s="141"/>
    </row>
    <row r="2349" spans="3:4">
      <c r="C2349" s="141"/>
      <c r="D2349" s="141"/>
    </row>
    <row r="2350" spans="3:4">
      <c r="C2350" s="141"/>
      <c r="D2350" s="141"/>
    </row>
    <row r="2351" spans="3:4">
      <c r="C2351" s="141"/>
      <c r="D2351" s="141"/>
    </row>
    <row r="2352" spans="3:4">
      <c r="C2352" s="141"/>
      <c r="D2352" s="141"/>
    </row>
    <row r="2353" spans="3:4">
      <c r="C2353" s="141"/>
      <c r="D2353" s="141"/>
    </row>
    <row r="2354" spans="3:4">
      <c r="C2354" s="141"/>
      <c r="D2354" s="141"/>
    </row>
    <row r="2355" spans="3:4">
      <c r="C2355" s="141"/>
      <c r="D2355" s="141"/>
    </row>
    <row r="2356" spans="3:4">
      <c r="C2356" s="141"/>
      <c r="D2356" s="141"/>
    </row>
    <row r="2357" spans="3:4">
      <c r="C2357" s="141"/>
      <c r="D2357" s="141"/>
    </row>
    <row r="2358" spans="3:4">
      <c r="C2358" s="141"/>
      <c r="D2358" s="141"/>
    </row>
    <row r="2359" spans="3:4">
      <c r="C2359" s="141"/>
      <c r="D2359" s="141"/>
    </row>
    <row r="2360" spans="3:4">
      <c r="C2360" s="141"/>
      <c r="D2360" s="141"/>
    </row>
    <row r="2361" spans="3:4">
      <c r="C2361" s="141"/>
      <c r="D2361" s="141"/>
    </row>
    <row r="2362" spans="3:4">
      <c r="C2362" s="141"/>
      <c r="D2362" s="141"/>
    </row>
    <row r="2363" spans="3:4">
      <c r="C2363" s="141"/>
      <c r="D2363" s="141"/>
    </row>
    <row r="2364" spans="3:4">
      <c r="C2364" s="141"/>
      <c r="D2364" s="141"/>
    </row>
    <row r="2365" spans="3:4">
      <c r="C2365" s="141"/>
      <c r="D2365" s="141"/>
    </row>
    <row r="2366" spans="3:4">
      <c r="C2366" s="141"/>
      <c r="D2366" s="141"/>
    </row>
    <row r="2367" spans="3:4">
      <c r="C2367" s="141"/>
      <c r="D2367" s="141"/>
    </row>
    <row r="2368" spans="3:4">
      <c r="C2368" s="141"/>
      <c r="D2368" s="141"/>
    </row>
    <row r="2369" spans="3:4">
      <c r="C2369" s="141"/>
      <c r="D2369" s="141"/>
    </row>
    <row r="2370" spans="3:4">
      <c r="C2370" s="141"/>
      <c r="D2370" s="141"/>
    </row>
    <row r="2371" spans="3:4">
      <c r="C2371" s="141"/>
      <c r="D2371" s="141"/>
    </row>
    <row r="2372" spans="3:4">
      <c r="C2372" s="141"/>
      <c r="D2372" s="141"/>
    </row>
    <row r="2373" spans="3:4">
      <c r="C2373" s="141"/>
      <c r="D2373" s="141"/>
    </row>
    <row r="2374" spans="3:4">
      <c r="C2374" s="141"/>
      <c r="D2374" s="141"/>
    </row>
    <row r="2375" spans="3:4">
      <c r="C2375" s="141"/>
      <c r="D2375" s="141"/>
    </row>
    <row r="2376" spans="3:4">
      <c r="C2376" s="141"/>
      <c r="D2376" s="141"/>
    </row>
    <row r="2377" spans="3:4">
      <c r="C2377" s="141"/>
      <c r="D2377" s="141"/>
    </row>
    <row r="2378" spans="3:4">
      <c r="C2378" s="141"/>
      <c r="D2378" s="141"/>
    </row>
    <row r="2379" spans="3:4">
      <c r="C2379" s="141"/>
      <c r="D2379" s="141"/>
    </row>
    <row r="2380" spans="3:4">
      <c r="C2380" s="141"/>
      <c r="D2380" s="141"/>
    </row>
    <row r="2381" spans="3:4">
      <c r="C2381" s="141"/>
      <c r="D2381" s="141"/>
    </row>
    <row r="2382" spans="3:4">
      <c r="C2382" s="141"/>
      <c r="D2382" s="141"/>
    </row>
    <row r="2383" spans="3:4">
      <c r="C2383" s="141"/>
      <c r="D2383" s="141"/>
    </row>
    <row r="2384" spans="3:4">
      <c r="C2384" s="141"/>
      <c r="D2384" s="141"/>
    </row>
    <row r="2385" spans="3:4">
      <c r="C2385" s="141"/>
      <c r="D2385" s="141"/>
    </row>
    <row r="2386" spans="3:4">
      <c r="C2386" s="141"/>
      <c r="D2386" s="141"/>
    </row>
    <row r="2387" spans="3:4">
      <c r="C2387" s="141"/>
      <c r="D2387" s="141"/>
    </row>
    <row r="2388" spans="3:4">
      <c r="C2388" s="141"/>
      <c r="D2388" s="141"/>
    </row>
    <row r="2389" spans="3:4">
      <c r="C2389" s="141"/>
      <c r="D2389" s="141"/>
    </row>
    <row r="2390" spans="3:4">
      <c r="C2390" s="141"/>
      <c r="D2390" s="141"/>
    </row>
    <row r="2391" spans="3:4">
      <c r="C2391" s="141"/>
      <c r="D2391" s="141"/>
    </row>
    <row r="2392" spans="3:4">
      <c r="C2392" s="141"/>
      <c r="D2392" s="141"/>
    </row>
    <row r="2393" spans="3:4">
      <c r="C2393" s="141"/>
      <c r="D2393" s="141"/>
    </row>
    <row r="2394" spans="3:4">
      <c r="C2394" s="141"/>
      <c r="D2394" s="141"/>
    </row>
    <row r="2395" spans="3:4">
      <c r="C2395" s="141"/>
      <c r="D2395" s="141"/>
    </row>
    <row r="2396" spans="3:4">
      <c r="C2396" s="141"/>
      <c r="D2396" s="141"/>
    </row>
    <row r="2397" spans="3:4">
      <c r="C2397" s="141"/>
      <c r="D2397" s="141"/>
    </row>
    <row r="2398" spans="3:4">
      <c r="C2398" s="141"/>
      <c r="D2398" s="141"/>
    </row>
    <row r="2399" spans="3:4">
      <c r="C2399" s="141"/>
      <c r="D2399" s="141"/>
    </row>
    <row r="2400" spans="3:4">
      <c r="C2400" s="141"/>
      <c r="D2400" s="141"/>
    </row>
    <row r="2401" spans="3:4">
      <c r="C2401" s="141"/>
      <c r="D2401" s="141"/>
    </row>
    <row r="2402" spans="3:4">
      <c r="C2402" s="141"/>
      <c r="D2402" s="141"/>
    </row>
    <row r="2403" spans="3:4">
      <c r="C2403" s="141"/>
      <c r="D2403" s="141"/>
    </row>
    <row r="2404" spans="3:4">
      <c r="C2404" s="141"/>
      <c r="D2404" s="141"/>
    </row>
    <row r="2405" spans="3:4">
      <c r="C2405" s="141"/>
      <c r="D2405" s="141"/>
    </row>
    <row r="2406" spans="3:4">
      <c r="C2406" s="141"/>
      <c r="D2406" s="141"/>
    </row>
    <row r="2407" spans="3:4">
      <c r="C2407" s="141"/>
      <c r="D2407" s="141"/>
    </row>
    <row r="2408" spans="3:4">
      <c r="C2408" s="141"/>
      <c r="D2408" s="141"/>
    </row>
    <row r="2409" spans="3:4">
      <c r="C2409" s="141"/>
      <c r="D2409" s="141"/>
    </row>
    <row r="2410" spans="3:4">
      <c r="C2410" s="141"/>
      <c r="D2410" s="141"/>
    </row>
    <row r="2411" spans="3:4">
      <c r="C2411" s="141"/>
      <c r="D2411" s="141"/>
    </row>
    <row r="2412" spans="3:4">
      <c r="C2412" s="141"/>
      <c r="D2412" s="141"/>
    </row>
    <row r="2413" spans="3:4">
      <c r="C2413" s="141"/>
      <c r="D2413" s="141"/>
    </row>
    <row r="2414" spans="3:4">
      <c r="C2414" s="141"/>
      <c r="D2414" s="141"/>
    </row>
    <row r="2415" spans="3:4">
      <c r="C2415" s="141"/>
      <c r="D2415" s="141"/>
    </row>
    <row r="2416" spans="3:4">
      <c r="C2416" s="141"/>
      <c r="D2416" s="141"/>
    </row>
    <row r="2417" spans="3:4">
      <c r="C2417" s="141"/>
      <c r="D2417" s="141"/>
    </row>
    <row r="2418" spans="3:4">
      <c r="C2418" s="141"/>
      <c r="D2418" s="141"/>
    </row>
    <row r="2419" spans="3:4">
      <c r="C2419" s="141"/>
      <c r="D2419" s="141"/>
    </row>
    <row r="2420" spans="3:4">
      <c r="C2420" s="141"/>
      <c r="D2420" s="141"/>
    </row>
    <row r="2421" spans="3:4">
      <c r="C2421" s="141"/>
      <c r="D2421" s="141"/>
    </row>
    <row r="2422" spans="3:4">
      <c r="C2422" s="141"/>
      <c r="D2422" s="141"/>
    </row>
    <row r="2423" spans="3:4">
      <c r="C2423" s="141"/>
      <c r="D2423" s="141"/>
    </row>
    <row r="2424" spans="3:4">
      <c r="C2424" s="141"/>
      <c r="D2424" s="141"/>
    </row>
    <row r="2425" spans="3:4">
      <c r="C2425" s="141"/>
      <c r="D2425" s="141"/>
    </row>
    <row r="2426" spans="3:4">
      <c r="C2426" s="141"/>
      <c r="D2426" s="141"/>
    </row>
    <row r="2427" spans="3:4">
      <c r="C2427" s="141"/>
      <c r="D2427" s="141"/>
    </row>
    <row r="2428" spans="3:4">
      <c r="C2428" s="141"/>
      <c r="D2428" s="141"/>
    </row>
    <row r="2429" spans="3:4">
      <c r="C2429" s="141"/>
      <c r="D2429" s="141"/>
    </row>
    <row r="2430" spans="3:4">
      <c r="C2430" s="141"/>
      <c r="D2430" s="141"/>
    </row>
    <row r="2431" spans="3:4">
      <c r="C2431" s="141"/>
      <c r="D2431" s="141"/>
    </row>
    <row r="2432" spans="3:4">
      <c r="C2432" s="141"/>
      <c r="D2432" s="141"/>
    </row>
    <row r="2433" spans="3:4">
      <c r="C2433" s="141"/>
      <c r="D2433" s="141"/>
    </row>
    <row r="2434" spans="3:4">
      <c r="C2434" s="141"/>
      <c r="D2434" s="141"/>
    </row>
    <row r="2435" spans="3:4">
      <c r="C2435" s="141"/>
      <c r="D2435" s="141"/>
    </row>
    <row r="2436" spans="3:4">
      <c r="C2436" s="141"/>
      <c r="D2436" s="141"/>
    </row>
    <row r="2437" spans="3:4">
      <c r="C2437" s="141"/>
      <c r="D2437" s="141"/>
    </row>
    <row r="2438" spans="3:4">
      <c r="C2438" s="141"/>
      <c r="D2438" s="141"/>
    </row>
    <row r="2439" spans="3:4">
      <c r="C2439" s="141"/>
      <c r="D2439" s="141"/>
    </row>
    <row r="2440" spans="3:4">
      <c r="C2440" s="141"/>
      <c r="D2440" s="141"/>
    </row>
    <row r="2441" spans="3:4">
      <c r="C2441" s="141"/>
      <c r="D2441" s="141"/>
    </row>
    <row r="2442" spans="3:4">
      <c r="C2442" s="141"/>
      <c r="D2442" s="141"/>
    </row>
    <row r="2443" spans="3:4">
      <c r="C2443" s="141"/>
      <c r="D2443" s="141"/>
    </row>
    <row r="2444" spans="3:4">
      <c r="C2444" s="141"/>
      <c r="D2444" s="141"/>
    </row>
    <row r="2445" spans="3:4">
      <c r="C2445" s="141"/>
      <c r="D2445" s="141"/>
    </row>
    <row r="2446" spans="3:4">
      <c r="C2446" s="141"/>
      <c r="D2446" s="141"/>
    </row>
    <row r="2447" spans="3:4">
      <c r="C2447" s="141"/>
      <c r="D2447" s="141"/>
    </row>
    <row r="2448" spans="3:4">
      <c r="C2448" s="141"/>
      <c r="D2448" s="141"/>
    </row>
    <row r="2449" spans="3:4">
      <c r="C2449" s="141"/>
      <c r="D2449" s="141"/>
    </row>
    <row r="2450" spans="3:4">
      <c r="C2450" s="141"/>
      <c r="D2450" s="141"/>
    </row>
    <row r="2451" spans="3:4">
      <c r="C2451" s="141"/>
      <c r="D2451" s="141"/>
    </row>
    <row r="2452" spans="3:4">
      <c r="C2452" s="141"/>
      <c r="D2452" s="141"/>
    </row>
    <row r="2453" spans="3:4">
      <c r="C2453" s="141"/>
      <c r="D2453" s="141"/>
    </row>
    <row r="2454" spans="3:4">
      <c r="C2454" s="141"/>
      <c r="D2454" s="141"/>
    </row>
    <row r="2455" spans="3:4">
      <c r="C2455" s="141"/>
      <c r="D2455" s="141"/>
    </row>
    <row r="2456" spans="3:4">
      <c r="C2456" s="141"/>
      <c r="D2456" s="141"/>
    </row>
    <row r="2457" spans="3:4">
      <c r="C2457" s="141"/>
      <c r="D2457" s="141"/>
    </row>
    <row r="2458" spans="3:4">
      <c r="C2458" s="141"/>
      <c r="D2458" s="141"/>
    </row>
    <row r="2459" spans="3:4">
      <c r="C2459" s="141"/>
      <c r="D2459" s="141"/>
    </row>
    <row r="2460" spans="3:4">
      <c r="C2460" s="141"/>
      <c r="D2460" s="141"/>
    </row>
    <row r="2461" spans="3:4">
      <c r="C2461" s="141"/>
      <c r="D2461" s="141"/>
    </row>
    <row r="2462" spans="3:4">
      <c r="C2462" s="141"/>
      <c r="D2462" s="141"/>
    </row>
    <row r="2463" spans="3:4">
      <c r="C2463" s="141"/>
      <c r="D2463" s="141"/>
    </row>
    <row r="2464" spans="3:4">
      <c r="C2464" s="141"/>
      <c r="D2464" s="141"/>
    </row>
    <row r="2465" spans="3:4">
      <c r="C2465" s="141"/>
      <c r="D2465" s="141"/>
    </row>
    <row r="2466" spans="3:4">
      <c r="C2466" s="141"/>
      <c r="D2466" s="141"/>
    </row>
    <row r="2467" spans="3:4">
      <c r="C2467" s="141"/>
      <c r="D2467" s="141"/>
    </row>
    <row r="2468" spans="3:4">
      <c r="C2468" s="141"/>
      <c r="D2468" s="141"/>
    </row>
    <row r="2469" spans="3:4">
      <c r="C2469" s="141"/>
      <c r="D2469" s="141"/>
    </row>
    <row r="2470" spans="3:4">
      <c r="C2470" s="141"/>
      <c r="D2470" s="141"/>
    </row>
    <row r="2471" spans="3:4">
      <c r="C2471" s="141"/>
      <c r="D2471" s="141"/>
    </row>
    <row r="2472" spans="3:4">
      <c r="C2472" s="141"/>
      <c r="D2472" s="141"/>
    </row>
    <row r="2473" spans="3:4">
      <c r="C2473" s="141"/>
      <c r="D2473" s="141"/>
    </row>
    <row r="2474" spans="3:4">
      <c r="C2474" s="141"/>
      <c r="D2474" s="141"/>
    </row>
    <row r="2475" spans="3:4">
      <c r="C2475" s="141"/>
      <c r="D2475" s="141"/>
    </row>
    <row r="2476" spans="3:4">
      <c r="C2476" s="141"/>
      <c r="D2476" s="141"/>
    </row>
    <row r="2477" spans="3:4">
      <c r="C2477" s="141"/>
      <c r="D2477" s="141"/>
    </row>
    <row r="2478" spans="3:4">
      <c r="C2478" s="141"/>
      <c r="D2478" s="141"/>
    </row>
    <row r="2479" spans="3:4">
      <c r="C2479" s="141"/>
      <c r="D2479" s="141"/>
    </row>
    <row r="2480" spans="3:4">
      <c r="C2480" s="141"/>
      <c r="D2480" s="141"/>
    </row>
    <row r="2481" spans="3:4">
      <c r="C2481" s="141"/>
      <c r="D2481" s="141"/>
    </row>
    <row r="2482" spans="3:4">
      <c r="C2482" s="141"/>
      <c r="D2482" s="141"/>
    </row>
    <row r="2483" spans="3:4">
      <c r="C2483" s="141"/>
      <c r="D2483" s="141"/>
    </row>
    <row r="2484" spans="3:4">
      <c r="C2484" s="141"/>
      <c r="D2484" s="141"/>
    </row>
    <row r="2485" spans="3:4">
      <c r="C2485" s="141"/>
      <c r="D2485" s="141"/>
    </row>
    <row r="2486" spans="3:4">
      <c r="C2486" s="141"/>
      <c r="D2486" s="141"/>
    </row>
    <row r="2487" spans="3:4">
      <c r="C2487" s="141"/>
      <c r="D2487" s="141"/>
    </row>
    <row r="2488" spans="3:4">
      <c r="C2488" s="141"/>
      <c r="D2488" s="141"/>
    </row>
    <row r="2489" spans="3:4">
      <c r="C2489" s="141"/>
      <c r="D2489" s="141"/>
    </row>
    <row r="2490" spans="3:4">
      <c r="C2490" s="141"/>
      <c r="D2490" s="141"/>
    </row>
    <row r="2491" spans="3:4">
      <c r="C2491" s="141"/>
      <c r="D2491" s="141"/>
    </row>
    <row r="2492" spans="3:4">
      <c r="C2492" s="141"/>
      <c r="D2492" s="141"/>
    </row>
    <row r="2493" spans="3:4">
      <c r="C2493" s="141"/>
      <c r="D2493" s="141"/>
    </row>
    <row r="2494" spans="3:4">
      <c r="C2494" s="141"/>
      <c r="D2494" s="141"/>
    </row>
    <row r="2495" spans="3:4">
      <c r="C2495" s="141"/>
      <c r="D2495" s="141"/>
    </row>
    <row r="2496" spans="3:4">
      <c r="C2496" s="141"/>
      <c r="D2496" s="141"/>
    </row>
    <row r="2497" spans="3:4">
      <c r="C2497" s="141"/>
      <c r="D2497" s="141"/>
    </row>
    <row r="2498" spans="3:4">
      <c r="C2498" s="141"/>
      <c r="D2498" s="141"/>
    </row>
    <row r="2499" spans="3:4">
      <c r="C2499" s="141"/>
      <c r="D2499" s="141"/>
    </row>
    <row r="2500" spans="3:4">
      <c r="C2500" s="141"/>
      <c r="D2500" s="141"/>
    </row>
    <row r="2501" spans="3:4">
      <c r="C2501" s="141"/>
      <c r="D2501" s="141"/>
    </row>
    <row r="2502" spans="3:4">
      <c r="C2502" s="141"/>
      <c r="D2502" s="141"/>
    </row>
    <row r="2503" spans="3:4">
      <c r="C2503" s="141"/>
      <c r="D2503" s="141"/>
    </row>
    <row r="2504" spans="3:4">
      <c r="C2504" s="141"/>
      <c r="D2504" s="141"/>
    </row>
    <row r="2505" spans="3:4">
      <c r="C2505" s="141"/>
      <c r="D2505" s="141"/>
    </row>
    <row r="2506" spans="3:4">
      <c r="C2506" s="141"/>
      <c r="D2506" s="141"/>
    </row>
    <row r="2507" spans="3:4">
      <c r="C2507" s="141"/>
      <c r="D2507" s="141"/>
    </row>
    <row r="2508" spans="3:4">
      <c r="C2508" s="141"/>
      <c r="D2508" s="141"/>
    </row>
    <row r="2509" spans="3:4">
      <c r="C2509" s="141"/>
      <c r="D2509" s="141"/>
    </row>
    <row r="2510" spans="3:4">
      <c r="C2510" s="141"/>
      <c r="D2510" s="141"/>
    </row>
    <row r="2511" spans="3:4">
      <c r="C2511" s="141"/>
      <c r="D2511" s="141"/>
    </row>
    <row r="2512" spans="3:4">
      <c r="C2512" s="141"/>
      <c r="D2512" s="141"/>
    </row>
    <row r="2513" spans="3:4">
      <c r="C2513" s="141"/>
      <c r="D2513" s="141"/>
    </row>
    <row r="2514" spans="3:4">
      <c r="C2514" s="141"/>
      <c r="D2514" s="141"/>
    </row>
    <row r="2515" spans="3:4">
      <c r="C2515" s="141"/>
      <c r="D2515" s="141"/>
    </row>
    <row r="2516" spans="3:4">
      <c r="C2516" s="141"/>
      <c r="D2516" s="141"/>
    </row>
    <row r="2517" spans="3:4">
      <c r="C2517" s="141"/>
      <c r="D2517" s="141"/>
    </row>
    <row r="2518" spans="3:4">
      <c r="C2518" s="141"/>
      <c r="D2518" s="141"/>
    </row>
    <row r="2519" spans="3:4">
      <c r="C2519" s="141"/>
      <c r="D2519" s="141"/>
    </row>
    <row r="2520" spans="3:4">
      <c r="C2520" s="141"/>
      <c r="D2520" s="141"/>
    </row>
    <row r="2521" spans="3:4">
      <c r="C2521" s="141"/>
      <c r="D2521" s="141"/>
    </row>
    <row r="2522" spans="3:4">
      <c r="C2522" s="141"/>
      <c r="D2522" s="141"/>
    </row>
    <row r="2523" spans="3:4">
      <c r="C2523" s="141"/>
      <c r="D2523" s="141"/>
    </row>
    <row r="2524" spans="3:4">
      <c r="C2524" s="141"/>
      <c r="D2524" s="141"/>
    </row>
    <row r="2525" spans="3:4">
      <c r="C2525" s="141"/>
      <c r="D2525" s="141"/>
    </row>
    <row r="2526" spans="3:4">
      <c r="C2526" s="141"/>
      <c r="D2526" s="141"/>
    </row>
    <row r="2527" spans="3:4">
      <c r="C2527" s="141"/>
      <c r="D2527" s="141"/>
    </row>
    <row r="2528" spans="3:4">
      <c r="C2528" s="141"/>
      <c r="D2528" s="141"/>
    </row>
    <row r="2529" spans="3:4">
      <c r="C2529" s="141"/>
      <c r="D2529" s="141"/>
    </row>
    <row r="2530" spans="3:4">
      <c r="C2530" s="141"/>
      <c r="D2530" s="141"/>
    </row>
    <row r="2531" spans="3:4">
      <c r="C2531" s="141"/>
      <c r="D2531" s="141"/>
    </row>
    <row r="2532" spans="3:4">
      <c r="C2532" s="141"/>
      <c r="D2532" s="141"/>
    </row>
    <row r="2533" spans="3:4">
      <c r="C2533" s="141"/>
      <c r="D2533" s="141"/>
    </row>
    <row r="2534" spans="3:4">
      <c r="C2534" s="141"/>
      <c r="D2534" s="141"/>
    </row>
    <row r="2535" spans="3:4">
      <c r="C2535" s="141"/>
      <c r="D2535" s="141"/>
    </row>
    <row r="2536" spans="3:4">
      <c r="C2536" s="141"/>
      <c r="D2536" s="141"/>
    </row>
    <row r="2537" spans="3:4">
      <c r="C2537" s="141"/>
      <c r="D2537" s="141"/>
    </row>
    <row r="2538" spans="3:4">
      <c r="C2538" s="141"/>
      <c r="D2538" s="141"/>
    </row>
    <row r="2539" spans="3:4">
      <c r="C2539" s="141"/>
      <c r="D2539" s="141"/>
    </row>
    <row r="2540" spans="3:4">
      <c r="C2540" s="141"/>
      <c r="D2540" s="141"/>
    </row>
    <row r="2541" spans="3:4">
      <c r="C2541" s="141"/>
      <c r="D2541" s="141"/>
    </row>
    <row r="2542" spans="3:4">
      <c r="C2542" s="141"/>
      <c r="D2542" s="141"/>
    </row>
    <row r="2543" spans="3:4">
      <c r="C2543" s="141"/>
      <c r="D2543" s="141"/>
    </row>
    <row r="2544" spans="3:4">
      <c r="C2544" s="141"/>
      <c r="D2544" s="141"/>
    </row>
    <row r="2545" spans="3:4">
      <c r="C2545" s="141"/>
      <c r="D2545" s="141"/>
    </row>
    <row r="2546" spans="3:4">
      <c r="C2546" s="141"/>
      <c r="D2546" s="141"/>
    </row>
    <row r="2547" spans="3:4">
      <c r="C2547" s="141"/>
      <c r="D2547" s="141"/>
    </row>
    <row r="2548" spans="3:4">
      <c r="C2548" s="141"/>
      <c r="D2548" s="141"/>
    </row>
    <row r="2549" spans="3:4">
      <c r="C2549" s="141"/>
      <c r="D2549" s="141"/>
    </row>
    <row r="2550" spans="3:4">
      <c r="C2550" s="141"/>
      <c r="D2550" s="141"/>
    </row>
    <row r="2551" spans="3:4">
      <c r="C2551" s="141"/>
      <c r="D2551" s="141"/>
    </row>
    <row r="2552" spans="3:4">
      <c r="C2552" s="141"/>
      <c r="D2552" s="141"/>
    </row>
    <row r="2553" spans="3:4">
      <c r="C2553" s="141"/>
      <c r="D2553" s="141"/>
    </row>
    <row r="2554" spans="3:4">
      <c r="C2554" s="141"/>
      <c r="D2554" s="141"/>
    </row>
    <row r="2555" spans="3:4">
      <c r="C2555" s="141"/>
      <c r="D2555" s="141"/>
    </row>
    <row r="2556" spans="3:4">
      <c r="C2556" s="141"/>
      <c r="D2556" s="141"/>
    </row>
    <row r="2557" spans="3:4">
      <c r="C2557" s="141"/>
      <c r="D2557" s="141"/>
    </row>
    <row r="2558" spans="3:4">
      <c r="C2558" s="141"/>
      <c r="D2558" s="141"/>
    </row>
    <row r="2559" spans="3:4">
      <c r="C2559" s="141"/>
      <c r="D2559" s="141"/>
    </row>
    <row r="2560" spans="3:4">
      <c r="C2560" s="141"/>
      <c r="D2560" s="141"/>
    </row>
    <row r="2561" spans="3:4">
      <c r="C2561" s="141"/>
      <c r="D2561" s="141"/>
    </row>
    <row r="2562" spans="3:4">
      <c r="C2562" s="141"/>
      <c r="D2562" s="141"/>
    </row>
    <row r="2563" spans="3:4">
      <c r="C2563" s="141"/>
      <c r="D2563" s="141"/>
    </row>
    <row r="2564" spans="3:4">
      <c r="C2564" s="141"/>
      <c r="D2564" s="141"/>
    </row>
    <row r="2565" spans="3:4">
      <c r="C2565" s="141"/>
      <c r="D2565" s="141"/>
    </row>
    <row r="2566" spans="3:4">
      <c r="C2566" s="141"/>
      <c r="D2566" s="141"/>
    </row>
    <row r="2567" spans="3:4">
      <c r="C2567" s="141"/>
      <c r="D2567" s="141"/>
    </row>
    <row r="2568" spans="3:4">
      <c r="C2568" s="141"/>
      <c r="D2568" s="141"/>
    </row>
    <row r="2569" spans="3:4">
      <c r="C2569" s="141"/>
      <c r="D2569" s="141"/>
    </row>
    <row r="2570" spans="3:4">
      <c r="C2570" s="141"/>
      <c r="D2570" s="141"/>
    </row>
    <row r="2571" spans="3:4">
      <c r="C2571" s="141"/>
      <c r="D2571" s="141"/>
    </row>
    <row r="2572" spans="3:4">
      <c r="C2572" s="141"/>
      <c r="D2572" s="141"/>
    </row>
    <row r="2573" spans="3:4">
      <c r="C2573" s="141"/>
      <c r="D2573" s="141"/>
    </row>
    <row r="2574" spans="3:4">
      <c r="C2574" s="141"/>
      <c r="D2574" s="141"/>
    </row>
    <row r="2575" spans="3:4">
      <c r="C2575" s="141"/>
      <c r="D2575" s="141"/>
    </row>
    <row r="2576" spans="3:4">
      <c r="C2576" s="141"/>
      <c r="D2576" s="141"/>
    </row>
    <row r="2577" spans="3:4">
      <c r="C2577" s="141"/>
      <c r="D2577" s="141"/>
    </row>
    <row r="2578" spans="3:4">
      <c r="C2578" s="141"/>
      <c r="D2578" s="141"/>
    </row>
    <row r="2579" spans="3:4">
      <c r="C2579" s="141"/>
      <c r="D2579" s="141"/>
    </row>
    <row r="2580" spans="3:4">
      <c r="C2580" s="141"/>
      <c r="D2580" s="141"/>
    </row>
    <row r="2581" spans="3:4">
      <c r="C2581" s="141"/>
      <c r="D2581" s="141"/>
    </row>
    <row r="2582" spans="3:4">
      <c r="C2582" s="141"/>
      <c r="D2582" s="141"/>
    </row>
    <row r="2583" spans="3:4">
      <c r="C2583" s="141"/>
      <c r="D2583" s="141"/>
    </row>
    <row r="2584" spans="3:4">
      <c r="C2584" s="141"/>
      <c r="D2584" s="141"/>
    </row>
    <row r="2585" spans="3:4">
      <c r="C2585" s="141"/>
      <c r="D2585" s="141"/>
    </row>
    <row r="2586" spans="3:4">
      <c r="C2586" s="141"/>
      <c r="D2586" s="141"/>
    </row>
    <row r="2587" spans="3:4">
      <c r="C2587" s="141"/>
      <c r="D2587" s="141"/>
    </row>
    <row r="2588" spans="3:4">
      <c r="C2588" s="141"/>
      <c r="D2588" s="141"/>
    </row>
    <row r="2589" spans="3:4">
      <c r="C2589" s="141"/>
      <c r="D2589" s="141"/>
    </row>
  </sheetData>
  <mergeCells count="2">
    <mergeCell ref="S57:T57"/>
    <mergeCell ref="W57:X57"/>
  </mergeCells>
  <conditionalFormatting pivot="1" sqref="D11:F23">
    <cfRule type="iconSet" priority="6">
      <iconSet reverse="1">
        <cfvo type="percent" val="0"/>
        <cfvo type="percent" val="0" gte="0"/>
        <cfvo type="percent" val="30"/>
      </iconSet>
    </cfRule>
  </conditionalFormatting>
  <conditionalFormatting pivot="1" sqref="J11:L20">
    <cfRule type="iconSet" priority="2">
      <iconSet reverse="1">
        <cfvo type="percent" val="0"/>
        <cfvo type="percent" val="0" gte="0"/>
        <cfvo type="percent" val="30"/>
      </iconSet>
    </cfRule>
  </conditionalFormatting>
  <conditionalFormatting pivot="1" sqref="J28:L29">
    <cfRule type="iconSet" priority="1">
      <iconSet reverse="1">
        <cfvo type="percent" val="0"/>
        <cfvo type="percent" val="0" gte="0"/>
        <cfvo type="percent" val="30"/>
      </iconSet>
    </cfRule>
  </conditionalFormatting>
  <pageMargins left="0.7" right="0.7" top="0.75" bottom="0.75" header="0.3" footer="0.3"/>
  <pageSetup orientation="portrait" r:id="rId27"/>
  <drawing r:id="rId28"/>
  <extLst>
    <ext xmlns:x14="http://schemas.microsoft.com/office/spreadsheetml/2009/9/main" uri="{A8765BA9-456A-4dab-B4F3-ACF838C121DE}">
      <x14:slicerList>
        <x14:slicer r:id="rId29"/>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Guide</vt:lpstr>
      <vt:lpstr>DATABASE</vt:lpstr>
      <vt:lpstr>Site_DB</vt:lpstr>
      <vt:lpstr>Indicator Summary  Eng</vt:lpstr>
      <vt:lpstr>Indicator Summary  MM</vt:lpstr>
      <vt:lpstr>HRP Calculations</vt:lpstr>
      <vt:lpstr>HRP</vt:lpstr>
      <vt:lpstr>Sheet1</vt:lpstr>
      <vt:lpstr>Analysis</vt:lpstr>
      <vt:lpstr>Quarterly Dashboard</vt:lpstr>
      <vt:lpstr>Kachin</vt:lpstr>
      <vt:lpstr>Shan(n)</vt:lpstr>
      <vt:lpstr>AAP-community Feedback</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'Shan(n)'!Township_list</vt:lpstr>
      <vt:lpstr>Township_list</vt:lpstr>
      <vt:lpstr>Kachin!Township_start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2019-07-31T05:16:34Z</cp:lastPrinted>
  <dcterms:created xsi:type="dcterms:W3CDTF">2016-05-30T15:30:45Z</dcterms:created>
  <dcterms:modified xsi:type="dcterms:W3CDTF">2019-08-16T04:25:52Z</dcterms:modified>
  <cp:category/>
  <cp:contentStatus/>
</cp:coreProperties>
</file>